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omments2.xml" ContentType="application/vnd.openxmlformats-officedocument.spreadsheetml.comments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featurePropertyBag/featurePropertyBag.xml" ContentType="application/vnd.ms-excel.featurepropertyba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0"/>
  <workbookPr showInkAnnotation="0"/>
  <xr:revisionPtr revIDLastSave="0" documentId="8_{7FE92D61-9AA4-4277-8226-846ADF3CDEF3}" xr6:coauthVersionLast="47" xr6:coauthVersionMax="47" xr10:uidLastSave="{00000000-0000-0000-0000-000000000000}"/>
  <bookViews>
    <workbookView xWindow="0" yWindow="0" windowWidth="0" windowHeight="0" firstSheet="6" activeTab="6" xr2:uid="{00000000-000D-0000-FFFF-FFFF00000000}"/>
  </bookViews>
  <sheets>
    <sheet name="Company Names" sheetId="1" r:id="rId1"/>
    <sheet name="MTG Set Lookup Table" sheetId="2" r:id="rId2"/>
    <sheet name="MTG Set" sheetId="6" r:id="rId3"/>
    <sheet name="Sales Order" sheetId="8" r:id="rId4"/>
    <sheet name="Sales Order Item" sheetId="9" r:id="rId5"/>
    <sheet name="Product" sheetId="4" r:id="rId6"/>
    <sheet name="Sourcing" sheetId="11" r:id="rId7"/>
    <sheet name="Supplier" sheetId="12" r:id="rId8"/>
    <sheet name="Statistics" sheetId="10" r:id="rId9"/>
    <sheet name="PKM Set" sheetId="7" r:id="rId10"/>
    <sheet name="Purchases" sheetId="3" r:id="rId11"/>
    <sheet name="MTG Set Import Raw" sheetId="5" r:id="rId12"/>
  </sheets>
  <definedNames>
    <definedName name="v_Item_Shipping_Cost_In">Statistics!$B$23</definedName>
    <definedName name="v_Item_Shipping_Cost_Out">Statistics!$B$14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255" i="11" l="1"/>
  <c r="AV256" i="11"/>
  <c r="AV257" i="11"/>
  <c r="AV258" i="11"/>
  <c r="AV259" i="11"/>
  <c r="AV260" i="11"/>
  <c r="AV261" i="11"/>
  <c r="AV262" i="11"/>
  <c r="AV263" i="11"/>
  <c r="AV264" i="11"/>
  <c r="AV265" i="11"/>
  <c r="AV266" i="11"/>
  <c r="AV267" i="11"/>
  <c r="AV268" i="11"/>
  <c r="AV269" i="11"/>
  <c r="AV270" i="11"/>
  <c r="AV271" i="11"/>
  <c r="AV272" i="11"/>
  <c r="AV273" i="11"/>
  <c r="AV274" i="11"/>
  <c r="AV275" i="11"/>
  <c r="AV276" i="11"/>
  <c r="AV277" i="11"/>
  <c r="AV278" i="11"/>
  <c r="AV279" i="11"/>
  <c r="AV280" i="11"/>
  <c r="AV281" i="11"/>
  <c r="AV282" i="11"/>
  <c r="AV283" i="11"/>
  <c r="AV284" i="11"/>
  <c r="AV285" i="11"/>
  <c r="AV286" i="11"/>
  <c r="AV287" i="11"/>
  <c r="AV288" i="11"/>
  <c r="AV289" i="11"/>
  <c r="AV290" i="11"/>
  <c r="AV291" i="11"/>
  <c r="AV292" i="11"/>
  <c r="AV293" i="11"/>
  <c r="AV294" i="11"/>
  <c r="AV295" i="11"/>
  <c r="AV296" i="11"/>
  <c r="AV297" i="11"/>
  <c r="AV298" i="11"/>
  <c r="AV299" i="11"/>
  <c r="AV300" i="11"/>
  <c r="AV301" i="11"/>
  <c r="AV302" i="11"/>
  <c r="AV303" i="11"/>
  <c r="AV304" i="11"/>
  <c r="AV305" i="11"/>
  <c r="AV306" i="11"/>
  <c r="AV307" i="11"/>
  <c r="AV308" i="11"/>
  <c r="AV309" i="11"/>
  <c r="AV310" i="11"/>
  <c r="AV311" i="11"/>
  <c r="AV312" i="11"/>
  <c r="AV313" i="11"/>
  <c r="AV314" i="11"/>
  <c r="AV315" i="11"/>
  <c r="AV316" i="11"/>
  <c r="AV317" i="11"/>
  <c r="AV318" i="11"/>
  <c r="AV319" i="11"/>
  <c r="AV320" i="11"/>
  <c r="AV321" i="11"/>
  <c r="AV322" i="11"/>
  <c r="AV323" i="11"/>
  <c r="AV324" i="11"/>
  <c r="AV325" i="11"/>
  <c r="AV332" i="11"/>
  <c r="AV337" i="11"/>
  <c r="AV342" i="11"/>
  <c r="AV347" i="11"/>
  <c r="AV367" i="11"/>
  <c r="AV385" i="11"/>
  <c r="AV386" i="11"/>
  <c r="AV388" i="11"/>
  <c r="AV394" i="11"/>
  <c r="AV396" i="11"/>
  <c r="AV404" i="11"/>
  <c r="AV410" i="11"/>
  <c r="AV412" i="11"/>
  <c r="AV415" i="11"/>
  <c r="AV445" i="11"/>
  <c r="AV517" i="11"/>
  <c r="AV518" i="11"/>
  <c r="AV519" i="11"/>
  <c r="AV520" i="11"/>
  <c r="AV521" i="11"/>
  <c r="AV522" i="11"/>
  <c r="AV523" i="11"/>
  <c r="AV524" i="11"/>
  <c r="AV525" i="11"/>
  <c r="AV526" i="11"/>
  <c r="AV527" i="11"/>
  <c r="AV528" i="11"/>
  <c r="AV529" i="11"/>
  <c r="AV530" i="11"/>
  <c r="AV531" i="11"/>
  <c r="AV532" i="11"/>
  <c r="AV533" i="11"/>
  <c r="AV631" i="11"/>
  <c r="AV632" i="11"/>
  <c r="AV633" i="11"/>
  <c r="AV634" i="11"/>
  <c r="AV635" i="11"/>
  <c r="AV636" i="11"/>
  <c r="AV637" i="11"/>
  <c r="AV684" i="11"/>
  <c r="AV30" i="11"/>
  <c r="J973" i="11"/>
  <c r="AV973" i="11"/>
  <c r="AW973" i="11"/>
  <c r="AX973" i="11"/>
  <c r="J970" i="11"/>
  <c r="AV970" i="11"/>
  <c r="AW970" i="11"/>
  <c r="AX970" i="11"/>
  <c r="J969" i="11"/>
  <c r="AV969" i="11"/>
  <c r="AW969" i="11"/>
  <c r="AX969" i="11"/>
  <c r="J977" i="11"/>
  <c r="AV977" i="11"/>
  <c r="AW977" i="11"/>
  <c r="AX977" i="11"/>
  <c r="J972" i="11"/>
  <c r="AV972" i="11"/>
  <c r="AW972" i="11"/>
  <c r="AX972" i="11"/>
  <c r="J971" i="11"/>
  <c r="AV971" i="11"/>
  <c r="AW971" i="11"/>
  <c r="AX971" i="11"/>
  <c r="J967" i="11"/>
  <c r="AV967" i="11"/>
  <c r="AW967" i="11"/>
  <c r="AX967" i="11"/>
  <c r="J966" i="11"/>
  <c r="AV966" i="11"/>
  <c r="AW966" i="11"/>
  <c r="AX966" i="11"/>
  <c r="J965" i="11"/>
  <c r="AV965" i="11"/>
  <c r="AW965" i="11"/>
  <c r="AX965" i="11"/>
  <c r="J964" i="11"/>
  <c r="AV964" i="11"/>
  <c r="AW964" i="11"/>
  <c r="AX964" i="11"/>
  <c r="J961" i="11"/>
  <c r="AV961" i="11"/>
  <c r="AW961" i="11"/>
  <c r="AX961" i="11"/>
  <c r="J958" i="11"/>
  <c r="AV958" i="11"/>
  <c r="AW958" i="11"/>
  <c r="AX958" i="11"/>
  <c r="J957" i="11"/>
  <c r="AV957" i="11"/>
  <c r="AW957" i="11"/>
  <c r="AX957" i="11"/>
  <c r="J956" i="11"/>
  <c r="AV956" i="11"/>
  <c r="AW956" i="11"/>
  <c r="AX956" i="11"/>
  <c r="J955" i="11"/>
  <c r="AV955" i="11"/>
  <c r="AW955" i="11"/>
  <c r="AX955" i="11"/>
  <c r="J954" i="11"/>
  <c r="AV954" i="11"/>
  <c r="AW954" i="11"/>
  <c r="AX954" i="11"/>
  <c r="J953" i="11"/>
  <c r="AV953" i="11"/>
  <c r="AW953" i="11"/>
  <c r="AX953" i="11"/>
  <c r="J952" i="11"/>
  <c r="AV952" i="11"/>
  <c r="AW952" i="11"/>
  <c r="AX952" i="11"/>
  <c r="J951" i="11"/>
  <c r="AV951" i="11"/>
  <c r="AW951" i="11"/>
  <c r="AX951" i="11"/>
  <c r="J947" i="11"/>
  <c r="AV947" i="11"/>
  <c r="AW947" i="11"/>
  <c r="AX947" i="11"/>
  <c r="J948" i="11"/>
  <c r="AV948" i="11"/>
  <c r="AW948" i="11"/>
  <c r="AX948" i="11"/>
  <c r="J945" i="11"/>
  <c r="AV945" i="11"/>
  <c r="AW945" i="11"/>
  <c r="AX945" i="11"/>
  <c r="J944" i="11"/>
  <c r="AV944" i="11"/>
  <c r="AW944" i="11"/>
  <c r="AX944" i="11"/>
  <c r="J943" i="11"/>
  <c r="AV943" i="11"/>
  <c r="AW943" i="11"/>
  <c r="AX943" i="11"/>
  <c r="J942" i="11"/>
  <c r="AV942" i="11"/>
  <c r="AW942" i="11"/>
  <c r="AX942" i="11"/>
  <c r="J941" i="11"/>
  <c r="AV941" i="11"/>
  <c r="AW941" i="11"/>
  <c r="AX941" i="11"/>
  <c r="J940" i="11"/>
  <c r="AV940" i="11"/>
  <c r="AW940" i="11"/>
  <c r="AX940" i="11"/>
  <c r="J939" i="11"/>
  <c r="AV939" i="11"/>
  <c r="AW939" i="11"/>
  <c r="AX939" i="11"/>
  <c r="J938" i="11"/>
  <c r="AV938" i="11"/>
  <c r="AW938" i="11"/>
  <c r="AX938" i="11"/>
  <c r="J937" i="11"/>
  <c r="AV937" i="11"/>
  <c r="AW937" i="11"/>
  <c r="AX937" i="11"/>
  <c r="J936" i="11"/>
  <c r="AV936" i="11"/>
  <c r="AW936" i="11"/>
  <c r="AX936" i="11"/>
  <c r="J935" i="11"/>
  <c r="AV935" i="11"/>
  <c r="AW935" i="11"/>
  <c r="AX935" i="11"/>
  <c r="J934" i="11"/>
  <c r="AV934" i="11"/>
  <c r="AW934" i="11"/>
  <c r="AX934" i="11"/>
  <c r="J933" i="11"/>
  <c r="AV933" i="11"/>
  <c r="AW933" i="11"/>
  <c r="AX933" i="11"/>
  <c r="J962" i="11"/>
  <c r="AV962" i="11"/>
  <c r="AW962" i="11"/>
  <c r="AX962" i="11"/>
  <c r="J976" i="11"/>
  <c r="AV976" i="11"/>
  <c r="AW976" i="11"/>
  <c r="AX976" i="11"/>
  <c r="J975" i="11"/>
  <c r="AV975" i="11"/>
  <c r="AW975" i="11"/>
  <c r="AX975" i="11"/>
  <c r="J946" i="11"/>
  <c r="AV946" i="11"/>
  <c r="AW946" i="11"/>
  <c r="AX946" i="11"/>
  <c r="J974" i="11"/>
  <c r="AV974" i="11"/>
  <c r="AW974" i="11"/>
  <c r="AX974" i="11"/>
  <c r="J968" i="11"/>
  <c r="AV968" i="11"/>
  <c r="AW968" i="11"/>
  <c r="AX968" i="11"/>
  <c r="J963" i="11"/>
  <c r="AV963" i="11"/>
  <c r="AW963" i="11"/>
  <c r="AX963" i="11"/>
  <c r="J960" i="11"/>
  <c r="AV960" i="11"/>
  <c r="AW960" i="11"/>
  <c r="AX960" i="11"/>
  <c r="J959" i="11"/>
  <c r="AV959" i="11"/>
  <c r="AW959" i="11"/>
  <c r="AX959" i="11"/>
  <c r="J950" i="11"/>
  <c r="AV950" i="11"/>
  <c r="AW950" i="11"/>
  <c r="AX950" i="11"/>
  <c r="J949" i="11"/>
  <c r="AV949" i="11"/>
  <c r="AW949" i="11"/>
  <c r="AX949" i="11"/>
  <c r="J932" i="11"/>
  <c r="AV932" i="11"/>
  <c r="AW932" i="11"/>
  <c r="AX932" i="11"/>
  <c r="J668" i="11"/>
  <c r="AV668" i="11"/>
  <c r="AW668" i="11"/>
  <c r="AX668" i="11"/>
  <c r="J650" i="11"/>
  <c r="AV650" i="11"/>
  <c r="AW650" i="11"/>
  <c r="AX650" i="11"/>
  <c r="J649" i="11"/>
  <c r="AV649" i="11"/>
  <c r="AW649" i="11"/>
  <c r="AX649" i="11"/>
  <c r="J648" i="11"/>
  <c r="AV648" i="11"/>
  <c r="AW648" i="11"/>
  <c r="AX648" i="11"/>
  <c r="J647" i="11"/>
  <c r="AV647" i="11"/>
  <c r="AW647" i="11"/>
  <c r="AX647" i="11"/>
  <c r="J646" i="11"/>
  <c r="AV646" i="11"/>
  <c r="AW646" i="11"/>
  <c r="AX646" i="11"/>
  <c r="J644" i="11"/>
  <c r="AV644" i="11"/>
  <c r="AW644" i="11"/>
  <c r="AX644" i="11"/>
  <c r="J643" i="11"/>
  <c r="AV643" i="11"/>
  <c r="AW643" i="11"/>
  <c r="AX643" i="11"/>
  <c r="J641" i="11"/>
  <c r="AV641" i="11"/>
  <c r="AW641" i="11"/>
  <c r="AX641" i="11"/>
  <c r="J661" i="11"/>
  <c r="AV661" i="11"/>
  <c r="AW661" i="11"/>
  <c r="AX661" i="11"/>
  <c r="J660" i="11"/>
  <c r="AV660" i="11"/>
  <c r="AW660" i="11"/>
  <c r="AX660" i="11"/>
  <c r="J658" i="11"/>
  <c r="AV658" i="11"/>
  <c r="AW658" i="11"/>
  <c r="AX658" i="11"/>
  <c r="J655" i="11"/>
  <c r="AV655" i="11"/>
  <c r="AW655" i="11"/>
  <c r="AX655" i="11"/>
  <c r="J652" i="11"/>
  <c r="AV652" i="11"/>
  <c r="AW652" i="11"/>
  <c r="AX652" i="11"/>
  <c r="J659" i="11"/>
  <c r="AV659" i="11"/>
  <c r="AW659" i="11"/>
  <c r="AX659" i="11"/>
  <c r="J657" i="11"/>
  <c r="AV657" i="11"/>
  <c r="AW657" i="11"/>
  <c r="AX657" i="11"/>
  <c r="J654" i="11"/>
  <c r="AV654" i="11"/>
  <c r="AW654" i="11"/>
  <c r="AX654" i="11"/>
  <c r="J651" i="11"/>
  <c r="AV651" i="11"/>
  <c r="AW651" i="11"/>
  <c r="AX651" i="11"/>
  <c r="J663" i="11"/>
  <c r="AV663" i="11"/>
  <c r="AW663" i="11"/>
  <c r="AX663" i="11"/>
  <c r="J662" i="11"/>
  <c r="AV662" i="11"/>
  <c r="AW662" i="11"/>
  <c r="AX662" i="11"/>
  <c r="J670" i="11"/>
  <c r="AV670" i="11"/>
  <c r="AW670" i="11"/>
  <c r="AX670" i="11"/>
  <c r="J640" i="11"/>
  <c r="AV640" i="11"/>
  <c r="AW640" i="11"/>
  <c r="AX640" i="11"/>
  <c r="J667" i="11"/>
  <c r="AV667" i="11"/>
  <c r="AW667" i="11"/>
  <c r="AX667" i="11"/>
  <c r="J666" i="11"/>
  <c r="AV666" i="11"/>
  <c r="AW666" i="11"/>
  <c r="AX666" i="11"/>
  <c r="J665" i="11"/>
  <c r="AV665" i="11"/>
  <c r="AW665" i="11"/>
  <c r="AX665" i="11"/>
  <c r="J664" i="11"/>
  <c r="AV664" i="11"/>
  <c r="AW664" i="11"/>
  <c r="AX664" i="11"/>
  <c r="J669" i="11"/>
  <c r="AV669" i="11"/>
  <c r="AW669" i="11"/>
  <c r="AX669" i="11"/>
  <c r="J645" i="11"/>
  <c r="AV645" i="11"/>
  <c r="AW645" i="11"/>
  <c r="AX645" i="11"/>
  <c r="J642" i="11"/>
  <c r="AV642" i="11"/>
  <c r="AW642" i="11"/>
  <c r="AX642" i="11"/>
  <c r="J639" i="11"/>
  <c r="AV639" i="11"/>
  <c r="AW639" i="11"/>
  <c r="AX639" i="11"/>
  <c r="J638" i="11"/>
  <c r="AV638" i="11"/>
  <c r="AW638" i="11"/>
  <c r="AX638" i="11"/>
  <c r="J656" i="11"/>
  <c r="AV656" i="11"/>
  <c r="AW656" i="11"/>
  <c r="AX656" i="11"/>
  <c r="J653" i="11"/>
  <c r="AV653" i="11"/>
  <c r="AW653" i="11"/>
  <c r="AX653" i="11"/>
  <c r="J617" i="11"/>
  <c r="AV617" i="11"/>
  <c r="AW617" i="11"/>
  <c r="AX617" i="11"/>
  <c r="J616" i="11"/>
  <c r="AV616" i="11"/>
  <c r="AW616" i="11"/>
  <c r="AX616" i="11"/>
  <c r="J615" i="11"/>
  <c r="AV615" i="11"/>
  <c r="AW615" i="11"/>
  <c r="AX615" i="11"/>
  <c r="J614" i="11"/>
  <c r="AV614" i="11"/>
  <c r="AW614" i="11"/>
  <c r="AX614" i="11"/>
  <c r="J613" i="11"/>
  <c r="AV613" i="11"/>
  <c r="AW613" i="11"/>
  <c r="AX613" i="11"/>
  <c r="J611" i="11"/>
  <c r="AV611" i="11"/>
  <c r="AW611" i="11"/>
  <c r="AX611" i="11"/>
  <c r="J610" i="11"/>
  <c r="AV610" i="11"/>
  <c r="AW610" i="11"/>
  <c r="AX610" i="11"/>
  <c r="J612" i="11"/>
  <c r="AV612" i="11"/>
  <c r="AW612" i="11"/>
  <c r="AX612" i="11"/>
  <c r="J466" i="11"/>
  <c r="AV466" i="11"/>
  <c r="AW466" i="11"/>
  <c r="AX466" i="11"/>
  <c r="J465" i="11"/>
  <c r="AV465" i="11"/>
  <c r="AW465" i="11"/>
  <c r="AX465" i="11"/>
  <c r="J463" i="11"/>
  <c r="AV463" i="11"/>
  <c r="AW463" i="11"/>
  <c r="AX463" i="11"/>
  <c r="J474" i="11"/>
  <c r="AV474" i="11"/>
  <c r="AW474" i="11"/>
  <c r="AX474" i="11"/>
  <c r="J478" i="11"/>
  <c r="AV478" i="11"/>
  <c r="AW478" i="11"/>
  <c r="AX478" i="11"/>
  <c r="J476" i="11"/>
  <c r="AV476" i="11"/>
  <c r="AW476" i="11"/>
  <c r="AX476" i="11"/>
  <c r="J473" i="11"/>
  <c r="AV473" i="11"/>
  <c r="AW473" i="11"/>
  <c r="AX473" i="11"/>
  <c r="J470" i="11"/>
  <c r="AV470" i="11"/>
  <c r="AW470" i="11"/>
  <c r="AX470" i="11"/>
  <c r="J477" i="11"/>
  <c r="AV477" i="11"/>
  <c r="AW477" i="11"/>
  <c r="AX477" i="11"/>
  <c r="J475" i="11"/>
  <c r="AV475" i="11"/>
  <c r="AW475" i="11"/>
  <c r="AX475" i="11"/>
  <c r="J472" i="11"/>
  <c r="AV472" i="11"/>
  <c r="AW472" i="11"/>
  <c r="AX472" i="11"/>
  <c r="J469" i="11"/>
  <c r="AV469" i="11"/>
  <c r="AW469" i="11"/>
  <c r="AX469" i="11"/>
  <c r="J471" i="11"/>
  <c r="AV471" i="11"/>
  <c r="AW471" i="11"/>
  <c r="AX471" i="11"/>
  <c r="J462" i="11"/>
  <c r="AV462" i="11"/>
  <c r="AW462" i="11"/>
  <c r="AX462" i="11"/>
  <c r="J461" i="11"/>
  <c r="AV461" i="11"/>
  <c r="AW461" i="11"/>
  <c r="AX461" i="11"/>
  <c r="J464" i="11"/>
  <c r="AV464" i="11"/>
  <c r="AW464" i="11"/>
  <c r="AX464" i="11"/>
  <c r="J482" i="11"/>
  <c r="AV482" i="11"/>
  <c r="AW482" i="11"/>
  <c r="AX482" i="11"/>
  <c r="J481" i="11"/>
  <c r="AV481" i="11"/>
  <c r="AW481" i="11"/>
  <c r="AX481" i="11"/>
  <c r="J468" i="11"/>
  <c r="AV468" i="11"/>
  <c r="AW468" i="11"/>
  <c r="AX468" i="11"/>
  <c r="J467" i="11"/>
  <c r="AV467" i="11"/>
  <c r="AW467" i="11"/>
  <c r="AX467" i="11"/>
  <c r="J480" i="11"/>
  <c r="AV480" i="11"/>
  <c r="AW480" i="11"/>
  <c r="AX480" i="11"/>
  <c r="J479" i="11"/>
  <c r="AV479" i="11"/>
  <c r="AW479" i="11"/>
  <c r="AX479" i="11"/>
  <c r="J459" i="11"/>
  <c r="AV459" i="11"/>
  <c r="AW459" i="11"/>
  <c r="AX459" i="11"/>
  <c r="J460" i="11"/>
  <c r="AV460" i="11"/>
  <c r="AW460" i="11"/>
  <c r="AX460" i="11"/>
  <c r="J458" i="11"/>
  <c r="AV458" i="11"/>
  <c r="AW458" i="11"/>
  <c r="AX458" i="11"/>
  <c r="J456" i="11"/>
  <c r="J457" i="11"/>
  <c r="AV456" i="11"/>
  <c r="AV457" i="11"/>
  <c r="AW456" i="11"/>
  <c r="AW457" i="11"/>
  <c r="AX456" i="11"/>
  <c r="AX457" i="11"/>
  <c r="J455" i="11"/>
  <c r="AV455" i="11"/>
  <c r="AW455" i="11"/>
  <c r="AX455" i="11"/>
  <c r="J454" i="11"/>
  <c r="AV454" i="11"/>
  <c r="AW454" i="11"/>
  <c r="AX454" i="11"/>
  <c r="J453" i="11"/>
  <c r="AV453" i="11"/>
  <c r="AW453" i="11"/>
  <c r="AX453" i="11"/>
  <c r="J452" i="11"/>
  <c r="AV452" i="11"/>
  <c r="AW452" i="11"/>
  <c r="AX452" i="11"/>
  <c r="J451" i="11"/>
  <c r="AV451" i="11"/>
  <c r="AW451" i="11"/>
  <c r="AX451" i="11"/>
  <c r="J1019" i="11"/>
  <c r="AV1019" i="11"/>
  <c r="AW1019" i="11"/>
  <c r="AX1019" i="11"/>
  <c r="J1018" i="11"/>
  <c r="AV1018" i="11"/>
  <c r="AW1018" i="11"/>
  <c r="AX1018" i="11"/>
  <c r="J1017" i="11"/>
  <c r="AV1017" i="11"/>
  <c r="AW1017" i="11"/>
  <c r="AX1017" i="11"/>
  <c r="J1016" i="11"/>
  <c r="AV1016" i="11"/>
  <c r="AW1016" i="11"/>
  <c r="AX1016" i="11"/>
  <c r="J1015" i="11"/>
  <c r="AV1015" i="11"/>
  <c r="AW1015" i="11"/>
  <c r="AX1015" i="11"/>
  <c r="J1014" i="11"/>
  <c r="AV1014" i="11"/>
  <c r="AW1014" i="11"/>
  <c r="AX1014" i="11"/>
  <c r="J1013" i="11"/>
  <c r="AV1013" i="11"/>
  <c r="AW1013" i="11"/>
  <c r="AX1013" i="11"/>
  <c r="J1012" i="11"/>
  <c r="AV1012" i="11"/>
  <c r="AW1012" i="11"/>
  <c r="AX1012" i="11"/>
  <c r="J1011" i="11"/>
  <c r="AV1011" i="11"/>
  <c r="AW1011" i="11"/>
  <c r="AX1011" i="11"/>
  <c r="J1010" i="11"/>
  <c r="AV1010" i="11"/>
  <c r="AW1010" i="11"/>
  <c r="AX1010" i="11"/>
  <c r="J1009" i="11"/>
  <c r="AV1009" i="11"/>
  <c r="AW1009" i="11"/>
  <c r="AX1009" i="11"/>
  <c r="J998" i="11"/>
  <c r="AV998" i="11"/>
  <c r="AW998" i="11"/>
  <c r="AX998" i="11"/>
  <c r="J997" i="11"/>
  <c r="AV997" i="11"/>
  <c r="AW997" i="11"/>
  <c r="AX997" i="11"/>
  <c r="J1004" i="11"/>
  <c r="AV1004" i="11"/>
  <c r="AW1004" i="11"/>
  <c r="AX1004" i="11"/>
  <c r="J1008" i="11"/>
  <c r="AV1008" i="11"/>
  <c r="AW1008" i="11"/>
  <c r="AX1008" i="11"/>
  <c r="J1006" i="11"/>
  <c r="AV1006" i="11"/>
  <c r="AW1006" i="11"/>
  <c r="AX1006" i="11"/>
  <c r="J1003" i="11"/>
  <c r="AV1003" i="11"/>
  <c r="AW1003" i="11"/>
  <c r="AX1003" i="11"/>
  <c r="J1000" i="11"/>
  <c r="AV1000" i="11"/>
  <c r="AW1000" i="11"/>
  <c r="AX1000" i="11"/>
  <c r="J1007" i="11"/>
  <c r="AV1007" i="11"/>
  <c r="AW1007" i="11"/>
  <c r="AX1007" i="11"/>
  <c r="J1005" i="11"/>
  <c r="AV1005" i="11"/>
  <c r="AW1005" i="11"/>
  <c r="AX1005" i="11"/>
  <c r="J1002" i="11"/>
  <c r="AV1002" i="11"/>
  <c r="AW1002" i="11"/>
  <c r="AX1002" i="11"/>
  <c r="J999" i="11"/>
  <c r="AV999" i="11"/>
  <c r="AW999" i="11"/>
  <c r="AX999" i="11"/>
  <c r="J1001" i="11"/>
  <c r="AV1001" i="11"/>
  <c r="AW1001" i="11"/>
  <c r="AX1001" i="11"/>
  <c r="J996" i="11"/>
  <c r="AV996" i="11"/>
  <c r="AW996" i="11"/>
  <c r="AX996" i="11"/>
  <c r="J995" i="11"/>
  <c r="AV995" i="11"/>
  <c r="AW995" i="11"/>
  <c r="AX995" i="11"/>
  <c r="J994" i="11"/>
  <c r="AV994" i="11"/>
  <c r="AW994" i="11"/>
  <c r="AX994" i="11"/>
  <c r="J992" i="11"/>
  <c r="AV992" i="11"/>
  <c r="AW992" i="11"/>
  <c r="AX992" i="11"/>
  <c r="J993" i="11"/>
  <c r="AV993" i="11"/>
  <c r="AW993" i="11"/>
  <c r="AX993" i="11"/>
  <c r="J991" i="11"/>
  <c r="AV991" i="11"/>
  <c r="AW991" i="11"/>
  <c r="AX991" i="11"/>
  <c r="J990" i="11"/>
  <c r="AV990" i="11"/>
  <c r="AW990" i="11"/>
  <c r="AX990" i="11"/>
  <c r="J989" i="11"/>
  <c r="AV989" i="11"/>
  <c r="AW989" i="11"/>
  <c r="AX989" i="11"/>
  <c r="J987" i="11"/>
  <c r="AV987" i="11"/>
  <c r="AW987" i="11"/>
  <c r="AX987" i="11"/>
  <c r="J988" i="11"/>
  <c r="AV988" i="11"/>
  <c r="AW988" i="11"/>
  <c r="AX988" i="11"/>
  <c r="J986" i="11"/>
  <c r="AV986" i="11"/>
  <c r="AW986" i="11"/>
  <c r="AX986" i="11"/>
  <c r="J985" i="11"/>
  <c r="AV985" i="11"/>
  <c r="AW985" i="11"/>
  <c r="AX985" i="11"/>
  <c r="J984" i="11"/>
  <c r="AV984" i="11"/>
  <c r="AW984" i="11"/>
  <c r="AX984" i="11"/>
  <c r="J983" i="11"/>
  <c r="AV983" i="11"/>
  <c r="AW983" i="11"/>
  <c r="AX983" i="11"/>
  <c r="J981" i="11"/>
  <c r="AV981" i="11"/>
  <c r="AW981" i="11"/>
  <c r="AX981" i="11"/>
  <c r="J980" i="11"/>
  <c r="AV980" i="11"/>
  <c r="AW980" i="11"/>
  <c r="AX980" i="11"/>
  <c r="J979" i="11"/>
  <c r="AV979" i="11"/>
  <c r="AW979" i="11"/>
  <c r="AX979" i="11"/>
  <c r="J978" i="11"/>
  <c r="AV978" i="11"/>
  <c r="AW978" i="11"/>
  <c r="AX978" i="11"/>
  <c r="J982" i="11"/>
  <c r="AV982" i="11"/>
  <c r="AW982" i="11"/>
  <c r="AX982" i="11"/>
  <c r="J582" i="11"/>
  <c r="AV582" i="11"/>
  <c r="AW582" i="11"/>
  <c r="AX582" i="11"/>
  <c r="J581" i="11"/>
  <c r="AV581" i="11"/>
  <c r="AW581" i="11"/>
  <c r="AX581" i="11"/>
  <c r="J565" i="11"/>
  <c r="AV565" i="11"/>
  <c r="AW565" i="11"/>
  <c r="AX565" i="11"/>
  <c r="J564" i="11"/>
  <c r="AV564" i="11"/>
  <c r="AW564" i="11"/>
  <c r="AX564" i="11"/>
  <c r="J563" i="11"/>
  <c r="AV563" i="11"/>
  <c r="AW563" i="11"/>
  <c r="AX563" i="11"/>
  <c r="J558" i="11"/>
  <c r="AV558" i="11"/>
  <c r="AW558" i="11"/>
  <c r="AX558" i="11"/>
  <c r="J557" i="11"/>
  <c r="AV557" i="11"/>
  <c r="AW557" i="11"/>
  <c r="AX557" i="11"/>
  <c r="J538" i="11"/>
  <c r="AV538" i="11"/>
  <c r="AW538" i="11"/>
  <c r="AX538" i="11"/>
  <c r="J589" i="11"/>
  <c r="AV589" i="11"/>
  <c r="AW589" i="11"/>
  <c r="AX589" i="11"/>
  <c r="J583" i="11"/>
  <c r="AV583" i="11"/>
  <c r="AW583" i="11"/>
  <c r="AX583" i="11"/>
  <c r="J580" i="11"/>
  <c r="AV580" i="11"/>
  <c r="AW580" i="11"/>
  <c r="AX580" i="11"/>
  <c r="J579" i="11"/>
  <c r="AV579" i="11"/>
  <c r="AW579" i="11"/>
  <c r="AX579" i="11"/>
  <c r="J576" i="11"/>
  <c r="AV576" i="11"/>
  <c r="AW576" i="11"/>
  <c r="AX576" i="11"/>
  <c r="J575" i="11"/>
  <c r="AV575" i="11"/>
  <c r="AW575" i="11"/>
  <c r="AX575" i="11"/>
  <c r="J574" i="11"/>
  <c r="AV574" i="11"/>
  <c r="AW574" i="11"/>
  <c r="AX574" i="11"/>
  <c r="J573" i="11"/>
  <c r="AV573" i="11"/>
  <c r="AW573" i="11"/>
  <c r="AX573" i="11"/>
  <c r="J572" i="11"/>
  <c r="AV572" i="11"/>
  <c r="AW572" i="11"/>
  <c r="AX572" i="11"/>
  <c r="J571" i="11"/>
  <c r="AV571" i="11"/>
  <c r="AW571" i="11"/>
  <c r="AX571" i="11"/>
  <c r="J570" i="11"/>
  <c r="AV570" i="11"/>
  <c r="AW570" i="11"/>
  <c r="AX570" i="11"/>
  <c r="J569" i="11"/>
  <c r="AV569" i="11"/>
  <c r="AW569" i="11"/>
  <c r="AX569" i="11"/>
  <c r="J568" i="11"/>
  <c r="AV568" i="11"/>
  <c r="AW568" i="11"/>
  <c r="AX568" i="11"/>
  <c r="J567" i="11"/>
  <c r="AV567" i="11"/>
  <c r="AW567" i="11"/>
  <c r="AX567" i="11"/>
  <c r="J562" i="11"/>
  <c r="AV562" i="11"/>
  <c r="AW562" i="11"/>
  <c r="AX562" i="11"/>
  <c r="J561" i="11"/>
  <c r="AV561" i="11"/>
  <c r="AW561" i="11"/>
  <c r="AX561" i="11"/>
  <c r="J560" i="11"/>
  <c r="AV560" i="11"/>
  <c r="AW560" i="11"/>
  <c r="AX560" i="11"/>
  <c r="J559" i="11"/>
  <c r="AV559" i="11"/>
  <c r="AW559" i="11"/>
  <c r="AX559" i="11"/>
  <c r="J588" i="11"/>
  <c r="AV588" i="11"/>
  <c r="AW588" i="11"/>
  <c r="AX588" i="11"/>
  <c r="J587" i="11"/>
  <c r="AV587" i="11"/>
  <c r="AW587" i="11"/>
  <c r="AX587" i="11"/>
  <c r="J556" i="11"/>
  <c r="AV556" i="11"/>
  <c r="AW556" i="11"/>
  <c r="AX556" i="11"/>
  <c r="J553" i="11"/>
  <c r="AV553" i="11"/>
  <c r="AW553" i="11"/>
  <c r="AX553" i="11"/>
  <c r="J552" i="11"/>
  <c r="AV552" i="11"/>
  <c r="AW552" i="11"/>
  <c r="AX552" i="11"/>
  <c r="J551" i="11"/>
  <c r="AV551" i="11"/>
  <c r="AW551" i="11"/>
  <c r="AX551" i="11"/>
  <c r="J550" i="11"/>
  <c r="AV550" i="11"/>
  <c r="AW550" i="11"/>
  <c r="AX550" i="11"/>
  <c r="J549" i="11"/>
  <c r="AV549" i="11"/>
  <c r="AW549" i="11"/>
  <c r="AX549" i="11"/>
  <c r="J548" i="11"/>
  <c r="AV548" i="11"/>
  <c r="AW548" i="11"/>
  <c r="AX548" i="11"/>
  <c r="J547" i="11"/>
  <c r="AV547" i="11"/>
  <c r="AW547" i="11"/>
  <c r="AX547" i="11"/>
  <c r="J546" i="11"/>
  <c r="AV546" i="11"/>
  <c r="AW546" i="11"/>
  <c r="AX546" i="11"/>
  <c r="J545" i="11"/>
  <c r="AV545" i="11"/>
  <c r="AW545" i="11"/>
  <c r="AX545" i="11"/>
  <c r="J542" i="11"/>
  <c r="AV542" i="11"/>
  <c r="AW542" i="11"/>
  <c r="AX542" i="11"/>
  <c r="J541" i="11"/>
  <c r="AV541" i="11"/>
  <c r="AW541" i="11"/>
  <c r="AX541" i="11"/>
  <c r="J540" i="11"/>
  <c r="AV540" i="11"/>
  <c r="AW540" i="11"/>
  <c r="AX540" i="11"/>
  <c r="J539" i="11"/>
  <c r="AV539" i="11"/>
  <c r="AW539" i="11"/>
  <c r="AX539" i="11"/>
  <c r="J535" i="11"/>
  <c r="AV535" i="11"/>
  <c r="AW535" i="11"/>
  <c r="AX535" i="11"/>
  <c r="J534" i="11"/>
  <c r="AV534" i="11"/>
  <c r="AW534" i="11"/>
  <c r="AX534" i="11"/>
  <c r="J536" i="11"/>
  <c r="AV536" i="11"/>
  <c r="AW536" i="11"/>
  <c r="AX536" i="11"/>
  <c r="J537" i="11"/>
  <c r="AV537" i="11"/>
  <c r="AW537" i="11"/>
  <c r="AX537" i="11"/>
  <c r="J584" i="11"/>
  <c r="AV584" i="11"/>
  <c r="AW584" i="11"/>
  <c r="AX584" i="11"/>
  <c r="J578" i="11"/>
  <c r="AV578" i="11"/>
  <c r="AW578" i="11"/>
  <c r="AX578" i="11"/>
  <c r="J577" i="11"/>
  <c r="AV577" i="11"/>
  <c r="AW577" i="11"/>
  <c r="AX577" i="11"/>
  <c r="J566" i="11"/>
  <c r="AV566" i="11"/>
  <c r="AW566" i="11"/>
  <c r="AX566" i="11"/>
  <c r="J586" i="11"/>
  <c r="AV586" i="11"/>
  <c r="AW586" i="11"/>
  <c r="AX586" i="11"/>
  <c r="J585" i="11"/>
  <c r="AV585" i="11"/>
  <c r="AW585" i="11"/>
  <c r="AX585" i="11"/>
  <c r="J555" i="11"/>
  <c r="AV555" i="11"/>
  <c r="AW555" i="11"/>
  <c r="AX555" i="11"/>
  <c r="J554" i="11"/>
  <c r="AV554" i="11"/>
  <c r="AW554" i="11"/>
  <c r="AX554" i="11"/>
  <c r="J544" i="11"/>
  <c r="AV544" i="11"/>
  <c r="AW544" i="11"/>
  <c r="AX544" i="11"/>
  <c r="J543" i="11"/>
  <c r="AV543" i="11"/>
  <c r="AW543" i="11"/>
  <c r="AX543" i="11"/>
  <c r="J867" i="11"/>
  <c r="AV867" i="11"/>
  <c r="AW867" i="11"/>
  <c r="AX867" i="11"/>
  <c r="J630" i="11"/>
  <c r="AV630" i="11"/>
  <c r="AW630" i="11"/>
  <c r="AX630" i="11"/>
  <c r="J629" i="11"/>
  <c r="AV629" i="11"/>
  <c r="AW629" i="11"/>
  <c r="AX629" i="11"/>
  <c r="J627" i="11"/>
  <c r="AV627" i="11"/>
  <c r="AW627" i="11"/>
  <c r="AX627" i="11"/>
  <c r="J628" i="11"/>
  <c r="AV628" i="11"/>
  <c r="AW628" i="11"/>
  <c r="AX628" i="11"/>
  <c r="J626" i="11"/>
  <c r="AV626" i="11"/>
  <c r="AW626" i="11"/>
  <c r="AX626" i="11"/>
  <c r="J625" i="11"/>
  <c r="AV625" i="11"/>
  <c r="AW625" i="11"/>
  <c r="AX625" i="11"/>
  <c r="J623" i="11"/>
  <c r="AV623" i="11"/>
  <c r="AW623" i="11"/>
  <c r="AX623" i="11"/>
  <c r="J624" i="11"/>
  <c r="AV624" i="11"/>
  <c r="AW624" i="11"/>
  <c r="AX624" i="11"/>
  <c r="J622" i="11"/>
  <c r="AV622" i="11"/>
  <c r="AW622" i="11"/>
  <c r="AX622" i="11"/>
  <c r="J621" i="11"/>
  <c r="AV621" i="11"/>
  <c r="AW621" i="11"/>
  <c r="AX621" i="11"/>
  <c r="J620" i="11"/>
  <c r="AV620" i="11"/>
  <c r="AW620" i="11"/>
  <c r="AX620" i="11"/>
  <c r="J619" i="11"/>
  <c r="AV619" i="11"/>
  <c r="AW619" i="11"/>
  <c r="AX619" i="11"/>
  <c r="J618" i="11"/>
  <c r="AV618" i="11"/>
  <c r="AW618" i="11"/>
  <c r="AX618" i="11"/>
  <c r="J18" i="11"/>
  <c r="AV18" i="11"/>
  <c r="AW18" i="11"/>
  <c r="AX18" i="11"/>
  <c r="J17" i="11"/>
  <c r="AV17" i="11"/>
  <c r="AW17" i="11"/>
  <c r="AX17" i="11"/>
  <c r="J16" i="11"/>
  <c r="AV16" i="11"/>
  <c r="AW16" i="11"/>
  <c r="AX16" i="11"/>
  <c r="J12" i="11"/>
  <c r="AV12" i="11"/>
  <c r="AW12" i="11"/>
  <c r="AX12" i="11"/>
  <c r="J15" i="11"/>
  <c r="AV15" i="11"/>
  <c r="AW15" i="11"/>
  <c r="AX15" i="11"/>
  <c r="J14" i="11"/>
  <c r="AV14" i="11"/>
  <c r="AW14" i="11"/>
  <c r="AX14" i="11"/>
  <c r="J13" i="11"/>
  <c r="AV13" i="11"/>
  <c r="AW13" i="11"/>
  <c r="AX13" i="11"/>
  <c r="J10" i="11"/>
  <c r="AV10" i="11"/>
  <c r="AW10" i="11"/>
  <c r="AX10" i="11"/>
  <c r="J417" i="11"/>
  <c r="J420" i="11"/>
  <c r="J418" i="11"/>
  <c r="J419" i="11"/>
  <c r="J421" i="11"/>
  <c r="J11" i="11"/>
  <c r="J2" i="11"/>
  <c r="J3" i="11"/>
  <c r="J4" i="11"/>
  <c r="J5" i="11"/>
  <c r="J6" i="11"/>
  <c r="J8" i="11"/>
  <c r="J9" i="11"/>
  <c r="J7" i="11"/>
  <c r="AV417" i="11"/>
  <c r="AV420" i="11"/>
  <c r="AV418" i="11"/>
  <c r="AV419" i="11"/>
  <c r="AV421" i="11"/>
  <c r="AV11" i="11"/>
  <c r="AV2" i="11"/>
  <c r="AV3" i="11"/>
  <c r="AV4" i="11"/>
  <c r="AV5" i="11"/>
  <c r="AV6" i="11"/>
  <c r="AV8" i="11"/>
  <c r="AV9" i="11"/>
  <c r="AV7" i="11"/>
  <c r="AW417" i="11"/>
  <c r="AW420" i="11"/>
  <c r="AW418" i="11"/>
  <c r="AW419" i="11"/>
  <c r="AW421" i="11"/>
  <c r="AW11" i="11"/>
  <c r="AW2" i="11"/>
  <c r="AW3" i="11"/>
  <c r="AW4" i="11"/>
  <c r="AW5" i="11"/>
  <c r="AW6" i="11"/>
  <c r="AW8" i="11"/>
  <c r="AW9" i="11"/>
  <c r="AW7" i="11"/>
  <c r="AX417" i="11"/>
  <c r="AX420" i="11"/>
  <c r="AX418" i="11"/>
  <c r="AX419" i="11"/>
  <c r="AX421" i="11"/>
  <c r="AX11" i="11"/>
  <c r="AX2" i="11"/>
  <c r="AX3" i="11"/>
  <c r="AX4" i="11"/>
  <c r="AX5" i="11"/>
  <c r="AX6" i="11"/>
  <c r="AX8" i="11"/>
  <c r="AX9" i="11"/>
  <c r="AX7" i="11"/>
  <c r="J416" i="11"/>
  <c r="AV416" i="11"/>
  <c r="AW416" i="11"/>
  <c r="AX416" i="11"/>
  <c r="J681" i="11"/>
  <c r="AV681" i="11"/>
  <c r="AW681" i="11"/>
  <c r="AX681" i="11"/>
  <c r="J677" i="11"/>
  <c r="AV677" i="11"/>
  <c r="AW677" i="11"/>
  <c r="AX677" i="11"/>
  <c r="J676" i="11"/>
  <c r="AV676" i="11"/>
  <c r="AW676" i="11"/>
  <c r="AX676" i="11"/>
  <c r="J680" i="11"/>
  <c r="AV680" i="11"/>
  <c r="AW680" i="11"/>
  <c r="AX680" i="11"/>
  <c r="J671" i="11"/>
  <c r="AV671" i="11"/>
  <c r="AW671" i="11"/>
  <c r="AX671" i="11"/>
  <c r="J675" i="11"/>
  <c r="AV675" i="11"/>
  <c r="AW675" i="11"/>
  <c r="AX675" i="11"/>
  <c r="J678" i="11"/>
  <c r="AV678" i="11"/>
  <c r="AW678" i="11"/>
  <c r="AX678" i="11"/>
  <c r="J673" i="11"/>
  <c r="AV673" i="11"/>
  <c r="AW673" i="11"/>
  <c r="AX673" i="11"/>
  <c r="J682" i="11"/>
  <c r="AV682" i="11"/>
  <c r="AW682" i="11"/>
  <c r="AX682" i="11"/>
  <c r="J674" i="11"/>
  <c r="AV674" i="11"/>
  <c r="AW674" i="11"/>
  <c r="AX674" i="11"/>
  <c r="J672" i="11"/>
  <c r="AV672" i="11"/>
  <c r="AW672" i="11"/>
  <c r="AX672" i="11"/>
  <c r="J679" i="11"/>
  <c r="AV679" i="11"/>
  <c r="AW679" i="11"/>
  <c r="AX679" i="11"/>
  <c r="J931" i="11"/>
  <c r="AV931" i="11"/>
  <c r="AW931" i="11"/>
  <c r="AX931" i="11"/>
  <c r="J930" i="11"/>
  <c r="AV930" i="11"/>
  <c r="AW930" i="11"/>
  <c r="AX930" i="11"/>
  <c r="J929" i="11"/>
  <c r="AV929" i="11"/>
  <c r="AW929" i="11"/>
  <c r="AX929" i="11"/>
  <c r="J918" i="11"/>
  <c r="AV918" i="11"/>
  <c r="AW918" i="11"/>
  <c r="AX918" i="11"/>
  <c r="J917" i="11"/>
  <c r="AV917" i="11"/>
  <c r="AW917" i="11"/>
  <c r="AX917" i="11"/>
  <c r="J877" i="11"/>
  <c r="AV877" i="11"/>
  <c r="AW877" i="11"/>
  <c r="AX877" i="11"/>
  <c r="J876" i="11"/>
  <c r="AV876" i="11"/>
  <c r="AW876" i="11"/>
  <c r="AX876" i="11"/>
  <c r="J862" i="11"/>
  <c r="AV862" i="11"/>
  <c r="AW862" i="11"/>
  <c r="AX862" i="11"/>
  <c r="J861" i="11"/>
  <c r="AV861" i="11"/>
  <c r="AW861" i="11"/>
  <c r="AX861" i="11"/>
  <c r="J928" i="11"/>
  <c r="AV928" i="11"/>
  <c r="AW928" i="11"/>
  <c r="AX928" i="11"/>
  <c r="J927" i="11"/>
  <c r="AV927" i="11"/>
  <c r="AW927" i="11"/>
  <c r="AX927" i="11"/>
  <c r="J926" i="11"/>
  <c r="AV926" i="11"/>
  <c r="AW926" i="11"/>
  <c r="AX926" i="11"/>
  <c r="J925" i="11"/>
  <c r="AV925" i="11"/>
  <c r="AW925" i="11"/>
  <c r="AX925" i="11"/>
  <c r="J924" i="11"/>
  <c r="AV924" i="11"/>
  <c r="AW924" i="11"/>
  <c r="AX924" i="11"/>
  <c r="J923" i="11"/>
  <c r="AV923" i="11"/>
  <c r="AW923" i="11"/>
  <c r="AX923" i="11"/>
  <c r="J922" i="11"/>
  <c r="AV922" i="11"/>
  <c r="AW922" i="11"/>
  <c r="AX922" i="11"/>
  <c r="J921" i="11"/>
  <c r="AV921" i="11"/>
  <c r="AW921" i="11"/>
  <c r="AX921" i="11"/>
  <c r="J920" i="11"/>
  <c r="AV920" i="11"/>
  <c r="AW920" i="11"/>
  <c r="AX920" i="11"/>
  <c r="J919" i="11"/>
  <c r="AV919" i="11"/>
  <c r="AW919" i="11"/>
  <c r="AX919" i="11"/>
  <c r="J916" i="11"/>
  <c r="AV916" i="11"/>
  <c r="AW916" i="11"/>
  <c r="AX916" i="11"/>
  <c r="J915" i="11"/>
  <c r="AV915" i="11"/>
  <c r="AW915" i="11"/>
  <c r="AX915" i="11"/>
  <c r="J914" i="11"/>
  <c r="AV914" i="11"/>
  <c r="AW914" i="11"/>
  <c r="AX914" i="11"/>
  <c r="J913" i="11"/>
  <c r="AV913" i="11"/>
  <c r="AW913" i="11"/>
  <c r="AX913" i="11"/>
  <c r="J912" i="11"/>
  <c r="AV912" i="11"/>
  <c r="AW912" i="11"/>
  <c r="AX912" i="11"/>
  <c r="J911" i="11"/>
  <c r="AV911" i="11"/>
  <c r="AW911" i="11"/>
  <c r="AX911" i="11"/>
  <c r="J910" i="11"/>
  <c r="AV910" i="11"/>
  <c r="AW910" i="11"/>
  <c r="AX910" i="11"/>
  <c r="J909" i="11"/>
  <c r="AV909" i="11"/>
  <c r="AW909" i="11"/>
  <c r="AX909" i="11"/>
  <c r="J908" i="11"/>
  <c r="AV908" i="11"/>
  <c r="AW908" i="11"/>
  <c r="AX908" i="11"/>
  <c r="J907" i="11"/>
  <c r="AV907" i="11"/>
  <c r="AW907" i="11"/>
  <c r="AX907" i="11"/>
  <c r="J906" i="11"/>
  <c r="AV906" i="11"/>
  <c r="AW906" i="11"/>
  <c r="AX906" i="11"/>
  <c r="J905" i="11"/>
  <c r="AV905" i="11"/>
  <c r="AW905" i="11"/>
  <c r="AX905" i="11"/>
  <c r="J904" i="11"/>
  <c r="AV904" i="11"/>
  <c r="AW904" i="11"/>
  <c r="AX904" i="11"/>
  <c r="J903" i="11"/>
  <c r="AV903" i="11"/>
  <c r="AW903" i="11"/>
  <c r="AX903" i="11"/>
  <c r="J902" i="11"/>
  <c r="AV902" i="11"/>
  <c r="AW902" i="11"/>
  <c r="AX902" i="11"/>
  <c r="J901" i="11"/>
  <c r="AV901" i="11"/>
  <c r="AW901" i="11"/>
  <c r="AX901" i="11"/>
  <c r="J900" i="11"/>
  <c r="AV900" i="11"/>
  <c r="AW900" i="11"/>
  <c r="AX900" i="11"/>
  <c r="J899" i="11"/>
  <c r="AV899" i="11"/>
  <c r="AW899" i="11"/>
  <c r="AX899" i="11"/>
  <c r="J896" i="11"/>
  <c r="AV896" i="11"/>
  <c r="AW896" i="11"/>
  <c r="AX896" i="11"/>
  <c r="J895" i="11"/>
  <c r="AV895" i="11"/>
  <c r="AW895" i="11"/>
  <c r="AX895" i="11"/>
  <c r="J898" i="11"/>
  <c r="AV898" i="11"/>
  <c r="AW898" i="11"/>
  <c r="AX898" i="11"/>
  <c r="J897" i="11"/>
  <c r="AV897" i="11"/>
  <c r="AW897" i="11"/>
  <c r="AX897" i="11"/>
  <c r="J894" i="11"/>
  <c r="AV894" i="11"/>
  <c r="AW894" i="11"/>
  <c r="AX894" i="11"/>
  <c r="J893" i="11"/>
  <c r="AV893" i="11"/>
  <c r="AW893" i="11"/>
  <c r="AX893" i="11"/>
  <c r="J892" i="11"/>
  <c r="AV892" i="11"/>
  <c r="AW892" i="11"/>
  <c r="AX892" i="11"/>
  <c r="J891" i="11"/>
  <c r="AV891" i="11"/>
  <c r="AW891" i="11"/>
  <c r="AX891" i="11"/>
  <c r="J890" i="11"/>
  <c r="AV890" i="11"/>
  <c r="AW890" i="11"/>
  <c r="AX890" i="11"/>
  <c r="J889" i="11"/>
  <c r="AV889" i="11"/>
  <c r="AW889" i="11"/>
  <c r="AX889" i="11"/>
  <c r="J888" i="11"/>
  <c r="AV888" i="11"/>
  <c r="AW888" i="11"/>
  <c r="AX888" i="11"/>
  <c r="J887" i="11"/>
  <c r="AV887" i="11"/>
  <c r="AW887" i="11"/>
  <c r="AX887" i="11"/>
  <c r="J882" i="11"/>
  <c r="AV882" i="11"/>
  <c r="AW882" i="11"/>
  <c r="AX882" i="11"/>
  <c r="J881" i="11"/>
  <c r="AV881" i="11"/>
  <c r="AW881" i="11"/>
  <c r="AX881" i="11"/>
  <c r="J886" i="11"/>
  <c r="AV886" i="11"/>
  <c r="AW886" i="11"/>
  <c r="AX886" i="11"/>
  <c r="J885" i="11"/>
  <c r="AV885" i="11"/>
  <c r="AW885" i="11"/>
  <c r="AX885" i="11"/>
  <c r="J884" i="11"/>
  <c r="AV884" i="11"/>
  <c r="AW884" i="11"/>
  <c r="AX884" i="11"/>
  <c r="J883" i="11"/>
  <c r="AV883" i="11"/>
  <c r="AW883" i="11"/>
  <c r="AX883" i="11"/>
  <c r="J880" i="11"/>
  <c r="AV880" i="11"/>
  <c r="AW880" i="11"/>
  <c r="AX880" i="11"/>
  <c r="J879" i="11"/>
  <c r="AV879" i="11"/>
  <c r="AW879" i="11"/>
  <c r="AX879" i="11"/>
  <c r="J878" i="11"/>
  <c r="AV878" i="11"/>
  <c r="AW878" i="11"/>
  <c r="AX878" i="11"/>
  <c r="J875" i="11"/>
  <c r="AV875" i="11"/>
  <c r="AW875" i="11"/>
  <c r="AX875" i="11"/>
  <c r="J873" i="11"/>
  <c r="AV873" i="11"/>
  <c r="AW873" i="11"/>
  <c r="AX873" i="11"/>
  <c r="J874" i="11"/>
  <c r="AV874" i="11"/>
  <c r="AW874" i="11"/>
  <c r="AX874" i="11"/>
  <c r="J872" i="11"/>
  <c r="AV872" i="11"/>
  <c r="AW872" i="11"/>
  <c r="AX872" i="11"/>
  <c r="J871" i="11"/>
  <c r="AV871" i="11"/>
  <c r="AW871" i="11"/>
  <c r="AX871" i="11"/>
  <c r="J870" i="11"/>
  <c r="AV870" i="11"/>
  <c r="AW870" i="11"/>
  <c r="AX870" i="11"/>
  <c r="J869" i="11"/>
  <c r="AV869" i="11"/>
  <c r="AW869" i="11"/>
  <c r="AX869" i="11"/>
  <c r="J868" i="11"/>
  <c r="AV868" i="11"/>
  <c r="AW868" i="11"/>
  <c r="AX868" i="11"/>
  <c r="J866" i="11"/>
  <c r="AV866" i="11"/>
  <c r="AW866" i="11"/>
  <c r="AX866" i="11"/>
  <c r="J865" i="11"/>
  <c r="AV865" i="11"/>
  <c r="AW865" i="11"/>
  <c r="AX865" i="11"/>
  <c r="J864" i="11"/>
  <c r="AV864" i="11"/>
  <c r="AW864" i="11"/>
  <c r="AX864" i="11"/>
  <c r="J863" i="11"/>
  <c r="AV863" i="11"/>
  <c r="AW863" i="11"/>
  <c r="AX863" i="11"/>
  <c r="J859" i="11"/>
  <c r="AV859" i="11"/>
  <c r="AW859" i="11"/>
  <c r="AX859" i="11"/>
  <c r="J860" i="11"/>
  <c r="AV860" i="11"/>
  <c r="AW860" i="11"/>
  <c r="AX860" i="11"/>
  <c r="J448" i="11"/>
  <c r="AV448" i="11"/>
  <c r="AW448" i="11"/>
  <c r="AX448" i="11"/>
  <c r="J447" i="11"/>
  <c r="AV447" i="11"/>
  <c r="AW447" i="11"/>
  <c r="AX447" i="11"/>
  <c r="J446" i="11"/>
  <c r="AV446" i="11"/>
  <c r="AW446" i="11"/>
  <c r="AX446" i="11"/>
  <c r="J444" i="11"/>
  <c r="AV444" i="11"/>
  <c r="AW444" i="11"/>
  <c r="AX444" i="11"/>
  <c r="J443" i="11"/>
  <c r="AV443" i="11"/>
  <c r="AW443" i="11"/>
  <c r="AX443" i="11"/>
  <c r="J442" i="11"/>
  <c r="AV442" i="11"/>
  <c r="AW442" i="11"/>
  <c r="AX442" i="11"/>
  <c r="J450" i="11"/>
  <c r="AV450" i="11"/>
  <c r="AW450" i="11"/>
  <c r="AX450" i="11"/>
  <c r="J449" i="11"/>
  <c r="AV449" i="11"/>
  <c r="AW449" i="11"/>
  <c r="AX449" i="11"/>
  <c r="J608" i="11"/>
  <c r="AV608" i="11"/>
  <c r="AW608" i="11"/>
  <c r="AX608" i="11"/>
  <c r="J609" i="11"/>
  <c r="AV609" i="11"/>
  <c r="AW609" i="11"/>
  <c r="AX609" i="11"/>
  <c r="J607" i="11"/>
  <c r="AV607" i="11"/>
  <c r="AW607" i="11"/>
  <c r="AX607" i="11"/>
  <c r="J606" i="11"/>
  <c r="AV606" i="11"/>
  <c r="AW606" i="11"/>
  <c r="AX606" i="11"/>
  <c r="J602" i="11"/>
  <c r="AV602" i="11"/>
  <c r="AW602" i="11"/>
  <c r="AX602" i="11"/>
  <c r="J603" i="11"/>
  <c r="AV603" i="11"/>
  <c r="AW603" i="11"/>
  <c r="AX603" i="11"/>
  <c r="J601" i="11"/>
  <c r="AV601" i="11"/>
  <c r="AW601" i="11"/>
  <c r="AX601" i="11"/>
  <c r="J604" i="11"/>
  <c r="AV604" i="11"/>
  <c r="AW604" i="11"/>
  <c r="AX604" i="11"/>
  <c r="J605" i="11"/>
  <c r="AV605" i="11"/>
  <c r="AW605" i="11"/>
  <c r="AX605" i="11"/>
  <c r="J599" i="11"/>
  <c r="AV599" i="11"/>
  <c r="AW599" i="11"/>
  <c r="AX599" i="11"/>
  <c r="J600" i="11"/>
  <c r="AV600" i="11"/>
  <c r="AW600" i="11"/>
  <c r="AX600" i="11"/>
  <c r="J29" i="11"/>
  <c r="AV29" i="11"/>
  <c r="AW29" i="11"/>
  <c r="AX29" i="11"/>
  <c r="J28" i="11"/>
  <c r="AV28" i="11"/>
  <c r="AW28" i="11"/>
  <c r="AX28" i="11"/>
  <c r="J21" i="11"/>
  <c r="AV21" i="11"/>
  <c r="AW21" i="11"/>
  <c r="AX21" i="11"/>
  <c r="J19" i="11"/>
  <c r="AV19" i="11"/>
  <c r="AW19" i="11"/>
  <c r="AX19" i="11"/>
  <c r="J25" i="11"/>
  <c r="AV25" i="11"/>
  <c r="AW25" i="11"/>
  <c r="AX25" i="11"/>
  <c r="J26" i="11"/>
  <c r="AV26" i="11"/>
  <c r="AW26" i="11"/>
  <c r="AX26" i="11"/>
  <c r="J22" i="11"/>
  <c r="AV22" i="11"/>
  <c r="AW22" i="11"/>
  <c r="AX22" i="11"/>
  <c r="J20" i="11"/>
  <c r="AV20" i="11"/>
  <c r="AW20" i="11"/>
  <c r="AX20" i="11"/>
  <c r="J23" i="11"/>
  <c r="AV23" i="11"/>
  <c r="AW23" i="11"/>
  <c r="AX23" i="11"/>
  <c r="J27" i="11"/>
  <c r="AV27" i="11"/>
  <c r="AW27" i="11"/>
  <c r="AX27" i="11"/>
  <c r="J24" i="11"/>
  <c r="AV24" i="11"/>
  <c r="AW24" i="11"/>
  <c r="AX24" i="11"/>
  <c r="J434" i="11"/>
  <c r="AV434" i="11"/>
  <c r="AW434" i="11"/>
  <c r="AX434" i="11"/>
  <c r="J433" i="11"/>
  <c r="AV433" i="11"/>
  <c r="AW433" i="11"/>
  <c r="AX433" i="11"/>
  <c r="J431" i="11"/>
  <c r="AV431" i="11"/>
  <c r="AW431" i="11"/>
  <c r="AX431" i="11"/>
  <c r="J432" i="11"/>
  <c r="AV432" i="11"/>
  <c r="AW432" i="11"/>
  <c r="AX432" i="11"/>
  <c r="J440" i="11"/>
  <c r="AV440" i="11"/>
  <c r="AW440" i="11"/>
  <c r="AX440" i="11"/>
  <c r="J436" i="11"/>
  <c r="AV436" i="11"/>
  <c r="AW436" i="11"/>
  <c r="AX436" i="11"/>
  <c r="J435" i="11"/>
  <c r="AV435" i="11"/>
  <c r="AW435" i="11"/>
  <c r="AX435" i="11"/>
  <c r="J441" i="11"/>
  <c r="AV441" i="11"/>
  <c r="AW441" i="11"/>
  <c r="AX441" i="11"/>
  <c r="J430" i="11"/>
  <c r="AV430" i="11"/>
  <c r="AW430" i="11"/>
  <c r="AX430" i="11"/>
  <c r="J429" i="11"/>
  <c r="AV429" i="11"/>
  <c r="AW429" i="11"/>
  <c r="AX429" i="11"/>
  <c r="J428" i="11"/>
  <c r="AV428" i="11"/>
  <c r="AW428" i="11"/>
  <c r="AX428" i="11"/>
  <c r="J426" i="11"/>
  <c r="AV426" i="11"/>
  <c r="AW426" i="11"/>
  <c r="AX426" i="11"/>
  <c r="J427" i="11"/>
  <c r="AV427" i="11"/>
  <c r="AW427" i="11"/>
  <c r="AX427" i="11"/>
  <c r="J425" i="11"/>
  <c r="AV425" i="11"/>
  <c r="AW425" i="11"/>
  <c r="AX425" i="11"/>
  <c r="J424" i="11"/>
  <c r="AV424" i="11"/>
  <c r="AW424" i="11"/>
  <c r="AX424" i="11"/>
  <c r="J423" i="11"/>
  <c r="AV423" i="11"/>
  <c r="AW423" i="11"/>
  <c r="AX423" i="11"/>
  <c r="J422" i="11"/>
  <c r="AV422" i="11"/>
  <c r="AW422" i="11"/>
  <c r="AX422" i="11"/>
  <c r="J437" i="11"/>
  <c r="AV437" i="11"/>
  <c r="AW437" i="11"/>
  <c r="AX437" i="11"/>
  <c r="J438" i="11"/>
  <c r="AV438" i="11"/>
  <c r="AW438" i="11"/>
  <c r="AX438" i="11"/>
  <c r="J439" i="11"/>
  <c r="AV439" i="11"/>
  <c r="AW439" i="11"/>
  <c r="AX439" i="11"/>
  <c r="J812" i="11"/>
  <c r="AV812" i="11"/>
  <c r="AW812" i="11"/>
  <c r="AX812" i="11"/>
  <c r="J811" i="11"/>
  <c r="AV811" i="11"/>
  <c r="AW811" i="11"/>
  <c r="AX811" i="11"/>
  <c r="J858" i="11"/>
  <c r="AV858" i="11"/>
  <c r="AW858" i="11"/>
  <c r="AX858" i="11"/>
  <c r="J857" i="11"/>
  <c r="AV857" i="11"/>
  <c r="AW857" i="11"/>
  <c r="AX857" i="11"/>
  <c r="J856" i="11"/>
  <c r="AV856" i="11"/>
  <c r="AW856" i="11"/>
  <c r="AX856" i="11"/>
  <c r="J853" i="11"/>
  <c r="AV853" i="11"/>
  <c r="AW853" i="11"/>
  <c r="AX853" i="11"/>
  <c r="J852" i="11"/>
  <c r="AV852" i="11"/>
  <c r="AW852" i="11"/>
  <c r="AX852" i="11"/>
  <c r="J851" i="11"/>
  <c r="AV851" i="11"/>
  <c r="AW851" i="11"/>
  <c r="AX851" i="11"/>
  <c r="J850" i="11"/>
  <c r="AV850" i="11"/>
  <c r="AW850" i="11"/>
  <c r="AX850" i="11"/>
  <c r="J849" i="11"/>
  <c r="AV849" i="11"/>
  <c r="AW849" i="11"/>
  <c r="AX849" i="11"/>
  <c r="J847" i="11"/>
  <c r="AV847" i="11"/>
  <c r="AW847" i="11"/>
  <c r="AX847" i="11"/>
  <c r="J844" i="11"/>
  <c r="AV844" i="11"/>
  <c r="AW844" i="11"/>
  <c r="AX844" i="11"/>
  <c r="J833" i="11"/>
  <c r="AV833" i="11"/>
  <c r="AW833" i="11"/>
  <c r="AX833" i="11"/>
  <c r="J837" i="11"/>
  <c r="AV837" i="11"/>
  <c r="AW837" i="11"/>
  <c r="AX837" i="11"/>
  <c r="J836" i="11"/>
  <c r="AV836" i="11"/>
  <c r="AW836" i="11"/>
  <c r="AX836" i="11"/>
  <c r="J841" i="11"/>
  <c r="AV841" i="11"/>
  <c r="AW841" i="11"/>
  <c r="AX841" i="11"/>
  <c r="J839" i="11"/>
  <c r="AV839" i="11"/>
  <c r="AW839" i="11"/>
  <c r="AX839" i="11"/>
  <c r="J835" i="11"/>
  <c r="AV835" i="11"/>
  <c r="AW835" i="11"/>
  <c r="AX835" i="11"/>
  <c r="J832" i="11"/>
  <c r="AV832" i="11"/>
  <c r="AW832" i="11"/>
  <c r="AX832" i="11"/>
  <c r="J840" i="11"/>
  <c r="AV840" i="11"/>
  <c r="AW840" i="11"/>
  <c r="AX840" i="11"/>
  <c r="J838" i="11"/>
  <c r="AV838" i="11"/>
  <c r="AW838" i="11"/>
  <c r="AX838" i="11"/>
  <c r="J834" i="11"/>
  <c r="AV834" i="11"/>
  <c r="AW834" i="11"/>
  <c r="AX834" i="11"/>
  <c r="J831" i="11"/>
  <c r="AV831" i="11"/>
  <c r="AW831" i="11"/>
  <c r="AX831" i="11"/>
  <c r="AX830" i="11"/>
  <c r="AW830" i="11"/>
  <c r="AV830" i="11"/>
  <c r="J830" i="11"/>
  <c r="AX822" i="11"/>
  <c r="AW822" i="11"/>
  <c r="AV822" i="11"/>
  <c r="J822" i="11"/>
  <c r="AX821" i="11"/>
  <c r="AW821" i="11"/>
  <c r="AV821" i="11"/>
  <c r="J821" i="11"/>
  <c r="AX819" i="11"/>
  <c r="AW819" i="11"/>
  <c r="AV819" i="11"/>
  <c r="J819" i="11"/>
  <c r="AX816" i="11"/>
  <c r="AW816" i="11"/>
  <c r="AV816" i="11"/>
  <c r="J816" i="11"/>
  <c r="AX814" i="11"/>
  <c r="AW814" i="11"/>
  <c r="AV814" i="11"/>
  <c r="J814" i="11"/>
  <c r="AX808" i="11"/>
  <c r="AW808" i="11"/>
  <c r="AV808" i="11"/>
  <c r="J808" i="11"/>
  <c r="AX810" i="11"/>
  <c r="AW810" i="11"/>
  <c r="AV810" i="11"/>
  <c r="J810" i="11"/>
  <c r="AX806" i="11"/>
  <c r="AW806" i="11"/>
  <c r="AV806" i="11"/>
  <c r="J806" i="11"/>
  <c r="AX804" i="11"/>
  <c r="AW804" i="11"/>
  <c r="AV804" i="11"/>
  <c r="J804" i="11"/>
  <c r="AX800" i="11"/>
  <c r="AW800" i="11"/>
  <c r="AV800" i="11"/>
  <c r="J800" i="11"/>
  <c r="AX802" i="11"/>
  <c r="AW802" i="11"/>
  <c r="AV802" i="11"/>
  <c r="J802" i="11"/>
  <c r="AX799" i="11"/>
  <c r="AW799" i="11"/>
  <c r="AV799" i="11"/>
  <c r="J799" i="11"/>
  <c r="AX796" i="11"/>
  <c r="AW796" i="11"/>
  <c r="AV796" i="11"/>
  <c r="J796" i="11"/>
  <c r="AX797" i="11"/>
  <c r="AW797" i="11"/>
  <c r="AV797" i="11"/>
  <c r="J797" i="11"/>
  <c r="J848" i="11"/>
  <c r="AV848" i="11"/>
  <c r="AW848" i="11"/>
  <c r="AX848" i="11"/>
  <c r="J855" i="11"/>
  <c r="AV855" i="11"/>
  <c r="AW855" i="11"/>
  <c r="AX855" i="11"/>
  <c r="J807" i="11"/>
  <c r="AV807" i="11"/>
  <c r="AW807" i="11"/>
  <c r="AX807" i="11"/>
  <c r="J820" i="11"/>
  <c r="AV820" i="11"/>
  <c r="AW820" i="11"/>
  <c r="AX820" i="11"/>
  <c r="J805" i="11"/>
  <c r="AV805" i="11"/>
  <c r="AW805" i="11"/>
  <c r="AX805" i="11"/>
  <c r="J809" i="11"/>
  <c r="AV809" i="11"/>
  <c r="AW809" i="11"/>
  <c r="AX809" i="11"/>
  <c r="J815" i="11"/>
  <c r="AV815" i="11"/>
  <c r="AW815" i="11"/>
  <c r="AX815" i="11"/>
  <c r="J813" i="11"/>
  <c r="AV813" i="11"/>
  <c r="AW813" i="11"/>
  <c r="AX813" i="11"/>
  <c r="J842" i="11"/>
  <c r="AV842" i="11"/>
  <c r="AW842" i="11"/>
  <c r="AX842" i="11"/>
  <c r="J843" i="11"/>
  <c r="AV843" i="11"/>
  <c r="AW843" i="11"/>
  <c r="AX843" i="11"/>
  <c r="J846" i="11"/>
  <c r="AV846" i="11"/>
  <c r="AW846" i="11"/>
  <c r="AX846" i="11"/>
  <c r="J854" i="11"/>
  <c r="AV854" i="11"/>
  <c r="AW854" i="11"/>
  <c r="AX854" i="11"/>
  <c r="J827" i="11"/>
  <c r="AV827" i="11"/>
  <c r="AW827" i="11"/>
  <c r="AX827" i="11"/>
  <c r="J801" i="11"/>
  <c r="AV801" i="11"/>
  <c r="AW801" i="11"/>
  <c r="AX801" i="11"/>
  <c r="J828" i="11"/>
  <c r="AV828" i="11"/>
  <c r="AW828" i="11"/>
  <c r="AX828" i="11"/>
  <c r="J845" i="11"/>
  <c r="AV845" i="11"/>
  <c r="AW845" i="11"/>
  <c r="AX845" i="11"/>
  <c r="J798" i="11"/>
  <c r="AV798" i="11"/>
  <c r="AW798" i="11"/>
  <c r="AX798" i="11"/>
  <c r="J818" i="11"/>
  <c r="AV818" i="11"/>
  <c r="AW818" i="11"/>
  <c r="AX818" i="11"/>
  <c r="J817" i="11"/>
  <c r="AV817" i="11"/>
  <c r="AW817" i="11"/>
  <c r="AX817" i="11"/>
  <c r="J803" i="11"/>
  <c r="AV803" i="11"/>
  <c r="AW803" i="11"/>
  <c r="AX803" i="11"/>
  <c r="J825" i="11"/>
  <c r="AV825" i="11"/>
  <c r="AW825" i="11"/>
  <c r="AX825" i="11"/>
  <c r="J823" i="11"/>
  <c r="AV823" i="11"/>
  <c r="AW823" i="11"/>
  <c r="AX823" i="11"/>
  <c r="J829" i="11"/>
  <c r="AV829" i="11"/>
  <c r="AW829" i="11"/>
  <c r="AX829" i="11"/>
  <c r="J824" i="11"/>
  <c r="AV824" i="11"/>
  <c r="AW824" i="11"/>
  <c r="AX824" i="11"/>
  <c r="J826" i="11"/>
  <c r="AV826" i="11"/>
  <c r="AW826" i="11"/>
  <c r="AX826" i="11"/>
  <c r="J597" i="11"/>
  <c r="AV597" i="11"/>
  <c r="AW597" i="11"/>
  <c r="AX597" i="11"/>
  <c r="J598" i="11"/>
  <c r="AV598" i="11"/>
  <c r="AW598" i="11"/>
  <c r="AX598" i="11"/>
  <c r="J595" i="11"/>
  <c r="AV595" i="11"/>
  <c r="AW595" i="11"/>
  <c r="AX595" i="11"/>
  <c r="J596" i="11"/>
  <c r="AV596" i="11"/>
  <c r="AW596" i="11"/>
  <c r="AX596" i="11"/>
  <c r="J593" i="11"/>
  <c r="AV593" i="11"/>
  <c r="AW593" i="11"/>
  <c r="AX593" i="11"/>
  <c r="J592" i="11"/>
  <c r="AV592" i="11"/>
  <c r="AW592" i="11"/>
  <c r="AX592" i="11"/>
  <c r="J594" i="11"/>
  <c r="AV594" i="11"/>
  <c r="AW594" i="11"/>
  <c r="AX594" i="11"/>
  <c r="J590" i="11"/>
  <c r="AV590" i="11"/>
  <c r="AW590" i="11"/>
  <c r="AX590" i="11"/>
  <c r="J591" i="11"/>
  <c r="AV591" i="11"/>
  <c r="AW591" i="11"/>
  <c r="AX591" i="11"/>
  <c r="AX31" i="11"/>
  <c r="AX483" i="11"/>
  <c r="AX32" i="11"/>
  <c r="AX255" i="11"/>
  <c r="AX326" i="11"/>
  <c r="AX484" i="11"/>
  <c r="AX517" i="11"/>
  <c r="AX733" i="11"/>
  <c r="AX33" i="11"/>
  <c r="AX34" i="11"/>
  <c r="AX327" i="11"/>
  <c r="AX683" i="11"/>
  <c r="AX35" i="11"/>
  <c r="AX485" i="11"/>
  <c r="AX36" i="11"/>
  <c r="AX256" i="11"/>
  <c r="AX328" i="11"/>
  <c r="AX486" i="11"/>
  <c r="AX518" i="11"/>
  <c r="AX684" i="11"/>
  <c r="AX734" i="11"/>
  <c r="AX786" i="11"/>
  <c r="AX37" i="11"/>
  <c r="AX487" i="11"/>
  <c r="AX38" i="11"/>
  <c r="AX257" i="11"/>
  <c r="AX329" i="11"/>
  <c r="AX488" i="11"/>
  <c r="AX519" i="11"/>
  <c r="AX735" i="11"/>
  <c r="AX787" i="11"/>
  <c r="AX39" i="11"/>
  <c r="AX40" i="11"/>
  <c r="AX258" i="11"/>
  <c r="AX330" i="11"/>
  <c r="AX736" i="11"/>
  <c r="AX41" i="11"/>
  <c r="AX42" i="11"/>
  <c r="AX259" i="11"/>
  <c r="AX331" i="11"/>
  <c r="AX737" i="11"/>
  <c r="AX43" i="11"/>
  <c r="AX44" i="11"/>
  <c r="AX260" i="11"/>
  <c r="AX332" i="11"/>
  <c r="AX685" i="11"/>
  <c r="AX738" i="11"/>
  <c r="AX788" i="11"/>
  <c r="AX45" i="11"/>
  <c r="AX333" i="11"/>
  <c r="AX686" i="11"/>
  <c r="AX46" i="11"/>
  <c r="AX47" i="11"/>
  <c r="AX261" i="11"/>
  <c r="AX334" i="11"/>
  <c r="AX48" i="11"/>
  <c r="AX335" i="11"/>
  <c r="AX687" i="11"/>
  <c r="AX49" i="11"/>
  <c r="AX336" i="11"/>
  <c r="AX688" i="11"/>
  <c r="AX50" i="11"/>
  <c r="AX51" i="11"/>
  <c r="AX262" i="11"/>
  <c r="AX337" i="11"/>
  <c r="AX445" i="11"/>
  <c r="AX739" i="11"/>
  <c r="AX52" i="11"/>
  <c r="AX338" i="11"/>
  <c r="AX689" i="11"/>
  <c r="AX53" i="11"/>
  <c r="AX690" i="11"/>
  <c r="AX54" i="11"/>
  <c r="AX691" i="11"/>
  <c r="AX55" i="11"/>
  <c r="AX56" i="11"/>
  <c r="AX57" i="11"/>
  <c r="AX58" i="11"/>
  <c r="AX263" i="11"/>
  <c r="AX339" i="11"/>
  <c r="AX59" i="11"/>
  <c r="AX60" i="11"/>
  <c r="AX340" i="11"/>
  <c r="AX692" i="11"/>
  <c r="AX61" i="11"/>
  <c r="AX341" i="11"/>
  <c r="AX489" i="11"/>
  <c r="AX693" i="11"/>
  <c r="AX62" i="11"/>
  <c r="AX490" i="11"/>
  <c r="AX63" i="11"/>
  <c r="AX264" i="11"/>
  <c r="AX342" i="11"/>
  <c r="AX491" i="11"/>
  <c r="AX520" i="11"/>
  <c r="AX631" i="11"/>
  <c r="AX740" i="11"/>
  <c r="AX64" i="11"/>
  <c r="AX694" i="11"/>
  <c r="AX65" i="11"/>
  <c r="AX343" i="11"/>
  <c r="AX695" i="11"/>
  <c r="AX741" i="11"/>
  <c r="AX66" i="11"/>
  <c r="AX696" i="11"/>
  <c r="AX742" i="11"/>
  <c r="AX67" i="11"/>
  <c r="AX344" i="11"/>
  <c r="AX697" i="11"/>
  <c r="AX68" i="11"/>
  <c r="AX698" i="11"/>
  <c r="AX743" i="11"/>
  <c r="AX69" i="11"/>
  <c r="AX265" i="11"/>
  <c r="AX345" i="11"/>
  <c r="AX70" i="11"/>
  <c r="AX492" i="11"/>
  <c r="AX71" i="11"/>
  <c r="AX266" i="11"/>
  <c r="AX346" i="11"/>
  <c r="AX493" i="11"/>
  <c r="AX521" i="11"/>
  <c r="AX632" i="11"/>
  <c r="AX72" i="11"/>
  <c r="AX73" i="11"/>
  <c r="AX267" i="11"/>
  <c r="AX347" i="11"/>
  <c r="AX744" i="11"/>
  <c r="AX74" i="11"/>
  <c r="AX75" i="11"/>
  <c r="AX76" i="11"/>
  <c r="AX77" i="11"/>
  <c r="AX268" i="11"/>
  <c r="AX348" i="11"/>
  <c r="AX78" i="11"/>
  <c r="AX79" i="11"/>
  <c r="AX80" i="11"/>
  <c r="AX81" i="11"/>
  <c r="AX82" i="11"/>
  <c r="AX494" i="11"/>
  <c r="AX83" i="11"/>
  <c r="AX269" i="11"/>
  <c r="AX349" i="11"/>
  <c r="AX495" i="11"/>
  <c r="AX522" i="11"/>
  <c r="AX745" i="11"/>
  <c r="AX789" i="11"/>
  <c r="AX84" i="11"/>
  <c r="AX85" i="11"/>
  <c r="AX270" i="11"/>
  <c r="AX350" i="11"/>
  <c r="AX746" i="11"/>
  <c r="AX86" i="11"/>
  <c r="AX699" i="11"/>
  <c r="AX747" i="11"/>
  <c r="AX87" i="11"/>
  <c r="AX88" i="11"/>
  <c r="AX271" i="11"/>
  <c r="AX351" i="11"/>
  <c r="AX89" i="11"/>
  <c r="AX700" i="11"/>
  <c r="AX748" i="11"/>
  <c r="AX90" i="11"/>
  <c r="AX91" i="11"/>
  <c r="AX701" i="11"/>
  <c r="AX92" i="11"/>
  <c r="AX702" i="11"/>
  <c r="AX93" i="11"/>
  <c r="AX703" i="11"/>
  <c r="AX94" i="11"/>
  <c r="AX95" i="11"/>
  <c r="AX272" i="11"/>
  <c r="AX352" i="11"/>
  <c r="AX96" i="11"/>
  <c r="AX353" i="11"/>
  <c r="AX704" i="11"/>
  <c r="AX749" i="11"/>
  <c r="AX97" i="11"/>
  <c r="AX354" i="11"/>
  <c r="AX705" i="11"/>
  <c r="AX750" i="11"/>
  <c r="AX98" i="11"/>
  <c r="AX99" i="11"/>
  <c r="AX273" i="11"/>
  <c r="AX355" i="11"/>
  <c r="AX751" i="11"/>
  <c r="AX790" i="11"/>
  <c r="AX1020" i="11"/>
  <c r="AX100" i="11"/>
  <c r="AX356" i="11"/>
  <c r="AX706" i="11"/>
  <c r="AX752" i="11"/>
  <c r="AX101" i="11"/>
  <c r="AX357" i="11"/>
  <c r="AX707" i="11"/>
  <c r="AX753" i="11"/>
  <c r="AX102" i="11"/>
  <c r="AX103" i="11"/>
  <c r="AX274" i="11"/>
  <c r="AX358" i="11"/>
  <c r="AX104" i="11"/>
  <c r="AX105" i="11"/>
  <c r="AX275" i="11"/>
  <c r="AX359" i="11"/>
  <c r="AX731" i="11"/>
  <c r="AX754" i="11"/>
  <c r="AX791" i="11"/>
  <c r="AX106" i="11"/>
  <c r="AX276" i="11"/>
  <c r="AX107" i="11"/>
  <c r="AX496" i="11"/>
  <c r="AX108" i="11"/>
  <c r="AX277" i="11"/>
  <c r="AX360" i="11"/>
  <c r="AX523" i="11"/>
  <c r="AX755" i="11"/>
  <c r="AX109" i="11"/>
  <c r="AX497" i="11"/>
  <c r="AX110" i="11"/>
  <c r="AX278" i="11"/>
  <c r="AX361" i="11"/>
  <c r="AX498" i="11"/>
  <c r="AX524" i="11"/>
  <c r="AX633" i="11"/>
  <c r="AX708" i="11"/>
  <c r="AX756" i="11"/>
  <c r="AX792" i="11"/>
  <c r="AX111" i="11"/>
  <c r="AX112" i="11"/>
  <c r="AX279" i="11"/>
  <c r="AX362" i="11"/>
  <c r="AX113" i="11"/>
  <c r="AX114" i="11"/>
  <c r="AX280" i="11"/>
  <c r="AX363" i="11"/>
  <c r="AX115" i="11"/>
  <c r="AX499" i="11"/>
  <c r="AX116" i="11"/>
  <c r="AX281" i="11"/>
  <c r="AX364" i="11"/>
  <c r="AX500" i="11"/>
  <c r="AX525" i="11"/>
  <c r="AX634" i="11"/>
  <c r="AX117" i="11"/>
  <c r="AX118" i="11"/>
  <c r="AX282" i="11"/>
  <c r="AX365" i="11"/>
  <c r="AX635" i="11"/>
  <c r="AX119" i="11"/>
  <c r="AX120" i="11"/>
  <c r="AX283" i="11"/>
  <c r="AX366" i="11"/>
  <c r="AX757" i="11"/>
  <c r="AX121" i="11"/>
  <c r="AX122" i="11"/>
  <c r="AX284" i="11"/>
  <c r="AX367" i="11"/>
  <c r="AX123" i="11"/>
  <c r="AX709" i="11"/>
  <c r="AX124" i="11"/>
  <c r="AX125" i="11"/>
  <c r="AX285" i="11"/>
  <c r="AX368" i="11"/>
  <c r="AX126" i="11"/>
  <c r="AX127" i="11"/>
  <c r="AX286" i="11"/>
  <c r="AX369" i="11"/>
  <c r="AX758" i="11"/>
  <c r="AX128" i="11"/>
  <c r="AX710" i="11"/>
  <c r="AX759" i="11"/>
  <c r="AX760" i="11"/>
  <c r="AX129" i="11"/>
  <c r="AX130" i="11"/>
  <c r="AX287" i="11"/>
  <c r="AX370" i="11"/>
  <c r="AX761" i="11"/>
  <c r="AX762" i="11"/>
  <c r="AX131" i="11"/>
  <c r="AX132" i="11"/>
  <c r="AX288" i="11"/>
  <c r="AX371" i="11"/>
  <c r="AX732" i="11"/>
  <c r="AX133" i="11"/>
  <c r="AX134" i="11"/>
  <c r="AX135" i="11"/>
  <c r="AX136" i="11"/>
  <c r="AX137" i="11"/>
  <c r="AX138" i="11"/>
  <c r="AX289" i="11"/>
  <c r="AX372" i="11"/>
  <c r="AX139" i="11"/>
  <c r="AX140" i="11"/>
  <c r="AX290" i="11"/>
  <c r="AX373" i="11"/>
  <c r="AX141" i="11"/>
  <c r="AX374" i="11"/>
  <c r="AX711" i="11"/>
  <c r="AX142" i="11"/>
  <c r="AX143" i="11"/>
  <c r="AX291" i="11"/>
  <c r="AX375" i="11"/>
  <c r="AX763" i="11"/>
  <c r="AX144" i="11"/>
  <c r="AX145" i="11"/>
  <c r="AX292" i="11"/>
  <c r="AX376" i="11"/>
  <c r="AX712" i="11"/>
  <c r="AX764" i="11"/>
  <c r="AX793" i="11"/>
  <c r="AX146" i="11"/>
  <c r="AX147" i="11"/>
  <c r="AX293" i="11"/>
  <c r="AX377" i="11"/>
  <c r="AX765" i="11"/>
  <c r="AX148" i="11"/>
  <c r="AX149" i="11"/>
  <c r="AX294" i="11"/>
  <c r="AX378" i="11"/>
  <c r="AX150" i="11"/>
  <c r="AX379" i="11"/>
  <c r="AX501" i="11"/>
  <c r="AX713" i="11"/>
  <c r="AX151" i="11"/>
  <c r="AX714" i="11"/>
  <c r="AX152" i="11"/>
  <c r="AX380" i="11"/>
  <c r="AX502" i="11"/>
  <c r="AX715" i="11"/>
  <c r="AX153" i="11"/>
  <c r="AX503" i="11"/>
  <c r="AX154" i="11"/>
  <c r="AX295" i="11"/>
  <c r="AX381" i="11"/>
  <c r="AX526" i="11"/>
  <c r="AX155" i="11"/>
  <c r="AX504" i="11"/>
  <c r="AX156" i="11"/>
  <c r="AX296" i="11"/>
  <c r="AX382" i="11"/>
  <c r="AX505" i="11"/>
  <c r="AX527" i="11"/>
  <c r="AX766" i="11"/>
  <c r="AX794" i="11"/>
  <c r="AX157" i="11"/>
  <c r="AX383" i="11"/>
  <c r="AX716" i="11"/>
  <c r="AX158" i="11"/>
  <c r="AX159" i="11"/>
  <c r="AX506" i="11"/>
  <c r="AX160" i="11"/>
  <c r="AX297" i="11"/>
  <c r="AX384" i="11"/>
  <c r="AX507" i="11"/>
  <c r="AX528" i="11"/>
  <c r="AX767" i="11"/>
  <c r="AX161" i="11"/>
  <c r="AX717" i="11"/>
  <c r="AX162" i="11"/>
  <c r="AX163" i="11"/>
  <c r="AX508" i="11"/>
  <c r="AX164" i="11"/>
  <c r="AX298" i="11"/>
  <c r="AX385" i="11"/>
  <c r="AX509" i="11"/>
  <c r="AX529" i="11"/>
  <c r="AX768" i="11"/>
  <c r="AX165" i="11"/>
  <c r="AX166" i="11"/>
  <c r="AX167" i="11"/>
  <c r="AX299" i="11"/>
  <c r="AX386" i="11"/>
  <c r="AX168" i="11"/>
  <c r="AX169" i="11"/>
  <c r="AX300" i="11"/>
  <c r="AX387" i="11"/>
  <c r="AX769" i="11"/>
  <c r="AX170" i="11"/>
  <c r="AX718" i="11"/>
  <c r="AX171" i="11"/>
  <c r="AX719" i="11"/>
  <c r="AX172" i="11"/>
  <c r="AX720" i="11"/>
  <c r="AX173" i="11"/>
  <c r="AX510" i="11"/>
  <c r="AX174" i="11"/>
  <c r="AX301" i="11"/>
  <c r="AX388" i="11"/>
  <c r="AX511" i="11"/>
  <c r="AX530" i="11"/>
  <c r="AX636" i="11"/>
  <c r="AX770" i="11"/>
  <c r="AX175" i="11"/>
  <c r="AX176" i="11"/>
  <c r="AX177" i="11"/>
  <c r="AX302" i="11"/>
  <c r="AX389" i="11"/>
  <c r="AX178" i="11"/>
  <c r="AX721" i="11"/>
  <c r="AX179" i="11"/>
  <c r="AX180" i="11"/>
  <c r="AX181" i="11"/>
  <c r="AX303" i="11"/>
  <c r="AX390" i="11"/>
  <c r="AX182" i="11"/>
  <c r="AX183" i="11"/>
  <c r="AX304" i="11"/>
  <c r="AX391" i="11"/>
  <c r="AX184" i="11"/>
  <c r="AX512" i="11"/>
  <c r="AX185" i="11"/>
  <c r="AX305" i="11"/>
  <c r="AX392" i="11"/>
  <c r="AX513" i="11"/>
  <c r="AX531" i="11"/>
  <c r="AX771" i="11"/>
  <c r="AX795" i="11"/>
  <c r="AX186" i="11"/>
  <c r="AX306" i="11"/>
  <c r="AX187" i="11"/>
  <c r="AX188" i="11"/>
  <c r="AX189" i="11"/>
  <c r="AX190" i="11"/>
  <c r="AX191" i="11"/>
  <c r="AX192" i="11"/>
  <c r="AX722" i="11"/>
  <c r="AX772" i="11"/>
  <c r="AX193" i="11"/>
  <c r="AX773" i="11"/>
  <c r="AX194" i="11"/>
  <c r="AX514" i="11"/>
  <c r="AX195" i="11"/>
  <c r="AX307" i="11"/>
  <c r="AX393" i="11"/>
  <c r="AX515" i="11"/>
  <c r="AX532" i="11"/>
  <c r="AX196" i="11"/>
  <c r="AX774" i="11"/>
  <c r="AX197" i="11"/>
  <c r="AX775" i="11"/>
  <c r="AX198" i="11"/>
  <c r="AX776" i="11"/>
  <c r="AX199" i="11"/>
  <c r="AX516" i="11"/>
  <c r="AX200" i="11"/>
  <c r="AX308" i="11"/>
  <c r="AX394" i="11"/>
  <c r="AX533" i="11"/>
  <c r="AX201" i="11"/>
  <c r="AX202" i="11"/>
  <c r="AX309" i="11"/>
  <c r="AX395" i="11"/>
  <c r="AX777" i="11"/>
  <c r="AX203" i="11"/>
  <c r="AX204" i="11"/>
  <c r="AX310" i="11"/>
  <c r="AX396" i="11"/>
  <c r="AX205" i="11"/>
  <c r="AX723" i="11"/>
  <c r="AX778" i="11"/>
  <c r="AX206" i="11"/>
  <c r="AX397" i="11"/>
  <c r="AX724" i="11"/>
  <c r="AX779" i="11"/>
  <c r="AX207" i="11"/>
  <c r="AX398" i="11"/>
  <c r="AX780" i="11"/>
  <c r="AX208" i="11"/>
  <c r="AX399" i="11"/>
  <c r="AX725" i="11"/>
  <c r="AX781" i="11"/>
  <c r="AX209" i="11"/>
  <c r="AX400" i="11"/>
  <c r="AX726" i="11"/>
  <c r="AX782" i="11"/>
  <c r="AX210" i="11"/>
  <c r="AX211" i="11"/>
  <c r="AX311" i="11"/>
  <c r="AX401" i="11"/>
  <c r="AX783" i="11"/>
  <c r="AX212" i="11"/>
  <c r="AX213" i="11"/>
  <c r="AX312" i="11"/>
  <c r="AX402" i="11"/>
  <c r="AX214" i="11"/>
  <c r="AX215" i="11"/>
  <c r="AX313" i="11"/>
  <c r="AX403" i="11"/>
  <c r="AX216" i="11"/>
  <c r="AX727" i="11"/>
  <c r="AX217" i="11"/>
  <c r="AX218" i="11"/>
  <c r="AX314" i="11"/>
  <c r="AX404" i="11"/>
  <c r="AX219" i="11"/>
  <c r="AX220" i="11"/>
  <c r="AX221" i="11"/>
  <c r="AX222" i="11"/>
  <c r="AX223" i="11"/>
  <c r="AX315" i="11"/>
  <c r="AX405" i="11"/>
  <c r="AX224" i="11"/>
  <c r="AX225" i="11"/>
  <c r="AX316" i="11"/>
  <c r="AX406" i="11"/>
  <c r="AX784" i="11"/>
  <c r="AX226" i="11"/>
  <c r="AX227" i="11"/>
  <c r="AX228" i="11"/>
  <c r="AX229" i="11"/>
  <c r="AX728" i="11"/>
  <c r="AX230" i="11"/>
  <c r="AX729" i="11"/>
  <c r="AX231" i="11"/>
  <c r="AX232" i="11"/>
  <c r="AX317" i="11"/>
  <c r="AX407" i="11"/>
  <c r="AX233" i="11"/>
  <c r="AX234" i="11"/>
  <c r="AX318" i="11"/>
  <c r="AX408" i="11"/>
  <c r="AX637" i="11"/>
  <c r="AX785" i="11"/>
  <c r="AX235" i="11"/>
  <c r="AX730" i="11"/>
  <c r="AX236" i="11"/>
  <c r="AX319" i="11"/>
  <c r="AX237" i="11"/>
  <c r="AX238" i="11"/>
  <c r="AX320" i="11"/>
  <c r="AX409" i="11"/>
  <c r="AX239" i="11"/>
  <c r="AX240" i="11"/>
  <c r="AX321" i="11"/>
  <c r="AX410" i="11"/>
  <c r="AX241" i="11"/>
  <c r="AX242" i="11"/>
  <c r="AX322" i="11"/>
  <c r="AX411" i="11"/>
  <c r="AX243" i="11"/>
  <c r="AX244" i="11"/>
  <c r="AX323" i="11"/>
  <c r="AX412" i="11"/>
  <c r="AX245" i="11"/>
  <c r="AX246" i="11"/>
  <c r="AX247" i="11"/>
  <c r="AX413" i="11"/>
  <c r="AX248" i="11"/>
  <c r="AX249" i="11"/>
  <c r="AX250" i="11"/>
  <c r="AX324" i="11"/>
  <c r="AX414" i="11"/>
  <c r="AX251" i="11"/>
  <c r="AX252" i="11"/>
  <c r="AX253" i="11"/>
  <c r="AX325" i="11"/>
  <c r="AX415" i="11"/>
  <c r="AX254" i="11"/>
  <c r="AX30" i="11"/>
  <c r="J445" i="11"/>
  <c r="AW445" i="11"/>
  <c r="J1020" i="11"/>
  <c r="AV1020" i="11"/>
  <c r="AW1020" i="11"/>
  <c r="G318" i="11"/>
  <c r="E318" i="11"/>
  <c r="G278" i="11"/>
  <c r="E278" i="11"/>
  <c r="G288" i="11"/>
  <c r="E288" i="11"/>
  <c r="G282" i="11"/>
  <c r="E282" i="11"/>
  <c r="G284" i="11"/>
  <c r="E284" i="11"/>
  <c r="G264" i="11"/>
  <c r="E264" i="11"/>
  <c r="G323" i="11"/>
  <c r="E323" i="11"/>
  <c r="G310" i="11"/>
  <c r="E310" i="11"/>
  <c r="G321" i="11"/>
  <c r="E321" i="11"/>
  <c r="G301" i="11"/>
  <c r="E301" i="11"/>
  <c r="G260" i="11"/>
  <c r="E260" i="11"/>
  <c r="G280" i="11"/>
  <c r="E280" i="11"/>
  <c r="G290" i="11"/>
  <c r="E290" i="11"/>
  <c r="G296" i="11"/>
  <c r="E296" i="11"/>
  <c r="G275" i="11"/>
  <c r="E275" i="11"/>
  <c r="G265" i="11"/>
  <c r="E265" i="11"/>
  <c r="G257" i="11"/>
  <c r="E257" i="11"/>
  <c r="G292" i="11"/>
  <c r="E292" i="11"/>
  <c r="G271" i="11"/>
  <c r="E271" i="11"/>
  <c r="G316" i="11"/>
  <c r="E316" i="11"/>
  <c r="G303" i="11"/>
  <c r="E303" i="11"/>
  <c r="G305" i="11"/>
  <c r="E305" i="11"/>
  <c r="G286" i="11"/>
  <c r="E286" i="11"/>
  <c r="G256" i="11"/>
  <c r="E256" i="11"/>
  <c r="G269" i="11"/>
  <c r="E269" i="11"/>
  <c r="G312" i="11"/>
  <c r="E312" i="11"/>
  <c r="G314" i="11"/>
  <c r="E314" i="11"/>
  <c r="G325" i="11"/>
  <c r="E325" i="11"/>
  <c r="G308" i="11"/>
  <c r="E308" i="11"/>
  <c r="G267" i="11"/>
  <c r="E267" i="11"/>
  <c r="G299" i="11"/>
  <c r="E299" i="11"/>
  <c r="G273" i="11"/>
  <c r="E273" i="11"/>
  <c r="G262" i="11"/>
  <c r="E262" i="11"/>
  <c r="G298" i="11"/>
  <c r="E298" i="11"/>
  <c r="G306" i="11"/>
  <c r="E306" i="11"/>
  <c r="G276" i="11"/>
  <c r="E276" i="11"/>
  <c r="G319" i="11"/>
  <c r="E319" i="11"/>
  <c r="G258" i="11"/>
  <c r="E258" i="11"/>
  <c r="G259" i="11"/>
  <c r="E259" i="11"/>
  <c r="G261" i="11"/>
  <c r="E261" i="11"/>
  <c r="G263" i="11"/>
  <c r="E263" i="11"/>
  <c r="G266" i="11"/>
  <c r="E266" i="11"/>
  <c r="G268" i="11"/>
  <c r="E268" i="11"/>
  <c r="G270" i="11"/>
  <c r="E270" i="11"/>
  <c r="G272" i="11"/>
  <c r="E272" i="11"/>
  <c r="G274" i="11"/>
  <c r="E274" i="11"/>
  <c r="G281" i="11"/>
  <c r="E281" i="11"/>
  <c r="G277" i="11"/>
  <c r="E277" i="11"/>
  <c r="G279" i="11"/>
  <c r="E279" i="11"/>
  <c r="G283" i="11"/>
  <c r="E283" i="11"/>
  <c r="G285" i="11"/>
  <c r="E285" i="11"/>
  <c r="G287" i="11"/>
  <c r="E287" i="11"/>
  <c r="G289" i="11"/>
  <c r="E289" i="11"/>
  <c r="G291" i="11"/>
  <c r="E291" i="11"/>
  <c r="G293" i="11"/>
  <c r="E293" i="11"/>
  <c r="G295" i="11"/>
  <c r="E295" i="11"/>
  <c r="G297" i="11"/>
  <c r="E297" i="11"/>
  <c r="G300" i="11"/>
  <c r="E300" i="11"/>
  <c r="G302" i="11"/>
  <c r="E302" i="11"/>
  <c r="G304" i="11"/>
  <c r="E304" i="11"/>
  <c r="G307" i="11"/>
  <c r="E307" i="11"/>
  <c r="G309" i="11"/>
  <c r="E309" i="11"/>
  <c r="G311" i="11"/>
  <c r="E311" i="11"/>
  <c r="G313" i="11"/>
  <c r="E313" i="11"/>
  <c r="G315" i="11"/>
  <c r="E315" i="11"/>
  <c r="G317" i="11"/>
  <c r="E317" i="11"/>
  <c r="G320" i="11"/>
  <c r="E320" i="11"/>
  <c r="G322" i="11"/>
  <c r="E322" i="11"/>
  <c r="G324" i="11"/>
  <c r="E324" i="11"/>
  <c r="G294" i="11"/>
  <c r="E294" i="11"/>
  <c r="G533" i="11"/>
  <c r="E533" i="11"/>
  <c r="G255" i="11"/>
  <c r="E255" i="11"/>
  <c r="G532" i="11"/>
  <c r="E532" i="11"/>
  <c r="G530" i="11"/>
  <c r="E530" i="11"/>
  <c r="G527" i="11"/>
  <c r="E527" i="11"/>
  <c r="G526" i="11"/>
  <c r="E526" i="11"/>
  <c r="G521" i="11"/>
  <c r="E521" i="11"/>
  <c r="G531" i="11"/>
  <c r="E531" i="11"/>
  <c r="G529" i="11"/>
  <c r="E529" i="11"/>
  <c r="G528" i="11"/>
  <c r="E528" i="11"/>
  <c r="G524" i="11"/>
  <c r="E524" i="11"/>
  <c r="G523" i="11"/>
  <c r="E523" i="11"/>
  <c r="G525" i="11"/>
  <c r="E525" i="11"/>
  <c r="G522" i="11"/>
  <c r="E522" i="11"/>
  <c r="G520" i="11"/>
  <c r="E520" i="11"/>
  <c r="G519" i="11"/>
  <c r="E519" i="11"/>
  <c r="G518" i="11"/>
  <c r="E518" i="11"/>
  <c r="G517" i="11"/>
  <c r="E517" i="11"/>
  <c r="F533" i="11"/>
  <c r="F532" i="11"/>
  <c r="F530" i="11"/>
  <c r="F527" i="11"/>
  <c r="F526" i="11"/>
  <c r="F521" i="11"/>
  <c r="F531" i="11"/>
  <c r="F529" i="11"/>
  <c r="F528" i="11"/>
  <c r="F524" i="11"/>
  <c r="F523" i="11"/>
  <c r="F525" i="11"/>
  <c r="F522" i="11"/>
  <c r="F520" i="11"/>
  <c r="F519" i="11"/>
  <c r="F518" i="11"/>
  <c r="F517" i="11"/>
  <c r="F294" i="11"/>
  <c r="F318" i="11"/>
  <c r="F278" i="11"/>
  <c r="F288" i="11"/>
  <c r="F282" i="11"/>
  <c r="F284" i="11"/>
  <c r="F264" i="11"/>
  <c r="F323" i="11"/>
  <c r="F310" i="11"/>
  <c r="F321" i="11"/>
  <c r="F301" i="11"/>
  <c r="F260" i="11"/>
  <c r="F280" i="11"/>
  <c r="F290" i="11"/>
  <c r="F296" i="11"/>
  <c r="F275" i="11"/>
  <c r="F265" i="11"/>
  <c r="F257" i="11"/>
  <c r="F292" i="11"/>
  <c r="F271" i="11"/>
  <c r="F316" i="11"/>
  <c r="F303" i="11"/>
  <c r="F305" i="11"/>
  <c r="F286" i="11"/>
  <c r="F256" i="11"/>
  <c r="F269" i="11"/>
  <c r="F312" i="11"/>
  <c r="F314" i="11"/>
  <c r="F325" i="11"/>
  <c r="F308" i="11"/>
  <c r="F267" i="11"/>
  <c r="F299" i="11"/>
  <c r="F273" i="11"/>
  <c r="F262" i="11"/>
  <c r="F298" i="11"/>
  <c r="F306" i="11"/>
  <c r="F276" i="11"/>
  <c r="F319" i="11"/>
  <c r="F258" i="11"/>
  <c r="F259" i="11"/>
  <c r="F261" i="11"/>
  <c r="F263" i="11"/>
  <c r="F266" i="11"/>
  <c r="F268" i="11"/>
  <c r="F270" i="11"/>
  <c r="F272" i="11"/>
  <c r="F274" i="11"/>
  <c r="F281" i="11"/>
  <c r="F277" i="11"/>
  <c r="F279" i="11"/>
  <c r="F283" i="11"/>
  <c r="F285" i="11"/>
  <c r="F287" i="11"/>
  <c r="F289" i="11"/>
  <c r="F291" i="11"/>
  <c r="F293" i="11"/>
  <c r="F295" i="11"/>
  <c r="F297" i="11"/>
  <c r="F300" i="11"/>
  <c r="F302" i="11"/>
  <c r="F304" i="11"/>
  <c r="F307" i="11"/>
  <c r="F309" i="11"/>
  <c r="F311" i="11"/>
  <c r="F313" i="11"/>
  <c r="F315" i="11"/>
  <c r="F317" i="11"/>
  <c r="F320" i="11"/>
  <c r="F322" i="11"/>
  <c r="F324" i="11"/>
  <c r="F255" i="11"/>
  <c r="J286" i="11"/>
  <c r="J256" i="11"/>
  <c r="J269" i="11"/>
  <c r="J312" i="11"/>
  <c r="J314" i="11"/>
  <c r="J325" i="11"/>
  <c r="J308" i="11"/>
  <c r="J267" i="11"/>
  <c r="J299" i="11"/>
  <c r="J273" i="11"/>
  <c r="J262" i="11"/>
  <c r="J298" i="11"/>
  <c r="J306" i="11"/>
  <c r="J276" i="11"/>
  <c r="J319" i="11"/>
  <c r="J258" i="11"/>
  <c r="J259" i="11"/>
  <c r="J261" i="11"/>
  <c r="J263" i="11"/>
  <c r="J266" i="11"/>
  <c r="J268" i="11"/>
  <c r="J270" i="11"/>
  <c r="J272" i="11"/>
  <c r="J274" i="11"/>
  <c r="J281" i="11"/>
  <c r="J277" i="11"/>
  <c r="J279" i="11"/>
  <c r="J283" i="11"/>
  <c r="J285" i="11"/>
  <c r="J287" i="11"/>
  <c r="J289" i="11"/>
  <c r="J291" i="11"/>
  <c r="J293" i="11"/>
  <c r="J295" i="11"/>
  <c r="J297" i="11"/>
  <c r="J300" i="11"/>
  <c r="J302" i="11"/>
  <c r="J304" i="11"/>
  <c r="J307" i="11"/>
  <c r="J309" i="11"/>
  <c r="J311" i="11"/>
  <c r="J313" i="11"/>
  <c r="J315" i="11"/>
  <c r="J317" i="11"/>
  <c r="J320" i="11"/>
  <c r="J322" i="11"/>
  <c r="J324" i="11"/>
  <c r="AW286" i="11"/>
  <c r="AW256" i="11"/>
  <c r="AW269" i="11"/>
  <c r="AW312" i="11"/>
  <c r="AW314" i="11"/>
  <c r="AW325" i="11"/>
  <c r="AW308" i="11"/>
  <c r="AW267" i="11"/>
  <c r="AW299" i="11"/>
  <c r="AW273" i="11"/>
  <c r="AW262" i="11"/>
  <c r="AW298" i="11"/>
  <c r="AW306" i="11"/>
  <c r="AW276" i="11"/>
  <c r="AW319" i="11"/>
  <c r="AW258" i="11"/>
  <c r="AW259" i="11"/>
  <c r="AW261" i="11"/>
  <c r="AW263" i="11"/>
  <c r="AW266" i="11"/>
  <c r="AW268" i="11"/>
  <c r="AW270" i="11"/>
  <c r="AW272" i="11"/>
  <c r="AW274" i="11"/>
  <c r="AW281" i="11"/>
  <c r="AW277" i="11"/>
  <c r="AW279" i="11"/>
  <c r="AW283" i="11"/>
  <c r="AW285" i="11"/>
  <c r="AW287" i="11"/>
  <c r="AW289" i="11"/>
  <c r="AW291" i="11"/>
  <c r="AW293" i="11"/>
  <c r="AW295" i="11"/>
  <c r="AW297" i="11"/>
  <c r="AW300" i="11"/>
  <c r="AW302" i="11"/>
  <c r="AW304" i="11"/>
  <c r="AW307" i="11"/>
  <c r="AW309" i="11"/>
  <c r="AW311" i="11"/>
  <c r="AW313" i="11"/>
  <c r="AW315" i="11"/>
  <c r="AW317" i="11"/>
  <c r="AW320" i="11"/>
  <c r="AW322" i="11"/>
  <c r="AW324" i="11"/>
  <c r="J305" i="11"/>
  <c r="AW305" i="11"/>
  <c r="J303" i="11"/>
  <c r="AW303" i="11"/>
  <c r="J316" i="11"/>
  <c r="AW316" i="11"/>
  <c r="J271" i="11"/>
  <c r="AW271" i="11"/>
  <c r="J292" i="11"/>
  <c r="AW292" i="11"/>
  <c r="J257" i="11"/>
  <c r="AW257" i="11"/>
  <c r="J265" i="11"/>
  <c r="AW265" i="11"/>
  <c r="J275" i="11"/>
  <c r="AW275" i="11"/>
  <c r="J296" i="11"/>
  <c r="AW296" i="11"/>
  <c r="J290" i="11"/>
  <c r="AW290" i="11"/>
  <c r="J280" i="11"/>
  <c r="AW280" i="11"/>
  <c r="J260" i="11"/>
  <c r="AW260" i="11"/>
  <c r="J301" i="11"/>
  <c r="AW301" i="11"/>
  <c r="J321" i="11"/>
  <c r="AW321" i="11"/>
  <c r="J310" i="11"/>
  <c r="AW310" i="11"/>
  <c r="J323" i="11"/>
  <c r="AW323" i="11"/>
  <c r="J264" i="11"/>
  <c r="AW264" i="11"/>
  <c r="J284" i="11"/>
  <c r="AW284" i="11"/>
  <c r="J282" i="11"/>
  <c r="AW282" i="11"/>
  <c r="J288" i="11"/>
  <c r="AW288" i="11"/>
  <c r="J278" i="11"/>
  <c r="AW278" i="11"/>
  <c r="J318" i="11"/>
  <c r="AW318" i="11"/>
  <c r="J294" i="11"/>
  <c r="AW294" i="11"/>
  <c r="J517" i="11"/>
  <c r="AW517" i="11"/>
  <c r="J518" i="11"/>
  <c r="AW518" i="11"/>
  <c r="J519" i="11"/>
  <c r="AW519" i="11"/>
  <c r="J520" i="11"/>
  <c r="AW520" i="11"/>
  <c r="J522" i="11"/>
  <c r="AW522" i="11"/>
  <c r="J525" i="11"/>
  <c r="AW525" i="11"/>
  <c r="J523" i="11"/>
  <c r="AW523" i="11"/>
  <c r="J524" i="11"/>
  <c r="AW524" i="11"/>
  <c r="J528" i="11"/>
  <c r="AW528" i="11"/>
  <c r="J529" i="11"/>
  <c r="AW529" i="11"/>
  <c r="J531" i="11"/>
  <c r="AW531" i="11"/>
  <c r="J521" i="11"/>
  <c r="AW521" i="11"/>
  <c r="J526" i="11"/>
  <c r="AW526" i="11"/>
  <c r="J527" i="11"/>
  <c r="AW527" i="11"/>
  <c r="J530" i="11"/>
  <c r="AW530" i="11"/>
  <c r="J532" i="11"/>
  <c r="AW532" i="11"/>
  <c r="J533" i="11"/>
  <c r="AW533" i="11"/>
  <c r="J255" i="11"/>
  <c r="AW255" i="11"/>
  <c r="AW637" i="11"/>
  <c r="AW708" i="11"/>
  <c r="AW792" i="11"/>
  <c r="AW633" i="11"/>
  <c r="AW732" i="11"/>
  <c r="AW635" i="11"/>
  <c r="AW367" i="11"/>
  <c r="AW342" i="11"/>
  <c r="AW631" i="11"/>
  <c r="AW412" i="11"/>
  <c r="AW396" i="11"/>
  <c r="AW410" i="11"/>
  <c r="AW388" i="11"/>
  <c r="AW636" i="11"/>
  <c r="AW332" i="11"/>
  <c r="AW788" i="11"/>
  <c r="AW685" i="11"/>
  <c r="AW794" i="11"/>
  <c r="AW731" i="11"/>
  <c r="AW791" i="11"/>
  <c r="AW787" i="11"/>
  <c r="AW712" i="11"/>
  <c r="AW793" i="11"/>
  <c r="AW795" i="11"/>
  <c r="AW684" i="11"/>
  <c r="AW786" i="11"/>
  <c r="AW789" i="11"/>
  <c r="AW404" i="11"/>
  <c r="AW415" i="11"/>
  <c r="AW394" i="11"/>
  <c r="AW347" i="11"/>
  <c r="AW386" i="11"/>
  <c r="AW790" i="11"/>
  <c r="AW337" i="11"/>
  <c r="AW385" i="11"/>
  <c r="AW632" i="11"/>
  <c r="AW634" i="11"/>
  <c r="AW30" i="11"/>
  <c r="AW149" i="11"/>
  <c r="AW31" i="11"/>
  <c r="AW378" i="11"/>
  <c r="AW516" i="11"/>
  <c r="AW683" i="11"/>
  <c r="AW738" i="11"/>
  <c r="AW234" i="11"/>
  <c r="AW32" i="11"/>
  <c r="AW408" i="11"/>
  <c r="AW514" i="11"/>
  <c r="AW686" i="11"/>
  <c r="AW737" i="11"/>
  <c r="AW110" i="11"/>
  <c r="AW33" i="11"/>
  <c r="AW361" i="11"/>
  <c r="AW515" i="11"/>
  <c r="AW687" i="11"/>
  <c r="AW733" i="11"/>
  <c r="AW132" i="11"/>
  <c r="AW371" i="11"/>
  <c r="AW510" i="11"/>
  <c r="AW688" i="11"/>
  <c r="AW734" i="11"/>
  <c r="AW118" i="11"/>
  <c r="AW365" i="11"/>
  <c r="AW511" i="11"/>
  <c r="AW689" i="11"/>
  <c r="AW735" i="11"/>
  <c r="AW122" i="11"/>
  <c r="AW504" i="11"/>
  <c r="AW690" i="11"/>
  <c r="AW736" i="11"/>
  <c r="AW63" i="11"/>
  <c r="AW505" i="11"/>
  <c r="AW691" i="11"/>
  <c r="AW739" i="11"/>
  <c r="AW244" i="11"/>
  <c r="AW503" i="11"/>
  <c r="AW692" i="11"/>
  <c r="AW744" i="11"/>
  <c r="AW204" i="11"/>
  <c r="AW492" i="11"/>
  <c r="AW693" i="11"/>
  <c r="AW745" i="11"/>
  <c r="AW240" i="11"/>
  <c r="AW493" i="11"/>
  <c r="AW694" i="11"/>
  <c r="AW746" i="11"/>
  <c r="AW174" i="11"/>
  <c r="AW512" i="11"/>
  <c r="AW695" i="11"/>
  <c r="AW751" i="11"/>
  <c r="AW44" i="11"/>
  <c r="AW513" i="11"/>
  <c r="AW696" i="11"/>
  <c r="AW754" i="11"/>
  <c r="AW114" i="11"/>
  <c r="AW363" i="11"/>
  <c r="AW508" i="11"/>
  <c r="AW697" i="11"/>
  <c r="AW755" i="11"/>
  <c r="AW140" i="11"/>
  <c r="AW373" i="11"/>
  <c r="AW509" i="11"/>
  <c r="AW698" i="11"/>
  <c r="AW756" i="11"/>
  <c r="AW156" i="11"/>
  <c r="AW382" i="11"/>
  <c r="AW506" i="11"/>
  <c r="AW699" i="11"/>
  <c r="AW757" i="11"/>
  <c r="AW105" i="11"/>
  <c r="AW359" i="11"/>
  <c r="AW507" i="11"/>
  <c r="AW700" i="11"/>
  <c r="AW784" i="11"/>
  <c r="AW38" i="11"/>
  <c r="AW345" i="11"/>
  <c r="AW497" i="11"/>
  <c r="AW701" i="11"/>
  <c r="AW761" i="11"/>
  <c r="AW145" i="11"/>
  <c r="AW329" i="11"/>
  <c r="AW498" i="11"/>
  <c r="AW702" i="11"/>
  <c r="AW785" i="11"/>
  <c r="AW88" i="11"/>
  <c r="AW376" i="11"/>
  <c r="AW496" i="11"/>
  <c r="AW703" i="11"/>
  <c r="AW758" i="11"/>
  <c r="AW225" i="11"/>
  <c r="AW351" i="11"/>
  <c r="AW499" i="11"/>
  <c r="AW704" i="11"/>
  <c r="AW763" i="11"/>
  <c r="AW181" i="11"/>
  <c r="AW406" i="11"/>
  <c r="AW500" i="11"/>
  <c r="AW705" i="11"/>
  <c r="AW764" i="11"/>
  <c r="AW185" i="11"/>
  <c r="AW390" i="11"/>
  <c r="AW494" i="11"/>
  <c r="AW706" i="11"/>
  <c r="AW765" i="11"/>
  <c r="AW127" i="11"/>
  <c r="AW392" i="11"/>
  <c r="AW495" i="11"/>
  <c r="AW707" i="11"/>
  <c r="AW766" i="11"/>
  <c r="AW36" i="11"/>
  <c r="AW369" i="11"/>
  <c r="AW490" i="11"/>
  <c r="AW709" i="11"/>
  <c r="AW768" i="11"/>
  <c r="AW83" i="11"/>
  <c r="AW328" i="11"/>
  <c r="AW491" i="11"/>
  <c r="AW710" i="11"/>
  <c r="AW767" i="11"/>
  <c r="AW213" i="11"/>
  <c r="AW349" i="11"/>
  <c r="AW487" i="11"/>
  <c r="AW728" i="11"/>
  <c r="AW769" i="11"/>
  <c r="AW218" i="11"/>
  <c r="AW402" i="11"/>
  <c r="AW488" i="11"/>
  <c r="AW729" i="11"/>
  <c r="AW770" i="11"/>
  <c r="AW253" i="11"/>
  <c r="AW485" i="11"/>
  <c r="AW730" i="11"/>
  <c r="AW771" i="11"/>
  <c r="AW200" i="11"/>
  <c r="AW486" i="11"/>
  <c r="AW711" i="11"/>
  <c r="AW777" i="11"/>
  <c r="AW73" i="11"/>
  <c r="AW483" i="11"/>
  <c r="AW713" i="11"/>
  <c r="AW783" i="11"/>
  <c r="AW167" i="11"/>
  <c r="AW484" i="11"/>
  <c r="AW714" i="11"/>
  <c r="AW740" i="11"/>
  <c r="AW99" i="11"/>
  <c r="AW502" i="11"/>
  <c r="AW715" i="11"/>
  <c r="AW760" i="11"/>
  <c r="AW51" i="11"/>
  <c r="AW355" i="11"/>
  <c r="AW501" i="11"/>
  <c r="AW716" i="11"/>
  <c r="AW762" i="11"/>
  <c r="AW164" i="11"/>
  <c r="AW489" i="11"/>
  <c r="AW717" i="11"/>
  <c r="AW774" i="11"/>
  <c r="AW718" i="11"/>
  <c r="AW772" i="11"/>
  <c r="AW40" i="11"/>
  <c r="AW326" i="11"/>
  <c r="AW719" i="11"/>
  <c r="AW773" i="11"/>
  <c r="AW42" i="11"/>
  <c r="AW330" i="11"/>
  <c r="AW720" i="11"/>
  <c r="AW775" i="11"/>
  <c r="AW47" i="11"/>
  <c r="AW331" i="11"/>
  <c r="AW721" i="11"/>
  <c r="AW776" i="11"/>
  <c r="AW58" i="11"/>
  <c r="AW334" i="11"/>
  <c r="AW722" i="11"/>
  <c r="AW759" i="11"/>
  <c r="AW71" i="11"/>
  <c r="AW339" i="11"/>
  <c r="AW723" i="11"/>
  <c r="AW748" i="11"/>
  <c r="AW77" i="11"/>
  <c r="AW346" i="11"/>
  <c r="AW724" i="11"/>
  <c r="AW747" i="11"/>
  <c r="AW85" i="11"/>
  <c r="AW348" i="11"/>
  <c r="AW725" i="11"/>
  <c r="AW782" i="11"/>
  <c r="AW95" i="11"/>
  <c r="AW350" i="11"/>
  <c r="AW726" i="11"/>
  <c r="AW780" i="11"/>
  <c r="AW103" i="11"/>
  <c r="AW352" i="11"/>
  <c r="AW727" i="11"/>
  <c r="AW781" i="11"/>
  <c r="AW116" i="11"/>
  <c r="AW358" i="11"/>
  <c r="AW779" i="11"/>
  <c r="AW108" i="11"/>
  <c r="AW364" i="11"/>
  <c r="AW778" i="11"/>
  <c r="AW112" i="11"/>
  <c r="AW360" i="11"/>
  <c r="AW741" i="11"/>
  <c r="AW120" i="11"/>
  <c r="AW362" i="11"/>
  <c r="AW743" i="11"/>
  <c r="AW125" i="11"/>
  <c r="AW366" i="11"/>
  <c r="AW742" i="11"/>
  <c r="AW130" i="11"/>
  <c r="AW368" i="11"/>
  <c r="AW752" i="11"/>
  <c r="AW138" i="11"/>
  <c r="AW370" i="11"/>
  <c r="AW749" i="11"/>
  <c r="AW143" i="11"/>
  <c r="AW372" i="11"/>
  <c r="AW753" i="11"/>
  <c r="AW147" i="11"/>
  <c r="AW375" i="11"/>
  <c r="AW750" i="11"/>
  <c r="AW154" i="11"/>
  <c r="AW377" i="11"/>
  <c r="AW160" i="11"/>
  <c r="AW381" i="11"/>
  <c r="AW169" i="11"/>
  <c r="AW384" i="11"/>
  <c r="AW177" i="11"/>
  <c r="AW387" i="11"/>
  <c r="AW183" i="11"/>
  <c r="AW389" i="11"/>
  <c r="AW195" i="11"/>
  <c r="AW391" i="11"/>
  <c r="AW202" i="11"/>
  <c r="AW393" i="11"/>
  <c r="AW211" i="11"/>
  <c r="AW395" i="11"/>
  <c r="AW215" i="11"/>
  <c r="AW401" i="11"/>
  <c r="AW223" i="11"/>
  <c r="AW403" i="11"/>
  <c r="AW232" i="11"/>
  <c r="AW405" i="11"/>
  <c r="AW238" i="11"/>
  <c r="AW407" i="11"/>
  <c r="AW242" i="11"/>
  <c r="AW409" i="11"/>
  <c r="AW250" i="11"/>
  <c r="AW411" i="11"/>
  <c r="AW148" i="11"/>
  <c r="AW414" i="11"/>
  <c r="AW233" i="11"/>
  <c r="AW341" i="11"/>
  <c r="AW109" i="11"/>
  <c r="AW340" i="11"/>
  <c r="AW131" i="11"/>
  <c r="AW398" i="11"/>
  <c r="AW117" i="11"/>
  <c r="AW336" i="11"/>
  <c r="AW121" i="11"/>
  <c r="AW335" i="11"/>
  <c r="AW62" i="11"/>
  <c r="AW327" i="11"/>
  <c r="AW243" i="11"/>
  <c r="AW397" i="11"/>
  <c r="AW203" i="11"/>
  <c r="AW380" i="11"/>
  <c r="AW239" i="11"/>
  <c r="AW333" i="11"/>
  <c r="AW173" i="11"/>
  <c r="AW413" i="11"/>
  <c r="AW43" i="11"/>
  <c r="AW344" i="11"/>
  <c r="AW113" i="11"/>
  <c r="AW399" i="11"/>
  <c r="AW139" i="11"/>
  <c r="AW354" i="11"/>
  <c r="AW155" i="11"/>
  <c r="AW356" i="11"/>
  <c r="AW104" i="11"/>
  <c r="AW383" i="11"/>
  <c r="AW69" i="11"/>
  <c r="AW374" i="11"/>
  <c r="AW37" i="11"/>
  <c r="AW338" i="11"/>
  <c r="AW144" i="11"/>
  <c r="AW379" i="11"/>
  <c r="AW87" i="11"/>
  <c r="AW400" i="11"/>
  <c r="AW224" i="11"/>
  <c r="AW357" i="11"/>
  <c r="AW180" i="11"/>
  <c r="AW343" i="11"/>
  <c r="AW184" i="11"/>
  <c r="AW353" i="11"/>
  <c r="AW126" i="11"/>
  <c r="AW35" i="11"/>
  <c r="AW82" i="11"/>
  <c r="AW212" i="11"/>
  <c r="AW217" i="11"/>
  <c r="AW252" i="11"/>
  <c r="AW199" i="11"/>
  <c r="AW72" i="11"/>
  <c r="AW166" i="11"/>
  <c r="AW98" i="11"/>
  <c r="AW50" i="11"/>
  <c r="AW163" i="11"/>
  <c r="AW186" i="11"/>
  <c r="AW106" i="11"/>
  <c r="AW236" i="11"/>
  <c r="AW39" i="11"/>
  <c r="AW41" i="11"/>
  <c r="AW46" i="11"/>
  <c r="AW57" i="11"/>
  <c r="AW70" i="11"/>
  <c r="AW76" i="11"/>
  <c r="AW84" i="11"/>
  <c r="AW94" i="11"/>
  <c r="AW102" i="11"/>
  <c r="AW115" i="11"/>
  <c r="AW107" i="11"/>
  <c r="AW111" i="11"/>
  <c r="AW119" i="11"/>
  <c r="AW124" i="11"/>
  <c r="AW129" i="11"/>
  <c r="AW137" i="11"/>
  <c r="AW142" i="11"/>
  <c r="AW146" i="11"/>
  <c r="AW153" i="11"/>
  <c r="AW159" i="11"/>
  <c r="AW168" i="11"/>
  <c r="AW176" i="11"/>
  <c r="AW182" i="11"/>
  <c r="AW194" i="11"/>
  <c r="AW201" i="11"/>
  <c r="AW210" i="11"/>
  <c r="AW214" i="11"/>
  <c r="AW222" i="11"/>
  <c r="AW231" i="11"/>
  <c r="AW237" i="11"/>
  <c r="AW241" i="11"/>
  <c r="AW249" i="11"/>
  <c r="AW89" i="11"/>
  <c r="AW86" i="11"/>
  <c r="AW100" i="11"/>
  <c r="AW97" i="11"/>
  <c r="AW96" i="11"/>
  <c r="AW101" i="11"/>
  <c r="AW205" i="11"/>
  <c r="AW207" i="11"/>
  <c r="AW206" i="11"/>
  <c r="AW209" i="11"/>
  <c r="AW208" i="11"/>
  <c r="AW34" i="11"/>
  <c r="AW81" i="11"/>
  <c r="AW80" i="11"/>
  <c r="AW79" i="11"/>
  <c r="AW78" i="11"/>
  <c r="AW52" i="11"/>
  <c r="AW45" i="11"/>
  <c r="AW49" i="11"/>
  <c r="AW48" i="11"/>
  <c r="AW151" i="11"/>
  <c r="AW152" i="11"/>
  <c r="AW157" i="11"/>
  <c r="AW150" i="11"/>
  <c r="AW175" i="11"/>
  <c r="AW170" i="11"/>
  <c r="AW171" i="11"/>
  <c r="AW172" i="11"/>
  <c r="AW93" i="11"/>
  <c r="AW92" i="11"/>
  <c r="AW90" i="11"/>
  <c r="AW91" i="11"/>
  <c r="AW158" i="11"/>
  <c r="AW165" i="11"/>
  <c r="AW161" i="11"/>
  <c r="AW162" i="11"/>
  <c r="AW235" i="11"/>
  <c r="AW229" i="11"/>
  <c r="AW228" i="11"/>
  <c r="AW230" i="11"/>
  <c r="AW65" i="11"/>
  <c r="AW68" i="11"/>
  <c r="AW67" i="11"/>
  <c r="AW66" i="11"/>
  <c r="AW254" i="11"/>
  <c r="AW251" i="11"/>
  <c r="AW64" i="11"/>
  <c r="AW61" i="11"/>
  <c r="AW60" i="11"/>
  <c r="AW59" i="11"/>
  <c r="AW221" i="11"/>
  <c r="AW220" i="11"/>
  <c r="AW226" i="11"/>
  <c r="AW227" i="11"/>
  <c r="AW136" i="11"/>
  <c r="AW134" i="11"/>
  <c r="AW133" i="11"/>
  <c r="AW135" i="11"/>
  <c r="AW141" i="11"/>
  <c r="AW178" i="11"/>
  <c r="AW179" i="11"/>
  <c r="AW189" i="11"/>
  <c r="AW190" i="11"/>
  <c r="AW187" i="11"/>
  <c r="AW188" i="11"/>
  <c r="AW191" i="11"/>
  <c r="AW219" i="11"/>
  <c r="AW216" i="11"/>
  <c r="AW247" i="11"/>
  <c r="AW248" i="11"/>
  <c r="AW245" i="11"/>
  <c r="AW246" i="11"/>
  <c r="AW75" i="11"/>
  <c r="AW74" i="11"/>
  <c r="AW56" i="11"/>
  <c r="AW55" i="11"/>
  <c r="AW53" i="11"/>
  <c r="AW54" i="11"/>
  <c r="AW197" i="11"/>
  <c r="AW196" i="11"/>
  <c r="AW198" i="11"/>
  <c r="AW193" i="11"/>
  <c r="AW192" i="11"/>
  <c r="AW123" i="11"/>
  <c r="AW128" i="11"/>
  <c r="AV378" i="11"/>
  <c r="AV234" i="11"/>
  <c r="AV408" i="11"/>
  <c r="AV110" i="11"/>
  <c r="AV361" i="11"/>
  <c r="AV708" i="11"/>
  <c r="AV792" i="11"/>
  <c r="AV132" i="11"/>
  <c r="AV371" i="11"/>
  <c r="AV732" i="11"/>
  <c r="AV118" i="11"/>
  <c r="AV365" i="11"/>
  <c r="AV122" i="11"/>
  <c r="AV63" i="11"/>
  <c r="AV244" i="11"/>
  <c r="AV204" i="11"/>
  <c r="AV240" i="11"/>
  <c r="AV174" i="11"/>
  <c r="AV44" i="11"/>
  <c r="AV788" i="11"/>
  <c r="AV114" i="11"/>
  <c r="AV363" i="11"/>
  <c r="AV140" i="11"/>
  <c r="AV373" i="11"/>
  <c r="AV156" i="11"/>
  <c r="AV382" i="11"/>
  <c r="AV794" i="11"/>
  <c r="AV105" i="11"/>
  <c r="AV359" i="11"/>
  <c r="AV731" i="11"/>
  <c r="AV791" i="11"/>
  <c r="AV345" i="11"/>
  <c r="AV38" i="11"/>
  <c r="AV329" i="11"/>
  <c r="AV787" i="11"/>
  <c r="AV145" i="11"/>
  <c r="AV376" i="11"/>
  <c r="AV712" i="11"/>
  <c r="AV793" i="11"/>
  <c r="AV88" i="11"/>
  <c r="AV351" i="11"/>
  <c r="AV225" i="11"/>
  <c r="AV406" i="11"/>
  <c r="AV181" i="11"/>
  <c r="AV390" i="11"/>
  <c r="AV185" i="11"/>
  <c r="AV392" i="11"/>
  <c r="AV795" i="11"/>
  <c r="AV127" i="11"/>
  <c r="AV369" i="11"/>
  <c r="AV36" i="11"/>
  <c r="AV328" i="11"/>
  <c r="AV786" i="11"/>
  <c r="AV83" i="11"/>
  <c r="AV349" i="11"/>
  <c r="AV789" i="11"/>
  <c r="AV213" i="11"/>
  <c r="AV402" i="11"/>
  <c r="AV218" i="11"/>
  <c r="AV253" i="11"/>
  <c r="AV200" i="11"/>
  <c r="AV73" i="11"/>
  <c r="AV167" i="11"/>
  <c r="AV99" i="11"/>
  <c r="AV355" i="11"/>
  <c r="AV790" i="11"/>
  <c r="AV51" i="11"/>
  <c r="AV164" i="11"/>
  <c r="AV685" i="11"/>
  <c r="AV326" i="11"/>
  <c r="AV330" i="11"/>
  <c r="AV331" i="11"/>
  <c r="AV334" i="11"/>
  <c r="AV339" i="11"/>
  <c r="AV346" i="11"/>
  <c r="AV348" i="11"/>
  <c r="AV350" i="11"/>
  <c r="AV352" i="11"/>
  <c r="AV358" i="11"/>
  <c r="AV364" i="11"/>
  <c r="AV360" i="11"/>
  <c r="AV362" i="11"/>
  <c r="AV366" i="11"/>
  <c r="AV368" i="11"/>
  <c r="AV370" i="11"/>
  <c r="AV372" i="11"/>
  <c r="AV375" i="11"/>
  <c r="AV377" i="11"/>
  <c r="AV381" i="11"/>
  <c r="AV384" i="11"/>
  <c r="AV387" i="11"/>
  <c r="AV389" i="11"/>
  <c r="AV391" i="11"/>
  <c r="AV393" i="11"/>
  <c r="AV395" i="11"/>
  <c r="AV401" i="11"/>
  <c r="AV403" i="11"/>
  <c r="AV405" i="11"/>
  <c r="AV407" i="11"/>
  <c r="AV409" i="11"/>
  <c r="AV411" i="11"/>
  <c r="AV414" i="11"/>
  <c r="AV32" i="11"/>
  <c r="AV40" i="11"/>
  <c r="AV42" i="11"/>
  <c r="AV47" i="11"/>
  <c r="AV58" i="11"/>
  <c r="AV71" i="11"/>
  <c r="AV77" i="11"/>
  <c r="AV85" i="11"/>
  <c r="AV95" i="11"/>
  <c r="AV103" i="11"/>
  <c r="AV116" i="11"/>
  <c r="AV108" i="11"/>
  <c r="AV112" i="11"/>
  <c r="AV120" i="11"/>
  <c r="AV125" i="11"/>
  <c r="AV130" i="11"/>
  <c r="AV138" i="11"/>
  <c r="AV143" i="11"/>
  <c r="AV147" i="11"/>
  <c r="AV154" i="11"/>
  <c r="AV160" i="11"/>
  <c r="AV169" i="11"/>
  <c r="AV177" i="11"/>
  <c r="AV183" i="11"/>
  <c r="AV195" i="11"/>
  <c r="AV202" i="11"/>
  <c r="AV211" i="11"/>
  <c r="AV215" i="11"/>
  <c r="AV223" i="11"/>
  <c r="AV232" i="11"/>
  <c r="AV238" i="11"/>
  <c r="AV242" i="11"/>
  <c r="AV250" i="11"/>
  <c r="AV148" i="11"/>
  <c r="AV233" i="11"/>
  <c r="AV109" i="11"/>
  <c r="AV131" i="11"/>
  <c r="AV117" i="11"/>
  <c r="AV121" i="11"/>
  <c r="AV62" i="11"/>
  <c r="AV243" i="11"/>
  <c r="AV203" i="11"/>
  <c r="AV239" i="11"/>
  <c r="AV173" i="11"/>
  <c r="AV43" i="11"/>
  <c r="AV113" i="11"/>
  <c r="AV139" i="11"/>
  <c r="AV155" i="11"/>
  <c r="AV104" i="11"/>
  <c r="AV69" i="11"/>
  <c r="AV37" i="11"/>
  <c r="AV144" i="11"/>
  <c r="AV87" i="11"/>
  <c r="AV224" i="11"/>
  <c r="AV180" i="11"/>
  <c r="AV184" i="11"/>
  <c r="AV126" i="11"/>
  <c r="AV35" i="11"/>
  <c r="AV82" i="11"/>
  <c r="AV212" i="11"/>
  <c r="AV217" i="11"/>
  <c r="AV252" i="11"/>
  <c r="AV199" i="11"/>
  <c r="AV72" i="11"/>
  <c r="AV166" i="11"/>
  <c r="AV98" i="11"/>
  <c r="AV50" i="11"/>
  <c r="AV163" i="11"/>
  <c r="AV186" i="11"/>
  <c r="AV106" i="11"/>
  <c r="AV236" i="11"/>
  <c r="AV31" i="11"/>
  <c r="AV39" i="11"/>
  <c r="AV41" i="11"/>
  <c r="AV46" i="11"/>
  <c r="AV57" i="11"/>
  <c r="AV70" i="11"/>
  <c r="AV76" i="11"/>
  <c r="AV84" i="11"/>
  <c r="AV94" i="11"/>
  <c r="AV102" i="11"/>
  <c r="AV115" i="11"/>
  <c r="AV107" i="11"/>
  <c r="AV111" i="11"/>
  <c r="AV119" i="11"/>
  <c r="AV124" i="11"/>
  <c r="AV129" i="11"/>
  <c r="AV137" i="11"/>
  <c r="AV142" i="11"/>
  <c r="AV146" i="11"/>
  <c r="AV153" i="11"/>
  <c r="AV159" i="11"/>
  <c r="AV168" i="11"/>
  <c r="AV176" i="11"/>
  <c r="AV182" i="11"/>
  <c r="AV194" i="11"/>
  <c r="AV201" i="11"/>
  <c r="AV210" i="11"/>
  <c r="AV214" i="11"/>
  <c r="AV222" i="11"/>
  <c r="AV231" i="11"/>
  <c r="AV237" i="11"/>
  <c r="AV241" i="11"/>
  <c r="AV249" i="11"/>
  <c r="AV516" i="11"/>
  <c r="AV514" i="11"/>
  <c r="AV515" i="11"/>
  <c r="AV510" i="11"/>
  <c r="AV511" i="11"/>
  <c r="AV504" i="11"/>
  <c r="AV505" i="11"/>
  <c r="AV503" i="11"/>
  <c r="AV492" i="11"/>
  <c r="AV493" i="11"/>
  <c r="AV512" i="11"/>
  <c r="AV513" i="11"/>
  <c r="AV508" i="11"/>
  <c r="AV509" i="11"/>
  <c r="AV506" i="11"/>
  <c r="AV507" i="11"/>
  <c r="AV497" i="11"/>
  <c r="AV498" i="11"/>
  <c r="AV496" i="11"/>
  <c r="AV499" i="11"/>
  <c r="AV500" i="11"/>
  <c r="AV494" i="11"/>
  <c r="AV495" i="11"/>
  <c r="AV490" i="11"/>
  <c r="AV491" i="11"/>
  <c r="AV487" i="11"/>
  <c r="AV488" i="11"/>
  <c r="AV485" i="11"/>
  <c r="AV486" i="11"/>
  <c r="AV483" i="11"/>
  <c r="AV484" i="11"/>
  <c r="AV502" i="11"/>
  <c r="AV501" i="11"/>
  <c r="AV489" i="11"/>
  <c r="AV89" i="11"/>
  <c r="AV86" i="11"/>
  <c r="AV100" i="11"/>
  <c r="AV97" i="11"/>
  <c r="AV96" i="11"/>
  <c r="AV101" i="11"/>
  <c r="AV205" i="11"/>
  <c r="AV207" i="11"/>
  <c r="AV206" i="11"/>
  <c r="AV209" i="11"/>
  <c r="AV208" i="11"/>
  <c r="AV33" i="11"/>
  <c r="AV34" i="11"/>
  <c r="AV81" i="11"/>
  <c r="AV80" i="11"/>
  <c r="AV79" i="11"/>
  <c r="AV78" i="11"/>
  <c r="AV52" i="11"/>
  <c r="AV45" i="11"/>
  <c r="AV49" i="11"/>
  <c r="AV48" i="11"/>
  <c r="AV151" i="11"/>
  <c r="AV152" i="11"/>
  <c r="AV157" i="11"/>
  <c r="AV150" i="11"/>
  <c r="AV175" i="11"/>
  <c r="AV170" i="11"/>
  <c r="AV171" i="11"/>
  <c r="AV172" i="11"/>
  <c r="AV93" i="11"/>
  <c r="AV92" i="11"/>
  <c r="AV90" i="11"/>
  <c r="AV91" i="11"/>
  <c r="AV158" i="11"/>
  <c r="AV165" i="11"/>
  <c r="AV161" i="11"/>
  <c r="AV162" i="11"/>
  <c r="AV235" i="11"/>
  <c r="AV229" i="11"/>
  <c r="AV228" i="11"/>
  <c r="AV230" i="11"/>
  <c r="AV65" i="11"/>
  <c r="AV68" i="11"/>
  <c r="AV67" i="11"/>
  <c r="AV66" i="11"/>
  <c r="AV254" i="11"/>
  <c r="AV251" i="11"/>
  <c r="AV64" i="11"/>
  <c r="AV61" i="11"/>
  <c r="AV60" i="11"/>
  <c r="AV59" i="11"/>
  <c r="AV221" i="11"/>
  <c r="AV220" i="11"/>
  <c r="AV226" i="11"/>
  <c r="AV227" i="11"/>
  <c r="AV136" i="11"/>
  <c r="AV134" i="11"/>
  <c r="AV133" i="11"/>
  <c r="AV135" i="11"/>
  <c r="AV141" i="11"/>
  <c r="AV178" i="11"/>
  <c r="AV179" i="11"/>
  <c r="AV189" i="11"/>
  <c r="AV190" i="11"/>
  <c r="AV187" i="11"/>
  <c r="AV188" i="11"/>
  <c r="AV191" i="11"/>
  <c r="AV219" i="11"/>
  <c r="AV216" i="11"/>
  <c r="AV247" i="11"/>
  <c r="AV248" i="11"/>
  <c r="AV245" i="11"/>
  <c r="AV246" i="11"/>
  <c r="AV75" i="11"/>
  <c r="AV74" i="11"/>
  <c r="AV56" i="11"/>
  <c r="AV55" i="11"/>
  <c r="AV53" i="11"/>
  <c r="AV54" i="11"/>
  <c r="AV197" i="11"/>
  <c r="AV196" i="11"/>
  <c r="AV198" i="11"/>
  <c r="AV193" i="11"/>
  <c r="AV192" i="11"/>
  <c r="AV123" i="11"/>
  <c r="AV128" i="11"/>
  <c r="AV687" i="11"/>
  <c r="AV710" i="11"/>
  <c r="AV700" i="11"/>
  <c r="AV699" i="11"/>
  <c r="AV724" i="11"/>
  <c r="AV706" i="11"/>
  <c r="AV702" i="11"/>
  <c r="AV715" i="11"/>
  <c r="AV713" i="11"/>
  <c r="AV695" i="11"/>
  <c r="AV683" i="11"/>
  <c r="AV697" i="11"/>
  <c r="AV693" i="11"/>
  <c r="AV692" i="11"/>
  <c r="AV709" i="11"/>
  <c r="AV696" i="11"/>
  <c r="AV703" i="11"/>
  <c r="AV726" i="11"/>
  <c r="AV705" i="11"/>
  <c r="AV723" i="11"/>
  <c r="AV725" i="11"/>
  <c r="AV686" i="11"/>
  <c r="AV718" i="11"/>
  <c r="AV716" i="11"/>
  <c r="AV722" i="11"/>
  <c r="AV704" i="11"/>
  <c r="AV707" i="11"/>
  <c r="AV711" i="11"/>
  <c r="AV717" i="11"/>
  <c r="AV727" i="11"/>
  <c r="AV694" i="11"/>
  <c r="AV690" i="11"/>
  <c r="AV691" i="11"/>
  <c r="AV721" i="11"/>
  <c r="AV719" i="11"/>
  <c r="AV714" i="11"/>
  <c r="AV730" i="11"/>
  <c r="AV701" i="11"/>
  <c r="AV698" i="11"/>
  <c r="AV728" i="11"/>
  <c r="AV688" i="11"/>
  <c r="AV720" i="11"/>
  <c r="AV689" i="11"/>
  <c r="AV729" i="11"/>
  <c r="AV341" i="11"/>
  <c r="AV340" i="11"/>
  <c r="AV398" i="11"/>
  <c r="AV336" i="11"/>
  <c r="AV335" i="11"/>
  <c r="AV327" i="11"/>
  <c r="AV397" i="11"/>
  <c r="AV380" i="11"/>
  <c r="AV333" i="11"/>
  <c r="AV413" i="11"/>
  <c r="AV344" i="11"/>
  <c r="AV399" i="11"/>
  <c r="AV354" i="11"/>
  <c r="AV356" i="11"/>
  <c r="AV383" i="11"/>
  <c r="AV374" i="11"/>
  <c r="AV338" i="11"/>
  <c r="AV379" i="11"/>
  <c r="AV400" i="11"/>
  <c r="AV357" i="11"/>
  <c r="AV343" i="11"/>
  <c r="AV353" i="11"/>
  <c r="AV738" i="11"/>
  <c r="AV737" i="11"/>
  <c r="AV733" i="11"/>
  <c r="AV734" i="11"/>
  <c r="AV735" i="11"/>
  <c r="AV736" i="11"/>
  <c r="AV739" i="11"/>
  <c r="AV744" i="11"/>
  <c r="AV745" i="11"/>
  <c r="AV746" i="11"/>
  <c r="AV751" i="11"/>
  <c r="AV754" i="11"/>
  <c r="AV755" i="11"/>
  <c r="AV756" i="11"/>
  <c r="AV757" i="11"/>
  <c r="AV784" i="11"/>
  <c r="AV761" i="11"/>
  <c r="AV785" i="11"/>
  <c r="AV758" i="11"/>
  <c r="AV763" i="11"/>
  <c r="AV764" i="11"/>
  <c r="AV765" i="11"/>
  <c r="AV766" i="11"/>
  <c r="AV768" i="11"/>
  <c r="AV767" i="11"/>
  <c r="AV769" i="11"/>
  <c r="AV770" i="11"/>
  <c r="AV771" i="11"/>
  <c r="AV777" i="11"/>
  <c r="AV783" i="11"/>
  <c r="AV740" i="11"/>
  <c r="AV760" i="11"/>
  <c r="AV762" i="11"/>
  <c r="AV774" i="11"/>
  <c r="AV772" i="11"/>
  <c r="AV773" i="11"/>
  <c r="AV775" i="11"/>
  <c r="AV776" i="11"/>
  <c r="AV759" i="11"/>
  <c r="AV748" i="11"/>
  <c r="AV747" i="11"/>
  <c r="AV782" i="11"/>
  <c r="AV780" i="11"/>
  <c r="AV781" i="11"/>
  <c r="AV779" i="11"/>
  <c r="AV778" i="11"/>
  <c r="AV741" i="11"/>
  <c r="AV743" i="11"/>
  <c r="AV742" i="11"/>
  <c r="AV752" i="11"/>
  <c r="AV749" i="11"/>
  <c r="AV753" i="11"/>
  <c r="AV750" i="11"/>
  <c r="AV149" i="11"/>
  <c r="J750" i="11"/>
  <c r="J753" i="11"/>
  <c r="J749" i="11"/>
  <c r="J752" i="11"/>
  <c r="J742" i="11"/>
  <c r="J743" i="11"/>
  <c r="J741" i="11"/>
  <c r="J778" i="11"/>
  <c r="J779" i="11"/>
  <c r="J781" i="11"/>
  <c r="J780" i="11"/>
  <c r="J782" i="11"/>
  <c r="J747" i="11"/>
  <c r="J748" i="11"/>
  <c r="J759" i="11"/>
  <c r="J776" i="11"/>
  <c r="J775" i="11"/>
  <c r="J773" i="11"/>
  <c r="J772" i="11"/>
  <c r="J774" i="11"/>
  <c r="J762" i="11"/>
  <c r="J760" i="11"/>
  <c r="J740" i="11"/>
  <c r="J783" i="11"/>
  <c r="J777" i="11"/>
  <c r="J771" i="11"/>
  <c r="J770" i="11"/>
  <c r="J769" i="11"/>
  <c r="J767" i="11"/>
  <c r="J768" i="11"/>
  <c r="J766" i="11"/>
  <c r="J765" i="11"/>
  <c r="J764" i="11"/>
  <c r="J763" i="11"/>
  <c r="J758" i="11"/>
  <c r="J785" i="11"/>
  <c r="J761" i="11"/>
  <c r="J784" i="11"/>
  <c r="J757" i="11"/>
  <c r="J756" i="11"/>
  <c r="J755" i="11"/>
  <c r="J754" i="11"/>
  <c r="J751" i="11"/>
  <c r="J746" i="11"/>
  <c r="J745" i="11"/>
  <c r="J744" i="11"/>
  <c r="J739" i="11"/>
  <c r="J736" i="11"/>
  <c r="J735" i="11"/>
  <c r="J734" i="11"/>
  <c r="J733" i="11"/>
  <c r="J737" i="11"/>
  <c r="J738" i="11"/>
  <c r="J634" i="11"/>
  <c r="J632" i="11"/>
  <c r="J631" i="11"/>
  <c r="J30" i="11"/>
  <c r="J636" i="11"/>
  <c r="J637" i="11"/>
  <c r="J633" i="11"/>
  <c r="J635" i="11"/>
  <c r="AW1022" i="6"/>
  <c r="AW1024" i="6"/>
  <c r="AW1004" i="6"/>
  <c r="AW993" i="6"/>
  <c r="AW994" i="6"/>
  <c r="AW3" i="6"/>
  <c r="AW1000" i="6"/>
  <c r="AW1020" i="6"/>
  <c r="AW1003" i="6"/>
  <c r="AW998" i="6"/>
  <c r="AW1014" i="6"/>
  <c r="AW1006" i="6"/>
  <c r="AW1016" i="6"/>
  <c r="AW1010" i="6"/>
  <c r="AW1015" i="6"/>
  <c r="AW1019" i="6"/>
  <c r="AW1008" i="6"/>
  <c r="AW1017" i="6"/>
  <c r="AW995" i="6"/>
  <c r="AW1007" i="6"/>
  <c r="AW997" i="6"/>
  <c r="AW1013" i="6"/>
  <c r="AW992" i="6"/>
  <c r="AW1023" i="6"/>
  <c r="AW1011" i="6"/>
  <c r="AW1002" i="6"/>
  <c r="AW1021" i="6"/>
  <c r="AW1018" i="6"/>
  <c r="AW1005" i="6"/>
  <c r="AW782" i="6"/>
  <c r="AW488" i="6"/>
  <c r="AW481" i="6"/>
  <c r="AW439" i="6"/>
  <c r="AW402" i="6"/>
  <c r="AW359" i="6"/>
  <c r="AW296" i="6"/>
  <c r="AW238" i="6"/>
  <c r="AW150" i="6"/>
  <c r="AW27" i="6"/>
  <c r="AW202" i="6"/>
  <c r="AW199" i="6"/>
  <c r="AW203" i="6"/>
  <c r="AW204" i="6"/>
  <c r="AW200" i="6"/>
  <c r="AW201" i="6"/>
  <c r="AW297" i="6"/>
  <c r="AW301" i="6"/>
  <c r="AW305" i="6"/>
  <c r="AW298" i="6"/>
  <c r="AW299" i="6"/>
  <c r="AW512" i="6"/>
  <c r="AW513" i="6"/>
  <c r="AW514" i="6"/>
  <c r="AW58" i="6"/>
  <c r="AW59" i="6"/>
  <c r="AW60" i="6"/>
  <c r="AW55" i="6"/>
  <c r="AW56" i="6"/>
  <c r="AW755" i="6"/>
  <c r="AW756" i="6"/>
  <c r="AW757" i="6"/>
  <c r="AW244" i="6"/>
  <c r="AW57" i="6"/>
  <c r="AW85" i="6"/>
  <c r="AW229" i="6"/>
  <c r="AW77" i="6"/>
  <c r="AW33" i="6"/>
  <c r="AW276" i="6"/>
  <c r="AW130" i="6"/>
  <c r="AW266" i="6"/>
  <c r="AW115" i="6"/>
  <c r="AW255" i="6"/>
  <c r="AW104" i="6"/>
  <c r="AW182" i="6"/>
  <c r="AW49" i="6"/>
  <c r="AW209" i="6"/>
  <c r="AW143" i="6"/>
  <c r="AW964" i="6"/>
  <c r="AW502" i="6"/>
  <c r="AW503" i="6"/>
  <c r="AW504" i="6"/>
  <c r="AW355" i="6"/>
  <c r="AW505" i="6"/>
  <c r="AW932" i="6"/>
  <c r="AW984" i="6"/>
  <c r="AW892" i="6"/>
  <c r="AW893" i="6"/>
  <c r="AW985" i="6"/>
  <c r="AW725" i="6"/>
  <c r="AW726" i="6"/>
  <c r="AW497" i="6"/>
  <c r="AW499" i="6"/>
  <c r="AW498" i="6"/>
  <c r="AW29" i="6"/>
  <c r="AW28" i="6"/>
  <c r="AW26" i="6"/>
  <c r="AW25" i="6"/>
  <c r="AW356" i="6"/>
  <c r="AW961" i="6"/>
  <c r="AW930" i="6"/>
  <c r="AW911" i="6"/>
  <c r="AW897" i="6"/>
  <c r="AW883" i="6"/>
  <c r="AW869" i="6"/>
  <c r="AW854" i="6"/>
  <c r="AW840" i="6"/>
  <c r="AW822" i="6"/>
  <c r="AW441" i="6"/>
  <c r="AW443" i="6"/>
  <c r="AW442" i="6"/>
  <c r="AW17" i="6"/>
  <c r="AW935" i="6"/>
  <c r="AW92" i="6"/>
  <c r="AW91" i="6"/>
  <c r="AW90" i="6"/>
  <c r="AW952" i="6"/>
  <c r="AW668" i="6"/>
  <c r="AW669" i="6"/>
  <c r="AW670" i="6"/>
  <c r="AW13" i="6"/>
  <c r="AW15" i="6"/>
  <c r="AW16" i="6"/>
  <c r="AW14" i="6"/>
  <c r="AW12" i="6"/>
  <c r="AW251" i="6"/>
  <c r="AW250" i="6"/>
  <c r="AW247" i="6"/>
  <c r="AW248" i="6"/>
  <c r="AW554" i="6"/>
  <c r="AW556" i="6"/>
  <c r="AW557" i="6"/>
  <c r="AW915" i="6"/>
  <c r="AW621" i="6"/>
  <c r="AW455" i="6"/>
  <c r="AW456" i="6"/>
  <c r="AW457" i="6"/>
  <c r="AW903" i="6"/>
  <c r="AW838" i="6"/>
  <c r="AW839" i="6"/>
  <c r="AW558" i="6"/>
  <c r="AW178" i="6"/>
  <c r="AW86" i="6"/>
  <c r="AW87" i="6"/>
  <c r="AW88" i="6"/>
  <c r="AW83" i="6"/>
  <c r="AW84" i="6"/>
  <c r="AW618" i="6"/>
  <c r="AW622" i="6"/>
  <c r="AW619" i="6"/>
  <c r="AW620" i="6"/>
  <c r="AW100" i="6"/>
  <c r="AW101" i="6"/>
  <c r="AW960" i="6"/>
  <c r="AW261" i="6"/>
  <c r="AW847" i="6"/>
  <c r="AW848" i="6"/>
  <c r="AW818" i="6"/>
  <c r="AW306" i="6"/>
  <c r="AW970" i="6"/>
  <c r="AW971" i="6"/>
  <c r="AW927" i="6"/>
  <c r="AW813" i="6"/>
  <c r="AW814" i="6"/>
  <c r="AW815" i="6"/>
  <c r="AW987" i="6"/>
  <c r="AW693" i="6"/>
  <c r="AW694" i="6"/>
  <c r="AW695" i="6"/>
  <c r="AW626" i="6"/>
  <c r="AW627" i="6"/>
  <c r="AW590" i="6"/>
  <c r="AW592" i="6"/>
  <c r="AW591" i="6"/>
  <c r="AW551" i="6"/>
  <c r="AW553" i="6"/>
  <c r="AW552" i="6"/>
  <c r="AW523" i="6"/>
  <c r="AW525" i="6"/>
  <c r="AW524" i="6"/>
  <c r="AW490" i="6"/>
  <c r="AW492" i="6"/>
  <c r="AW491" i="6"/>
  <c r="AW435" i="6"/>
  <c r="AW437" i="6"/>
  <c r="AW436" i="6"/>
  <c r="AW399" i="6"/>
  <c r="AW401" i="6"/>
  <c r="AW400" i="6"/>
  <c r="AW373" i="6"/>
  <c r="AW375" i="6"/>
  <c r="AW374" i="6"/>
  <c r="AW321" i="6"/>
  <c r="AW323" i="6"/>
  <c r="AW322" i="6"/>
  <c r="AW500" i="6"/>
  <c r="AW501" i="6"/>
  <c r="AW453" i="6"/>
  <c r="AW454" i="6"/>
  <c r="AW273" i="6"/>
  <c r="AW337" i="6"/>
  <c r="AW338" i="6"/>
  <c r="AW339" i="6"/>
  <c r="AW340" i="6"/>
  <c r="AW246" i="6"/>
  <c r="AW249" i="6"/>
  <c r="AW149" i="6"/>
  <c r="AW148" i="6"/>
  <c r="AW655" i="6"/>
  <c r="AW656" i="6"/>
  <c r="AW761" i="6"/>
  <c r="AW762" i="6"/>
  <c r="AW763" i="6"/>
  <c r="AW606" i="6"/>
  <c r="AW607" i="6"/>
  <c r="AW608" i="6"/>
  <c r="AW532" i="6"/>
  <c r="AW533" i="6"/>
  <c r="AW445" i="6"/>
  <c r="AW446" i="6"/>
  <c r="AW447" i="6"/>
  <c r="AW404" i="6"/>
  <c r="AW405" i="6"/>
  <c r="AW406" i="6"/>
  <c r="AW363" i="6"/>
  <c r="AW364" i="6"/>
  <c r="AW365" i="6"/>
  <c r="AW89" i="6"/>
  <c r="AW281" i="6"/>
  <c r="AW284" i="6"/>
  <c r="AW283" i="6"/>
  <c r="AW282" i="6"/>
  <c r="AW674" i="6"/>
  <c r="AW675" i="6"/>
  <c r="AW676" i="6"/>
  <c r="AW852" i="6"/>
  <c r="AW853" i="6"/>
  <c r="AW962" i="6"/>
  <c r="AW827" i="6"/>
  <c r="AW887" i="6"/>
  <c r="AW614" i="6"/>
  <c r="AW816" i="6"/>
  <c r="AW817" i="6"/>
  <c r="AW232" i="6"/>
  <c r="AW138" i="6"/>
  <c r="AW137" i="6"/>
  <c r="AW459" i="6"/>
  <c r="AW189" i="6"/>
  <c r="AW190" i="6"/>
  <c r="AW460" i="6"/>
  <c r="AW233" i="6"/>
  <c r="AW234" i="6"/>
  <c r="AW235" i="6"/>
  <c r="AW231" i="6"/>
  <c r="AW236" i="6"/>
  <c r="AW227" i="6"/>
  <c r="AW230" i="6"/>
  <c r="AW228" i="6"/>
  <c r="AW242" i="6"/>
  <c r="AW243" i="6"/>
  <c r="AW357" i="6"/>
  <c r="AW358" i="6"/>
  <c r="AW979" i="6"/>
  <c r="AW642" i="6"/>
  <c r="AW643" i="6"/>
  <c r="AW644" i="6"/>
  <c r="AW569" i="6"/>
  <c r="AW570" i="6"/>
  <c r="AW571" i="6"/>
  <c r="AW588" i="6"/>
  <c r="AW589" i="6"/>
  <c r="AW582" i="6"/>
  <c r="AW583" i="6"/>
  <c r="AW584" i="6"/>
  <c r="AW585" i="6"/>
  <c r="AW586" i="6"/>
  <c r="AW587" i="6"/>
  <c r="AW687" i="6"/>
  <c r="AW688" i="6"/>
  <c r="AW544" i="6"/>
  <c r="AW758" i="6"/>
  <c r="AW759" i="6"/>
  <c r="AW573" i="6"/>
  <c r="AW719" i="6"/>
  <c r="AW720" i="6"/>
  <c r="AW790" i="6"/>
  <c r="AW791" i="6"/>
  <c r="AW461" i="6"/>
  <c r="AW462" i="6"/>
  <c r="AW742" i="6"/>
  <c r="AW743" i="6"/>
  <c r="AW633" i="6"/>
  <c r="AW634" i="6"/>
  <c r="AW660" i="6"/>
  <c r="AW661" i="6"/>
  <c r="AW769" i="6"/>
  <c r="AW770" i="6"/>
  <c r="AW616" i="6"/>
  <c r="AW617" i="6"/>
  <c r="AW700" i="6"/>
  <c r="AW701" i="6"/>
  <c r="AW479" i="6"/>
  <c r="AW480" i="6"/>
  <c r="AW508" i="6"/>
  <c r="AW509" i="6"/>
  <c r="AW696" i="6"/>
  <c r="AW531" i="6"/>
  <c r="AW731" i="6"/>
  <c r="AW732" i="6"/>
  <c r="AW646" i="6"/>
  <c r="AW647" i="6"/>
  <c r="AW596" i="6"/>
  <c r="AW672" i="6"/>
  <c r="AW673" i="6"/>
  <c r="AW559" i="6"/>
  <c r="AW764" i="6"/>
  <c r="AW736" i="6"/>
  <c r="AW708" i="6"/>
  <c r="AW678" i="6"/>
  <c r="AW651" i="6"/>
  <c r="AW603" i="6"/>
  <c r="AW727" i="6"/>
  <c r="AW79" i="6"/>
  <c r="AW80" i="6"/>
  <c r="AW78" i="6"/>
  <c r="AW75" i="6"/>
  <c r="AW76" i="6"/>
  <c r="AW34" i="6"/>
  <c r="AW35" i="6"/>
  <c r="AW36" i="6"/>
  <c r="AW31" i="6"/>
  <c r="AW32" i="6"/>
  <c r="AW30" i="6"/>
  <c r="AW861" i="6"/>
  <c r="AW862" i="6"/>
  <c r="AW535" i="6"/>
  <c r="AW536" i="6"/>
  <c r="AW537" i="6"/>
  <c r="AW538" i="6"/>
  <c r="AW539" i="6"/>
  <c r="AW205" i="6"/>
  <c r="AW910" i="6"/>
  <c r="AW776" i="6"/>
  <c r="AW777" i="6"/>
  <c r="AW778" i="6"/>
  <c r="AW940" i="6"/>
  <c r="AW941" i="6"/>
  <c r="AW239" i="6"/>
  <c r="AW194" i="6"/>
  <c r="AW151" i="6"/>
  <c r="AW476" i="6"/>
  <c r="AW631" i="6"/>
  <c r="AW976" i="6"/>
  <c r="AW111" i="6"/>
  <c r="AW112" i="6"/>
  <c r="AW577" i="6"/>
  <c r="AW574" i="6"/>
  <c r="AW575" i="6"/>
  <c r="AW576" i="6"/>
  <c r="AW850" i="6"/>
  <c r="AW851" i="6"/>
  <c r="AW954" i="6"/>
  <c r="AW44" i="6"/>
  <c r="AW45" i="6"/>
  <c r="AW41" i="6"/>
  <c r="AW42" i="6"/>
  <c r="AW43" i="6"/>
  <c r="AW38" i="6"/>
  <c r="AW40" i="6"/>
  <c r="AW39" i="6"/>
  <c r="AW37" i="6"/>
  <c r="AW983" i="6"/>
  <c r="AW302" i="6"/>
  <c r="AW304" i="6"/>
  <c r="AW303" i="6"/>
  <c r="AW300" i="6"/>
  <c r="AW70" i="6"/>
  <c r="AW71" i="6"/>
  <c r="AW74" i="6"/>
  <c r="AW73" i="6"/>
  <c r="AW72" i="6"/>
  <c r="AW68" i="6"/>
  <c r="AW69" i="6"/>
  <c r="AW973" i="6"/>
  <c r="AW974" i="6"/>
  <c r="AW913" i="6"/>
  <c r="AW900" i="6"/>
  <c r="AW886" i="6"/>
  <c r="AW872" i="6"/>
  <c r="AW857" i="6"/>
  <c r="AW842" i="6"/>
  <c r="AW824" i="6"/>
  <c r="AW808" i="6"/>
  <c r="AW788" i="6"/>
  <c r="AW766" i="6"/>
  <c r="AW740" i="6"/>
  <c r="AW713" i="6"/>
  <c r="AW682" i="6"/>
  <c r="AW654" i="6"/>
  <c r="AW625" i="6"/>
  <c r="AW580" i="6"/>
  <c r="AW549" i="6"/>
  <c r="AW516" i="6"/>
  <c r="AW471" i="6"/>
  <c r="AW560" i="6"/>
  <c r="AW597" i="6"/>
  <c r="AW775" i="6"/>
  <c r="AW751" i="6"/>
  <c r="AW689" i="6"/>
  <c r="AW534" i="6"/>
  <c r="AW662" i="6"/>
  <c r="AW721" i="6"/>
  <c r="AW475" i="6"/>
  <c r="AW635" i="6"/>
  <c r="AW799" i="6"/>
  <c r="AW800" i="6"/>
  <c r="AW260" i="6"/>
  <c r="AW391" i="6"/>
  <c r="AW392" i="6"/>
  <c r="AW426" i="6"/>
  <c r="AW219" i="6"/>
  <c r="AW220" i="6"/>
  <c r="AW648" i="6"/>
  <c r="AW649" i="6"/>
  <c r="AW650" i="6"/>
  <c r="AW450" i="6"/>
  <c r="AW801" i="6"/>
  <c r="AW398" i="6"/>
  <c r="AW427" i="6"/>
  <c r="AW428" i="6"/>
  <c r="AW432" i="6"/>
  <c r="AW819" i="6"/>
  <c r="AW820" i="6"/>
  <c r="AW429" i="6"/>
  <c r="AW430" i="6"/>
  <c r="AW431" i="6"/>
  <c r="AW921" i="6"/>
  <c r="AW825" i="6"/>
  <c r="AW809" i="6"/>
  <c r="AW977" i="6"/>
  <c r="AW487" i="6"/>
  <c r="AW390" i="6"/>
  <c r="AW376" i="6"/>
  <c r="AW368" i="6"/>
  <c r="AW327" i="6"/>
  <c r="AW314" i="6"/>
  <c r="AW240" i="6"/>
  <c r="AW152" i="6"/>
  <c r="AW877" i="6"/>
  <c r="AW967" i="6"/>
  <c r="AW494" i="6"/>
  <c r="AW495" i="6"/>
  <c r="AW496" i="6"/>
  <c r="AW972" i="6"/>
  <c r="AW477" i="6"/>
  <c r="AW478" i="6"/>
  <c r="AW679" i="6"/>
  <c r="AW370" i="6"/>
  <c r="AW371" i="6"/>
  <c r="AW372" i="6"/>
  <c r="AW684" i="6"/>
  <c r="AW685" i="6"/>
  <c r="AW63" i="6"/>
  <c r="AW62" i="6"/>
  <c r="AW686" i="6"/>
  <c r="AW279" i="6"/>
  <c r="AW277" i="6"/>
  <c r="AW280" i="6"/>
  <c r="AW278" i="6"/>
  <c r="AW274" i="6"/>
  <c r="AW293" i="6"/>
  <c r="AW286" i="6"/>
  <c r="AW288" i="6"/>
  <c r="AW287" i="6"/>
  <c r="AW986" i="6"/>
  <c r="AW957" i="6"/>
  <c r="AW901" i="6"/>
  <c r="AW902" i="6"/>
  <c r="AW483" i="6"/>
  <c r="AW484" i="6"/>
  <c r="AW482" i="6"/>
  <c r="AW868" i="6"/>
  <c r="AW61" i="6"/>
  <c r="AW615" i="6"/>
  <c r="AW611" i="6"/>
  <c r="AW612" i="6"/>
  <c r="AW613" i="6"/>
  <c r="AW944" i="6"/>
  <c r="AW931" i="6"/>
  <c r="AW912" i="6"/>
  <c r="AW899" i="6"/>
  <c r="AW885" i="6"/>
  <c r="AW870" i="6"/>
  <c r="AW855" i="6"/>
  <c r="AW844" i="6"/>
  <c r="AW826" i="6"/>
  <c r="AW806" i="6"/>
  <c r="AW789" i="6"/>
  <c r="AW768" i="6"/>
  <c r="AW739" i="6"/>
  <c r="AW711" i="6"/>
  <c r="AW681" i="6"/>
  <c r="AW653" i="6"/>
  <c r="AW624" i="6"/>
  <c r="AW581" i="6"/>
  <c r="AW548" i="6"/>
  <c r="AW517" i="6"/>
  <c r="AW470" i="6"/>
  <c r="AW415" i="6"/>
  <c r="AW383" i="6"/>
  <c r="AW336" i="6"/>
  <c r="AW275" i="6"/>
  <c r="AW193" i="6"/>
  <c r="AW879" i="6"/>
  <c r="AW880" i="6"/>
  <c r="AW198" i="6"/>
  <c r="AW197" i="6"/>
  <c r="AW361" i="6"/>
  <c r="AW362" i="6"/>
  <c r="AW360" i="6"/>
  <c r="AW294" i="6"/>
  <c r="AW823" i="6"/>
  <c r="AW841" i="6"/>
  <c r="AW914" i="6"/>
  <c r="AW133" i="6"/>
  <c r="AW134" i="6"/>
  <c r="AW528" i="6"/>
  <c r="AW527" i="6"/>
  <c r="AW529" i="6"/>
  <c r="AW341" i="6"/>
  <c r="AW530" i="6"/>
  <c r="AW334" i="6"/>
  <c r="AW332" i="6"/>
  <c r="AW333" i="6"/>
  <c r="AW330" i="6"/>
  <c r="AW328" i="6"/>
  <c r="AW331" i="6"/>
  <c r="AW329" i="6"/>
  <c r="AW267" i="6"/>
  <c r="AW264" i="6"/>
  <c r="AW268" i="6"/>
  <c r="AW265" i="6"/>
  <c r="AW593" i="6"/>
  <c r="AW594" i="6"/>
  <c r="AW595" i="6"/>
  <c r="AW680" i="6"/>
  <c r="AW652" i="6"/>
  <c r="AW623" i="6"/>
  <c r="AW579" i="6"/>
  <c r="AW547" i="6"/>
  <c r="AW515" i="6"/>
  <c r="AW710" i="6"/>
  <c r="AW507" i="6"/>
  <c r="AW550" i="6"/>
  <c r="AW981" i="6"/>
  <c r="AW865" i="6"/>
  <c r="AW866" i="6"/>
  <c r="AW990" i="6"/>
  <c r="AW989" i="6"/>
  <c r="AW353" i="6"/>
  <c r="AW792" i="6"/>
  <c r="AW793" i="6"/>
  <c r="AW794" i="6"/>
  <c r="AW369" i="6"/>
  <c r="AW307" i="6"/>
  <c r="AW245" i="6"/>
  <c r="AW81" i="6"/>
  <c r="AW53" i="6"/>
  <c r="AW465" i="6"/>
  <c r="AW602" i="6"/>
  <c r="AW448" i="6"/>
  <c r="AW449" i="6"/>
  <c r="AW407" i="6"/>
  <c r="AW139" i="6"/>
  <c r="AW752" i="6"/>
  <c r="AW753" i="6"/>
  <c r="AW754" i="6"/>
  <c r="AW722" i="6"/>
  <c r="AW723" i="6"/>
  <c r="AW724" i="6"/>
  <c r="AW690" i="6"/>
  <c r="AW691" i="6"/>
  <c r="AW692" i="6"/>
  <c r="AW663" i="6"/>
  <c r="AW664" i="6"/>
  <c r="AW665" i="6"/>
  <c r="AW636" i="6"/>
  <c r="AW637" i="6"/>
  <c r="AW638" i="6"/>
  <c r="AW601" i="6"/>
  <c r="AW598" i="6"/>
  <c r="AW599" i="6"/>
  <c r="AW600" i="6"/>
  <c r="AW867" i="6"/>
  <c r="AW878" i="6"/>
  <c r="AW715" i="6"/>
  <c r="AW564" i="6"/>
  <c r="AW561" i="6"/>
  <c r="AW562" i="6"/>
  <c r="AW563" i="6"/>
  <c r="AW898" i="6"/>
  <c r="AW884" i="6"/>
  <c r="AW871" i="6"/>
  <c r="AW856" i="6"/>
  <c r="AW843" i="6"/>
  <c r="AW828" i="6"/>
  <c r="AW807" i="6"/>
  <c r="AW787" i="6"/>
  <c r="AW767" i="6"/>
  <c r="AW738" i="6"/>
  <c r="AW712" i="6"/>
  <c r="AW830" i="6"/>
  <c r="AW821" i="6"/>
  <c r="AW805" i="6"/>
  <c r="AW786" i="6"/>
  <c r="AW765" i="6"/>
  <c r="AW737" i="6"/>
  <c r="AW706" i="6"/>
  <c r="AW422" i="6"/>
  <c r="AW382" i="6"/>
  <c r="AW153" i="6"/>
  <c r="AW125" i="6"/>
  <c r="AW65" i="6"/>
  <c r="AW11" i="6"/>
  <c r="AW173" i="6"/>
  <c r="AW170" i="6"/>
  <c r="AW171" i="6"/>
  <c r="AW169" i="6"/>
  <c r="AW167" i="6"/>
  <c r="AW174" i="6"/>
  <c r="AW168" i="6"/>
  <c r="AW163" i="6"/>
  <c r="AW164" i="6"/>
  <c r="AW20" i="6"/>
  <c r="AW5" i="6"/>
  <c r="AW4" i="6"/>
  <c r="AW18" i="6"/>
  <c r="AW23" i="6"/>
  <c r="AW21" i="6"/>
  <c r="AW22" i="6"/>
  <c r="AW463" i="6"/>
  <c r="AW464" i="6"/>
  <c r="AW774" i="6"/>
  <c r="AW747" i="6"/>
  <c r="AW705" i="6"/>
  <c r="AW795" i="6"/>
  <c r="AW975" i="6"/>
  <c r="AW916" i="6"/>
  <c r="AW917" i="6"/>
  <c r="AW953" i="6"/>
  <c r="AW292" i="6"/>
  <c r="AW291" i="6"/>
  <c r="AW289" i="6"/>
  <c r="AW290" i="6"/>
  <c r="AW958" i="6"/>
  <c r="AW702" i="6"/>
  <c r="AW703" i="6"/>
  <c r="AW704" i="6"/>
  <c r="AW858" i="6"/>
  <c r="AW859" i="6"/>
  <c r="AW120" i="6"/>
  <c r="AW118" i="6"/>
  <c r="AW489" i="6"/>
  <c r="AW609" i="6"/>
  <c r="AW610" i="6"/>
  <c r="AW313" i="6"/>
  <c r="AW311" i="6"/>
  <c r="AW312" i="6"/>
  <c r="AW309" i="6"/>
  <c r="AW99" i="6"/>
  <c r="AW310" i="6"/>
  <c r="AW98" i="6"/>
  <c r="AW96" i="6"/>
  <c r="AW97" i="6"/>
  <c r="AW93" i="6"/>
  <c r="AW95" i="6"/>
  <c r="AW94" i="6"/>
  <c r="AW412" i="6"/>
  <c r="AW409" i="6"/>
  <c r="AW410" i="6"/>
  <c r="AW411" i="6"/>
  <c r="AW566" i="6"/>
  <c r="AW567" i="6"/>
  <c r="AW510" i="6"/>
  <c r="AW511" i="6"/>
  <c r="AW640" i="6"/>
  <c r="AW641" i="6"/>
  <c r="AW172" i="6"/>
  <c r="AW783" i="6"/>
  <c r="AW784" i="6"/>
  <c r="AW785" i="6"/>
  <c r="AW367" i="6"/>
  <c r="AW444" i="6"/>
  <c r="AW956" i="6"/>
  <c r="AW165" i="6"/>
  <c r="AW166" i="6"/>
  <c r="AW119" i="6"/>
  <c r="AW121" i="6"/>
  <c r="AW122" i="6"/>
  <c r="AW113" i="6"/>
  <c r="AW114" i="6"/>
  <c r="AW82" i="6"/>
  <c r="AW393" i="6"/>
  <c r="AW295" i="6"/>
  <c r="AW433" i="6"/>
  <c r="AW434" i="6"/>
  <c r="AW466" i="6"/>
  <c r="AW908" i="6"/>
  <c r="AW909" i="6"/>
  <c r="AW272" i="6"/>
  <c r="AW269" i="6"/>
  <c r="AW270" i="6"/>
  <c r="AW271" i="6"/>
  <c r="AW256" i="6"/>
  <c r="AW257" i="6"/>
  <c r="AW258" i="6"/>
  <c r="AW697" i="6"/>
  <c r="AW698" i="6"/>
  <c r="AW699" i="6"/>
  <c r="AW834" i="6"/>
  <c r="AW835" i="6"/>
  <c r="AW545" i="6"/>
  <c r="AW546" i="6"/>
  <c r="AW888" i="6"/>
  <c r="AW889" i="6"/>
  <c r="AW188" i="6"/>
  <c r="AW875" i="6"/>
  <c r="AW876" i="6"/>
  <c r="AW671" i="6"/>
  <c r="AW105" i="6"/>
  <c r="AW109" i="6"/>
  <c r="AW110" i="6"/>
  <c r="AW102" i="6"/>
  <c r="AW103" i="6"/>
  <c r="AW966" i="6"/>
  <c r="AW949" i="6"/>
  <c r="AW186" i="6"/>
  <c r="AW183" i="6"/>
  <c r="AW184" i="6"/>
  <c r="AW187" i="6"/>
  <c r="AW185" i="6"/>
  <c r="AW180" i="6"/>
  <c r="AW181" i="6"/>
  <c r="AW46" i="6"/>
  <c r="AW285" i="6"/>
  <c r="AW67" i="6"/>
  <c r="AW803" i="6"/>
  <c r="AW804" i="6"/>
  <c r="AW666" i="6"/>
  <c r="AW667" i="6"/>
  <c r="AW518" i="6"/>
  <c r="AW520" i="6"/>
  <c r="AW519" i="6"/>
  <c r="AW748" i="6"/>
  <c r="AW750" i="6"/>
  <c r="AW749" i="6"/>
  <c r="AW895" i="6"/>
  <c r="AW896" i="6"/>
  <c r="AW397" i="6"/>
  <c r="AW394" i="6"/>
  <c r="AW951" i="6"/>
  <c r="AW939" i="6"/>
  <c r="AW925" i="6"/>
  <c r="AW926" i="6"/>
  <c r="AW714" i="6"/>
  <c r="AW683" i="6"/>
  <c r="AW741" i="6"/>
  <c r="AW965" i="6"/>
  <c r="AW438" i="6"/>
  <c r="AW802" i="6"/>
  <c r="AW905" i="6"/>
  <c r="AW906" i="6"/>
  <c r="AW419" i="6"/>
  <c r="AW418" i="6"/>
  <c r="AW420" i="6"/>
  <c r="AW124" i="6"/>
  <c r="AW832" i="6"/>
  <c r="AW831" i="6"/>
  <c r="AW116" i="6"/>
  <c r="AW117" i="6"/>
  <c r="AW959" i="6"/>
  <c r="AW226" i="6"/>
  <c r="AW191" i="6"/>
  <c r="AW968" i="6"/>
  <c r="AW658" i="6"/>
  <c r="AW657" i="6"/>
  <c r="AW659" i="6"/>
  <c r="AW982" i="6"/>
  <c r="AW969" i="6"/>
  <c r="AW729" i="6"/>
  <c r="AW728" i="6"/>
  <c r="AW730" i="6"/>
  <c r="AW468" i="6"/>
  <c r="AW467" i="6"/>
  <c r="AW469" i="6"/>
  <c r="AW963" i="6"/>
  <c r="AW416" i="6"/>
  <c r="AW417" i="6"/>
  <c r="AW421" i="6"/>
  <c r="AW833" i="6"/>
  <c r="AW709" i="6"/>
  <c r="AW639" i="6"/>
  <c r="AW604" i="6"/>
  <c r="AW565" i="6"/>
  <c r="AW526" i="6"/>
  <c r="AW493" i="6"/>
  <c r="AW440" i="6"/>
  <c r="AW403" i="6"/>
  <c r="AW837" i="6"/>
  <c r="AW836" i="6"/>
  <c r="AW717" i="6"/>
  <c r="AW716" i="6"/>
  <c r="AW718" i="6"/>
  <c r="AW864" i="6"/>
  <c r="AW863" i="6"/>
  <c r="AW387" i="6"/>
  <c r="AW384" i="6"/>
  <c r="AW386" i="6"/>
  <c r="AW385" i="6"/>
  <c r="AW389" i="6"/>
  <c r="AW891" i="6"/>
  <c r="AW894" i="6"/>
  <c r="AW780" i="6"/>
  <c r="AW779" i="6"/>
  <c r="AW781" i="6"/>
  <c r="AW176" i="6"/>
  <c r="AW541" i="6"/>
  <c r="AW175" i="6"/>
  <c r="AW540" i="6"/>
  <c r="AW542" i="6"/>
  <c r="AW771" i="6"/>
  <c r="AW772" i="6"/>
  <c r="AW773" i="6"/>
  <c r="AW366" i="6"/>
  <c r="AW408" i="6"/>
  <c r="AW451" i="6"/>
  <c r="AW127" i="6"/>
  <c r="AW64" i="6"/>
  <c r="AW922" i="6"/>
  <c r="AW907" i="6"/>
  <c r="AW196" i="6"/>
  <c r="AW195" i="6"/>
  <c r="AW241" i="6"/>
  <c r="AW259" i="6"/>
  <c r="AW252" i="6"/>
  <c r="AW253" i="6"/>
  <c r="AW254" i="6"/>
  <c r="AW320" i="6"/>
  <c r="AW315" i="6"/>
  <c r="AW319" i="6"/>
  <c r="AW316" i="6"/>
  <c r="AW318" i="6"/>
  <c r="AW317" i="6"/>
  <c r="AW943" i="6"/>
  <c r="AW942" i="6"/>
  <c r="AW980" i="6"/>
  <c r="AW237" i="6"/>
  <c r="AW160" i="6"/>
  <c r="AW157" i="6"/>
  <c r="AW158" i="6"/>
  <c r="AW156" i="6"/>
  <c r="AW161" i="6"/>
  <c r="AW154" i="6"/>
  <c r="AW159" i="6"/>
  <c r="AW155" i="6"/>
  <c r="AW572" i="6"/>
  <c r="AW50" i="6"/>
  <c r="AW51" i="6"/>
  <c r="AW52" i="6"/>
  <c r="AW47" i="6"/>
  <c r="AW48" i="6"/>
  <c r="AW9" i="6"/>
  <c r="AW10" i="6"/>
  <c r="AW7" i="6"/>
  <c r="AW6" i="6"/>
  <c r="AW8" i="6"/>
  <c r="AW946" i="6"/>
  <c r="AW568" i="6"/>
  <c r="AW945" i="6"/>
  <c r="AW796" i="6"/>
  <c r="AW797" i="6"/>
  <c r="AW798" i="6"/>
  <c r="AW106" i="6"/>
  <c r="AW107" i="6"/>
  <c r="AW108" i="6"/>
  <c r="AW216" i="6"/>
  <c r="AW210" i="6"/>
  <c r="AW211" i="6"/>
  <c r="AW218" i="6"/>
  <c r="AW217" i="6"/>
  <c r="AW207" i="6"/>
  <c r="AW206" i="6"/>
  <c r="AW214" i="6"/>
  <c r="AW215" i="6"/>
  <c r="AW208" i="6"/>
  <c r="AW978" i="6"/>
  <c r="AW343" i="6"/>
  <c r="AW342" i="6"/>
  <c r="AW162" i="6"/>
  <c r="AW131" i="6"/>
  <c r="AW135" i="6"/>
  <c r="AW136" i="6"/>
  <c r="AW128" i="6"/>
  <c r="AW132" i="6"/>
  <c r="AW129" i="6"/>
  <c r="AW380" i="6"/>
  <c r="AW379" i="6"/>
  <c r="AW381" i="6"/>
  <c r="AW632" i="6"/>
  <c r="AW629" i="6"/>
  <c r="AW628" i="6"/>
  <c r="AW630" i="6"/>
  <c r="AW395" i="6"/>
  <c r="AW396" i="6"/>
  <c r="AW19" i="6"/>
  <c r="AW24" i="6"/>
  <c r="AW811" i="6"/>
  <c r="AW325" i="6"/>
  <c r="AW326" i="6"/>
  <c r="AW324" i="6"/>
  <c r="AW812" i="6"/>
  <c r="AW810" i="6"/>
  <c r="AW354" i="6"/>
  <c r="AW882" i="6"/>
  <c r="AW881" i="6"/>
  <c r="AW212" i="6"/>
  <c r="AW213" i="6"/>
  <c r="AW521" i="6"/>
  <c r="AW522" i="6"/>
  <c r="AW829" i="6"/>
  <c r="AW578" i="6"/>
  <c r="AW424" i="6"/>
  <c r="AW425" i="6"/>
  <c r="AW423" i="6"/>
  <c r="AW458" i="6"/>
  <c r="AW223" i="6"/>
  <c r="AW222" i="6"/>
  <c r="AW221" i="6"/>
  <c r="AW938" i="6"/>
  <c r="AW937" i="6"/>
  <c r="AW846" i="6"/>
  <c r="AW845" i="6"/>
  <c r="AW388" i="6"/>
  <c r="AW177" i="6"/>
  <c r="AW988" i="6"/>
  <c r="AW378" i="6"/>
  <c r="AW377" i="6"/>
  <c r="AW473" i="6"/>
  <c r="AW474" i="6"/>
  <c r="AW472" i="6"/>
  <c r="AW760" i="6"/>
  <c r="AW924" i="6"/>
  <c r="AW923" i="6"/>
  <c r="AW929" i="6"/>
  <c r="AW928" i="6"/>
  <c r="AW934" i="6"/>
  <c r="AW933" i="6"/>
  <c r="AW950" i="6"/>
  <c r="AW873" i="6"/>
  <c r="AW452" i="6"/>
  <c r="AW605" i="6"/>
  <c r="AW955" i="6"/>
  <c r="AW413" i="6"/>
  <c r="AW414" i="6"/>
  <c r="AW224" i="6"/>
  <c r="AW225" i="6"/>
  <c r="AW948" i="6"/>
  <c r="AW543" i="6"/>
  <c r="AW506" i="6"/>
  <c r="AW147" i="6"/>
  <c r="AW145" i="6"/>
  <c r="AW144" i="6"/>
  <c r="AW141" i="6"/>
  <c r="AW142" i="6"/>
  <c r="AW140" i="6"/>
  <c r="AW918" i="6"/>
  <c r="AW707" i="6"/>
  <c r="AW677" i="6"/>
  <c r="AW308" i="6"/>
  <c r="AW262" i="6"/>
  <c r="AW192" i="6"/>
  <c r="AW126" i="6"/>
  <c r="AW66" i="6"/>
  <c r="AW146" i="6"/>
  <c r="AW947" i="6"/>
  <c r="AW936" i="6"/>
  <c r="AW919" i="6"/>
  <c r="AW904" i="6"/>
  <c r="AW890" i="6"/>
  <c r="AW874" i="6"/>
  <c r="AW860" i="6"/>
  <c r="AW849" i="6"/>
  <c r="AW920" i="6"/>
  <c r="AW645" i="6"/>
  <c r="AW734" i="6"/>
  <c r="AW735" i="6"/>
  <c r="AW733" i="6"/>
  <c r="AW486" i="6"/>
  <c r="AW485" i="6"/>
  <c r="AW123" i="6"/>
  <c r="AW335" i="6"/>
  <c r="AW179" i="6"/>
  <c r="AW54" i="6"/>
  <c r="AW263" i="6"/>
  <c r="AW555" i="6"/>
  <c r="AW745" i="6"/>
  <c r="AW348" i="6"/>
  <c r="AW351" i="6"/>
  <c r="AW350" i="6"/>
  <c r="AW345" i="6"/>
  <c r="AW349" i="6"/>
  <c r="AW346" i="6"/>
  <c r="AW352" i="6"/>
  <c r="AW347" i="6"/>
  <c r="AW344" i="6"/>
  <c r="AW746" i="6"/>
  <c r="AW744" i="6"/>
  <c r="AW999" i="6"/>
  <c r="AW996" i="6"/>
  <c r="AW1012" i="6"/>
  <c r="AW1009" i="6"/>
  <c r="AW991" i="6"/>
  <c r="AW1001" i="6"/>
  <c r="J353" i="11"/>
  <c r="J343" i="11"/>
  <c r="J357" i="11"/>
  <c r="J400" i="11"/>
  <c r="J379" i="11"/>
  <c r="J338" i="11"/>
  <c r="J374" i="11"/>
  <c r="J383" i="11"/>
  <c r="J356" i="11"/>
  <c r="J354" i="11"/>
  <c r="J399" i="11"/>
  <c r="J344" i="11"/>
  <c r="J413" i="11"/>
  <c r="J333" i="11"/>
  <c r="J380" i="11"/>
  <c r="J397" i="11"/>
  <c r="J327" i="11"/>
  <c r="J335" i="11"/>
  <c r="J336" i="11"/>
  <c r="J398" i="11"/>
  <c r="J341" i="11"/>
  <c r="J340" i="11"/>
  <c r="J729" i="11"/>
  <c r="J689" i="11"/>
  <c r="J720" i="11"/>
  <c r="J688" i="11"/>
  <c r="J728" i="11"/>
  <c r="J698" i="11"/>
  <c r="J701" i="11"/>
  <c r="J730" i="11"/>
  <c r="J714" i="11"/>
  <c r="J719" i="11"/>
  <c r="J721" i="11"/>
  <c r="J691" i="11"/>
  <c r="J690" i="11"/>
  <c r="J694" i="11"/>
  <c r="J727" i="11"/>
  <c r="J717" i="11"/>
  <c r="J711" i="11"/>
  <c r="J707" i="11"/>
  <c r="J704" i="11"/>
  <c r="J722" i="11"/>
  <c r="J716" i="11"/>
  <c r="J718" i="11"/>
  <c r="J686" i="11"/>
  <c r="J725" i="11"/>
  <c r="J723" i="11"/>
  <c r="J705" i="11"/>
  <c r="J726" i="11"/>
  <c r="J703" i="11"/>
  <c r="J696" i="11"/>
  <c r="J709" i="11"/>
  <c r="J692" i="11"/>
  <c r="J693" i="11"/>
  <c r="J697" i="11"/>
  <c r="J683" i="11"/>
  <c r="J695" i="11"/>
  <c r="J713" i="11"/>
  <c r="J715" i="11"/>
  <c r="J702" i="11"/>
  <c r="J706" i="11"/>
  <c r="J724" i="11"/>
  <c r="J699" i="11"/>
  <c r="J700" i="11"/>
  <c r="J710" i="11"/>
  <c r="J687" i="11"/>
  <c r="J54" i="11"/>
  <c r="J197" i="11"/>
  <c r="J196" i="11"/>
  <c r="J198" i="11"/>
  <c r="J193" i="11"/>
  <c r="J192" i="11"/>
  <c r="J123" i="11"/>
  <c r="J128" i="11"/>
  <c r="J100" i="11"/>
  <c r="J97" i="11"/>
  <c r="J96" i="11"/>
  <c r="J101" i="11"/>
  <c r="J205" i="11"/>
  <c r="J207" i="11"/>
  <c r="J206" i="11"/>
  <c r="J209" i="11"/>
  <c r="J208" i="11"/>
  <c r="J33" i="11"/>
  <c r="J34" i="11"/>
  <c r="J81" i="11"/>
  <c r="J80" i="11"/>
  <c r="J79" i="11"/>
  <c r="J78" i="11"/>
  <c r="J52" i="11"/>
  <c r="J45" i="11"/>
  <c r="J49" i="11"/>
  <c r="J48" i="11"/>
  <c r="J151" i="11"/>
  <c r="J152" i="11"/>
  <c r="J157" i="11"/>
  <c r="J150" i="11"/>
  <c r="J175" i="11"/>
  <c r="J170" i="11"/>
  <c r="J171" i="11"/>
  <c r="J172" i="11"/>
  <c r="J93" i="11"/>
  <c r="J92" i="11"/>
  <c r="J90" i="11"/>
  <c r="J91" i="11"/>
  <c r="J158" i="11"/>
  <c r="J165" i="11"/>
  <c r="J161" i="11"/>
  <c r="J162" i="11"/>
  <c r="J235" i="11"/>
  <c r="J229" i="11"/>
  <c r="J228" i="11"/>
  <c r="J230" i="11"/>
  <c r="J65" i="11"/>
  <c r="J68" i="11"/>
  <c r="J67" i="11"/>
  <c r="J66" i="11"/>
  <c r="J254" i="11"/>
  <c r="J251" i="11"/>
  <c r="J64" i="11"/>
  <c r="J61" i="11"/>
  <c r="J60" i="11"/>
  <c r="J59" i="11"/>
  <c r="J221" i="11"/>
  <c r="J220" i="11"/>
  <c r="J226" i="11"/>
  <c r="J227" i="11"/>
  <c r="J136" i="11"/>
  <c r="J134" i="11"/>
  <c r="J133" i="11"/>
  <c r="J135" i="11"/>
  <c r="J141" i="11"/>
  <c r="J178" i="11"/>
  <c r="J179" i="11"/>
  <c r="J189" i="11"/>
  <c r="J190" i="11"/>
  <c r="J187" i="11"/>
  <c r="J188" i="11"/>
  <c r="J191" i="11"/>
  <c r="J219" i="11"/>
  <c r="J216" i="11"/>
  <c r="J247" i="11"/>
  <c r="J248" i="11"/>
  <c r="J245" i="11"/>
  <c r="J246" i="11"/>
  <c r="J75" i="11"/>
  <c r="J74" i="11"/>
  <c r="J56" i="11"/>
  <c r="J55" i="11"/>
  <c r="J53" i="11"/>
  <c r="J86" i="11"/>
  <c r="J89" i="11"/>
  <c r="J489" i="11"/>
  <c r="J501" i="11"/>
  <c r="J502" i="11"/>
  <c r="J484" i="11"/>
  <c r="J483" i="11"/>
  <c r="J486" i="11"/>
  <c r="J485" i="11"/>
  <c r="J488" i="11"/>
  <c r="J487" i="11"/>
  <c r="J491" i="11"/>
  <c r="J490" i="11"/>
  <c r="J495" i="11"/>
  <c r="J494" i="11"/>
  <c r="J500" i="11"/>
  <c r="J499" i="11"/>
  <c r="J496" i="11"/>
  <c r="J498" i="11"/>
  <c r="J497" i="11"/>
  <c r="J507" i="11"/>
  <c r="J506" i="11"/>
  <c r="J509" i="11"/>
  <c r="J508" i="11"/>
  <c r="J513" i="11"/>
  <c r="J512" i="11"/>
  <c r="J493" i="11"/>
  <c r="J492" i="11"/>
  <c r="J503" i="11"/>
  <c r="J505" i="11"/>
  <c r="J504" i="11"/>
  <c r="J511" i="11"/>
  <c r="J510" i="11"/>
  <c r="J515" i="11"/>
  <c r="J514" i="11"/>
  <c r="J516" i="11"/>
  <c r="J46" i="11"/>
  <c r="J57" i="11"/>
  <c r="J70" i="11"/>
  <c r="J76" i="11"/>
  <c r="J84" i="11"/>
  <c r="J94" i="11"/>
  <c r="J102" i="11"/>
  <c r="J115" i="11"/>
  <c r="J107" i="11"/>
  <c r="J111" i="11"/>
  <c r="J119" i="11"/>
  <c r="J124" i="11"/>
  <c r="J129" i="11"/>
  <c r="J137" i="11"/>
  <c r="J142" i="11"/>
  <c r="J146" i="11"/>
  <c r="J153" i="11"/>
  <c r="J159" i="11"/>
  <c r="J168" i="11"/>
  <c r="J176" i="11"/>
  <c r="J182" i="11"/>
  <c r="J194" i="11"/>
  <c r="J201" i="11"/>
  <c r="J210" i="11"/>
  <c r="J214" i="11"/>
  <c r="J222" i="11"/>
  <c r="J231" i="11"/>
  <c r="J237" i="11"/>
  <c r="J241" i="11"/>
  <c r="J249" i="11"/>
  <c r="J41" i="11"/>
  <c r="J39" i="11"/>
  <c r="J31" i="11"/>
  <c r="J236" i="11"/>
  <c r="J233" i="11"/>
  <c r="J109" i="11"/>
  <c r="J131" i="11"/>
  <c r="J117" i="11"/>
  <c r="J121" i="11"/>
  <c r="J62" i="11"/>
  <c r="J243" i="11"/>
  <c r="J203" i="11"/>
  <c r="J239" i="11"/>
  <c r="J173" i="11"/>
  <c r="J43" i="11"/>
  <c r="J113" i="11"/>
  <c r="J139" i="11"/>
  <c r="J155" i="11"/>
  <c r="J104" i="11"/>
  <c r="J69" i="11"/>
  <c r="J37" i="11"/>
  <c r="J144" i="11"/>
  <c r="J87" i="11"/>
  <c r="J224" i="11"/>
  <c r="J180" i="11"/>
  <c r="J184" i="11"/>
  <c r="J126" i="11"/>
  <c r="J35" i="11"/>
  <c r="J82" i="11"/>
  <c r="J212" i="11"/>
  <c r="J217" i="11"/>
  <c r="J252" i="11"/>
  <c r="J199" i="11"/>
  <c r="J72" i="11"/>
  <c r="J166" i="11"/>
  <c r="J98" i="11"/>
  <c r="J50" i="11"/>
  <c r="J163" i="11"/>
  <c r="J186" i="11"/>
  <c r="J106" i="11"/>
  <c r="J148" i="11"/>
  <c r="J32" i="11"/>
  <c r="J40" i="11"/>
  <c r="J42" i="11"/>
  <c r="J47" i="11"/>
  <c r="J58" i="11"/>
  <c r="J71" i="11"/>
  <c r="J77" i="11"/>
  <c r="J85" i="11"/>
  <c r="J95" i="11"/>
  <c r="J103" i="11"/>
  <c r="J116" i="11"/>
  <c r="J108" i="11"/>
  <c r="J112" i="11"/>
  <c r="J120" i="11"/>
  <c r="J125" i="11"/>
  <c r="J130" i="11"/>
  <c r="J138" i="11"/>
  <c r="J143" i="11"/>
  <c r="J147" i="11"/>
  <c r="J154" i="11"/>
  <c r="J160" i="11"/>
  <c r="J169" i="11"/>
  <c r="J177" i="11"/>
  <c r="J183" i="11"/>
  <c r="J195" i="11"/>
  <c r="J202" i="11"/>
  <c r="J211" i="11"/>
  <c r="J215" i="11"/>
  <c r="J223" i="11"/>
  <c r="J232" i="11"/>
  <c r="J238" i="11"/>
  <c r="J242" i="11"/>
  <c r="J250" i="11"/>
  <c r="J346" i="11"/>
  <c r="J348" i="11"/>
  <c r="J350" i="11"/>
  <c r="J352" i="11"/>
  <c r="J358" i="11"/>
  <c r="J364" i="11"/>
  <c r="J360" i="11"/>
  <c r="J362" i="11"/>
  <c r="J366" i="11"/>
  <c r="J368" i="11"/>
  <c r="J370" i="11"/>
  <c r="J372" i="11"/>
  <c r="J375" i="11"/>
  <c r="J377" i="11"/>
  <c r="J381" i="11"/>
  <c r="J384" i="11"/>
  <c r="J387" i="11"/>
  <c r="J389" i="11"/>
  <c r="J391" i="11"/>
  <c r="J393" i="11"/>
  <c r="J395" i="11"/>
  <c r="J401" i="11"/>
  <c r="J403" i="11"/>
  <c r="J405" i="11"/>
  <c r="J407" i="11"/>
  <c r="J409" i="11"/>
  <c r="J411" i="11"/>
  <c r="J414" i="11"/>
  <c r="J339" i="11"/>
  <c r="J334" i="11"/>
  <c r="J331" i="11"/>
  <c r="J330" i="11"/>
  <c r="J326" i="11"/>
  <c r="J685" i="11"/>
  <c r="J402" i="11"/>
  <c r="J213" i="11"/>
  <c r="B23" i="10"/>
  <c r="B11" i="10"/>
  <c r="B13" i="10"/>
  <c r="AO1007" i="6"/>
  <c r="AO1012" i="6"/>
  <c r="AO1006" i="6"/>
  <c r="AO1008" i="6"/>
  <c r="AO1010" i="6"/>
  <c r="AO1015" i="6"/>
  <c r="AO994" i="6"/>
  <c r="AO991" i="6"/>
  <c r="AO1018" i="6"/>
  <c r="AO1009" i="6"/>
  <c r="AO1023" i="6"/>
  <c r="AO1004" i="6"/>
  <c r="AO1017" i="6"/>
  <c r="AO1016" i="6"/>
  <c r="AO997" i="6"/>
  <c r="AO1024" i="6"/>
  <c r="AO995" i="6"/>
  <c r="AO1003" i="6"/>
  <c r="AO996" i="6"/>
  <c r="AO1011" i="6"/>
  <c r="AO1002" i="6"/>
  <c r="AO1019" i="6"/>
  <c r="AO1014" i="6"/>
  <c r="AO1022" i="6"/>
  <c r="AO1020" i="6"/>
  <c r="AO1005" i="6"/>
  <c r="AO3" i="6"/>
  <c r="AO999" i="6"/>
  <c r="AO1001" i="6"/>
  <c r="AO1021" i="6"/>
  <c r="AO992" i="6"/>
  <c r="AO998" i="6"/>
  <c r="AO993" i="6"/>
  <c r="AO1013" i="6"/>
  <c r="AO1000" i="6"/>
  <c r="AO782" i="6"/>
  <c r="AO488" i="6"/>
  <c r="AO481" i="6"/>
  <c r="AO439" i="6"/>
  <c r="AO402" i="6"/>
  <c r="AO359" i="6"/>
  <c r="AO296" i="6"/>
  <c r="AO238" i="6"/>
  <c r="AO150" i="6"/>
  <c r="AO27" i="6"/>
  <c r="AO202" i="6"/>
  <c r="AO199" i="6"/>
  <c r="AO203" i="6"/>
  <c r="AO204" i="6"/>
  <c r="AO200" i="6"/>
  <c r="AO201" i="6"/>
  <c r="AO297" i="6"/>
  <c r="AO301" i="6"/>
  <c r="AO305" i="6"/>
  <c r="AO298" i="6"/>
  <c r="AO299" i="6"/>
  <c r="AO512" i="6"/>
  <c r="AO513" i="6"/>
  <c r="AO514" i="6"/>
  <c r="AO58" i="6"/>
  <c r="AO59" i="6"/>
  <c r="AO60" i="6"/>
  <c r="AO55" i="6"/>
  <c r="AO56" i="6"/>
  <c r="AO755" i="6"/>
  <c r="AO756" i="6"/>
  <c r="AO757" i="6"/>
  <c r="AO244" i="6"/>
  <c r="AO57" i="6"/>
  <c r="AO85" i="6"/>
  <c r="AO229" i="6"/>
  <c r="AO77" i="6"/>
  <c r="AO33" i="6"/>
  <c r="AO276" i="6"/>
  <c r="AO130" i="6"/>
  <c r="AO266" i="6"/>
  <c r="AO115" i="6"/>
  <c r="AO255" i="6"/>
  <c r="AO104" i="6"/>
  <c r="AO182" i="6"/>
  <c r="AO49" i="6"/>
  <c r="AO209" i="6"/>
  <c r="AO143" i="6"/>
  <c r="AO964" i="6"/>
  <c r="AO502" i="6"/>
  <c r="AO503" i="6"/>
  <c r="AO504" i="6"/>
  <c r="AO355" i="6"/>
  <c r="AO505" i="6"/>
  <c r="AO932" i="6"/>
  <c r="AO984" i="6"/>
  <c r="AO892" i="6"/>
  <c r="AO893" i="6"/>
  <c r="AO985" i="6"/>
  <c r="AO725" i="6"/>
  <c r="AO726" i="6"/>
  <c r="AO497" i="6"/>
  <c r="AO499" i="6"/>
  <c r="AO498" i="6"/>
  <c r="AO29" i="6"/>
  <c r="AO28" i="6"/>
  <c r="AO26" i="6"/>
  <c r="AO25" i="6"/>
  <c r="AO356" i="6"/>
  <c r="AO961" i="6"/>
  <c r="AO930" i="6"/>
  <c r="AO911" i="6"/>
  <c r="AO897" i="6"/>
  <c r="AO883" i="6"/>
  <c r="AO869" i="6"/>
  <c r="AO854" i="6"/>
  <c r="AO840" i="6"/>
  <c r="AO822" i="6"/>
  <c r="AO441" i="6"/>
  <c r="AO443" i="6"/>
  <c r="AO442" i="6"/>
  <c r="AO17" i="6"/>
  <c r="AO935" i="6"/>
  <c r="AO92" i="6"/>
  <c r="AO91" i="6"/>
  <c r="AO90" i="6"/>
  <c r="AO952" i="6"/>
  <c r="AO668" i="6"/>
  <c r="AO669" i="6"/>
  <c r="AO670" i="6"/>
  <c r="AO13" i="6"/>
  <c r="AO15" i="6"/>
  <c r="AO16" i="6"/>
  <c r="AO14" i="6"/>
  <c r="AO12" i="6"/>
  <c r="AO251" i="6"/>
  <c r="AO250" i="6"/>
  <c r="AO247" i="6"/>
  <c r="AO248" i="6"/>
  <c r="AO554" i="6"/>
  <c r="AO556" i="6"/>
  <c r="AO557" i="6"/>
  <c r="AO915" i="6"/>
  <c r="AO621" i="6"/>
  <c r="AO455" i="6"/>
  <c r="AO456" i="6"/>
  <c r="AO457" i="6"/>
  <c r="AO903" i="6"/>
  <c r="AO838" i="6"/>
  <c r="AO839" i="6"/>
  <c r="AO558" i="6"/>
  <c r="AO178" i="6"/>
  <c r="AO86" i="6"/>
  <c r="AO87" i="6"/>
  <c r="AO88" i="6"/>
  <c r="AO83" i="6"/>
  <c r="AO84" i="6"/>
  <c r="AO618" i="6"/>
  <c r="AO622" i="6"/>
  <c r="AO619" i="6"/>
  <c r="AO620" i="6"/>
  <c r="AO100" i="6"/>
  <c r="AO101" i="6"/>
  <c r="AO960" i="6"/>
  <c r="AO261" i="6"/>
  <c r="AO847" i="6"/>
  <c r="AO848" i="6"/>
  <c r="AO818" i="6"/>
  <c r="AO306" i="6"/>
  <c r="AO970" i="6"/>
  <c r="AO971" i="6"/>
  <c r="AO927" i="6"/>
  <c r="AO813" i="6"/>
  <c r="AO814" i="6"/>
  <c r="AO815" i="6"/>
  <c r="AO987" i="6"/>
  <c r="AO693" i="6"/>
  <c r="AO694" i="6"/>
  <c r="AO695" i="6"/>
  <c r="AO626" i="6"/>
  <c r="AO627" i="6"/>
  <c r="AO590" i="6"/>
  <c r="AO592" i="6"/>
  <c r="AO591" i="6"/>
  <c r="AO551" i="6"/>
  <c r="AO553" i="6"/>
  <c r="AO552" i="6"/>
  <c r="AO523" i="6"/>
  <c r="AO525" i="6"/>
  <c r="AO524" i="6"/>
  <c r="AO490" i="6"/>
  <c r="AO492" i="6"/>
  <c r="AO491" i="6"/>
  <c r="AO435" i="6"/>
  <c r="AO437" i="6"/>
  <c r="AO436" i="6"/>
  <c r="AO399" i="6"/>
  <c r="AO401" i="6"/>
  <c r="AO400" i="6"/>
  <c r="AO373" i="6"/>
  <c r="AO375" i="6"/>
  <c r="AO374" i="6"/>
  <c r="AO321" i="6"/>
  <c r="AO323" i="6"/>
  <c r="AO322" i="6"/>
  <c r="AO500" i="6"/>
  <c r="AO501" i="6"/>
  <c r="AO453" i="6"/>
  <c r="AO454" i="6"/>
  <c r="AO273" i="6"/>
  <c r="AO337" i="6"/>
  <c r="AO338" i="6"/>
  <c r="AO339" i="6"/>
  <c r="AO340" i="6"/>
  <c r="AO246" i="6"/>
  <c r="AO249" i="6"/>
  <c r="AO149" i="6"/>
  <c r="AO148" i="6"/>
  <c r="AO655" i="6"/>
  <c r="AO656" i="6"/>
  <c r="AO761" i="6"/>
  <c r="AO762" i="6"/>
  <c r="AO763" i="6"/>
  <c r="AO606" i="6"/>
  <c r="AO607" i="6"/>
  <c r="AO608" i="6"/>
  <c r="AO532" i="6"/>
  <c r="AO533" i="6"/>
  <c r="AO445" i="6"/>
  <c r="AO446" i="6"/>
  <c r="AO447" i="6"/>
  <c r="AO404" i="6"/>
  <c r="AO405" i="6"/>
  <c r="AO406" i="6"/>
  <c r="AO363" i="6"/>
  <c r="AO364" i="6"/>
  <c r="AO365" i="6"/>
  <c r="AO89" i="6"/>
  <c r="AO281" i="6"/>
  <c r="AO284" i="6"/>
  <c r="AO283" i="6"/>
  <c r="AO282" i="6"/>
  <c r="AO674" i="6"/>
  <c r="AO675" i="6"/>
  <c r="AO676" i="6"/>
  <c r="AO852" i="6"/>
  <c r="AO853" i="6"/>
  <c r="AO962" i="6"/>
  <c r="AO827" i="6"/>
  <c r="AO887" i="6"/>
  <c r="AO614" i="6"/>
  <c r="AO816" i="6"/>
  <c r="AO817" i="6"/>
  <c r="AO232" i="6"/>
  <c r="AO138" i="6"/>
  <c r="AO137" i="6"/>
  <c r="AO459" i="6"/>
  <c r="AO189" i="6"/>
  <c r="AO190" i="6"/>
  <c r="AO460" i="6"/>
  <c r="AO233" i="6"/>
  <c r="AO234" i="6"/>
  <c r="AO235" i="6"/>
  <c r="AO231" i="6"/>
  <c r="AO236" i="6"/>
  <c r="AO227" i="6"/>
  <c r="AO230" i="6"/>
  <c r="AO228" i="6"/>
  <c r="AO242" i="6"/>
  <c r="AO243" i="6"/>
  <c r="AO357" i="6"/>
  <c r="AO358" i="6"/>
  <c r="AO979" i="6"/>
  <c r="AO642" i="6"/>
  <c r="AO643" i="6"/>
  <c r="AO644" i="6"/>
  <c r="AO569" i="6"/>
  <c r="AO570" i="6"/>
  <c r="AO571" i="6"/>
  <c r="AO588" i="6"/>
  <c r="AO589" i="6"/>
  <c r="AO582" i="6"/>
  <c r="AO583" i="6"/>
  <c r="AO584" i="6"/>
  <c r="AO585" i="6"/>
  <c r="AO586" i="6"/>
  <c r="AO587" i="6"/>
  <c r="AO687" i="6"/>
  <c r="AO688" i="6"/>
  <c r="AO544" i="6"/>
  <c r="AO758" i="6"/>
  <c r="AO759" i="6"/>
  <c r="AO573" i="6"/>
  <c r="AO719" i="6"/>
  <c r="AO720" i="6"/>
  <c r="AO790" i="6"/>
  <c r="AO791" i="6"/>
  <c r="AO461" i="6"/>
  <c r="AO462" i="6"/>
  <c r="AO742" i="6"/>
  <c r="AO743" i="6"/>
  <c r="AO633" i="6"/>
  <c r="AO634" i="6"/>
  <c r="AO660" i="6"/>
  <c r="AO661" i="6"/>
  <c r="AO769" i="6"/>
  <c r="AO770" i="6"/>
  <c r="AO616" i="6"/>
  <c r="AO617" i="6"/>
  <c r="AO700" i="6"/>
  <c r="AO701" i="6"/>
  <c r="AO479" i="6"/>
  <c r="AO480" i="6"/>
  <c r="AO508" i="6"/>
  <c r="AO509" i="6"/>
  <c r="AO696" i="6"/>
  <c r="AO531" i="6"/>
  <c r="AO731" i="6"/>
  <c r="AO732" i="6"/>
  <c r="AO646" i="6"/>
  <c r="AO647" i="6"/>
  <c r="AO596" i="6"/>
  <c r="AO672" i="6"/>
  <c r="AO673" i="6"/>
  <c r="AO559" i="6"/>
  <c r="AO764" i="6"/>
  <c r="AO736" i="6"/>
  <c r="AO708" i="6"/>
  <c r="AO678" i="6"/>
  <c r="AO651" i="6"/>
  <c r="AO603" i="6"/>
  <c r="AO727" i="6"/>
  <c r="AO79" i="6"/>
  <c r="AO80" i="6"/>
  <c r="AO78" i="6"/>
  <c r="AO75" i="6"/>
  <c r="AO76" i="6"/>
  <c r="AO34" i="6"/>
  <c r="AO35" i="6"/>
  <c r="AO36" i="6"/>
  <c r="AO31" i="6"/>
  <c r="AO32" i="6"/>
  <c r="AO30" i="6"/>
  <c r="AO861" i="6"/>
  <c r="AO862" i="6"/>
  <c r="AO535" i="6"/>
  <c r="AO536" i="6"/>
  <c r="AO537" i="6"/>
  <c r="AO538" i="6"/>
  <c r="AO539" i="6"/>
  <c r="AO205" i="6"/>
  <c r="AO910" i="6"/>
  <c r="AO776" i="6"/>
  <c r="AO777" i="6"/>
  <c r="AO778" i="6"/>
  <c r="AO940" i="6"/>
  <c r="AO941" i="6"/>
  <c r="AO239" i="6"/>
  <c r="AO194" i="6"/>
  <c r="AO151" i="6"/>
  <c r="AO476" i="6"/>
  <c r="AO631" i="6"/>
  <c r="AO976" i="6"/>
  <c r="AO111" i="6"/>
  <c r="AO112" i="6"/>
  <c r="AO577" i="6"/>
  <c r="AO574" i="6"/>
  <c r="AO575" i="6"/>
  <c r="AO576" i="6"/>
  <c r="AO850" i="6"/>
  <c r="AO851" i="6"/>
  <c r="AO954" i="6"/>
  <c r="AO44" i="6"/>
  <c r="AO45" i="6"/>
  <c r="AO41" i="6"/>
  <c r="AO42" i="6"/>
  <c r="AO43" i="6"/>
  <c r="AO38" i="6"/>
  <c r="AO40" i="6"/>
  <c r="AO39" i="6"/>
  <c r="AO37" i="6"/>
  <c r="AO983" i="6"/>
  <c r="AO302" i="6"/>
  <c r="AO304" i="6"/>
  <c r="AO303" i="6"/>
  <c r="AO300" i="6"/>
  <c r="AO70" i="6"/>
  <c r="AO71" i="6"/>
  <c r="AO74" i="6"/>
  <c r="AO73" i="6"/>
  <c r="AO72" i="6"/>
  <c r="AO68" i="6"/>
  <c r="AO69" i="6"/>
  <c r="AO973" i="6"/>
  <c r="AO974" i="6"/>
  <c r="AO913" i="6"/>
  <c r="AO900" i="6"/>
  <c r="AO886" i="6"/>
  <c r="AO872" i="6"/>
  <c r="AO857" i="6"/>
  <c r="AO842" i="6"/>
  <c r="AO824" i="6"/>
  <c r="AO808" i="6"/>
  <c r="AO788" i="6"/>
  <c r="AO766" i="6"/>
  <c r="AO740" i="6"/>
  <c r="AO713" i="6"/>
  <c r="AO682" i="6"/>
  <c r="AO654" i="6"/>
  <c r="AO625" i="6"/>
  <c r="AO580" i="6"/>
  <c r="AO549" i="6"/>
  <c r="AO516" i="6"/>
  <c r="AO471" i="6"/>
  <c r="AO560" i="6"/>
  <c r="AO597" i="6"/>
  <c r="AO775" i="6"/>
  <c r="AO751" i="6"/>
  <c r="AO689" i="6"/>
  <c r="AO534" i="6"/>
  <c r="AO662" i="6"/>
  <c r="AO721" i="6"/>
  <c r="AO475" i="6"/>
  <c r="AO635" i="6"/>
  <c r="AO799" i="6"/>
  <c r="AO800" i="6"/>
  <c r="AO260" i="6"/>
  <c r="AO391" i="6"/>
  <c r="AO392" i="6"/>
  <c r="AO426" i="6"/>
  <c r="AO219" i="6"/>
  <c r="AO220" i="6"/>
  <c r="AO648" i="6"/>
  <c r="AO649" i="6"/>
  <c r="AO650" i="6"/>
  <c r="AO450" i="6"/>
  <c r="AO801" i="6"/>
  <c r="AO398" i="6"/>
  <c r="AO427" i="6"/>
  <c r="AO428" i="6"/>
  <c r="AO432" i="6"/>
  <c r="AO819" i="6"/>
  <c r="AO820" i="6"/>
  <c r="AO429" i="6"/>
  <c r="AO430" i="6"/>
  <c r="AO431" i="6"/>
  <c r="AO921" i="6"/>
  <c r="AO825" i="6"/>
  <c r="AO809" i="6"/>
  <c r="AO977" i="6"/>
  <c r="AO487" i="6"/>
  <c r="AO390" i="6"/>
  <c r="AO376" i="6"/>
  <c r="AO368" i="6"/>
  <c r="AO327" i="6"/>
  <c r="AO314" i="6"/>
  <c r="AO240" i="6"/>
  <c r="AO152" i="6"/>
  <c r="AO877" i="6"/>
  <c r="AO967" i="6"/>
  <c r="AO494" i="6"/>
  <c r="AO495" i="6"/>
  <c r="AO496" i="6"/>
  <c r="AO972" i="6"/>
  <c r="AO477" i="6"/>
  <c r="AO478" i="6"/>
  <c r="AO679" i="6"/>
  <c r="AO370" i="6"/>
  <c r="AO371" i="6"/>
  <c r="AO372" i="6"/>
  <c r="AO684" i="6"/>
  <c r="AO685" i="6"/>
  <c r="AO63" i="6"/>
  <c r="AO62" i="6"/>
  <c r="AO686" i="6"/>
  <c r="AO279" i="6"/>
  <c r="AO277" i="6"/>
  <c r="AO280" i="6"/>
  <c r="AO278" i="6"/>
  <c r="AO274" i="6"/>
  <c r="AO293" i="6"/>
  <c r="AO286" i="6"/>
  <c r="AO288" i="6"/>
  <c r="AO287" i="6"/>
  <c r="AO986" i="6"/>
  <c r="AO957" i="6"/>
  <c r="AO901" i="6"/>
  <c r="AO902" i="6"/>
  <c r="AO483" i="6"/>
  <c r="AO484" i="6"/>
  <c r="AO482" i="6"/>
  <c r="AO868" i="6"/>
  <c r="AO61" i="6"/>
  <c r="AO615" i="6"/>
  <c r="AO611" i="6"/>
  <c r="AO612" i="6"/>
  <c r="AO613" i="6"/>
  <c r="AO944" i="6"/>
  <c r="AO931" i="6"/>
  <c r="AO912" i="6"/>
  <c r="AO899" i="6"/>
  <c r="AO885" i="6"/>
  <c r="AO870" i="6"/>
  <c r="AO855" i="6"/>
  <c r="AO844" i="6"/>
  <c r="AO826" i="6"/>
  <c r="AO806" i="6"/>
  <c r="AO789" i="6"/>
  <c r="AO768" i="6"/>
  <c r="AO739" i="6"/>
  <c r="AO711" i="6"/>
  <c r="AO681" i="6"/>
  <c r="AO653" i="6"/>
  <c r="AO624" i="6"/>
  <c r="AO581" i="6"/>
  <c r="AO548" i="6"/>
  <c r="AO517" i="6"/>
  <c r="AO470" i="6"/>
  <c r="AO415" i="6"/>
  <c r="AO383" i="6"/>
  <c r="AO336" i="6"/>
  <c r="AO275" i="6"/>
  <c r="AO193" i="6"/>
  <c r="AO879" i="6"/>
  <c r="AO880" i="6"/>
  <c r="AO198" i="6"/>
  <c r="AO197" i="6"/>
  <c r="AO361" i="6"/>
  <c r="AO362" i="6"/>
  <c r="AO360" i="6"/>
  <c r="AO294" i="6"/>
  <c r="AO823" i="6"/>
  <c r="AO841" i="6"/>
  <c r="AO914" i="6"/>
  <c r="AO133" i="6"/>
  <c r="AO134" i="6"/>
  <c r="AO528" i="6"/>
  <c r="AO527" i="6"/>
  <c r="AO529" i="6"/>
  <c r="AO341" i="6"/>
  <c r="AO530" i="6"/>
  <c r="AO334" i="6"/>
  <c r="AO332" i="6"/>
  <c r="AO333" i="6"/>
  <c r="AO330" i="6"/>
  <c r="AO328" i="6"/>
  <c r="AO331" i="6"/>
  <c r="AO329" i="6"/>
  <c r="AO267" i="6"/>
  <c r="AO264" i="6"/>
  <c r="AO268" i="6"/>
  <c r="AO265" i="6"/>
  <c r="AO593" i="6"/>
  <c r="AO594" i="6"/>
  <c r="AO595" i="6"/>
  <c r="AO680" i="6"/>
  <c r="AO652" i="6"/>
  <c r="AO623" i="6"/>
  <c r="AO579" i="6"/>
  <c r="AO547" i="6"/>
  <c r="AO515" i="6"/>
  <c r="AO710" i="6"/>
  <c r="AO507" i="6"/>
  <c r="AO550" i="6"/>
  <c r="AO981" i="6"/>
  <c r="AO865" i="6"/>
  <c r="AO866" i="6"/>
  <c r="AO990" i="6"/>
  <c r="AO989" i="6"/>
  <c r="AO353" i="6"/>
  <c r="AO792" i="6"/>
  <c r="AO793" i="6"/>
  <c r="AO794" i="6"/>
  <c r="AO369" i="6"/>
  <c r="AO307" i="6"/>
  <c r="AO245" i="6"/>
  <c r="AO81" i="6"/>
  <c r="AO53" i="6"/>
  <c r="AO465" i="6"/>
  <c r="AO602" i="6"/>
  <c r="AO448" i="6"/>
  <c r="AO449" i="6"/>
  <c r="AO407" i="6"/>
  <c r="AO139" i="6"/>
  <c r="AO752" i="6"/>
  <c r="AO753" i="6"/>
  <c r="AO754" i="6"/>
  <c r="AO722" i="6"/>
  <c r="AO723" i="6"/>
  <c r="AO724" i="6"/>
  <c r="AO690" i="6"/>
  <c r="AO691" i="6"/>
  <c r="AO692" i="6"/>
  <c r="AO663" i="6"/>
  <c r="AO664" i="6"/>
  <c r="AO665" i="6"/>
  <c r="AO636" i="6"/>
  <c r="AO637" i="6"/>
  <c r="AO638" i="6"/>
  <c r="AO601" i="6"/>
  <c r="AO598" i="6"/>
  <c r="AO599" i="6"/>
  <c r="AO600" i="6"/>
  <c r="AO867" i="6"/>
  <c r="AO878" i="6"/>
  <c r="AO715" i="6"/>
  <c r="AO564" i="6"/>
  <c r="AO561" i="6"/>
  <c r="AO562" i="6"/>
  <c r="AO563" i="6"/>
  <c r="AO898" i="6"/>
  <c r="AO884" i="6"/>
  <c r="AO871" i="6"/>
  <c r="AO856" i="6"/>
  <c r="AO843" i="6"/>
  <c r="AO828" i="6"/>
  <c r="AO807" i="6"/>
  <c r="AO787" i="6"/>
  <c r="AO767" i="6"/>
  <c r="AO738" i="6"/>
  <c r="AO712" i="6"/>
  <c r="AO830" i="6"/>
  <c r="AO821" i="6"/>
  <c r="AO805" i="6"/>
  <c r="AO786" i="6"/>
  <c r="AO765" i="6"/>
  <c r="AO737" i="6"/>
  <c r="AO706" i="6"/>
  <c r="AO422" i="6"/>
  <c r="AO382" i="6"/>
  <c r="AO153" i="6"/>
  <c r="AO125" i="6"/>
  <c r="AO65" i="6"/>
  <c r="AO11" i="6"/>
  <c r="AO173" i="6"/>
  <c r="AO170" i="6"/>
  <c r="AO171" i="6"/>
  <c r="AO169" i="6"/>
  <c r="AO167" i="6"/>
  <c r="AO174" i="6"/>
  <c r="AO168" i="6"/>
  <c r="AO163" i="6"/>
  <c r="AO164" i="6"/>
  <c r="AO20" i="6"/>
  <c r="AO5" i="6"/>
  <c r="AO4" i="6"/>
  <c r="AO18" i="6"/>
  <c r="AO23" i="6"/>
  <c r="AO21" i="6"/>
  <c r="AO22" i="6"/>
  <c r="AO463" i="6"/>
  <c r="AO464" i="6"/>
  <c r="AO774" i="6"/>
  <c r="AO747" i="6"/>
  <c r="AO705" i="6"/>
  <c r="AO795" i="6"/>
  <c r="AO975" i="6"/>
  <c r="AO916" i="6"/>
  <c r="AO917" i="6"/>
  <c r="AO953" i="6"/>
  <c r="AO292" i="6"/>
  <c r="AO291" i="6"/>
  <c r="AO289" i="6"/>
  <c r="AO290" i="6"/>
  <c r="AO958" i="6"/>
  <c r="AO702" i="6"/>
  <c r="AO703" i="6"/>
  <c r="AO704" i="6"/>
  <c r="AO858" i="6"/>
  <c r="AO859" i="6"/>
  <c r="AO120" i="6"/>
  <c r="AO118" i="6"/>
  <c r="AO489" i="6"/>
  <c r="AO609" i="6"/>
  <c r="AO610" i="6"/>
  <c r="AO313" i="6"/>
  <c r="AO311" i="6"/>
  <c r="AO312" i="6"/>
  <c r="AO309" i="6"/>
  <c r="AO99" i="6"/>
  <c r="AO310" i="6"/>
  <c r="AO98" i="6"/>
  <c r="AO96" i="6"/>
  <c r="AO97" i="6"/>
  <c r="AO93" i="6"/>
  <c r="AO95" i="6"/>
  <c r="AO94" i="6"/>
  <c r="AO412" i="6"/>
  <c r="AO409" i="6"/>
  <c r="AO410" i="6"/>
  <c r="AO411" i="6"/>
  <c r="AO566" i="6"/>
  <c r="AO567" i="6"/>
  <c r="AO510" i="6"/>
  <c r="AO511" i="6"/>
  <c r="AO640" i="6"/>
  <c r="AO641" i="6"/>
  <c r="AO172" i="6"/>
  <c r="AO783" i="6"/>
  <c r="AO784" i="6"/>
  <c r="AO785" i="6"/>
  <c r="AO367" i="6"/>
  <c r="AO444" i="6"/>
  <c r="AO956" i="6"/>
  <c r="AO165" i="6"/>
  <c r="AO166" i="6"/>
  <c r="AO119" i="6"/>
  <c r="AO121" i="6"/>
  <c r="AO122" i="6"/>
  <c r="AO113" i="6"/>
  <c r="AO114" i="6"/>
  <c r="AO82" i="6"/>
  <c r="AO393" i="6"/>
  <c r="AO295" i="6"/>
  <c r="AO433" i="6"/>
  <c r="AO434" i="6"/>
  <c r="AO466" i="6"/>
  <c r="AO908" i="6"/>
  <c r="AO909" i="6"/>
  <c r="AO272" i="6"/>
  <c r="AO269" i="6"/>
  <c r="AO270" i="6"/>
  <c r="AO271" i="6"/>
  <c r="AO256" i="6"/>
  <c r="AO257" i="6"/>
  <c r="AO258" i="6"/>
  <c r="AO697" i="6"/>
  <c r="AO698" i="6"/>
  <c r="AO699" i="6"/>
  <c r="AO834" i="6"/>
  <c r="AO835" i="6"/>
  <c r="AO545" i="6"/>
  <c r="AO546" i="6"/>
  <c r="AO888" i="6"/>
  <c r="AO889" i="6"/>
  <c r="AO188" i="6"/>
  <c r="AO875" i="6"/>
  <c r="AO876" i="6"/>
  <c r="AO671" i="6"/>
  <c r="AO105" i="6"/>
  <c r="AO109" i="6"/>
  <c r="AO110" i="6"/>
  <c r="AO102" i="6"/>
  <c r="AO103" i="6"/>
  <c r="AO966" i="6"/>
  <c r="AO949" i="6"/>
  <c r="AO186" i="6"/>
  <c r="AO183" i="6"/>
  <c r="AO184" i="6"/>
  <c r="AO187" i="6"/>
  <c r="AO185" i="6"/>
  <c r="AO180" i="6"/>
  <c r="AO181" i="6"/>
  <c r="AO46" i="6"/>
  <c r="AO285" i="6"/>
  <c r="AO67" i="6"/>
  <c r="AO803" i="6"/>
  <c r="AO804" i="6"/>
  <c r="AO666" i="6"/>
  <c r="AO667" i="6"/>
  <c r="AO518" i="6"/>
  <c r="AO520" i="6"/>
  <c r="AO519" i="6"/>
  <c r="AO748" i="6"/>
  <c r="AO750" i="6"/>
  <c r="AO749" i="6"/>
  <c r="AO895" i="6"/>
  <c r="AO896" i="6"/>
  <c r="AO397" i="6"/>
  <c r="AO394" i="6"/>
  <c r="AO951" i="6"/>
  <c r="AO939" i="6"/>
  <c r="AO925" i="6"/>
  <c r="AO926" i="6"/>
  <c r="AO714" i="6"/>
  <c r="AO683" i="6"/>
  <c r="AO741" i="6"/>
  <c r="AO965" i="6"/>
  <c r="AO438" i="6"/>
  <c r="AO802" i="6"/>
  <c r="AO905" i="6"/>
  <c r="AO906" i="6"/>
  <c r="AO419" i="6"/>
  <c r="AO418" i="6"/>
  <c r="AO420" i="6"/>
  <c r="AO124" i="6"/>
  <c r="AO832" i="6"/>
  <c r="AO831" i="6"/>
  <c r="AO116" i="6"/>
  <c r="AO117" i="6"/>
  <c r="AO959" i="6"/>
  <c r="AO226" i="6"/>
  <c r="AO191" i="6"/>
  <c r="AO968" i="6"/>
  <c r="AO658" i="6"/>
  <c r="AO657" i="6"/>
  <c r="AO659" i="6"/>
  <c r="AO982" i="6"/>
  <c r="AO969" i="6"/>
  <c r="AO729" i="6"/>
  <c r="AO728" i="6"/>
  <c r="AO730" i="6"/>
  <c r="AO468" i="6"/>
  <c r="AO467" i="6"/>
  <c r="AO469" i="6"/>
  <c r="AO963" i="6"/>
  <c r="AO416" i="6"/>
  <c r="AO417" i="6"/>
  <c r="AO421" i="6"/>
  <c r="AO833" i="6"/>
  <c r="AO709" i="6"/>
  <c r="AO639" i="6"/>
  <c r="AO604" i="6"/>
  <c r="AO565" i="6"/>
  <c r="AO526" i="6"/>
  <c r="AO493" i="6"/>
  <c r="AO440" i="6"/>
  <c r="AO403" i="6"/>
  <c r="AO837" i="6"/>
  <c r="AO836" i="6"/>
  <c r="AO717" i="6"/>
  <c r="AO716" i="6"/>
  <c r="AO718" i="6"/>
  <c r="AO864" i="6"/>
  <c r="AO863" i="6"/>
  <c r="AO387" i="6"/>
  <c r="AO384" i="6"/>
  <c r="AO386" i="6"/>
  <c r="AO385" i="6"/>
  <c r="AO389" i="6"/>
  <c r="AO891" i="6"/>
  <c r="AO894" i="6"/>
  <c r="AO780" i="6"/>
  <c r="AO779" i="6"/>
  <c r="AO781" i="6"/>
  <c r="AO176" i="6"/>
  <c r="AO541" i="6"/>
  <c r="AO175" i="6"/>
  <c r="AO540" i="6"/>
  <c r="AO542" i="6"/>
  <c r="AO771" i="6"/>
  <c r="AO772" i="6"/>
  <c r="AO773" i="6"/>
  <c r="AO366" i="6"/>
  <c r="AO408" i="6"/>
  <c r="AO451" i="6"/>
  <c r="AO127" i="6"/>
  <c r="AO64" i="6"/>
  <c r="AO922" i="6"/>
  <c r="AO907" i="6"/>
  <c r="AO196" i="6"/>
  <c r="AO195" i="6"/>
  <c r="AO241" i="6"/>
  <c r="AO259" i="6"/>
  <c r="AO252" i="6"/>
  <c r="AO253" i="6"/>
  <c r="AO254" i="6"/>
  <c r="AO320" i="6"/>
  <c r="AO315" i="6"/>
  <c r="AO319" i="6"/>
  <c r="AO316" i="6"/>
  <c r="AO318" i="6"/>
  <c r="AO317" i="6"/>
  <c r="AO943" i="6"/>
  <c r="AO942" i="6"/>
  <c r="AO980" i="6"/>
  <c r="AO237" i="6"/>
  <c r="AO160" i="6"/>
  <c r="AO157" i="6"/>
  <c r="AO158" i="6"/>
  <c r="AO156" i="6"/>
  <c r="AO161" i="6"/>
  <c r="AO154" i="6"/>
  <c r="AO159" i="6"/>
  <c r="AO155" i="6"/>
  <c r="AO572" i="6"/>
  <c r="AO50" i="6"/>
  <c r="AO51" i="6"/>
  <c r="AO52" i="6"/>
  <c r="AO47" i="6"/>
  <c r="AO48" i="6"/>
  <c r="AO9" i="6"/>
  <c r="AO10" i="6"/>
  <c r="AO7" i="6"/>
  <c r="AO6" i="6"/>
  <c r="AO8" i="6"/>
  <c r="AO946" i="6"/>
  <c r="AO568" i="6"/>
  <c r="AO945" i="6"/>
  <c r="AO796" i="6"/>
  <c r="AO797" i="6"/>
  <c r="AO798" i="6"/>
  <c r="AO106" i="6"/>
  <c r="AO107" i="6"/>
  <c r="AO108" i="6"/>
  <c r="AO216" i="6"/>
  <c r="AO210" i="6"/>
  <c r="AO211" i="6"/>
  <c r="AO218" i="6"/>
  <c r="AO217" i="6"/>
  <c r="AO207" i="6"/>
  <c r="AO206" i="6"/>
  <c r="AO214" i="6"/>
  <c r="AO215" i="6"/>
  <c r="AO208" i="6"/>
  <c r="AO978" i="6"/>
  <c r="AO343" i="6"/>
  <c r="AO342" i="6"/>
  <c r="AO162" i="6"/>
  <c r="AO131" i="6"/>
  <c r="AO135" i="6"/>
  <c r="AO136" i="6"/>
  <c r="AO128" i="6"/>
  <c r="AO132" i="6"/>
  <c r="AO129" i="6"/>
  <c r="AO380" i="6"/>
  <c r="AO379" i="6"/>
  <c r="AO381" i="6"/>
  <c r="AO632" i="6"/>
  <c r="AO629" i="6"/>
  <c r="AO628" i="6"/>
  <c r="AO630" i="6"/>
  <c r="AO395" i="6"/>
  <c r="AO396" i="6"/>
  <c r="AO19" i="6"/>
  <c r="AO24" i="6"/>
  <c r="AO811" i="6"/>
  <c r="AO325" i="6"/>
  <c r="AO326" i="6"/>
  <c r="AO324" i="6"/>
  <c r="AO812" i="6"/>
  <c r="AO810" i="6"/>
  <c r="AO354" i="6"/>
  <c r="AO882" i="6"/>
  <c r="AO881" i="6"/>
  <c r="AO212" i="6"/>
  <c r="AO213" i="6"/>
  <c r="AO521" i="6"/>
  <c r="AO522" i="6"/>
  <c r="AO829" i="6"/>
  <c r="AO578" i="6"/>
  <c r="AO424" i="6"/>
  <c r="AO425" i="6"/>
  <c r="AO423" i="6"/>
  <c r="AO458" i="6"/>
  <c r="AO223" i="6"/>
  <c r="AO222" i="6"/>
  <c r="AO221" i="6"/>
  <c r="AO938" i="6"/>
  <c r="AO937" i="6"/>
  <c r="AO846" i="6"/>
  <c r="AO845" i="6"/>
  <c r="AO388" i="6"/>
  <c r="AO177" i="6"/>
  <c r="AO988" i="6"/>
  <c r="AO378" i="6"/>
  <c r="AO377" i="6"/>
  <c r="AO473" i="6"/>
  <c r="AO474" i="6"/>
  <c r="AO472" i="6"/>
  <c r="AO760" i="6"/>
  <c r="AO924" i="6"/>
  <c r="AO923" i="6"/>
  <c r="AO929" i="6"/>
  <c r="AO928" i="6"/>
  <c r="AO934" i="6"/>
  <c r="AO933" i="6"/>
  <c r="AO950" i="6"/>
  <c r="AO873" i="6"/>
  <c r="AO452" i="6"/>
  <c r="AO605" i="6"/>
  <c r="AO955" i="6"/>
  <c r="AO413" i="6"/>
  <c r="AO414" i="6"/>
  <c r="AO224" i="6"/>
  <c r="AO225" i="6"/>
  <c r="AO948" i="6"/>
  <c r="AO543" i="6"/>
  <c r="AO506" i="6"/>
  <c r="AO147" i="6"/>
  <c r="AO145" i="6"/>
  <c r="AO144" i="6"/>
  <c r="AO141" i="6"/>
  <c r="AO142" i="6"/>
  <c r="AO140" i="6"/>
  <c r="AO918" i="6"/>
  <c r="AO707" i="6"/>
  <c r="AO677" i="6"/>
  <c r="AO308" i="6"/>
  <c r="AO262" i="6"/>
  <c r="AO192" i="6"/>
  <c r="AO126" i="6"/>
  <c r="AO66" i="6"/>
  <c r="AO146" i="6"/>
  <c r="AO947" i="6"/>
  <c r="AO936" i="6"/>
  <c r="AO919" i="6"/>
  <c r="AO904" i="6"/>
  <c r="AO890" i="6"/>
  <c r="AO874" i="6"/>
  <c r="AO860" i="6"/>
  <c r="AO849" i="6"/>
  <c r="AO920" i="6"/>
  <c r="AO645" i="6"/>
  <c r="AO734" i="6"/>
  <c r="AO735" i="6"/>
  <c r="AO733" i="6"/>
  <c r="AO486" i="6"/>
  <c r="AO485" i="6"/>
  <c r="AO123" i="6"/>
  <c r="AO335" i="6"/>
  <c r="AO179" i="6"/>
  <c r="AO54" i="6"/>
  <c r="AO263" i="6"/>
  <c r="AO555" i="6"/>
  <c r="AO745" i="6"/>
  <c r="AO348" i="6"/>
  <c r="AO351" i="6"/>
  <c r="AO350" i="6"/>
  <c r="AO345" i="6"/>
  <c r="AO349" i="6"/>
  <c r="AO346" i="6"/>
  <c r="AO352" i="6"/>
  <c r="AO347" i="6"/>
  <c r="AO344" i="6"/>
  <c r="AO746" i="6"/>
  <c r="AO744" i="6"/>
  <c r="AE998" i="6"/>
  <c r="AD1003" i="6"/>
  <c r="J385" i="11"/>
  <c r="J164" i="11"/>
  <c r="J337" i="11"/>
  <c r="J51" i="11"/>
  <c r="J790" i="11"/>
  <c r="J355" i="11"/>
  <c r="J99" i="11"/>
  <c r="J386" i="11"/>
  <c r="J167" i="11"/>
  <c r="J347" i="11"/>
  <c r="J73" i="11"/>
  <c r="J394" i="11"/>
  <c r="J200" i="11"/>
  <c r="J415" i="11"/>
  <c r="J253" i="11"/>
  <c r="J404" i="11"/>
  <c r="J218" i="11"/>
  <c r="J789" i="11"/>
  <c r="J349" i="11"/>
  <c r="J83" i="11"/>
  <c r="J786" i="11"/>
  <c r="J684" i="11"/>
  <c r="J328" i="11"/>
  <c r="J36" i="11"/>
  <c r="J369" i="11"/>
  <c r="J127" i="11"/>
  <c r="J795" i="11"/>
  <c r="J392" i="11"/>
  <c r="J185" i="11"/>
  <c r="J390" i="11"/>
  <c r="J181" i="11"/>
  <c r="J406" i="11"/>
  <c r="J225" i="11"/>
  <c r="J351" i="11"/>
  <c r="J88" i="11"/>
  <c r="J793" i="11"/>
  <c r="J712" i="11"/>
  <c r="J376" i="11"/>
  <c r="J145" i="11"/>
  <c r="J787" i="11"/>
  <c r="J329" i="11"/>
  <c r="J38" i="11"/>
  <c r="J345" i="11"/>
  <c r="J791" i="11"/>
  <c r="J731" i="11"/>
  <c r="J359" i="11"/>
  <c r="J105" i="11"/>
  <c r="J794" i="11"/>
  <c r="J382" i="11"/>
  <c r="J156" i="11"/>
  <c r="J373" i="11"/>
  <c r="J140" i="11"/>
  <c r="J363" i="11"/>
  <c r="J114" i="11"/>
  <c r="J788" i="11"/>
  <c r="J332" i="11"/>
  <c r="J44" i="11"/>
  <c r="J388" i="11"/>
  <c r="J174" i="11"/>
  <c r="J410" i="11"/>
  <c r="J240" i="11"/>
  <c r="J396" i="11"/>
  <c r="J204" i="11"/>
  <c r="J412" i="11"/>
  <c r="J244" i="11"/>
  <c r="J342" i="11"/>
  <c r="J63" i="11"/>
  <c r="J367" i="11"/>
  <c r="J122" i="11"/>
  <c r="J365" i="11"/>
  <c r="J118" i="11"/>
  <c r="J732" i="11"/>
  <c r="J132" i="11"/>
  <c r="J371" i="11"/>
  <c r="J792" i="11"/>
  <c r="J708" i="11"/>
  <c r="J361" i="11"/>
  <c r="J149" i="11"/>
  <c r="J378" i="11"/>
  <c r="J234" i="11"/>
  <c r="J408" i="11"/>
  <c r="J110" i="11"/>
  <c r="H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AB1014" i="6"/>
  <c r="AG1014" i="6"/>
  <c r="B2" i="10"/>
  <c r="E48" i="9"/>
  <c r="F48" i="9"/>
  <c r="E47" i="9"/>
  <c r="F47" i="9"/>
  <c r="E46" i="9"/>
  <c r="F46" i="9"/>
  <c r="E45" i="9"/>
  <c r="F45" i="9"/>
  <c r="E44" i="9"/>
  <c r="F44" i="9"/>
  <c r="E43" i="9"/>
  <c r="F43" i="9"/>
  <c r="E42" i="9"/>
  <c r="F42" i="9"/>
  <c r="E41" i="9"/>
  <c r="F41" i="9"/>
  <c r="E40" i="9"/>
  <c r="F40" i="9"/>
  <c r="E39" i="9"/>
  <c r="F39" i="9"/>
  <c r="E38" i="9"/>
  <c r="F38" i="9"/>
  <c r="E37" i="9"/>
  <c r="F37" i="9"/>
  <c r="E36" i="9"/>
  <c r="F36" i="9"/>
  <c r="E35" i="9"/>
  <c r="F35" i="9"/>
  <c r="E34" i="9"/>
  <c r="F34" i="9"/>
  <c r="E33" i="9"/>
  <c r="F33" i="9"/>
  <c r="E32" i="9"/>
  <c r="F32" i="9"/>
  <c r="E31" i="9"/>
  <c r="F31" i="9"/>
  <c r="E30" i="9"/>
  <c r="F30" i="9"/>
  <c r="E29" i="9"/>
  <c r="F29" i="9"/>
  <c r="E28" i="9"/>
  <c r="F28" i="9"/>
  <c r="E27" i="9"/>
  <c r="F27" i="9"/>
  <c r="E26" i="9"/>
  <c r="F26" i="9"/>
  <c r="E25" i="9"/>
  <c r="F25" i="9"/>
  <c r="E24" i="9"/>
  <c r="F24" i="9"/>
  <c r="E23" i="9"/>
  <c r="F23" i="9"/>
  <c r="E22" i="9"/>
  <c r="F22" i="9"/>
  <c r="E21" i="9"/>
  <c r="F21" i="9"/>
  <c r="E20" i="9"/>
  <c r="F20" i="9"/>
  <c r="E19" i="9"/>
  <c r="F19" i="9"/>
  <c r="E18" i="9"/>
  <c r="F18" i="9"/>
  <c r="E17" i="9"/>
  <c r="F17" i="9"/>
  <c r="E16" i="9"/>
  <c r="F16" i="9"/>
  <c r="E15" i="9"/>
  <c r="F15" i="9"/>
  <c r="E14" i="9"/>
  <c r="F14" i="9"/>
  <c r="E13" i="9"/>
  <c r="F13" i="9"/>
  <c r="E12" i="9"/>
  <c r="F12" i="9"/>
  <c r="F11" i="9"/>
  <c r="E11" i="9"/>
  <c r="F10" i="9"/>
  <c r="E10" i="9"/>
  <c r="F9" i="9"/>
  <c r="E9" i="9"/>
  <c r="F8" i="9"/>
  <c r="F7" i="9"/>
  <c r="F6" i="9"/>
  <c r="F5" i="9"/>
  <c r="F4" i="9"/>
  <c r="F3" i="9"/>
  <c r="F2" i="9"/>
  <c r="AE3" i="6"/>
  <c r="AD1000" i="6"/>
  <c r="E8" i="9"/>
  <c r="E7" i="9"/>
  <c r="E2" i="9"/>
  <c r="E3" i="9"/>
  <c r="E4" i="9"/>
  <c r="E5" i="9"/>
  <c r="E6" i="9"/>
  <c r="AE1014" i="6"/>
  <c r="U4" i="7"/>
  <c r="U3" i="7"/>
  <c r="T4" i="7"/>
  <c r="S4" i="7"/>
  <c r="T3" i="7"/>
  <c r="S3" i="7"/>
  <c r="M3" i="7"/>
  <c r="J3" i="7"/>
  <c r="G3" i="7"/>
  <c r="H3" i="7"/>
  <c r="I3" i="7"/>
  <c r="G4" i="7"/>
  <c r="H4" i="7"/>
  <c r="I4" i="7"/>
  <c r="J4" i="7"/>
  <c r="F4" i="7"/>
  <c r="F5" i="7"/>
  <c r="F6" i="7"/>
  <c r="F7" i="7"/>
  <c r="F8" i="7"/>
  <c r="F3" i="7"/>
  <c r="AD1007" i="6"/>
  <c r="AD997" i="6"/>
  <c r="AD996" i="6"/>
  <c r="AE1000" i="6"/>
  <c r="AE996" i="6"/>
  <c r="AE999" i="6"/>
  <c r="AD999" i="6"/>
  <c r="AE1005" i="6"/>
  <c r="AD1005" i="6"/>
  <c r="AE1022" i="6"/>
  <c r="AD1022" i="6"/>
  <c r="AD995" i="6"/>
  <c r="AE995" i="6"/>
  <c r="AE1017" i="6"/>
  <c r="AE1006" i="6"/>
  <c r="AE1012" i="6"/>
  <c r="AD1017" i="6"/>
  <c r="AD1006" i="6"/>
  <c r="AD1012" i="6"/>
  <c r="AD1016" i="6"/>
  <c r="AE1016" i="6"/>
  <c r="AE1010" i="6"/>
  <c r="AD1010" i="6"/>
  <c r="AD1019" i="6"/>
  <c r="AE1019" i="6"/>
  <c r="AF1019" i="6"/>
  <c r="AG1019" i="6"/>
  <c r="AH1019" i="6"/>
  <c r="AD1015" i="6"/>
  <c r="AG1015" i="6"/>
  <c r="AH1015" i="6"/>
  <c r="AF1015" i="6"/>
  <c r="AE1015" i="6"/>
  <c r="AD992" i="6"/>
  <c r="AE992" i="6"/>
  <c r="AD1018" i="6"/>
  <c r="AE1018" i="6"/>
  <c r="AD1001" i="6"/>
  <c r="AE1001" i="6"/>
  <c r="AD1009" i="6"/>
  <c r="AE1009" i="6"/>
  <c r="AD991" i="6"/>
  <c r="AE991" i="6"/>
  <c r="AD1021" i="6"/>
  <c r="AE1021" i="6"/>
  <c r="AE1003" i="6"/>
  <c r="AG1020" i="6"/>
  <c r="AH1020" i="6"/>
  <c r="AD1020" i="6"/>
  <c r="AD994" i="6"/>
  <c r="AE994" i="6"/>
  <c r="AF994" i="6"/>
  <c r="AG994" i="6"/>
  <c r="AH994" i="6"/>
  <c r="AE1004" i="6"/>
  <c r="Y1004" i="6"/>
  <c r="AD1004" i="6"/>
  <c r="AE993" i="6"/>
  <c r="Y993" i="6"/>
  <c r="AD993" i="6"/>
  <c r="AD1011" i="6"/>
  <c r="AE1011" i="6"/>
  <c r="AD1023" i="6"/>
  <c r="AE1023" i="6"/>
  <c r="AD1013" i="6"/>
  <c r="AE1013" i="6"/>
  <c r="AD1002" i="6"/>
  <c r="AE1002" i="6"/>
  <c r="AF1002" i="6"/>
  <c r="AG1002" i="6"/>
  <c r="AH1002" i="6"/>
  <c r="AE1007" i="6"/>
  <c r="AH997" i="6"/>
  <c r="AE997" i="6"/>
  <c r="AG1008" i="6"/>
  <c r="AE1008" i="6"/>
  <c r="AF1008" i="6"/>
  <c r="AH1008" i="6"/>
  <c r="AD1008" i="6"/>
  <c r="AH1014" i="6"/>
  <c r="AF1014" i="6"/>
  <c r="AD1014" i="6"/>
  <c r="AF998" i="6"/>
  <c r="AG998" i="6"/>
  <c r="AH998" i="6"/>
  <c r="AD998" i="6"/>
  <c r="AD1024" i="6"/>
  <c r="AE1024" i="6"/>
  <c r="AF1024" i="6"/>
  <c r="AG1024" i="6"/>
  <c r="AH1024" i="6"/>
  <c r="H782" i="6"/>
  <c r="I782" i="6"/>
  <c r="J782" i="6"/>
  <c r="K782" i="6"/>
  <c r="L782" i="6"/>
  <c r="M782" i="6"/>
  <c r="O782" i="6"/>
  <c r="P782" i="6"/>
  <c r="Q782" i="6"/>
  <c r="R782" i="6"/>
  <c r="T782" i="6"/>
  <c r="U782" i="6"/>
  <c r="V782" i="6"/>
  <c r="W782" i="6"/>
  <c r="H488" i="6"/>
  <c r="I488" i="6"/>
  <c r="J488" i="6"/>
  <c r="K488" i="6"/>
  <c r="L488" i="6"/>
  <c r="M488" i="6"/>
  <c r="O488" i="6"/>
  <c r="P488" i="6"/>
  <c r="Q488" i="6"/>
  <c r="R488" i="6"/>
  <c r="T488" i="6"/>
  <c r="U488" i="6"/>
  <c r="V488" i="6"/>
  <c r="W488" i="6"/>
  <c r="H481" i="6"/>
  <c r="I481" i="6"/>
  <c r="J481" i="6"/>
  <c r="K481" i="6"/>
  <c r="L481" i="6"/>
  <c r="M481" i="6"/>
  <c r="O481" i="6"/>
  <c r="P481" i="6"/>
  <c r="Q481" i="6"/>
  <c r="R481" i="6"/>
  <c r="T481" i="6"/>
  <c r="U481" i="6"/>
  <c r="V481" i="6"/>
  <c r="W481" i="6"/>
  <c r="H439" i="6"/>
  <c r="I439" i="6"/>
  <c r="J439" i="6"/>
  <c r="K439" i="6"/>
  <c r="L439" i="6"/>
  <c r="M439" i="6"/>
  <c r="O439" i="6"/>
  <c r="P439" i="6"/>
  <c r="Q439" i="6"/>
  <c r="R439" i="6"/>
  <c r="T439" i="6"/>
  <c r="U439" i="6"/>
  <c r="V439" i="6"/>
  <c r="W439" i="6"/>
  <c r="H402" i="6"/>
  <c r="I402" i="6"/>
  <c r="J402" i="6"/>
  <c r="K402" i="6"/>
  <c r="L402" i="6"/>
  <c r="M402" i="6"/>
  <c r="O402" i="6"/>
  <c r="P402" i="6"/>
  <c r="Q402" i="6"/>
  <c r="R402" i="6"/>
  <c r="T402" i="6"/>
  <c r="U402" i="6"/>
  <c r="V402" i="6"/>
  <c r="W402" i="6"/>
  <c r="H359" i="6"/>
  <c r="I359" i="6"/>
  <c r="J359" i="6"/>
  <c r="K359" i="6"/>
  <c r="L359" i="6"/>
  <c r="M359" i="6"/>
  <c r="O359" i="6"/>
  <c r="P359" i="6"/>
  <c r="Q359" i="6"/>
  <c r="R359" i="6"/>
  <c r="T359" i="6"/>
  <c r="U359" i="6"/>
  <c r="V359" i="6"/>
  <c r="W359" i="6"/>
  <c r="H296" i="6"/>
  <c r="I296" i="6"/>
  <c r="J296" i="6"/>
  <c r="K296" i="6"/>
  <c r="L296" i="6"/>
  <c r="M296" i="6"/>
  <c r="O296" i="6"/>
  <c r="P296" i="6"/>
  <c r="Q296" i="6"/>
  <c r="R296" i="6"/>
  <c r="T296" i="6"/>
  <c r="U296" i="6"/>
  <c r="V296" i="6"/>
  <c r="W296" i="6"/>
  <c r="H238" i="6"/>
  <c r="I238" i="6"/>
  <c r="J238" i="6"/>
  <c r="K238" i="6"/>
  <c r="L238" i="6"/>
  <c r="M238" i="6"/>
  <c r="O238" i="6"/>
  <c r="P238" i="6"/>
  <c r="Q238" i="6"/>
  <c r="R238" i="6"/>
  <c r="T238" i="6"/>
  <c r="U238" i="6"/>
  <c r="V238" i="6"/>
  <c r="W238" i="6"/>
  <c r="H150" i="6"/>
  <c r="I150" i="6"/>
  <c r="J150" i="6"/>
  <c r="K150" i="6"/>
  <c r="L150" i="6"/>
  <c r="M150" i="6"/>
  <c r="O150" i="6"/>
  <c r="P150" i="6"/>
  <c r="Q150" i="6"/>
  <c r="R150" i="6"/>
  <c r="T150" i="6"/>
  <c r="U150" i="6"/>
  <c r="V150" i="6"/>
  <c r="W150" i="6"/>
  <c r="H27" i="6"/>
  <c r="I27" i="6"/>
  <c r="J27" i="6"/>
  <c r="K27" i="6"/>
  <c r="L27" i="6"/>
  <c r="M27" i="6"/>
  <c r="O27" i="6"/>
  <c r="P27" i="6"/>
  <c r="Q27" i="6"/>
  <c r="R27" i="6"/>
  <c r="T27" i="6"/>
  <c r="U27" i="6"/>
  <c r="V27" i="6"/>
  <c r="W27" i="6"/>
  <c r="H202" i="6"/>
  <c r="I202" i="6"/>
  <c r="J202" i="6"/>
  <c r="K202" i="6"/>
  <c r="L202" i="6"/>
  <c r="M202" i="6"/>
  <c r="O202" i="6"/>
  <c r="P202" i="6"/>
  <c r="Q202" i="6"/>
  <c r="R202" i="6"/>
  <c r="T202" i="6"/>
  <c r="U202" i="6"/>
  <c r="V202" i="6"/>
  <c r="W202" i="6"/>
  <c r="H199" i="6"/>
  <c r="I199" i="6"/>
  <c r="J199" i="6"/>
  <c r="K199" i="6"/>
  <c r="L199" i="6"/>
  <c r="M199" i="6"/>
  <c r="O199" i="6"/>
  <c r="P199" i="6"/>
  <c r="Q199" i="6"/>
  <c r="R199" i="6"/>
  <c r="T199" i="6"/>
  <c r="U199" i="6"/>
  <c r="V199" i="6"/>
  <c r="W199" i="6"/>
  <c r="H203" i="6"/>
  <c r="I203" i="6"/>
  <c r="J203" i="6"/>
  <c r="K203" i="6"/>
  <c r="L203" i="6"/>
  <c r="M203" i="6"/>
  <c r="O203" i="6"/>
  <c r="P203" i="6"/>
  <c r="Q203" i="6"/>
  <c r="R203" i="6"/>
  <c r="T203" i="6"/>
  <c r="U203" i="6"/>
  <c r="V203" i="6"/>
  <c r="W203" i="6"/>
  <c r="H204" i="6"/>
  <c r="I204" i="6"/>
  <c r="J204" i="6"/>
  <c r="K204" i="6"/>
  <c r="L204" i="6"/>
  <c r="M204" i="6"/>
  <c r="O204" i="6"/>
  <c r="P204" i="6"/>
  <c r="Q204" i="6"/>
  <c r="R204" i="6"/>
  <c r="T204" i="6"/>
  <c r="U204" i="6"/>
  <c r="V204" i="6"/>
  <c r="W204" i="6"/>
  <c r="H200" i="6"/>
  <c r="I200" i="6"/>
  <c r="J200" i="6"/>
  <c r="K200" i="6"/>
  <c r="L200" i="6"/>
  <c r="M200" i="6"/>
  <c r="O200" i="6"/>
  <c r="P200" i="6"/>
  <c r="Q200" i="6"/>
  <c r="R200" i="6"/>
  <c r="T200" i="6"/>
  <c r="U200" i="6"/>
  <c r="V200" i="6"/>
  <c r="W200" i="6"/>
  <c r="H201" i="6"/>
  <c r="I201" i="6"/>
  <c r="J201" i="6"/>
  <c r="K201" i="6"/>
  <c r="L201" i="6"/>
  <c r="M201" i="6"/>
  <c r="O201" i="6"/>
  <c r="P201" i="6"/>
  <c r="Q201" i="6"/>
  <c r="R201" i="6"/>
  <c r="T201" i="6"/>
  <c r="U201" i="6"/>
  <c r="V201" i="6"/>
  <c r="W201" i="6"/>
  <c r="H297" i="6"/>
  <c r="I297" i="6"/>
  <c r="J297" i="6"/>
  <c r="K297" i="6"/>
  <c r="L297" i="6"/>
  <c r="M297" i="6"/>
  <c r="O297" i="6"/>
  <c r="P297" i="6"/>
  <c r="Q297" i="6"/>
  <c r="R297" i="6"/>
  <c r="T297" i="6"/>
  <c r="U297" i="6"/>
  <c r="V297" i="6"/>
  <c r="W297" i="6"/>
  <c r="H301" i="6"/>
  <c r="I301" i="6"/>
  <c r="J301" i="6"/>
  <c r="K301" i="6"/>
  <c r="L301" i="6"/>
  <c r="M301" i="6"/>
  <c r="O301" i="6"/>
  <c r="P301" i="6"/>
  <c r="Q301" i="6"/>
  <c r="R301" i="6"/>
  <c r="T301" i="6"/>
  <c r="U301" i="6"/>
  <c r="V301" i="6"/>
  <c r="W301" i="6"/>
  <c r="H305" i="6"/>
  <c r="I305" i="6"/>
  <c r="J305" i="6"/>
  <c r="K305" i="6"/>
  <c r="L305" i="6"/>
  <c r="M305" i="6"/>
  <c r="O305" i="6"/>
  <c r="P305" i="6"/>
  <c r="Q305" i="6"/>
  <c r="R305" i="6"/>
  <c r="T305" i="6"/>
  <c r="U305" i="6"/>
  <c r="V305" i="6"/>
  <c r="W305" i="6"/>
  <c r="H298" i="6"/>
  <c r="I298" i="6"/>
  <c r="J298" i="6"/>
  <c r="K298" i="6"/>
  <c r="L298" i="6"/>
  <c r="M298" i="6"/>
  <c r="O298" i="6"/>
  <c r="P298" i="6"/>
  <c r="Q298" i="6"/>
  <c r="R298" i="6"/>
  <c r="T298" i="6"/>
  <c r="U298" i="6"/>
  <c r="V298" i="6"/>
  <c r="W298" i="6"/>
  <c r="H299" i="6"/>
  <c r="I299" i="6"/>
  <c r="J299" i="6"/>
  <c r="K299" i="6"/>
  <c r="L299" i="6"/>
  <c r="M299" i="6"/>
  <c r="O299" i="6"/>
  <c r="P299" i="6"/>
  <c r="Q299" i="6"/>
  <c r="R299" i="6"/>
  <c r="T299" i="6"/>
  <c r="U299" i="6"/>
  <c r="V299" i="6"/>
  <c r="W299" i="6"/>
  <c r="H512" i="6"/>
  <c r="I512" i="6"/>
  <c r="J512" i="6"/>
  <c r="K512" i="6"/>
  <c r="L512" i="6"/>
  <c r="M512" i="6"/>
  <c r="O512" i="6"/>
  <c r="P512" i="6"/>
  <c r="Q512" i="6"/>
  <c r="R512" i="6"/>
  <c r="T512" i="6"/>
  <c r="U512" i="6"/>
  <c r="V512" i="6"/>
  <c r="W512" i="6"/>
  <c r="H513" i="6"/>
  <c r="I513" i="6"/>
  <c r="J513" i="6"/>
  <c r="K513" i="6"/>
  <c r="L513" i="6"/>
  <c r="M513" i="6"/>
  <c r="O513" i="6"/>
  <c r="P513" i="6"/>
  <c r="Q513" i="6"/>
  <c r="R513" i="6"/>
  <c r="T513" i="6"/>
  <c r="U513" i="6"/>
  <c r="V513" i="6"/>
  <c r="W513" i="6"/>
  <c r="H514" i="6"/>
  <c r="I514" i="6"/>
  <c r="J514" i="6"/>
  <c r="K514" i="6"/>
  <c r="L514" i="6"/>
  <c r="M514" i="6"/>
  <c r="O514" i="6"/>
  <c r="P514" i="6"/>
  <c r="Q514" i="6"/>
  <c r="R514" i="6"/>
  <c r="T514" i="6"/>
  <c r="U514" i="6"/>
  <c r="V514" i="6"/>
  <c r="W514" i="6"/>
  <c r="H58" i="6"/>
  <c r="I58" i="6"/>
  <c r="J58" i="6"/>
  <c r="K58" i="6"/>
  <c r="L58" i="6"/>
  <c r="M58" i="6"/>
  <c r="O58" i="6"/>
  <c r="P58" i="6"/>
  <c r="Q58" i="6"/>
  <c r="R58" i="6"/>
  <c r="T58" i="6"/>
  <c r="U58" i="6"/>
  <c r="V58" i="6"/>
  <c r="W58" i="6"/>
  <c r="H59" i="6"/>
  <c r="I59" i="6"/>
  <c r="J59" i="6"/>
  <c r="K59" i="6"/>
  <c r="L59" i="6"/>
  <c r="M59" i="6"/>
  <c r="O59" i="6"/>
  <c r="P59" i="6"/>
  <c r="Q59" i="6"/>
  <c r="R59" i="6"/>
  <c r="T59" i="6"/>
  <c r="U59" i="6"/>
  <c r="V59" i="6"/>
  <c r="W59" i="6"/>
  <c r="H60" i="6"/>
  <c r="I60" i="6"/>
  <c r="J60" i="6"/>
  <c r="K60" i="6"/>
  <c r="L60" i="6"/>
  <c r="M60" i="6"/>
  <c r="O60" i="6"/>
  <c r="P60" i="6"/>
  <c r="Q60" i="6"/>
  <c r="R60" i="6"/>
  <c r="T60" i="6"/>
  <c r="U60" i="6"/>
  <c r="V60" i="6"/>
  <c r="W60" i="6"/>
  <c r="H1022" i="6"/>
  <c r="I1022" i="6"/>
  <c r="J1022" i="6"/>
  <c r="K1022" i="6"/>
  <c r="L1022" i="6"/>
  <c r="M1022" i="6"/>
  <c r="O1022" i="6"/>
  <c r="P1022" i="6"/>
  <c r="Q1022" i="6"/>
  <c r="R1022" i="6"/>
  <c r="T1022" i="6"/>
  <c r="U1022" i="6"/>
  <c r="V1022" i="6"/>
  <c r="W1022" i="6"/>
  <c r="AF1022" i="6"/>
  <c r="H55" i="6"/>
  <c r="I55" i="6"/>
  <c r="J55" i="6"/>
  <c r="K55" i="6"/>
  <c r="L55" i="6"/>
  <c r="M55" i="6"/>
  <c r="O55" i="6"/>
  <c r="P55" i="6"/>
  <c r="Q55" i="6"/>
  <c r="R55" i="6"/>
  <c r="T55" i="6"/>
  <c r="U55" i="6"/>
  <c r="V55" i="6"/>
  <c r="W55" i="6"/>
  <c r="H56" i="6"/>
  <c r="I56" i="6"/>
  <c r="J56" i="6"/>
  <c r="K56" i="6"/>
  <c r="L56" i="6"/>
  <c r="M56" i="6"/>
  <c r="O56" i="6"/>
  <c r="P56" i="6"/>
  <c r="Q56" i="6"/>
  <c r="R56" i="6"/>
  <c r="T56" i="6"/>
  <c r="U56" i="6"/>
  <c r="V56" i="6"/>
  <c r="W56" i="6"/>
  <c r="H755" i="6"/>
  <c r="I755" i="6"/>
  <c r="J755" i="6"/>
  <c r="K755" i="6"/>
  <c r="L755" i="6"/>
  <c r="M755" i="6"/>
  <c r="O755" i="6"/>
  <c r="P755" i="6"/>
  <c r="Q755" i="6"/>
  <c r="R755" i="6"/>
  <c r="T755" i="6"/>
  <c r="U755" i="6"/>
  <c r="V755" i="6"/>
  <c r="W755" i="6"/>
  <c r="H756" i="6"/>
  <c r="I756" i="6"/>
  <c r="J756" i="6"/>
  <c r="K756" i="6"/>
  <c r="L756" i="6"/>
  <c r="M756" i="6"/>
  <c r="O756" i="6"/>
  <c r="P756" i="6"/>
  <c r="Q756" i="6"/>
  <c r="R756" i="6"/>
  <c r="T756" i="6"/>
  <c r="U756" i="6"/>
  <c r="V756" i="6"/>
  <c r="W756" i="6"/>
  <c r="H757" i="6"/>
  <c r="I757" i="6"/>
  <c r="J757" i="6"/>
  <c r="K757" i="6"/>
  <c r="L757" i="6"/>
  <c r="M757" i="6"/>
  <c r="O757" i="6"/>
  <c r="P757" i="6"/>
  <c r="Q757" i="6"/>
  <c r="R757" i="6"/>
  <c r="T757" i="6"/>
  <c r="U757" i="6"/>
  <c r="V757" i="6"/>
  <c r="W757" i="6"/>
  <c r="H244" i="6"/>
  <c r="I244" i="6"/>
  <c r="J244" i="6"/>
  <c r="K244" i="6"/>
  <c r="L244" i="6"/>
  <c r="M244" i="6"/>
  <c r="O244" i="6"/>
  <c r="P244" i="6"/>
  <c r="Q244" i="6"/>
  <c r="R244" i="6"/>
  <c r="T244" i="6"/>
  <c r="U244" i="6"/>
  <c r="V244" i="6"/>
  <c r="W244" i="6"/>
  <c r="H57" i="6"/>
  <c r="I57" i="6"/>
  <c r="J57" i="6"/>
  <c r="K57" i="6"/>
  <c r="L57" i="6"/>
  <c r="M57" i="6"/>
  <c r="O57" i="6"/>
  <c r="P57" i="6"/>
  <c r="Q57" i="6"/>
  <c r="R57" i="6"/>
  <c r="T57" i="6"/>
  <c r="U57" i="6"/>
  <c r="V57" i="6"/>
  <c r="W57" i="6"/>
  <c r="H85" i="6"/>
  <c r="I85" i="6"/>
  <c r="J85" i="6"/>
  <c r="K85" i="6"/>
  <c r="L85" i="6"/>
  <c r="M85" i="6"/>
  <c r="O85" i="6"/>
  <c r="P85" i="6"/>
  <c r="Q85" i="6"/>
  <c r="R85" i="6"/>
  <c r="T85" i="6"/>
  <c r="U85" i="6"/>
  <c r="V85" i="6"/>
  <c r="W85" i="6"/>
  <c r="H229" i="6"/>
  <c r="I229" i="6"/>
  <c r="J229" i="6"/>
  <c r="K229" i="6"/>
  <c r="L229" i="6"/>
  <c r="M229" i="6"/>
  <c r="O229" i="6"/>
  <c r="P229" i="6"/>
  <c r="Q229" i="6"/>
  <c r="R229" i="6"/>
  <c r="T229" i="6"/>
  <c r="U229" i="6"/>
  <c r="V229" i="6"/>
  <c r="W229" i="6"/>
  <c r="H77" i="6"/>
  <c r="I77" i="6"/>
  <c r="J77" i="6"/>
  <c r="K77" i="6"/>
  <c r="L77" i="6"/>
  <c r="M77" i="6"/>
  <c r="O77" i="6"/>
  <c r="P77" i="6"/>
  <c r="Q77" i="6"/>
  <c r="R77" i="6"/>
  <c r="T77" i="6"/>
  <c r="U77" i="6"/>
  <c r="V77" i="6"/>
  <c r="W77" i="6"/>
  <c r="H33" i="6"/>
  <c r="I33" i="6"/>
  <c r="J33" i="6"/>
  <c r="K33" i="6"/>
  <c r="L33" i="6"/>
  <c r="M33" i="6"/>
  <c r="O33" i="6"/>
  <c r="P33" i="6"/>
  <c r="Q33" i="6"/>
  <c r="R33" i="6"/>
  <c r="T33" i="6"/>
  <c r="U33" i="6"/>
  <c r="V33" i="6"/>
  <c r="W33" i="6"/>
  <c r="H276" i="6"/>
  <c r="I276" i="6"/>
  <c r="J276" i="6"/>
  <c r="K276" i="6"/>
  <c r="L276" i="6"/>
  <c r="M276" i="6"/>
  <c r="O276" i="6"/>
  <c r="P276" i="6"/>
  <c r="Q276" i="6"/>
  <c r="R276" i="6"/>
  <c r="T276" i="6"/>
  <c r="U276" i="6"/>
  <c r="V276" i="6"/>
  <c r="W276" i="6"/>
  <c r="H130" i="6"/>
  <c r="I130" i="6"/>
  <c r="J130" i="6"/>
  <c r="K130" i="6"/>
  <c r="L130" i="6"/>
  <c r="M130" i="6"/>
  <c r="O130" i="6"/>
  <c r="P130" i="6"/>
  <c r="Q130" i="6"/>
  <c r="R130" i="6"/>
  <c r="T130" i="6"/>
  <c r="U130" i="6"/>
  <c r="V130" i="6"/>
  <c r="W130" i="6"/>
  <c r="H266" i="6"/>
  <c r="I266" i="6"/>
  <c r="J266" i="6"/>
  <c r="K266" i="6"/>
  <c r="L266" i="6"/>
  <c r="M266" i="6"/>
  <c r="O266" i="6"/>
  <c r="P266" i="6"/>
  <c r="Q266" i="6"/>
  <c r="R266" i="6"/>
  <c r="T266" i="6"/>
  <c r="U266" i="6"/>
  <c r="V266" i="6"/>
  <c r="W266" i="6"/>
  <c r="H115" i="6"/>
  <c r="I115" i="6"/>
  <c r="J115" i="6"/>
  <c r="K115" i="6"/>
  <c r="L115" i="6"/>
  <c r="M115" i="6"/>
  <c r="O115" i="6"/>
  <c r="P115" i="6"/>
  <c r="Q115" i="6"/>
  <c r="R115" i="6"/>
  <c r="T115" i="6"/>
  <c r="U115" i="6"/>
  <c r="V115" i="6"/>
  <c r="W115" i="6"/>
  <c r="H255" i="6"/>
  <c r="I255" i="6"/>
  <c r="J255" i="6"/>
  <c r="K255" i="6"/>
  <c r="L255" i="6"/>
  <c r="M255" i="6"/>
  <c r="O255" i="6"/>
  <c r="P255" i="6"/>
  <c r="Q255" i="6"/>
  <c r="R255" i="6"/>
  <c r="T255" i="6"/>
  <c r="U255" i="6"/>
  <c r="V255" i="6"/>
  <c r="W255" i="6"/>
  <c r="H104" i="6"/>
  <c r="I104" i="6"/>
  <c r="J104" i="6"/>
  <c r="K104" i="6"/>
  <c r="L104" i="6"/>
  <c r="M104" i="6"/>
  <c r="O104" i="6"/>
  <c r="P104" i="6"/>
  <c r="Q104" i="6"/>
  <c r="R104" i="6"/>
  <c r="T104" i="6"/>
  <c r="U104" i="6"/>
  <c r="V104" i="6"/>
  <c r="W104" i="6"/>
  <c r="H182" i="6"/>
  <c r="I182" i="6"/>
  <c r="J182" i="6"/>
  <c r="K182" i="6"/>
  <c r="L182" i="6"/>
  <c r="M182" i="6"/>
  <c r="O182" i="6"/>
  <c r="P182" i="6"/>
  <c r="Q182" i="6"/>
  <c r="R182" i="6"/>
  <c r="T182" i="6"/>
  <c r="U182" i="6"/>
  <c r="V182" i="6"/>
  <c r="W182" i="6"/>
  <c r="H49" i="6"/>
  <c r="I49" i="6"/>
  <c r="J49" i="6"/>
  <c r="K49" i="6"/>
  <c r="L49" i="6"/>
  <c r="M49" i="6"/>
  <c r="O49" i="6"/>
  <c r="P49" i="6"/>
  <c r="Q49" i="6"/>
  <c r="R49" i="6"/>
  <c r="T49" i="6"/>
  <c r="U49" i="6"/>
  <c r="V49" i="6"/>
  <c r="W49" i="6"/>
  <c r="H209" i="6"/>
  <c r="I209" i="6"/>
  <c r="J209" i="6"/>
  <c r="K209" i="6"/>
  <c r="L209" i="6"/>
  <c r="M209" i="6"/>
  <c r="O209" i="6"/>
  <c r="P209" i="6"/>
  <c r="Q209" i="6"/>
  <c r="R209" i="6"/>
  <c r="T209" i="6"/>
  <c r="U209" i="6"/>
  <c r="V209" i="6"/>
  <c r="W209" i="6"/>
  <c r="H143" i="6"/>
  <c r="I143" i="6"/>
  <c r="J143" i="6"/>
  <c r="K143" i="6"/>
  <c r="L143" i="6"/>
  <c r="M143" i="6"/>
  <c r="O143" i="6"/>
  <c r="P143" i="6"/>
  <c r="Q143" i="6"/>
  <c r="R143" i="6"/>
  <c r="T143" i="6"/>
  <c r="U143" i="6"/>
  <c r="V143" i="6"/>
  <c r="W143" i="6"/>
  <c r="H964" i="6"/>
  <c r="I964" i="6"/>
  <c r="J964" i="6"/>
  <c r="K964" i="6"/>
  <c r="L964" i="6"/>
  <c r="M964" i="6"/>
  <c r="O964" i="6"/>
  <c r="P964" i="6"/>
  <c r="Q964" i="6"/>
  <c r="R964" i="6"/>
  <c r="T964" i="6"/>
  <c r="U964" i="6"/>
  <c r="V964" i="6"/>
  <c r="W964" i="6"/>
  <c r="H502" i="6"/>
  <c r="I502" i="6"/>
  <c r="J502" i="6"/>
  <c r="K502" i="6"/>
  <c r="L502" i="6"/>
  <c r="M502" i="6"/>
  <c r="O502" i="6"/>
  <c r="P502" i="6"/>
  <c r="Q502" i="6"/>
  <c r="R502" i="6"/>
  <c r="T502" i="6"/>
  <c r="U502" i="6"/>
  <c r="V502" i="6"/>
  <c r="W502" i="6"/>
  <c r="H503" i="6"/>
  <c r="I503" i="6"/>
  <c r="J503" i="6"/>
  <c r="K503" i="6"/>
  <c r="L503" i="6"/>
  <c r="M503" i="6"/>
  <c r="O503" i="6"/>
  <c r="P503" i="6"/>
  <c r="Q503" i="6"/>
  <c r="R503" i="6"/>
  <c r="T503" i="6"/>
  <c r="U503" i="6"/>
  <c r="V503" i="6"/>
  <c r="W503" i="6"/>
  <c r="H504" i="6"/>
  <c r="I504" i="6"/>
  <c r="J504" i="6"/>
  <c r="K504" i="6"/>
  <c r="L504" i="6"/>
  <c r="M504" i="6"/>
  <c r="O504" i="6"/>
  <c r="P504" i="6"/>
  <c r="Q504" i="6"/>
  <c r="R504" i="6"/>
  <c r="T504" i="6"/>
  <c r="U504" i="6"/>
  <c r="V504" i="6"/>
  <c r="W504" i="6"/>
  <c r="H355" i="6"/>
  <c r="I355" i="6"/>
  <c r="J355" i="6"/>
  <c r="K355" i="6"/>
  <c r="L355" i="6"/>
  <c r="M355" i="6"/>
  <c r="O355" i="6"/>
  <c r="P355" i="6"/>
  <c r="Q355" i="6"/>
  <c r="R355" i="6"/>
  <c r="T355" i="6"/>
  <c r="U355" i="6"/>
  <c r="V355" i="6"/>
  <c r="W355" i="6"/>
  <c r="H505" i="6"/>
  <c r="I505" i="6"/>
  <c r="J505" i="6"/>
  <c r="K505" i="6"/>
  <c r="L505" i="6"/>
  <c r="M505" i="6"/>
  <c r="O505" i="6"/>
  <c r="P505" i="6"/>
  <c r="Q505" i="6"/>
  <c r="R505" i="6"/>
  <c r="T505" i="6"/>
  <c r="U505" i="6"/>
  <c r="V505" i="6"/>
  <c r="W505" i="6"/>
  <c r="H932" i="6"/>
  <c r="I932" i="6"/>
  <c r="J932" i="6"/>
  <c r="K932" i="6"/>
  <c r="L932" i="6"/>
  <c r="M932" i="6"/>
  <c r="O932" i="6"/>
  <c r="P932" i="6"/>
  <c r="Q932" i="6"/>
  <c r="R932" i="6"/>
  <c r="T932" i="6"/>
  <c r="U932" i="6"/>
  <c r="V932" i="6"/>
  <c r="W932" i="6"/>
  <c r="H984" i="6"/>
  <c r="I984" i="6"/>
  <c r="J984" i="6"/>
  <c r="K984" i="6"/>
  <c r="L984" i="6"/>
  <c r="M984" i="6"/>
  <c r="O984" i="6"/>
  <c r="P984" i="6"/>
  <c r="Q984" i="6"/>
  <c r="R984" i="6"/>
  <c r="T984" i="6"/>
  <c r="U984" i="6"/>
  <c r="V984" i="6"/>
  <c r="W984" i="6"/>
  <c r="H892" i="6"/>
  <c r="I892" i="6"/>
  <c r="J892" i="6"/>
  <c r="K892" i="6"/>
  <c r="L892" i="6"/>
  <c r="M892" i="6"/>
  <c r="O892" i="6"/>
  <c r="P892" i="6"/>
  <c r="Q892" i="6"/>
  <c r="R892" i="6"/>
  <c r="T892" i="6"/>
  <c r="U892" i="6"/>
  <c r="V892" i="6"/>
  <c r="W892" i="6"/>
  <c r="H893" i="6"/>
  <c r="I893" i="6"/>
  <c r="J893" i="6"/>
  <c r="K893" i="6"/>
  <c r="L893" i="6"/>
  <c r="M893" i="6"/>
  <c r="O893" i="6"/>
  <c r="P893" i="6"/>
  <c r="Q893" i="6"/>
  <c r="R893" i="6"/>
  <c r="T893" i="6"/>
  <c r="U893" i="6"/>
  <c r="V893" i="6"/>
  <c r="W893" i="6"/>
  <c r="H985" i="6"/>
  <c r="I985" i="6"/>
  <c r="J985" i="6"/>
  <c r="K985" i="6"/>
  <c r="L985" i="6"/>
  <c r="M985" i="6"/>
  <c r="O985" i="6"/>
  <c r="P985" i="6"/>
  <c r="Q985" i="6"/>
  <c r="R985" i="6"/>
  <c r="T985" i="6"/>
  <c r="U985" i="6"/>
  <c r="V985" i="6"/>
  <c r="W985" i="6"/>
  <c r="H725" i="6"/>
  <c r="I725" i="6"/>
  <c r="J725" i="6"/>
  <c r="K725" i="6"/>
  <c r="L725" i="6"/>
  <c r="M725" i="6"/>
  <c r="O725" i="6"/>
  <c r="P725" i="6"/>
  <c r="Q725" i="6"/>
  <c r="R725" i="6"/>
  <c r="T725" i="6"/>
  <c r="U725" i="6"/>
  <c r="V725" i="6"/>
  <c r="W725" i="6"/>
  <c r="H726" i="6"/>
  <c r="I726" i="6"/>
  <c r="J726" i="6"/>
  <c r="K726" i="6"/>
  <c r="L726" i="6"/>
  <c r="M726" i="6"/>
  <c r="O726" i="6"/>
  <c r="P726" i="6"/>
  <c r="Q726" i="6"/>
  <c r="R726" i="6"/>
  <c r="T726" i="6"/>
  <c r="U726" i="6"/>
  <c r="V726" i="6"/>
  <c r="W726" i="6"/>
  <c r="H497" i="6"/>
  <c r="I497" i="6"/>
  <c r="J497" i="6"/>
  <c r="K497" i="6"/>
  <c r="L497" i="6"/>
  <c r="M497" i="6"/>
  <c r="O497" i="6"/>
  <c r="P497" i="6"/>
  <c r="Q497" i="6"/>
  <c r="R497" i="6"/>
  <c r="T497" i="6"/>
  <c r="U497" i="6"/>
  <c r="V497" i="6"/>
  <c r="W497" i="6"/>
  <c r="H499" i="6"/>
  <c r="I499" i="6"/>
  <c r="J499" i="6"/>
  <c r="K499" i="6"/>
  <c r="L499" i="6"/>
  <c r="M499" i="6"/>
  <c r="O499" i="6"/>
  <c r="P499" i="6"/>
  <c r="Q499" i="6"/>
  <c r="R499" i="6"/>
  <c r="T499" i="6"/>
  <c r="U499" i="6"/>
  <c r="V499" i="6"/>
  <c r="W499" i="6"/>
  <c r="H498" i="6"/>
  <c r="I498" i="6"/>
  <c r="J498" i="6"/>
  <c r="K498" i="6"/>
  <c r="L498" i="6"/>
  <c r="M498" i="6"/>
  <c r="O498" i="6"/>
  <c r="P498" i="6"/>
  <c r="Q498" i="6"/>
  <c r="R498" i="6"/>
  <c r="T498" i="6"/>
  <c r="U498" i="6"/>
  <c r="V498" i="6"/>
  <c r="W498" i="6"/>
  <c r="H29" i="6"/>
  <c r="I29" i="6"/>
  <c r="J29" i="6"/>
  <c r="K29" i="6"/>
  <c r="L29" i="6"/>
  <c r="M29" i="6"/>
  <c r="O29" i="6"/>
  <c r="P29" i="6"/>
  <c r="Q29" i="6"/>
  <c r="R29" i="6"/>
  <c r="T29" i="6"/>
  <c r="U29" i="6"/>
  <c r="V29" i="6"/>
  <c r="W29" i="6"/>
  <c r="H28" i="6"/>
  <c r="I28" i="6"/>
  <c r="J28" i="6"/>
  <c r="K28" i="6"/>
  <c r="L28" i="6"/>
  <c r="M28" i="6"/>
  <c r="O28" i="6"/>
  <c r="P28" i="6"/>
  <c r="Q28" i="6"/>
  <c r="R28" i="6"/>
  <c r="T28" i="6"/>
  <c r="U28" i="6"/>
  <c r="V28" i="6"/>
  <c r="W28" i="6"/>
  <c r="H26" i="6"/>
  <c r="I26" i="6"/>
  <c r="J26" i="6"/>
  <c r="K26" i="6"/>
  <c r="L26" i="6"/>
  <c r="M26" i="6"/>
  <c r="O26" i="6"/>
  <c r="P26" i="6"/>
  <c r="Q26" i="6"/>
  <c r="R26" i="6"/>
  <c r="T26" i="6"/>
  <c r="U26" i="6"/>
  <c r="V26" i="6"/>
  <c r="W26" i="6"/>
  <c r="H25" i="6"/>
  <c r="I25" i="6"/>
  <c r="J25" i="6"/>
  <c r="K25" i="6"/>
  <c r="L25" i="6"/>
  <c r="M25" i="6"/>
  <c r="O25" i="6"/>
  <c r="P25" i="6"/>
  <c r="Q25" i="6"/>
  <c r="R25" i="6"/>
  <c r="T25" i="6"/>
  <c r="U25" i="6"/>
  <c r="V25" i="6"/>
  <c r="W25" i="6"/>
  <c r="H356" i="6"/>
  <c r="I356" i="6"/>
  <c r="J356" i="6"/>
  <c r="K356" i="6"/>
  <c r="L356" i="6"/>
  <c r="M356" i="6"/>
  <c r="O356" i="6"/>
  <c r="P356" i="6"/>
  <c r="Q356" i="6"/>
  <c r="R356" i="6"/>
  <c r="T356" i="6"/>
  <c r="U356" i="6"/>
  <c r="V356" i="6"/>
  <c r="W356" i="6"/>
  <c r="H961" i="6"/>
  <c r="I961" i="6"/>
  <c r="J961" i="6"/>
  <c r="K961" i="6"/>
  <c r="L961" i="6"/>
  <c r="M961" i="6"/>
  <c r="O961" i="6"/>
  <c r="P961" i="6"/>
  <c r="Q961" i="6"/>
  <c r="R961" i="6"/>
  <c r="T961" i="6"/>
  <c r="U961" i="6"/>
  <c r="V961" i="6"/>
  <c r="W961" i="6"/>
  <c r="H930" i="6"/>
  <c r="I930" i="6"/>
  <c r="J930" i="6"/>
  <c r="K930" i="6"/>
  <c r="L930" i="6"/>
  <c r="M930" i="6"/>
  <c r="O930" i="6"/>
  <c r="P930" i="6"/>
  <c r="Q930" i="6"/>
  <c r="R930" i="6"/>
  <c r="T930" i="6"/>
  <c r="U930" i="6"/>
  <c r="V930" i="6"/>
  <c r="W930" i="6"/>
  <c r="H911" i="6"/>
  <c r="I911" i="6"/>
  <c r="J911" i="6"/>
  <c r="K911" i="6"/>
  <c r="L911" i="6"/>
  <c r="M911" i="6"/>
  <c r="O911" i="6"/>
  <c r="P911" i="6"/>
  <c r="Q911" i="6"/>
  <c r="R911" i="6"/>
  <c r="T911" i="6"/>
  <c r="U911" i="6"/>
  <c r="V911" i="6"/>
  <c r="W911" i="6"/>
  <c r="H897" i="6"/>
  <c r="I897" i="6"/>
  <c r="J897" i="6"/>
  <c r="K897" i="6"/>
  <c r="L897" i="6"/>
  <c r="M897" i="6"/>
  <c r="O897" i="6"/>
  <c r="P897" i="6"/>
  <c r="Q897" i="6"/>
  <c r="R897" i="6"/>
  <c r="T897" i="6"/>
  <c r="U897" i="6"/>
  <c r="V897" i="6"/>
  <c r="W897" i="6"/>
  <c r="H883" i="6"/>
  <c r="I883" i="6"/>
  <c r="J883" i="6"/>
  <c r="K883" i="6"/>
  <c r="L883" i="6"/>
  <c r="M883" i="6"/>
  <c r="O883" i="6"/>
  <c r="P883" i="6"/>
  <c r="Q883" i="6"/>
  <c r="R883" i="6"/>
  <c r="T883" i="6"/>
  <c r="U883" i="6"/>
  <c r="V883" i="6"/>
  <c r="W883" i="6"/>
  <c r="H869" i="6"/>
  <c r="I869" i="6"/>
  <c r="J869" i="6"/>
  <c r="K869" i="6"/>
  <c r="L869" i="6"/>
  <c r="M869" i="6"/>
  <c r="O869" i="6"/>
  <c r="P869" i="6"/>
  <c r="Q869" i="6"/>
  <c r="R869" i="6"/>
  <c r="T869" i="6"/>
  <c r="U869" i="6"/>
  <c r="V869" i="6"/>
  <c r="W869" i="6"/>
  <c r="H854" i="6"/>
  <c r="I854" i="6"/>
  <c r="J854" i="6"/>
  <c r="K854" i="6"/>
  <c r="L854" i="6"/>
  <c r="M854" i="6"/>
  <c r="O854" i="6"/>
  <c r="P854" i="6"/>
  <c r="Q854" i="6"/>
  <c r="R854" i="6"/>
  <c r="T854" i="6"/>
  <c r="U854" i="6"/>
  <c r="V854" i="6"/>
  <c r="W854" i="6"/>
  <c r="H840" i="6"/>
  <c r="I840" i="6"/>
  <c r="J840" i="6"/>
  <c r="K840" i="6"/>
  <c r="L840" i="6"/>
  <c r="M840" i="6"/>
  <c r="O840" i="6"/>
  <c r="P840" i="6"/>
  <c r="Q840" i="6"/>
  <c r="R840" i="6"/>
  <c r="T840" i="6"/>
  <c r="U840" i="6"/>
  <c r="V840" i="6"/>
  <c r="W840" i="6"/>
  <c r="H822" i="6"/>
  <c r="I822" i="6"/>
  <c r="J822" i="6"/>
  <c r="K822" i="6"/>
  <c r="L822" i="6"/>
  <c r="M822" i="6"/>
  <c r="O822" i="6"/>
  <c r="P822" i="6"/>
  <c r="Q822" i="6"/>
  <c r="R822" i="6"/>
  <c r="T822" i="6"/>
  <c r="U822" i="6"/>
  <c r="V822" i="6"/>
  <c r="W822" i="6"/>
  <c r="H441" i="6"/>
  <c r="I441" i="6"/>
  <c r="J441" i="6"/>
  <c r="K441" i="6"/>
  <c r="L441" i="6"/>
  <c r="M441" i="6"/>
  <c r="O441" i="6"/>
  <c r="P441" i="6"/>
  <c r="Q441" i="6"/>
  <c r="R441" i="6"/>
  <c r="T441" i="6"/>
  <c r="U441" i="6"/>
  <c r="V441" i="6"/>
  <c r="W441" i="6"/>
  <c r="H443" i="6"/>
  <c r="I443" i="6"/>
  <c r="J443" i="6"/>
  <c r="K443" i="6"/>
  <c r="L443" i="6"/>
  <c r="M443" i="6"/>
  <c r="O443" i="6"/>
  <c r="P443" i="6"/>
  <c r="Q443" i="6"/>
  <c r="R443" i="6"/>
  <c r="T443" i="6"/>
  <c r="U443" i="6"/>
  <c r="V443" i="6"/>
  <c r="W443" i="6"/>
  <c r="H442" i="6"/>
  <c r="I442" i="6"/>
  <c r="J442" i="6"/>
  <c r="K442" i="6"/>
  <c r="L442" i="6"/>
  <c r="M442" i="6"/>
  <c r="O442" i="6"/>
  <c r="P442" i="6"/>
  <c r="Q442" i="6"/>
  <c r="R442" i="6"/>
  <c r="T442" i="6"/>
  <c r="U442" i="6"/>
  <c r="V442" i="6"/>
  <c r="W442" i="6"/>
  <c r="H17" i="6"/>
  <c r="I17" i="6"/>
  <c r="J17" i="6"/>
  <c r="K17" i="6"/>
  <c r="L17" i="6"/>
  <c r="M17" i="6"/>
  <c r="O17" i="6"/>
  <c r="P17" i="6"/>
  <c r="Q17" i="6"/>
  <c r="R17" i="6"/>
  <c r="T17" i="6"/>
  <c r="U17" i="6"/>
  <c r="V17" i="6"/>
  <c r="W17" i="6"/>
  <c r="H935" i="6"/>
  <c r="I935" i="6"/>
  <c r="J935" i="6"/>
  <c r="K935" i="6"/>
  <c r="L935" i="6"/>
  <c r="M935" i="6"/>
  <c r="O935" i="6"/>
  <c r="P935" i="6"/>
  <c r="Q935" i="6"/>
  <c r="R935" i="6"/>
  <c r="T935" i="6"/>
  <c r="U935" i="6"/>
  <c r="V935" i="6"/>
  <c r="W935" i="6"/>
  <c r="H1024" i="6"/>
  <c r="I1024" i="6"/>
  <c r="J1024" i="6"/>
  <c r="K1024" i="6"/>
  <c r="L1024" i="6"/>
  <c r="M1024" i="6"/>
  <c r="O1024" i="6"/>
  <c r="P1024" i="6"/>
  <c r="Q1024" i="6"/>
  <c r="R1024" i="6"/>
  <c r="T1024" i="6"/>
  <c r="U1024" i="6"/>
  <c r="V1024" i="6"/>
  <c r="W1024" i="6"/>
  <c r="H92" i="6"/>
  <c r="I92" i="6"/>
  <c r="J92" i="6"/>
  <c r="K92" i="6"/>
  <c r="L92" i="6"/>
  <c r="M92" i="6"/>
  <c r="O92" i="6"/>
  <c r="P92" i="6"/>
  <c r="Q92" i="6"/>
  <c r="R92" i="6"/>
  <c r="T92" i="6"/>
  <c r="U92" i="6"/>
  <c r="V92" i="6"/>
  <c r="W92" i="6"/>
  <c r="H91" i="6"/>
  <c r="I91" i="6"/>
  <c r="J91" i="6"/>
  <c r="K91" i="6"/>
  <c r="L91" i="6"/>
  <c r="M91" i="6"/>
  <c r="O91" i="6"/>
  <c r="P91" i="6"/>
  <c r="Q91" i="6"/>
  <c r="R91" i="6"/>
  <c r="T91" i="6"/>
  <c r="U91" i="6"/>
  <c r="V91" i="6"/>
  <c r="W91" i="6"/>
  <c r="H90" i="6"/>
  <c r="I90" i="6"/>
  <c r="J90" i="6"/>
  <c r="K90" i="6"/>
  <c r="L90" i="6"/>
  <c r="M90" i="6"/>
  <c r="O90" i="6"/>
  <c r="P90" i="6"/>
  <c r="Q90" i="6"/>
  <c r="R90" i="6"/>
  <c r="T90" i="6"/>
  <c r="U90" i="6"/>
  <c r="V90" i="6"/>
  <c r="W90" i="6"/>
  <c r="H952" i="6"/>
  <c r="I952" i="6"/>
  <c r="J952" i="6"/>
  <c r="K952" i="6"/>
  <c r="L952" i="6"/>
  <c r="M952" i="6"/>
  <c r="O952" i="6"/>
  <c r="P952" i="6"/>
  <c r="Q952" i="6"/>
  <c r="R952" i="6"/>
  <c r="T952" i="6"/>
  <c r="U952" i="6"/>
  <c r="V952" i="6"/>
  <c r="W952" i="6"/>
  <c r="H668" i="6"/>
  <c r="I668" i="6"/>
  <c r="J668" i="6"/>
  <c r="K668" i="6"/>
  <c r="L668" i="6"/>
  <c r="M668" i="6"/>
  <c r="O668" i="6"/>
  <c r="P668" i="6"/>
  <c r="Q668" i="6"/>
  <c r="R668" i="6"/>
  <c r="T668" i="6"/>
  <c r="U668" i="6"/>
  <c r="V668" i="6"/>
  <c r="W668" i="6"/>
  <c r="H669" i="6"/>
  <c r="I669" i="6"/>
  <c r="J669" i="6"/>
  <c r="K669" i="6"/>
  <c r="L669" i="6"/>
  <c r="M669" i="6"/>
  <c r="O669" i="6"/>
  <c r="P669" i="6"/>
  <c r="Q669" i="6"/>
  <c r="R669" i="6"/>
  <c r="T669" i="6"/>
  <c r="U669" i="6"/>
  <c r="V669" i="6"/>
  <c r="W669" i="6"/>
  <c r="H670" i="6"/>
  <c r="I670" i="6"/>
  <c r="J670" i="6"/>
  <c r="K670" i="6"/>
  <c r="L670" i="6"/>
  <c r="M670" i="6"/>
  <c r="O670" i="6"/>
  <c r="P670" i="6"/>
  <c r="Q670" i="6"/>
  <c r="R670" i="6"/>
  <c r="T670" i="6"/>
  <c r="U670" i="6"/>
  <c r="V670" i="6"/>
  <c r="W670" i="6"/>
  <c r="H13" i="6"/>
  <c r="I13" i="6"/>
  <c r="J13" i="6"/>
  <c r="K13" i="6"/>
  <c r="L13" i="6"/>
  <c r="M13" i="6"/>
  <c r="O13" i="6"/>
  <c r="P13" i="6"/>
  <c r="Q13" i="6"/>
  <c r="R13" i="6"/>
  <c r="T13" i="6"/>
  <c r="U13" i="6"/>
  <c r="V13" i="6"/>
  <c r="W13" i="6"/>
  <c r="H15" i="6"/>
  <c r="I15" i="6"/>
  <c r="J15" i="6"/>
  <c r="K15" i="6"/>
  <c r="L15" i="6"/>
  <c r="M15" i="6"/>
  <c r="O15" i="6"/>
  <c r="P15" i="6"/>
  <c r="Q15" i="6"/>
  <c r="R15" i="6"/>
  <c r="T15" i="6"/>
  <c r="U15" i="6"/>
  <c r="V15" i="6"/>
  <c r="W15" i="6"/>
  <c r="H16" i="6"/>
  <c r="I16" i="6"/>
  <c r="J16" i="6"/>
  <c r="K16" i="6"/>
  <c r="L16" i="6"/>
  <c r="M16" i="6"/>
  <c r="O16" i="6"/>
  <c r="P16" i="6"/>
  <c r="Q16" i="6"/>
  <c r="R16" i="6"/>
  <c r="T16" i="6"/>
  <c r="U16" i="6"/>
  <c r="V16" i="6"/>
  <c r="W16" i="6"/>
  <c r="H14" i="6"/>
  <c r="I14" i="6"/>
  <c r="J14" i="6"/>
  <c r="K14" i="6"/>
  <c r="L14" i="6"/>
  <c r="M14" i="6"/>
  <c r="O14" i="6"/>
  <c r="P14" i="6"/>
  <c r="Q14" i="6"/>
  <c r="R14" i="6"/>
  <c r="T14" i="6"/>
  <c r="U14" i="6"/>
  <c r="V14" i="6"/>
  <c r="W14" i="6"/>
  <c r="H1004" i="6"/>
  <c r="I1004" i="6"/>
  <c r="J1004" i="6"/>
  <c r="K1004" i="6"/>
  <c r="L1004" i="6"/>
  <c r="M1004" i="6"/>
  <c r="O1004" i="6"/>
  <c r="P1004" i="6"/>
  <c r="Q1004" i="6"/>
  <c r="R1004" i="6"/>
  <c r="T1004" i="6"/>
  <c r="U1004" i="6"/>
  <c r="V1004" i="6"/>
  <c r="W1004" i="6"/>
  <c r="H12" i="6"/>
  <c r="I12" i="6"/>
  <c r="J12" i="6"/>
  <c r="K12" i="6"/>
  <c r="L12" i="6"/>
  <c r="M12" i="6"/>
  <c r="O12" i="6"/>
  <c r="P12" i="6"/>
  <c r="Q12" i="6"/>
  <c r="R12" i="6"/>
  <c r="T12" i="6"/>
  <c r="U12" i="6"/>
  <c r="V12" i="6"/>
  <c r="W12" i="6"/>
  <c r="H251" i="6"/>
  <c r="I251" i="6"/>
  <c r="J251" i="6"/>
  <c r="K251" i="6"/>
  <c r="L251" i="6"/>
  <c r="M251" i="6"/>
  <c r="O251" i="6"/>
  <c r="P251" i="6"/>
  <c r="Q251" i="6"/>
  <c r="R251" i="6"/>
  <c r="T251" i="6"/>
  <c r="U251" i="6"/>
  <c r="V251" i="6"/>
  <c r="W251" i="6"/>
  <c r="H250" i="6"/>
  <c r="I250" i="6"/>
  <c r="J250" i="6"/>
  <c r="K250" i="6"/>
  <c r="L250" i="6"/>
  <c r="M250" i="6"/>
  <c r="O250" i="6"/>
  <c r="P250" i="6"/>
  <c r="Q250" i="6"/>
  <c r="R250" i="6"/>
  <c r="T250" i="6"/>
  <c r="U250" i="6"/>
  <c r="V250" i="6"/>
  <c r="W250" i="6"/>
  <c r="H247" i="6"/>
  <c r="I247" i="6"/>
  <c r="J247" i="6"/>
  <c r="K247" i="6"/>
  <c r="L247" i="6"/>
  <c r="M247" i="6"/>
  <c r="O247" i="6"/>
  <c r="P247" i="6"/>
  <c r="Q247" i="6"/>
  <c r="R247" i="6"/>
  <c r="T247" i="6"/>
  <c r="U247" i="6"/>
  <c r="V247" i="6"/>
  <c r="W247" i="6"/>
  <c r="H248" i="6"/>
  <c r="I248" i="6"/>
  <c r="J248" i="6"/>
  <c r="K248" i="6"/>
  <c r="L248" i="6"/>
  <c r="M248" i="6"/>
  <c r="O248" i="6"/>
  <c r="P248" i="6"/>
  <c r="Q248" i="6"/>
  <c r="R248" i="6"/>
  <c r="T248" i="6"/>
  <c r="U248" i="6"/>
  <c r="V248" i="6"/>
  <c r="W248" i="6"/>
  <c r="H554" i="6"/>
  <c r="I554" i="6"/>
  <c r="J554" i="6"/>
  <c r="K554" i="6"/>
  <c r="L554" i="6"/>
  <c r="M554" i="6"/>
  <c r="O554" i="6"/>
  <c r="P554" i="6"/>
  <c r="Q554" i="6"/>
  <c r="R554" i="6"/>
  <c r="T554" i="6"/>
  <c r="U554" i="6"/>
  <c r="V554" i="6"/>
  <c r="W554" i="6"/>
  <c r="H556" i="6"/>
  <c r="I556" i="6"/>
  <c r="J556" i="6"/>
  <c r="K556" i="6"/>
  <c r="L556" i="6"/>
  <c r="M556" i="6"/>
  <c r="O556" i="6"/>
  <c r="P556" i="6"/>
  <c r="Q556" i="6"/>
  <c r="R556" i="6"/>
  <c r="T556" i="6"/>
  <c r="U556" i="6"/>
  <c r="V556" i="6"/>
  <c r="W556" i="6"/>
  <c r="H557" i="6"/>
  <c r="I557" i="6"/>
  <c r="J557" i="6"/>
  <c r="K557" i="6"/>
  <c r="L557" i="6"/>
  <c r="M557" i="6"/>
  <c r="O557" i="6"/>
  <c r="P557" i="6"/>
  <c r="Q557" i="6"/>
  <c r="R557" i="6"/>
  <c r="T557" i="6"/>
  <c r="U557" i="6"/>
  <c r="V557" i="6"/>
  <c r="W557" i="6"/>
  <c r="H915" i="6"/>
  <c r="I915" i="6"/>
  <c r="J915" i="6"/>
  <c r="K915" i="6"/>
  <c r="L915" i="6"/>
  <c r="M915" i="6"/>
  <c r="O915" i="6"/>
  <c r="P915" i="6"/>
  <c r="Q915" i="6"/>
  <c r="R915" i="6"/>
  <c r="T915" i="6"/>
  <c r="U915" i="6"/>
  <c r="V915" i="6"/>
  <c r="W915" i="6"/>
  <c r="H621" i="6"/>
  <c r="I621" i="6"/>
  <c r="J621" i="6"/>
  <c r="K621" i="6"/>
  <c r="L621" i="6"/>
  <c r="M621" i="6"/>
  <c r="O621" i="6"/>
  <c r="P621" i="6"/>
  <c r="Q621" i="6"/>
  <c r="R621" i="6"/>
  <c r="T621" i="6"/>
  <c r="U621" i="6"/>
  <c r="V621" i="6"/>
  <c r="W621" i="6"/>
  <c r="H455" i="6"/>
  <c r="I455" i="6"/>
  <c r="J455" i="6"/>
  <c r="K455" i="6"/>
  <c r="L455" i="6"/>
  <c r="M455" i="6"/>
  <c r="O455" i="6"/>
  <c r="P455" i="6"/>
  <c r="Q455" i="6"/>
  <c r="R455" i="6"/>
  <c r="T455" i="6"/>
  <c r="U455" i="6"/>
  <c r="V455" i="6"/>
  <c r="W455" i="6"/>
  <c r="H456" i="6"/>
  <c r="I456" i="6"/>
  <c r="J456" i="6"/>
  <c r="K456" i="6"/>
  <c r="L456" i="6"/>
  <c r="M456" i="6"/>
  <c r="O456" i="6"/>
  <c r="P456" i="6"/>
  <c r="Q456" i="6"/>
  <c r="R456" i="6"/>
  <c r="T456" i="6"/>
  <c r="U456" i="6"/>
  <c r="V456" i="6"/>
  <c r="W456" i="6"/>
  <c r="H457" i="6"/>
  <c r="I457" i="6"/>
  <c r="J457" i="6"/>
  <c r="K457" i="6"/>
  <c r="L457" i="6"/>
  <c r="M457" i="6"/>
  <c r="O457" i="6"/>
  <c r="P457" i="6"/>
  <c r="Q457" i="6"/>
  <c r="R457" i="6"/>
  <c r="T457" i="6"/>
  <c r="U457" i="6"/>
  <c r="V457" i="6"/>
  <c r="W457" i="6"/>
  <c r="H903" i="6"/>
  <c r="I903" i="6"/>
  <c r="J903" i="6"/>
  <c r="K903" i="6"/>
  <c r="L903" i="6"/>
  <c r="M903" i="6"/>
  <c r="O903" i="6"/>
  <c r="P903" i="6"/>
  <c r="Q903" i="6"/>
  <c r="R903" i="6"/>
  <c r="T903" i="6"/>
  <c r="U903" i="6"/>
  <c r="V903" i="6"/>
  <c r="W903" i="6"/>
  <c r="H838" i="6"/>
  <c r="I838" i="6"/>
  <c r="J838" i="6"/>
  <c r="K838" i="6"/>
  <c r="L838" i="6"/>
  <c r="M838" i="6"/>
  <c r="O838" i="6"/>
  <c r="P838" i="6"/>
  <c r="Q838" i="6"/>
  <c r="R838" i="6"/>
  <c r="T838" i="6"/>
  <c r="U838" i="6"/>
  <c r="V838" i="6"/>
  <c r="W838" i="6"/>
  <c r="H839" i="6"/>
  <c r="I839" i="6"/>
  <c r="J839" i="6"/>
  <c r="K839" i="6"/>
  <c r="L839" i="6"/>
  <c r="M839" i="6"/>
  <c r="O839" i="6"/>
  <c r="P839" i="6"/>
  <c r="Q839" i="6"/>
  <c r="R839" i="6"/>
  <c r="T839" i="6"/>
  <c r="U839" i="6"/>
  <c r="V839" i="6"/>
  <c r="W839" i="6"/>
  <c r="H558" i="6"/>
  <c r="I558" i="6"/>
  <c r="J558" i="6"/>
  <c r="K558" i="6"/>
  <c r="L558" i="6"/>
  <c r="M558" i="6"/>
  <c r="O558" i="6"/>
  <c r="P558" i="6"/>
  <c r="Q558" i="6"/>
  <c r="R558" i="6"/>
  <c r="T558" i="6"/>
  <c r="U558" i="6"/>
  <c r="V558" i="6"/>
  <c r="W558" i="6"/>
  <c r="H178" i="6"/>
  <c r="I178" i="6"/>
  <c r="J178" i="6"/>
  <c r="K178" i="6"/>
  <c r="L178" i="6"/>
  <c r="M178" i="6"/>
  <c r="O178" i="6"/>
  <c r="P178" i="6"/>
  <c r="Q178" i="6"/>
  <c r="R178" i="6"/>
  <c r="T178" i="6"/>
  <c r="U178" i="6"/>
  <c r="V178" i="6"/>
  <c r="W178" i="6"/>
  <c r="H86" i="6"/>
  <c r="I86" i="6"/>
  <c r="J86" i="6"/>
  <c r="K86" i="6"/>
  <c r="L86" i="6"/>
  <c r="M86" i="6"/>
  <c r="O86" i="6"/>
  <c r="P86" i="6"/>
  <c r="Q86" i="6"/>
  <c r="R86" i="6"/>
  <c r="T86" i="6"/>
  <c r="U86" i="6"/>
  <c r="V86" i="6"/>
  <c r="W86" i="6"/>
  <c r="H993" i="6"/>
  <c r="I993" i="6"/>
  <c r="J993" i="6"/>
  <c r="K993" i="6"/>
  <c r="L993" i="6"/>
  <c r="M993" i="6"/>
  <c r="O993" i="6"/>
  <c r="P993" i="6"/>
  <c r="Q993" i="6"/>
  <c r="R993" i="6"/>
  <c r="T993" i="6"/>
  <c r="U993" i="6"/>
  <c r="V993" i="6"/>
  <c r="W993" i="6"/>
  <c r="H87" i="6"/>
  <c r="I87" i="6"/>
  <c r="J87" i="6"/>
  <c r="K87" i="6"/>
  <c r="L87" i="6"/>
  <c r="M87" i="6"/>
  <c r="O87" i="6"/>
  <c r="P87" i="6"/>
  <c r="Q87" i="6"/>
  <c r="R87" i="6"/>
  <c r="T87" i="6"/>
  <c r="U87" i="6"/>
  <c r="V87" i="6"/>
  <c r="W87" i="6"/>
  <c r="H88" i="6"/>
  <c r="I88" i="6"/>
  <c r="J88" i="6"/>
  <c r="K88" i="6"/>
  <c r="L88" i="6"/>
  <c r="M88" i="6"/>
  <c r="O88" i="6"/>
  <c r="P88" i="6"/>
  <c r="Q88" i="6"/>
  <c r="R88" i="6"/>
  <c r="T88" i="6"/>
  <c r="U88" i="6"/>
  <c r="V88" i="6"/>
  <c r="W88" i="6"/>
  <c r="H83" i="6"/>
  <c r="I83" i="6"/>
  <c r="J83" i="6"/>
  <c r="K83" i="6"/>
  <c r="L83" i="6"/>
  <c r="M83" i="6"/>
  <c r="O83" i="6"/>
  <c r="P83" i="6"/>
  <c r="Q83" i="6"/>
  <c r="R83" i="6"/>
  <c r="T83" i="6"/>
  <c r="U83" i="6"/>
  <c r="V83" i="6"/>
  <c r="W83" i="6"/>
  <c r="H84" i="6"/>
  <c r="I84" i="6"/>
  <c r="J84" i="6"/>
  <c r="K84" i="6"/>
  <c r="L84" i="6"/>
  <c r="M84" i="6"/>
  <c r="O84" i="6"/>
  <c r="P84" i="6"/>
  <c r="Q84" i="6"/>
  <c r="R84" i="6"/>
  <c r="T84" i="6"/>
  <c r="U84" i="6"/>
  <c r="V84" i="6"/>
  <c r="W84" i="6"/>
  <c r="H618" i="6"/>
  <c r="I618" i="6"/>
  <c r="J618" i="6"/>
  <c r="K618" i="6"/>
  <c r="L618" i="6"/>
  <c r="M618" i="6"/>
  <c r="O618" i="6"/>
  <c r="P618" i="6"/>
  <c r="Q618" i="6"/>
  <c r="R618" i="6"/>
  <c r="T618" i="6"/>
  <c r="U618" i="6"/>
  <c r="V618" i="6"/>
  <c r="W618" i="6"/>
  <c r="H622" i="6"/>
  <c r="I622" i="6"/>
  <c r="J622" i="6"/>
  <c r="K622" i="6"/>
  <c r="L622" i="6"/>
  <c r="M622" i="6"/>
  <c r="O622" i="6"/>
  <c r="P622" i="6"/>
  <c r="Q622" i="6"/>
  <c r="R622" i="6"/>
  <c r="T622" i="6"/>
  <c r="U622" i="6"/>
  <c r="V622" i="6"/>
  <c r="W622" i="6"/>
  <c r="H619" i="6"/>
  <c r="I619" i="6"/>
  <c r="J619" i="6"/>
  <c r="K619" i="6"/>
  <c r="L619" i="6"/>
  <c r="M619" i="6"/>
  <c r="O619" i="6"/>
  <c r="P619" i="6"/>
  <c r="Q619" i="6"/>
  <c r="R619" i="6"/>
  <c r="T619" i="6"/>
  <c r="U619" i="6"/>
  <c r="V619" i="6"/>
  <c r="W619" i="6"/>
  <c r="H620" i="6"/>
  <c r="I620" i="6"/>
  <c r="J620" i="6"/>
  <c r="K620" i="6"/>
  <c r="L620" i="6"/>
  <c r="M620" i="6"/>
  <c r="O620" i="6"/>
  <c r="P620" i="6"/>
  <c r="Q620" i="6"/>
  <c r="R620" i="6"/>
  <c r="T620" i="6"/>
  <c r="U620" i="6"/>
  <c r="V620" i="6"/>
  <c r="W620" i="6"/>
  <c r="H100" i="6"/>
  <c r="I100" i="6"/>
  <c r="J100" i="6"/>
  <c r="K100" i="6"/>
  <c r="L100" i="6"/>
  <c r="M100" i="6"/>
  <c r="O100" i="6"/>
  <c r="P100" i="6"/>
  <c r="Q100" i="6"/>
  <c r="R100" i="6"/>
  <c r="T100" i="6"/>
  <c r="U100" i="6"/>
  <c r="V100" i="6"/>
  <c r="W100" i="6"/>
  <c r="H101" i="6"/>
  <c r="I101" i="6"/>
  <c r="J101" i="6"/>
  <c r="K101" i="6"/>
  <c r="L101" i="6"/>
  <c r="M101" i="6"/>
  <c r="O101" i="6"/>
  <c r="P101" i="6"/>
  <c r="Q101" i="6"/>
  <c r="R101" i="6"/>
  <c r="T101" i="6"/>
  <c r="U101" i="6"/>
  <c r="V101" i="6"/>
  <c r="W101" i="6"/>
  <c r="H960" i="6"/>
  <c r="I960" i="6"/>
  <c r="J960" i="6"/>
  <c r="K960" i="6"/>
  <c r="L960" i="6"/>
  <c r="M960" i="6"/>
  <c r="O960" i="6"/>
  <c r="P960" i="6"/>
  <c r="Q960" i="6"/>
  <c r="R960" i="6"/>
  <c r="T960" i="6"/>
  <c r="U960" i="6"/>
  <c r="V960" i="6"/>
  <c r="W960" i="6"/>
  <c r="H261" i="6"/>
  <c r="I261" i="6"/>
  <c r="J261" i="6"/>
  <c r="K261" i="6"/>
  <c r="L261" i="6"/>
  <c r="M261" i="6"/>
  <c r="O261" i="6"/>
  <c r="P261" i="6"/>
  <c r="Q261" i="6"/>
  <c r="R261" i="6"/>
  <c r="T261" i="6"/>
  <c r="U261" i="6"/>
  <c r="V261" i="6"/>
  <c r="W261" i="6"/>
  <c r="H847" i="6"/>
  <c r="I847" i="6"/>
  <c r="J847" i="6"/>
  <c r="K847" i="6"/>
  <c r="L847" i="6"/>
  <c r="M847" i="6"/>
  <c r="O847" i="6"/>
  <c r="P847" i="6"/>
  <c r="Q847" i="6"/>
  <c r="R847" i="6"/>
  <c r="T847" i="6"/>
  <c r="U847" i="6"/>
  <c r="V847" i="6"/>
  <c r="W847" i="6"/>
  <c r="H848" i="6"/>
  <c r="I848" i="6"/>
  <c r="J848" i="6"/>
  <c r="K848" i="6"/>
  <c r="L848" i="6"/>
  <c r="M848" i="6"/>
  <c r="O848" i="6"/>
  <c r="P848" i="6"/>
  <c r="Q848" i="6"/>
  <c r="R848" i="6"/>
  <c r="T848" i="6"/>
  <c r="U848" i="6"/>
  <c r="V848" i="6"/>
  <c r="W848" i="6"/>
  <c r="H818" i="6"/>
  <c r="I818" i="6"/>
  <c r="J818" i="6"/>
  <c r="K818" i="6"/>
  <c r="L818" i="6"/>
  <c r="M818" i="6"/>
  <c r="O818" i="6"/>
  <c r="P818" i="6"/>
  <c r="Q818" i="6"/>
  <c r="R818" i="6"/>
  <c r="T818" i="6"/>
  <c r="U818" i="6"/>
  <c r="V818" i="6"/>
  <c r="W818" i="6"/>
  <c r="H306" i="6"/>
  <c r="I306" i="6"/>
  <c r="J306" i="6"/>
  <c r="K306" i="6"/>
  <c r="L306" i="6"/>
  <c r="M306" i="6"/>
  <c r="O306" i="6"/>
  <c r="P306" i="6"/>
  <c r="Q306" i="6"/>
  <c r="R306" i="6"/>
  <c r="T306" i="6"/>
  <c r="U306" i="6"/>
  <c r="V306" i="6"/>
  <c r="W306" i="6"/>
  <c r="H970" i="6"/>
  <c r="I970" i="6"/>
  <c r="J970" i="6"/>
  <c r="K970" i="6"/>
  <c r="L970" i="6"/>
  <c r="M970" i="6"/>
  <c r="O970" i="6"/>
  <c r="P970" i="6"/>
  <c r="Q970" i="6"/>
  <c r="R970" i="6"/>
  <c r="T970" i="6"/>
  <c r="U970" i="6"/>
  <c r="V970" i="6"/>
  <c r="W970" i="6"/>
  <c r="H971" i="6"/>
  <c r="I971" i="6"/>
  <c r="J971" i="6"/>
  <c r="K971" i="6"/>
  <c r="L971" i="6"/>
  <c r="M971" i="6"/>
  <c r="O971" i="6"/>
  <c r="P971" i="6"/>
  <c r="Q971" i="6"/>
  <c r="R971" i="6"/>
  <c r="T971" i="6"/>
  <c r="U971" i="6"/>
  <c r="V971" i="6"/>
  <c r="W971" i="6"/>
  <c r="H927" i="6"/>
  <c r="I927" i="6"/>
  <c r="J927" i="6"/>
  <c r="K927" i="6"/>
  <c r="L927" i="6"/>
  <c r="M927" i="6"/>
  <c r="O927" i="6"/>
  <c r="P927" i="6"/>
  <c r="Q927" i="6"/>
  <c r="R927" i="6"/>
  <c r="T927" i="6"/>
  <c r="U927" i="6"/>
  <c r="V927" i="6"/>
  <c r="W927" i="6"/>
  <c r="H813" i="6"/>
  <c r="I813" i="6"/>
  <c r="J813" i="6"/>
  <c r="K813" i="6"/>
  <c r="L813" i="6"/>
  <c r="M813" i="6"/>
  <c r="O813" i="6"/>
  <c r="P813" i="6"/>
  <c r="Q813" i="6"/>
  <c r="R813" i="6"/>
  <c r="T813" i="6"/>
  <c r="U813" i="6"/>
  <c r="V813" i="6"/>
  <c r="W813" i="6"/>
  <c r="H814" i="6"/>
  <c r="I814" i="6"/>
  <c r="J814" i="6"/>
  <c r="K814" i="6"/>
  <c r="L814" i="6"/>
  <c r="M814" i="6"/>
  <c r="O814" i="6"/>
  <c r="P814" i="6"/>
  <c r="Q814" i="6"/>
  <c r="R814" i="6"/>
  <c r="T814" i="6"/>
  <c r="U814" i="6"/>
  <c r="V814" i="6"/>
  <c r="W814" i="6"/>
  <c r="H815" i="6"/>
  <c r="I815" i="6"/>
  <c r="J815" i="6"/>
  <c r="K815" i="6"/>
  <c r="L815" i="6"/>
  <c r="M815" i="6"/>
  <c r="O815" i="6"/>
  <c r="P815" i="6"/>
  <c r="Q815" i="6"/>
  <c r="R815" i="6"/>
  <c r="T815" i="6"/>
  <c r="U815" i="6"/>
  <c r="V815" i="6"/>
  <c r="W815" i="6"/>
  <c r="H987" i="6"/>
  <c r="I987" i="6"/>
  <c r="J987" i="6"/>
  <c r="K987" i="6"/>
  <c r="L987" i="6"/>
  <c r="M987" i="6"/>
  <c r="O987" i="6"/>
  <c r="P987" i="6"/>
  <c r="Q987" i="6"/>
  <c r="R987" i="6"/>
  <c r="T987" i="6"/>
  <c r="U987" i="6"/>
  <c r="V987" i="6"/>
  <c r="W987" i="6"/>
  <c r="H693" i="6"/>
  <c r="I693" i="6"/>
  <c r="J693" i="6"/>
  <c r="K693" i="6"/>
  <c r="L693" i="6"/>
  <c r="M693" i="6"/>
  <c r="O693" i="6"/>
  <c r="P693" i="6"/>
  <c r="Q693" i="6"/>
  <c r="R693" i="6"/>
  <c r="T693" i="6"/>
  <c r="U693" i="6"/>
  <c r="V693" i="6"/>
  <c r="W693" i="6"/>
  <c r="H694" i="6"/>
  <c r="I694" i="6"/>
  <c r="J694" i="6"/>
  <c r="K694" i="6"/>
  <c r="L694" i="6"/>
  <c r="M694" i="6"/>
  <c r="O694" i="6"/>
  <c r="P694" i="6"/>
  <c r="Q694" i="6"/>
  <c r="R694" i="6"/>
  <c r="T694" i="6"/>
  <c r="U694" i="6"/>
  <c r="V694" i="6"/>
  <c r="W694" i="6"/>
  <c r="H695" i="6"/>
  <c r="I695" i="6"/>
  <c r="J695" i="6"/>
  <c r="K695" i="6"/>
  <c r="L695" i="6"/>
  <c r="M695" i="6"/>
  <c r="O695" i="6"/>
  <c r="P695" i="6"/>
  <c r="Q695" i="6"/>
  <c r="R695" i="6"/>
  <c r="T695" i="6"/>
  <c r="U695" i="6"/>
  <c r="V695" i="6"/>
  <c r="W695" i="6"/>
  <c r="H626" i="6"/>
  <c r="I626" i="6"/>
  <c r="J626" i="6"/>
  <c r="K626" i="6"/>
  <c r="L626" i="6"/>
  <c r="M626" i="6"/>
  <c r="O626" i="6"/>
  <c r="P626" i="6"/>
  <c r="Q626" i="6"/>
  <c r="R626" i="6"/>
  <c r="T626" i="6"/>
  <c r="U626" i="6"/>
  <c r="V626" i="6"/>
  <c r="W626" i="6"/>
  <c r="H627" i="6"/>
  <c r="I627" i="6"/>
  <c r="J627" i="6"/>
  <c r="K627" i="6"/>
  <c r="L627" i="6"/>
  <c r="M627" i="6"/>
  <c r="O627" i="6"/>
  <c r="P627" i="6"/>
  <c r="Q627" i="6"/>
  <c r="R627" i="6"/>
  <c r="T627" i="6"/>
  <c r="U627" i="6"/>
  <c r="V627" i="6"/>
  <c r="W627" i="6"/>
  <c r="H590" i="6"/>
  <c r="I590" i="6"/>
  <c r="J590" i="6"/>
  <c r="K590" i="6"/>
  <c r="L590" i="6"/>
  <c r="M590" i="6"/>
  <c r="O590" i="6"/>
  <c r="P590" i="6"/>
  <c r="Q590" i="6"/>
  <c r="R590" i="6"/>
  <c r="T590" i="6"/>
  <c r="U590" i="6"/>
  <c r="V590" i="6"/>
  <c r="W590" i="6"/>
  <c r="H592" i="6"/>
  <c r="I592" i="6"/>
  <c r="J592" i="6"/>
  <c r="K592" i="6"/>
  <c r="L592" i="6"/>
  <c r="M592" i="6"/>
  <c r="O592" i="6"/>
  <c r="P592" i="6"/>
  <c r="Q592" i="6"/>
  <c r="R592" i="6"/>
  <c r="T592" i="6"/>
  <c r="U592" i="6"/>
  <c r="V592" i="6"/>
  <c r="W592" i="6"/>
  <c r="H591" i="6"/>
  <c r="I591" i="6"/>
  <c r="J591" i="6"/>
  <c r="K591" i="6"/>
  <c r="L591" i="6"/>
  <c r="M591" i="6"/>
  <c r="O591" i="6"/>
  <c r="P591" i="6"/>
  <c r="Q591" i="6"/>
  <c r="R591" i="6"/>
  <c r="T591" i="6"/>
  <c r="U591" i="6"/>
  <c r="V591" i="6"/>
  <c r="W591" i="6"/>
  <c r="H551" i="6"/>
  <c r="I551" i="6"/>
  <c r="J551" i="6"/>
  <c r="K551" i="6"/>
  <c r="L551" i="6"/>
  <c r="M551" i="6"/>
  <c r="O551" i="6"/>
  <c r="P551" i="6"/>
  <c r="Q551" i="6"/>
  <c r="R551" i="6"/>
  <c r="T551" i="6"/>
  <c r="U551" i="6"/>
  <c r="V551" i="6"/>
  <c r="W551" i="6"/>
  <c r="H553" i="6"/>
  <c r="I553" i="6"/>
  <c r="J553" i="6"/>
  <c r="K553" i="6"/>
  <c r="L553" i="6"/>
  <c r="M553" i="6"/>
  <c r="O553" i="6"/>
  <c r="P553" i="6"/>
  <c r="Q553" i="6"/>
  <c r="R553" i="6"/>
  <c r="T553" i="6"/>
  <c r="U553" i="6"/>
  <c r="V553" i="6"/>
  <c r="W553" i="6"/>
  <c r="H552" i="6"/>
  <c r="I552" i="6"/>
  <c r="J552" i="6"/>
  <c r="K552" i="6"/>
  <c r="L552" i="6"/>
  <c r="M552" i="6"/>
  <c r="O552" i="6"/>
  <c r="P552" i="6"/>
  <c r="Q552" i="6"/>
  <c r="R552" i="6"/>
  <c r="T552" i="6"/>
  <c r="U552" i="6"/>
  <c r="V552" i="6"/>
  <c r="W552" i="6"/>
  <c r="H523" i="6"/>
  <c r="I523" i="6"/>
  <c r="J523" i="6"/>
  <c r="K523" i="6"/>
  <c r="L523" i="6"/>
  <c r="M523" i="6"/>
  <c r="O523" i="6"/>
  <c r="P523" i="6"/>
  <c r="Q523" i="6"/>
  <c r="R523" i="6"/>
  <c r="T523" i="6"/>
  <c r="U523" i="6"/>
  <c r="V523" i="6"/>
  <c r="W523" i="6"/>
  <c r="H525" i="6"/>
  <c r="I525" i="6"/>
  <c r="J525" i="6"/>
  <c r="K525" i="6"/>
  <c r="L525" i="6"/>
  <c r="M525" i="6"/>
  <c r="O525" i="6"/>
  <c r="P525" i="6"/>
  <c r="Q525" i="6"/>
  <c r="R525" i="6"/>
  <c r="T525" i="6"/>
  <c r="U525" i="6"/>
  <c r="V525" i="6"/>
  <c r="W525" i="6"/>
  <c r="H524" i="6"/>
  <c r="I524" i="6"/>
  <c r="J524" i="6"/>
  <c r="K524" i="6"/>
  <c r="L524" i="6"/>
  <c r="M524" i="6"/>
  <c r="O524" i="6"/>
  <c r="P524" i="6"/>
  <c r="Q524" i="6"/>
  <c r="R524" i="6"/>
  <c r="T524" i="6"/>
  <c r="U524" i="6"/>
  <c r="V524" i="6"/>
  <c r="W524" i="6"/>
  <c r="H490" i="6"/>
  <c r="I490" i="6"/>
  <c r="J490" i="6"/>
  <c r="K490" i="6"/>
  <c r="L490" i="6"/>
  <c r="M490" i="6"/>
  <c r="O490" i="6"/>
  <c r="P490" i="6"/>
  <c r="Q490" i="6"/>
  <c r="R490" i="6"/>
  <c r="T490" i="6"/>
  <c r="U490" i="6"/>
  <c r="V490" i="6"/>
  <c r="W490" i="6"/>
  <c r="H492" i="6"/>
  <c r="I492" i="6"/>
  <c r="J492" i="6"/>
  <c r="K492" i="6"/>
  <c r="L492" i="6"/>
  <c r="M492" i="6"/>
  <c r="O492" i="6"/>
  <c r="P492" i="6"/>
  <c r="Q492" i="6"/>
  <c r="R492" i="6"/>
  <c r="T492" i="6"/>
  <c r="U492" i="6"/>
  <c r="V492" i="6"/>
  <c r="W492" i="6"/>
  <c r="H491" i="6"/>
  <c r="I491" i="6"/>
  <c r="J491" i="6"/>
  <c r="K491" i="6"/>
  <c r="L491" i="6"/>
  <c r="M491" i="6"/>
  <c r="O491" i="6"/>
  <c r="P491" i="6"/>
  <c r="Q491" i="6"/>
  <c r="R491" i="6"/>
  <c r="T491" i="6"/>
  <c r="U491" i="6"/>
  <c r="V491" i="6"/>
  <c r="W491" i="6"/>
  <c r="H435" i="6"/>
  <c r="I435" i="6"/>
  <c r="J435" i="6"/>
  <c r="K435" i="6"/>
  <c r="L435" i="6"/>
  <c r="M435" i="6"/>
  <c r="O435" i="6"/>
  <c r="P435" i="6"/>
  <c r="Q435" i="6"/>
  <c r="R435" i="6"/>
  <c r="T435" i="6"/>
  <c r="U435" i="6"/>
  <c r="V435" i="6"/>
  <c r="W435" i="6"/>
  <c r="H437" i="6"/>
  <c r="I437" i="6"/>
  <c r="J437" i="6"/>
  <c r="K437" i="6"/>
  <c r="L437" i="6"/>
  <c r="M437" i="6"/>
  <c r="O437" i="6"/>
  <c r="P437" i="6"/>
  <c r="Q437" i="6"/>
  <c r="R437" i="6"/>
  <c r="T437" i="6"/>
  <c r="U437" i="6"/>
  <c r="V437" i="6"/>
  <c r="W437" i="6"/>
  <c r="H436" i="6"/>
  <c r="I436" i="6"/>
  <c r="J436" i="6"/>
  <c r="K436" i="6"/>
  <c r="L436" i="6"/>
  <c r="M436" i="6"/>
  <c r="O436" i="6"/>
  <c r="P436" i="6"/>
  <c r="Q436" i="6"/>
  <c r="R436" i="6"/>
  <c r="T436" i="6"/>
  <c r="U436" i="6"/>
  <c r="V436" i="6"/>
  <c r="W436" i="6"/>
  <c r="H399" i="6"/>
  <c r="I399" i="6"/>
  <c r="J399" i="6"/>
  <c r="K399" i="6"/>
  <c r="L399" i="6"/>
  <c r="M399" i="6"/>
  <c r="O399" i="6"/>
  <c r="P399" i="6"/>
  <c r="Q399" i="6"/>
  <c r="R399" i="6"/>
  <c r="T399" i="6"/>
  <c r="U399" i="6"/>
  <c r="V399" i="6"/>
  <c r="W399" i="6"/>
  <c r="H401" i="6"/>
  <c r="I401" i="6"/>
  <c r="J401" i="6"/>
  <c r="K401" i="6"/>
  <c r="L401" i="6"/>
  <c r="M401" i="6"/>
  <c r="O401" i="6"/>
  <c r="P401" i="6"/>
  <c r="Q401" i="6"/>
  <c r="R401" i="6"/>
  <c r="T401" i="6"/>
  <c r="U401" i="6"/>
  <c r="V401" i="6"/>
  <c r="W401" i="6"/>
  <c r="H400" i="6"/>
  <c r="I400" i="6"/>
  <c r="J400" i="6"/>
  <c r="K400" i="6"/>
  <c r="L400" i="6"/>
  <c r="M400" i="6"/>
  <c r="O400" i="6"/>
  <c r="P400" i="6"/>
  <c r="Q400" i="6"/>
  <c r="R400" i="6"/>
  <c r="T400" i="6"/>
  <c r="U400" i="6"/>
  <c r="V400" i="6"/>
  <c r="W400" i="6"/>
  <c r="H373" i="6"/>
  <c r="I373" i="6"/>
  <c r="J373" i="6"/>
  <c r="K373" i="6"/>
  <c r="L373" i="6"/>
  <c r="M373" i="6"/>
  <c r="O373" i="6"/>
  <c r="P373" i="6"/>
  <c r="Q373" i="6"/>
  <c r="R373" i="6"/>
  <c r="T373" i="6"/>
  <c r="U373" i="6"/>
  <c r="V373" i="6"/>
  <c r="W373" i="6"/>
  <c r="H375" i="6"/>
  <c r="I375" i="6"/>
  <c r="J375" i="6"/>
  <c r="K375" i="6"/>
  <c r="L375" i="6"/>
  <c r="M375" i="6"/>
  <c r="O375" i="6"/>
  <c r="P375" i="6"/>
  <c r="Q375" i="6"/>
  <c r="R375" i="6"/>
  <c r="T375" i="6"/>
  <c r="U375" i="6"/>
  <c r="V375" i="6"/>
  <c r="W375" i="6"/>
  <c r="H374" i="6"/>
  <c r="I374" i="6"/>
  <c r="J374" i="6"/>
  <c r="K374" i="6"/>
  <c r="L374" i="6"/>
  <c r="M374" i="6"/>
  <c r="O374" i="6"/>
  <c r="P374" i="6"/>
  <c r="Q374" i="6"/>
  <c r="R374" i="6"/>
  <c r="T374" i="6"/>
  <c r="U374" i="6"/>
  <c r="V374" i="6"/>
  <c r="W374" i="6"/>
  <c r="H321" i="6"/>
  <c r="I321" i="6"/>
  <c r="J321" i="6"/>
  <c r="K321" i="6"/>
  <c r="L321" i="6"/>
  <c r="M321" i="6"/>
  <c r="O321" i="6"/>
  <c r="P321" i="6"/>
  <c r="Q321" i="6"/>
  <c r="R321" i="6"/>
  <c r="T321" i="6"/>
  <c r="U321" i="6"/>
  <c r="V321" i="6"/>
  <c r="W321" i="6"/>
  <c r="H323" i="6"/>
  <c r="I323" i="6"/>
  <c r="J323" i="6"/>
  <c r="K323" i="6"/>
  <c r="L323" i="6"/>
  <c r="M323" i="6"/>
  <c r="O323" i="6"/>
  <c r="P323" i="6"/>
  <c r="Q323" i="6"/>
  <c r="R323" i="6"/>
  <c r="T323" i="6"/>
  <c r="U323" i="6"/>
  <c r="V323" i="6"/>
  <c r="W323" i="6"/>
  <c r="H322" i="6"/>
  <c r="I322" i="6"/>
  <c r="J322" i="6"/>
  <c r="K322" i="6"/>
  <c r="L322" i="6"/>
  <c r="M322" i="6"/>
  <c r="O322" i="6"/>
  <c r="P322" i="6"/>
  <c r="Q322" i="6"/>
  <c r="R322" i="6"/>
  <c r="T322" i="6"/>
  <c r="U322" i="6"/>
  <c r="V322" i="6"/>
  <c r="W322" i="6"/>
  <c r="H500" i="6"/>
  <c r="I500" i="6"/>
  <c r="J500" i="6"/>
  <c r="K500" i="6"/>
  <c r="L500" i="6"/>
  <c r="M500" i="6"/>
  <c r="O500" i="6"/>
  <c r="P500" i="6"/>
  <c r="Q500" i="6"/>
  <c r="R500" i="6"/>
  <c r="T500" i="6"/>
  <c r="U500" i="6"/>
  <c r="V500" i="6"/>
  <c r="W500" i="6"/>
  <c r="H501" i="6"/>
  <c r="I501" i="6"/>
  <c r="J501" i="6"/>
  <c r="K501" i="6"/>
  <c r="L501" i="6"/>
  <c r="M501" i="6"/>
  <c r="O501" i="6"/>
  <c r="P501" i="6"/>
  <c r="Q501" i="6"/>
  <c r="R501" i="6"/>
  <c r="T501" i="6"/>
  <c r="U501" i="6"/>
  <c r="V501" i="6"/>
  <c r="W501" i="6"/>
  <c r="H453" i="6"/>
  <c r="I453" i="6"/>
  <c r="J453" i="6"/>
  <c r="K453" i="6"/>
  <c r="L453" i="6"/>
  <c r="M453" i="6"/>
  <c r="O453" i="6"/>
  <c r="P453" i="6"/>
  <c r="Q453" i="6"/>
  <c r="R453" i="6"/>
  <c r="T453" i="6"/>
  <c r="U453" i="6"/>
  <c r="V453" i="6"/>
  <c r="W453" i="6"/>
  <c r="H454" i="6"/>
  <c r="I454" i="6"/>
  <c r="J454" i="6"/>
  <c r="K454" i="6"/>
  <c r="L454" i="6"/>
  <c r="M454" i="6"/>
  <c r="O454" i="6"/>
  <c r="P454" i="6"/>
  <c r="Q454" i="6"/>
  <c r="R454" i="6"/>
  <c r="T454" i="6"/>
  <c r="U454" i="6"/>
  <c r="V454" i="6"/>
  <c r="W454" i="6"/>
  <c r="H273" i="6"/>
  <c r="I273" i="6"/>
  <c r="J273" i="6"/>
  <c r="K273" i="6"/>
  <c r="L273" i="6"/>
  <c r="M273" i="6"/>
  <c r="O273" i="6"/>
  <c r="P273" i="6"/>
  <c r="Q273" i="6"/>
  <c r="R273" i="6"/>
  <c r="T273" i="6"/>
  <c r="U273" i="6"/>
  <c r="V273" i="6"/>
  <c r="W273" i="6"/>
  <c r="H337" i="6"/>
  <c r="I337" i="6"/>
  <c r="J337" i="6"/>
  <c r="K337" i="6"/>
  <c r="L337" i="6"/>
  <c r="M337" i="6"/>
  <c r="O337" i="6"/>
  <c r="P337" i="6"/>
  <c r="Q337" i="6"/>
  <c r="R337" i="6"/>
  <c r="T337" i="6"/>
  <c r="U337" i="6"/>
  <c r="V337" i="6"/>
  <c r="W337" i="6"/>
  <c r="H338" i="6"/>
  <c r="I338" i="6"/>
  <c r="J338" i="6"/>
  <c r="K338" i="6"/>
  <c r="L338" i="6"/>
  <c r="M338" i="6"/>
  <c r="O338" i="6"/>
  <c r="P338" i="6"/>
  <c r="Q338" i="6"/>
  <c r="R338" i="6"/>
  <c r="T338" i="6"/>
  <c r="U338" i="6"/>
  <c r="V338" i="6"/>
  <c r="W338" i="6"/>
  <c r="H339" i="6"/>
  <c r="I339" i="6"/>
  <c r="J339" i="6"/>
  <c r="K339" i="6"/>
  <c r="L339" i="6"/>
  <c r="M339" i="6"/>
  <c r="O339" i="6"/>
  <c r="P339" i="6"/>
  <c r="Q339" i="6"/>
  <c r="R339" i="6"/>
  <c r="T339" i="6"/>
  <c r="U339" i="6"/>
  <c r="V339" i="6"/>
  <c r="W339" i="6"/>
  <c r="H340" i="6"/>
  <c r="I340" i="6"/>
  <c r="J340" i="6"/>
  <c r="K340" i="6"/>
  <c r="L340" i="6"/>
  <c r="M340" i="6"/>
  <c r="O340" i="6"/>
  <c r="P340" i="6"/>
  <c r="Q340" i="6"/>
  <c r="R340" i="6"/>
  <c r="T340" i="6"/>
  <c r="U340" i="6"/>
  <c r="V340" i="6"/>
  <c r="W340" i="6"/>
  <c r="H246" i="6"/>
  <c r="I246" i="6"/>
  <c r="J246" i="6"/>
  <c r="K246" i="6"/>
  <c r="L246" i="6"/>
  <c r="M246" i="6"/>
  <c r="O246" i="6"/>
  <c r="P246" i="6"/>
  <c r="Q246" i="6"/>
  <c r="R246" i="6"/>
  <c r="T246" i="6"/>
  <c r="U246" i="6"/>
  <c r="V246" i="6"/>
  <c r="W246" i="6"/>
  <c r="H249" i="6"/>
  <c r="I249" i="6"/>
  <c r="J249" i="6"/>
  <c r="K249" i="6"/>
  <c r="L249" i="6"/>
  <c r="M249" i="6"/>
  <c r="O249" i="6"/>
  <c r="P249" i="6"/>
  <c r="Q249" i="6"/>
  <c r="R249" i="6"/>
  <c r="T249" i="6"/>
  <c r="U249" i="6"/>
  <c r="V249" i="6"/>
  <c r="W249" i="6"/>
  <c r="H149" i="6"/>
  <c r="I149" i="6"/>
  <c r="J149" i="6"/>
  <c r="K149" i="6"/>
  <c r="L149" i="6"/>
  <c r="M149" i="6"/>
  <c r="O149" i="6"/>
  <c r="P149" i="6"/>
  <c r="Q149" i="6"/>
  <c r="R149" i="6"/>
  <c r="T149" i="6"/>
  <c r="U149" i="6"/>
  <c r="V149" i="6"/>
  <c r="W149" i="6"/>
  <c r="H994" i="6"/>
  <c r="I994" i="6"/>
  <c r="J994" i="6"/>
  <c r="K994" i="6"/>
  <c r="L994" i="6"/>
  <c r="M994" i="6"/>
  <c r="O994" i="6"/>
  <c r="P994" i="6"/>
  <c r="Q994" i="6"/>
  <c r="R994" i="6"/>
  <c r="T994" i="6"/>
  <c r="U994" i="6"/>
  <c r="V994" i="6"/>
  <c r="W994" i="6"/>
  <c r="H148" i="6"/>
  <c r="I148" i="6"/>
  <c r="J148" i="6"/>
  <c r="K148" i="6"/>
  <c r="L148" i="6"/>
  <c r="M148" i="6"/>
  <c r="O148" i="6"/>
  <c r="P148" i="6"/>
  <c r="Q148" i="6"/>
  <c r="R148" i="6"/>
  <c r="T148" i="6"/>
  <c r="U148" i="6"/>
  <c r="V148" i="6"/>
  <c r="W148" i="6"/>
  <c r="H655" i="6"/>
  <c r="I655" i="6"/>
  <c r="J655" i="6"/>
  <c r="K655" i="6"/>
  <c r="L655" i="6"/>
  <c r="M655" i="6"/>
  <c r="O655" i="6"/>
  <c r="P655" i="6"/>
  <c r="Q655" i="6"/>
  <c r="R655" i="6"/>
  <c r="T655" i="6"/>
  <c r="U655" i="6"/>
  <c r="V655" i="6"/>
  <c r="W655" i="6"/>
  <c r="H656" i="6"/>
  <c r="I656" i="6"/>
  <c r="J656" i="6"/>
  <c r="K656" i="6"/>
  <c r="L656" i="6"/>
  <c r="M656" i="6"/>
  <c r="O656" i="6"/>
  <c r="P656" i="6"/>
  <c r="Q656" i="6"/>
  <c r="R656" i="6"/>
  <c r="T656" i="6"/>
  <c r="U656" i="6"/>
  <c r="V656" i="6"/>
  <c r="W656" i="6"/>
  <c r="H761" i="6"/>
  <c r="I761" i="6"/>
  <c r="J761" i="6"/>
  <c r="K761" i="6"/>
  <c r="L761" i="6"/>
  <c r="M761" i="6"/>
  <c r="O761" i="6"/>
  <c r="P761" i="6"/>
  <c r="Q761" i="6"/>
  <c r="R761" i="6"/>
  <c r="T761" i="6"/>
  <c r="U761" i="6"/>
  <c r="V761" i="6"/>
  <c r="W761" i="6"/>
  <c r="H762" i="6"/>
  <c r="I762" i="6"/>
  <c r="J762" i="6"/>
  <c r="K762" i="6"/>
  <c r="L762" i="6"/>
  <c r="M762" i="6"/>
  <c r="O762" i="6"/>
  <c r="P762" i="6"/>
  <c r="Q762" i="6"/>
  <c r="R762" i="6"/>
  <c r="T762" i="6"/>
  <c r="U762" i="6"/>
  <c r="V762" i="6"/>
  <c r="W762" i="6"/>
  <c r="H763" i="6"/>
  <c r="I763" i="6"/>
  <c r="J763" i="6"/>
  <c r="K763" i="6"/>
  <c r="L763" i="6"/>
  <c r="M763" i="6"/>
  <c r="O763" i="6"/>
  <c r="P763" i="6"/>
  <c r="Q763" i="6"/>
  <c r="R763" i="6"/>
  <c r="T763" i="6"/>
  <c r="U763" i="6"/>
  <c r="V763" i="6"/>
  <c r="W763" i="6"/>
  <c r="H606" i="6"/>
  <c r="I606" i="6"/>
  <c r="J606" i="6"/>
  <c r="K606" i="6"/>
  <c r="L606" i="6"/>
  <c r="M606" i="6"/>
  <c r="O606" i="6"/>
  <c r="P606" i="6"/>
  <c r="Q606" i="6"/>
  <c r="R606" i="6"/>
  <c r="T606" i="6"/>
  <c r="U606" i="6"/>
  <c r="V606" i="6"/>
  <c r="W606" i="6"/>
  <c r="H607" i="6"/>
  <c r="I607" i="6"/>
  <c r="J607" i="6"/>
  <c r="K607" i="6"/>
  <c r="L607" i="6"/>
  <c r="M607" i="6"/>
  <c r="O607" i="6"/>
  <c r="P607" i="6"/>
  <c r="Q607" i="6"/>
  <c r="R607" i="6"/>
  <c r="T607" i="6"/>
  <c r="U607" i="6"/>
  <c r="V607" i="6"/>
  <c r="W607" i="6"/>
  <c r="H608" i="6"/>
  <c r="I608" i="6"/>
  <c r="J608" i="6"/>
  <c r="K608" i="6"/>
  <c r="L608" i="6"/>
  <c r="M608" i="6"/>
  <c r="O608" i="6"/>
  <c r="P608" i="6"/>
  <c r="Q608" i="6"/>
  <c r="R608" i="6"/>
  <c r="T608" i="6"/>
  <c r="U608" i="6"/>
  <c r="V608" i="6"/>
  <c r="W608" i="6"/>
  <c r="H532" i="6"/>
  <c r="I532" i="6"/>
  <c r="J532" i="6"/>
  <c r="K532" i="6"/>
  <c r="L532" i="6"/>
  <c r="M532" i="6"/>
  <c r="O532" i="6"/>
  <c r="P532" i="6"/>
  <c r="Q532" i="6"/>
  <c r="R532" i="6"/>
  <c r="T532" i="6"/>
  <c r="U532" i="6"/>
  <c r="V532" i="6"/>
  <c r="W532" i="6"/>
  <c r="H533" i="6"/>
  <c r="I533" i="6"/>
  <c r="J533" i="6"/>
  <c r="K533" i="6"/>
  <c r="L533" i="6"/>
  <c r="M533" i="6"/>
  <c r="O533" i="6"/>
  <c r="P533" i="6"/>
  <c r="Q533" i="6"/>
  <c r="R533" i="6"/>
  <c r="T533" i="6"/>
  <c r="U533" i="6"/>
  <c r="V533" i="6"/>
  <c r="W533" i="6"/>
  <c r="H445" i="6"/>
  <c r="I445" i="6"/>
  <c r="J445" i="6"/>
  <c r="K445" i="6"/>
  <c r="L445" i="6"/>
  <c r="M445" i="6"/>
  <c r="O445" i="6"/>
  <c r="P445" i="6"/>
  <c r="Q445" i="6"/>
  <c r="R445" i="6"/>
  <c r="T445" i="6"/>
  <c r="U445" i="6"/>
  <c r="V445" i="6"/>
  <c r="W445" i="6"/>
  <c r="H446" i="6"/>
  <c r="I446" i="6"/>
  <c r="J446" i="6"/>
  <c r="K446" i="6"/>
  <c r="L446" i="6"/>
  <c r="M446" i="6"/>
  <c r="O446" i="6"/>
  <c r="P446" i="6"/>
  <c r="Q446" i="6"/>
  <c r="R446" i="6"/>
  <c r="T446" i="6"/>
  <c r="U446" i="6"/>
  <c r="V446" i="6"/>
  <c r="W446" i="6"/>
  <c r="H447" i="6"/>
  <c r="I447" i="6"/>
  <c r="J447" i="6"/>
  <c r="K447" i="6"/>
  <c r="L447" i="6"/>
  <c r="M447" i="6"/>
  <c r="O447" i="6"/>
  <c r="P447" i="6"/>
  <c r="Q447" i="6"/>
  <c r="R447" i="6"/>
  <c r="T447" i="6"/>
  <c r="U447" i="6"/>
  <c r="V447" i="6"/>
  <c r="W447" i="6"/>
  <c r="H404" i="6"/>
  <c r="I404" i="6"/>
  <c r="J404" i="6"/>
  <c r="K404" i="6"/>
  <c r="L404" i="6"/>
  <c r="M404" i="6"/>
  <c r="O404" i="6"/>
  <c r="P404" i="6"/>
  <c r="Q404" i="6"/>
  <c r="R404" i="6"/>
  <c r="T404" i="6"/>
  <c r="U404" i="6"/>
  <c r="V404" i="6"/>
  <c r="W404" i="6"/>
  <c r="H405" i="6"/>
  <c r="I405" i="6"/>
  <c r="J405" i="6"/>
  <c r="K405" i="6"/>
  <c r="L405" i="6"/>
  <c r="M405" i="6"/>
  <c r="O405" i="6"/>
  <c r="P405" i="6"/>
  <c r="Q405" i="6"/>
  <c r="R405" i="6"/>
  <c r="T405" i="6"/>
  <c r="U405" i="6"/>
  <c r="V405" i="6"/>
  <c r="W405" i="6"/>
  <c r="H406" i="6"/>
  <c r="I406" i="6"/>
  <c r="J406" i="6"/>
  <c r="K406" i="6"/>
  <c r="L406" i="6"/>
  <c r="M406" i="6"/>
  <c r="O406" i="6"/>
  <c r="P406" i="6"/>
  <c r="Q406" i="6"/>
  <c r="R406" i="6"/>
  <c r="T406" i="6"/>
  <c r="U406" i="6"/>
  <c r="V406" i="6"/>
  <c r="W406" i="6"/>
  <c r="H363" i="6"/>
  <c r="I363" i="6"/>
  <c r="J363" i="6"/>
  <c r="K363" i="6"/>
  <c r="L363" i="6"/>
  <c r="M363" i="6"/>
  <c r="O363" i="6"/>
  <c r="P363" i="6"/>
  <c r="Q363" i="6"/>
  <c r="R363" i="6"/>
  <c r="T363" i="6"/>
  <c r="U363" i="6"/>
  <c r="V363" i="6"/>
  <c r="W363" i="6"/>
  <c r="H364" i="6"/>
  <c r="I364" i="6"/>
  <c r="J364" i="6"/>
  <c r="K364" i="6"/>
  <c r="L364" i="6"/>
  <c r="M364" i="6"/>
  <c r="O364" i="6"/>
  <c r="P364" i="6"/>
  <c r="Q364" i="6"/>
  <c r="R364" i="6"/>
  <c r="T364" i="6"/>
  <c r="U364" i="6"/>
  <c r="V364" i="6"/>
  <c r="W364" i="6"/>
  <c r="H365" i="6"/>
  <c r="I365" i="6"/>
  <c r="J365" i="6"/>
  <c r="K365" i="6"/>
  <c r="L365" i="6"/>
  <c r="M365" i="6"/>
  <c r="O365" i="6"/>
  <c r="P365" i="6"/>
  <c r="Q365" i="6"/>
  <c r="R365" i="6"/>
  <c r="T365" i="6"/>
  <c r="U365" i="6"/>
  <c r="V365" i="6"/>
  <c r="W365" i="6"/>
  <c r="H89" i="6"/>
  <c r="I89" i="6"/>
  <c r="J89" i="6"/>
  <c r="K89" i="6"/>
  <c r="L89" i="6"/>
  <c r="M89" i="6"/>
  <c r="O89" i="6"/>
  <c r="P89" i="6"/>
  <c r="Q89" i="6"/>
  <c r="R89" i="6"/>
  <c r="T89" i="6"/>
  <c r="U89" i="6"/>
  <c r="V89" i="6"/>
  <c r="W89" i="6"/>
  <c r="H281" i="6"/>
  <c r="I281" i="6"/>
  <c r="J281" i="6"/>
  <c r="K281" i="6"/>
  <c r="L281" i="6"/>
  <c r="M281" i="6"/>
  <c r="O281" i="6"/>
  <c r="P281" i="6"/>
  <c r="Q281" i="6"/>
  <c r="R281" i="6"/>
  <c r="T281" i="6"/>
  <c r="U281" i="6"/>
  <c r="V281" i="6"/>
  <c r="W281" i="6"/>
  <c r="H284" i="6"/>
  <c r="I284" i="6"/>
  <c r="J284" i="6"/>
  <c r="K284" i="6"/>
  <c r="L284" i="6"/>
  <c r="M284" i="6"/>
  <c r="O284" i="6"/>
  <c r="P284" i="6"/>
  <c r="Q284" i="6"/>
  <c r="R284" i="6"/>
  <c r="T284" i="6"/>
  <c r="U284" i="6"/>
  <c r="V284" i="6"/>
  <c r="W284" i="6"/>
  <c r="H283" i="6"/>
  <c r="I283" i="6"/>
  <c r="J283" i="6"/>
  <c r="K283" i="6"/>
  <c r="L283" i="6"/>
  <c r="M283" i="6"/>
  <c r="O283" i="6"/>
  <c r="P283" i="6"/>
  <c r="Q283" i="6"/>
  <c r="R283" i="6"/>
  <c r="T283" i="6"/>
  <c r="U283" i="6"/>
  <c r="V283" i="6"/>
  <c r="W283" i="6"/>
  <c r="H282" i="6"/>
  <c r="I282" i="6"/>
  <c r="J282" i="6"/>
  <c r="K282" i="6"/>
  <c r="L282" i="6"/>
  <c r="M282" i="6"/>
  <c r="O282" i="6"/>
  <c r="P282" i="6"/>
  <c r="Q282" i="6"/>
  <c r="R282" i="6"/>
  <c r="T282" i="6"/>
  <c r="U282" i="6"/>
  <c r="V282" i="6"/>
  <c r="W282" i="6"/>
  <c r="H674" i="6"/>
  <c r="I674" i="6"/>
  <c r="J674" i="6"/>
  <c r="K674" i="6"/>
  <c r="L674" i="6"/>
  <c r="M674" i="6"/>
  <c r="O674" i="6"/>
  <c r="P674" i="6"/>
  <c r="Q674" i="6"/>
  <c r="R674" i="6"/>
  <c r="T674" i="6"/>
  <c r="U674" i="6"/>
  <c r="V674" i="6"/>
  <c r="W674" i="6"/>
  <c r="H675" i="6"/>
  <c r="I675" i="6"/>
  <c r="J675" i="6"/>
  <c r="K675" i="6"/>
  <c r="L675" i="6"/>
  <c r="M675" i="6"/>
  <c r="O675" i="6"/>
  <c r="P675" i="6"/>
  <c r="Q675" i="6"/>
  <c r="R675" i="6"/>
  <c r="T675" i="6"/>
  <c r="U675" i="6"/>
  <c r="V675" i="6"/>
  <c r="W675" i="6"/>
  <c r="H676" i="6"/>
  <c r="I676" i="6"/>
  <c r="J676" i="6"/>
  <c r="K676" i="6"/>
  <c r="L676" i="6"/>
  <c r="M676" i="6"/>
  <c r="O676" i="6"/>
  <c r="P676" i="6"/>
  <c r="Q676" i="6"/>
  <c r="R676" i="6"/>
  <c r="T676" i="6"/>
  <c r="U676" i="6"/>
  <c r="V676" i="6"/>
  <c r="W676" i="6"/>
  <c r="H852" i="6"/>
  <c r="I852" i="6"/>
  <c r="J852" i="6"/>
  <c r="K852" i="6"/>
  <c r="L852" i="6"/>
  <c r="M852" i="6"/>
  <c r="O852" i="6"/>
  <c r="P852" i="6"/>
  <c r="Q852" i="6"/>
  <c r="R852" i="6"/>
  <c r="T852" i="6"/>
  <c r="U852" i="6"/>
  <c r="V852" i="6"/>
  <c r="W852" i="6"/>
  <c r="H853" i="6"/>
  <c r="I853" i="6"/>
  <c r="J853" i="6"/>
  <c r="K853" i="6"/>
  <c r="L853" i="6"/>
  <c r="M853" i="6"/>
  <c r="O853" i="6"/>
  <c r="P853" i="6"/>
  <c r="Q853" i="6"/>
  <c r="R853" i="6"/>
  <c r="T853" i="6"/>
  <c r="U853" i="6"/>
  <c r="V853" i="6"/>
  <c r="W853" i="6"/>
  <c r="H962" i="6"/>
  <c r="I962" i="6"/>
  <c r="J962" i="6"/>
  <c r="K962" i="6"/>
  <c r="L962" i="6"/>
  <c r="M962" i="6"/>
  <c r="O962" i="6"/>
  <c r="P962" i="6"/>
  <c r="Q962" i="6"/>
  <c r="R962" i="6"/>
  <c r="T962" i="6"/>
  <c r="U962" i="6"/>
  <c r="V962" i="6"/>
  <c r="W962" i="6"/>
  <c r="H827" i="6"/>
  <c r="I827" i="6"/>
  <c r="J827" i="6"/>
  <c r="K827" i="6"/>
  <c r="L827" i="6"/>
  <c r="M827" i="6"/>
  <c r="O827" i="6"/>
  <c r="P827" i="6"/>
  <c r="Q827" i="6"/>
  <c r="R827" i="6"/>
  <c r="T827" i="6"/>
  <c r="U827" i="6"/>
  <c r="V827" i="6"/>
  <c r="W827" i="6"/>
  <c r="H887" i="6"/>
  <c r="I887" i="6"/>
  <c r="J887" i="6"/>
  <c r="K887" i="6"/>
  <c r="L887" i="6"/>
  <c r="M887" i="6"/>
  <c r="O887" i="6"/>
  <c r="P887" i="6"/>
  <c r="Q887" i="6"/>
  <c r="R887" i="6"/>
  <c r="T887" i="6"/>
  <c r="U887" i="6"/>
  <c r="V887" i="6"/>
  <c r="W887" i="6"/>
  <c r="H614" i="6"/>
  <c r="I614" i="6"/>
  <c r="J614" i="6"/>
  <c r="K614" i="6"/>
  <c r="L614" i="6"/>
  <c r="M614" i="6"/>
  <c r="O614" i="6"/>
  <c r="P614" i="6"/>
  <c r="Q614" i="6"/>
  <c r="R614" i="6"/>
  <c r="T614" i="6"/>
  <c r="U614" i="6"/>
  <c r="V614" i="6"/>
  <c r="W614" i="6"/>
  <c r="H816" i="6"/>
  <c r="I816" i="6"/>
  <c r="J816" i="6"/>
  <c r="K816" i="6"/>
  <c r="L816" i="6"/>
  <c r="M816" i="6"/>
  <c r="O816" i="6"/>
  <c r="P816" i="6"/>
  <c r="Q816" i="6"/>
  <c r="R816" i="6"/>
  <c r="T816" i="6"/>
  <c r="U816" i="6"/>
  <c r="V816" i="6"/>
  <c r="W816" i="6"/>
  <c r="H817" i="6"/>
  <c r="I817" i="6"/>
  <c r="J817" i="6"/>
  <c r="K817" i="6"/>
  <c r="L817" i="6"/>
  <c r="M817" i="6"/>
  <c r="O817" i="6"/>
  <c r="P817" i="6"/>
  <c r="Q817" i="6"/>
  <c r="R817" i="6"/>
  <c r="T817" i="6"/>
  <c r="U817" i="6"/>
  <c r="V817" i="6"/>
  <c r="W817" i="6"/>
  <c r="H232" i="6"/>
  <c r="I232" i="6"/>
  <c r="J232" i="6"/>
  <c r="K232" i="6"/>
  <c r="L232" i="6"/>
  <c r="M232" i="6"/>
  <c r="O232" i="6"/>
  <c r="P232" i="6"/>
  <c r="Q232" i="6"/>
  <c r="R232" i="6"/>
  <c r="T232" i="6"/>
  <c r="U232" i="6"/>
  <c r="V232" i="6"/>
  <c r="W232" i="6"/>
  <c r="H138" i="6"/>
  <c r="I138" i="6"/>
  <c r="J138" i="6"/>
  <c r="K138" i="6"/>
  <c r="L138" i="6"/>
  <c r="M138" i="6"/>
  <c r="O138" i="6"/>
  <c r="P138" i="6"/>
  <c r="Q138" i="6"/>
  <c r="R138" i="6"/>
  <c r="T138" i="6"/>
  <c r="U138" i="6"/>
  <c r="V138" i="6"/>
  <c r="W138" i="6"/>
  <c r="H137" i="6"/>
  <c r="I137" i="6"/>
  <c r="J137" i="6"/>
  <c r="K137" i="6"/>
  <c r="L137" i="6"/>
  <c r="M137" i="6"/>
  <c r="O137" i="6"/>
  <c r="P137" i="6"/>
  <c r="Q137" i="6"/>
  <c r="R137" i="6"/>
  <c r="T137" i="6"/>
  <c r="U137" i="6"/>
  <c r="V137" i="6"/>
  <c r="W137" i="6"/>
  <c r="H3" i="6"/>
  <c r="I3" i="6"/>
  <c r="J3" i="6"/>
  <c r="K3" i="6"/>
  <c r="L3" i="6"/>
  <c r="M3" i="6"/>
  <c r="O3" i="6"/>
  <c r="P3" i="6"/>
  <c r="Q3" i="6"/>
  <c r="R3" i="6"/>
  <c r="T3" i="6"/>
  <c r="U3" i="6"/>
  <c r="V3" i="6"/>
  <c r="W3" i="6"/>
  <c r="H459" i="6"/>
  <c r="I459" i="6"/>
  <c r="J459" i="6"/>
  <c r="K459" i="6"/>
  <c r="L459" i="6"/>
  <c r="M459" i="6"/>
  <c r="O459" i="6"/>
  <c r="P459" i="6"/>
  <c r="Q459" i="6"/>
  <c r="R459" i="6"/>
  <c r="T459" i="6"/>
  <c r="U459" i="6"/>
  <c r="V459" i="6"/>
  <c r="W459" i="6"/>
  <c r="H189" i="6"/>
  <c r="I189" i="6"/>
  <c r="J189" i="6"/>
  <c r="K189" i="6"/>
  <c r="L189" i="6"/>
  <c r="M189" i="6"/>
  <c r="O189" i="6"/>
  <c r="P189" i="6"/>
  <c r="Q189" i="6"/>
  <c r="R189" i="6"/>
  <c r="T189" i="6"/>
  <c r="U189" i="6"/>
  <c r="V189" i="6"/>
  <c r="W189" i="6"/>
  <c r="H190" i="6"/>
  <c r="I190" i="6"/>
  <c r="J190" i="6"/>
  <c r="K190" i="6"/>
  <c r="L190" i="6"/>
  <c r="M190" i="6"/>
  <c r="O190" i="6"/>
  <c r="P190" i="6"/>
  <c r="Q190" i="6"/>
  <c r="R190" i="6"/>
  <c r="T190" i="6"/>
  <c r="U190" i="6"/>
  <c r="V190" i="6"/>
  <c r="W190" i="6"/>
  <c r="H460" i="6"/>
  <c r="I460" i="6"/>
  <c r="J460" i="6"/>
  <c r="K460" i="6"/>
  <c r="L460" i="6"/>
  <c r="M460" i="6"/>
  <c r="O460" i="6"/>
  <c r="P460" i="6"/>
  <c r="Q460" i="6"/>
  <c r="R460" i="6"/>
  <c r="T460" i="6"/>
  <c r="U460" i="6"/>
  <c r="V460" i="6"/>
  <c r="W460" i="6"/>
  <c r="H233" i="6"/>
  <c r="I233" i="6"/>
  <c r="J233" i="6"/>
  <c r="K233" i="6"/>
  <c r="L233" i="6"/>
  <c r="M233" i="6"/>
  <c r="O233" i="6"/>
  <c r="P233" i="6"/>
  <c r="Q233" i="6"/>
  <c r="R233" i="6"/>
  <c r="T233" i="6"/>
  <c r="U233" i="6"/>
  <c r="V233" i="6"/>
  <c r="W233" i="6"/>
  <c r="H234" i="6"/>
  <c r="I234" i="6"/>
  <c r="J234" i="6"/>
  <c r="K234" i="6"/>
  <c r="L234" i="6"/>
  <c r="M234" i="6"/>
  <c r="O234" i="6"/>
  <c r="P234" i="6"/>
  <c r="Q234" i="6"/>
  <c r="R234" i="6"/>
  <c r="T234" i="6"/>
  <c r="U234" i="6"/>
  <c r="V234" i="6"/>
  <c r="W234" i="6"/>
  <c r="H235" i="6"/>
  <c r="I235" i="6"/>
  <c r="J235" i="6"/>
  <c r="K235" i="6"/>
  <c r="L235" i="6"/>
  <c r="M235" i="6"/>
  <c r="O235" i="6"/>
  <c r="P235" i="6"/>
  <c r="Q235" i="6"/>
  <c r="R235" i="6"/>
  <c r="T235" i="6"/>
  <c r="U235" i="6"/>
  <c r="V235" i="6"/>
  <c r="W235" i="6"/>
  <c r="H1000" i="6"/>
  <c r="I1000" i="6"/>
  <c r="J1000" i="6"/>
  <c r="K1000" i="6"/>
  <c r="L1000" i="6"/>
  <c r="M1000" i="6"/>
  <c r="O1000" i="6"/>
  <c r="P1000" i="6"/>
  <c r="Q1000" i="6"/>
  <c r="R1000" i="6"/>
  <c r="T1000" i="6"/>
  <c r="U1000" i="6"/>
  <c r="V1000" i="6"/>
  <c r="W1000" i="6"/>
  <c r="H231" i="6"/>
  <c r="I231" i="6"/>
  <c r="J231" i="6"/>
  <c r="K231" i="6"/>
  <c r="L231" i="6"/>
  <c r="M231" i="6"/>
  <c r="O231" i="6"/>
  <c r="P231" i="6"/>
  <c r="Q231" i="6"/>
  <c r="R231" i="6"/>
  <c r="T231" i="6"/>
  <c r="U231" i="6"/>
  <c r="V231" i="6"/>
  <c r="W231" i="6"/>
  <c r="H236" i="6"/>
  <c r="I236" i="6"/>
  <c r="J236" i="6"/>
  <c r="K236" i="6"/>
  <c r="L236" i="6"/>
  <c r="M236" i="6"/>
  <c r="O236" i="6"/>
  <c r="P236" i="6"/>
  <c r="Q236" i="6"/>
  <c r="R236" i="6"/>
  <c r="T236" i="6"/>
  <c r="U236" i="6"/>
  <c r="V236" i="6"/>
  <c r="W236" i="6"/>
  <c r="H227" i="6"/>
  <c r="I227" i="6"/>
  <c r="J227" i="6"/>
  <c r="K227" i="6"/>
  <c r="L227" i="6"/>
  <c r="M227" i="6"/>
  <c r="O227" i="6"/>
  <c r="P227" i="6"/>
  <c r="Q227" i="6"/>
  <c r="R227" i="6"/>
  <c r="T227" i="6"/>
  <c r="U227" i="6"/>
  <c r="V227" i="6"/>
  <c r="W227" i="6"/>
  <c r="H230" i="6"/>
  <c r="I230" i="6"/>
  <c r="J230" i="6"/>
  <c r="K230" i="6"/>
  <c r="L230" i="6"/>
  <c r="M230" i="6"/>
  <c r="O230" i="6"/>
  <c r="P230" i="6"/>
  <c r="Q230" i="6"/>
  <c r="R230" i="6"/>
  <c r="T230" i="6"/>
  <c r="U230" i="6"/>
  <c r="V230" i="6"/>
  <c r="W230" i="6"/>
  <c r="H228" i="6"/>
  <c r="I228" i="6"/>
  <c r="J228" i="6"/>
  <c r="K228" i="6"/>
  <c r="L228" i="6"/>
  <c r="M228" i="6"/>
  <c r="O228" i="6"/>
  <c r="P228" i="6"/>
  <c r="Q228" i="6"/>
  <c r="R228" i="6"/>
  <c r="T228" i="6"/>
  <c r="U228" i="6"/>
  <c r="V228" i="6"/>
  <c r="W228" i="6"/>
  <c r="H242" i="6"/>
  <c r="I242" i="6"/>
  <c r="J242" i="6"/>
  <c r="K242" i="6"/>
  <c r="L242" i="6"/>
  <c r="M242" i="6"/>
  <c r="O242" i="6"/>
  <c r="P242" i="6"/>
  <c r="Q242" i="6"/>
  <c r="R242" i="6"/>
  <c r="T242" i="6"/>
  <c r="U242" i="6"/>
  <c r="V242" i="6"/>
  <c r="W242" i="6"/>
  <c r="H243" i="6"/>
  <c r="I243" i="6"/>
  <c r="J243" i="6"/>
  <c r="K243" i="6"/>
  <c r="L243" i="6"/>
  <c r="M243" i="6"/>
  <c r="O243" i="6"/>
  <c r="P243" i="6"/>
  <c r="Q243" i="6"/>
  <c r="R243" i="6"/>
  <c r="T243" i="6"/>
  <c r="U243" i="6"/>
  <c r="V243" i="6"/>
  <c r="W243" i="6"/>
  <c r="H357" i="6"/>
  <c r="I357" i="6"/>
  <c r="J357" i="6"/>
  <c r="K357" i="6"/>
  <c r="L357" i="6"/>
  <c r="M357" i="6"/>
  <c r="O357" i="6"/>
  <c r="P357" i="6"/>
  <c r="Q357" i="6"/>
  <c r="R357" i="6"/>
  <c r="T357" i="6"/>
  <c r="U357" i="6"/>
  <c r="V357" i="6"/>
  <c r="W357" i="6"/>
  <c r="H358" i="6"/>
  <c r="I358" i="6"/>
  <c r="J358" i="6"/>
  <c r="K358" i="6"/>
  <c r="L358" i="6"/>
  <c r="M358" i="6"/>
  <c r="O358" i="6"/>
  <c r="P358" i="6"/>
  <c r="Q358" i="6"/>
  <c r="R358" i="6"/>
  <c r="T358" i="6"/>
  <c r="U358" i="6"/>
  <c r="V358" i="6"/>
  <c r="W358" i="6"/>
  <c r="H979" i="6"/>
  <c r="I979" i="6"/>
  <c r="J979" i="6"/>
  <c r="K979" i="6"/>
  <c r="L979" i="6"/>
  <c r="M979" i="6"/>
  <c r="O979" i="6"/>
  <c r="P979" i="6"/>
  <c r="Q979" i="6"/>
  <c r="R979" i="6"/>
  <c r="T979" i="6"/>
  <c r="U979" i="6"/>
  <c r="V979" i="6"/>
  <c r="W979" i="6"/>
  <c r="H642" i="6"/>
  <c r="I642" i="6"/>
  <c r="J642" i="6"/>
  <c r="K642" i="6"/>
  <c r="L642" i="6"/>
  <c r="M642" i="6"/>
  <c r="O642" i="6"/>
  <c r="P642" i="6"/>
  <c r="Q642" i="6"/>
  <c r="R642" i="6"/>
  <c r="T642" i="6"/>
  <c r="U642" i="6"/>
  <c r="V642" i="6"/>
  <c r="W642" i="6"/>
  <c r="H643" i="6"/>
  <c r="I643" i="6"/>
  <c r="J643" i="6"/>
  <c r="K643" i="6"/>
  <c r="L643" i="6"/>
  <c r="M643" i="6"/>
  <c r="O643" i="6"/>
  <c r="P643" i="6"/>
  <c r="Q643" i="6"/>
  <c r="R643" i="6"/>
  <c r="T643" i="6"/>
  <c r="U643" i="6"/>
  <c r="V643" i="6"/>
  <c r="W643" i="6"/>
  <c r="H644" i="6"/>
  <c r="I644" i="6"/>
  <c r="J644" i="6"/>
  <c r="K644" i="6"/>
  <c r="L644" i="6"/>
  <c r="M644" i="6"/>
  <c r="O644" i="6"/>
  <c r="P644" i="6"/>
  <c r="Q644" i="6"/>
  <c r="R644" i="6"/>
  <c r="T644" i="6"/>
  <c r="U644" i="6"/>
  <c r="V644" i="6"/>
  <c r="W644" i="6"/>
  <c r="H569" i="6"/>
  <c r="I569" i="6"/>
  <c r="J569" i="6"/>
  <c r="K569" i="6"/>
  <c r="L569" i="6"/>
  <c r="M569" i="6"/>
  <c r="O569" i="6"/>
  <c r="P569" i="6"/>
  <c r="Q569" i="6"/>
  <c r="R569" i="6"/>
  <c r="T569" i="6"/>
  <c r="U569" i="6"/>
  <c r="V569" i="6"/>
  <c r="W569" i="6"/>
  <c r="H570" i="6"/>
  <c r="I570" i="6"/>
  <c r="J570" i="6"/>
  <c r="K570" i="6"/>
  <c r="L570" i="6"/>
  <c r="M570" i="6"/>
  <c r="O570" i="6"/>
  <c r="P570" i="6"/>
  <c r="Q570" i="6"/>
  <c r="R570" i="6"/>
  <c r="T570" i="6"/>
  <c r="U570" i="6"/>
  <c r="V570" i="6"/>
  <c r="W570" i="6"/>
  <c r="H571" i="6"/>
  <c r="I571" i="6"/>
  <c r="J571" i="6"/>
  <c r="K571" i="6"/>
  <c r="L571" i="6"/>
  <c r="M571" i="6"/>
  <c r="O571" i="6"/>
  <c r="P571" i="6"/>
  <c r="Q571" i="6"/>
  <c r="R571" i="6"/>
  <c r="T571" i="6"/>
  <c r="U571" i="6"/>
  <c r="V571" i="6"/>
  <c r="W571" i="6"/>
  <c r="H588" i="6"/>
  <c r="I588" i="6"/>
  <c r="J588" i="6"/>
  <c r="K588" i="6"/>
  <c r="L588" i="6"/>
  <c r="M588" i="6"/>
  <c r="O588" i="6"/>
  <c r="P588" i="6"/>
  <c r="Q588" i="6"/>
  <c r="R588" i="6"/>
  <c r="T588" i="6"/>
  <c r="U588" i="6"/>
  <c r="V588" i="6"/>
  <c r="W588" i="6"/>
  <c r="H589" i="6"/>
  <c r="I589" i="6"/>
  <c r="J589" i="6"/>
  <c r="K589" i="6"/>
  <c r="L589" i="6"/>
  <c r="M589" i="6"/>
  <c r="O589" i="6"/>
  <c r="P589" i="6"/>
  <c r="Q589" i="6"/>
  <c r="R589" i="6"/>
  <c r="T589" i="6"/>
  <c r="U589" i="6"/>
  <c r="V589" i="6"/>
  <c r="W589" i="6"/>
  <c r="H582" i="6"/>
  <c r="I582" i="6"/>
  <c r="J582" i="6"/>
  <c r="K582" i="6"/>
  <c r="L582" i="6"/>
  <c r="M582" i="6"/>
  <c r="O582" i="6"/>
  <c r="P582" i="6"/>
  <c r="Q582" i="6"/>
  <c r="R582" i="6"/>
  <c r="T582" i="6"/>
  <c r="U582" i="6"/>
  <c r="V582" i="6"/>
  <c r="W582" i="6"/>
  <c r="H583" i="6"/>
  <c r="I583" i="6"/>
  <c r="J583" i="6"/>
  <c r="K583" i="6"/>
  <c r="L583" i="6"/>
  <c r="M583" i="6"/>
  <c r="O583" i="6"/>
  <c r="P583" i="6"/>
  <c r="Q583" i="6"/>
  <c r="R583" i="6"/>
  <c r="T583" i="6"/>
  <c r="U583" i="6"/>
  <c r="V583" i="6"/>
  <c r="W583" i="6"/>
  <c r="H584" i="6"/>
  <c r="I584" i="6"/>
  <c r="J584" i="6"/>
  <c r="K584" i="6"/>
  <c r="L584" i="6"/>
  <c r="M584" i="6"/>
  <c r="O584" i="6"/>
  <c r="P584" i="6"/>
  <c r="Q584" i="6"/>
  <c r="R584" i="6"/>
  <c r="T584" i="6"/>
  <c r="U584" i="6"/>
  <c r="V584" i="6"/>
  <c r="W584" i="6"/>
  <c r="H585" i="6"/>
  <c r="I585" i="6"/>
  <c r="J585" i="6"/>
  <c r="K585" i="6"/>
  <c r="L585" i="6"/>
  <c r="M585" i="6"/>
  <c r="O585" i="6"/>
  <c r="P585" i="6"/>
  <c r="Q585" i="6"/>
  <c r="R585" i="6"/>
  <c r="T585" i="6"/>
  <c r="U585" i="6"/>
  <c r="V585" i="6"/>
  <c r="W585" i="6"/>
  <c r="H586" i="6"/>
  <c r="I586" i="6"/>
  <c r="J586" i="6"/>
  <c r="K586" i="6"/>
  <c r="L586" i="6"/>
  <c r="M586" i="6"/>
  <c r="O586" i="6"/>
  <c r="P586" i="6"/>
  <c r="Q586" i="6"/>
  <c r="R586" i="6"/>
  <c r="T586" i="6"/>
  <c r="U586" i="6"/>
  <c r="V586" i="6"/>
  <c r="W586" i="6"/>
  <c r="H587" i="6"/>
  <c r="I587" i="6"/>
  <c r="J587" i="6"/>
  <c r="K587" i="6"/>
  <c r="L587" i="6"/>
  <c r="M587" i="6"/>
  <c r="O587" i="6"/>
  <c r="P587" i="6"/>
  <c r="Q587" i="6"/>
  <c r="R587" i="6"/>
  <c r="T587" i="6"/>
  <c r="U587" i="6"/>
  <c r="V587" i="6"/>
  <c r="W587" i="6"/>
  <c r="H687" i="6"/>
  <c r="I687" i="6"/>
  <c r="J687" i="6"/>
  <c r="K687" i="6"/>
  <c r="L687" i="6"/>
  <c r="M687" i="6"/>
  <c r="O687" i="6"/>
  <c r="P687" i="6"/>
  <c r="Q687" i="6"/>
  <c r="R687" i="6"/>
  <c r="T687" i="6"/>
  <c r="U687" i="6"/>
  <c r="V687" i="6"/>
  <c r="W687" i="6"/>
  <c r="H688" i="6"/>
  <c r="I688" i="6"/>
  <c r="J688" i="6"/>
  <c r="K688" i="6"/>
  <c r="L688" i="6"/>
  <c r="M688" i="6"/>
  <c r="O688" i="6"/>
  <c r="P688" i="6"/>
  <c r="Q688" i="6"/>
  <c r="R688" i="6"/>
  <c r="T688" i="6"/>
  <c r="U688" i="6"/>
  <c r="V688" i="6"/>
  <c r="W688" i="6"/>
  <c r="H544" i="6"/>
  <c r="I544" i="6"/>
  <c r="J544" i="6"/>
  <c r="K544" i="6"/>
  <c r="L544" i="6"/>
  <c r="M544" i="6"/>
  <c r="O544" i="6"/>
  <c r="P544" i="6"/>
  <c r="Q544" i="6"/>
  <c r="R544" i="6"/>
  <c r="T544" i="6"/>
  <c r="U544" i="6"/>
  <c r="V544" i="6"/>
  <c r="W544" i="6"/>
  <c r="H758" i="6"/>
  <c r="I758" i="6"/>
  <c r="J758" i="6"/>
  <c r="K758" i="6"/>
  <c r="L758" i="6"/>
  <c r="M758" i="6"/>
  <c r="O758" i="6"/>
  <c r="P758" i="6"/>
  <c r="Q758" i="6"/>
  <c r="R758" i="6"/>
  <c r="T758" i="6"/>
  <c r="U758" i="6"/>
  <c r="V758" i="6"/>
  <c r="W758" i="6"/>
  <c r="H759" i="6"/>
  <c r="I759" i="6"/>
  <c r="J759" i="6"/>
  <c r="K759" i="6"/>
  <c r="L759" i="6"/>
  <c r="M759" i="6"/>
  <c r="O759" i="6"/>
  <c r="P759" i="6"/>
  <c r="Q759" i="6"/>
  <c r="R759" i="6"/>
  <c r="T759" i="6"/>
  <c r="U759" i="6"/>
  <c r="V759" i="6"/>
  <c r="W759" i="6"/>
  <c r="H573" i="6"/>
  <c r="I573" i="6"/>
  <c r="J573" i="6"/>
  <c r="K573" i="6"/>
  <c r="L573" i="6"/>
  <c r="M573" i="6"/>
  <c r="O573" i="6"/>
  <c r="P573" i="6"/>
  <c r="Q573" i="6"/>
  <c r="R573" i="6"/>
  <c r="T573" i="6"/>
  <c r="U573" i="6"/>
  <c r="V573" i="6"/>
  <c r="W573" i="6"/>
  <c r="H719" i="6"/>
  <c r="I719" i="6"/>
  <c r="J719" i="6"/>
  <c r="K719" i="6"/>
  <c r="L719" i="6"/>
  <c r="M719" i="6"/>
  <c r="O719" i="6"/>
  <c r="P719" i="6"/>
  <c r="Q719" i="6"/>
  <c r="R719" i="6"/>
  <c r="T719" i="6"/>
  <c r="U719" i="6"/>
  <c r="V719" i="6"/>
  <c r="W719" i="6"/>
  <c r="H720" i="6"/>
  <c r="I720" i="6"/>
  <c r="J720" i="6"/>
  <c r="K720" i="6"/>
  <c r="L720" i="6"/>
  <c r="M720" i="6"/>
  <c r="O720" i="6"/>
  <c r="P720" i="6"/>
  <c r="Q720" i="6"/>
  <c r="R720" i="6"/>
  <c r="T720" i="6"/>
  <c r="U720" i="6"/>
  <c r="V720" i="6"/>
  <c r="W720" i="6"/>
  <c r="H790" i="6"/>
  <c r="I790" i="6"/>
  <c r="J790" i="6"/>
  <c r="K790" i="6"/>
  <c r="L790" i="6"/>
  <c r="M790" i="6"/>
  <c r="O790" i="6"/>
  <c r="P790" i="6"/>
  <c r="Q790" i="6"/>
  <c r="R790" i="6"/>
  <c r="T790" i="6"/>
  <c r="U790" i="6"/>
  <c r="V790" i="6"/>
  <c r="W790" i="6"/>
  <c r="H791" i="6"/>
  <c r="I791" i="6"/>
  <c r="J791" i="6"/>
  <c r="K791" i="6"/>
  <c r="L791" i="6"/>
  <c r="M791" i="6"/>
  <c r="O791" i="6"/>
  <c r="P791" i="6"/>
  <c r="Q791" i="6"/>
  <c r="R791" i="6"/>
  <c r="T791" i="6"/>
  <c r="U791" i="6"/>
  <c r="V791" i="6"/>
  <c r="W791" i="6"/>
  <c r="H461" i="6"/>
  <c r="I461" i="6"/>
  <c r="J461" i="6"/>
  <c r="K461" i="6"/>
  <c r="L461" i="6"/>
  <c r="M461" i="6"/>
  <c r="O461" i="6"/>
  <c r="P461" i="6"/>
  <c r="Q461" i="6"/>
  <c r="R461" i="6"/>
  <c r="T461" i="6"/>
  <c r="U461" i="6"/>
  <c r="V461" i="6"/>
  <c r="W461" i="6"/>
  <c r="H462" i="6"/>
  <c r="I462" i="6"/>
  <c r="J462" i="6"/>
  <c r="K462" i="6"/>
  <c r="L462" i="6"/>
  <c r="M462" i="6"/>
  <c r="O462" i="6"/>
  <c r="P462" i="6"/>
  <c r="Q462" i="6"/>
  <c r="R462" i="6"/>
  <c r="T462" i="6"/>
  <c r="U462" i="6"/>
  <c r="V462" i="6"/>
  <c r="W462" i="6"/>
  <c r="H742" i="6"/>
  <c r="I742" i="6"/>
  <c r="J742" i="6"/>
  <c r="K742" i="6"/>
  <c r="L742" i="6"/>
  <c r="M742" i="6"/>
  <c r="O742" i="6"/>
  <c r="P742" i="6"/>
  <c r="Q742" i="6"/>
  <c r="R742" i="6"/>
  <c r="T742" i="6"/>
  <c r="U742" i="6"/>
  <c r="V742" i="6"/>
  <c r="W742" i="6"/>
  <c r="H743" i="6"/>
  <c r="I743" i="6"/>
  <c r="J743" i="6"/>
  <c r="K743" i="6"/>
  <c r="L743" i="6"/>
  <c r="M743" i="6"/>
  <c r="O743" i="6"/>
  <c r="P743" i="6"/>
  <c r="Q743" i="6"/>
  <c r="R743" i="6"/>
  <c r="T743" i="6"/>
  <c r="U743" i="6"/>
  <c r="V743" i="6"/>
  <c r="W743" i="6"/>
  <c r="H633" i="6"/>
  <c r="I633" i="6"/>
  <c r="J633" i="6"/>
  <c r="K633" i="6"/>
  <c r="L633" i="6"/>
  <c r="M633" i="6"/>
  <c r="O633" i="6"/>
  <c r="P633" i="6"/>
  <c r="Q633" i="6"/>
  <c r="R633" i="6"/>
  <c r="T633" i="6"/>
  <c r="U633" i="6"/>
  <c r="V633" i="6"/>
  <c r="W633" i="6"/>
  <c r="H634" i="6"/>
  <c r="I634" i="6"/>
  <c r="J634" i="6"/>
  <c r="K634" i="6"/>
  <c r="L634" i="6"/>
  <c r="M634" i="6"/>
  <c r="O634" i="6"/>
  <c r="P634" i="6"/>
  <c r="Q634" i="6"/>
  <c r="R634" i="6"/>
  <c r="T634" i="6"/>
  <c r="U634" i="6"/>
  <c r="V634" i="6"/>
  <c r="W634" i="6"/>
  <c r="H660" i="6"/>
  <c r="I660" i="6"/>
  <c r="J660" i="6"/>
  <c r="K660" i="6"/>
  <c r="L660" i="6"/>
  <c r="M660" i="6"/>
  <c r="O660" i="6"/>
  <c r="P660" i="6"/>
  <c r="Q660" i="6"/>
  <c r="R660" i="6"/>
  <c r="T660" i="6"/>
  <c r="U660" i="6"/>
  <c r="V660" i="6"/>
  <c r="W660" i="6"/>
  <c r="H661" i="6"/>
  <c r="I661" i="6"/>
  <c r="J661" i="6"/>
  <c r="K661" i="6"/>
  <c r="L661" i="6"/>
  <c r="M661" i="6"/>
  <c r="O661" i="6"/>
  <c r="P661" i="6"/>
  <c r="Q661" i="6"/>
  <c r="R661" i="6"/>
  <c r="T661" i="6"/>
  <c r="U661" i="6"/>
  <c r="V661" i="6"/>
  <c r="W661" i="6"/>
  <c r="H769" i="6"/>
  <c r="I769" i="6"/>
  <c r="J769" i="6"/>
  <c r="K769" i="6"/>
  <c r="L769" i="6"/>
  <c r="M769" i="6"/>
  <c r="O769" i="6"/>
  <c r="P769" i="6"/>
  <c r="Q769" i="6"/>
  <c r="R769" i="6"/>
  <c r="T769" i="6"/>
  <c r="U769" i="6"/>
  <c r="V769" i="6"/>
  <c r="W769" i="6"/>
  <c r="H770" i="6"/>
  <c r="I770" i="6"/>
  <c r="J770" i="6"/>
  <c r="K770" i="6"/>
  <c r="L770" i="6"/>
  <c r="M770" i="6"/>
  <c r="O770" i="6"/>
  <c r="P770" i="6"/>
  <c r="Q770" i="6"/>
  <c r="R770" i="6"/>
  <c r="T770" i="6"/>
  <c r="U770" i="6"/>
  <c r="V770" i="6"/>
  <c r="W770" i="6"/>
  <c r="H616" i="6"/>
  <c r="I616" i="6"/>
  <c r="J616" i="6"/>
  <c r="K616" i="6"/>
  <c r="L616" i="6"/>
  <c r="M616" i="6"/>
  <c r="O616" i="6"/>
  <c r="P616" i="6"/>
  <c r="Q616" i="6"/>
  <c r="R616" i="6"/>
  <c r="T616" i="6"/>
  <c r="U616" i="6"/>
  <c r="V616" i="6"/>
  <c r="W616" i="6"/>
  <c r="H617" i="6"/>
  <c r="I617" i="6"/>
  <c r="J617" i="6"/>
  <c r="K617" i="6"/>
  <c r="L617" i="6"/>
  <c r="M617" i="6"/>
  <c r="O617" i="6"/>
  <c r="P617" i="6"/>
  <c r="Q617" i="6"/>
  <c r="R617" i="6"/>
  <c r="T617" i="6"/>
  <c r="U617" i="6"/>
  <c r="V617" i="6"/>
  <c r="W617" i="6"/>
  <c r="H700" i="6"/>
  <c r="I700" i="6"/>
  <c r="J700" i="6"/>
  <c r="K700" i="6"/>
  <c r="L700" i="6"/>
  <c r="M700" i="6"/>
  <c r="O700" i="6"/>
  <c r="P700" i="6"/>
  <c r="Q700" i="6"/>
  <c r="R700" i="6"/>
  <c r="T700" i="6"/>
  <c r="U700" i="6"/>
  <c r="V700" i="6"/>
  <c r="W700" i="6"/>
  <c r="H701" i="6"/>
  <c r="I701" i="6"/>
  <c r="J701" i="6"/>
  <c r="K701" i="6"/>
  <c r="L701" i="6"/>
  <c r="M701" i="6"/>
  <c r="O701" i="6"/>
  <c r="P701" i="6"/>
  <c r="Q701" i="6"/>
  <c r="R701" i="6"/>
  <c r="T701" i="6"/>
  <c r="U701" i="6"/>
  <c r="V701" i="6"/>
  <c r="W701" i="6"/>
  <c r="H479" i="6"/>
  <c r="I479" i="6"/>
  <c r="J479" i="6"/>
  <c r="K479" i="6"/>
  <c r="L479" i="6"/>
  <c r="M479" i="6"/>
  <c r="O479" i="6"/>
  <c r="P479" i="6"/>
  <c r="Q479" i="6"/>
  <c r="R479" i="6"/>
  <c r="T479" i="6"/>
  <c r="U479" i="6"/>
  <c r="V479" i="6"/>
  <c r="W479" i="6"/>
  <c r="H480" i="6"/>
  <c r="I480" i="6"/>
  <c r="J480" i="6"/>
  <c r="K480" i="6"/>
  <c r="L480" i="6"/>
  <c r="M480" i="6"/>
  <c r="O480" i="6"/>
  <c r="P480" i="6"/>
  <c r="Q480" i="6"/>
  <c r="R480" i="6"/>
  <c r="T480" i="6"/>
  <c r="U480" i="6"/>
  <c r="V480" i="6"/>
  <c r="W480" i="6"/>
  <c r="H508" i="6"/>
  <c r="I508" i="6"/>
  <c r="J508" i="6"/>
  <c r="K508" i="6"/>
  <c r="L508" i="6"/>
  <c r="M508" i="6"/>
  <c r="O508" i="6"/>
  <c r="P508" i="6"/>
  <c r="Q508" i="6"/>
  <c r="R508" i="6"/>
  <c r="T508" i="6"/>
  <c r="U508" i="6"/>
  <c r="V508" i="6"/>
  <c r="W508" i="6"/>
  <c r="H509" i="6"/>
  <c r="I509" i="6"/>
  <c r="J509" i="6"/>
  <c r="K509" i="6"/>
  <c r="L509" i="6"/>
  <c r="M509" i="6"/>
  <c r="O509" i="6"/>
  <c r="P509" i="6"/>
  <c r="Q509" i="6"/>
  <c r="R509" i="6"/>
  <c r="T509" i="6"/>
  <c r="U509" i="6"/>
  <c r="V509" i="6"/>
  <c r="W509" i="6"/>
  <c r="H696" i="6"/>
  <c r="I696" i="6"/>
  <c r="J696" i="6"/>
  <c r="K696" i="6"/>
  <c r="L696" i="6"/>
  <c r="M696" i="6"/>
  <c r="O696" i="6"/>
  <c r="P696" i="6"/>
  <c r="Q696" i="6"/>
  <c r="R696" i="6"/>
  <c r="T696" i="6"/>
  <c r="U696" i="6"/>
  <c r="V696" i="6"/>
  <c r="W696" i="6"/>
  <c r="H531" i="6"/>
  <c r="I531" i="6"/>
  <c r="J531" i="6"/>
  <c r="K531" i="6"/>
  <c r="L531" i="6"/>
  <c r="M531" i="6"/>
  <c r="O531" i="6"/>
  <c r="P531" i="6"/>
  <c r="Q531" i="6"/>
  <c r="R531" i="6"/>
  <c r="T531" i="6"/>
  <c r="U531" i="6"/>
  <c r="V531" i="6"/>
  <c r="W531" i="6"/>
  <c r="H731" i="6"/>
  <c r="I731" i="6"/>
  <c r="J731" i="6"/>
  <c r="K731" i="6"/>
  <c r="L731" i="6"/>
  <c r="M731" i="6"/>
  <c r="O731" i="6"/>
  <c r="P731" i="6"/>
  <c r="Q731" i="6"/>
  <c r="R731" i="6"/>
  <c r="T731" i="6"/>
  <c r="U731" i="6"/>
  <c r="V731" i="6"/>
  <c r="W731" i="6"/>
  <c r="H732" i="6"/>
  <c r="I732" i="6"/>
  <c r="J732" i="6"/>
  <c r="K732" i="6"/>
  <c r="L732" i="6"/>
  <c r="M732" i="6"/>
  <c r="O732" i="6"/>
  <c r="P732" i="6"/>
  <c r="Q732" i="6"/>
  <c r="R732" i="6"/>
  <c r="T732" i="6"/>
  <c r="U732" i="6"/>
  <c r="V732" i="6"/>
  <c r="W732" i="6"/>
  <c r="H646" i="6"/>
  <c r="I646" i="6"/>
  <c r="J646" i="6"/>
  <c r="K646" i="6"/>
  <c r="L646" i="6"/>
  <c r="M646" i="6"/>
  <c r="O646" i="6"/>
  <c r="P646" i="6"/>
  <c r="Q646" i="6"/>
  <c r="R646" i="6"/>
  <c r="T646" i="6"/>
  <c r="U646" i="6"/>
  <c r="V646" i="6"/>
  <c r="W646" i="6"/>
  <c r="H647" i="6"/>
  <c r="I647" i="6"/>
  <c r="J647" i="6"/>
  <c r="K647" i="6"/>
  <c r="L647" i="6"/>
  <c r="M647" i="6"/>
  <c r="O647" i="6"/>
  <c r="P647" i="6"/>
  <c r="Q647" i="6"/>
  <c r="R647" i="6"/>
  <c r="T647" i="6"/>
  <c r="U647" i="6"/>
  <c r="V647" i="6"/>
  <c r="W647" i="6"/>
  <c r="H596" i="6"/>
  <c r="I596" i="6"/>
  <c r="J596" i="6"/>
  <c r="K596" i="6"/>
  <c r="L596" i="6"/>
  <c r="M596" i="6"/>
  <c r="O596" i="6"/>
  <c r="P596" i="6"/>
  <c r="Q596" i="6"/>
  <c r="R596" i="6"/>
  <c r="T596" i="6"/>
  <c r="U596" i="6"/>
  <c r="V596" i="6"/>
  <c r="W596" i="6"/>
  <c r="H672" i="6"/>
  <c r="I672" i="6"/>
  <c r="J672" i="6"/>
  <c r="K672" i="6"/>
  <c r="L672" i="6"/>
  <c r="M672" i="6"/>
  <c r="O672" i="6"/>
  <c r="P672" i="6"/>
  <c r="Q672" i="6"/>
  <c r="R672" i="6"/>
  <c r="T672" i="6"/>
  <c r="U672" i="6"/>
  <c r="V672" i="6"/>
  <c r="W672" i="6"/>
  <c r="H673" i="6"/>
  <c r="I673" i="6"/>
  <c r="J673" i="6"/>
  <c r="K673" i="6"/>
  <c r="L673" i="6"/>
  <c r="M673" i="6"/>
  <c r="O673" i="6"/>
  <c r="P673" i="6"/>
  <c r="Q673" i="6"/>
  <c r="R673" i="6"/>
  <c r="T673" i="6"/>
  <c r="U673" i="6"/>
  <c r="V673" i="6"/>
  <c r="W673" i="6"/>
  <c r="H559" i="6"/>
  <c r="I559" i="6"/>
  <c r="J559" i="6"/>
  <c r="K559" i="6"/>
  <c r="L559" i="6"/>
  <c r="M559" i="6"/>
  <c r="O559" i="6"/>
  <c r="P559" i="6"/>
  <c r="Q559" i="6"/>
  <c r="R559" i="6"/>
  <c r="T559" i="6"/>
  <c r="U559" i="6"/>
  <c r="V559" i="6"/>
  <c r="W559" i="6"/>
  <c r="H764" i="6"/>
  <c r="I764" i="6"/>
  <c r="J764" i="6"/>
  <c r="K764" i="6"/>
  <c r="L764" i="6"/>
  <c r="M764" i="6"/>
  <c r="O764" i="6"/>
  <c r="P764" i="6"/>
  <c r="Q764" i="6"/>
  <c r="R764" i="6"/>
  <c r="T764" i="6"/>
  <c r="U764" i="6"/>
  <c r="V764" i="6"/>
  <c r="W764" i="6"/>
  <c r="H736" i="6"/>
  <c r="I736" i="6"/>
  <c r="J736" i="6"/>
  <c r="K736" i="6"/>
  <c r="L736" i="6"/>
  <c r="M736" i="6"/>
  <c r="O736" i="6"/>
  <c r="P736" i="6"/>
  <c r="Q736" i="6"/>
  <c r="R736" i="6"/>
  <c r="T736" i="6"/>
  <c r="U736" i="6"/>
  <c r="V736" i="6"/>
  <c r="W736" i="6"/>
  <c r="H708" i="6"/>
  <c r="I708" i="6"/>
  <c r="J708" i="6"/>
  <c r="K708" i="6"/>
  <c r="L708" i="6"/>
  <c r="M708" i="6"/>
  <c r="O708" i="6"/>
  <c r="P708" i="6"/>
  <c r="Q708" i="6"/>
  <c r="R708" i="6"/>
  <c r="T708" i="6"/>
  <c r="U708" i="6"/>
  <c r="V708" i="6"/>
  <c r="W708" i="6"/>
  <c r="H678" i="6"/>
  <c r="I678" i="6"/>
  <c r="J678" i="6"/>
  <c r="K678" i="6"/>
  <c r="L678" i="6"/>
  <c r="M678" i="6"/>
  <c r="O678" i="6"/>
  <c r="P678" i="6"/>
  <c r="Q678" i="6"/>
  <c r="R678" i="6"/>
  <c r="T678" i="6"/>
  <c r="U678" i="6"/>
  <c r="V678" i="6"/>
  <c r="W678" i="6"/>
  <c r="H651" i="6"/>
  <c r="I651" i="6"/>
  <c r="J651" i="6"/>
  <c r="K651" i="6"/>
  <c r="L651" i="6"/>
  <c r="M651" i="6"/>
  <c r="O651" i="6"/>
  <c r="P651" i="6"/>
  <c r="Q651" i="6"/>
  <c r="R651" i="6"/>
  <c r="T651" i="6"/>
  <c r="U651" i="6"/>
  <c r="V651" i="6"/>
  <c r="W651" i="6"/>
  <c r="H603" i="6"/>
  <c r="I603" i="6"/>
  <c r="J603" i="6"/>
  <c r="K603" i="6"/>
  <c r="L603" i="6"/>
  <c r="M603" i="6"/>
  <c r="O603" i="6"/>
  <c r="P603" i="6"/>
  <c r="Q603" i="6"/>
  <c r="R603" i="6"/>
  <c r="T603" i="6"/>
  <c r="U603" i="6"/>
  <c r="V603" i="6"/>
  <c r="W603" i="6"/>
  <c r="H727" i="6"/>
  <c r="I727" i="6"/>
  <c r="J727" i="6"/>
  <c r="K727" i="6"/>
  <c r="L727" i="6"/>
  <c r="M727" i="6"/>
  <c r="O727" i="6"/>
  <c r="P727" i="6"/>
  <c r="Q727" i="6"/>
  <c r="R727" i="6"/>
  <c r="T727" i="6"/>
  <c r="U727" i="6"/>
  <c r="V727" i="6"/>
  <c r="W727" i="6"/>
  <c r="H79" i="6"/>
  <c r="I79" i="6"/>
  <c r="J79" i="6"/>
  <c r="K79" i="6"/>
  <c r="L79" i="6"/>
  <c r="M79" i="6"/>
  <c r="O79" i="6"/>
  <c r="P79" i="6"/>
  <c r="Q79" i="6"/>
  <c r="R79" i="6"/>
  <c r="T79" i="6"/>
  <c r="U79" i="6"/>
  <c r="V79" i="6"/>
  <c r="W79" i="6"/>
  <c r="H80" i="6"/>
  <c r="I80" i="6"/>
  <c r="J80" i="6"/>
  <c r="K80" i="6"/>
  <c r="L80" i="6"/>
  <c r="M80" i="6"/>
  <c r="O80" i="6"/>
  <c r="P80" i="6"/>
  <c r="Q80" i="6"/>
  <c r="R80" i="6"/>
  <c r="T80" i="6"/>
  <c r="U80" i="6"/>
  <c r="V80" i="6"/>
  <c r="W80" i="6"/>
  <c r="H78" i="6"/>
  <c r="I78" i="6"/>
  <c r="J78" i="6"/>
  <c r="K78" i="6"/>
  <c r="L78" i="6"/>
  <c r="M78" i="6"/>
  <c r="O78" i="6"/>
  <c r="P78" i="6"/>
  <c r="Q78" i="6"/>
  <c r="R78" i="6"/>
  <c r="T78" i="6"/>
  <c r="U78" i="6"/>
  <c r="V78" i="6"/>
  <c r="W78" i="6"/>
  <c r="H1020" i="6"/>
  <c r="I1020" i="6"/>
  <c r="J1020" i="6"/>
  <c r="K1020" i="6"/>
  <c r="L1020" i="6"/>
  <c r="M1020" i="6"/>
  <c r="O1020" i="6"/>
  <c r="P1020" i="6"/>
  <c r="Q1020" i="6"/>
  <c r="R1020" i="6"/>
  <c r="T1020" i="6"/>
  <c r="U1020" i="6"/>
  <c r="V1020" i="6"/>
  <c r="W1020" i="6"/>
  <c r="AE1020" i="6"/>
  <c r="AF1020" i="6"/>
  <c r="H75" i="6"/>
  <c r="I75" i="6"/>
  <c r="J75" i="6"/>
  <c r="K75" i="6"/>
  <c r="L75" i="6"/>
  <c r="M75" i="6"/>
  <c r="O75" i="6"/>
  <c r="P75" i="6"/>
  <c r="Q75" i="6"/>
  <c r="R75" i="6"/>
  <c r="T75" i="6"/>
  <c r="U75" i="6"/>
  <c r="V75" i="6"/>
  <c r="W75" i="6"/>
  <c r="H76" i="6"/>
  <c r="I76" i="6"/>
  <c r="J76" i="6"/>
  <c r="K76" i="6"/>
  <c r="L76" i="6"/>
  <c r="M76" i="6"/>
  <c r="O76" i="6"/>
  <c r="P76" i="6"/>
  <c r="Q76" i="6"/>
  <c r="R76" i="6"/>
  <c r="T76" i="6"/>
  <c r="U76" i="6"/>
  <c r="V76" i="6"/>
  <c r="W76" i="6"/>
  <c r="H34" i="6"/>
  <c r="I34" i="6"/>
  <c r="J34" i="6"/>
  <c r="K34" i="6"/>
  <c r="L34" i="6"/>
  <c r="M34" i="6"/>
  <c r="O34" i="6"/>
  <c r="P34" i="6"/>
  <c r="Q34" i="6"/>
  <c r="R34" i="6"/>
  <c r="T34" i="6"/>
  <c r="U34" i="6"/>
  <c r="V34" i="6"/>
  <c r="W34" i="6"/>
  <c r="H35" i="6"/>
  <c r="I35" i="6"/>
  <c r="J35" i="6"/>
  <c r="K35" i="6"/>
  <c r="L35" i="6"/>
  <c r="M35" i="6"/>
  <c r="O35" i="6"/>
  <c r="P35" i="6"/>
  <c r="Q35" i="6"/>
  <c r="R35" i="6"/>
  <c r="T35" i="6"/>
  <c r="U35" i="6"/>
  <c r="V35" i="6"/>
  <c r="W35" i="6"/>
  <c r="H36" i="6"/>
  <c r="I36" i="6"/>
  <c r="J36" i="6"/>
  <c r="K36" i="6"/>
  <c r="L36" i="6"/>
  <c r="M36" i="6"/>
  <c r="O36" i="6"/>
  <c r="P36" i="6"/>
  <c r="Q36" i="6"/>
  <c r="R36" i="6"/>
  <c r="T36" i="6"/>
  <c r="U36" i="6"/>
  <c r="V36" i="6"/>
  <c r="W36" i="6"/>
  <c r="H1003" i="6"/>
  <c r="I1003" i="6"/>
  <c r="J1003" i="6"/>
  <c r="K1003" i="6"/>
  <c r="L1003" i="6"/>
  <c r="M1003" i="6"/>
  <c r="O1003" i="6"/>
  <c r="P1003" i="6"/>
  <c r="Q1003" i="6"/>
  <c r="R1003" i="6"/>
  <c r="T1003" i="6"/>
  <c r="U1003" i="6"/>
  <c r="V1003" i="6"/>
  <c r="W1003" i="6"/>
  <c r="H31" i="6"/>
  <c r="I31" i="6"/>
  <c r="J31" i="6"/>
  <c r="K31" i="6"/>
  <c r="L31" i="6"/>
  <c r="M31" i="6"/>
  <c r="O31" i="6"/>
  <c r="P31" i="6"/>
  <c r="Q31" i="6"/>
  <c r="R31" i="6"/>
  <c r="T31" i="6"/>
  <c r="U31" i="6"/>
  <c r="V31" i="6"/>
  <c r="W31" i="6"/>
  <c r="H32" i="6"/>
  <c r="I32" i="6"/>
  <c r="J32" i="6"/>
  <c r="K32" i="6"/>
  <c r="L32" i="6"/>
  <c r="M32" i="6"/>
  <c r="O32" i="6"/>
  <c r="P32" i="6"/>
  <c r="Q32" i="6"/>
  <c r="R32" i="6"/>
  <c r="T32" i="6"/>
  <c r="U32" i="6"/>
  <c r="V32" i="6"/>
  <c r="W32" i="6"/>
  <c r="H30" i="6"/>
  <c r="I30" i="6"/>
  <c r="J30" i="6"/>
  <c r="K30" i="6"/>
  <c r="L30" i="6"/>
  <c r="M30" i="6"/>
  <c r="O30" i="6"/>
  <c r="P30" i="6"/>
  <c r="Q30" i="6"/>
  <c r="R30" i="6"/>
  <c r="T30" i="6"/>
  <c r="U30" i="6"/>
  <c r="V30" i="6"/>
  <c r="W30" i="6"/>
  <c r="H861" i="6"/>
  <c r="I861" i="6"/>
  <c r="J861" i="6"/>
  <c r="K861" i="6"/>
  <c r="L861" i="6"/>
  <c r="M861" i="6"/>
  <c r="O861" i="6"/>
  <c r="P861" i="6"/>
  <c r="Q861" i="6"/>
  <c r="R861" i="6"/>
  <c r="T861" i="6"/>
  <c r="U861" i="6"/>
  <c r="V861" i="6"/>
  <c r="W861" i="6"/>
  <c r="H862" i="6"/>
  <c r="I862" i="6"/>
  <c r="J862" i="6"/>
  <c r="K862" i="6"/>
  <c r="L862" i="6"/>
  <c r="M862" i="6"/>
  <c r="O862" i="6"/>
  <c r="P862" i="6"/>
  <c r="Q862" i="6"/>
  <c r="R862" i="6"/>
  <c r="T862" i="6"/>
  <c r="U862" i="6"/>
  <c r="V862" i="6"/>
  <c r="W862" i="6"/>
  <c r="H535" i="6"/>
  <c r="I535" i="6"/>
  <c r="J535" i="6"/>
  <c r="K535" i="6"/>
  <c r="L535" i="6"/>
  <c r="M535" i="6"/>
  <c r="O535" i="6"/>
  <c r="P535" i="6"/>
  <c r="Q535" i="6"/>
  <c r="R535" i="6"/>
  <c r="T535" i="6"/>
  <c r="U535" i="6"/>
  <c r="V535" i="6"/>
  <c r="W535" i="6"/>
  <c r="H536" i="6"/>
  <c r="I536" i="6"/>
  <c r="J536" i="6"/>
  <c r="K536" i="6"/>
  <c r="L536" i="6"/>
  <c r="M536" i="6"/>
  <c r="O536" i="6"/>
  <c r="P536" i="6"/>
  <c r="Q536" i="6"/>
  <c r="R536" i="6"/>
  <c r="T536" i="6"/>
  <c r="U536" i="6"/>
  <c r="V536" i="6"/>
  <c r="W536" i="6"/>
  <c r="H537" i="6"/>
  <c r="I537" i="6"/>
  <c r="J537" i="6"/>
  <c r="K537" i="6"/>
  <c r="L537" i="6"/>
  <c r="M537" i="6"/>
  <c r="O537" i="6"/>
  <c r="P537" i="6"/>
  <c r="Q537" i="6"/>
  <c r="R537" i="6"/>
  <c r="T537" i="6"/>
  <c r="U537" i="6"/>
  <c r="V537" i="6"/>
  <c r="W537" i="6"/>
  <c r="H538" i="6"/>
  <c r="I538" i="6"/>
  <c r="J538" i="6"/>
  <c r="K538" i="6"/>
  <c r="L538" i="6"/>
  <c r="M538" i="6"/>
  <c r="O538" i="6"/>
  <c r="P538" i="6"/>
  <c r="Q538" i="6"/>
  <c r="R538" i="6"/>
  <c r="T538" i="6"/>
  <c r="U538" i="6"/>
  <c r="V538" i="6"/>
  <c r="W538" i="6"/>
  <c r="H539" i="6"/>
  <c r="I539" i="6"/>
  <c r="J539" i="6"/>
  <c r="K539" i="6"/>
  <c r="L539" i="6"/>
  <c r="M539" i="6"/>
  <c r="O539" i="6"/>
  <c r="P539" i="6"/>
  <c r="Q539" i="6"/>
  <c r="R539" i="6"/>
  <c r="T539" i="6"/>
  <c r="U539" i="6"/>
  <c r="V539" i="6"/>
  <c r="W539" i="6"/>
  <c r="H205" i="6"/>
  <c r="I205" i="6"/>
  <c r="J205" i="6"/>
  <c r="K205" i="6"/>
  <c r="L205" i="6"/>
  <c r="M205" i="6"/>
  <c r="O205" i="6"/>
  <c r="P205" i="6"/>
  <c r="Q205" i="6"/>
  <c r="R205" i="6"/>
  <c r="T205" i="6"/>
  <c r="U205" i="6"/>
  <c r="V205" i="6"/>
  <c r="W205" i="6"/>
  <c r="H910" i="6"/>
  <c r="I910" i="6"/>
  <c r="J910" i="6"/>
  <c r="K910" i="6"/>
  <c r="L910" i="6"/>
  <c r="M910" i="6"/>
  <c r="O910" i="6"/>
  <c r="P910" i="6"/>
  <c r="Q910" i="6"/>
  <c r="R910" i="6"/>
  <c r="T910" i="6"/>
  <c r="U910" i="6"/>
  <c r="V910" i="6"/>
  <c r="W910" i="6"/>
  <c r="H776" i="6"/>
  <c r="I776" i="6"/>
  <c r="J776" i="6"/>
  <c r="K776" i="6"/>
  <c r="L776" i="6"/>
  <c r="M776" i="6"/>
  <c r="O776" i="6"/>
  <c r="P776" i="6"/>
  <c r="Q776" i="6"/>
  <c r="R776" i="6"/>
  <c r="T776" i="6"/>
  <c r="U776" i="6"/>
  <c r="V776" i="6"/>
  <c r="W776" i="6"/>
  <c r="H777" i="6"/>
  <c r="I777" i="6"/>
  <c r="J777" i="6"/>
  <c r="K777" i="6"/>
  <c r="L777" i="6"/>
  <c r="M777" i="6"/>
  <c r="O777" i="6"/>
  <c r="P777" i="6"/>
  <c r="Q777" i="6"/>
  <c r="R777" i="6"/>
  <c r="T777" i="6"/>
  <c r="U777" i="6"/>
  <c r="V777" i="6"/>
  <c r="W777" i="6"/>
  <c r="H778" i="6"/>
  <c r="I778" i="6"/>
  <c r="J778" i="6"/>
  <c r="K778" i="6"/>
  <c r="L778" i="6"/>
  <c r="M778" i="6"/>
  <c r="O778" i="6"/>
  <c r="P778" i="6"/>
  <c r="Q778" i="6"/>
  <c r="R778" i="6"/>
  <c r="T778" i="6"/>
  <c r="U778" i="6"/>
  <c r="V778" i="6"/>
  <c r="W778" i="6"/>
  <c r="H940" i="6"/>
  <c r="I940" i="6"/>
  <c r="J940" i="6"/>
  <c r="K940" i="6"/>
  <c r="L940" i="6"/>
  <c r="M940" i="6"/>
  <c r="O940" i="6"/>
  <c r="P940" i="6"/>
  <c r="Q940" i="6"/>
  <c r="R940" i="6"/>
  <c r="T940" i="6"/>
  <c r="U940" i="6"/>
  <c r="V940" i="6"/>
  <c r="W940" i="6"/>
  <c r="H941" i="6"/>
  <c r="I941" i="6"/>
  <c r="J941" i="6"/>
  <c r="K941" i="6"/>
  <c r="L941" i="6"/>
  <c r="M941" i="6"/>
  <c r="O941" i="6"/>
  <c r="P941" i="6"/>
  <c r="Q941" i="6"/>
  <c r="R941" i="6"/>
  <c r="T941" i="6"/>
  <c r="U941" i="6"/>
  <c r="V941" i="6"/>
  <c r="W941" i="6"/>
  <c r="H239" i="6"/>
  <c r="I239" i="6"/>
  <c r="J239" i="6"/>
  <c r="K239" i="6"/>
  <c r="L239" i="6"/>
  <c r="M239" i="6"/>
  <c r="O239" i="6"/>
  <c r="P239" i="6"/>
  <c r="Q239" i="6"/>
  <c r="R239" i="6"/>
  <c r="T239" i="6"/>
  <c r="U239" i="6"/>
  <c r="V239" i="6"/>
  <c r="W239" i="6"/>
  <c r="H194" i="6"/>
  <c r="I194" i="6"/>
  <c r="J194" i="6"/>
  <c r="K194" i="6"/>
  <c r="L194" i="6"/>
  <c r="M194" i="6"/>
  <c r="O194" i="6"/>
  <c r="P194" i="6"/>
  <c r="Q194" i="6"/>
  <c r="R194" i="6"/>
  <c r="T194" i="6"/>
  <c r="U194" i="6"/>
  <c r="V194" i="6"/>
  <c r="W194" i="6"/>
  <c r="H151" i="6"/>
  <c r="I151" i="6"/>
  <c r="J151" i="6"/>
  <c r="K151" i="6"/>
  <c r="L151" i="6"/>
  <c r="M151" i="6"/>
  <c r="O151" i="6"/>
  <c r="P151" i="6"/>
  <c r="Q151" i="6"/>
  <c r="R151" i="6"/>
  <c r="T151" i="6"/>
  <c r="U151" i="6"/>
  <c r="V151" i="6"/>
  <c r="W151" i="6"/>
  <c r="H476" i="6"/>
  <c r="I476" i="6"/>
  <c r="J476" i="6"/>
  <c r="K476" i="6"/>
  <c r="L476" i="6"/>
  <c r="M476" i="6"/>
  <c r="O476" i="6"/>
  <c r="P476" i="6"/>
  <c r="Q476" i="6"/>
  <c r="R476" i="6"/>
  <c r="T476" i="6"/>
  <c r="U476" i="6"/>
  <c r="V476" i="6"/>
  <c r="W476" i="6"/>
  <c r="H631" i="6"/>
  <c r="I631" i="6"/>
  <c r="J631" i="6"/>
  <c r="K631" i="6"/>
  <c r="L631" i="6"/>
  <c r="M631" i="6"/>
  <c r="O631" i="6"/>
  <c r="P631" i="6"/>
  <c r="Q631" i="6"/>
  <c r="R631" i="6"/>
  <c r="T631" i="6"/>
  <c r="U631" i="6"/>
  <c r="V631" i="6"/>
  <c r="W631" i="6"/>
  <c r="H976" i="6"/>
  <c r="I976" i="6"/>
  <c r="J976" i="6"/>
  <c r="K976" i="6"/>
  <c r="L976" i="6"/>
  <c r="M976" i="6"/>
  <c r="O976" i="6"/>
  <c r="P976" i="6"/>
  <c r="Q976" i="6"/>
  <c r="R976" i="6"/>
  <c r="T976" i="6"/>
  <c r="U976" i="6"/>
  <c r="V976" i="6"/>
  <c r="W976" i="6"/>
  <c r="H111" i="6"/>
  <c r="I111" i="6"/>
  <c r="J111" i="6"/>
  <c r="K111" i="6"/>
  <c r="L111" i="6"/>
  <c r="M111" i="6"/>
  <c r="O111" i="6"/>
  <c r="P111" i="6"/>
  <c r="Q111" i="6"/>
  <c r="R111" i="6"/>
  <c r="T111" i="6"/>
  <c r="U111" i="6"/>
  <c r="V111" i="6"/>
  <c r="W111" i="6"/>
  <c r="H112" i="6"/>
  <c r="I112" i="6"/>
  <c r="J112" i="6"/>
  <c r="K112" i="6"/>
  <c r="L112" i="6"/>
  <c r="M112" i="6"/>
  <c r="O112" i="6"/>
  <c r="P112" i="6"/>
  <c r="Q112" i="6"/>
  <c r="R112" i="6"/>
  <c r="T112" i="6"/>
  <c r="U112" i="6"/>
  <c r="V112" i="6"/>
  <c r="W112" i="6"/>
  <c r="H577" i="6"/>
  <c r="I577" i="6"/>
  <c r="J577" i="6"/>
  <c r="K577" i="6"/>
  <c r="L577" i="6"/>
  <c r="M577" i="6"/>
  <c r="O577" i="6"/>
  <c r="P577" i="6"/>
  <c r="Q577" i="6"/>
  <c r="R577" i="6"/>
  <c r="T577" i="6"/>
  <c r="U577" i="6"/>
  <c r="V577" i="6"/>
  <c r="W577" i="6"/>
  <c r="H574" i="6"/>
  <c r="I574" i="6"/>
  <c r="J574" i="6"/>
  <c r="K574" i="6"/>
  <c r="L574" i="6"/>
  <c r="M574" i="6"/>
  <c r="O574" i="6"/>
  <c r="P574" i="6"/>
  <c r="Q574" i="6"/>
  <c r="R574" i="6"/>
  <c r="T574" i="6"/>
  <c r="U574" i="6"/>
  <c r="V574" i="6"/>
  <c r="W574" i="6"/>
  <c r="H575" i="6"/>
  <c r="I575" i="6"/>
  <c r="J575" i="6"/>
  <c r="K575" i="6"/>
  <c r="L575" i="6"/>
  <c r="M575" i="6"/>
  <c r="O575" i="6"/>
  <c r="P575" i="6"/>
  <c r="Q575" i="6"/>
  <c r="R575" i="6"/>
  <c r="T575" i="6"/>
  <c r="U575" i="6"/>
  <c r="V575" i="6"/>
  <c r="W575" i="6"/>
  <c r="H576" i="6"/>
  <c r="I576" i="6"/>
  <c r="J576" i="6"/>
  <c r="K576" i="6"/>
  <c r="L576" i="6"/>
  <c r="M576" i="6"/>
  <c r="O576" i="6"/>
  <c r="P576" i="6"/>
  <c r="Q576" i="6"/>
  <c r="R576" i="6"/>
  <c r="T576" i="6"/>
  <c r="U576" i="6"/>
  <c r="V576" i="6"/>
  <c r="W576" i="6"/>
  <c r="H850" i="6"/>
  <c r="I850" i="6"/>
  <c r="J850" i="6"/>
  <c r="K850" i="6"/>
  <c r="L850" i="6"/>
  <c r="M850" i="6"/>
  <c r="O850" i="6"/>
  <c r="P850" i="6"/>
  <c r="Q850" i="6"/>
  <c r="R850" i="6"/>
  <c r="T850" i="6"/>
  <c r="U850" i="6"/>
  <c r="V850" i="6"/>
  <c r="W850" i="6"/>
  <c r="H851" i="6"/>
  <c r="I851" i="6"/>
  <c r="J851" i="6"/>
  <c r="K851" i="6"/>
  <c r="L851" i="6"/>
  <c r="M851" i="6"/>
  <c r="O851" i="6"/>
  <c r="P851" i="6"/>
  <c r="Q851" i="6"/>
  <c r="R851" i="6"/>
  <c r="T851" i="6"/>
  <c r="U851" i="6"/>
  <c r="V851" i="6"/>
  <c r="W851" i="6"/>
  <c r="H954" i="6"/>
  <c r="I954" i="6"/>
  <c r="J954" i="6"/>
  <c r="K954" i="6"/>
  <c r="L954" i="6"/>
  <c r="M954" i="6"/>
  <c r="O954" i="6"/>
  <c r="P954" i="6"/>
  <c r="Q954" i="6"/>
  <c r="R954" i="6"/>
  <c r="T954" i="6"/>
  <c r="U954" i="6"/>
  <c r="V954" i="6"/>
  <c r="W954" i="6"/>
  <c r="H44" i="6"/>
  <c r="I44" i="6"/>
  <c r="J44" i="6"/>
  <c r="K44" i="6"/>
  <c r="L44" i="6"/>
  <c r="M44" i="6"/>
  <c r="O44" i="6"/>
  <c r="P44" i="6"/>
  <c r="Q44" i="6"/>
  <c r="R44" i="6"/>
  <c r="T44" i="6"/>
  <c r="U44" i="6"/>
  <c r="V44" i="6"/>
  <c r="W44" i="6"/>
  <c r="H45" i="6"/>
  <c r="I45" i="6"/>
  <c r="J45" i="6"/>
  <c r="K45" i="6"/>
  <c r="L45" i="6"/>
  <c r="M45" i="6"/>
  <c r="O45" i="6"/>
  <c r="P45" i="6"/>
  <c r="Q45" i="6"/>
  <c r="R45" i="6"/>
  <c r="T45" i="6"/>
  <c r="U45" i="6"/>
  <c r="V45" i="6"/>
  <c r="W45" i="6"/>
  <c r="H41" i="6"/>
  <c r="I41" i="6"/>
  <c r="J41" i="6"/>
  <c r="K41" i="6"/>
  <c r="L41" i="6"/>
  <c r="M41" i="6"/>
  <c r="O41" i="6"/>
  <c r="P41" i="6"/>
  <c r="Q41" i="6"/>
  <c r="R41" i="6"/>
  <c r="T41" i="6"/>
  <c r="U41" i="6"/>
  <c r="V41" i="6"/>
  <c r="W41" i="6"/>
  <c r="H42" i="6"/>
  <c r="I42" i="6"/>
  <c r="J42" i="6"/>
  <c r="K42" i="6"/>
  <c r="L42" i="6"/>
  <c r="M42" i="6"/>
  <c r="O42" i="6"/>
  <c r="P42" i="6"/>
  <c r="Q42" i="6"/>
  <c r="R42" i="6"/>
  <c r="T42" i="6"/>
  <c r="U42" i="6"/>
  <c r="V42" i="6"/>
  <c r="W42" i="6"/>
  <c r="H43" i="6"/>
  <c r="I43" i="6"/>
  <c r="J43" i="6"/>
  <c r="K43" i="6"/>
  <c r="L43" i="6"/>
  <c r="M43" i="6"/>
  <c r="O43" i="6"/>
  <c r="P43" i="6"/>
  <c r="Q43" i="6"/>
  <c r="R43" i="6"/>
  <c r="T43" i="6"/>
  <c r="U43" i="6"/>
  <c r="V43" i="6"/>
  <c r="W43" i="6"/>
  <c r="H998" i="6"/>
  <c r="I998" i="6"/>
  <c r="J998" i="6"/>
  <c r="K998" i="6"/>
  <c r="L998" i="6"/>
  <c r="M998" i="6"/>
  <c r="O998" i="6"/>
  <c r="P998" i="6"/>
  <c r="Q998" i="6"/>
  <c r="R998" i="6"/>
  <c r="T998" i="6"/>
  <c r="U998" i="6"/>
  <c r="V998" i="6"/>
  <c r="W998" i="6"/>
  <c r="H38" i="6"/>
  <c r="I38" i="6"/>
  <c r="J38" i="6"/>
  <c r="K38" i="6"/>
  <c r="L38" i="6"/>
  <c r="M38" i="6"/>
  <c r="O38" i="6"/>
  <c r="P38" i="6"/>
  <c r="Q38" i="6"/>
  <c r="R38" i="6"/>
  <c r="T38" i="6"/>
  <c r="U38" i="6"/>
  <c r="V38" i="6"/>
  <c r="W38" i="6"/>
  <c r="H40" i="6"/>
  <c r="I40" i="6"/>
  <c r="J40" i="6"/>
  <c r="K40" i="6"/>
  <c r="L40" i="6"/>
  <c r="M40" i="6"/>
  <c r="O40" i="6"/>
  <c r="P40" i="6"/>
  <c r="Q40" i="6"/>
  <c r="R40" i="6"/>
  <c r="T40" i="6"/>
  <c r="U40" i="6"/>
  <c r="V40" i="6"/>
  <c r="W40" i="6"/>
  <c r="H39" i="6"/>
  <c r="I39" i="6"/>
  <c r="J39" i="6"/>
  <c r="K39" i="6"/>
  <c r="L39" i="6"/>
  <c r="M39" i="6"/>
  <c r="O39" i="6"/>
  <c r="P39" i="6"/>
  <c r="Q39" i="6"/>
  <c r="R39" i="6"/>
  <c r="T39" i="6"/>
  <c r="U39" i="6"/>
  <c r="V39" i="6"/>
  <c r="W39" i="6"/>
  <c r="H37" i="6"/>
  <c r="I37" i="6"/>
  <c r="J37" i="6"/>
  <c r="K37" i="6"/>
  <c r="L37" i="6"/>
  <c r="M37" i="6"/>
  <c r="O37" i="6"/>
  <c r="P37" i="6"/>
  <c r="Q37" i="6"/>
  <c r="R37" i="6"/>
  <c r="T37" i="6"/>
  <c r="U37" i="6"/>
  <c r="V37" i="6"/>
  <c r="W37" i="6"/>
  <c r="H983" i="6"/>
  <c r="I983" i="6"/>
  <c r="J983" i="6"/>
  <c r="K983" i="6"/>
  <c r="L983" i="6"/>
  <c r="M983" i="6"/>
  <c r="O983" i="6"/>
  <c r="P983" i="6"/>
  <c r="Q983" i="6"/>
  <c r="R983" i="6"/>
  <c r="T983" i="6"/>
  <c r="U983" i="6"/>
  <c r="V983" i="6"/>
  <c r="W983" i="6"/>
  <c r="H302" i="6"/>
  <c r="I302" i="6"/>
  <c r="J302" i="6"/>
  <c r="K302" i="6"/>
  <c r="L302" i="6"/>
  <c r="M302" i="6"/>
  <c r="O302" i="6"/>
  <c r="P302" i="6"/>
  <c r="Q302" i="6"/>
  <c r="R302" i="6"/>
  <c r="T302" i="6"/>
  <c r="U302" i="6"/>
  <c r="V302" i="6"/>
  <c r="W302" i="6"/>
  <c r="H304" i="6"/>
  <c r="I304" i="6"/>
  <c r="J304" i="6"/>
  <c r="K304" i="6"/>
  <c r="L304" i="6"/>
  <c r="M304" i="6"/>
  <c r="O304" i="6"/>
  <c r="P304" i="6"/>
  <c r="Q304" i="6"/>
  <c r="R304" i="6"/>
  <c r="T304" i="6"/>
  <c r="U304" i="6"/>
  <c r="V304" i="6"/>
  <c r="W304" i="6"/>
  <c r="H303" i="6"/>
  <c r="I303" i="6"/>
  <c r="J303" i="6"/>
  <c r="K303" i="6"/>
  <c r="L303" i="6"/>
  <c r="M303" i="6"/>
  <c r="O303" i="6"/>
  <c r="P303" i="6"/>
  <c r="Q303" i="6"/>
  <c r="R303" i="6"/>
  <c r="T303" i="6"/>
  <c r="U303" i="6"/>
  <c r="V303" i="6"/>
  <c r="W303" i="6"/>
  <c r="H300" i="6"/>
  <c r="I300" i="6"/>
  <c r="J300" i="6"/>
  <c r="K300" i="6"/>
  <c r="L300" i="6"/>
  <c r="M300" i="6"/>
  <c r="O300" i="6"/>
  <c r="P300" i="6"/>
  <c r="Q300" i="6"/>
  <c r="R300" i="6"/>
  <c r="T300" i="6"/>
  <c r="U300" i="6"/>
  <c r="V300" i="6"/>
  <c r="W300" i="6"/>
  <c r="H70" i="6"/>
  <c r="I70" i="6"/>
  <c r="J70" i="6"/>
  <c r="K70" i="6"/>
  <c r="L70" i="6"/>
  <c r="M70" i="6"/>
  <c r="O70" i="6"/>
  <c r="P70" i="6"/>
  <c r="Q70" i="6"/>
  <c r="R70" i="6"/>
  <c r="T70" i="6"/>
  <c r="U70" i="6"/>
  <c r="V70" i="6"/>
  <c r="W70" i="6"/>
  <c r="H71" i="6"/>
  <c r="I71" i="6"/>
  <c r="J71" i="6"/>
  <c r="K71" i="6"/>
  <c r="L71" i="6"/>
  <c r="M71" i="6"/>
  <c r="O71" i="6"/>
  <c r="P71" i="6"/>
  <c r="Q71" i="6"/>
  <c r="R71" i="6"/>
  <c r="T71" i="6"/>
  <c r="U71" i="6"/>
  <c r="V71" i="6"/>
  <c r="W71" i="6"/>
  <c r="H1014" i="6"/>
  <c r="I1014" i="6"/>
  <c r="J1014" i="6"/>
  <c r="K1014" i="6"/>
  <c r="L1014" i="6"/>
  <c r="M1014" i="6"/>
  <c r="O1014" i="6"/>
  <c r="P1014" i="6"/>
  <c r="Q1014" i="6"/>
  <c r="R1014" i="6"/>
  <c r="T1014" i="6"/>
  <c r="U1014" i="6"/>
  <c r="V1014" i="6"/>
  <c r="W1014" i="6"/>
  <c r="H74" i="6"/>
  <c r="I74" i="6"/>
  <c r="J74" i="6"/>
  <c r="K74" i="6"/>
  <c r="L74" i="6"/>
  <c r="M74" i="6"/>
  <c r="O74" i="6"/>
  <c r="P74" i="6"/>
  <c r="Q74" i="6"/>
  <c r="R74" i="6"/>
  <c r="T74" i="6"/>
  <c r="U74" i="6"/>
  <c r="V74" i="6"/>
  <c r="W74" i="6"/>
  <c r="H73" i="6"/>
  <c r="I73" i="6"/>
  <c r="J73" i="6"/>
  <c r="K73" i="6"/>
  <c r="L73" i="6"/>
  <c r="M73" i="6"/>
  <c r="O73" i="6"/>
  <c r="P73" i="6"/>
  <c r="Q73" i="6"/>
  <c r="R73" i="6"/>
  <c r="T73" i="6"/>
  <c r="U73" i="6"/>
  <c r="V73" i="6"/>
  <c r="W73" i="6"/>
  <c r="H72" i="6"/>
  <c r="I72" i="6"/>
  <c r="J72" i="6"/>
  <c r="K72" i="6"/>
  <c r="L72" i="6"/>
  <c r="M72" i="6"/>
  <c r="O72" i="6"/>
  <c r="P72" i="6"/>
  <c r="Q72" i="6"/>
  <c r="R72" i="6"/>
  <c r="T72" i="6"/>
  <c r="U72" i="6"/>
  <c r="V72" i="6"/>
  <c r="W72" i="6"/>
  <c r="H68" i="6"/>
  <c r="I68" i="6"/>
  <c r="J68" i="6"/>
  <c r="K68" i="6"/>
  <c r="L68" i="6"/>
  <c r="M68" i="6"/>
  <c r="O68" i="6"/>
  <c r="P68" i="6"/>
  <c r="Q68" i="6"/>
  <c r="R68" i="6"/>
  <c r="T68" i="6"/>
  <c r="U68" i="6"/>
  <c r="V68" i="6"/>
  <c r="W68" i="6"/>
  <c r="H69" i="6"/>
  <c r="I69" i="6"/>
  <c r="J69" i="6"/>
  <c r="K69" i="6"/>
  <c r="L69" i="6"/>
  <c r="M69" i="6"/>
  <c r="O69" i="6"/>
  <c r="P69" i="6"/>
  <c r="Q69" i="6"/>
  <c r="R69" i="6"/>
  <c r="T69" i="6"/>
  <c r="U69" i="6"/>
  <c r="V69" i="6"/>
  <c r="W69" i="6"/>
  <c r="H973" i="6"/>
  <c r="I973" i="6"/>
  <c r="J973" i="6"/>
  <c r="K973" i="6"/>
  <c r="L973" i="6"/>
  <c r="M973" i="6"/>
  <c r="O973" i="6"/>
  <c r="P973" i="6"/>
  <c r="Q973" i="6"/>
  <c r="R973" i="6"/>
  <c r="T973" i="6"/>
  <c r="U973" i="6"/>
  <c r="V973" i="6"/>
  <c r="W973" i="6"/>
  <c r="H974" i="6"/>
  <c r="I974" i="6"/>
  <c r="J974" i="6"/>
  <c r="K974" i="6"/>
  <c r="L974" i="6"/>
  <c r="M974" i="6"/>
  <c r="O974" i="6"/>
  <c r="P974" i="6"/>
  <c r="Q974" i="6"/>
  <c r="R974" i="6"/>
  <c r="T974" i="6"/>
  <c r="U974" i="6"/>
  <c r="V974" i="6"/>
  <c r="W974" i="6"/>
  <c r="H913" i="6"/>
  <c r="I913" i="6"/>
  <c r="J913" i="6"/>
  <c r="K913" i="6"/>
  <c r="L913" i="6"/>
  <c r="M913" i="6"/>
  <c r="O913" i="6"/>
  <c r="P913" i="6"/>
  <c r="Q913" i="6"/>
  <c r="R913" i="6"/>
  <c r="T913" i="6"/>
  <c r="U913" i="6"/>
  <c r="V913" i="6"/>
  <c r="W913" i="6"/>
  <c r="H900" i="6"/>
  <c r="I900" i="6"/>
  <c r="J900" i="6"/>
  <c r="K900" i="6"/>
  <c r="L900" i="6"/>
  <c r="M900" i="6"/>
  <c r="O900" i="6"/>
  <c r="P900" i="6"/>
  <c r="Q900" i="6"/>
  <c r="R900" i="6"/>
  <c r="T900" i="6"/>
  <c r="U900" i="6"/>
  <c r="V900" i="6"/>
  <c r="W900" i="6"/>
  <c r="H886" i="6"/>
  <c r="I886" i="6"/>
  <c r="J886" i="6"/>
  <c r="K886" i="6"/>
  <c r="L886" i="6"/>
  <c r="M886" i="6"/>
  <c r="O886" i="6"/>
  <c r="P886" i="6"/>
  <c r="Q886" i="6"/>
  <c r="R886" i="6"/>
  <c r="T886" i="6"/>
  <c r="U886" i="6"/>
  <c r="V886" i="6"/>
  <c r="W886" i="6"/>
  <c r="H872" i="6"/>
  <c r="I872" i="6"/>
  <c r="J872" i="6"/>
  <c r="K872" i="6"/>
  <c r="L872" i="6"/>
  <c r="M872" i="6"/>
  <c r="O872" i="6"/>
  <c r="P872" i="6"/>
  <c r="Q872" i="6"/>
  <c r="R872" i="6"/>
  <c r="T872" i="6"/>
  <c r="U872" i="6"/>
  <c r="V872" i="6"/>
  <c r="W872" i="6"/>
  <c r="H857" i="6"/>
  <c r="I857" i="6"/>
  <c r="J857" i="6"/>
  <c r="K857" i="6"/>
  <c r="L857" i="6"/>
  <c r="M857" i="6"/>
  <c r="O857" i="6"/>
  <c r="P857" i="6"/>
  <c r="Q857" i="6"/>
  <c r="R857" i="6"/>
  <c r="T857" i="6"/>
  <c r="U857" i="6"/>
  <c r="V857" i="6"/>
  <c r="W857" i="6"/>
  <c r="H842" i="6"/>
  <c r="I842" i="6"/>
  <c r="J842" i="6"/>
  <c r="K842" i="6"/>
  <c r="L842" i="6"/>
  <c r="M842" i="6"/>
  <c r="O842" i="6"/>
  <c r="P842" i="6"/>
  <c r="Q842" i="6"/>
  <c r="R842" i="6"/>
  <c r="T842" i="6"/>
  <c r="U842" i="6"/>
  <c r="V842" i="6"/>
  <c r="W842" i="6"/>
  <c r="H824" i="6"/>
  <c r="I824" i="6"/>
  <c r="J824" i="6"/>
  <c r="K824" i="6"/>
  <c r="L824" i="6"/>
  <c r="M824" i="6"/>
  <c r="O824" i="6"/>
  <c r="P824" i="6"/>
  <c r="Q824" i="6"/>
  <c r="R824" i="6"/>
  <c r="T824" i="6"/>
  <c r="U824" i="6"/>
  <c r="V824" i="6"/>
  <c r="W824" i="6"/>
  <c r="H808" i="6"/>
  <c r="I808" i="6"/>
  <c r="J808" i="6"/>
  <c r="K808" i="6"/>
  <c r="L808" i="6"/>
  <c r="M808" i="6"/>
  <c r="O808" i="6"/>
  <c r="P808" i="6"/>
  <c r="Q808" i="6"/>
  <c r="R808" i="6"/>
  <c r="T808" i="6"/>
  <c r="U808" i="6"/>
  <c r="V808" i="6"/>
  <c r="W808" i="6"/>
  <c r="H788" i="6"/>
  <c r="I788" i="6"/>
  <c r="J788" i="6"/>
  <c r="K788" i="6"/>
  <c r="L788" i="6"/>
  <c r="M788" i="6"/>
  <c r="O788" i="6"/>
  <c r="P788" i="6"/>
  <c r="Q788" i="6"/>
  <c r="R788" i="6"/>
  <c r="T788" i="6"/>
  <c r="U788" i="6"/>
  <c r="V788" i="6"/>
  <c r="W788" i="6"/>
  <c r="H766" i="6"/>
  <c r="I766" i="6"/>
  <c r="J766" i="6"/>
  <c r="K766" i="6"/>
  <c r="L766" i="6"/>
  <c r="M766" i="6"/>
  <c r="O766" i="6"/>
  <c r="P766" i="6"/>
  <c r="Q766" i="6"/>
  <c r="R766" i="6"/>
  <c r="T766" i="6"/>
  <c r="U766" i="6"/>
  <c r="V766" i="6"/>
  <c r="W766" i="6"/>
  <c r="H740" i="6"/>
  <c r="I740" i="6"/>
  <c r="J740" i="6"/>
  <c r="K740" i="6"/>
  <c r="L740" i="6"/>
  <c r="M740" i="6"/>
  <c r="O740" i="6"/>
  <c r="P740" i="6"/>
  <c r="Q740" i="6"/>
  <c r="R740" i="6"/>
  <c r="T740" i="6"/>
  <c r="U740" i="6"/>
  <c r="V740" i="6"/>
  <c r="W740" i="6"/>
  <c r="H713" i="6"/>
  <c r="I713" i="6"/>
  <c r="J713" i="6"/>
  <c r="K713" i="6"/>
  <c r="L713" i="6"/>
  <c r="M713" i="6"/>
  <c r="O713" i="6"/>
  <c r="P713" i="6"/>
  <c r="Q713" i="6"/>
  <c r="R713" i="6"/>
  <c r="T713" i="6"/>
  <c r="U713" i="6"/>
  <c r="V713" i="6"/>
  <c r="W713" i="6"/>
  <c r="H682" i="6"/>
  <c r="I682" i="6"/>
  <c r="J682" i="6"/>
  <c r="K682" i="6"/>
  <c r="L682" i="6"/>
  <c r="M682" i="6"/>
  <c r="O682" i="6"/>
  <c r="P682" i="6"/>
  <c r="Q682" i="6"/>
  <c r="R682" i="6"/>
  <c r="T682" i="6"/>
  <c r="U682" i="6"/>
  <c r="V682" i="6"/>
  <c r="W682" i="6"/>
  <c r="H654" i="6"/>
  <c r="I654" i="6"/>
  <c r="J654" i="6"/>
  <c r="K654" i="6"/>
  <c r="L654" i="6"/>
  <c r="M654" i="6"/>
  <c r="O654" i="6"/>
  <c r="P654" i="6"/>
  <c r="Q654" i="6"/>
  <c r="R654" i="6"/>
  <c r="T654" i="6"/>
  <c r="U654" i="6"/>
  <c r="V654" i="6"/>
  <c r="W654" i="6"/>
  <c r="H625" i="6"/>
  <c r="I625" i="6"/>
  <c r="J625" i="6"/>
  <c r="K625" i="6"/>
  <c r="L625" i="6"/>
  <c r="M625" i="6"/>
  <c r="O625" i="6"/>
  <c r="P625" i="6"/>
  <c r="Q625" i="6"/>
  <c r="R625" i="6"/>
  <c r="T625" i="6"/>
  <c r="U625" i="6"/>
  <c r="V625" i="6"/>
  <c r="W625" i="6"/>
  <c r="H580" i="6"/>
  <c r="I580" i="6"/>
  <c r="J580" i="6"/>
  <c r="K580" i="6"/>
  <c r="L580" i="6"/>
  <c r="M580" i="6"/>
  <c r="O580" i="6"/>
  <c r="P580" i="6"/>
  <c r="Q580" i="6"/>
  <c r="R580" i="6"/>
  <c r="T580" i="6"/>
  <c r="U580" i="6"/>
  <c r="V580" i="6"/>
  <c r="W580" i="6"/>
  <c r="H549" i="6"/>
  <c r="I549" i="6"/>
  <c r="J549" i="6"/>
  <c r="K549" i="6"/>
  <c r="L549" i="6"/>
  <c r="M549" i="6"/>
  <c r="O549" i="6"/>
  <c r="P549" i="6"/>
  <c r="Q549" i="6"/>
  <c r="R549" i="6"/>
  <c r="T549" i="6"/>
  <c r="U549" i="6"/>
  <c r="V549" i="6"/>
  <c r="W549" i="6"/>
  <c r="H516" i="6"/>
  <c r="I516" i="6"/>
  <c r="J516" i="6"/>
  <c r="K516" i="6"/>
  <c r="L516" i="6"/>
  <c r="M516" i="6"/>
  <c r="O516" i="6"/>
  <c r="P516" i="6"/>
  <c r="Q516" i="6"/>
  <c r="R516" i="6"/>
  <c r="T516" i="6"/>
  <c r="U516" i="6"/>
  <c r="V516" i="6"/>
  <c r="W516" i="6"/>
  <c r="H471" i="6"/>
  <c r="I471" i="6"/>
  <c r="J471" i="6"/>
  <c r="K471" i="6"/>
  <c r="L471" i="6"/>
  <c r="M471" i="6"/>
  <c r="O471" i="6"/>
  <c r="P471" i="6"/>
  <c r="Q471" i="6"/>
  <c r="R471" i="6"/>
  <c r="T471" i="6"/>
  <c r="U471" i="6"/>
  <c r="V471" i="6"/>
  <c r="W471" i="6"/>
  <c r="H560" i="6"/>
  <c r="I560" i="6"/>
  <c r="J560" i="6"/>
  <c r="K560" i="6"/>
  <c r="L560" i="6"/>
  <c r="M560" i="6"/>
  <c r="O560" i="6"/>
  <c r="P560" i="6"/>
  <c r="Q560" i="6"/>
  <c r="R560" i="6"/>
  <c r="T560" i="6"/>
  <c r="U560" i="6"/>
  <c r="V560" i="6"/>
  <c r="W560" i="6"/>
  <c r="H597" i="6"/>
  <c r="I597" i="6"/>
  <c r="J597" i="6"/>
  <c r="K597" i="6"/>
  <c r="L597" i="6"/>
  <c r="M597" i="6"/>
  <c r="O597" i="6"/>
  <c r="P597" i="6"/>
  <c r="Q597" i="6"/>
  <c r="R597" i="6"/>
  <c r="T597" i="6"/>
  <c r="U597" i="6"/>
  <c r="V597" i="6"/>
  <c r="W597" i="6"/>
  <c r="H775" i="6"/>
  <c r="I775" i="6"/>
  <c r="J775" i="6"/>
  <c r="K775" i="6"/>
  <c r="L775" i="6"/>
  <c r="M775" i="6"/>
  <c r="O775" i="6"/>
  <c r="P775" i="6"/>
  <c r="Q775" i="6"/>
  <c r="R775" i="6"/>
  <c r="T775" i="6"/>
  <c r="U775" i="6"/>
  <c r="V775" i="6"/>
  <c r="W775" i="6"/>
  <c r="H751" i="6"/>
  <c r="I751" i="6"/>
  <c r="J751" i="6"/>
  <c r="K751" i="6"/>
  <c r="L751" i="6"/>
  <c r="M751" i="6"/>
  <c r="O751" i="6"/>
  <c r="P751" i="6"/>
  <c r="Q751" i="6"/>
  <c r="R751" i="6"/>
  <c r="T751" i="6"/>
  <c r="U751" i="6"/>
  <c r="V751" i="6"/>
  <c r="W751" i="6"/>
  <c r="H689" i="6"/>
  <c r="I689" i="6"/>
  <c r="J689" i="6"/>
  <c r="K689" i="6"/>
  <c r="L689" i="6"/>
  <c r="M689" i="6"/>
  <c r="O689" i="6"/>
  <c r="P689" i="6"/>
  <c r="Q689" i="6"/>
  <c r="R689" i="6"/>
  <c r="T689" i="6"/>
  <c r="U689" i="6"/>
  <c r="V689" i="6"/>
  <c r="W689" i="6"/>
  <c r="H534" i="6"/>
  <c r="I534" i="6"/>
  <c r="J534" i="6"/>
  <c r="K534" i="6"/>
  <c r="L534" i="6"/>
  <c r="M534" i="6"/>
  <c r="O534" i="6"/>
  <c r="P534" i="6"/>
  <c r="Q534" i="6"/>
  <c r="R534" i="6"/>
  <c r="T534" i="6"/>
  <c r="U534" i="6"/>
  <c r="V534" i="6"/>
  <c r="W534" i="6"/>
  <c r="H662" i="6"/>
  <c r="I662" i="6"/>
  <c r="J662" i="6"/>
  <c r="K662" i="6"/>
  <c r="L662" i="6"/>
  <c r="M662" i="6"/>
  <c r="O662" i="6"/>
  <c r="P662" i="6"/>
  <c r="Q662" i="6"/>
  <c r="R662" i="6"/>
  <c r="T662" i="6"/>
  <c r="U662" i="6"/>
  <c r="V662" i="6"/>
  <c r="W662" i="6"/>
  <c r="H721" i="6"/>
  <c r="I721" i="6"/>
  <c r="J721" i="6"/>
  <c r="K721" i="6"/>
  <c r="L721" i="6"/>
  <c r="M721" i="6"/>
  <c r="O721" i="6"/>
  <c r="P721" i="6"/>
  <c r="Q721" i="6"/>
  <c r="R721" i="6"/>
  <c r="T721" i="6"/>
  <c r="U721" i="6"/>
  <c r="V721" i="6"/>
  <c r="W721" i="6"/>
  <c r="H475" i="6"/>
  <c r="I475" i="6"/>
  <c r="J475" i="6"/>
  <c r="K475" i="6"/>
  <c r="L475" i="6"/>
  <c r="M475" i="6"/>
  <c r="O475" i="6"/>
  <c r="P475" i="6"/>
  <c r="Q475" i="6"/>
  <c r="R475" i="6"/>
  <c r="T475" i="6"/>
  <c r="U475" i="6"/>
  <c r="V475" i="6"/>
  <c r="W475" i="6"/>
  <c r="H635" i="6"/>
  <c r="I635" i="6"/>
  <c r="J635" i="6"/>
  <c r="K635" i="6"/>
  <c r="L635" i="6"/>
  <c r="M635" i="6"/>
  <c r="O635" i="6"/>
  <c r="P635" i="6"/>
  <c r="Q635" i="6"/>
  <c r="R635" i="6"/>
  <c r="T635" i="6"/>
  <c r="U635" i="6"/>
  <c r="V635" i="6"/>
  <c r="W635" i="6"/>
  <c r="H799" i="6"/>
  <c r="I799" i="6"/>
  <c r="J799" i="6"/>
  <c r="K799" i="6"/>
  <c r="L799" i="6"/>
  <c r="M799" i="6"/>
  <c r="O799" i="6"/>
  <c r="P799" i="6"/>
  <c r="Q799" i="6"/>
  <c r="R799" i="6"/>
  <c r="T799" i="6"/>
  <c r="U799" i="6"/>
  <c r="V799" i="6"/>
  <c r="W799" i="6"/>
  <c r="H800" i="6"/>
  <c r="I800" i="6"/>
  <c r="J800" i="6"/>
  <c r="K800" i="6"/>
  <c r="L800" i="6"/>
  <c r="M800" i="6"/>
  <c r="O800" i="6"/>
  <c r="P800" i="6"/>
  <c r="Q800" i="6"/>
  <c r="R800" i="6"/>
  <c r="T800" i="6"/>
  <c r="U800" i="6"/>
  <c r="V800" i="6"/>
  <c r="W800" i="6"/>
  <c r="H260" i="6"/>
  <c r="I260" i="6"/>
  <c r="J260" i="6"/>
  <c r="K260" i="6"/>
  <c r="L260" i="6"/>
  <c r="M260" i="6"/>
  <c r="O260" i="6"/>
  <c r="P260" i="6"/>
  <c r="Q260" i="6"/>
  <c r="R260" i="6"/>
  <c r="T260" i="6"/>
  <c r="U260" i="6"/>
  <c r="V260" i="6"/>
  <c r="W260" i="6"/>
  <c r="H391" i="6"/>
  <c r="I391" i="6"/>
  <c r="J391" i="6"/>
  <c r="K391" i="6"/>
  <c r="L391" i="6"/>
  <c r="M391" i="6"/>
  <c r="O391" i="6"/>
  <c r="P391" i="6"/>
  <c r="Q391" i="6"/>
  <c r="R391" i="6"/>
  <c r="T391" i="6"/>
  <c r="U391" i="6"/>
  <c r="V391" i="6"/>
  <c r="W391" i="6"/>
  <c r="H392" i="6"/>
  <c r="I392" i="6"/>
  <c r="J392" i="6"/>
  <c r="K392" i="6"/>
  <c r="L392" i="6"/>
  <c r="M392" i="6"/>
  <c r="O392" i="6"/>
  <c r="P392" i="6"/>
  <c r="Q392" i="6"/>
  <c r="R392" i="6"/>
  <c r="T392" i="6"/>
  <c r="U392" i="6"/>
  <c r="V392" i="6"/>
  <c r="W392" i="6"/>
  <c r="H426" i="6"/>
  <c r="I426" i="6"/>
  <c r="J426" i="6"/>
  <c r="K426" i="6"/>
  <c r="L426" i="6"/>
  <c r="M426" i="6"/>
  <c r="O426" i="6"/>
  <c r="P426" i="6"/>
  <c r="Q426" i="6"/>
  <c r="R426" i="6"/>
  <c r="T426" i="6"/>
  <c r="U426" i="6"/>
  <c r="V426" i="6"/>
  <c r="W426" i="6"/>
  <c r="H219" i="6"/>
  <c r="I219" i="6"/>
  <c r="J219" i="6"/>
  <c r="K219" i="6"/>
  <c r="L219" i="6"/>
  <c r="M219" i="6"/>
  <c r="O219" i="6"/>
  <c r="P219" i="6"/>
  <c r="Q219" i="6"/>
  <c r="R219" i="6"/>
  <c r="T219" i="6"/>
  <c r="U219" i="6"/>
  <c r="V219" i="6"/>
  <c r="W219" i="6"/>
  <c r="H220" i="6"/>
  <c r="I220" i="6"/>
  <c r="J220" i="6"/>
  <c r="K220" i="6"/>
  <c r="L220" i="6"/>
  <c r="M220" i="6"/>
  <c r="O220" i="6"/>
  <c r="P220" i="6"/>
  <c r="Q220" i="6"/>
  <c r="R220" i="6"/>
  <c r="T220" i="6"/>
  <c r="U220" i="6"/>
  <c r="V220" i="6"/>
  <c r="W220" i="6"/>
  <c r="H648" i="6"/>
  <c r="I648" i="6"/>
  <c r="J648" i="6"/>
  <c r="K648" i="6"/>
  <c r="L648" i="6"/>
  <c r="M648" i="6"/>
  <c r="O648" i="6"/>
  <c r="P648" i="6"/>
  <c r="Q648" i="6"/>
  <c r="R648" i="6"/>
  <c r="T648" i="6"/>
  <c r="U648" i="6"/>
  <c r="V648" i="6"/>
  <c r="W648" i="6"/>
  <c r="H649" i="6"/>
  <c r="I649" i="6"/>
  <c r="J649" i="6"/>
  <c r="K649" i="6"/>
  <c r="L649" i="6"/>
  <c r="M649" i="6"/>
  <c r="O649" i="6"/>
  <c r="P649" i="6"/>
  <c r="Q649" i="6"/>
  <c r="R649" i="6"/>
  <c r="T649" i="6"/>
  <c r="U649" i="6"/>
  <c r="V649" i="6"/>
  <c r="W649" i="6"/>
  <c r="H650" i="6"/>
  <c r="I650" i="6"/>
  <c r="J650" i="6"/>
  <c r="K650" i="6"/>
  <c r="L650" i="6"/>
  <c r="M650" i="6"/>
  <c r="O650" i="6"/>
  <c r="P650" i="6"/>
  <c r="Q650" i="6"/>
  <c r="R650" i="6"/>
  <c r="T650" i="6"/>
  <c r="U650" i="6"/>
  <c r="V650" i="6"/>
  <c r="W650" i="6"/>
  <c r="H450" i="6"/>
  <c r="I450" i="6"/>
  <c r="J450" i="6"/>
  <c r="K450" i="6"/>
  <c r="L450" i="6"/>
  <c r="M450" i="6"/>
  <c r="O450" i="6"/>
  <c r="P450" i="6"/>
  <c r="Q450" i="6"/>
  <c r="R450" i="6"/>
  <c r="T450" i="6"/>
  <c r="U450" i="6"/>
  <c r="V450" i="6"/>
  <c r="W450" i="6"/>
  <c r="H801" i="6"/>
  <c r="I801" i="6"/>
  <c r="J801" i="6"/>
  <c r="K801" i="6"/>
  <c r="L801" i="6"/>
  <c r="M801" i="6"/>
  <c r="O801" i="6"/>
  <c r="P801" i="6"/>
  <c r="Q801" i="6"/>
  <c r="R801" i="6"/>
  <c r="T801" i="6"/>
  <c r="U801" i="6"/>
  <c r="V801" i="6"/>
  <c r="W801" i="6"/>
  <c r="H398" i="6"/>
  <c r="I398" i="6"/>
  <c r="J398" i="6"/>
  <c r="K398" i="6"/>
  <c r="L398" i="6"/>
  <c r="M398" i="6"/>
  <c r="O398" i="6"/>
  <c r="P398" i="6"/>
  <c r="Q398" i="6"/>
  <c r="R398" i="6"/>
  <c r="T398" i="6"/>
  <c r="U398" i="6"/>
  <c r="V398" i="6"/>
  <c r="W398" i="6"/>
  <c r="H427" i="6"/>
  <c r="I427" i="6"/>
  <c r="J427" i="6"/>
  <c r="K427" i="6"/>
  <c r="L427" i="6"/>
  <c r="M427" i="6"/>
  <c r="O427" i="6"/>
  <c r="P427" i="6"/>
  <c r="Q427" i="6"/>
  <c r="R427" i="6"/>
  <c r="T427" i="6"/>
  <c r="U427" i="6"/>
  <c r="V427" i="6"/>
  <c r="W427" i="6"/>
  <c r="H428" i="6"/>
  <c r="I428" i="6"/>
  <c r="J428" i="6"/>
  <c r="K428" i="6"/>
  <c r="L428" i="6"/>
  <c r="M428" i="6"/>
  <c r="O428" i="6"/>
  <c r="P428" i="6"/>
  <c r="Q428" i="6"/>
  <c r="R428" i="6"/>
  <c r="T428" i="6"/>
  <c r="U428" i="6"/>
  <c r="V428" i="6"/>
  <c r="W428" i="6"/>
  <c r="H432" i="6"/>
  <c r="I432" i="6"/>
  <c r="J432" i="6"/>
  <c r="K432" i="6"/>
  <c r="L432" i="6"/>
  <c r="M432" i="6"/>
  <c r="O432" i="6"/>
  <c r="P432" i="6"/>
  <c r="Q432" i="6"/>
  <c r="R432" i="6"/>
  <c r="T432" i="6"/>
  <c r="U432" i="6"/>
  <c r="V432" i="6"/>
  <c r="W432" i="6"/>
  <c r="H819" i="6"/>
  <c r="I819" i="6"/>
  <c r="J819" i="6"/>
  <c r="K819" i="6"/>
  <c r="L819" i="6"/>
  <c r="M819" i="6"/>
  <c r="O819" i="6"/>
  <c r="P819" i="6"/>
  <c r="Q819" i="6"/>
  <c r="R819" i="6"/>
  <c r="T819" i="6"/>
  <c r="U819" i="6"/>
  <c r="V819" i="6"/>
  <c r="W819" i="6"/>
  <c r="H820" i="6"/>
  <c r="I820" i="6"/>
  <c r="J820" i="6"/>
  <c r="K820" i="6"/>
  <c r="L820" i="6"/>
  <c r="M820" i="6"/>
  <c r="O820" i="6"/>
  <c r="P820" i="6"/>
  <c r="Q820" i="6"/>
  <c r="R820" i="6"/>
  <c r="T820" i="6"/>
  <c r="U820" i="6"/>
  <c r="V820" i="6"/>
  <c r="W820" i="6"/>
  <c r="H429" i="6"/>
  <c r="I429" i="6"/>
  <c r="J429" i="6"/>
  <c r="K429" i="6"/>
  <c r="L429" i="6"/>
  <c r="M429" i="6"/>
  <c r="O429" i="6"/>
  <c r="P429" i="6"/>
  <c r="Q429" i="6"/>
  <c r="R429" i="6"/>
  <c r="T429" i="6"/>
  <c r="U429" i="6"/>
  <c r="V429" i="6"/>
  <c r="W429" i="6"/>
  <c r="H430" i="6"/>
  <c r="I430" i="6"/>
  <c r="J430" i="6"/>
  <c r="K430" i="6"/>
  <c r="L430" i="6"/>
  <c r="M430" i="6"/>
  <c r="O430" i="6"/>
  <c r="P430" i="6"/>
  <c r="Q430" i="6"/>
  <c r="R430" i="6"/>
  <c r="T430" i="6"/>
  <c r="U430" i="6"/>
  <c r="V430" i="6"/>
  <c r="W430" i="6"/>
  <c r="H431" i="6"/>
  <c r="I431" i="6"/>
  <c r="J431" i="6"/>
  <c r="K431" i="6"/>
  <c r="L431" i="6"/>
  <c r="M431" i="6"/>
  <c r="O431" i="6"/>
  <c r="P431" i="6"/>
  <c r="Q431" i="6"/>
  <c r="R431" i="6"/>
  <c r="T431" i="6"/>
  <c r="U431" i="6"/>
  <c r="V431" i="6"/>
  <c r="W431" i="6"/>
  <c r="H921" i="6"/>
  <c r="I921" i="6"/>
  <c r="J921" i="6"/>
  <c r="K921" i="6"/>
  <c r="L921" i="6"/>
  <c r="M921" i="6"/>
  <c r="O921" i="6"/>
  <c r="P921" i="6"/>
  <c r="Q921" i="6"/>
  <c r="R921" i="6"/>
  <c r="T921" i="6"/>
  <c r="U921" i="6"/>
  <c r="V921" i="6"/>
  <c r="W921" i="6"/>
  <c r="H825" i="6"/>
  <c r="I825" i="6"/>
  <c r="J825" i="6"/>
  <c r="K825" i="6"/>
  <c r="L825" i="6"/>
  <c r="M825" i="6"/>
  <c r="O825" i="6"/>
  <c r="P825" i="6"/>
  <c r="Q825" i="6"/>
  <c r="R825" i="6"/>
  <c r="T825" i="6"/>
  <c r="U825" i="6"/>
  <c r="V825" i="6"/>
  <c r="W825" i="6"/>
  <c r="H809" i="6"/>
  <c r="I809" i="6"/>
  <c r="J809" i="6"/>
  <c r="K809" i="6"/>
  <c r="L809" i="6"/>
  <c r="M809" i="6"/>
  <c r="O809" i="6"/>
  <c r="P809" i="6"/>
  <c r="Q809" i="6"/>
  <c r="R809" i="6"/>
  <c r="T809" i="6"/>
  <c r="U809" i="6"/>
  <c r="V809" i="6"/>
  <c r="W809" i="6"/>
  <c r="H977" i="6"/>
  <c r="I977" i="6"/>
  <c r="J977" i="6"/>
  <c r="K977" i="6"/>
  <c r="L977" i="6"/>
  <c r="M977" i="6"/>
  <c r="O977" i="6"/>
  <c r="P977" i="6"/>
  <c r="Q977" i="6"/>
  <c r="R977" i="6"/>
  <c r="T977" i="6"/>
  <c r="U977" i="6"/>
  <c r="V977" i="6"/>
  <c r="W977" i="6"/>
  <c r="H487" i="6"/>
  <c r="I487" i="6"/>
  <c r="J487" i="6"/>
  <c r="K487" i="6"/>
  <c r="L487" i="6"/>
  <c r="M487" i="6"/>
  <c r="O487" i="6"/>
  <c r="P487" i="6"/>
  <c r="Q487" i="6"/>
  <c r="R487" i="6"/>
  <c r="T487" i="6"/>
  <c r="U487" i="6"/>
  <c r="V487" i="6"/>
  <c r="W487" i="6"/>
  <c r="H390" i="6"/>
  <c r="I390" i="6"/>
  <c r="J390" i="6"/>
  <c r="K390" i="6"/>
  <c r="L390" i="6"/>
  <c r="M390" i="6"/>
  <c r="O390" i="6"/>
  <c r="P390" i="6"/>
  <c r="Q390" i="6"/>
  <c r="R390" i="6"/>
  <c r="T390" i="6"/>
  <c r="U390" i="6"/>
  <c r="V390" i="6"/>
  <c r="W390" i="6"/>
  <c r="H376" i="6"/>
  <c r="I376" i="6"/>
  <c r="J376" i="6"/>
  <c r="K376" i="6"/>
  <c r="L376" i="6"/>
  <c r="M376" i="6"/>
  <c r="O376" i="6"/>
  <c r="P376" i="6"/>
  <c r="Q376" i="6"/>
  <c r="R376" i="6"/>
  <c r="T376" i="6"/>
  <c r="U376" i="6"/>
  <c r="V376" i="6"/>
  <c r="W376" i="6"/>
  <c r="H368" i="6"/>
  <c r="I368" i="6"/>
  <c r="J368" i="6"/>
  <c r="K368" i="6"/>
  <c r="L368" i="6"/>
  <c r="M368" i="6"/>
  <c r="O368" i="6"/>
  <c r="P368" i="6"/>
  <c r="Q368" i="6"/>
  <c r="R368" i="6"/>
  <c r="T368" i="6"/>
  <c r="U368" i="6"/>
  <c r="V368" i="6"/>
  <c r="W368" i="6"/>
  <c r="H327" i="6"/>
  <c r="I327" i="6"/>
  <c r="J327" i="6"/>
  <c r="K327" i="6"/>
  <c r="L327" i="6"/>
  <c r="M327" i="6"/>
  <c r="O327" i="6"/>
  <c r="P327" i="6"/>
  <c r="Q327" i="6"/>
  <c r="R327" i="6"/>
  <c r="T327" i="6"/>
  <c r="U327" i="6"/>
  <c r="V327" i="6"/>
  <c r="W327" i="6"/>
  <c r="H314" i="6"/>
  <c r="I314" i="6"/>
  <c r="J314" i="6"/>
  <c r="K314" i="6"/>
  <c r="L314" i="6"/>
  <c r="M314" i="6"/>
  <c r="O314" i="6"/>
  <c r="P314" i="6"/>
  <c r="Q314" i="6"/>
  <c r="R314" i="6"/>
  <c r="T314" i="6"/>
  <c r="U314" i="6"/>
  <c r="V314" i="6"/>
  <c r="W314" i="6"/>
  <c r="H240" i="6"/>
  <c r="I240" i="6"/>
  <c r="J240" i="6"/>
  <c r="K240" i="6"/>
  <c r="L240" i="6"/>
  <c r="M240" i="6"/>
  <c r="O240" i="6"/>
  <c r="P240" i="6"/>
  <c r="Q240" i="6"/>
  <c r="R240" i="6"/>
  <c r="T240" i="6"/>
  <c r="U240" i="6"/>
  <c r="V240" i="6"/>
  <c r="W240" i="6"/>
  <c r="H152" i="6"/>
  <c r="I152" i="6"/>
  <c r="J152" i="6"/>
  <c r="K152" i="6"/>
  <c r="L152" i="6"/>
  <c r="M152" i="6"/>
  <c r="O152" i="6"/>
  <c r="P152" i="6"/>
  <c r="Q152" i="6"/>
  <c r="R152" i="6"/>
  <c r="T152" i="6"/>
  <c r="U152" i="6"/>
  <c r="V152" i="6"/>
  <c r="W152" i="6"/>
  <c r="H877" i="6"/>
  <c r="I877" i="6"/>
  <c r="J877" i="6"/>
  <c r="K877" i="6"/>
  <c r="L877" i="6"/>
  <c r="M877" i="6"/>
  <c r="O877" i="6"/>
  <c r="P877" i="6"/>
  <c r="Q877" i="6"/>
  <c r="R877" i="6"/>
  <c r="T877" i="6"/>
  <c r="U877" i="6"/>
  <c r="V877" i="6"/>
  <c r="W877" i="6"/>
  <c r="H967" i="6"/>
  <c r="I967" i="6"/>
  <c r="J967" i="6"/>
  <c r="K967" i="6"/>
  <c r="L967" i="6"/>
  <c r="M967" i="6"/>
  <c r="O967" i="6"/>
  <c r="P967" i="6"/>
  <c r="Q967" i="6"/>
  <c r="R967" i="6"/>
  <c r="T967" i="6"/>
  <c r="U967" i="6"/>
  <c r="V967" i="6"/>
  <c r="W967" i="6"/>
  <c r="H494" i="6"/>
  <c r="I494" i="6"/>
  <c r="J494" i="6"/>
  <c r="K494" i="6"/>
  <c r="L494" i="6"/>
  <c r="M494" i="6"/>
  <c r="O494" i="6"/>
  <c r="P494" i="6"/>
  <c r="Q494" i="6"/>
  <c r="R494" i="6"/>
  <c r="T494" i="6"/>
  <c r="U494" i="6"/>
  <c r="V494" i="6"/>
  <c r="W494" i="6"/>
  <c r="H495" i="6"/>
  <c r="I495" i="6"/>
  <c r="J495" i="6"/>
  <c r="K495" i="6"/>
  <c r="L495" i="6"/>
  <c r="M495" i="6"/>
  <c r="O495" i="6"/>
  <c r="P495" i="6"/>
  <c r="Q495" i="6"/>
  <c r="R495" i="6"/>
  <c r="T495" i="6"/>
  <c r="U495" i="6"/>
  <c r="V495" i="6"/>
  <c r="W495" i="6"/>
  <c r="H496" i="6"/>
  <c r="I496" i="6"/>
  <c r="J496" i="6"/>
  <c r="K496" i="6"/>
  <c r="L496" i="6"/>
  <c r="M496" i="6"/>
  <c r="O496" i="6"/>
  <c r="P496" i="6"/>
  <c r="Q496" i="6"/>
  <c r="R496" i="6"/>
  <c r="T496" i="6"/>
  <c r="U496" i="6"/>
  <c r="V496" i="6"/>
  <c r="W496" i="6"/>
  <c r="H972" i="6"/>
  <c r="I972" i="6"/>
  <c r="J972" i="6"/>
  <c r="K972" i="6"/>
  <c r="L972" i="6"/>
  <c r="M972" i="6"/>
  <c r="O972" i="6"/>
  <c r="P972" i="6"/>
  <c r="Q972" i="6"/>
  <c r="R972" i="6"/>
  <c r="T972" i="6"/>
  <c r="U972" i="6"/>
  <c r="V972" i="6"/>
  <c r="W972" i="6"/>
  <c r="H477" i="6"/>
  <c r="I477" i="6"/>
  <c r="J477" i="6"/>
  <c r="K477" i="6"/>
  <c r="L477" i="6"/>
  <c r="M477" i="6"/>
  <c r="O477" i="6"/>
  <c r="P477" i="6"/>
  <c r="Q477" i="6"/>
  <c r="R477" i="6"/>
  <c r="T477" i="6"/>
  <c r="U477" i="6"/>
  <c r="V477" i="6"/>
  <c r="W477" i="6"/>
  <c r="H478" i="6"/>
  <c r="I478" i="6"/>
  <c r="J478" i="6"/>
  <c r="K478" i="6"/>
  <c r="L478" i="6"/>
  <c r="M478" i="6"/>
  <c r="O478" i="6"/>
  <c r="P478" i="6"/>
  <c r="Q478" i="6"/>
  <c r="R478" i="6"/>
  <c r="T478" i="6"/>
  <c r="U478" i="6"/>
  <c r="V478" i="6"/>
  <c r="W478" i="6"/>
  <c r="H679" i="6"/>
  <c r="I679" i="6"/>
  <c r="J679" i="6"/>
  <c r="K679" i="6"/>
  <c r="L679" i="6"/>
  <c r="M679" i="6"/>
  <c r="O679" i="6"/>
  <c r="P679" i="6"/>
  <c r="Q679" i="6"/>
  <c r="R679" i="6"/>
  <c r="T679" i="6"/>
  <c r="U679" i="6"/>
  <c r="V679" i="6"/>
  <c r="W679" i="6"/>
  <c r="H370" i="6"/>
  <c r="I370" i="6"/>
  <c r="J370" i="6"/>
  <c r="K370" i="6"/>
  <c r="L370" i="6"/>
  <c r="M370" i="6"/>
  <c r="O370" i="6"/>
  <c r="P370" i="6"/>
  <c r="Q370" i="6"/>
  <c r="R370" i="6"/>
  <c r="T370" i="6"/>
  <c r="U370" i="6"/>
  <c r="V370" i="6"/>
  <c r="W370" i="6"/>
  <c r="H371" i="6"/>
  <c r="I371" i="6"/>
  <c r="J371" i="6"/>
  <c r="K371" i="6"/>
  <c r="L371" i="6"/>
  <c r="M371" i="6"/>
  <c r="O371" i="6"/>
  <c r="P371" i="6"/>
  <c r="Q371" i="6"/>
  <c r="R371" i="6"/>
  <c r="T371" i="6"/>
  <c r="U371" i="6"/>
  <c r="V371" i="6"/>
  <c r="W371" i="6"/>
  <c r="H372" i="6"/>
  <c r="I372" i="6"/>
  <c r="J372" i="6"/>
  <c r="K372" i="6"/>
  <c r="L372" i="6"/>
  <c r="M372" i="6"/>
  <c r="O372" i="6"/>
  <c r="P372" i="6"/>
  <c r="Q372" i="6"/>
  <c r="R372" i="6"/>
  <c r="T372" i="6"/>
  <c r="U372" i="6"/>
  <c r="V372" i="6"/>
  <c r="W372" i="6"/>
  <c r="H684" i="6"/>
  <c r="I684" i="6"/>
  <c r="J684" i="6"/>
  <c r="K684" i="6"/>
  <c r="L684" i="6"/>
  <c r="M684" i="6"/>
  <c r="O684" i="6"/>
  <c r="P684" i="6"/>
  <c r="Q684" i="6"/>
  <c r="R684" i="6"/>
  <c r="T684" i="6"/>
  <c r="U684" i="6"/>
  <c r="V684" i="6"/>
  <c r="W684" i="6"/>
  <c r="H685" i="6"/>
  <c r="I685" i="6"/>
  <c r="J685" i="6"/>
  <c r="K685" i="6"/>
  <c r="L685" i="6"/>
  <c r="M685" i="6"/>
  <c r="O685" i="6"/>
  <c r="P685" i="6"/>
  <c r="Q685" i="6"/>
  <c r="R685" i="6"/>
  <c r="T685" i="6"/>
  <c r="U685" i="6"/>
  <c r="V685" i="6"/>
  <c r="W685" i="6"/>
  <c r="H63" i="6"/>
  <c r="I63" i="6"/>
  <c r="J63" i="6"/>
  <c r="K63" i="6"/>
  <c r="L63" i="6"/>
  <c r="M63" i="6"/>
  <c r="O63" i="6"/>
  <c r="P63" i="6"/>
  <c r="Q63" i="6"/>
  <c r="R63" i="6"/>
  <c r="T63" i="6"/>
  <c r="U63" i="6"/>
  <c r="V63" i="6"/>
  <c r="W63" i="6"/>
  <c r="H1006" i="6"/>
  <c r="I1006" i="6"/>
  <c r="J1006" i="6"/>
  <c r="K1006" i="6"/>
  <c r="L1006" i="6"/>
  <c r="M1006" i="6"/>
  <c r="O1006" i="6"/>
  <c r="P1006" i="6"/>
  <c r="Q1006" i="6"/>
  <c r="R1006" i="6"/>
  <c r="T1006" i="6"/>
  <c r="U1006" i="6"/>
  <c r="V1006" i="6"/>
  <c r="W1006" i="6"/>
  <c r="AF1006" i="6"/>
  <c r="H62" i="6"/>
  <c r="I62" i="6"/>
  <c r="J62" i="6"/>
  <c r="K62" i="6"/>
  <c r="L62" i="6"/>
  <c r="M62" i="6"/>
  <c r="O62" i="6"/>
  <c r="P62" i="6"/>
  <c r="Q62" i="6"/>
  <c r="R62" i="6"/>
  <c r="T62" i="6"/>
  <c r="U62" i="6"/>
  <c r="V62" i="6"/>
  <c r="W62" i="6"/>
  <c r="H686" i="6"/>
  <c r="I686" i="6"/>
  <c r="J686" i="6"/>
  <c r="K686" i="6"/>
  <c r="L686" i="6"/>
  <c r="M686" i="6"/>
  <c r="O686" i="6"/>
  <c r="P686" i="6"/>
  <c r="Q686" i="6"/>
  <c r="R686" i="6"/>
  <c r="T686" i="6"/>
  <c r="U686" i="6"/>
  <c r="V686" i="6"/>
  <c r="W686" i="6"/>
  <c r="H279" i="6"/>
  <c r="I279" i="6"/>
  <c r="J279" i="6"/>
  <c r="K279" i="6"/>
  <c r="L279" i="6"/>
  <c r="M279" i="6"/>
  <c r="O279" i="6"/>
  <c r="P279" i="6"/>
  <c r="Q279" i="6"/>
  <c r="R279" i="6"/>
  <c r="T279" i="6"/>
  <c r="U279" i="6"/>
  <c r="V279" i="6"/>
  <c r="W279" i="6"/>
  <c r="H277" i="6"/>
  <c r="I277" i="6"/>
  <c r="J277" i="6"/>
  <c r="K277" i="6"/>
  <c r="L277" i="6"/>
  <c r="M277" i="6"/>
  <c r="O277" i="6"/>
  <c r="P277" i="6"/>
  <c r="Q277" i="6"/>
  <c r="R277" i="6"/>
  <c r="T277" i="6"/>
  <c r="U277" i="6"/>
  <c r="V277" i="6"/>
  <c r="W277" i="6"/>
  <c r="H280" i="6"/>
  <c r="I280" i="6"/>
  <c r="J280" i="6"/>
  <c r="K280" i="6"/>
  <c r="L280" i="6"/>
  <c r="M280" i="6"/>
  <c r="O280" i="6"/>
  <c r="P280" i="6"/>
  <c r="Q280" i="6"/>
  <c r="R280" i="6"/>
  <c r="T280" i="6"/>
  <c r="U280" i="6"/>
  <c r="V280" i="6"/>
  <c r="W280" i="6"/>
  <c r="H278" i="6"/>
  <c r="I278" i="6"/>
  <c r="J278" i="6"/>
  <c r="K278" i="6"/>
  <c r="L278" i="6"/>
  <c r="M278" i="6"/>
  <c r="O278" i="6"/>
  <c r="P278" i="6"/>
  <c r="Q278" i="6"/>
  <c r="R278" i="6"/>
  <c r="T278" i="6"/>
  <c r="U278" i="6"/>
  <c r="V278" i="6"/>
  <c r="W278" i="6"/>
  <c r="H1016" i="6"/>
  <c r="I1016" i="6"/>
  <c r="J1016" i="6"/>
  <c r="K1016" i="6"/>
  <c r="L1016" i="6"/>
  <c r="M1016" i="6"/>
  <c r="O1016" i="6"/>
  <c r="P1016" i="6"/>
  <c r="Q1016" i="6"/>
  <c r="R1016" i="6"/>
  <c r="T1016" i="6"/>
  <c r="U1016" i="6"/>
  <c r="V1016" i="6"/>
  <c r="W1016" i="6"/>
  <c r="H274" i="6"/>
  <c r="I274" i="6"/>
  <c r="J274" i="6"/>
  <c r="K274" i="6"/>
  <c r="L274" i="6"/>
  <c r="M274" i="6"/>
  <c r="O274" i="6"/>
  <c r="P274" i="6"/>
  <c r="Q274" i="6"/>
  <c r="R274" i="6"/>
  <c r="T274" i="6"/>
  <c r="U274" i="6"/>
  <c r="V274" i="6"/>
  <c r="W274" i="6"/>
  <c r="H1010" i="6"/>
  <c r="I1010" i="6"/>
  <c r="J1010" i="6"/>
  <c r="K1010" i="6"/>
  <c r="L1010" i="6"/>
  <c r="M1010" i="6"/>
  <c r="O1010" i="6"/>
  <c r="P1010" i="6"/>
  <c r="Q1010" i="6"/>
  <c r="R1010" i="6"/>
  <c r="T1010" i="6"/>
  <c r="U1010" i="6"/>
  <c r="V1010" i="6"/>
  <c r="W1010" i="6"/>
  <c r="H293" i="6"/>
  <c r="I293" i="6"/>
  <c r="J293" i="6"/>
  <c r="K293" i="6"/>
  <c r="L293" i="6"/>
  <c r="M293" i="6"/>
  <c r="O293" i="6"/>
  <c r="P293" i="6"/>
  <c r="Q293" i="6"/>
  <c r="R293" i="6"/>
  <c r="T293" i="6"/>
  <c r="U293" i="6"/>
  <c r="V293" i="6"/>
  <c r="W293" i="6"/>
  <c r="H286" i="6"/>
  <c r="I286" i="6"/>
  <c r="J286" i="6"/>
  <c r="K286" i="6"/>
  <c r="L286" i="6"/>
  <c r="M286" i="6"/>
  <c r="O286" i="6"/>
  <c r="P286" i="6"/>
  <c r="Q286" i="6"/>
  <c r="R286" i="6"/>
  <c r="T286" i="6"/>
  <c r="U286" i="6"/>
  <c r="V286" i="6"/>
  <c r="W286" i="6"/>
  <c r="H288" i="6"/>
  <c r="I288" i="6"/>
  <c r="J288" i="6"/>
  <c r="K288" i="6"/>
  <c r="L288" i="6"/>
  <c r="M288" i="6"/>
  <c r="O288" i="6"/>
  <c r="P288" i="6"/>
  <c r="Q288" i="6"/>
  <c r="R288" i="6"/>
  <c r="T288" i="6"/>
  <c r="U288" i="6"/>
  <c r="V288" i="6"/>
  <c r="W288" i="6"/>
  <c r="H287" i="6"/>
  <c r="I287" i="6"/>
  <c r="J287" i="6"/>
  <c r="K287" i="6"/>
  <c r="L287" i="6"/>
  <c r="M287" i="6"/>
  <c r="O287" i="6"/>
  <c r="P287" i="6"/>
  <c r="Q287" i="6"/>
  <c r="R287" i="6"/>
  <c r="T287" i="6"/>
  <c r="U287" i="6"/>
  <c r="V287" i="6"/>
  <c r="W287" i="6"/>
  <c r="H986" i="6"/>
  <c r="I986" i="6"/>
  <c r="J986" i="6"/>
  <c r="K986" i="6"/>
  <c r="L986" i="6"/>
  <c r="M986" i="6"/>
  <c r="O986" i="6"/>
  <c r="P986" i="6"/>
  <c r="Q986" i="6"/>
  <c r="R986" i="6"/>
  <c r="T986" i="6"/>
  <c r="U986" i="6"/>
  <c r="V986" i="6"/>
  <c r="W986" i="6"/>
  <c r="H957" i="6"/>
  <c r="I957" i="6"/>
  <c r="J957" i="6"/>
  <c r="K957" i="6"/>
  <c r="L957" i="6"/>
  <c r="M957" i="6"/>
  <c r="O957" i="6"/>
  <c r="P957" i="6"/>
  <c r="Q957" i="6"/>
  <c r="R957" i="6"/>
  <c r="T957" i="6"/>
  <c r="U957" i="6"/>
  <c r="V957" i="6"/>
  <c r="W957" i="6"/>
  <c r="H901" i="6"/>
  <c r="I901" i="6"/>
  <c r="J901" i="6"/>
  <c r="K901" i="6"/>
  <c r="L901" i="6"/>
  <c r="M901" i="6"/>
  <c r="O901" i="6"/>
  <c r="P901" i="6"/>
  <c r="Q901" i="6"/>
  <c r="R901" i="6"/>
  <c r="T901" i="6"/>
  <c r="U901" i="6"/>
  <c r="V901" i="6"/>
  <c r="W901" i="6"/>
  <c r="H902" i="6"/>
  <c r="I902" i="6"/>
  <c r="J902" i="6"/>
  <c r="K902" i="6"/>
  <c r="L902" i="6"/>
  <c r="M902" i="6"/>
  <c r="O902" i="6"/>
  <c r="P902" i="6"/>
  <c r="Q902" i="6"/>
  <c r="R902" i="6"/>
  <c r="T902" i="6"/>
  <c r="U902" i="6"/>
  <c r="V902" i="6"/>
  <c r="W902" i="6"/>
  <c r="H483" i="6"/>
  <c r="I483" i="6"/>
  <c r="J483" i="6"/>
  <c r="K483" i="6"/>
  <c r="L483" i="6"/>
  <c r="M483" i="6"/>
  <c r="O483" i="6"/>
  <c r="P483" i="6"/>
  <c r="Q483" i="6"/>
  <c r="R483" i="6"/>
  <c r="T483" i="6"/>
  <c r="U483" i="6"/>
  <c r="V483" i="6"/>
  <c r="W483" i="6"/>
  <c r="H484" i="6"/>
  <c r="I484" i="6"/>
  <c r="J484" i="6"/>
  <c r="K484" i="6"/>
  <c r="L484" i="6"/>
  <c r="M484" i="6"/>
  <c r="O484" i="6"/>
  <c r="P484" i="6"/>
  <c r="Q484" i="6"/>
  <c r="R484" i="6"/>
  <c r="T484" i="6"/>
  <c r="U484" i="6"/>
  <c r="V484" i="6"/>
  <c r="W484" i="6"/>
  <c r="H482" i="6"/>
  <c r="I482" i="6"/>
  <c r="J482" i="6"/>
  <c r="K482" i="6"/>
  <c r="L482" i="6"/>
  <c r="M482" i="6"/>
  <c r="O482" i="6"/>
  <c r="P482" i="6"/>
  <c r="Q482" i="6"/>
  <c r="R482" i="6"/>
  <c r="T482" i="6"/>
  <c r="U482" i="6"/>
  <c r="V482" i="6"/>
  <c r="W482" i="6"/>
  <c r="H868" i="6"/>
  <c r="I868" i="6"/>
  <c r="J868" i="6"/>
  <c r="K868" i="6"/>
  <c r="L868" i="6"/>
  <c r="M868" i="6"/>
  <c r="O868" i="6"/>
  <c r="P868" i="6"/>
  <c r="Q868" i="6"/>
  <c r="R868" i="6"/>
  <c r="T868" i="6"/>
  <c r="U868" i="6"/>
  <c r="V868" i="6"/>
  <c r="W868" i="6"/>
  <c r="H61" i="6"/>
  <c r="I61" i="6"/>
  <c r="J61" i="6"/>
  <c r="K61" i="6"/>
  <c r="L61" i="6"/>
  <c r="M61" i="6"/>
  <c r="O61" i="6"/>
  <c r="P61" i="6"/>
  <c r="Q61" i="6"/>
  <c r="R61" i="6"/>
  <c r="T61" i="6"/>
  <c r="U61" i="6"/>
  <c r="V61" i="6"/>
  <c r="W61" i="6"/>
  <c r="H615" i="6"/>
  <c r="I615" i="6"/>
  <c r="J615" i="6"/>
  <c r="K615" i="6"/>
  <c r="L615" i="6"/>
  <c r="M615" i="6"/>
  <c r="O615" i="6"/>
  <c r="P615" i="6"/>
  <c r="Q615" i="6"/>
  <c r="R615" i="6"/>
  <c r="T615" i="6"/>
  <c r="U615" i="6"/>
  <c r="V615" i="6"/>
  <c r="W615" i="6"/>
  <c r="H611" i="6"/>
  <c r="I611" i="6"/>
  <c r="J611" i="6"/>
  <c r="K611" i="6"/>
  <c r="L611" i="6"/>
  <c r="M611" i="6"/>
  <c r="O611" i="6"/>
  <c r="P611" i="6"/>
  <c r="Q611" i="6"/>
  <c r="R611" i="6"/>
  <c r="T611" i="6"/>
  <c r="U611" i="6"/>
  <c r="V611" i="6"/>
  <c r="W611" i="6"/>
  <c r="H612" i="6"/>
  <c r="I612" i="6"/>
  <c r="J612" i="6"/>
  <c r="K612" i="6"/>
  <c r="L612" i="6"/>
  <c r="M612" i="6"/>
  <c r="O612" i="6"/>
  <c r="P612" i="6"/>
  <c r="Q612" i="6"/>
  <c r="R612" i="6"/>
  <c r="T612" i="6"/>
  <c r="U612" i="6"/>
  <c r="V612" i="6"/>
  <c r="W612" i="6"/>
  <c r="H613" i="6"/>
  <c r="I613" i="6"/>
  <c r="J613" i="6"/>
  <c r="K613" i="6"/>
  <c r="L613" i="6"/>
  <c r="M613" i="6"/>
  <c r="O613" i="6"/>
  <c r="P613" i="6"/>
  <c r="Q613" i="6"/>
  <c r="R613" i="6"/>
  <c r="T613" i="6"/>
  <c r="U613" i="6"/>
  <c r="V613" i="6"/>
  <c r="W613" i="6"/>
  <c r="H944" i="6"/>
  <c r="I944" i="6"/>
  <c r="J944" i="6"/>
  <c r="K944" i="6"/>
  <c r="L944" i="6"/>
  <c r="M944" i="6"/>
  <c r="O944" i="6"/>
  <c r="P944" i="6"/>
  <c r="Q944" i="6"/>
  <c r="R944" i="6"/>
  <c r="T944" i="6"/>
  <c r="U944" i="6"/>
  <c r="V944" i="6"/>
  <c r="W944" i="6"/>
  <c r="H931" i="6"/>
  <c r="I931" i="6"/>
  <c r="J931" i="6"/>
  <c r="K931" i="6"/>
  <c r="L931" i="6"/>
  <c r="M931" i="6"/>
  <c r="O931" i="6"/>
  <c r="P931" i="6"/>
  <c r="Q931" i="6"/>
  <c r="R931" i="6"/>
  <c r="T931" i="6"/>
  <c r="U931" i="6"/>
  <c r="V931" i="6"/>
  <c r="W931" i="6"/>
  <c r="H912" i="6"/>
  <c r="I912" i="6"/>
  <c r="J912" i="6"/>
  <c r="K912" i="6"/>
  <c r="L912" i="6"/>
  <c r="M912" i="6"/>
  <c r="O912" i="6"/>
  <c r="P912" i="6"/>
  <c r="Q912" i="6"/>
  <c r="R912" i="6"/>
  <c r="T912" i="6"/>
  <c r="U912" i="6"/>
  <c r="V912" i="6"/>
  <c r="W912" i="6"/>
  <c r="H899" i="6"/>
  <c r="I899" i="6"/>
  <c r="J899" i="6"/>
  <c r="K899" i="6"/>
  <c r="L899" i="6"/>
  <c r="M899" i="6"/>
  <c r="O899" i="6"/>
  <c r="P899" i="6"/>
  <c r="Q899" i="6"/>
  <c r="R899" i="6"/>
  <c r="T899" i="6"/>
  <c r="U899" i="6"/>
  <c r="V899" i="6"/>
  <c r="W899" i="6"/>
  <c r="H885" i="6"/>
  <c r="I885" i="6"/>
  <c r="J885" i="6"/>
  <c r="K885" i="6"/>
  <c r="L885" i="6"/>
  <c r="M885" i="6"/>
  <c r="O885" i="6"/>
  <c r="P885" i="6"/>
  <c r="Q885" i="6"/>
  <c r="R885" i="6"/>
  <c r="T885" i="6"/>
  <c r="U885" i="6"/>
  <c r="V885" i="6"/>
  <c r="W885" i="6"/>
  <c r="H870" i="6"/>
  <c r="I870" i="6"/>
  <c r="J870" i="6"/>
  <c r="K870" i="6"/>
  <c r="L870" i="6"/>
  <c r="M870" i="6"/>
  <c r="O870" i="6"/>
  <c r="P870" i="6"/>
  <c r="Q870" i="6"/>
  <c r="R870" i="6"/>
  <c r="T870" i="6"/>
  <c r="U870" i="6"/>
  <c r="V870" i="6"/>
  <c r="W870" i="6"/>
  <c r="H855" i="6"/>
  <c r="I855" i="6"/>
  <c r="J855" i="6"/>
  <c r="K855" i="6"/>
  <c r="L855" i="6"/>
  <c r="M855" i="6"/>
  <c r="O855" i="6"/>
  <c r="P855" i="6"/>
  <c r="Q855" i="6"/>
  <c r="R855" i="6"/>
  <c r="T855" i="6"/>
  <c r="U855" i="6"/>
  <c r="V855" i="6"/>
  <c r="W855" i="6"/>
  <c r="H844" i="6"/>
  <c r="I844" i="6"/>
  <c r="J844" i="6"/>
  <c r="K844" i="6"/>
  <c r="L844" i="6"/>
  <c r="M844" i="6"/>
  <c r="O844" i="6"/>
  <c r="P844" i="6"/>
  <c r="Q844" i="6"/>
  <c r="R844" i="6"/>
  <c r="T844" i="6"/>
  <c r="U844" i="6"/>
  <c r="V844" i="6"/>
  <c r="W844" i="6"/>
  <c r="H826" i="6"/>
  <c r="I826" i="6"/>
  <c r="J826" i="6"/>
  <c r="K826" i="6"/>
  <c r="L826" i="6"/>
  <c r="M826" i="6"/>
  <c r="O826" i="6"/>
  <c r="P826" i="6"/>
  <c r="Q826" i="6"/>
  <c r="R826" i="6"/>
  <c r="T826" i="6"/>
  <c r="U826" i="6"/>
  <c r="V826" i="6"/>
  <c r="W826" i="6"/>
  <c r="H806" i="6"/>
  <c r="I806" i="6"/>
  <c r="J806" i="6"/>
  <c r="K806" i="6"/>
  <c r="L806" i="6"/>
  <c r="M806" i="6"/>
  <c r="O806" i="6"/>
  <c r="P806" i="6"/>
  <c r="Q806" i="6"/>
  <c r="R806" i="6"/>
  <c r="T806" i="6"/>
  <c r="U806" i="6"/>
  <c r="V806" i="6"/>
  <c r="W806" i="6"/>
  <c r="H789" i="6"/>
  <c r="I789" i="6"/>
  <c r="J789" i="6"/>
  <c r="K789" i="6"/>
  <c r="L789" i="6"/>
  <c r="M789" i="6"/>
  <c r="O789" i="6"/>
  <c r="P789" i="6"/>
  <c r="Q789" i="6"/>
  <c r="R789" i="6"/>
  <c r="T789" i="6"/>
  <c r="U789" i="6"/>
  <c r="V789" i="6"/>
  <c r="W789" i="6"/>
  <c r="H768" i="6"/>
  <c r="I768" i="6"/>
  <c r="J768" i="6"/>
  <c r="K768" i="6"/>
  <c r="L768" i="6"/>
  <c r="M768" i="6"/>
  <c r="O768" i="6"/>
  <c r="P768" i="6"/>
  <c r="Q768" i="6"/>
  <c r="R768" i="6"/>
  <c r="T768" i="6"/>
  <c r="U768" i="6"/>
  <c r="V768" i="6"/>
  <c r="W768" i="6"/>
  <c r="H739" i="6"/>
  <c r="I739" i="6"/>
  <c r="J739" i="6"/>
  <c r="K739" i="6"/>
  <c r="L739" i="6"/>
  <c r="M739" i="6"/>
  <c r="O739" i="6"/>
  <c r="P739" i="6"/>
  <c r="Q739" i="6"/>
  <c r="R739" i="6"/>
  <c r="T739" i="6"/>
  <c r="U739" i="6"/>
  <c r="V739" i="6"/>
  <c r="W739" i="6"/>
  <c r="H711" i="6"/>
  <c r="I711" i="6"/>
  <c r="J711" i="6"/>
  <c r="K711" i="6"/>
  <c r="L711" i="6"/>
  <c r="M711" i="6"/>
  <c r="O711" i="6"/>
  <c r="P711" i="6"/>
  <c r="Q711" i="6"/>
  <c r="R711" i="6"/>
  <c r="T711" i="6"/>
  <c r="U711" i="6"/>
  <c r="V711" i="6"/>
  <c r="W711" i="6"/>
  <c r="H681" i="6"/>
  <c r="I681" i="6"/>
  <c r="J681" i="6"/>
  <c r="K681" i="6"/>
  <c r="L681" i="6"/>
  <c r="M681" i="6"/>
  <c r="O681" i="6"/>
  <c r="P681" i="6"/>
  <c r="Q681" i="6"/>
  <c r="R681" i="6"/>
  <c r="T681" i="6"/>
  <c r="U681" i="6"/>
  <c r="V681" i="6"/>
  <c r="W681" i="6"/>
  <c r="H653" i="6"/>
  <c r="I653" i="6"/>
  <c r="J653" i="6"/>
  <c r="K653" i="6"/>
  <c r="L653" i="6"/>
  <c r="M653" i="6"/>
  <c r="O653" i="6"/>
  <c r="P653" i="6"/>
  <c r="Q653" i="6"/>
  <c r="R653" i="6"/>
  <c r="T653" i="6"/>
  <c r="U653" i="6"/>
  <c r="V653" i="6"/>
  <c r="W653" i="6"/>
  <c r="H624" i="6"/>
  <c r="I624" i="6"/>
  <c r="J624" i="6"/>
  <c r="K624" i="6"/>
  <c r="L624" i="6"/>
  <c r="M624" i="6"/>
  <c r="O624" i="6"/>
  <c r="P624" i="6"/>
  <c r="Q624" i="6"/>
  <c r="R624" i="6"/>
  <c r="T624" i="6"/>
  <c r="U624" i="6"/>
  <c r="V624" i="6"/>
  <c r="W624" i="6"/>
  <c r="H581" i="6"/>
  <c r="I581" i="6"/>
  <c r="J581" i="6"/>
  <c r="K581" i="6"/>
  <c r="L581" i="6"/>
  <c r="M581" i="6"/>
  <c r="O581" i="6"/>
  <c r="P581" i="6"/>
  <c r="Q581" i="6"/>
  <c r="R581" i="6"/>
  <c r="T581" i="6"/>
  <c r="U581" i="6"/>
  <c r="V581" i="6"/>
  <c r="W581" i="6"/>
  <c r="H548" i="6"/>
  <c r="I548" i="6"/>
  <c r="J548" i="6"/>
  <c r="K548" i="6"/>
  <c r="L548" i="6"/>
  <c r="M548" i="6"/>
  <c r="O548" i="6"/>
  <c r="P548" i="6"/>
  <c r="Q548" i="6"/>
  <c r="R548" i="6"/>
  <c r="T548" i="6"/>
  <c r="U548" i="6"/>
  <c r="V548" i="6"/>
  <c r="W548" i="6"/>
  <c r="H517" i="6"/>
  <c r="I517" i="6"/>
  <c r="J517" i="6"/>
  <c r="K517" i="6"/>
  <c r="L517" i="6"/>
  <c r="M517" i="6"/>
  <c r="O517" i="6"/>
  <c r="P517" i="6"/>
  <c r="Q517" i="6"/>
  <c r="R517" i="6"/>
  <c r="T517" i="6"/>
  <c r="U517" i="6"/>
  <c r="V517" i="6"/>
  <c r="W517" i="6"/>
  <c r="H470" i="6"/>
  <c r="I470" i="6"/>
  <c r="J470" i="6"/>
  <c r="K470" i="6"/>
  <c r="L470" i="6"/>
  <c r="M470" i="6"/>
  <c r="O470" i="6"/>
  <c r="P470" i="6"/>
  <c r="Q470" i="6"/>
  <c r="R470" i="6"/>
  <c r="T470" i="6"/>
  <c r="U470" i="6"/>
  <c r="V470" i="6"/>
  <c r="W470" i="6"/>
  <c r="H415" i="6"/>
  <c r="I415" i="6"/>
  <c r="J415" i="6"/>
  <c r="K415" i="6"/>
  <c r="L415" i="6"/>
  <c r="M415" i="6"/>
  <c r="O415" i="6"/>
  <c r="P415" i="6"/>
  <c r="Q415" i="6"/>
  <c r="R415" i="6"/>
  <c r="T415" i="6"/>
  <c r="U415" i="6"/>
  <c r="V415" i="6"/>
  <c r="W415" i="6"/>
  <c r="H383" i="6"/>
  <c r="I383" i="6"/>
  <c r="J383" i="6"/>
  <c r="K383" i="6"/>
  <c r="L383" i="6"/>
  <c r="M383" i="6"/>
  <c r="O383" i="6"/>
  <c r="P383" i="6"/>
  <c r="Q383" i="6"/>
  <c r="R383" i="6"/>
  <c r="T383" i="6"/>
  <c r="U383" i="6"/>
  <c r="V383" i="6"/>
  <c r="W383" i="6"/>
  <c r="H336" i="6"/>
  <c r="I336" i="6"/>
  <c r="J336" i="6"/>
  <c r="K336" i="6"/>
  <c r="L336" i="6"/>
  <c r="M336" i="6"/>
  <c r="O336" i="6"/>
  <c r="P336" i="6"/>
  <c r="Q336" i="6"/>
  <c r="R336" i="6"/>
  <c r="T336" i="6"/>
  <c r="U336" i="6"/>
  <c r="V336" i="6"/>
  <c r="W336" i="6"/>
  <c r="H275" i="6"/>
  <c r="I275" i="6"/>
  <c r="J275" i="6"/>
  <c r="K275" i="6"/>
  <c r="L275" i="6"/>
  <c r="M275" i="6"/>
  <c r="O275" i="6"/>
  <c r="P275" i="6"/>
  <c r="Q275" i="6"/>
  <c r="R275" i="6"/>
  <c r="T275" i="6"/>
  <c r="U275" i="6"/>
  <c r="V275" i="6"/>
  <c r="W275" i="6"/>
  <c r="H193" i="6"/>
  <c r="I193" i="6"/>
  <c r="J193" i="6"/>
  <c r="K193" i="6"/>
  <c r="L193" i="6"/>
  <c r="M193" i="6"/>
  <c r="O193" i="6"/>
  <c r="P193" i="6"/>
  <c r="Q193" i="6"/>
  <c r="R193" i="6"/>
  <c r="T193" i="6"/>
  <c r="U193" i="6"/>
  <c r="V193" i="6"/>
  <c r="W193" i="6"/>
  <c r="H879" i="6"/>
  <c r="I879" i="6"/>
  <c r="J879" i="6"/>
  <c r="K879" i="6"/>
  <c r="L879" i="6"/>
  <c r="M879" i="6"/>
  <c r="O879" i="6"/>
  <c r="P879" i="6"/>
  <c r="Q879" i="6"/>
  <c r="R879" i="6"/>
  <c r="T879" i="6"/>
  <c r="U879" i="6"/>
  <c r="V879" i="6"/>
  <c r="W879" i="6"/>
  <c r="H880" i="6"/>
  <c r="I880" i="6"/>
  <c r="J880" i="6"/>
  <c r="K880" i="6"/>
  <c r="L880" i="6"/>
  <c r="M880" i="6"/>
  <c r="O880" i="6"/>
  <c r="P880" i="6"/>
  <c r="Q880" i="6"/>
  <c r="R880" i="6"/>
  <c r="T880" i="6"/>
  <c r="U880" i="6"/>
  <c r="V880" i="6"/>
  <c r="W880" i="6"/>
  <c r="H198" i="6"/>
  <c r="I198" i="6"/>
  <c r="J198" i="6"/>
  <c r="K198" i="6"/>
  <c r="L198" i="6"/>
  <c r="M198" i="6"/>
  <c r="O198" i="6"/>
  <c r="P198" i="6"/>
  <c r="Q198" i="6"/>
  <c r="R198" i="6"/>
  <c r="T198" i="6"/>
  <c r="U198" i="6"/>
  <c r="V198" i="6"/>
  <c r="W198" i="6"/>
  <c r="H197" i="6"/>
  <c r="I197" i="6"/>
  <c r="J197" i="6"/>
  <c r="K197" i="6"/>
  <c r="L197" i="6"/>
  <c r="M197" i="6"/>
  <c r="O197" i="6"/>
  <c r="P197" i="6"/>
  <c r="Q197" i="6"/>
  <c r="R197" i="6"/>
  <c r="T197" i="6"/>
  <c r="U197" i="6"/>
  <c r="V197" i="6"/>
  <c r="W197" i="6"/>
  <c r="H361" i="6"/>
  <c r="I361" i="6"/>
  <c r="J361" i="6"/>
  <c r="K361" i="6"/>
  <c r="L361" i="6"/>
  <c r="M361" i="6"/>
  <c r="O361" i="6"/>
  <c r="P361" i="6"/>
  <c r="Q361" i="6"/>
  <c r="R361" i="6"/>
  <c r="T361" i="6"/>
  <c r="U361" i="6"/>
  <c r="V361" i="6"/>
  <c r="W361" i="6"/>
  <c r="H362" i="6"/>
  <c r="I362" i="6"/>
  <c r="J362" i="6"/>
  <c r="K362" i="6"/>
  <c r="L362" i="6"/>
  <c r="M362" i="6"/>
  <c r="O362" i="6"/>
  <c r="P362" i="6"/>
  <c r="Q362" i="6"/>
  <c r="R362" i="6"/>
  <c r="T362" i="6"/>
  <c r="U362" i="6"/>
  <c r="V362" i="6"/>
  <c r="W362" i="6"/>
  <c r="H360" i="6"/>
  <c r="I360" i="6"/>
  <c r="J360" i="6"/>
  <c r="K360" i="6"/>
  <c r="L360" i="6"/>
  <c r="M360" i="6"/>
  <c r="O360" i="6"/>
  <c r="P360" i="6"/>
  <c r="Q360" i="6"/>
  <c r="R360" i="6"/>
  <c r="T360" i="6"/>
  <c r="U360" i="6"/>
  <c r="V360" i="6"/>
  <c r="W360" i="6"/>
  <c r="H294" i="6"/>
  <c r="I294" i="6"/>
  <c r="J294" i="6"/>
  <c r="K294" i="6"/>
  <c r="L294" i="6"/>
  <c r="M294" i="6"/>
  <c r="O294" i="6"/>
  <c r="P294" i="6"/>
  <c r="Q294" i="6"/>
  <c r="R294" i="6"/>
  <c r="T294" i="6"/>
  <c r="U294" i="6"/>
  <c r="V294" i="6"/>
  <c r="W294" i="6"/>
  <c r="H823" i="6"/>
  <c r="I823" i="6"/>
  <c r="J823" i="6"/>
  <c r="K823" i="6"/>
  <c r="L823" i="6"/>
  <c r="M823" i="6"/>
  <c r="O823" i="6"/>
  <c r="P823" i="6"/>
  <c r="Q823" i="6"/>
  <c r="R823" i="6"/>
  <c r="T823" i="6"/>
  <c r="U823" i="6"/>
  <c r="V823" i="6"/>
  <c r="W823" i="6"/>
  <c r="H841" i="6"/>
  <c r="I841" i="6"/>
  <c r="J841" i="6"/>
  <c r="K841" i="6"/>
  <c r="L841" i="6"/>
  <c r="M841" i="6"/>
  <c r="O841" i="6"/>
  <c r="P841" i="6"/>
  <c r="Q841" i="6"/>
  <c r="R841" i="6"/>
  <c r="T841" i="6"/>
  <c r="U841" i="6"/>
  <c r="V841" i="6"/>
  <c r="W841" i="6"/>
  <c r="H914" i="6"/>
  <c r="I914" i="6"/>
  <c r="J914" i="6"/>
  <c r="K914" i="6"/>
  <c r="L914" i="6"/>
  <c r="M914" i="6"/>
  <c r="O914" i="6"/>
  <c r="P914" i="6"/>
  <c r="Q914" i="6"/>
  <c r="R914" i="6"/>
  <c r="T914" i="6"/>
  <c r="U914" i="6"/>
  <c r="V914" i="6"/>
  <c r="W914" i="6"/>
  <c r="H133" i="6"/>
  <c r="I133" i="6"/>
  <c r="J133" i="6"/>
  <c r="K133" i="6"/>
  <c r="L133" i="6"/>
  <c r="M133" i="6"/>
  <c r="O133" i="6"/>
  <c r="P133" i="6"/>
  <c r="Q133" i="6"/>
  <c r="R133" i="6"/>
  <c r="T133" i="6"/>
  <c r="U133" i="6"/>
  <c r="V133" i="6"/>
  <c r="W133" i="6"/>
  <c r="H134" i="6"/>
  <c r="I134" i="6"/>
  <c r="J134" i="6"/>
  <c r="K134" i="6"/>
  <c r="L134" i="6"/>
  <c r="M134" i="6"/>
  <c r="O134" i="6"/>
  <c r="P134" i="6"/>
  <c r="Q134" i="6"/>
  <c r="R134" i="6"/>
  <c r="T134" i="6"/>
  <c r="U134" i="6"/>
  <c r="V134" i="6"/>
  <c r="W134" i="6"/>
  <c r="H528" i="6"/>
  <c r="I528" i="6"/>
  <c r="J528" i="6"/>
  <c r="K528" i="6"/>
  <c r="L528" i="6"/>
  <c r="M528" i="6"/>
  <c r="O528" i="6"/>
  <c r="P528" i="6"/>
  <c r="Q528" i="6"/>
  <c r="R528" i="6"/>
  <c r="T528" i="6"/>
  <c r="U528" i="6"/>
  <c r="V528" i="6"/>
  <c r="W528" i="6"/>
  <c r="H527" i="6"/>
  <c r="I527" i="6"/>
  <c r="J527" i="6"/>
  <c r="K527" i="6"/>
  <c r="L527" i="6"/>
  <c r="M527" i="6"/>
  <c r="O527" i="6"/>
  <c r="P527" i="6"/>
  <c r="Q527" i="6"/>
  <c r="R527" i="6"/>
  <c r="T527" i="6"/>
  <c r="U527" i="6"/>
  <c r="V527" i="6"/>
  <c r="W527" i="6"/>
  <c r="H529" i="6"/>
  <c r="I529" i="6"/>
  <c r="J529" i="6"/>
  <c r="K529" i="6"/>
  <c r="L529" i="6"/>
  <c r="M529" i="6"/>
  <c r="O529" i="6"/>
  <c r="P529" i="6"/>
  <c r="Q529" i="6"/>
  <c r="R529" i="6"/>
  <c r="T529" i="6"/>
  <c r="U529" i="6"/>
  <c r="V529" i="6"/>
  <c r="W529" i="6"/>
  <c r="H341" i="6"/>
  <c r="I341" i="6"/>
  <c r="J341" i="6"/>
  <c r="K341" i="6"/>
  <c r="L341" i="6"/>
  <c r="M341" i="6"/>
  <c r="O341" i="6"/>
  <c r="P341" i="6"/>
  <c r="Q341" i="6"/>
  <c r="R341" i="6"/>
  <c r="T341" i="6"/>
  <c r="U341" i="6"/>
  <c r="V341" i="6"/>
  <c r="W341" i="6"/>
  <c r="H530" i="6"/>
  <c r="I530" i="6"/>
  <c r="J530" i="6"/>
  <c r="K530" i="6"/>
  <c r="L530" i="6"/>
  <c r="M530" i="6"/>
  <c r="O530" i="6"/>
  <c r="P530" i="6"/>
  <c r="Q530" i="6"/>
  <c r="R530" i="6"/>
  <c r="T530" i="6"/>
  <c r="U530" i="6"/>
  <c r="V530" i="6"/>
  <c r="W530" i="6"/>
  <c r="H334" i="6"/>
  <c r="I334" i="6"/>
  <c r="J334" i="6"/>
  <c r="K334" i="6"/>
  <c r="L334" i="6"/>
  <c r="M334" i="6"/>
  <c r="O334" i="6"/>
  <c r="P334" i="6"/>
  <c r="Q334" i="6"/>
  <c r="R334" i="6"/>
  <c r="T334" i="6"/>
  <c r="U334" i="6"/>
  <c r="V334" i="6"/>
  <c r="W334" i="6"/>
  <c r="H332" i="6"/>
  <c r="I332" i="6"/>
  <c r="J332" i="6"/>
  <c r="K332" i="6"/>
  <c r="L332" i="6"/>
  <c r="M332" i="6"/>
  <c r="O332" i="6"/>
  <c r="P332" i="6"/>
  <c r="Q332" i="6"/>
  <c r="R332" i="6"/>
  <c r="T332" i="6"/>
  <c r="U332" i="6"/>
  <c r="V332" i="6"/>
  <c r="W332" i="6"/>
  <c r="H333" i="6"/>
  <c r="I333" i="6"/>
  <c r="J333" i="6"/>
  <c r="K333" i="6"/>
  <c r="L333" i="6"/>
  <c r="M333" i="6"/>
  <c r="O333" i="6"/>
  <c r="P333" i="6"/>
  <c r="Q333" i="6"/>
  <c r="R333" i="6"/>
  <c r="T333" i="6"/>
  <c r="U333" i="6"/>
  <c r="V333" i="6"/>
  <c r="W333" i="6"/>
  <c r="H1015" i="6"/>
  <c r="I1015" i="6"/>
  <c r="J1015" i="6"/>
  <c r="K1015" i="6"/>
  <c r="L1015" i="6"/>
  <c r="M1015" i="6"/>
  <c r="O1015" i="6"/>
  <c r="P1015" i="6"/>
  <c r="Q1015" i="6"/>
  <c r="R1015" i="6"/>
  <c r="T1015" i="6"/>
  <c r="U1015" i="6"/>
  <c r="V1015" i="6"/>
  <c r="W1015" i="6"/>
  <c r="H330" i="6"/>
  <c r="I330" i="6"/>
  <c r="J330" i="6"/>
  <c r="K330" i="6"/>
  <c r="L330" i="6"/>
  <c r="M330" i="6"/>
  <c r="O330" i="6"/>
  <c r="P330" i="6"/>
  <c r="Q330" i="6"/>
  <c r="R330" i="6"/>
  <c r="T330" i="6"/>
  <c r="U330" i="6"/>
  <c r="V330" i="6"/>
  <c r="W330" i="6"/>
  <c r="H328" i="6"/>
  <c r="I328" i="6"/>
  <c r="J328" i="6"/>
  <c r="K328" i="6"/>
  <c r="L328" i="6"/>
  <c r="M328" i="6"/>
  <c r="O328" i="6"/>
  <c r="P328" i="6"/>
  <c r="Q328" i="6"/>
  <c r="R328" i="6"/>
  <c r="T328" i="6"/>
  <c r="U328" i="6"/>
  <c r="V328" i="6"/>
  <c r="W328" i="6"/>
  <c r="H331" i="6"/>
  <c r="I331" i="6"/>
  <c r="J331" i="6"/>
  <c r="K331" i="6"/>
  <c r="L331" i="6"/>
  <c r="M331" i="6"/>
  <c r="O331" i="6"/>
  <c r="P331" i="6"/>
  <c r="Q331" i="6"/>
  <c r="R331" i="6"/>
  <c r="T331" i="6"/>
  <c r="U331" i="6"/>
  <c r="V331" i="6"/>
  <c r="W331" i="6"/>
  <c r="H329" i="6"/>
  <c r="I329" i="6"/>
  <c r="J329" i="6"/>
  <c r="K329" i="6"/>
  <c r="L329" i="6"/>
  <c r="M329" i="6"/>
  <c r="O329" i="6"/>
  <c r="P329" i="6"/>
  <c r="Q329" i="6"/>
  <c r="R329" i="6"/>
  <c r="T329" i="6"/>
  <c r="U329" i="6"/>
  <c r="V329" i="6"/>
  <c r="W329" i="6"/>
  <c r="H267" i="6"/>
  <c r="I267" i="6"/>
  <c r="J267" i="6"/>
  <c r="K267" i="6"/>
  <c r="L267" i="6"/>
  <c r="M267" i="6"/>
  <c r="O267" i="6"/>
  <c r="P267" i="6"/>
  <c r="Q267" i="6"/>
  <c r="R267" i="6"/>
  <c r="T267" i="6"/>
  <c r="U267" i="6"/>
  <c r="V267" i="6"/>
  <c r="W267" i="6"/>
  <c r="H1019" i="6"/>
  <c r="I1019" i="6"/>
  <c r="J1019" i="6"/>
  <c r="K1019" i="6"/>
  <c r="L1019" i="6"/>
  <c r="M1019" i="6"/>
  <c r="O1019" i="6"/>
  <c r="P1019" i="6"/>
  <c r="Q1019" i="6"/>
  <c r="R1019" i="6"/>
  <c r="T1019" i="6"/>
  <c r="U1019" i="6"/>
  <c r="V1019" i="6"/>
  <c r="W1019" i="6"/>
  <c r="H264" i="6"/>
  <c r="I264" i="6"/>
  <c r="J264" i="6"/>
  <c r="K264" i="6"/>
  <c r="L264" i="6"/>
  <c r="M264" i="6"/>
  <c r="O264" i="6"/>
  <c r="P264" i="6"/>
  <c r="Q264" i="6"/>
  <c r="R264" i="6"/>
  <c r="T264" i="6"/>
  <c r="U264" i="6"/>
  <c r="V264" i="6"/>
  <c r="W264" i="6"/>
  <c r="H268" i="6"/>
  <c r="I268" i="6"/>
  <c r="J268" i="6"/>
  <c r="K268" i="6"/>
  <c r="L268" i="6"/>
  <c r="M268" i="6"/>
  <c r="O268" i="6"/>
  <c r="P268" i="6"/>
  <c r="Q268" i="6"/>
  <c r="R268" i="6"/>
  <c r="T268" i="6"/>
  <c r="U268" i="6"/>
  <c r="V268" i="6"/>
  <c r="W268" i="6"/>
  <c r="H265" i="6"/>
  <c r="I265" i="6"/>
  <c r="J265" i="6"/>
  <c r="K265" i="6"/>
  <c r="L265" i="6"/>
  <c r="M265" i="6"/>
  <c r="O265" i="6"/>
  <c r="P265" i="6"/>
  <c r="Q265" i="6"/>
  <c r="R265" i="6"/>
  <c r="T265" i="6"/>
  <c r="U265" i="6"/>
  <c r="V265" i="6"/>
  <c r="W265" i="6"/>
  <c r="H593" i="6"/>
  <c r="I593" i="6"/>
  <c r="J593" i="6"/>
  <c r="K593" i="6"/>
  <c r="L593" i="6"/>
  <c r="M593" i="6"/>
  <c r="O593" i="6"/>
  <c r="P593" i="6"/>
  <c r="Q593" i="6"/>
  <c r="R593" i="6"/>
  <c r="T593" i="6"/>
  <c r="U593" i="6"/>
  <c r="V593" i="6"/>
  <c r="W593" i="6"/>
  <c r="H594" i="6"/>
  <c r="I594" i="6"/>
  <c r="J594" i="6"/>
  <c r="K594" i="6"/>
  <c r="L594" i="6"/>
  <c r="M594" i="6"/>
  <c r="O594" i="6"/>
  <c r="P594" i="6"/>
  <c r="Q594" i="6"/>
  <c r="R594" i="6"/>
  <c r="T594" i="6"/>
  <c r="U594" i="6"/>
  <c r="V594" i="6"/>
  <c r="W594" i="6"/>
  <c r="H595" i="6"/>
  <c r="I595" i="6"/>
  <c r="J595" i="6"/>
  <c r="K595" i="6"/>
  <c r="L595" i="6"/>
  <c r="M595" i="6"/>
  <c r="O595" i="6"/>
  <c r="P595" i="6"/>
  <c r="Q595" i="6"/>
  <c r="R595" i="6"/>
  <c r="T595" i="6"/>
  <c r="U595" i="6"/>
  <c r="V595" i="6"/>
  <c r="W595" i="6"/>
  <c r="H680" i="6"/>
  <c r="I680" i="6"/>
  <c r="J680" i="6"/>
  <c r="K680" i="6"/>
  <c r="L680" i="6"/>
  <c r="M680" i="6"/>
  <c r="O680" i="6"/>
  <c r="P680" i="6"/>
  <c r="Q680" i="6"/>
  <c r="R680" i="6"/>
  <c r="T680" i="6"/>
  <c r="U680" i="6"/>
  <c r="V680" i="6"/>
  <c r="W680" i="6"/>
  <c r="H652" i="6"/>
  <c r="I652" i="6"/>
  <c r="J652" i="6"/>
  <c r="K652" i="6"/>
  <c r="L652" i="6"/>
  <c r="M652" i="6"/>
  <c r="O652" i="6"/>
  <c r="P652" i="6"/>
  <c r="Q652" i="6"/>
  <c r="R652" i="6"/>
  <c r="T652" i="6"/>
  <c r="U652" i="6"/>
  <c r="V652" i="6"/>
  <c r="W652" i="6"/>
  <c r="H623" i="6"/>
  <c r="I623" i="6"/>
  <c r="J623" i="6"/>
  <c r="K623" i="6"/>
  <c r="L623" i="6"/>
  <c r="M623" i="6"/>
  <c r="O623" i="6"/>
  <c r="P623" i="6"/>
  <c r="Q623" i="6"/>
  <c r="R623" i="6"/>
  <c r="T623" i="6"/>
  <c r="U623" i="6"/>
  <c r="V623" i="6"/>
  <c r="W623" i="6"/>
  <c r="H579" i="6"/>
  <c r="I579" i="6"/>
  <c r="J579" i="6"/>
  <c r="K579" i="6"/>
  <c r="L579" i="6"/>
  <c r="M579" i="6"/>
  <c r="O579" i="6"/>
  <c r="P579" i="6"/>
  <c r="Q579" i="6"/>
  <c r="R579" i="6"/>
  <c r="T579" i="6"/>
  <c r="U579" i="6"/>
  <c r="V579" i="6"/>
  <c r="W579" i="6"/>
  <c r="H547" i="6"/>
  <c r="I547" i="6"/>
  <c r="J547" i="6"/>
  <c r="K547" i="6"/>
  <c r="L547" i="6"/>
  <c r="M547" i="6"/>
  <c r="O547" i="6"/>
  <c r="P547" i="6"/>
  <c r="Q547" i="6"/>
  <c r="R547" i="6"/>
  <c r="T547" i="6"/>
  <c r="U547" i="6"/>
  <c r="V547" i="6"/>
  <c r="W547" i="6"/>
  <c r="H515" i="6"/>
  <c r="I515" i="6"/>
  <c r="J515" i="6"/>
  <c r="K515" i="6"/>
  <c r="L515" i="6"/>
  <c r="M515" i="6"/>
  <c r="O515" i="6"/>
  <c r="P515" i="6"/>
  <c r="Q515" i="6"/>
  <c r="R515" i="6"/>
  <c r="T515" i="6"/>
  <c r="U515" i="6"/>
  <c r="V515" i="6"/>
  <c r="W515" i="6"/>
  <c r="H710" i="6"/>
  <c r="I710" i="6"/>
  <c r="J710" i="6"/>
  <c r="K710" i="6"/>
  <c r="L710" i="6"/>
  <c r="M710" i="6"/>
  <c r="O710" i="6"/>
  <c r="P710" i="6"/>
  <c r="Q710" i="6"/>
  <c r="R710" i="6"/>
  <c r="T710" i="6"/>
  <c r="U710" i="6"/>
  <c r="V710" i="6"/>
  <c r="W710" i="6"/>
  <c r="H507" i="6"/>
  <c r="I507" i="6"/>
  <c r="J507" i="6"/>
  <c r="K507" i="6"/>
  <c r="L507" i="6"/>
  <c r="M507" i="6"/>
  <c r="O507" i="6"/>
  <c r="P507" i="6"/>
  <c r="Q507" i="6"/>
  <c r="R507" i="6"/>
  <c r="T507" i="6"/>
  <c r="U507" i="6"/>
  <c r="V507" i="6"/>
  <c r="W507" i="6"/>
  <c r="H550" i="6"/>
  <c r="I550" i="6"/>
  <c r="J550" i="6"/>
  <c r="K550" i="6"/>
  <c r="L550" i="6"/>
  <c r="M550" i="6"/>
  <c r="O550" i="6"/>
  <c r="P550" i="6"/>
  <c r="Q550" i="6"/>
  <c r="R550" i="6"/>
  <c r="T550" i="6"/>
  <c r="U550" i="6"/>
  <c r="V550" i="6"/>
  <c r="W550" i="6"/>
  <c r="H981" i="6"/>
  <c r="I981" i="6"/>
  <c r="J981" i="6"/>
  <c r="K981" i="6"/>
  <c r="L981" i="6"/>
  <c r="M981" i="6"/>
  <c r="O981" i="6"/>
  <c r="P981" i="6"/>
  <c r="Q981" i="6"/>
  <c r="R981" i="6"/>
  <c r="T981" i="6"/>
  <c r="U981" i="6"/>
  <c r="V981" i="6"/>
  <c r="W981" i="6"/>
  <c r="H865" i="6"/>
  <c r="I865" i="6"/>
  <c r="J865" i="6"/>
  <c r="K865" i="6"/>
  <c r="L865" i="6"/>
  <c r="M865" i="6"/>
  <c r="O865" i="6"/>
  <c r="P865" i="6"/>
  <c r="Q865" i="6"/>
  <c r="R865" i="6"/>
  <c r="T865" i="6"/>
  <c r="U865" i="6"/>
  <c r="V865" i="6"/>
  <c r="W865" i="6"/>
  <c r="H866" i="6"/>
  <c r="I866" i="6"/>
  <c r="J866" i="6"/>
  <c r="K866" i="6"/>
  <c r="L866" i="6"/>
  <c r="M866" i="6"/>
  <c r="O866" i="6"/>
  <c r="P866" i="6"/>
  <c r="Q866" i="6"/>
  <c r="R866" i="6"/>
  <c r="T866" i="6"/>
  <c r="U866" i="6"/>
  <c r="V866" i="6"/>
  <c r="W866" i="6"/>
  <c r="H990" i="6"/>
  <c r="I990" i="6"/>
  <c r="J990" i="6"/>
  <c r="K990" i="6"/>
  <c r="L990" i="6"/>
  <c r="M990" i="6"/>
  <c r="O990" i="6"/>
  <c r="P990" i="6"/>
  <c r="Q990" i="6"/>
  <c r="R990" i="6"/>
  <c r="T990" i="6"/>
  <c r="U990" i="6"/>
  <c r="V990" i="6"/>
  <c r="W990" i="6"/>
  <c r="H989" i="6"/>
  <c r="I989" i="6"/>
  <c r="J989" i="6"/>
  <c r="K989" i="6"/>
  <c r="L989" i="6"/>
  <c r="M989" i="6"/>
  <c r="O989" i="6"/>
  <c r="P989" i="6"/>
  <c r="Q989" i="6"/>
  <c r="R989" i="6"/>
  <c r="T989" i="6"/>
  <c r="U989" i="6"/>
  <c r="V989" i="6"/>
  <c r="W989" i="6"/>
  <c r="H353" i="6"/>
  <c r="I353" i="6"/>
  <c r="J353" i="6"/>
  <c r="K353" i="6"/>
  <c r="L353" i="6"/>
  <c r="M353" i="6"/>
  <c r="O353" i="6"/>
  <c r="P353" i="6"/>
  <c r="Q353" i="6"/>
  <c r="R353" i="6"/>
  <c r="T353" i="6"/>
  <c r="U353" i="6"/>
  <c r="V353" i="6"/>
  <c r="W353" i="6"/>
  <c r="H1008" i="6"/>
  <c r="I1008" i="6"/>
  <c r="J1008" i="6"/>
  <c r="K1008" i="6"/>
  <c r="L1008" i="6"/>
  <c r="M1008" i="6"/>
  <c r="O1008" i="6"/>
  <c r="P1008" i="6"/>
  <c r="Q1008" i="6"/>
  <c r="R1008" i="6"/>
  <c r="T1008" i="6"/>
  <c r="U1008" i="6"/>
  <c r="V1008" i="6"/>
  <c r="W1008" i="6"/>
  <c r="H792" i="6"/>
  <c r="I792" i="6"/>
  <c r="J792" i="6"/>
  <c r="K792" i="6"/>
  <c r="L792" i="6"/>
  <c r="M792" i="6"/>
  <c r="O792" i="6"/>
  <c r="P792" i="6"/>
  <c r="Q792" i="6"/>
  <c r="R792" i="6"/>
  <c r="T792" i="6"/>
  <c r="U792" i="6"/>
  <c r="V792" i="6"/>
  <c r="W792" i="6"/>
  <c r="H793" i="6"/>
  <c r="I793" i="6"/>
  <c r="J793" i="6"/>
  <c r="K793" i="6"/>
  <c r="L793" i="6"/>
  <c r="M793" i="6"/>
  <c r="O793" i="6"/>
  <c r="P793" i="6"/>
  <c r="Q793" i="6"/>
  <c r="R793" i="6"/>
  <c r="T793" i="6"/>
  <c r="U793" i="6"/>
  <c r="V793" i="6"/>
  <c r="W793" i="6"/>
  <c r="H794" i="6"/>
  <c r="I794" i="6"/>
  <c r="J794" i="6"/>
  <c r="K794" i="6"/>
  <c r="L794" i="6"/>
  <c r="M794" i="6"/>
  <c r="O794" i="6"/>
  <c r="P794" i="6"/>
  <c r="Q794" i="6"/>
  <c r="R794" i="6"/>
  <c r="T794" i="6"/>
  <c r="U794" i="6"/>
  <c r="V794" i="6"/>
  <c r="W794" i="6"/>
  <c r="H369" i="6"/>
  <c r="I369" i="6"/>
  <c r="J369" i="6"/>
  <c r="K369" i="6"/>
  <c r="L369" i="6"/>
  <c r="M369" i="6"/>
  <c r="O369" i="6"/>
  <c r="P369" i="6"/>
  <c r="Q369" i="6"/>
  <c r="R369" i="6"/>
  <c r="T369" i="6"/>
  <c r="U369" i="6"/>
  <c r="V369" i="6"/>
  <c r="W369" i="6"/>
  <c r="H307" i="6"/>
  <c r="I307" i="6"/>
  <c r="J307" i="6"/>
  <c r="K307" i="6"/>
  <c r="L307" i="6"/>
  <c r="M307" i="6"/>
  <c r="O307" i="6"/>
  <c r="P307" i="6"/>
  <c r="Q307" i="6"/>
  <c r="R307" i="6"/>
  <c r="T307" i="6"/>
  <c r="U307" i="6"/>
  <c r="V307" i="6"/>
  <c r="W307" i="6"/>
  <c r="H245" i="6"/>
  <c r="I245" i="6"/>
  <c r="J245" i="6"/>
  <c r="K245" i="6"/>
  <c r="L245" i="6"/>
  <c r="M245" i="6"/>
  <c r="O245" i="6"/>
  <c r="P245" i="6"/>
  <c r="Q245" i="6"/>
  <c r="R245" i="6"/>
  <c r="T245" i="6"/>
  <c r="U245" i="6"/>
  <c r="V245" i="6"/>
  <c r="W245" i="6"/>
  <c r="H81" i="6"/>
  <c r="I81" i="6"/>
  <c r="J81" i="6"/>
  <c r="K81" i="6"/>
  <c r="L81" i="6"/>
  <c r="M81" i="6"/>
  <c r="O81" i="6"/>
  <c r="P81" i="6"/>
  <c r="Q81" i="6"/>
  <c r="R81" i="6"/>
  <c r="T81" i="6"/>
  <c r="U81" i="6"/>
  <c r="V81" i="6"/>
  <c r="W81" i="6"/>
  <c r="H53" i="6"/>
  <c r="I53" i="6"/>
  <c r="J53" i="6"/>
  <c r="K53" i="6"/>
  <c r="L53" i="6"/>
  <c r="M53" i="6"/>
  <c r="O53" i="6"/>
  <c r="P53" i="6"/>
  <c r="Q53" i="6"/>
  <c r="R53" i="6"/>
  <c r="T53" i="6"/>
  <c r="U53" i="6"/>
  <c r="V53" i="6"/>
  <c r="W53" i="6"/>
  <c r="H465" i="6"/>
  <c r="I465" i="6"/>
  <c r="J465" i="6"/>
  <c r="K465" i="6"/>
  <c r="L465" i="6"/>
  <c r="M465" i="6"/>
  <c r="O465" i="6"/>
  <c r="P465" i="6"/>
  <c r="Q465" i="6"/>
  <c r="R465" i="6"/>
  <c r="T465" i="6"/>
  <c r="U465" i="6"/>
  <c r="V465" i="6"/>
  <c r="W465" i="6"/>
  <c r="H602" i="6"/>
  <c r="I602" i="6"/>
  <c r="J602" i="6"/>
  <c r="K602" i="6"/>
  <c r="L602" i="6"/>
  <c r="M602" i="6"/>
  <c r="O602" i="6"/>
  <c r="P602" i="6"/>
  <c r="Q602" i="6"/>
  <c r="R602" i="6"/>
  <c r="T602" i="6"/>
  <c r="U602" i="6"/>
  <c r="V602" i="6"/>
  <c r="W602" i="6"/>
  <c r="H448" i="6"/>
  <c r="I448" i="6"/>
  <c r="J448" i="6"/>
  <c r="K448" i="6"/>
  <c r="L448" i="6"/>
  <c r="M448" i="6"/>
  <c r="O448" i="6"/>
  <c r="P448" i="6"/>
  <c r="Q448" i="6"/>
  <c r="R448" i="6"/>
  <c r="T448" i="6"/>
  <c r="U448" i="6"/>
  <c r="V448" i="6"/>
  <c r="W448" i="6"/>
  <c r="H449" i="6"/>
  <c r="I449" i="6"/>
  <c r="J449" i="6"/>
  <c r="K449" i="6"/>
  <c r="L449" i="6"/>
  <c r="M449" i="6"/>
  <c r="O449" i="6"/>
  <c r="P449" i="6"/>
  <c r="Q449" i="6"/>
  <c r="R449" i="6"/>
  <c r="T449" i="6"/>
  <c r="U449" i="6"/>
  <c r="V449" i="6"/>
  <c r="W449" i="6"/>
  <c r="H407" i="6"/>
  <c r="I407" i="6"/>
  <c r="J407" i="6"/>
  <c r="K407" i="6"/>
  <c r="L407" i="6"/>
  <c r="M407" i="6"/>
  <c r="O407" i="6"/>
  <c r="P407" i="6"/>
  <c r="Q407" i="6"/>
  <c r="R407" i="6"/>
  <c r="T407" i="6"/>
  <c r="U407" i="6"/>
  <c r="V407" i="6"/>
  <c r="W407" i="6"/>
  <c r="H139" i="6"/>
  <c r="I139" i="6"/>
  <c r="J139" i="6"/>
  <c r="K139" i="6"/>
  <c r="L139" i="6"/>
  <c r="M139" i="6"/>
  <c r="O139" i="6"/>
  <c r="P139" i="6"/>
  <c r="Q139" i="6"/>
  <c r="R139" i="6"/>
  <c r="T139" i="6"/>
  <c r="U139" i="6"/>
  <c r="V139" i="6"/>
  <c r="W139" i="6"/>
  <c r="H752" i="6"/>
  <c r="I752" i="6"/>
  <c r="J752" i="6"/>
  <c r="K752" i="6"/>
  <c r="L752" i="6"/>
  <c r="M752" i="6"/>
  <c r="O752" i="6"/>
  <c r="P752" i="6"/>
  <c r="Q752" i="6"/>
  <c r="R752" i="6"/>
  <c r="T752" i="6"/>
  <c r="U752" i="6"/>
  <c r="V752" i="6"/>
  <c r="W752" i="6"/>
  <c r="H753" i="6"/>
  <c r="I753" i="6"/>
  <c r="J753" i="6"/>
  <c r="K753" i="6"/>
  <c r="L753" i="6"/>
  <c r="M753" i="6"/>
  <c r="O753" i="6"/>
  <c r="P753" i="6"/>
  <c r="Q753" i="6"/>
  <c r="R753" i="6"/>
  <c r="T753" i="6"/>
  <c r="U753" i="6"/>
  <c r="V753" i="6"/>
  <c r="W753" i="6"/>
  <c r="H754" i="6"/>
  <c r="I754" i="6"/>
  <c r="J754" i="6"/>
  <c r="K754" i="6"/>
  <c r="L754" i="6"/>
  <c r="M754" i="6"/>
  <c r="O754" i="6"/>
  <c r="P754" i="6"/>
  <c r="Q754" i="6"/>
  <c r="R754" i="6"/>
  <c r="T754" i="6"/>
  <c r="U754" i="6"/>
  <c r="V754" i="6"/>
  <c r="W754" i="6"/>
  <c r="H722" i="6"/>
  <c r="I722" i="6"/>
  <c r="J722" i="6"/>
  <c r="K722" i="6"/>
  <c r="L722" i="6"/>
  <c r="M722" i="6"/>
  <c r="O722" i="6"/>
  <c r="P722" i="6"/>
  <c r="Q722" i="6"/>
  <c r="R722" i="6"/>
  <c r="T722" i="6"/>
  <c r="U722" i="6"/>
  <c r="V722" i="6"/>
  <c r="W722" i="6"/>
  <c r="H723" i="6"/>
  <c r="I723" i="6"/>
  <c r="J723" i="6"/>
  <c r="K723" i="6"/>
  <c r="L723" i="6"/>
  <c r="M723" i="6"/>
  <c r="O723" i="6"/>
  <c r="P723" i="6"/>
  <c r="Q723" i="6"/>
  <c r="R723" i="6"/>
  <c r="T723" i="6"/>
  <c r="U723" i="6"/>
  <c r="V723" i="6"/>
  <c r="W723" i="6"/>
  <c r="H724" i="6"/>
  <c r="I724" i="6"/>
  <c r="J724" i="6"/>
  <c r="K724" i="6"/>
  <c r="L724" i="6"/>
  <c r="M724" i="6"/>
  <c r="O724" i="6"/>
  <c r="P724" i="6"/>
  <c r="Q724" i="6"/>
  <c r="R724" i="6"/>
  <c r="T724" i="6"/>
  <c r="U724" i="6"/>
  <c r="V724" i="6"/>
  <c r="W724" i="6"/>
  <c r="H690" i="6"/>
  <c r="I690" i="6"/>
  <c r="J690" i="6"/>
  <c r="K690" i="6"/>
  <c r="L690" i="6"/>
  <c r="M690" i="6"/>
  <c r="O690" i="6"/>
  <c r="P690" i="6"/>
  <c r="Q690" i="6"/>
  <c r="R690" i="6"/>
  <c r="T690" i="6"/>
  <c r="U690" i="6"/>
  <c r="V690" i="6"/>
  <c r="W690" i="6"/>
  <c r="H691" i="6"/>
  <c r="I691" i="6"/>
  <c r="J691" i="6"/>
  <c r="K691" i="6"/>
  <c r="L691" i="6"/>
  <c r="M691" i="6"/>
  <c r="O691" i="6"/>
  <c r="P691" i="6"/>
  <c r="Q691" i="6"/>
  <c r="R691" i="6"/>
  <c r="T691" i="6"/>
  <c r="U691" i="6"/>
  <c r="V691" i="6"/>
  <c r="W691" i="6"/>
  <c r="H692" i="6"/>
  <c r="I692" i="6"/>
  <c r="J692" i="6"/>
  <c r="K692" i="6"/>
  <c r="L692" i="6"/>
  <c r="M692" i="6"/>
  <c r="O692" i="6"/>
  <c r="P692" i="6"/>
  <c r="Q692" i="6"/>
  <c r="R692" i="6"/>
  <c r="T692" i="6"/>
  <c r="U692" i="6"/>
  <c r="V692" i="6"/>
  <c r="W692" i="6"/>
  <c r="H663" i="6"/>
  <c r="I663" i="6"/>
  <c r="J663" i="6"/>
  <c r="K663" i="6"/>
  <c r="L663" i="6"/>
  <c r="M663" i="6"/>
  <c r="O663" i="6"/>
  <c r="P663" i="6"/>
  <c r="Q663" i="6"/>
  <c r="R663" i="6"/>
  <c r="T663" i="6"/>
  <c r="U663" i="6"/>
  <c r="V663" i="6"/>
  <c r="W663" i="6"/>
  <c r="H664" i="6"/>
  <c r="I664" i="6"/>
  <c r="J664" i="6"/>
  <c r="K664" i="6"/>
  <c r="L664" i="6"/>
  <c r="M664" i="6"/>
  <c r="O664" i="6"/>
  <c r="P664" i="6"/>
  <c r="Q664" i="6"/>
  <c r="R664" i="6"/>
  <c r="T664" i="6"/>
  <c r="U664" i="6"/>
  <c r="V664" i="6"/>
  <c r="W664" i="6"/>
  <c r="H665" i="6"/>
  <c r="I665" i="6"/>
  <c r="J665" i="6"/>
  <c r="K665" i="6"/>
  <c r="L665" i="6"/>
  <c r="M665" i="6"/>
  <c r="O665" i="6"/>
  <c r="P665" i="6"/>
  <c r="Q665" i="6"/>
  <c r="R665" i="6"/>
  <c r="T665" i="6"/>
  <c r="U665" i="6"/>
  <c r="V665" i="6"/>
  <c r="W665" i="6"/>
  <c r="H636" i="6"/>
  <c r="I636" i="6"/>
  <c r="J636" i="6"/>
  <c r="K636" i="6"/>
  <c r="L636" i="6"/>
  <c r="M636" i="6"/>
  <c r="O636" i="6"/>
  <c r="P636" i="6"/>
  <c r="Q636" i="6"/>
  <c r="R636" i="6"/>
  <c r="T636" i="6"/>
  <c r="U636" i="6"/>
  <c r="V636" i="6"/>
  <c r="W636" i="6"/>
  <c r="H637" i="6"/>
  <c r="I637" i="6"/>
  <c r="J637" i="6"/>
  <c r="K637" i="6"/>
  <c r="L637" i="6"/>
  <c r="M637" i="6"/>
  <c r="O637" i="6"/>
  <c r="P637" i="6"/>
  <c r="Q637" i="6"/>
  <c r="R637" i="6"/>
  <c r="T637" i="6"/>
  <c r="U637" i="6"/>
  <c r="V637" i="6"/>
  <c r="W637" i="6"/>
  <c r="H638" i="6"/>
  <c r="I638" i="6"/>
  <c r="J638" i="6"/>
  <c r="K638" i="6"/>
  <c r="L638" i="6"/>
  <c r="M638" i="6"/>
  <c r="O638" i="6"/>
  <c r="P638" i="6"/>
  <c r="Q638" i="6"/>
  <c r="R638" i="6"/>
  <c r="T638" i="6"/>
  <c r="U638" i="6"/>
  <c r="V638" i="6"/>
  <c r="W638" i="6"/>
  <c r="H601" i="6"/>
  <c r="I601" i="6"/>
  <c r="J601" i="6"/>
  <c r="K601" i="6"/>
  <c r="L601" i="6"/>
  <c r="M601" i="6"/>
  <c r="O601" i="6"/>
  <c r="P601" i="6"/>
  <c r="Q601" i="6"/>
  <c r="R601" i="6"/>
  <c r="T601" i="6"/>
  <c r="U601" i="6"/>
  <c r="V601" i="6"/>
  <c r="W601" i="6"/>
  <c r="H598" i="6"/>
  <c r="I598" i="6"/>
  <c r="J598" i="6"/>
  <c r="K598" i="6"/>
  <c r="L598" i="6"/>
  <c r="M598" i="6"/>
  <c r="O598" i="6"/>
  <c r="P598" i="6"/>
  <c r="Q598" i="6"/>
  <c r="R598" i="6"/>
  <c r="T598" i="6"/>
  <c r="U598" i="6"/>
  <c r="V598" i="6"/>
  <c r="W598" i="6"/>
  <c r="H599" i="6"/>
  <c r="I599" i="6"/>
  <c r="J599" i="6"/>
  <c r="K599" i="6"/>
  <c r="L599" i="6"/>
  <c r="M599" i="6"/>
  <c r="O599" i="6"/>
  <c r="P599" i="6"/>
  <c r="Q599" i="6"/>
  <c r="R599" i="6"/>
  <c r="T599" i="6"/>
  <c r="U599" i="6"/>
  <c r="V599" i="6"/>
  <c r="W599" i="6"/>
  <c r="H600" i="6"/>
  <c r="I600" i="6"/>
  <c r="J600" i="6"/>
  <c r="K600" i="6"/>
  <c r="L600" i="6"/>
  <c r="M600" i="6"/>
  <c r="O600" i="6"/>
  <c r="P600" i="6"/>
  <c r="Q600" i="6"/>
  <c r="R600" i="6"/>
  <c r="T600" i="6"/>
  <c r="U600" i="6"/>
  <c r="V600" i="6"/>
  <c r="W600" i="6"/>
  <c r="H867" i="6"/>
  <c r="I867" i="6"/>
  <c r="J867" i="6"/>
  <c r="K867" i="6"/>
  <c r="L867" i="6"/>
  <c r="M867" i="6"/>
  <c r="O867" i="6"/>
  <c r="P867" i="6"/>
  <c r="Q867" i="6"/>
  <c r="R867" i="6"/>
  <c r="T867" i="6"/>
  <c r="U867" i="6"/>
  <c r="V867" i="6"/>
  <c r="W867" i="6"/>
  <c r="H878" i="6"/>
  <c r="I878" i="6"/>
  <c r="J878" i="6"/>
  <c r="K878" i="6"/>
  <c r="L878" i="6"/>
  <c r="M878" i="6"/>
  <c r="O878" i="6"/>
  <c r="P878" i="6"/>
  <c r="Q878" i="6"/>
  <c r="R878" i="6"/>
  <c r="T878" i="6"/>
  <c r="U878" i="6"/>
  <c r="V878" i="6"/>
  <c r="W878" i="6"/>
  <c r="H715" i="6"/>
  <c r="I715" i="6"/>
  <c r="J715" i="6"/>
  <c r="K715" i="6"/>
  <c r="L715" i="6"/>
  <c r="M715" i="6"/>
  <c r="O715" i="6"/>
  <c r="P715" i="6"/>
  <c r="Q715" i="6"/>
  <c r="R715" i="6"/>
  <c r="T715" i="6"/>
  <c r="U715" i="6"/>
  <c r="V715" i="6"/>
  <c r="W715" i="6"/>
  <c r="H564" i="6"/>
  <c r="I564" i="6"/>
  <c r="J564" i="6"/>
  <c r="K564" i="6"/>
  <c r="L564" i="6"/>
  <c r="M564" i="6"/>
  <c r="O564" i="6"/>
  <c r="P564" i="6"/>
  <c r="Q564" i="6"/>
  <c r="R564" i="6"/>
  <c r="T564" i="6"/>
  <c r="U564" i="6"/>
  <c r="V564" i="6"/>
  <c r="W564" i="6"/>
  <c r="H561" i="6"/>
  <c r="I561" i="6"/>
  <c r="J561" i="6"/>
  <c r="K561" i="6"/>
  <c r="L561" i="6"/>
  <c r="M561" i="6"/>
  <c r="O561" i="6"/>
  <c r="P561" i="6"/>
  <c r="Q561" i="6"/>
  <c r="R561" i="6"/>
  <c r="T561" i="6"/>
  <c r="U561" i="6"/>
  <c r="V561" i="6"/>
  <c r="W561" i="6"/>
  <c r="H562" i="6"/>
  <c r="I562" i="6"/>
  <c r="J562" i="6"/>
  <c r="K562" i="6"/>
  <c r="L562" i="6"/>
  <c r="M562" i="6"/>
  <c r="O562" i="6"/>
  <c r="P562" i="6"/>
  <c r="Q562" i="6"/>
  <c r="R562" i="6"/>
  <c r="T562" i="6"/>
  <c r="U562" i="6"/>
  <c r="V562" i="6"/>
  <c r="W562" i="6"/>
  <c r="H563" i="6"/>
  <c r="I563" i="6"/>
  <c r="J563" i="6"/>
  <c r="K563" i="6"/>
  <c r="L563" i="6"/>
  <c r="M563" i="6"/>
  <c r="O563" i="6"/>
  <c r="P563" i="6"/>
  <c r="Q563" i="6"/>
  <c r="R563" i="6"/>
  <c r="T563" i="6"/>
  <c r="U563" i="6"/>
  <c r="V563" i="6"/>
  <c r="W563" i="6"/>
  <c r="H898" i="6"/>
  <c r="I898" i="6"/>
  <c r="J898" i="6"/>
  <c r="K898" i="6"/>
  <c r="L898" i="6"/>
  <c r="M898" i="6"/>
  <c r="O898" i="6"/>
  <c r="P898" i="6"/>
  <c r="Q898" i="6"/>
  <c r="R898" i="6"/>
  <c r="T898" i="6"/>
  <c r="U898" i="6"/>
  <c r="V898" i="6"/>
  <c r="W898" i="6"/>
  <c r="H884" i="6"/>
  <c r="I884" i="6"/>
  <c r="J884" i="6"/>
  <c r="K884" i="6"/>
  <c r="L884" i="6"/>
  <c r="M884" i="6"/>
  <c r="O884" i="6"/>
  <c r="P884" i="6"/>
  <c r="Q884" i="6"/>
  <c r="R884" i="6"/>
  <c r="T884" i="6"/>
  <c r="U884" i="6"/>
  <c r="V884" i="6"/>
  <c r="W884" i="6"/>
  <c r="H871" i="6"/>
  <c r="I871" i="6"/>
  <c r="J871" i="6"/>
  <c r="K871" i="6"/>
  <c r="L871" i="6"/>
  <c r="M871" i="6"/>
  <c r="O871" i="6"/>
  <c r="P871" i="6"/>
  <c r="Q871" i="6"/>
  <c r="R871" i="6"/>
  <c r="T871" i="6"/>
  <c r="U871" i="6"/>
  <c r="V871" i="6"/>
  <c r="W871" i="6"/>
  <c r="H856" i="6"/>
  <c r="I856" i="6"/>
  <c r="J856" i="6"/>
  <c r="K856" i="6"/>
  <c r="L856" i="6"/>
  <c r="M856" i="6"/>
  <c r="O856" i="6"/>
  <c r="P856" i="6"/>
  <c r="Q856" i="6"/>
  <c r="R856" i="6"/>
  <c r="T856" i="6"/>
  <c r="U856" i="6"/>
  <c r="V856" i="6"/>
  <c r="W856" i="6"/>
  <c r="H843" i="6"/>
  <c r="I843" i="6"/>
  <c r="J843" i="6"/>
  <c r="K843" i="6"/>
  <c r="L843" i="6"/>
  <c r="M843" i="6"/>
  <c r="O843" i="6"/>
  <c r="P843" i="6"/>
  <c r="Q843" i="6"/>
  <c r="R843" i="6"/>
  <c r="T843" i="6"/>
  <c r="U843" i="6"/>
  <c r="V843" i="6"/>
  <c r="W843" i="6"/>
  <c r="H828" i="6"/>
  <c r="I828" i="6"/>
  <c r="J828" i="6"/>
  <c r="K828" i="6"/>
  <c r="L828" i="6"/>
  <c r="M828" i="6"/>
  <c r="O828" i="6"/>
  <c r="P828" i="6"/>
  <c r="Q828" i="6"/>
  <c r="R828" i="6"/>
  <c r="T828" i="6"/>
  <c r="U828" i="6"/>
  <c r="V828" i="6"/>
  <c r="W828" i="6"/>
  <c r="H807" i="6"/>
  <c r="I807" i="6"/>
  <c r="J807" i="6"/>
  <c r="K807" i="6"/>
  <c r="L807" i="6"/>
  <c r="M807" i="6"/>
  <c r="O807" i="6"/>
  <c r="P807" i="6"/>
  <c r="Q807" i="6"/>
  <c r="R807" i="6"/>
  <c r="T807" i="6"/>
  <c r="U807" i="6"/>
  <c r="V807" i="6"/>
  <c r="W807" i="6"/>
  <c r="H787" i="6"/>
  <c r="I787" i="6"/>
  <c r="J787" i="6"/>
  <c r="K787" i="6"/>
  <c r="L787" i="6"/>
  <c r="M787" i="6"/>
  <c r="O787" i="6"/>
  <c r="P787" i="6"/>
  <c r="Q787" i="6"/>
  <c r="R787" i="6"/>
  <c r="T787" i="6"/>
  <c r="U787" i="6"/>
  <c r="V787" i="6"/>
  <c r="W787" i="6"/>
  <c r="H767" i="6"/>
  <c r="I767" i="6"/>
  <c r="J767" i="6"/>
  <c r="K767" i="6"/>
  <c r="L767" i="6"/>
  <c r="M767" i="6"/>
  <c r="O767" i="6"/>
  <c r="P767" i="6"/>
  <c r="Q767" i="6"/>
  <c r="R767" i="6"/>
  <c r="T767" i="6"/>
  <c r="U767" i="6"/>
  <c r="V767" i="6"/>
  <c r="W767" i="6"/>
  <c r="H738" i="6"/>
  <c r="I738" i="6"/>
  <c r="J738" i="6"/>
  <c r="K738" i="6"/>
  <c r="L738" i="6"/>
  <c r="M738" i="6"/>
  <c r="O738" i="6"/>
  <c r="P738" i="6"/>
  <c r="Q738" i="6"/>
  <c r="R738" i="6"/>
  <c r="T738" i="6"/>
  <c r="U738" i="6"/>
  <c r="V738" i="6"/>
  <c r="W738" i="6"/>
  <c r="H712" i="6"/>
  <c r="I712" i="6"/>
  <c r="J712" i="6"/>
  <c r="K712" i="6"/>
  <c r="L712" i="6"/>
  <c r="M712" i="6"/>
  <c r="O712" i="6"/>
  <c r="P712" i="6"/>
  <c r="Q712" i="6"/>
  <c r="R712" i="6"/>
  <c r="T712" i="6"/>
  <c r="U712" i="6"/>
  <c r="V712" i="6"/>
  <c r="W712" i="6"/>
  <c r="H830" i="6"/>
  <c r="I830" i="6"/>
  <c r="J830" i="6"/>
  <c r="K830" i="6"/>
  <c r="L830" i="6"/>
  <c r="M830" i="6"/>
  <c r="O830" i="6"/>
  <c r="P830" i="6"/>
  <c r="Q830" i="6"/>
  <c r="R830" i="6"/>
  <c r="T830" i="6"/>
  <c r="U830" i="6"/>
  <c r="V830" i="6"/>
  <c r="W830" i="6"/>
  <c r="H821" i="6"/>
  <c r="I821" i="6"/>
  <c r="J821" i="6"/>
  <c r="K821" i="6"/>
  <c r="L821" i="6"/>
  <c r="M821" i="6"/>
  <c r="O821" i="6"/>
  <c r="P821" i="6"/>
  <c r="Q821" i="6"/>
  <c r="R821" i="6"/>
  <c r="T821" i="6"/>
  <c r="U821" i="6"/>
  <c r="V821" i="6"/>
  <c r="W821" i="6"/>
  <c r="H805" i="6"/>
  <c r="I805" i="6"/>
  <c r="J805" i="6"/>
  <c r="K805" i="6"/>
  <c r="L805" i="6"/>
  <c r="M805" i="6"/>
  <c r="O805" i="6"/>
  <c r="P805" i="6"/>
  <c r="Q805" i="6"/>
  <c r="R805" i="6"/>
  <c r="T805" i="6"/>
  <c r="U805" i="6"/>
  <c r="V805" i="6"/>
  <c r="W805" i="6"/>
  <c r="H786" i="6"/>
  <c r="I786" i="6"/>
  <c r="J786" i="6"/>
  <c r="K786" i="6"/>
  <c r="L786" i="6"/>
  <c r="M786" i="6"/>
  <c r="O786" i="6"/>
  <c r="P786" i="6"/>
  <c r="Q786" i="6"/>
  <c r="R786" i="6"/>
  <c r="T786" i="6"/>
  <c r="U786" i="6"/>
  <c r="V786" i="6"/>
  <c r="W786" i="6"/>
  <c r="H765" i="6"/>
  <c r="I765" i="6"/>
  <c r="J765" i="6"/>
  <c r="K765" i="6"/>
  <c r="L765" i="6"/>
  <c r="M765" i="6"/>
  <c r="O765" i="6"/>
  <c r="P765" i="6"/>
  <c r="Q765" i="6"/>
  <c r="R765" i="6"/>
  <c r="T765" i="6"/>
  <c r="U765" i="6"/>
  <c r="V765" i="6"/>
  <c r="W765" i="6"/>
  <c r="H737" i="6"/>
  <c r="I737" i="6"/>
  <c r="J737" i="6"/>
  <c r="K737" i="6"/>
  <c r="L737" i="6"/>
  <c r="M737" i="6"/>
  <c r="O737" i="6"/>
  <c r="P737" i="6"/>
  <c r="Q737" i="6"/>
  <c r="R737" i="6"/>
  <c r="T737" i="6"/>
  <c r="U737" i="6"/>
  <c r="V737" i="6"/>
  <c r="W737" i="6"/>
  <c r="H706" i="6"/>
  <c r="I706" i="6"/>
  <c r="J706" i="6"/>
  <c r="K706" i="6"/>
  <c r="L706" i="6"/>
  <c r="M706" i="6"/>
  <c r="O706" i="6"/>
  <c r="P706" i="6"/>
  <c r="Q706" i="6"/>
  <c r="R706" i="6"/>
  <c r="T706" i="6"/>
  <c r="U706" i="6"/>
  <c r="V706" i="6"/>
  <c r="W706" i="6"/>
  <c r="H422" i="6"/>
  <c r="I422" i="6"/>
  <c r="J422" i="6"/>
  <c r="K422" i="6"/>
  <c r="L422" i="6"/>
  <c r="M422" i="6"/>
  <c r="O422" i="6"/>
  <c r="P422" i="6"/>
  <c r="Q422" i="6"/>
  <c r="R422" i="6"/>
  <c r="T422" i="6"/>
  <c r="U422" i="6"/>
  <c r="V422" i="6"/>
  <c r="W422" i="6"/>
  <c r="H382" i="6"/>
  <c r="I382" i="6"/>
  <c r="J382" i="6"/>
  <c r="K382" i="6"/>
  <c r="L382" i="6"/>
  <c r="M382" i="6"/>
  <c r="O382" i="6"/>
  <c r="P382" i="6"/>
  <c r="Q382" i="6"/>
  <c r="R382" i="6"/>
  <c r="T382" i="6"/>
  <c r="U382" i="6"/>
  <c r="V382" i="6"/>
  <c r="W382" i="6"/>
  <c r="H153" i="6"/>
  <c r="I153" i="6"/>
  <c r="J153" i="6"/>
  <c r="K153" i="6"/>
  <c r="L153" i="6"/>
  <c r="M153" i="6"/>
  <c r="O153" i="6"/>
  <c r="P153" i="6"/>
  <c r="Q153" i="6"/>
  <c r="R153" i="6"/>
  <c r="T153" i="6"/>
  <c r="U153" i="6"/>
  <c r="V153" i="6"/>
  <c r="W153" i="6"/>
  <c r="H125" i="6"/>
  <c r="I125" i="6"/>
  <c r="J125" i="6"/>
  <c r="K125" i="6"/>
  <c r="L125" i="6"/>
  <c r="M125" i="6"/>
  <c r="O125" i="6"/>
  <c r="P125" i="6"/>
  <c r="Q125" i="6"/>
  <c r="R125" i="6"/>
  <c r="T125" i="6"/>
  <c r="U125" i="6"/>
  <c r="V125" i="6"/>
  <c r="W125" i="6"/>
  <c r="H65" i="6"/>
  <c r="I65" i="6"/>
  <c r="J65" i="6"/>
  <c r="K65" i="6"/>
  <c r="L65" i="6"/>
  <c r="M65" i="6"/>
  <c r="O65" i="6"/>
  <c r="P65" i="6"/>
  <c r="Q65" i="6"/>
  <c r="R65" i="6"/>
  <c r="T65" i="6"/>
  <c r="U65" i="6"/>
  <c r="V65" i="6"/>
  <c r="W65" i="6"/>
  <c r="H11" i="6"/>
  <c r="I11" i="6"/>
  <c r="J11" i="6"/>
  <c r="K11" i="6"/>
  <c r="L11" i="6"/>
  <c r="M11" i="6"/>
  <c r="O11" i="6"/>
  <c r="P11" i="6"/>
  <c r="Q11" i="6"/>
  <c r="R11" i="6"/>
  <c r="T11" i="6"/>
  <c r="U11" i="6"/>
  <c r="V11" i="6"/>
  <c r="W11" i="6"/>
  <c r="H173" i="6"/>
  <c r="I173" i="6"/>
  <c r="J173" i="6"/>
  <c r="K173" i="6"/>
  <c r="L173" i="6"/>
  <c r="M173" i="6"/>
  <c r="O173" i="6"/>
  <c r="P173" i="6"/>
  <c r="Q173" i="6"/>
  <c r="R173" i="6"/>
  <c r="T173" i="6"/>
  <c r="U173" i="6"/>
  <c r="V173" i="6"/>
  <c r="W173" i="6"/>
  <c r="H170" i="6"/>
  <c r="I170" i="6"/>
  <c r="J170" i="6"/>
  <c r="K170" i="6"/>
  <c r="L170" i="6"/>
  <c r="M170" i="6"/>
  <c r="O170" i="6"/>
  <c r="P170" i="6"/>
  <c r="Q170" i="6"/>
  <c r="R170" i="6"/>
  <c r="T170" i="6"/>
  <c r="U170" i="6"/>
  <c r="V170" i="6"/>
  <c r="W170" i="6"/>
  <c r="H171" i="6"/>
  <c r="I171" i="6"/>
  <c r="J171" i="6"/>
  <c r="K171" i="6"/>
  <c r="L171" i="6"/>
  <c r="M171" i="6"/>
  <c r="O171" i="6"/>
  <c r="P171" i="6"/>
  <c r="Q171" i="6"/>
  <c r="R171" i="6"/>
  <c r="T171" i="6"/>
  <c r="U171" i="6"/>
  <c r="V171" i="6"/>
  <c r="W171" i="6"/>
  <c r="H169" i="6"/>
  <c r="I169" i="6"/>
  <c r="J169" i="6"/>
  <c r="K169" i="6"/>
  <c r="L169" i="6"/>
  <c r="M169" i="6"/>
  <c r="O169" i="6"/>
  <c r="P169" i="6"/>
  <c r="Q169" i="6"/>
  <c r="R169" i="6"/>
  <c r="T169" i="6"/>
  <c r="U169" i="6"/>
  <c r="V169" i="6"/>
  <c r="W169" i="6"/>
  <c r="H1017" i="6"/>
  <c r="I1017" i="6"/>
  <c r="J1017" i="6"/>
  <c r="K1017" i="6"/>
  <c r="L1017" i="6"/>
  <c r="M1017" i="6"/>
  <c r="O1017" i="6"/>
  <c r="P1017" i="6"/>
  <c r="Q1017" i="6"/>
  <c r="R1017" i="6"/>
  <c r="T1017" i="6"/>
  <c r="U1017" i="6"/>
  <c r="V1017" i="6"/>
  <c r="W1017" i="6"/>
  <c r="H167" i="6"/>
  <c r="I167" i="6"/>
  <c r="J167" i="6"/>
  <c r="K167" i="6"/>
  <c r="L167" i="6"/>
  <c r="M167" i="6"/>
  <c r="O167" i="6"/>
  <c r="P167" i="6"/>
  <c r="Q167" i="6"/>
  <c r="R167" i="6"/>
  <c r="T167" i="6"/>
  <c r="U167" i="6"/>
  <c r="V167" i="6"/>
  <c r="W167" i="6"/>
  <c r="H174" i="6"/>
  <c r="I174" i="6"/>
  <c r="J174" i="6"/>
  <c r="K174" i="6"/>
  <c r="L174" i="6"/>
  <c r="M174" i="6"/>
  <c r="O174" i="6"/>
  <c r="P174" i="6"/>
  <c r="Q174" i="6"/>
  <c r="R174" i="6"/>
  <c r="T174" i="6"/>
  <c r="U174" i="6"/>
  <c r="V174" i="6"/>
  <c r="W174" i="6"/>
  <c r="H168" i="6"/>
  <c r="I168" i="6"/>
  <c r="J168" i="6"/>
  <c r="K168" i="6"/>
  <c r="L168" i="6"/>
  <c r="M168" i="6"/>
  <c r="O168" i="6"/>
  <c r="P168" i="6"/>
  <c r="Q168" i="6"/>
  <c r="R168" i="6"/>
  <c r="T168" i="6"/>
  <c r="U168" i="6"/>
  <c r="V168" i="6"/>
  <c r="W168" i="6"/>
  <c r="H163" i="6"/>
  <c r="I163" i="6"/>
  <c r="J163" i="6"/>
  <c r="K163" i="6"/>
  <c r="L163" i="6"/>
  <c r="M163" i="6"/>
  <c r="O163" i="6"/>
  <c r="P163" i="6"/>
  <c r="Q163" i="6"/>
  <c r="R163" i="6"/>
  <c r="T163" i="6"/>
  <c r="U163" i="6"/>
  <c r="V163" i="6"/>
  <c r="W163" i="6"/>
  <c r="H164" i="6"/>
  <c r="I164" i="6"/>
  <c r="J164" i="6"/>
  <c r="K164" i="6"/>
  <c r="L164" i="6"/>
  <c r="M164" i="6"/>
  <c r="O164" i="6"/>
  <c r="P164" i="6"/>
  <c r="Q164" i="6"/>
  <c r="R164" i="6"/>
  <c r="T164" i="6"/>
  <c r="U164" i="6"/>
  <c r="V164" i="6"/>
  <c r="W164" i="6"/>
  <c r="H20" i="6"/>
  <c r="I20" i="6"/>
  <c r="J20" i="6"/>
  <c r="K20" i="6"/>
  <c r="L20" i="6"/>
  <c r="M20" i="6"/>
  <c r="O20" i="6"/>
  <c r="P20" i="6"/>
  <c r="Q20" i="6"/>
  <c r="R20" i="6"/>
  <c r="T20" i="6"/>
  <c r="U20" i="6"/>
  <c r="V20" i="6"/>
  <c r="W20" i="6"/>
  <c r="H5" i="6"/>
  <c r="I5" i="6"/>
  <c r="J5" i="6"/>
  <c r="K5" i="6"/>
  <c r="L5" i="6"/>
  <c r="M5" i="6"/>
  <c r="O5" i="6"/>
  <c r="P5" i="6"/>
  <c r="Q5" i="6"/>
  <c r="R5" i="6"/>
  <c r="T5" i="6"/>
  <c r="U5" i="6"/>
  <c r="V5" i="6"/>
  <c r="W5" i="6"/>
  <c r="H4" i="6"/>
  <c r="I4" i="6"/>
  <c r="J4" i="6"/>
  <c r="K4" i="6"/>
  <c r="L4" i="6"/>
  <c r="M4" i="6"/>
  <c r="N4" i="6"/>
  <c r="O4" i="6"/>
  <c r="P4" i="6"/>
  <c r="Q4" i="6"/>
  <c r="R4" i="6"/>
  <c r="T4" i="6"/>
  <c r="U4" i="6"/>
  <c r="V4" i="6"/>
  <c r="W4" i="6"/>
  <c r="H18" i="6"/>
  <c r="I18" i="6"/>
  <c r="J18" i="6"/>
  <c r="K18" i="6"/>
  <c r="L18" i="6"/>
  <c r="M18" i="6"/>
  <c r="O18" i="6"/>
  <c r="P18" i="6"/>
  <c r="Q18" i="6"/>
  <c r="R18" i="6"/>
  <c r="T18" i="6"/>
  <c r="U18" i="6"/>
  <c r="V18" i="6"/>
  <c r="W18" i="6"/>
  <c r="H23" i="6"/>
  <c r="I23" i="6"/>
  <c r="J23" i="6"/>
  <c r="K23" i="6"/>
  <c r="L23" i="6"/>
  <c r="M23" i="6"/>
  <c r="O23" i="6"/>
  <c r="P23" i="6"/>
  <c r="Q23" i="6"/>
  <c r="R23" i="6"/>
  <c r="T23" i="6"/>
  <c r="U23" i="6"/>
  <c r="V23" i="6"/>
  <c r="W23" i="6"/>
  <c r="H21" i="6"/>
  <c r="I21" i="6"/>
  <c r="J21" i="6"/>
  <c r="K21" i="6"/>
  <c r="L21" i="6"/>
  <c r="M21" i="6"/>
  <c r="O21" i="6"/>
  <c r="P21" i="6"/>
  <c r="Q21" i="6"/>
  <c r="R21" i="6"/>
  <c r="T21" i="6"/>
  <c r="U21" i="6"/>
  <c r="V21" i="6"/>
  <c r="W21" i="6"/>
  <c r="H995" i="6"/>
  <c r="I995" i="6"/>
  <c r="J995" i="6"/>
  <c r="K995" i="6"/>
  <c r="L995" i="6"/>
  <c r="M995" i="6"/>
  <c r="O995" i="6"/>
  <c r="P995" i="6"/>
  <c r="Q995" i="6"/>
  <c r="R995" i="6"/>
  <c r="T995" i="6"/>
  <c r="U995" i="6"/>
  <c r="V995" i="6"/>
  <c r="W995" i="6"/>
  <c r="AF995" i="6"/>
  <c r="H22" i="6"/>
  <c r="I22" i="6"/>
  <c r="J22" i="6"/>
  <c r="K22" i="6"/>
  <c r="L22" i="6"/>
  <c r="M22" i="6"/>
  <c r="O22" i="6"/>
  <c r="P22" i="6"/>
  <c r="Q22" i="6"/>
  <c r="R22" i="6"/>
  <c r="S22" i="6"/>
  <c r="T22" i="6"/>
  <c r="U22" i="6"/>
  <c r="V22" i="6"/>
  <c r="W22" i="6"/>
  <c r="H463" i="6"/>
  <c r="I463" i="6"/>
  <c r="J463" i="6"/>
  <c r="K463" i="6"/>
  <c r="L463" i="6"/>
  <c r="M463" i="6"/>
  <c r="O463" i="6"/>
  <c r="P463" i="6"/>
  <c r="Q463" i="6"/>
  <c r="R463" i="6"/>
  <c r="T463" i="6"/>
  <c r="U463" i="6"/>
  <c r="V463" i="6"/>
  <c r="W463" i="6"/>
  <c r="X463" i="6"/>
  <c r="H464" i="6"/>
  <c r="I464" i="6"/>
  <c r="J464" i="6"/>
  <c r="K464" i="6"/>
  <c r="L464" i="6"/>
  <c r="M464" i="6"/>
  <c r="O464" i="6"/>
  <c r="P464" i="6"/>
  <c r="Q464" i="6"/>
  <c r="R464" i="6"/>
  <c r="T464" i="6"/>
  <c r="U464" i="6"/>
  <c r="V464" i="6"/>
  <c r="W464" i="6"/>
  <c r="H774" i="6"/>
  <c r="I774" i="6"/>
  <c r="J774" i="6"/>
  <c r="K774" i="6"/>
  <c r="L774" i="6"/>
  <c r="M774" i="6"/>
  <c r="O774" i="6"/>
  <c r="P774" i="6"/>
  <c r="Q774" i="6"/>
  <c r="R774" i="6"/>
  <c r="T774" i="6"/>
  <c r="U774" i="6"/>
  <c r="V774" i="6"/>
  <c r="W774" i="6"/>
  <c r="H747" i="6"/>
  <c r="I747" i="6"/>
  <c r="J747" i="6"/>
  <c r="K747" i="6"/>
  <c r="L747" i="6"/>
  <c r="M747" i="6"/>
  <c r="O747" i="6"/>
  <c r="P747" i="6"/>
  <c r="Q747" i="6"/>
  <c r="R747" i="6"/>
  <c r="T747" i="6"/>
  <c r="U747" i="6"/>
  <c r="V747" i="6"/>
  <c r="W747" i="6"/>
  <c r="H705" i="6"/>
  <c r="I705" i="6"/>
  <c r="J705" i="6"/>
  <c r="K705" i="6"/>
  <c r="L705" i="6"/>
  <c r="M705" i="6"/>
  <c r="O705" i="6"/>
  <c r="P705" i="6"/>
  <c r="Q705" i="6"/>
  <c r="R705" i="6"/>
  <c r="T705" i="6"/>
  <c r="U705" i="6"/>
  <c r="V705" i="6"/>
  <c r="W705" i="6"/>
  <c r="H795" i="6"/>
  <c r="I795" i="6"/>
  <c r="J795" i="6"/>
  <c r="K795" i="6"/>
  <c r="L795" i="6"/>
  <c r="M795" i="6"/>
  <c r="O795" i="6"/>
  <c r="P795" i="6"/>
  <c r="Q795" i="6"/>
  <c r="R795" i="6"/>
  <c r="S795" i="6"/>
  <c r="T795" i="6"/>
  <c r="U795" i="6"/>
  <c r="V795" i="6"/>
  <c r="W795" i="6"/>
  <c r="H975" i="6"/>
  <c r="I975" i="6"/>
  <c r="J975" i="6"/>
  <c r="K975" i="6"/>
  <c r="L975" i="6"/>
  <c r="M975" i="6"/>
  <c r="O975" i="6"/>
  <c r="P975" i="6"/>
  <c r="Q975" i="6"/>
  <c r="R975" i="6"/>
  <c r="T975" i="6"/>
  <c r="U975" i="6"/>
  <c r="V975" i="6"/>
  <c r="W975" i="6"/>
  <c r="X975" i="6"/>
  <c r="H916" i="6"/>
  <c r="I916" i="6"/>
  <c r="J916" i="6"/>
  <c r="K916" i="6"/>
  <c r="L916" i="6"/>
  <c r="M916" i="6"/>
  <c r="O916" i="6"/>
  <c r="P916" i="6"/>
  <c r="Q916" i="6"/>
  <c r="R916" i="6"/>
  <c r="T916" i="6"/>
  <c r="U916" i="6"/>
  <c r="V916" i="6"/>
  <c r="W916" i="6"/>
  <c r="H917" i="6"/>
  <c r="I917" i="6"/>
  <c r="J917" i="6"/>
  <c r="K917" i="6"/>
  <c r="L917" i="6"/>
  <c r="M917" i="6"/>
  <c r="O917" i="6"/>
  <c r="P917" i="6"/>
  <c r="Q917" i="6"/>
  <c r="R917" i="6"/>
  <c r="T917" i="6"/>
  <c r="U917" i="6"/>
  <c r="V917" i="6"/>
  <c r="W917" i="6"/>
  <c r="H953" i="6"/>
  <c r="I953" i="6"/>
  <c r="J953" i="6"/>
  <c r="K953" i="6"/>
  <c r="L953" i="6"/>
  <c r="M953" i="6"/>
  <c r="O953" i="6"/>
  <c r="P953" i="6"/>
  <c r="Q953" i="6"/>
  <c r="R953" i="6"/>
  <c r="T953" i="6"/>
  <c r="U953" i="6"/>
  <c r="V953" i="6"/>
  <c r="W953" i="6"/>
  <c r="H292" i="6"/>
  <c r="I292" i="6"/>
  <c r="J292" i="6"/>
  <c r="K292" i="6"/>
  <c r="L292" i="6"/>
  <c r="M292" i="6"/>
  <c r="O292" i="6"/>
  <c r="P292" i="6"/>
  <c r="Q292" i="6"/>
  <c r="R292" i="6"/>
  <c r="T292" i="6"/>
  <c r="U292" i="6"/>
  <c r="V292" i="6"/>
  <c r="W292" i="6"/>
  <c r="H291" i="6"/>
  <c r="I291" i="6"/>
  <c r="J291" i="6"/>
  <c r="K291" i="6"/>
  <c r="L291" i="6"/>
  <c r="M291" i="6"/>
  <c r="O291" i="6"/>
  <c r="P291" i="6"/>
  <c r="Q291" i="6"/>
  <c r="R291" i="6"/>
  <c r="T291" i="6"/>
  <c r="U291" i="6"/>
  <c r="V291" i="6"/>
  <c r="W291" i="6"/>
  <c r="H289" i="6"/>
  <c r="I289" i="6"/>
  <c r="J289" i="6"/>
  <c r="K289" i="6"/>
  <c r="L289" i="6"/>
  <c r="M289" i="6"/>
  <c r="O289" i="6"/>
  <c r="P289" i="6"/>
  <c r="Q289" i="6"/>
  <c r="R289" i="6"/>
  <c r="T289" i="6"/>
  <c r="U289" i="6"/>
  <c r="V289" i="6"/>
  <c r="W289" i="6"/>
  <c r="H290" i="6"/>
  <c r="I290" i="6"/>
  <c r="J290" i="6"/>
  <c r="K290" i="6"/>
  <c r="L290" i="6"/>
  <c r="M290" i="6"/>
  <c r="O290" i="6"/>
  <c r="P290" i="6"/>
  <c r="Q290" i="6"/>
  <c r="R290" i="6"/>
  <c r="T290" i="6"/>
  <c r="U290" i="6"/>
  <c r="V290" i="6"/>
  <c r="W290" i="6"/>
  <c r="H958" i="6"/>
  <c r="I958" i="6"/>
  <c r="J958" i="6"/>
  <c r="K958" i="6"/>
  <c r="L958" i="6"/>
  <c r="M958" i="6"/>
  <c r="O958" i="6"/>
  <c r="P958" i="6"/>
  <c r="Q958" i="6"/>
  <c r="R958" i="6"/>
  <c r="T958" i="6"/>
  <c r="U958" i="6"/>
  <c r="V958" i="6"/>
  <c r="W958" i="6"/>
  <c r="H702" i="6"/>
  <c r="I702" i="6"/>
  <c r="J702" i="6"/>
  <c r="K702" i="6"/>
  <c r="L702" i="6"/>
  <c r="M702" i="6"/>
  <c r="O702" i="6"/>
  <c r="P702" i="6"/>
  <c r="Q702" i="6"/>
  <c r="R702" i="6"/>
  <c r="T702" i="6"/>
  <c r="U702" i="6"/>
  <c r="V702" i="6"/>
  <c r="W702" i="6"/>
  <c r="H703" i="6"/>
  <c r="I703" i="6"/>
  <c r="J703" i="6"/>
  <c r="K703" i="6"/>
  <c r="L703" i="6"/>
  <c r="M703" i="6"/>
  <c r="O703" i="6"/>
  <c r="P703" i="6"/>
  <c r="Q703" i="6"/>
  <c r="R703" i="6"/>
  <c r="S703" i="6"/>
  <c r="T703" i="6"/>
  <c r="U703" i="6"/>
  <c r="V703" i="6"/>
  <c r="W703" i="6"/>
  <c r="H704" i="6"/>
  <c r="I704" i="6"/>
  <c r="J704" i="6"/>
  <c r="K704" i="6"/>
  <c r="L704" i="6"/>
  <c r="M704" i="6"/>
  <c r="O704" i="6"/>
  <c r="P704" i="6"/>
  <c r="Q704" i="6"/>
  <c r="R704" i="6"/>
  <c r="T704" i="6"/>
  <c r="U704" i="6"/>
  <c r="V704" i="6"/>
  <c r="W704" i="6"/>
  <c r="H858" i="6"/>
  <c r="I858" i="6"/>
  <c r="J858" i="6"/>
  <c r="K858" i="6"/>
  <c r="L858" i="6"/>
  <c r="M858" i="6"/>
  <c r="O858" i="6"/>
  <c r="P858" i="6"/>
  <c r="Q858" i="6"/>
  <c r="R858" i="6"/>
  <c r="S858" i="6"/>
  <c r="T858" i="6"/>
  <c r="U858" i="6"/>
  <c r="V858" i="6"/>
  <c r="W858" i="6"/>
  <c r="H859" i="6"/>
  <c r="I859" i="6"/>
  <c r="J859" i="6"/>
  <c r="K859" i="6"/>
  <c r="L859" i="6"/>
  <c r="M859" i="6"/>
  <c r="O859" i="6"/>
  <c r="P859" i="6"/>
  <c r="Q859" i="6"/>
  <c r="R859" i="6"/>
  <c r="T859" i="6"/>
  <c r="U859" i="6"/>
  <c r="V859" i="6"/>
  <c r="W859" i="6"/>
  <c r="H120" i="6"/>
  <c r="I120" i="6"/>
  <c r="J120" i="6"/>
  <c r="K120" i="6"/>
  <c r="L120" i="6"/>
  <c r="M120" i="6"/>
  <c r="O120" i="6"/>
  <c r="P120" i="6"/>
  <c r="Q120" i="6"/>
  <c r="R120" i="6"/>
  <c r="T120" i="6"/>
  <c r="U120" i="6"/>
  <c r="V120" i="6"/>
  <c r="W120" i="6"/>
  <c r="H118" i="6"/>
  <c r="I118" i="6"/>
  <c r="J118" i="6"/>
  <c r="K118" i="6"/>
  <c r="L118" i="6"/>
  <c r="M118" i="6"/>
  <c r="O118" i="6"/>
  <c r="P118" i="6"/>
  <c r="Q118" i="6"/>
  <c r="R118" i="6"/>
  <c r="S118" i="6"/>
  <c r="T118" i="6"/>
  <c r="U118" i="6"/>
  <c r="V118" i="6"/>
  <c r="W118" i="6"/>
  <c r="H489" i="6"/>
  <c r="I489" i="6"/>
  <c r="J489" i="6"/>
  <c r="K489" i="6"/>
  <c r="L489" i="6"/>
  <c r="M489" i="6"/>
  <c r="O489" i="6"/>
  <c r="P489" i="6"/>
  <c r="Q489" i="6"/>
  <c r="R489" i="6"/>
  <c r="T489" i="6"/>
  <c r="U489" i="6"/>
  <c r="V489" i="6"/>
  <c r="W489" i="6"/>
  <c r="H609" i="6"/>
  <c r="I609" i="6"/>
  <c r="J609" i="6"/>
  <c r="K609" i="6"/>
  <c r="L609" i="6"/>
  <c r="M609" i="6"/>
  <c r="O609" i="6"/>
  <c r="P609" i="6"/>
  <c r="Q609" i="6"/>
  <c r="R609" i="6"/>
  <c r="T609" i="6"/>
  <c r="U609" i="6"/>
  <c r="V609" i="6"/>
  <c r="W609" i="6"/>
  <c r="H610" i="6"/>
  <c r="I610" i="6"/>
  <c r="J610" i="6"/>
  <c r="K610" i="6"/>
  <c r="L610" i="6"/>
  <c r="M610" i="6"/>
  <c r="O610" i="6"/>
  <c r="P610" i="6"/>
  <c r="Q610" i="6"/>
  <c r="R610" i="6"/>
  <c r="T610" i="6"/>
  <c r="U610" i="6"/>
  <c r="V610" i="6"/>
  <c r="W610" i="6"/>
  <c r="H313" i="6"/>
  <c r="I313" i="6"/>
  <c r="J313" i="6"/>
  <c r="K313" i="6"/>
  <c r="L313" i="6"/>
  <c r="M313" i="6"/>
  <c r="O313" i="6"/>
  <c r="P313" i="6"/>
  <c r="Q313" i="6"/>
  <c r="R313" i="6"/>
  <c r="T313" i="6"/>
  <c r="U313" i="6"/>
  <c r="V313" i="6"/>
  <c r="W313" i="6"/>
  <c r="H311" i="6"/>
  <c r="I311" i="6"/>
  <c r="J311" i="6"/>
  <c r="K311" i="6"/>
  <c r="L311" i="6"/>
  <c r="M311" i="6"/>
  <c r="O311" i="6"/>
  <c r="P311" i="6"/>
  <c r="Q311" i="6"/>
  <c r="R311" i="6"/>
  <c r="T311" i="6"/>
  <c r="U311" i="6"/>
  <c r="V311" i="6"/>
  <c r="W311" i="6"/>
  <c r="H1007" i="6"/>
  <c r="I1007" i="6"/>
  <c r="J1007" i="6"/>
  <c r="K1007" i="6"/>
  <c r="L1007" i="6"/>
  <c r="M1007" i="6"/>
  <c r="O1007" i="6"/>
  <c r="P1007" i="6"/>
  <c r="Q1007" i="6"/>
  <c r="R1007" i="6"/>
  <c r="T1007" i="6"/>
  <c r="U1007" i="6"/>
  <c r="V1007" i="6"/>
  <c r="W1007" i="6"/>
  <c r="H312" i="6"/>
  <c r="I312" i="6"/>
  <c r="J312" i="6"/>
  <c r="K312" i="6"/>
  <c r="L312" i="6"/>
  <c r="M312" i="6"/>
  <c r="O312" i="6"/>
  <c r="P312" i="6"/>
  <c r="Q312" i="6"/>
  <c r="R312" i="6"/>
  <c r="T312" i="6"/>
  <c r="U312" i="6"/>
  <c r="V312" i="6"/>
  <c r="W312" i="6"/>
  <c r="H309" i="6"/>
  <c r="I309" i="6"/>
  <c r="J309" i="6"/>
  <c r="K309" i="6"/>
  <c r="L309" i="6"/>
  <c r="M309" i="6"/>
  <c r="O309" i="6"/>
  <c r="P309" i="6"/>
  <c r="Q309" i="6"/>
  <c r="R309" i="6"/>
  <c r="T309" i="6"/>
  <c r="U309" i="6"/>
  <c r="V309" i="6"/>
  <c r="W309" i="6"/>
  <c r="H99" i="6"/>
  <c r="I99" i="6"/>
  <c r="J99" i="6"/>
  <c r="K99" i="6"/>
  <c r="L99" i="6"/>
  <c r="M99" i="6"/>
  <c r="O99" i="6"/>
  <c r="P99" i="6"/>
  <c r="Q99" i="6"/>
  <c r="R99" i="6"/>
  <c r="T99" i="6"/>
  <c r="U99" i="6"/>
  <c r="V99" i="6"/>
  <c r="W99" i="6"/>
  <c r="H310" i="6"/>
  <c r="I310" i="6"/>
  <c r="J310" i="6"/>
  <c r="K310" i="6"/>
  <c r="L310" i="6"/>
  <c r="M310" i="6"/>
  <c r="O310" i="6"/>
  <c r="P310" i="6"/>
  <c r="Q310" i="6"/>
  <c r="R310" i="6"/>
  <c r="T310" i="6"/>
  <c r="U310" i="6"/>
  <c r="V310" i="6"/>
  <c r="W310" i="6"/>
  <c r="H98" i="6"/>
  <c r="I98" i="6"/>
  <c r="J98" i="6"/>
  <c r="K98" i="6"/>
  <c r="L98" i="6"/>
  <c r="M98" i="6"/>
  <c r="O98" i="6"/>
  <c r="P98" i="6"/>
  <c r="Q98" i="6"/>
  <c r="R98" i="6"/>
  <c r="T98" i="6"/>
  <c r="U98" i="6"/>
  <c r="V98" i="6"/>
  <c r="W98" i="6"/>
  <c r="H96" i="6"/>
  <c r="I96" i="6"/>
  <c r="J96" i="6"/>
  <c r="K96" i="6"/>
  <c r="L96" i="6"/>
  <c r="M96" i="6"/>
  <c r="O96" i="6"/>
  <c r="P96" i="6"/>
  <c r="Q96" i="6"/>
  <c r="R96" i="6"/>
  <c r="T96" i="6"/>
  <c r="U96" i="6"/>
  <c r="V96" i="6"/>
  <c r="W96" i="6"/>
  <c r="H97" i="6"/>
  <c r="I97" i="6"/>
  <c r="J97" i="6"/>
  <c r="K97" i="6"/>
  <c r="L97" i="6"/>
  <c r="M97" i="6"/>
  <c r="O97" i="6"/>
  <c r="P97" i="6"/>
  <c r="Q97" i="6"/>
  <c r="R97" i="6"/>
  <c r="T97" i="6"/>
  <c r="U97" i="6"/>
  <c r="V97" i="6"/>
  <c r="W97" i="6"/>
  <c r="H997" i="6"/>
  <c r="I997" i="6"/>
  <c r="J997" i="6"/>
  <c r="K997" i="6"/>
  <c r="L997" i="6"/>
  <c r="M997" i="6"/>
  <c r="O997" i="6"/>
  <c r="P997" i="6"/>
  <c r="Q997" i="6"/>
  <c r="R997" i="6"/>
  <c r="S997" i="6"/>
  <c r="T997" i="6"/>
  <c r="U997" i="6"/>
  <c r="V997" i="6"/>
  <c r="W997" i="6"/>
  <c r="H93" i="6"/>
  <c r="I93" i="6"/>
  <c r="J93" i="6"/>
  <c r="K93" i="6"/>
  <c r="L93" i="6"/>
  <c r="M93" i="6"/>
  <c r="O93" i="6"/>
  <c r="P93" i="6"/>
  <c r="Q93" i="6"/>
  <c r="R93" i="6"/>
  <c r="T93" i="6"/>
  <c r="U93" i="6"/>
  <c r="V93" i="6"/>
  <c r="W93" i="6"/>
  <c r="H95" i="6"/>
  <c r="I95" i="6"/>
  <c r="J95" i="6"/>
  <c r="K95" i="6"/>
  <c r="L95" i="6"/>
  <c r="M95" i="6"/>
  <c r="O95" i="6"/>
  <c r="P95" i="6"/>
  <c r="Q95" i="6"/>
  <c r="R95" i="6"/>
  <c r="T95" i="6"/>
  <c r="U95" i="6"/>
  <c r="V95" i="6"/>
  <c r="W95" i="6"/>
  <c r="H94" i="6"/>
  <c r="I94" i="6"/>
  <c r="J94" i="6"/>
  <c r="K94" i="6"/>
  <c r="L94" i="6"/>
  <c r="M94" i="6"/>
  <c r="O94" i="6"/>
  <c r="P94" i="6"/>
  <c r="Q94" i="6"/>
  <c r="R94" i="6"/>
  <c r="S94" i="6"/>
  <c r="T94" i="6"/>
  <c r="U94" i="6"/>
  <c r="V94" i="6"/>
  <c r="W94" i="6"/>
  <c r="H412" i="6"/>
  <c r="I412" i="6"/>
  <c r="J412" i="6"/>
  <c r="K412" i="6"/>
  <c r="L412" i="6"/>
  <c r="M412" i="6"/>
  <c r="O412" i="6"/>
  <c r="P412" i="6"/>
  <c r="Q412" i="6"/>
  <c r="R412" i="6"/>
  <c r="T412" i="6"/>
  <c r="U412" i="6"/>
  <c r="V412" i="6"/>
  <c r="W412" i="6"/>
  <c r="H409" i="6"/>
  <c r="I409" i="6"/>
  <c r="J409" i="6"/>
  <c r="K409" i="6"/>
  <c r="L409" i="6"/>
  <c r="M409" i="6"/>
  <c r="O409" i="6"/>
  <c r="P409" i="6"/>
  <c r="Q409" i="6"/>
  <c r="R409" i="6"/>
  <c r="T409" i="6"/>
  <c r="U409" i="6"/>
  <c r="V409" i="6"/>
  <c r="W409" i="6"/>
  <c r="H410" i="6"/>
  <c r="I410" i="6"/>
  <c r="J410" i="6"/>
  <c r="K410" i="6"/>
  <c r="L410" i="6"/>
  <c r="M410" i="6"/>
  <c r="O410" i="6"/>
  <c r="P410" i="6"/>
  <c r="Q410" i="6"/>
  <c r="R410" i="6"/>
  <c r="T410" i="6"/>
  <c r="U410" i="6"/>
  <c r="V410" i="6"/>
  <c r="W410" i="6"/>
  <c r="H411" i="6"/>
  <c r="I411" i="6"/>
  <c r="J411" i="6"/>
  <c r="K411" i="6"/>
  <c r="L411" i="6"/>
  <c r="M411" i="6"/>
  <c r="O411" i="6"/>
  <c r="P411" i="6"/>
  <c r="Q411" i="6"/>
  <c r="R411" i="6"/>
  <c r="T411" i="6"/>
  <c r="U411" i="6"/>
  <c r="V411" i="6"/>
  <c r="W411" i="6"/>
  <c r="H566" i="6"/>
  <c r="I566" i="6"/>
  <c r="J566" i="6"/>
  <c r="K566" i="6"/>
  <c r="L566" i="6"/>
  <c r="M566" i="6"/>
  <c r="O566" i="6"/>
  <c r="P566" i="6"/>
  <c r="Q566" i="6"/>
  <c r="R566" i="6"/>
  <c r="T566" i="6"/>
  <c r="U566" i="6"/>
  <c r="V566" i="6"/>
  <c r="W566" i="6"/>
  <c r="H567" i="6"/>
  <c r="I567" i="6"/>
  <c r="J567" i="6"/>
  <c r="K567" i="6"/>
  <c r="L567" i="6"/>
  <c r="M567" i="6"/>
  <c r="O567" i="6"/>
  <c r="P567" i="6"/>
  <c r="Q567" i="6"/>
  <c r="R567" i="6"/>
  <c r="T567" i="6"/>
  <c r="U567" i="6"/>
  <c r="V567" i="6"/>
  <c r="W567" i="6"/>
  <c r="H510" i="6"/>
  <c r="I510" i="6"/>
  <c r="J510" i="6"/>
  <c r="K510" i="6"/>
  <c r="L510" i="6"/>
  <c r="M510" i="6"/>
  <c r="O510" i="6"/>
  <c r="P510" i="6"/>
  <c r="Q510" i="6"/>
  <c r="R510" i="6"/>
  <c r="T510" i="6"/>
  <c r="U510" i="6"/>
  <c r="V510" i="6"/>
  <c r="W510" i="6"/>
  <c r="H511" i="6"/>
  <c r="I511" i="6"/>
  <c r="J511" i="6"/>
  <c r="K511" i="6"/>
  <c r="L511" i="6"/>
  <c r="M511" i="6"/>
  <c r="O511" i="6"/>
  <c r="P511" i="6"/>
  <c r="Q511" i="6"/>
  <c r="R511" i="6"/>
  <c r="T511" i="6"/>
  <c r="U511" i="6"/>
  <c r="V511" i="6"/>
  <c r="W511" i="6"/>
  <c r="H640" i="6"/>
  <c r="I640" i="6"/>
  <c r="J640" i="6"/>
  <c r="K640" i="6"/>
  <c r="L640" i="6"/>
  <c r="M640" i="6"/>
  <c r="O640" i="6"/>
  <c r="P640" i="6"/>
  <c r="Q640" i="6"/>
  <c r="R640" i="6"/>
  <c r="S640" i="6"/>
  <c r="T640" i="6"/>
  <c r="U640" i="6"/>
  <c r="V640" i="6"/>
  <c r="W640" i="6"/>
  <c r="H641" i="6"/>
  <c r="I641" i="6"/>
  <c r="J641" i="6"/>
  <c r="K641" i="6"/>
  <c r="L641" i="6"/>
  <c r="M641" i="6"/>
  <c r="O641" i="6"/>
  <c r="P641" i="6"/>
  <c r="Q641" i="6"/>
  <c r="R641" i="6"/>
  <c r="T641" i="6"/>
  <c r="U641" i="6"/>
  <c r="V641" i="6"/>
  <c r="W641" i="6"/>
  <c r="H172" i="6"/>
  <c r="I172" i="6"/>
  <c r="J172" i="6"/>
  <c r="K172" i="6"/>
  <c r="L172" i="6"/>
  <c r="M172" i="6"/>
  <c r="O172" i="6"/>
  <c r="P172" i="6"/>
  <c r="Q172" i="6"/>
  <c r="R172" i="6"/>
  <c r="T172" i="6"/>
  <c r="U172" i="6"/>
  <c r="V172" i="6"/>
  <c r="W172" i="6"/>
  <c r="H783" i="6"/>
  <c r="I783" i="6"/>
  <c r="J783" i="6"/>
  <c r="K783" i="6"/>
  <c r="L783" i="6"/>
  <c r="M783" i="6"/>
  <c r="O783" i="6"/>
  <c r="P783" i="6"/>
  <c r="Q783" i="6"/>
  <c r="R783" i="6"/>
  <c r="S783" i="6"/>
  <c r="T783" i="6"/>
  <c r="U783" i="6"/>
  <c r="V783" i="6"/>
  <c r="W783" i="6"/>
  <c r="H784" i="6"/>
  <c r="I784" i="6"/>
  <c r="J784" i="6"/>
  <c r="K784" i="6"/>
  <c r="L784" i="6"/>
  <c r="M784" i="6"/>
  <c r="O784" i="6"/>
  <c r="P784" i="6"/>
  <c r="Q784" i="6"/>
  <c r="R784" i="6"/>
  <c r="T784" i="6"/>
  <c r="U784" i="6"/>
  <c r="V784" i="6"/>
  <c r="W784" i="6"/>
  <c r="H785" i="6"/>
  <c r="I785" i="6"/>
  <c r="J785" i="6"/>
  <c r="K785" i="6"/>
  <c r="L785" i="6"/>
  <c r="M785" i="6"/>
  <c r="O785" i="6"/>
  <c r="P785" i="6"/>
  <c r="Q785" i="6"/>
  <c r="R785" i="6"/>
  <c r="T785" i="6"/>
  <c r="U785" i="6"/>
  <c r="V785" i="6"/>
  <c r="W785" i="6"/>
  <c r="H367" i="6"/>
  <c r="I367" i="6"/>
  <c r="J367" i="6"/>
  <c r="K367" i="6"/>
  <c r="L367" i="6"/>
  <c r="M367" i="6"/>
  <c r="O367" i="6"/>
  <c r="P367" i="6"/>
  <c r="Q367" i="6"/>
  <c r="R367" i="6"/>
  <c r="T367" i="6"/>
  <c r="U367" i="6"/>
  <c r="V367" i="6"/>
  <c r="W367" i="6"/>
  <c r="H444" i="6"/>
  <c r="I444" i="6"/>
  <c r="J444" i="6"/>
  <c r="K444" i="6"/>
  <c r="L444" i="6"/>
  <c r="M444" i="6"/>
  <c r="O444" i="6"/>
  <c r="P444" i="6"/>
  <c r="Q444" i="6"/>
  <c r="R444" i="6"/>
  <c r="T444" i="6"/>
  <c r="U444" i="6"/>
  <c r="V444" i="6"/>
  <c r="W444" i="6"/>
  <c r="H956" i="6"/>
  <c r="I956" i="6"/>
  <c r="J956" i="6"/>
  <c r="K956" i="6"/>
  <c r="L956" i="6"/>
  <c r="M956" i="6"/>
  <c r="O956" i="6"/>
  <c r="P956" i="6"/>
  <c r="Q956" i="6"/>
  <c r="R956" i="6"/>
  <c r="S956" i="6"/>
  <c r="T956" i="6"/>
  <c r="U956" i="6"/>
  <c r="V956" i="6"/>
  <c r="W956" i="6"/>
  <c r="H165" i="6"/>
  <c r="I165" i="6"/>
  <c r="J165" i="6"/>
  <c r="K165" i="6"/>
  <c r="L165" i="6"/>
  <c r="M165" i="6"/>
  <c r="O165" i="6"/>
  <c r="P165" i="6"/>
  <c r="Q165" i="6"/>
  <c r="R165" i="6"/>
  <c r="T165" i="6"/>
  <c r="U165" i="6"/>
  <c r="V165" i="6"/>
  <c r="W165" i="6"/>
  <c r="H166" i="6"/>
  <c r="I166" i="6"/>
  <c r="J166" i="6"/>
  <c r="K166" i="6"/>
  <c r="L166" i="6"/>
  <c r="M166" i="6"/>
  <c r="O166" i="6"/>
  <c r="P166" i="6"/>
  <c r="Q166" i="6"/>
  <c r="R166" i="6"/>
  <c r="T166" i="6"/>
  <c r="U166" i="6"/>
  <c r="V166" i="6"/>
  <c r="W166" i="6"/>
  <c r="H119" i="6"/>
  <c r="I119" i="6"/>
  <c r="J119" i="6"/>
  <c r="K119" i="6"/>
  <c r="L119" i="6"/>
  <c r="M119" i="6"/>
  <c r="O119" i="6"/>
  <c r="P119" i="6"/>
  <c r="Q119" i="6"/>
  <c r="R119" i="6"/>
  <c r="T119" i="6"/>
  <c r="U119" i="6"/>
  <c r="V119" i="6"/>
  <c r="W119" i="6"/>
  <c r="H121" i="6"/>
  <c r="I121" i="6"/>
  <c r="J121" i="6"/>
  <c r="K121" i="6"/>
  <c r="L121" i="6"/>
  <c r="M121" i="6"/>
  <c r="O121" i="6"/>
  <c r="P121" i="6"/>
  <c r="Q121" i="6"/>
  <c r="R121" i="6"/>
  <c r="T121" i="6"/>
  <c r="U121" i="6"/>
  <c r="V121" i="6"/>
  <c r="W121" i="6"/>
  <c r="H122" i="6"/>
  <c r="I122" i="6"/>
  <c r="J122" i="6"/>
  <c r="K122" i="6"/>
  <c r="L122" i="6"/>
  <c r="M122" i="6"/>
  <c r="O122" i="6"/>
  <c r="P122" i="6"/>
  <c r="Q122" i="6"/>
  <c r="R122" i="6"/>
  <c r="S122" i="6"/>
  <c r="T122" i="6"/>
  <c r="U122" i="6"/>
  <c r="V122" i="6"/>
  <c r="W122" i="6"/>
  <c r="H1013" i="6"/>
  <c r="I1013" i="6"/>
  <c r="J1013" i="6"/>
  <c r="K1013" i="6"/>
  <c r="L1013" i="6"/>
  <c r="M1013" i="6"/>
  <c r="O1013" i="6"/>
  <c r="P1013" i="6"/>
  <c r="Q1013" i="6"/>
  <c r="R1013" i="6"/>
  <c r="T1013" i="6"/>
  <c r="U1013" i="6"/>
  <c r="V1013" i="6"/>
  <c r="W1013" i="6"/>
  <c r="H113" i="6"/>
  <c r="I113" i="6"/>
  <c r="J113" i="6"/>
  <c r="K113" i="6"/>
  <c r="L113" i="6"/>
  <c r="M113" i="6"/>
  <c r="O113" i="6"/>
  <c r="P113" i="6"/>
  <c r="Q113" i="6"/>
  <c r="R113" i="6"/>
  <c r="T113" i="6"/>
  <c r="U113" i="6"/>
  <c r="V113" i="6"/>
  <c r="W113" i="6"/>
  <c r="H114" i="6"/>
  <c r="I114" i="6"/>
  <c r="J114" i="6"/>
  <c r="K114" i="6"/>
  <c r="L114" i="6"/>
  <c r="M114" i="6"/>
  <c r="O114" i="6"/>
  <c r="P114" i="6"/>
  <c r="Q114" i="6"/>
  <c r="R114" i="6"/>
  <c r="T114" i="6"/>
  <c r="U114" i="6"/>
  <c r="V114" i="6"/>
  <c r="W114" i="6"/>
  <c r="H82" i="6"/>
  <c r="I82" i="6"/>
  <c r="J82" i="6"/>
  <c r="K82" i="6"/>
  <c r="L82" i="6"/>
  <c r="M82" i="6"/>
  <c r="O82" i="6"/>
  <c r="P82" i="6"/>
  <c r="Q82" i="6"/>
  <c r="R82" i="6"/>
  <c r="T82" i="6"/>
  <c r="U82" i="6"/>
  <c r="V82" i="6"/>
  <c r="W82" i="6"/>
  <c r="H393" i="6"/>
  <c r="I393" i="6"/>
  <c r="J393" i="6"/>
  <c r="K393" i="6"/>
  <c r="L393" i="6"/>
  <c r="M393" i="6"/>
  <c r="O393" i="6"/>
  <c r="P393" i="6"/>
  <c r="Q393" i="6"/>
  <c r="R393" i="6"/>
  <c r="T393" i="6"/>
  <c r="U393" i="6"/>
  <c r="V393" i="6"/>
  <c r="W393" i="6"/>
  <c r="H295" i="6"/>
  <c r="I295" i="6"/>
  <c r="J295" i="6"/>
  <c r="K295" i="6"/>
  <c r="L295" i="6"/>
  <c r="M295" i="6"/>
  <c r="O295" i="6"/>
  <c r="P295" i="6"/>
  <c r="Q295" i="6"/>
  <c r="R295" i="6"/>
  <c r="T295" i="6"/>
  <c r="U295" i="6"/>
  <c r="V295" i="6"/>
  <c r="W295" i="6"/>
  <c r="H433" i="6"/>
  <c r="I433" i="6"/>
  <c r="J433" i="6"/>
  <c r="K433" i="6"/>
  <c r="L433" i="6"/>
  <c r="M433" i="6"/>
  <c r="O433" i="6"/>
  <c r="P433" i="6"/>
  <c r="Q433" i="6"/>
  <c r="R433" i="6"/>
  <c r="T433" i="6"/>
  <c r="U433" i="6"/>
  <c r="V433" i="6"/>
  <c r="W433" i="6"/>
  <c r="H434" i="6"/>
  <c r="I434" i="6"/>
  <c r="J434" i="6"/>
  <c r="K434" i="6"/>
  <c r="L434" i="6"/>
  <c r="M434" i="6"/>
  <c r="O434" i="6"/>
  <c r="P434" i="6"/>
  <c r="Q434" i="6"/>
  <c r="R434" i="6"/>
  <c r="T434" i="6"/>
  <c r="U434" i="6"/>
  <c r="V434" i="6"/>
  <c r="W434" i="6"/>
  <c r="H466" i="6"/>
  <c r="I466" i="6"/>
  <c r="J466" i="6"/>
  <c r="K466" i="6"/>
  <c r="L466" i="6"/>
  <c r="M466" i="6"/>
  <c r="O466" i="6"/>
  <c r="P466" i="6"/>
  <c r="Q466" i="6"/>
  <c r="R466" i="6"/>
  <c r="T466" i="6"/>
  <c r="U466" i="6"/>
  <c r="V466" i="6"/>
  <c r="W466" i="6"/>
  <c r="H908" i="6"/>
  <c r="I908" i="6"/>
  <c r="J908" i="6"/>
  <c r="K908" i="6"/>
  <c r="L908" i="6"/>
  <c r="M908" i="6"/>
  <c r="O908" i="6"/>
  <c r="P908" i="6"/>
  <c r="Q908" i="6"/>
  <c r="R908" i="6"/>
  <c r="T908" i="6"/>
  <c r="U908" i="6"/>
  <c r="V908" i="6"/>
  <c r="W908" i="6"/>
  <c r="H909" i="6"/>
  <c r="I909" i="6"/>
  <c r="J909" i="6"/>
  <c r="K909" i="6"/>
  <c r="L909" i="6"/>
  <c r="M909" i="6"/>
  <c r="O909" i="6"/>
  <c r="P909" i="6"/>
  <c r="Q909" i="6"/>
  <c r="R909" i="6"/>
  <c r="T909" i="6"/>
  <c r="U909" i="6"/>
  <c r="V909" i="6"/>
  <c r="W909" i="6"/>
  <c r="X909" i="6"/>
  <c r="H272" i="6"/>
  <c r="I272" i="6"/>
  <c r="J272" i="6"/>
  <c r="K272" i="6"/>
  <c r="L272" i="6"/>
  <c r="M272" i="6"/>
  <c r="O272" i="6"/>
  <c r="P272" i="6"/>
  <c r="Q272" i="6"/>
  <c r="R272" i="6"/>
  <c r="T272" i="6"/>
  <c r="U272" i="6"/>
  <c r="V272" i="6"/>
  <c r="W272" i="6"/>
  <c r="H269" i="6"/>
  <c r="I269" i="6"/>
  <c r="J269" i="6"/>
  <c r="K269" i="6"/>
  <c r="L269" i="6"/>
  <c r="M269" i="6"/>
  <c r="O269" i="6"/>
  <c r="P269" i="6"/>
  <c r="Q269" i="6"/>
  <c r="R269" i="6"/>
  <c r="S269" i="6"/>
  <c r="T269" i="6"/>
  <c r="U269" i="6"/>
  <c r="V269" i="6"/>
  <c r="W269" i="6"/>
  <c r="H270" i="6"/>
  <c r="I270" i="6"/>
  <c r="J270" i="6"/>
  <c r="K270" i="6"/>
  <c r="L270" i="6"/>
  <c r="M270" i="6"/>
  <c r="O270" i="6"/>
  <c r="P270" i="6"/>
  <c r="Q270" i="6"/>
  <c r="R270" i="6"/>
  <c r="T270" i="6"/>
  <c r="U270" i="6"/>
  <c r="V270" i="6"/>
  <c r="W270" i="6"/>
  <c r="H271" i="6"/>
  <c r="I271" i="6"/>
  <c r="J271" i="6"/>
  <c r="K271" i="6"/>
  <c r="L271" i="6"/>
  <c r="M271" i="6"/>
  <c r="O271" i="6"/>
  <c r="P271" i="6"/>
  <c r="Q271" i="6"/>
  <c r="R271" i="6"/>
  <c r="T271" i="6"/>
  <c r="U271" i="6"/>
  <c r="V271" i="6"/>
  <c r="W271" i="6"/>
  <c r="H256" i="6"/>
  <c r="I256" i="6"/>
  <c r="J256" i="6"/>
  <c r="K256" i="6"/>
  <c r="L256" i="6"/>
  <c r="M256" i="6"/>
  <c r="O256" i="6"/>
  <c r="P256" i="6"/>
  <c r="Q256" i="6"/>
  <c r="R256" i="6"/>
  <c r="T256" i="6"/>
  <c r="U256" i="6"/>
  <c r="V256" i="6"/>
  <c r="W256" i="6"/>
  <c r="H257" i="6"/>
  <c r="I257" i="6"/>
  <c r="J257" i="6"/>
  <c r="K257" i="6"/>
  <c r="L257" i="6"/>
  <c r="M257" i="6"/>
  <c r="O257" i="6"/>
  <c r="P257" i="6"/>
  <c r="Q257" i="6"/>
  <c r="R257" i="6"/>
  <c r="T257" i="6"/>
  <c r="U257" i="6"/>
  <c r="V257" i="6"/>
  <c r="W257" i="6"/>
  <c r="H258" i="6"/>
  <c r="I258" i="6"/>
  <c r="J258" i="6"/>
  <c r="K258" i="6"/>
  <c r="L258" i="6"/>
  <c r="M258" i="6"/>
  <c r="N258" i="6"/>
  <c r="O258" i="6"/>
  <c r="P258" i="6"/>
  <c r="Q258" i="6"/>
  <c r="R258" i="6"/>
  <c r="T258" i="6"/>
  <c r="U258" i="6"/>
  <c r="V258" i="6"/>
  <c r="W258" i="6"/>
  <c r="H697" i="6"/>
  <c r="I697" i="6"/>
  <c r="J697" i="6"/>
  <c r="K697" i="6"/>
  <c r="L697" i="6"/>
  <c r="M697" i="6"/>
  <c r="O697" i="6"/>
  <c r="P697" i="6"/>
  <c r="Q697" i="6"/>
  <c r="R697" i="6"/>
  <c r="T697" i="6"/>
  <c r="U697" i="6"/>
  <c r="V697" i="6"/>
  <c r="W697" i="6"/>
  <c r="H698" i="6"/>
  <c r="I698" i="6"/>
  <c r="J698" i="6"/>
  <c r="K698" i="6"/>
  <c r="L698" i="6"/>
  <c r="M698" i="6"/>
  <c r="O698" i="6"/>
  <c r="P698" i="6"/>
  <c r="Q698" i="6"/>
  <c r="R698" i="6"/>
  <c r="S698" i="6"/>
  <c r="T698" i="6"/>
  <c r="U698" i="6"/>
  <c r="V698" i="6"/>
  <c r="W698" i="6"/>
  <c r="X698" i="6"/>
  <c r="H699" i="6"/>
  <c r="I699" i="6"/>
  <c r="J699" i="6"/>
  <c r="K699" i="6"/>
  <c r="L699" i="6"/>
  <c r="M699" i="6"/>
  <c r="O699" i="6"/>
  <c r="P699" i="6"/>
  <c r="Q699" i="6"/>
  <c r="R699" i="6"/>
  <c r="T699" i="6"/>
  <c r="U699" i="6"/>
  <c r="V699" i="6"/>
  <c r="W699" i="6"/>
  <c r="H834" i="6"/>
  <c r="I834" i="6"/>
  <c r="J834" i="6"/>
  <c r="K834" i="6"/>
  <c r="L834" i="6"/>
  <c r="M834" i="6"/>
  <c r="O834" i="6"/>
  <c r="P834" i="6"/>
  <c r="Q834" i="6"/>
  <c r="R834" i="6"/>
  <c r="S834" i="6"/>
  <c r="T834" i="6"/>
  <c r="U834" i="6"/>
  <c r="V834" i="6"/>
  <c r="W834" i="6"/>
  <c r="H835" i="6"/>
  <c r="I835" i="6"/>
  <c r="J835" i="6"/>
  <c r="K835" i="6"/>
  <c r="L835" i="6"/>
  <c r="M835" i="6"/>
  <c r="O835" i="6"/>
  <c r="P835" i="6"/>
  <c r="Q835" i="6"/>
  <c r="R835" i="6"/>
  <c r="T835" i="6"/>
  <c r="U835" i="6"/>
  <c r="V835" i="6"/>
  <c r="W835" i="6"/>
  <c r="H992" i="6"/>
  <c r="I992" i="6"/>
  <c r="J992" i="6"/>
  <c r="K992" i="6"/>
  <c r="L992" i="6"/>
  <c r="M992" i="6"/>
  <c r="O992" i="6"/>
  <c r="P992" i="6"/>
  <c r="Q992" i="6"/>
  <c r="R992" i="6"/>
  <c r="T992" i="6"/>
  <c r="U992" i="6"/>
  <c r="V992" i="6"/>
  <c r="W992" i="6"/>
  <c r="H545" i="6"/>
  <c r="I545" i="6"/>
  <c r="J545" i="6"/>
  <c r="K545" i="6"/>
  <c r="L545" i="6"/>
  <c r="M545" i="6"/>
  <c r="O545" i="6"/>
  <c r="P545" i="6"/>
  <c r="Q545" i="6"/>
  <c r="R545" i="6"/>
  <c r="T545" i="6"/>
  <c r="U545" i="6"/>
  <c r="V545" i="6"/>
  <c r="W545" i="6"/>
  <c r="H546" i="6"/>
  <c r="I546" i="6"/>
  <c r="J546" i="6"/>
  <c r="K546" i="6"/>
  <c r="L546" i="6"/>
  <c r="M546" i="6"/>
  <c r="O546" i="6"/>
  <c r="P546" i="6"/>
  <c r="Q546" i="6"/>
  <c r="R546" i="6"/>
  <c r="T546" i="6"/>
  <c r="U546" i="6"/>
  <c r="V546" i="6"/>
  <c r="W546" i="6"/>
  <c r="H888" i="6"/>
  <c r="I888" i="6"/>
  <c r="J888" i="6"/>
  <c r="K888" i="6"/>
  <c r="L888" i="6"/>
  <c r="M888" i="6"/>
  <c r="O888" i="6"/>
  <c r="P888" i="6"/>
  <c r="Q888" i="6"/>
  <c r="R888" i="6"/>
  <c r="T888" i="6"/>
  <c r="U888" i="6"/>
  <c r="V888" i="6"/>
  <c r="W888" i="6"/>
  <c r="H889" i="6"/>
  <c r="I889" i="6"/>
  <c r="J889" i="6"/>
  <c r="K889" i="6"/>
  <c r="L889" i="6"/>
  <c r="M889" i="6"/>
  <c r="O889" i="6"/>
  <c r="P889" i="6"/>
  <c r="Q889" i="6"/>
  <c r="R889" i="6"/>
  <c r="T889" i="6"/>
  <c r="U889" i="6"/>
  <c r="V889" i="6"/>
  <c r="W889" i="6"/>
  <c r="H188" i="6"/>
  <c r="I188" i="6"/>
  <c r="J188" i="6"/>
  <c r="K188" i="6"/>
  <c r="L188" i="6"/>
  <c r="M188" i="6"/>
  <c r="O188" i="6"/>
  <c r="P188" i="6"/>
  <c r="Q188" i="6"/>
  <c r="R188" i="6"/>
  <c r="T188" i="6"/>
  <c r="U188" i="6"/>
  <c r="V188" i="6"/>
  <c r="W188" i="6"/>
  <c r="H875" i="6"/>
  <c r="I875" i="6"/>
  <c r="J875" i="6"/>
  <c r="K875" i="6"/>
  <c r="L875" i="6"/>
  <c r="M875" i="6"/>
  <c r="O875" i="6"/>
  <c r="P875" i="6"/>
  <c r="Q875" i="6"/>
  <c r="R875" i="6"/>
  <c r="T875" i="6"/>
  <c r="U875" i="6"/>
  <c r="V875" i="6"/>
  <c r="W875" i="6"/>
  <c r="H876" i="6"/>
  <c r="I876" i="6"/>
  <c r="J876" i="6"/>
  <c r="K876" i="6"/>
  <c r="L876" i="6"/>
  <c r="M876" i="6"/>
  <c r="O876" i="6"/>
  <c r="P876" i="6"/>
  <c r="Q876" i="6"/>
  <c r="R876" i="6"/>
  <c r="T876" i="6"/>
  <c r="U876" i="6"/>
  <c r="V876" i="6"/>
  <c r="W876" i="6"/>
  <c r="H671" i="6"/>
  <c r="I671" i="6"/>
  <c r="J671" i="6"/>
  <c r="K671" i="6"/>
  <c r="L671" i="6"/>
  <c r="M671" i="6"/>
  <c r="O671" i="6"/>
  <c r="P671" i="6"/>
  <c r="Q671" i="6"/>
  <c r="R671" i="6"/>
  <c r="T671" i="6"/>
  <c r="U671" i="6"/>
  <c r="V671" i="6"/>
  <c r="W671" i="6"/>
  <c r="H105" i="6"/>
  <c r="I105" i="6"/>
  <c r="J105" i="6"/>
  <c r="K105" i="6"/>
  <c r="L105" i="6"/>
  <c r="M105" i="6"/>
  <c r="O105" i="6"/>
  <c r="P105" i="6"/>
  <c r="Q105" i="6"/>
  <c r="R105" i="6"/>
  <c r="T105" i="6"/>
  <c r="U105" i="6"/>
  <c r="V105" i="6"/>
  <c r="W105" i="6"/>
  <c r="H109" i="6"/>
  <c r="I109" i="6"/>
  <c r="J109" i="6"/>
  <c r="K109" i="6"/>
  <c r="L109" i="6"/>
  <c r="M109" i="6"/>
  <c r="O109" i="6"/>
  <c r="P109" i="6"/>
  <c r="Q109" i="6"/>
  <c r="R109" i="6"/>
  <c r="T109" i="6"/>
  <c r="U109" i="6"/>
  <c r="V109" i="6"/>
  <c r="W109" i="6"/>
  <c r="H110" i="6"/>
  <c r="I110" i="6"/>
  <c r="J110" i="6"/>
  <c r="K110" i="6"/>
  <c r="L110" i="6"/>
  <c r="M110" i="6"/>
  <c r="O110" i="6"/>
  <c r="P110" i="6"/>
  <c r="Q110" i="6"/>
  <c r="R110" i="6"/>
  <c r="T110" i="6"/>
  <c r="U110" i="6"/>
  <c r="V110" i="6"/>
  <c r="W110" i="6"/>
  <c r="H1023" i="6"/>
  <c r="I1023" i="6"/>
  <c r="J1023" i="6"/>
  <c r="K1023" i="6"/>
  <c r="L1023" i="6"/>
  <c r="M1023" i="6"/>
  <c r="O1023" i="6"/>
  <c r="P1023" i="6"/>
  <c r="Q1023" i="6"/>
  <c r="R1023" i="6"/>
  <c r="T1023" i="6"/>
  <c r="U1023" i="6"/>
  <c r="V1023" i="6"/>
  <c r="W1023" i="6"/>
  <c r="H102" i="6"/>
  <c r="I102" i="6"/>
  <c r="J102" i="6"/>
  <c r="K102" i="6"/>
  <c r="L102" i="6"/>
  <c r="M102" i="6"/>
  <c r="O102" i="6"/>
  <c r="P102" i="6"/>
  <c r="Q102" i="6"/>
  <c r="R102" i="6"/>
  <c r="T102" i="6"/>
  <c r="U102" i="6"/>
  <c r="V102" i="6"/>
  <c r="W102" i="6"/>
  <c r="H103" i="6"/>
  <c r="I103" i="6"/>
  <c r="J103" i="6"/>
  <c r="K103" i="6"/>
  <c r="L103" i="6"/>
  <c r="M103" i="6"/>
  <c r="O103" i="6"/>
  <c r="P103" i="6"/>
  <c r="Q103" i="6"/>
  <c r="R103" i="6"/>
  <c r="T103" i="6"/>
  <c r="U103" i="6"/>
  <c r="V103" i="6"/>
  <c r="W103" i="6"/>
  <c r="H966" i="6"/>
  <c r="I966" i="6"/>
  <c r="J966" i="6"/>
  <c r="K966" i="6"/>
  <c r="L966" i="6"/>
  <c r="M966" i="6"/>
  <c r="O966" i="6"/>
  <c r="P966" i="6"/>
  <c r="Q966" i="6"/>
  <c r="R966" i="6"/>
  <c r="T966" i="6"/>
  <c r="U966" i="6"/>
  <c r="V966" i="6"/>
  <c r="W966" i="6"/>
  <c r="H949" i="6"/>
  <c r="I949" i="6"/>
  <c r="J949" i="6"/>
  <c r="K949" i="6"/>
  <c r="L949" i="6"/>
  <c r="M949" i="6"/>
  <c r="O949" i="6"/>
  <c r="P949" i="6"/>
  <c r="Q949" i="6"/>
  <c r="R949" i="6"/>
  <c r="T949" i="6"/>
  <c r="U949" i="6"/>
  <c r="V949" i="6"/>
  <c r="W949" i="6"/>
  <c r="H186" i="6"/>
  <c r="I186" i="6"/>
  <c r="J186" i="6"/>
  <c r="K186" i="6"/>
  <c r="L186" i="6"/>
  <c r="M186" i="6"/>
  <c r="O186" i="6"/>
  <c r="P186" i="6"/>
  <c r="Q186" i="6"/>
  <c r="R186" i="6"/>
  <c r="T186" i="6"/>
  <c r="U186" i="6"/>
  <c r="V186" i="6"/>
  <c r="W186" i="6"/>
  <c r="H183" i="6"/>
  <c r="I183" i="6"/>
  <c r="J183" i="6"/>
  <c r="K183" i="6"/>
  <c r="L183" i="6"/>
  <c r="M183" i="6"/>
  <c r="O183" i="6"/>
  <c r="P183" i="6"/>
  <c r="Q183" i="6"/>
  <c r="R183" i="6"/>
  <c r="T183" i="6"/>
  <c r="U183" i="6"/>
  <c r="V183" i="6"/>
  <c r="W183" i="6"/>
  <c r="H184" i="6"/>
  <c r="I184" i="6"/>
  <c r="J184" i="6"/>
  <c r="K184" i="6"/>
  <c r="L184" i="6"/>
  <c r="M184" i="6"/>
  <c r="O184" i="6"/>
  <c r="P184" i="6"/>
  <c r="Q184" i="6"/>
  <c r="R184" i="6"/>
  <c r="T184" i="6"/>
  <c r="U184" i="6"/>
  <c r="V184" i="6"/>
  <c r="W184" i="6"/>
  <c r="H187" i="6"/>
  <c r="I187" i="6"/>
  <c r="J187" i="6"/>
  <c r="K187" i="6"/>
  <c r="L187" i="6"/>
  <c r="M187" i="6"/>
  <c r="O187" i="6"/>
  <c r="P187" i="6"/>
  <c r="Q187" i="6"/>
  <c r="R187" i="6"/>
  <c r="T187" i="6"/>
  <c r="U187" i="6"/>
  <c r="V187" i="6"/>
  <c r="W187" i="6"/>
  <c r="H185" i="6"/>
  <c r="I185" i="6"/>
  <c r="J185" i="6"/>
  <c r="K185" i="6"/>
  <c r="L185" i="6"/>
  <c r="M185" i="6"/>
  <c r="O185" i="6"/>
  <c r="P185" i="6"/>
  <c r="Q185" i="6"/>
  <c r="R185" i="6"/>
  <c r="T185" i="6"/>
  <c r="U185" i="6"/>
  <c r="V185" i="6"/>
  <c r="W185" i="6"/>
  <c r="H1011" i="6"/>
  <c r="I1011" i="6"/>
  <c r="J1011" i="6"/>
  <c r="K1011" i="6"/>
  <c r="L1011" i="6"/>
  <c r="M1011" i="6"/>
  <c r="O1011" i="6"/>
  <c r="P1011" i="6"/>
  <c r="Q1011" i="6"/>
  <c r="R1011" i="6"/>
  <c r="T1011" i="6"/>
  <c r="U1011" i="6"/>
  <c r="V1011" i="6"/>
  <c r="W1011" i="6"/>
  <c r="H180" i="6"/>
  <c r="I180" i="6"/>
  <c r="J180" i="6"/>
  <c r="K180" i="6"/>
  <c r="L180" i="6"/>
  <c r="M180" i="6"/>
  <c r="O180" i="6"/>
  <c r="P180" i="6"/>
  <c r="Q180" i="6"/>
  <c r="R180" i="6"/>
  <c r="T180" i="6"/>
  <c r="U180" i="6"/>
  <c r="V180" i="6"/>
  <c r="W180" i="6"/>
  <c r="H181" i="6"/>
  <c r="I181" i="6"/>
  <c r="J181" i="6"/>
  <c r="K181" i="6"/>
  <c r="L181" i="6"/>
  <c r="M181" i="6"/>
  <c r="O181" i="6"/>
  <c r="P181" i="6"/>
  <c r="Q181" i="6"/>
  <c r="R181" i="6"/>
  <c r="T181" i="6"/>
  <c r="U181" i="6"/>
  <c r="V181" i="6"/>
  <c r="W181" i="6"/>
  <c r="H46" i="6"/>
  <c r="I46" i="6"/>
  <c r="J46" i="6"/>
  <c r="K46" i="6"/>
  <c r="L46" i="6"/>
  <c r="M46" i="6"/>
  <c r="O46" i="6"/>
  <c r="P46" i="6"/>
  <c r="Q46" i="6"/>
  <c r="R46" i="6"/>
  <c r="T46" i="6"/>
  <c r="U46" i="6"/>
  <c r="V46" i="6"/>
  <c r="W46" i="6"/>
  <c r="H285" i="6"/>
  <c r="I285" i="6"/>
  <c r="J285" i="6"/>
  <c r="K285" i="6"/>
  <c r="L285" i="6"/>
  <c r="M285" i="6"/>
  <c r="O285" i="6"/>
  <c r="P285" i="6"/>
  <c r="Q285" i="6"/>
  <c r="R285" i="6"/>
  <c r="S285" i="6"/>
  <c r="T285" i="6"/>
  <c r="U285" i="6"/>
  <c r="V285" i="6"/>
  <c r="W285" i="6"/>
  <c r="X285" i="6"/>
  <c r="H67" i="6"/>
  <c r="I67" i="6"/>
  <c r="J67" i="6"/>
  <c r="K67" i="6"/>
  <c r="L67" i="6"/>
  <c r="M67" i="6"/>
  <c r="N67" i="6"/>
  <c r="O67" i="6"/>
  <c r="P67" i="6"/>
  <c r="Q67" i="6"/>
  <c r="R67" i="6"/>
  <c r="T67" i="6"/>
  <c r="U67" i="6"/>
  <c r="V67" i="6"/>
  <c r="W67" i="6"/>
  <c r="H803" i="6"/>
  <c r="I803" i="6"/>
  <c r="J803" i="6"/>
  <c r="K803" i="6"/>
  <c r="L803" i="6"/>
  <c r="M803" i="6"/>
  <c r="O803" i="6"/>
  <c r="P803" i="6"/>
  <c r="Q803" i="6"/>
  <c r="R803" i="6"/>
  <c r="T803" i="6"/>
  <c r="U803" i="6"/>
  <c r="V803" i="6"/>
  <c r="W803" i="6"/>
  <c r="H804" i="6"/>
  <c r="I804" i="6"/>
  <c r="J804" i="6"/>
  <c r="K804" i="6"/>
  <c r="L804" i="6"/>
  <c r="M804" i="6"/>
  <c r="O804" i="6"/>
  <c r="P804" i="6"/>
  <c r="Q804" i="6"/>
  <c r="R804" i="6"/>
  <c r="S804" i="6"/>
  <c r="T804" i="6"/>
  <c r="U804" i="6"/>
  <c r="V804" i="6"/>
  <c r="W804" i="6"/>
  <c r="X804" i="6"/>
  <c r="H666" i="6"/>
  <c r="I666" i="6"/>
  <c r="J666" i="6"/>
  <c r="K666" i="6"/>
  <c r="L666" i="6"/>
  <c r="M666" i="6"/>
  <c r="O666" i="6"/>
  <c r="P666" i="6"/>
  <c r="Q666" i="6"/>
  <c r="R666" i="6"/>
  <c r="T666" i="6"/>
  <c r="U666" i="6"/>
  <c r="V666" i="6"/>
  <c r="W666" i="6"/>
  <c r="H667" i="6"/>
  <c r="I667" i="6"/>
  <c r="J667" i="6"/>
  <c r="K667" i="6"/>
  <c r="L667" i="6"/>
  <c r="M667" i="6"/>
  <c r="O667" i="6"/>
  <c r="P667" i="6"/>
  <c r="Q667" i="6"/>
  <c r="R667" i="6"/>
  <c r="T667" i="6"/>
  <c r="U667" i="6"/>
  <c r="V667" i="6"/>
  <c r="W667" i="6"/>
  <c r="H518" i="6"/>
  <c r="I518" i="6"/>
  <c r="J518" i="6"/>
  <c r="K518" i="6"/>
  <c r="L518" i="6"/>
  <c r="M518" i="6"/>
  <c r="O518" i="6"/>
  <c r="P518" i="6"/>
  <c r="Q518" i="6"/>
  <c r="R518" i="6"/>
  <c r="T518" i="6"/>
  <c r="U518" i="6"/>
  <c r="V518" i="6"/>
  <c r="W518" i="6"/>
  <c r="H520" i="6"/>
  <c r="I520" i="6"/>
  <c r="J520" i="6"/>
  <c r="K520" i="6"/>
  <c r="L520" i="6"/>
  <c r="M520" i="6"/>
  <c r="O520" i="6"/>
  <c r="P520" i="6"/>
  <c r="Q520" i="6"/>
  <c r="R520" i="6"/>
  <c r="T520" i="6"/>
  <c r="U520" i="6"/>
  <c r="V520" i="6"/>
  <c r="W520" i="6"/>
  <c r="H519" i="6"/>
  <c r="I519" i="6"/>
  <c r="J519" i="6"/>
  <c r="K519" i="6"/>
  <c r="L519" i="6"/>
  <c r="M519" i="6"/>
  <c r="O519" i="6"/>
  <c r="P519" i="6"/>
  <c r="Q519" i="6"/>
  <c r="R519" i="6"/>
  <c r="T519" i="6"/>
  <c r="U519" i="6"/>
  <c r="V519" i="6"/>
  <c r="W519" i="6"/>
  <c r="H748" i="6"/>
  <c r="I748" i="6"/>
  <c r="J748" i="6"/>
  <c r="K748" i="6"/>
  <c r="L748" i="6"/>
  <c r="M748" i="6"/>
  <c r="O748" i="6"/>
  <c r="P748" i="6"/>
  <c r="Q748" i="6"/>
  <c r="R748" i="6"/>
  <c r="T748" i="6"/>
  <c r="U748" i="6"/>
  <c r="V748" i="6"/>
  <c r="W748" i="6"/>
  <c r="H750" i="6"/>
  <c r="I750" i="6"/>
  <c r="J750" i="6"/>
  <c r="K750" i="6"/>
  <c r="L750" i="6"/>
  <c r="M750" i="6"/>
  <c r="O750" i="6"/>
  <c r="P750" i="6"/>
  <c r="Q750" i="6"/>
  <c r="R750" i="6"/>
  <c r="T750" i="6"/>
  <c r="U750" i="6"/>
  <c r="V750" i="6"/>
  <c r="W750" i="6"/>
  <c r="H749" i="6"/>
  <c r="I749" i="6"/>
  <c r="J749" i="6"/>
  <c r="K749" i="6"/>
  <c r="L749" i="6"/>
  <c r="M749" i="6"/>
  <c r="O749" i="6"/>
  <c r="P749" i="6"/>
  <c r="Q749" i="6"/>
  <c r="R749" i="6"/>
  <c r="T749" i="6"/>
  <c r="U749" i="6"/>
  <c r="V749" i="6"/>
  <c r="W749" i="6"/>
  <c r="H895" i="6"/>
  <c r="I895" i="6"/>
  <c r="J895" i="6"/>
  <c r="K895" i="6"/>
  <c r="L895" i="6"/>
  <c r="M895" i="6"/>
  <c r="O895" i="6"/>
  <c r="P895" i="6"/>
  <c r="Q895" i="6"/>
  <c r="R895" i="6"/>
  <c r="T895" i="6"/>
  <c r="U895" i="6"/>
  <c r="V895" i="6"/>
  <c r="W895" i="6"/>
  <c r="H896" i="6"/>
  <c r="I896" i="6"/>
  <c r="J896" i="6"/>
  <c r="K896" i="6"/>
  <c r="L896" i="6"/>
  <c r="M896" i="6"/>
  <c r="O896" i="6"/>
  <c r="P896" i="6"/>
  <c r="Q896" i="6"/>
  <c r="R896" i="6"/>
  <c r="T896" i="6"/>
  <c r="U896" i="6"/>
  <c r="V896" i="6"/>
  <c r="W896" i="6"/>
  <c r="H397" i="6"/>
  <c r="I397" i="6"/>
  <c r="J397" i="6"/>
  <c r="K397" i="6"/>
  <c r="L397" i="6"/>
  <c r="M397" i="6"/>
  <c r="O397" i="6"/>
  <c r="P397" i="6"/>
  <c r="Q397" i="6"/>
  <c r="R397" i="6"/>
  <c r="T397" i="6"/>
  <c r="U397" i="6"/>
  <c r="V397" i="6"/>
  <c r="W397" i="6"/>
  <c r="H394" i="6"/>
  <c r="I394" i="6"/>
  <c r="J394" i="6"/>
  <c r="K394" i="6"/>
  <c r="L394" i="6"/>
  <c r="M394" i="6"/>
  <c r="O394" i="6"/>
  <c r="P394" i="6"/>
  <c r="Q394" i="6"/>
  <c r="R394" i="6"/>
  <c r="T394" i="6"/>
  <c r="U394" i="6"/>
  <c r="V394" i="6"/>
  <c r="W394" i="6"/>
  <c r="H951" i="6"/>
  <c r="I951" i="6"/>
  <c r="J951" i="6"/>
  <c r="K951" i="6"/>
  <c r="L951" i="6"/>
  <c r="M951" i="6"/>
  <c r="O951" i="6"/>
  <c r="P951" i="6"/>
  <c r="Q951" i="6"/>
  <c r="R951" i="6"/>
  <c r="T951" i="6"/>
  <c r="U951" i="6"/>
  <c r="V951" i="6"/>
  <c r="W951" i="6"/>
  <c r="H939" i="6"/>
  <c r="I939" i="6"/>
  <c r="J939" i="6"/>
  <c r="K939" i="6"/>
  <c r="L939" i="6"/>
  <c r="M939" i="6"/>
  <c r="O939" i="6"/>
  <c r="P939" i="6"/>
  <c r="Q939" i="6"/>
  <c r="R939" i="6"/>
  <c r="T939" i="6"/>
  <c r="U939" i="6"/>
  <c r="V939" i="6"/>
  <c r="W939" i="6"/>
  <c r="H925" i="6"/>
  <c r="I925" i="6"/>
  <c r="J925" i="6"/>
  <c r="K925" i="6"/>
  <c r="L925" i="6"/>
  <c r="M925" i="6"/>
  <c r="O925" i="6"/>
  <c r="P925" i="6"/>
  <c r="Q925" i="6"/>
  <c r="R925" i="6"/>
  <c r="T925" i="6"/>
  <c r="U925" i="6"/>
  <c r="V925" i="6"/>
  <c r="W925" i="6"/>
  <c r="H926" i="6"/>
  <c r="I926" i="6"/>
  <c r="J926" i="6"/>
  <c r="K926" i="6"/>
  <c r="L926" i="6"/>
  <c r="M926" i="6"/>
  <c r="O926" i="6"/>
  <c r="P926" i="6"/>
  <c r="Q926" i="6"/>
  <c r="R926" i="6"/>
  <c r="S926" i="6"/>
  <c r="T926" i="6"/>
  <c r="U926" i="6"/>
  <c r="V926" i="6"/>
  <c r="W926" i="6"/>
  <c r="H714" i="6"/>
  <c r="I714" i="6"/>
  <c r="J714" i="6"/>
  <c r="K714" i="6"/>
  <c r="L714" i="6"/>
  <c r="M714" i="6"/>
  <c r="O714" i="6"/>
  <c r="P714" i="6"/>
  <c r="Q714" i="6"/>
  <c r="R714" i="6"/>
  <c r="T714" i="6"/>
  <c r="U714" i="6"/>
  <c r="V714" i="6"/>
  <c r="W714" i="6"/>
  <c r="H683" i="6"/>
  <c r="I683" i="6"/>
  <c r="J683" i="6"/>
  <c r="K683" i="6"/>
  <c r="L683" i="6"/>
  <c r="M683" i="6"/>
  <c r="O683" i="6"/>
  <c r="P683" i="6"/>
  <c r="Q683" i="6"/>
  <c r="R683" i="6"/>
  <c r="T683" i="6"/>
  <c r="U683" i="6"/>
  <c r="V683" i="6"/>
  <c r="W683" i="6"/>
  <c r="H741" i="6"/>
  <c r="I741" i="6"/>
  <c r="J741" i="6"/>
  <c r="K741" i="6"/>
  <c r="L741" i="6"/>
  <c r="M741" i="6"/>
  <c r="O741" i="6"/>
  <c r="P741" i="6"/>
  <c r="Q741" i="6"/>
  <c r="R741" i="6"/>
  <c r="T741" i="6"/>
  <c r="U741" i="6"/>
  <c r="V741" i="6"/>
  <c r="W741" i="6"/>
  <c r="H965" i="6"/>
  <c r="I965" i="6"/>
  <c r="J965" i="6"/>
  <c r="K965" i="6"/>
  <c r="L965" i="6"/>
  <c r="M965" i="6"/>
  <c r="O965" i="6"/>
  <c r="P965" i="6"/>
  <c r="Q965" i="6"/>
  <c r="R965" i="6"/>
  <c r="T965" i="6"/>
  <c r="U965" i="6"/>
  <c r="V965" i="6"/>
  <c r="W965" i="6"/>
  <c r="H438" i="6"/>
  <c r="I438" i="6"/>
  <c r="J438" i="6"/>
  <c r="K438" i="6"/>
  <c r="L438" i="6"/>
  <c r="M438" i="6"/>
  <c r="O438" i="6"/>
  <c r="P438" i="6"/>
  <c r="Q438" i="6"/>
  <c r="R438" i="6"/>
  <c r="T438" i="6"/>
  <c r="U438" i="6"/>
  <c r="V438" i="6"/>
  <c r="W438" i="6"/>
  <c r="H802" i="6"/>
  <c r="I802" i="6"/>
  <c r="J802" i="6"/>
  <c r="K802" i="6"/>
  <c r="L802" i="6"/>
  <c r="M802" i="6"/>
  <c r="O802" i="6"/>
  <c r="P802" i="6"/>
  <c r="Q802" i="6"/>
  <c r="R802" i="6"/>
  <c r="T802" i="6"/>
  <c r="U802" i="6"/>
  <c r="V802" i="6"/>
  <c r="W802" i="6"/>
  <c r="H905" i="6"/>
  <c r="I905" i="6"/>
  <c r="J905" i="6"/>
  <c r="K905" i="6"/>
  <c r="L905" i="6"/>
  <c r="M905" i="6"/>
  <c r="O905" i="6"/>
  <c r="P905" i="6"/>
  <c r="Q905" i="6"/>
  <c r="R905" i="6"/>
  <c r="T905" i="6"/>
  <c r="U905" i="6"/>
  <c r="V905" i="6"/>
  <c r="W905" i="6"/>
  <c r="H906" i="6"/>
  <c r="I906" i="6"/>
  <c r="J906" i="6"/>
  <c r="K906" i="6"/>
  <c r="L906" i="6"/>
  <c r="M906" i="6"/>
  <c r="O906" i="6"/>
  <c r="P906" i="6"/>
  <c r="Q906" i="6"/>
  <c r="R906" i="6"/>
  <c r="T906" i="6"/>
  <c r="U906" i="6"/>
  <c r="V906" i="6"/>
  <c r="W906" i="6"/>
  <c r="X906" i="6"/>
  <c r="H419" i="6"/>
  <c r="I419" i="6"/>
  <c r="J419" i="6"/>
  <c r="K419" i="6"/>
  <c r="L419" i="6"/>
  <c r="M419" i="6"/>
  <c r="O419" i="6"/>
  <c r="P419" i="6"/>
  <c r="Q419" i="6"/>
  <c r="R419" i="6"/>
  <c r="T419" i="6"/>
  <c r="U419" i="6"/>
  <c r="V419" i="6"/>
  <c r="W419" i="6"/>
  <c r="H418" i="6"/>
  <c r="I418" i="6"/>
  <c r="J418" i="6"/>
  <c r="K418" i="6"/>
  <c r="L418" i="6"/>
  <c r="M418" i="6"/>
  <c r="O418" i="6"/>
  <c r="P418" i="6"/>
  <c r="Q418" i="6"/>
  <c r="R418" i="6"/>
  <c r="S418" i="6"/>
  <c r="T418" i="6"/>
  <c r="U418" i="6"/>
  <c r="V418" i="6"/>
  <c r="W418" i="6"/>
  <c r="H420" i="6"/>
  <c r="I420" i="6"/>
  <c r="J420" i="6"/>
  <c r="K420" i="6"/>
  <c r="L420" i="6"/>
  <c r="M420" i="6"/>
  <c r="O420" i="6"/>
  <c r="P420" i="6"/>
  <c r="Q420" i="6"/>
  <c r="R420" i="6"/>
  <c r="S420" i="6"/>
  <c r="T420" i="6"/>
  <c r="U420" i="6"/>
  <c r="V420" i="6"/>
  <c r="W420" i="6"/>
  <c r="X420" i="6"/>
  <c r="H1002" i="6"/>
  <c r="I1002" i="6"/>
  <c r="J1002" i="6"/>
  <c r="K1002" i="6"/>
  <c r="L1002" i="6"/>
  <c r="M1002" i="6"/>
  <c r="O1002" i="6"/>
  <c r="P1002" i="6"/>
  <c r="Q1002" i="6"/>
  <c r="R1002" i="6"/>
  <c r="T1002" i="6"/>
  <c r="U1002" i="6"/>
  <c r="V1002" i="6"/>
  <c r="W1002" i="6"/>
  <c r="H124" i="6"/>
  <c r="I124" i="6"/>
  <c r="J124" i="6"/>
  <c r="K124" i="6"/>
  <c r="L124" i="6"/>
  <c r="M124" i="6"/>
  <c r="O124" i="6"/>
  <c r="P124" i="6"/>
  <c r="Q124" i="6"/>
  <c r="R124" i="6"/>
  <c r="T124" i="6"/>
  <c r="U124" i="6"/>
  <c r="V124" i="6"/>
  <c r="W124" i="6"/>
  <c r="H832" i="6"/>
  <c r="I832" i="6"/>
  <c r="J832" i="6"/>
  <c r="K832" i="6"/>
  <c r="L832" i="6"/>
  <c r="M832" i="6"/>
  <c r="O832" i="6"/>
  <c r="P832" i="6"/>
  <c r="Q832" i="6"/>
  <c r="R832" i="6"/>
  <c r="T832" i="6"/>
  <c r="U832" i="6"/>
  <c r="V832" i="6"/>
  <c r="W832" i="6"/>
  <c r="H831" i="6"/>
  <c r="I831" i="6"/>
  <c r="J831" i="6"/>
  <c r="K831" i="6"/>
  <c r="L831" i="6"/>
  <c r="M831" i="6"/>
  <c r="O831" i="6"/>
  <c r="P831" i="6"/>
  <c r="Q831" i="6"/>
  <c r="R831" i="6"/>
  <c r="T831" i="6"/>
  <c r="U831" i="6"/>
  <c r="V831" i="6"/>
  <c r="W831" i="6"/>
  <c r="H116" i="6"/>
  <c r="I116" i="6"/>
  <c r="J116" i="6"/>
  <c r="K116" i="6"/>
  <c r="L116" i="6"/>
  <c r="M116" i="6"/>
  <c r="O116" i="6"/>
  <c r="P116" i="6"/>
  <c r="Q116" i="6"/>
  <c r="R116" i="6"/>
  <c r="T116" i="6"/>
  <c r="U116" i="6"/>
  <c r="V116" i="6"/>
  <c r="W116" i="6"/>
  <c r="H117" i="6"/>
  <c r="I117" i="6"/>
  <c r="J117" i="6"/>
  <c r="K117" i="6"/>
  <c r="L117" i="6"/>
  <c r="M117" i="6"/>
  <c r="O117" i="6"/>
  <c r="P117" i="6"/>
  <c r="Q117" i="6"/>
  <c r="R117" i="6"/>
  <c r="T117" i="6"/>
  <c r="U117" i="6"/>
  <c r="V117" i="6"/>
  <c r="W117" i="6"/>
  <c r="H959" i="6"/>
  <c r="I959" i="6"/>
  <c r="J959" i="6"/>
  <c r="K959" i="6"/>
  <c r="L959" i="6"/>
  <c r="M959" i="6"/>
  <c r="N959" i="6"/>
  <c r="O959" i="6"/>
  <c r="P959" i="6"/>
  <c r="Q959" i="6"/>
  <c r="R959" i="6"/>
  <c r="T959" i="6"/>
  <c r="U959" i="6"/>
  <c r="V959" i="6"/>
  <c r="W959" i="6"/>
  <c r="H226" i="6"/>
  <c r="I226" i="6"/>
  <c r="J226" i="6"/>
  <c r="K226" i="6"/>
  <c r="L226" i="6"/>
  <c r="M226" i="6"/>
  <c r="O226" i="6"/>
  <c r="P226" i="6"/>
  <c r="Q226" i="6"/>
  <c r="R226" i="6"/>
  <c r="T226" i="6"/>
  <c r="U226" i="6"/>
  <c r="V226" i="6"/>
  <c r="W226" i="6"/>
  <c r="H191" i="6"/>
  <c r="I191" i="6"/>
  <c r="J191" i="6"/>
  <c r="K191" i="6"/>
  <c r="L191" i="6"/>
  <c r="M191" i="6"/>
  <c r="O191" i="6"/>
  <c r="P191" i="6"/>
  <c r="Q191" i="6"/>
  <c r="R191" i="6"/>
  <c r="T191" i="6"/>
  <c r="U191" i="6"/>
  <c r="V191" i="6"/>
  <c r="W191" i="6"/>
  <c r="X191" i="6"/>
  <c r="H968" i="6"/>
  <c r="I968" i="6"/>
  <c r="J968" i="6"/>
  <c r="K968" i="6"/>
  <c r="L968" i="6"/>
  <c r="M968" i="6"/>
  <c r="O968" i="6"/>
  <c r="P968" i="6"/>
  <c r="Q968" i="6"/>
  <c r="R968" i="6"/>
  <c r="T968" i="6"/>
  <c r="U968" i="6"/>
  <c r="V968" i="6"/>
  <c r="W968" i="6"/>
  <c r="H658" i="6"/>
  <c r="I658" i="6"/>
  <c r="J658" i="6"/>
  <c r="K658" i="6"/>
  <c r="L658" i="6"/>
  <c r="M658" i="6"/>
  <c r="O658" i="6"/>
  <c r="P658" i="6"/>
  <c r="Q658" i="6"/>
  <c r="R658" i="6"/>
  <c r="S658" i="6"/>
  <c r="T658" i="6"/>
  <c r="U658" i="6"/>
  <c r="V658" i="6"/>
  <c r="W658" i="6"/>
  <c r="H657" i="6"/>
  <c r="I657" i="6"/>
  <c r="J657" i="6"/>
  <c r="K657" i="6"/>
  <c r="L657" i="6"/>
  <c r="M657" i="6"/>
  <c r="O657" i="6"/>
  <c r="P657" i="6"/>
  <c r="Q657" i="6"/>
  <c r="R657" i="6"/>
  <c r="T657" i="6"/>
  <c r="U657" i="6"/>
  <c r="V657" i="6"/>
  <c r="W657" i="6"/>
  <c r="H659" i="6"/>
  <c r="I659" i="6"/>
  <c r="J659" i="6"/>
  <c r="K659" i="6"/>
  <c r="L659" i="6"/>
  <c r="M659" i="6"/>
  <c r="O659" i="6"/>
  <c r="P659" i="6"/>
  <c r="Q659" i="6"/>
  <c r="R659" i="6"/>
  <c r="T659" i="6"/>
  <c r="U659" i="6"/>
  <c r="V659" i="6"/>
  <c r="W659" i="6"/>
  <c r="H982" i="6"/>
  <c r="I982" i="6"/>
  <c r="J982" i="6"/>
  <c r="K982" i="6"/>
  <c r="L982" i="6"/>
  <c r="M982" i="6"/>
  <c r="O982" i="6"/>
  <c r="P982" i="6"/>
  <c r="Q982" i="6"/>
  <c r="R982" i="6"/>
  <c r="T982" i="6"/>
  <c r="U982" i="6"/>
  <c r="V982" i="6"/>
  <c r="W982" i="6"/>
  <c r="H969" i="6"/>
  <c r="I969" i="6"/>
  <c r="J969" i="6"/>
  <c r="K969" i="6"/>
  <c r="L969" i="6"/>
  <c r="M969" i="6"/>
  <c r="O969" i="6"/>
  <c r="P969" i="6"/>
  <c r="Q969" i="6"/>
  <c r="R969" i="6"/>
  <c r="T969" i="6"/>
  <c r="U969" i="6"/>
  <c r="V969" i="6"/>
  <c r="W969" i="6"/>
  <c r="H729" i="6"/>
  <c r="I729" i="6"/>
  <c r="J729" i="6"/>
  <c r="K729" i="6"/>
  <c r="L729" i="6"/>
  <c r="M729" i="6"/>
  <c r="O729" i="6"/>
  <c r="P729" i="6"/>
  <c r="Q729" i="6"/>
  <c r="R729" i="6"/>
  <c r="T729" i="6"/>
  <c r="U729" i="6"/>
  <c r="V729" i="6"/>
  <c r="W729" i="6"/>
  <c r="H728" i="6"/>
  <c r="I728" i="6"/>
  <c r="J728" i="6"/>
  <c r="K728" i="6"/>
  <c r="L728" i="6"/>
  <c r="M728" i="6"/>
  <c r="O728" i="6"/>
  <c r="P728" i="6"/>
  <c r="Q728" i="6"/>
  <c r="R728" i="6"/>
  <c r="T728" i="6"/>
  <c r="U728" i="6"/>
  <c r="V728" i="6"/>
  <c r="W728" i="6"/>
  <c r="H730" i="6"/>
  <c r="I730" i="6"/>
  <c r="J730" i="6"/>
  <c r="K730" i="6"/>
  <c r="L730" i="6"/>
  <c r="M730" i="6"/>
  <c r="O730" i="6"/>
  <c r="P730" i="6"/>
  <c r="Q730" i="6"/>
  <c r="R730" i="6"/>
  <c r="T730" i="6"/>
  <c r="U730" i="6"/>
  <c r="V730" i="6"/>
  <c r="W730" i="6"/>
  <c r="H468" i="6"/>
  <c r="I468" i="6"/>
  <c r="J468" i="6"/>
  <c r="K468" i="6"/>
  <c r="L468" i="6"/>
  <c r="M468" i="6"/>
  <c r="N468" i="6"/>
  <c r="O468" i="6"/>
  <c r="P468" i="6"/>
  <c r="Q468" i="6"/>
  <c r="R468" i="6"/>
  <c r="T468" i="6"/>
  <c r="U468" i="6"/>
  <c r="V468" i="6"/>
  <c r="W468" i="6"/>
  <c r="H467" i="6"/>
  <c r="I467" i="6"/>
  <c r="J467" i="6"/>
  <c r="K467" i="6"/>
  <c r="L467" i="6"/>
  <c r="M467" i="6"/>
  <c r="O467" i="6"/>
  <c r="P467" i="6"/>
  <c r="Q467" i="6"/>
  <c r="R467" i="6"/>
  <c r="T467" i="6"/>
  <c r="U467" i="6"/>
  <c r="V467" i="6"/>
  <c r="W467" i="6"/>
  <c r="H469" i="6"/>
  <c r="I469" i="6"/>
  <c r="J469" i="6"/>
  <c r="K469" i="6"/>
  <c r="L469" i="6"/>
  <c r="M469" i="6"/>
  <c r="O469" i="6"/>
  <c r="P469" i="6"/>
  <c r="Q469" i="6"/>
  <c r="R469" i="6"/>
  <c r="S469" i="6"/>
  <c r="T469" i="6"/>
  <c r="U469" i="6"/>
  <c r="V469" i="6"/>
  <c r="W469" i="6"/>
  <c r="X469" i="6"/>
  <c r="H963" i="6"/>
  <c r="I963" i="6"/>
  <c r="J963" i="6"/>
  <c r="K963" i="6"/>
  <c r="L963" i="6"/>
  <c r="M963" i="6"/>
  <c r="O963" i="6"/>
  <c r="P963" i="6"/>
  <c r="Q963" i="6"/>
  <c r="R963" i="6"/>
  <c r="T963" i="6"/>
  <c r="U963" i="6"/>
  <c r="V963" i="6"/>
  <c r="W963" i="6"/>
  <c r="H416" i="6"/>
  <c r="I416" i="6"/>
  <c r="J416" i="6"/>
  <c r="K416" i="6"/>
  <c r="L416" i="6"/>
  <c r="M416" i="6"/>
  <c r="O416" i="6"/>
  <c r="P416" i="6"/>
  <c r="Q416" i="6"/>
  <c r="R416" i="6"/>
  <c r="T416" i="6"/>
  <c r="U416" i="6"/>
  <c r="V416" i="6"/>
  <c r="W416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H421" i="6"/>
  <c r="I421" i="6"/>
  <c r="J421" i="6"/>
  <c r="K421" i="6"/>
  <c r="L421" i="6"/>
  <c r="M421" i="6"/>
  <c r="O421" i="6"/>
  <c r="P421" i="6"/>
  <c r="Q421" i="6"/>
  <c r="R421" i="6"/>
  <c r="T421" i="6"/>
  <c r="U421" i="6"/>
  <c r="V421" i="6"/>
  <c r="W421" i="6"/>
  <c r="H833" i="6"/>
  <c r="I833" i="6"/>
  <c r="J833" i="6"/>
  <c r="K833" i="6"/>
  <c r="L833" i="6"/>
  <c r="M833" i="6"/>
  <c r="O833" i="6"/>
  <c r="P833" i="6"/>
  <c r="Q833" i="6"/>
  <c r="R833" i="6"/>
  <c r="T833" i="6"/>
  <c r="U833" i="6"/>
  <c r="V833" i="6"/>
  <c r="W833" i="6"/>
  <c r="H709" i="6"/>
  <c r="I709" i="6"/>
  <c r="J709" i="6"/>
  <c r="K709" i="6"/>
  <c r="L709" i="6"/>
  <c r="M709" i="6"/>
  <c r="O709" i="6"/>
  <c r="P709" i="6"/>
  <c r="Q709" i="6"/>
  <c r="R709" i="6"/>
  <c r="T709" i="6"/>
  <c r="U709" i="6"/>
  <c r="V709" i="6"/>
  <c r="W709" i="6"/>
  <c r="H639" i="6"/>
  <c r="I639" i="6"/>
  <c r="J639" i="6"/>
  <c r="K639" i="6"/>
  <c r="L639" i="6"/>
  <c r="M639" i="6"/>
  <c r="O639" i="6"/>
  <c r="P639" i="6"/>
  <c r="Q639" i="6"/>
  <c r="R639" i="6"/>
  <c r="T639" i="6"/>
  <c r="U639" i="6"/>
  <c r="V639" i="6"/>
  <c r="W639" i="6"/>
  <c r="H604" i="6"/>
  <c r="I604" i="6"/>
  <c r="J604" i="6"/>
  <c r="K604" i="6"/>
  <c r="L604" i="6"/>
  <c r="M604" i="6"/>
  <c r="O604" i="6"/>
  <c r="P604" i="6"/>
  <c r="Q604" i="6"/>
  <c r="R604" i="6"/>
  <c r="T604" i="6"/>
  <c r="U604" i="6"/>
  <c r="V604" i="6"/>
  <c r="W604" i="6"/>
  <c r="H565" i="6"/>
  <c r="I565" i="6"/>
  <c r="J565" i="6"/>
  <c r="K565" i="6"/>
  <c r="L565" i="6"/>
  <c r="M565" i="6"/>
  <c r="O565" i="6"/>
  <c r="P565" i="6"/>
  <c r="Q565" i="6"/>
  <c r="R565" i="6"/>
  <c r="T565" i="6"/>
  <c r="U565" i="6"/>
  <c r="V565" i="6"/>
  <c r="W565" i="6"/>
  <c r="H526" i="6"/>
  <c r="I526" i="6"/>
  <c r="J526" i="6"/>
  <c r="K526" i="6"/>
  <c r="L526" i="6"/>
  <c r="M526" i="6"/>
  <c r="O526" i="6"/>
  <c r="P526" i="6"/>
  <c r="Q526" i="6"/>
  <c r="R526" i="6"/>
  <c r="T526" i="6"/>
  <c r="U526" i="6"/>
  <c r="V526" i="6"/>
  <c r="W526" i="6"/>
  <c r="H493" i="6"/>
  <c r="I493" i="6"/>
  <c r="J493" i="6"/>
  <c r="K493" i="6"/>
  <c r="L493" i="6"/>
  <c r="M493" i="6"/>
  <c r="O493" i="6"/>
  <c r="P493" i="6"/>
  <c r="Q493" i="6"/>
  <c r="R493" i="6"/>
  <c r="T493" i="6"/>
  <c r="U493" i="6"/>
  <c r="V493" i="6"/>
  <c r="W493" i="6"/>
  <c r="H440" i="6"/>
  <c r="I440" i="6"/>
  <c r="J440" i="6"/>
  <c r="K440" i="6"/>
  <c r="L440" i="6"/>
  <c r="M440" i="6"/>
  <c r="O440" i="6"/>
  <c r="P440" i="6"/>
  <c r="Q440" i="6"/>
  <c r="R440" i="6"/>
  <c r="T440" i="6"/>
  <c r="U440" i="6"/>
  <c r="V440" i="6"/>
  <c r="W440" i="6"/>
  <c r="H403" i="6"/>
  <c r="I403" i="6"/>
  <c r="J403" i="6"/>
  <c r="K403" i="6"/>
  <c r="L403" i="6"/>
  <c r="M403" i="6"/>
  <c r="O403" i="6"/>
  <c r="P403" i="6"/>
  <c r="Q403" i="6"/>
  <c r="R403" i="6"/>
  <c r="T403" i="6"/>
  <c r="U403" i="6"/>
  <c r="V403" i="6"/>
  <c r="W403" i="6"/>
  <c r="H837" i="6"/>
  <c r="I837" i="6"/>
  <c r="J837" i="6"/>
  <c r="K837" i="6"/>
  <c r="L837" i="6"/>
  <c r="M837" i="6"/>
  <c r="O837" i="6"/>
  <c r="P837" i="6"/>
  <c r="Q837" i="6"/>
  <c r="R837" i="6"/>
  <c r="T837" i="6"/>
  <c r="U837" i="6"/>
  <c r="V837" i="6"/>
  <c r="W837" i="6"/>
  <c r="H836" i="6"/>
  <c r="I836" i="6"/>
  <c r="J836" i="6"/>
  <c r="K836" i="6"/>
  <c r="L836" i="6"/>
  <c r="M836" i="6"/>
  <c r="O836" i="6"/>
  <c r="P836" i="6"/>
  <c r="Q836" i="6"/>
  <c r="R836" i="6"/>
  <c r="T836" i="6"/>
  <c r="U836" i="6"/>
  <c r="V836" i="6"/>
  <c r="W836" i="6"/>
  <c r="H717" i="6"/>
  <c r="I717" i="6"/>
  <c r="J717" i="6"/>
  <c r="K717" i="6"/>
  <c r="L717" i="6"/>
  <c r="M717" i="6"/>
  <c r="O717" i="6"/>
  <c r="P717" i="6"/>
  <c r="Q717" i="6"/>
  <c r="R717" i="6"/>
  <c r="T717" i="6"/>
  <c r="U717" i="6"/>
  <c r="V717" i="6"/>
  <c r="W717" i="6"/>
  <c r="H716" i="6"/>
  <c r="I716" i="6"/>
  <c r="J716" i="6"/>
  <c r="K716" i="6"/>
  <c r="L716" i="6"/>
  <c r="M716" i="6"/>
  <c r="O716" i="6"/>
  <c r="P716" i="6"/>
  <c r="Q716" i="6"/>
  <c r="R716" i="6"/>
  <c r="T716" i="6"/>
  <c r="U716" i="6"/>
  <c r="V716" i="6"/>
  <c r="W716" i="6"/>
  <c r="H718" i="6"/>
  <c r="I718" i="6"/>
  <c r="J718" i="6"/>
  <c r="K718" i="6"/>
  <c r="L718" i="6"/>
  <c r="M718" i="6"/>
  <c r="O718" i="6"/>
  <c r="P718" i="6"/>
  <c r="Q718" i="6"/>
  <c r="R718" i="6"/>
  <c r="T718" i="6"/>
  <c r="U718" i="6"/>
  <c r="V718" i="6"/>
  <c r="W718" i="6"/>
  <c r="H864" i="6"/>
  <c r="I864" i="6"/>
  <c r="J864" i="6"/>
  <c r="K864" i="6"/>
  <c r="L864" i="6"/>
  <c r="M864" i="6"/>
  <c r="O864" i="6"/>
  <c r="P864" i="6"/>
  <c r="Q864" i="6"/>
  <c r="R864" i="6"/>
  <c r="T864" i="6"/>
  <c r="U864" i="6"/>
  <c r="V864" i="6"/>
  <c r="W864" i="6"/>
  <c r="H863" i="6"/>
  <c r="I863" i="6"/>
  <c r="J863" i="6"/>
  <c r="K863" i="6"/>
  <c r="L863" i="6"/>
  <c r="M863" i="6"/>
  <c r="O863" i="6"/>
  <c r="P863" i="6"/>
  <c r="Q863" i="6"/>
  <c r="R863" i="6"/>
  <c r="T863" i="6"/>
  <c r="U863" i="6"/>
  <c r="V863" i="6"/>
  <c r="W863" i="6"/>
  <c r="H387" i="6"/>
  <c r="I387" i="6"/>
  <c r="J387" i="6"/>
  <c r="K387" i="6"/>
  <c r="L387" i="6"/>
  <c r="M387" i="6"/>
  <c r="O387" i="6"/>
  <c r="P387" i="6"/>
  <c r="Q387" i="6"/>
  <c r="R387" i="6"/>
  <c r="T387" i="6"/>
  <c r="U387" i="6"/>
  <c r="V387" i="6"/>
  <c r="W387" i="6"/>
  <c r="H384" i="6"/>
  <c r="I384" i="6"/>
  <c r="J384" i="6"/>
  <c r="K384" i="6"/>
  <c r="L384" i="6"/>
  <c r="M384" i="6"/>
  <c r="O384" i="6"/>
  <c r="P384" i="6"/>
  <c r="Q384" i="6"/>
  <c r="R384" i="6"/>
  <c r="T384" i="6"/>
  <c r="U384" i="6"/>
  <c r="V384" i="6"/>
  <c r="W384" i="6"/>
  <c r="H386" i="6"/>
  <c r="I386" i="6"/>
  <c r="J386" i="6"/>
  <c r="K386" i="6"/>
  <c r="L386" i="6"/>
  <c r="M386" i="6"/>
  <c r="O386" i="6"/>
  <c r="P386" i="6"/>
  <c r="Q386" i="6"/>
  <c r="R386" i="6"/>
  <c r="T386" i="6"/>
  <c r="U386" i="6"/>
  <c r="V386" i="6"/>
  <c r="W386" i="6"/>
  <c r="H385" i="6"/>
  <c r="I385" i="6"/>
  <c r="J385" i="6"/>
  <c r="K385" i="6"/>
  <c r="L385" i="6"/>
  <c r="M385" i="6"/>
  <c r="O385" i="6"/>
  <c r="P385" i="6"/>
  <c r="Q385" i="6"/>
  <c r="R385" i="6"/>
  <c r="T385" i="6"/>
  <c r="U385" i="6"/>
  <c r="V385" i="6"/>
  <c r="W385" i="6"/>
  <c r="H389" i="6"/>
  <c r="I389" i="6"/>
  <c r="J389" i="6"/>
  <c r="K389" i="6"/>
  <c r="L389" i="6"/>
  <c r="M389" i="6"/>
  <c r="O389" i="6"/>
  <c r="P389" i="6"/>
  <c r="Q389" i="6"/>
  <c r="R389" i="6"/>
  <c r="S389" i="6"/>
  <c r="T389" i="6"/>
  <c r="U389" i="6"/>
  <c r="V389" i="6"/>
  <c r="W389" i="6"/>
  <c r="H891" i="6"/>
  <c r="I891" i="6"/>
  <c r="J891" i="6"/>
  <c r="K891" i="6"/>
  <c r="L891" i="6"/>
  <c r="M891" i="6"/>
  <c r="O891" i="6"/>
  <c r="P891" i="6"/>
  <c r="Q891" i="6"/>
  <c r="R891" i="6"/>
  <c r="T891" i="6"/>
  <c r="U891" i="6"/>
  <c r="V891" i="6"/>
  <c r="W891" i="6"/>
  <c r="H894" i="6"/>
  <c r="I894" i="6"/>
  <c r="J894" i="6"/>
  <c r="K894" i="6"/>
  <c r="L894" i="6"/>
  <c r="M894" i="6"/>
  <c r="O894" i="6"/>
  <c r="P894" i="6"/>
  <c r="Q894" i="6"/>
  <c r="R894" i="6"/>
  <c r="T894" i="6"/>
  <c r="U894" i="6"/>
  <c r="V894" i="6"/>
  <c r="W894" i="6"/>
  <c r="H780" i="6"/>
  <c r="I780" i="6"/>
  <c r="J780" i="6"/>
  <c r="K780" i="6"/>
  <c r="L780" i="6"/>
  <c r="M780" i="6"/>
  <c r="O780" i="6"/>
  <c r="P780" i="6"/>
  <c r="Q780" i="6"/>
  <c r="R780" i="6"/>
  <c r="T780" i="6"/>
  <c r="U780" i="6"/>
  <c r="V780" i="6"/>
  <c r="W780" i="6"/>
  <c r="H779" i="6"/>
  <c r="I779" i="6"/>
  <c r="J779" i="6"/>
  <c r="K779" i="6"/>
  <c r="L779" i="6"/>
  <c r="M779" i="6"/>
  <c r="O779" i="6"/>
  <c r="P779" i="6"/>
  <c r="Q779" i="6"/>
  <c r="R779" i="6"/>
  <c r="T779" i="6"/>
  <c r="U779" i="6"/>
  <c r="V779" i="6"/>
  <c r="W779" i="6"/>
  <c r="H781" i="6"/>
  <c r="I781" i="6"/>
  <c r="J781" i="6"/>
  <c r="K781" i="6"/>
  <c r="L781" i="6"/>
  <c r="M781" i="6"/>
  <c r="O781" i="6"/>
  <c r="P781" i="6"/>
  <c r="Q781" i="6"/>
  <c r="R781" i="6"/>
  <c r="T781" i="6"/>
  <c r="U781" i="6"/>
  <c r="V781" i="6"/>
  <c r="W781" i="6"/>
  <c r="H176" i="6"/>
  <c r="I176" i="6"/>
  <c r="J176" i="6"/>
  <c r="K176" i="6"/>
  <c r="L176" i="6"/>
  <c r="M176" i="6"/>
  <c r="O176" i="6"/>
  <c r="P176" i="6"/>
  <c r="Q176" i="6"/>
  <c r="R176" i="6"/>
  <c r="T176" i="6"/>
  <c r="U176" i="6"/>
  <c r="V176" i="6"/>
  <c r="W176" i="6"/>
  <c r="H541" i="6"/>
  <c r="I541" i="6"/>
  <c r="J541" i="6"/>
  <c r="K541" i="6"/>
  <c r="L541" i="6"/>
  <c r="M541" i="6"/>
  <c r="O541" i="6"/>
  <c r="P541" i="6"/>
  <c r="Q541" i="6"/>
  <c r="R541" i="6"/>
  <c r="T541" i="6"/>
  <c r="U541" i="6"/>
  <c r="V541" i="6"/>
  <c r="W541" i="6"/>
  <c r="H175" i="6"/>
  <c r="I175" i="6"/>
  <c r="J175" i="6"/>
  <c r="K175" i="6"/>
  <c r="L175" i="6"/>
  <c r="M175" i="6"/>
  <c r="O175" i="6"/>
  <c r="P175" i="6"/>
  <c r="Q175" i="6"/>
  <c r="R175" i="6"/>
  <c r="T175" i="6"/>
  <c r="U175" i="6"/>
  <c r="V175" i="6"/>
  <c r="W175" i="6"/>
  <c r="H540" i="6"/>
  <c r="I540" i="6"/>
  <c r="J540" i="6"/>
  <c r="K540" i="6"/>
  <c r="L540" i="6"/>
  <c r="M540" i="6"/>
  <c r="O540" i="6"/>
  <c r="P540" i="6"/>
  <c r="Q540" i="6"/>
  <c r="R540" i="6"/>
  <c r="T540" i="6"/>
  <c r="U540" i="6"/>
  <c r="V540" i="6"/>
  <c r="W540" i="6"/>
  <c r="H542" i="6"/>
  <c r="I542" i="6"/>
  <c r="J542" i="6"/>
  <c r="K542" i="6"/>
  <c r="L542" i="6"/>
  <c r="M542" i="6"/>
  <c r="O542" i="6"/>
  <c r="P542" i="6"/>
  <c r="Q542" i="6"/>
  <c r="R542" i="6"/>
  <c r="T542" i="6"/>
  <c r="U542" i="6"/>
  <c r="V542" i="6"/>
  <c r="W542" i="6"/>
  <c r="H771" i="6"/>
  <c r="I771" i="6"/>
  <c r="J771" i="6"/>
  <c r="K771" i="6"/>
  <c r="L771" i="6"/>
  <c r="M771" i="6"/>
  <c r="O771" i="6"/>
  <c r="P771" i="6"/>
  <c r="Q771" i="6"/>
  <c r="R771" i="6"/>
  <c r="T771" i="6"/>
  <c r="U771" i="6"/>
  <c r="V771" i="6"/>
  <c r="W771" i="6"/>
  <c r="H772" i="6"/>
  <c r="I772" i="6"/>
  <c r="J772" i="6"/>
  <c r="K772" i="6"/>
  <c r="L772" i="6"/>
  <c r="M772" i="6"/>
  <c r="O772" i="6"/>
  <c r="P772" i="6"/>
  <c r="Q772" i="6"/>
  <c r="R772" i="6"/>
  <c r="T772" i="6"/>
  <c r="U772" i="6"/>
  <c r="V772" i="6"/>
  <c r="W772" i="6"/>
  <c r="H773" i="6"/>
  <c r="I773" i="6"/>
  <c r="J773" i="6"/>
  <c r="K773" i="6"/>
  <c r="L773" i="6"/>
  <c r="M773" i="6"/>
  <c r="O773" i="6"/>
  <c r="P773" i="6"/>
  <c r="Q773" i="6"/>
  <c r="R773" i="6"/>
  <c r="T773" i="6"/>
  <c r="U773" i="6"/>
  <c r="V773" i="6"/>
  <c r="W773" i="6"/>
  <c r="H366" i="6"/>
  <c r="I366" i="6"/>
  <c r="J366" i="6"/>
  <c r="K366" i="6"/>
  <c r="L366" i="6"/>
  <c r="M366" i="6"/>
  <c r="O366" i="6"/>
  <c r="P366" i="6"/>
  <c r="Q366" i="6"/>
  <c r="R366" i="6"/>
  <c r="T366" i="6"/>
  <c r="U366" i="6"/>
  <c r="V366" i="6"/>
  <c r="W366" i="6"/>
  <c r="H408" i="6"/>
  <c r="I408" i="6"/>
  <c r="J408" i="6"/>
  <c r="K408" i="6"/>
  <c r="L408" i="6"/>
  <c r="M408" i="6"/>
  <c r="O408" i="6"/>
  <c r="P408" i="6"/>
  <c r="Q408" i="6"/>
  <c r="R408" i="6"/>
  <c r="T408" i="6"/>
  <c r="U408" i="6"/>
  <c r="V408" i="6"/>
  <c r="W408" i="6"/>
  <c r="H451" i="6"/>
  <c r="I451" i="6"/>
  <c r="J451" i="6"/>
  <c r="K451" i="6"/>
  <c r="L451" i="6"/>
  <c r="M451" i="6"/>
  <c r="O451" i="6"/>
  <c r="P451" i="6"/>
  <c r="Q451" i="6"/>
  <c r="R451" i="6"/>
  <c r="T451" i="6"/>
  <c r="U451" i="6"/>
  <c r="V451" i="6"/>
  <c r="W451" i="6"/>
  <c r="H127" i="6"/>
  <c r="I127" i="6"/>
  <c r="J127" i="6"/>
  <c r="K127" i="6"/>
  <c r="L127" i="6"/>
  <c r="M127" i="6"/>
  <c r="O127" i="6"/>
  <c r="P127" i="6"/>
  <c r="Q127" i="6"/>
  <c r="R127" i="6"/>
  <c r="T127" i="6"/>
  <c r="U127" i="6"/>
  <c r="V127" i="6"/>
  <c r="W127" i="6"/>
  <c r="H64" i="6"/>
  <c r="I64" i="6"/>
  <c r="J64" i="6"/>
  <c r="K64" i="6"/>
  <c r="L64" i="6"/>
  <c r="M64" i="6"/>
  <c r="O64" i="6"/>
  <c r="P64" i="6"/>
  <c r="Q64" i="6"/>
  <c r="R64" i="6"/>
  <c r="T64" i="6"/>
  <c r="U64" i="6"/>
  <c r="V64" i="6"/>
  <c r="W64" i="6"/>
  <c r="X64" i="6"/>
  <c r="H922" i="6"/>
  <c r="I922" i="6"/>
  <c r="J922" i="6"/>
  <c r="K922" i="6"/>
  <c r="L922" i="6"/>
  <c r="M922" i="6"/>
  <c r="O922" i="6"/>
  <c r="P922" i="6"/>
  <c r="Q922" i="6"/>
  <c r="R922" i="6"/>
  <c r="T922" i="6"/>
  <c r="U922" i="6"/>
  <c r="V922" i="6"/>
  <c r="W922" i="6"/>
  <c r="H907" i="6"/>
  <c r="I907" i="6"/>
  <c r="J907" i="6"/>
  <c r="K907" i="6"/>
  <c r="L907" i="6"/>
  <c r="M907" i="6"/>
  <c r="O907" i="6"/>
  <c r="P907" i="6"/>
  <c r="Q907" i="6"/>
  <c r="R907" i="6"/>
  <c r="S907" i="6"/>
  <c r="T907" i="6"/>
  <c r="U907" i="6"/>
  <c r="V907" i="6"/>
  <c r="W907" i="6"/>
  <c r="H196" i="6"/>
  <c r="I196" i="6"/>
  <c r="J196" i="6"/>
  <c r="K196" i="6"/>
  <c r="L196" i="6"/>
  <c r="M196" i="6"/>
  <c r="O196" i="6"/>
  <c r="P196" i="6"/>
  <c r="Q196" i="6"/>
  <c r="R196" i="6"/>
  <c r="T196" i="6"/>
  <c r="U196" i="6"/>
  <c r="V196" i="6"/>
  <c r="W196" i="6"/>
  <c r="H195" i="6"/>
  <c r="I195" i="6"/>
  <c r="J195" i="6"/>
  <c r="K195" i="6"/>
  <c r="L195" i="6"/>
  <c r="M195" i="6"/>
  <c r="O195" i="6"/>
  <c r="P195" i="6"/>
  <c r="Q195" i="6"/>
  <c r="R195" i="6"/>
  <c r="T195" i="6"/>
  <c r="U195" i="6"/>
  <c r="V195" i="6"/>
  <c r="W195" i="6"/>
  <c r="H241" i="6"/>
  <c r="I241" i="6"/>
  <c r="J241" i="6"/>
  <c r="K241" i="6"/>
  <c r="L241" i="6"/>
  <c r="M241" i="6"/>
  <c r="O241" i="6"/>
  <c r="P241" i="6"/>
  <c r="Q241" i="6"/>
  <c r="R241" i="6"/>
  <c r="S241" i="6"/>
  <c r="T241" i="6"/>
  <c r="U241" i="6"/>
  <c r="V241" i="6"/>
  <c r="W241" i="6"/>
  <c r="H259" i="6"/>
  <c r="I259" i="6"/>
  <c r="J259" i="6"/>
  <c r="K259" i="6"/>
  <c r="L259" i="6"/>
  <c r="M259" i="6"/>
  <c r="O259" i="6"/>
  <c r="P259" i="6"/>
  <c r="Q259" i="6"/>
  <c r="R259" i="6"/>
  <c r="T259" i="6"/>
  <c r="U259" i="6"/>
  <c r="V259" i="6"/>
  <c r="W259" i="6"/>
  <c r="H252" i="6"/>
  <c r="I252" i="6"/>
  <c r="J252" i="6"/>
  <c r="K252" i="6"/>
  <c r="L252" i="6"/>
  <c r="M252" i="6"/>
  <c r="O252" i="6"/>
  <c r="P252" i="6"/>
  <c r="Q252" i="6"/>
  <c r="R252" i="6"/>
  <c r="T252" i="6"/>
  <c r="U252" i="6"/>
  <c r="V252" i="6"/>
  <c r="W252" i="6"/>
  <c r="H1021" i="6"/>
  <c r="I1021" i="6"/>
  <c r="J1021" i="6"/>
  <c r="K1021" i="6"/>
  <c r="L1021" i="6"/>
  <c r="M1021" i="6"/>
  <c r="O1021" i="6"/>
  <c r="P1021" i="6"/>
  <c r="Q1021" i="6"/>
  <c r="R1021" i="6"/>
  <c r="T1021" i="6"/>
  <c r="U1021" i="6"/>
  <c r="V1021" i="6"/>
  <c r="W1021" i="6"/>
  <c r="H253" i="6"/>
  <c r="I253" i="6"/>
  <c r="J253" i="6"/>
  <c r="K253" i="6"/>
  <c r="L253" i="6"/>
  <c r="M253" i="6"/>
  <c r="O253" i="6"/>
  <c r="P253" i="6"/>
  <c r="Q253" i="6"/>
  <c r="R253" i="6"/>
  <c r="T253" i="6"/>
  <c r="U253" i="6"/>
  <c r="V253" i="6"/>
  <c r="W253" i="6"/>
  <c r="H254" i="6"/>
  <c r="I254" i="6"/>
  <c r="J254" i="6"/>
  <c r="K254" i="6"/>
  <c r="L254" i="6"/>
  <c r="M254" i="6"/>
  <c r="O254" i="6"/>
  <c r="P254" i="6"/>
  <c r="Q254" i="6"/>
  <c r="R254" i="6"/>
  <c r="T254" i="6"/>
  <c r="U254" i="6"/>
  <c r="V254" i="6"/>
  <c r="W254" i="6"/>
  <c r="H320" i="6"/>
  <c r="I320" i="6"/>
  <c r="J320" i="6"/>
  <c r="K320" i="6"/>
  <c r="L320" i="6"/>
  <c r="M320" i="6"/>
  <c r="O320" i="6"/>
  <c r="P320" i="6"/>
  <c r="Q320" i="6"/>
  <c r="R320" i="6"/>
  <c r="T320" i="6"/>
  <c r="U320" i="6"/>
  <c r="V320" i="6"/>
  <c r="W320" i="6"/>
  <c r="H315" i="6"/>
  <c r="I315" i="6"/>
  <c r="J315" i="6"/>
  <c r="K315" i="6"/>
  <c r="L315" i="6"/>
  <c r="M315" i="6"/>
  <c r="O315" i="6"/>
  <c r="P315" i="6"/>
  <c r="Q315" i="6"/>
  <c r="R315" i="6"/>
  <c r="T315" i="6"/>
  <c r="U315" i="6"/>
  <c r="V315" i="6"/>
  <c r="W315" i="6"/>
  <c r="X315" i="6"/>
  <c r="H319" i="6"/>
  <c r="I319" i="6"/>
  <c r="J319" i="6"/>
  <c r="K319" i="6"/>
  <c r="L319" i="6"/>
  <c r="M319" i="6"/>
  <c r="O319" i="6"/>
  <c r="P319" i="6"/>
  <c r="Q319" i="6"/>
  <c r="R319" i="6"/>
  <c r="T319" i="6"/>
  <c r="U319" i="6"/>
  <c r="V319" i="6"/>
  <c r="W319" i="6"/>
  <c r="H316" i="6"/>
  <c r="I316" i="6"/>
  <c r="J316" i="6"/>
  <c r="K316" i="6"/>
  <c r="L316" i="6"/>
  <c r="M316" i="6"/>
  <c r="O316" i="6"/>
  <c r="P316" i="6"/>
  <c r="Q316" i="6"/>
  <c r="R316" i="6"/>
  <c r="T316" i="6"/>
  <c r="U316" i="6"/>
  <c r="V316" i="6"/>
  <c r="W316" i="6"/>
  <c r="H1018" i="6"/>
  <c r="I1018" i="6"/>
  <c r="J1018" i="6"/>
  <c r="K1018" i="6"/>
  <c r="L1018" i="6"/>
  <c r="M1018" i="6"/>
  <c r="O1018" i="6"/>
  <c r="P1018" i="6"/>
  <c r="Q1018" i="6"/>
  <c r="R1018" i="6"/>
  <c r="T1018" i="6"/>
  <c r="U1018" i="6"/>
  <c r="V1018" i="6"/>
  <c r="W1018" i="6"/>
  <c r="X1018" i="6"/>
  <c r="H318" i="6"/>
  <c r="I318" i="6"/>
  <c r="J318" i="6"/>
  <c r="K318" i="6"/>
  <c r="L318" i="6"/>
  <c r="M318" i="6"/>
  <c r="O318" i="6"/>
  <c r="P318" i="6"/>
  <c r="Q318" i="6"/>
  <c r="R318" i="6"/>
  <c r="T318" i="6"/>
  <c r="U318" i="6"/>
  <c r="V318" i="6"/>
  <c r="W318" i="6"/>
  <c r="H317" i="6"/>
  <c r="I317" i="6"/>
  <c r="J317" i="6"/>
  <c r="K317" i="6"/>
  <c r="L317" i="6"/>
  <c r="M317" i="6"/>
  <c r="O317" i="6"/>
  <c r="P317" i="6"/>
  <c r="Q317" i="6"/>
  <c r="R317" i="6"/>
  <c r="T317" i="6"/>
  <c r="U317" i="6"/>
  <c r="V317" i="6"/>
  <c r="W317" i="6"/>
  <c r="H943" i="6"/>
  <c r="I943" i="6"/>
  <c r="J943" i="6"/>
  <c r="K943" i="6"/>
  <c r="L943" i="6"/>
  <c r="M943" i="6"/>
  <c r="O943" i="6"/>
  <c r="P943" i="6"/>
  <c r="Q943" i="6"/>
  <c r="R943" i="6"/>
  <c r="T943" i="6"/>
  <c r="U943" i="6"/>
  <c r="V943" i="6"/>
  <c r="W943" i="6"/>
  <c r="H942" i="6"/>
  <c r="I942" i="6"/>
  <c r="J942" i="6"/>
  <c r="K942" i="6"/>
  <c r="L942" i="6"/>
  <c r="M942" i="6"/>
  <c r="O942" i="6"/>
  <c r="P942" i="6"/>
  <c r="Q942" i="6"/>
  <c r="R942" i="6"/>
  <c r="T942" i="6"/>
  <c r="U942" i="6"/>
  <c r="V942" i="6"/>
  <c r="W942" i="6"/>
  <c r="H980" i="6"/>
  <c r="I980" i="6"/>
  <c r="J980" i="6"/>
  <c r="K980" i="6"/>
  <c r="L980" i="6"/>
  <c r="M980" i="6"/>
  <c r="O980" i="6"/>
  <c r="P980" i="6"/>
  <c r="Q980" i="6"/>
  <c r="R980" i="6"/>
  <c r="T980" i="6"/>
  <c r="U980" i="6"/>
  <c r="V980" i="6"/>
  <c r="W980" i="6"/>
  <c r="H237" i="6"/>
  <c r="I237" i="6"/>
  <c r="J237" i="6"/>
  <c r="K237" i="6"/>
  <c r="L237" i="6"/>
  <c r="M237" i="6"/>
  <c r="O237" i="6"/>
  <c r="P237" i="6"/>
  <c r="Q237" i="6"/>
  <c r="R237" i="6"/>
  <c r="T237" i="6"/>
  <c r="U237" i="6"/>
  <c r="V237" i="6"/>
  <c r="W237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H157" i="6"/>
  <c r="I157" i="6"/>
  <c r="J157" i="6"/>
  <c r="K157" i="6"/>
  <c r="L157" i="6"/>
  <c r="M157" i="6"/>
  <c r="O157" i="6"/>
  <c r="P157" i="6"/>
  <c r="Q157" i="6"/>
  <c r="R157" i="6"/>
  <c r="T157" i="6"/>
  <c r="U157" i="6"/>
  <c r="V157" i="6"/>
  <c r="W157" i="6"/>
  <c r="H158" i="6"/>
  <c r="I158" i="6"/>
  <c r="J158" i="6"/>
  <c r="K158" i="6"/>
  <c r="L158" i="6"/>
  <c r="M158" i="6"/>
  <c r="O158" i="6"/>
  <c r="P158" i="6"/>
  <c r="Q158" i="6"/>
  <c r="R158" i="6"/>
  <c r="T158" i="6"/>
  <c r="U158" i="6"/>
  <c r="V158" i="6"/>
  <c r="W158" i="6"/>
  <c r="H156" i="6"/>
  <c r="I156" i="6"/>
  <c r="J156" i="6"/>
  <c r="K156" i="6"/>
  <c r="L156" i="6"/>
  <c r="M156" i="6"/>
  <c r="O156" i="6"/>
  <c r="P156" i="6"/>
  <c r="Q156" i="6"/>
  <c r="R156" i="6"/>
  <c r="T156" i="6"/>
  <c r="U156" i="6"/>
  <c r="V156" i="6"/>
  <c r="W156" i="6"/>
  <c r="H161" i="6"/>
  <c r="I161" i="6"/>
  <c r="J161" i="6"/>
  <c r="K161" i="6"/>
  <c r="L161" i="6"/>
  <c r="M161" i="6"/>
  <c r="O161" i="6"/>
  <c r="P161" i="6"/>
  <c r="Q161" i="6"/>
  <c r="R161" i="6"/>
  <c r="T161" i="6"/>
  <c r="U161" i="6"/>
  <c r="V161" i="6"/>
  <c r="W161" i="6"/>
  <c r="H154" i="6"/>
  <c r="I154" i="6"/>
  <c r="J154" i="6"/>
  <c r="K154" i="6"/>
  <c r="L154" i="6"/>
  <c r="M154" i="6"/>
  <c r="O154" i="6"/>
  <c r="P154" i="6"/>
  <c r="Q154" i="6"/>
  <c r="R154" i="6"/>
  <c r="T154" i="6"/>
  <c r="U154" i="6"/>
  <c r="V154" i="6"/>
  <c r="W154" i="6"/>
  <c r="H159" i="6"/>
  <c r="I159" i="6"/>
  <c r="J159" i="6"/>
  <c r="K159" i="6"/>
  <c r="L159" i="6"/>
  <c r="M159" i="6"/>
  <c r="O159" i="6"/>
  <c r="P159" i="6"/>
  <c r="Q159" i="6"/>
  <c r="R159" i="6"/>
  <c r="T159" i="6"/>
  <c r="U159" i="6"/>
  <c r="V159" i="6"/>
  <c r="W159" i="6"/>
  <c r="H155" i="6"/>
  <c r="I155" i="6"/>
  <c r="J155" i="6"/>
  <c r="K155" i="6"/>
  <c r="L155" i="6"/>
  <c r="M155" i="6"/>
  <c r="O155" i="6"/>
  <c r="P155" i="6"/>
  <c r="Q155" i="6"/>
  <c r="R155" i="6"/>
  <c r="T155" i="6"/>
  <c r="U155" i="6"/>
  <c r="V155" i="6"/>
  <c r="W155" i="6"/>
  <c r="H572" i="6"/>
  <c r="I572" i="6"/>
  <c r="J572" i="6"/>
  <c r="K572" i="6"/>
  <c r="L572" i="6"/>
  <c r="M572" i="6"/>
  <c r="O572" i="6"/>
  <c r="P572" i="6"/>
  <c r="Q572" i="6"/>
  <c r="R572" i="6"/>
  <c r="T572" i="6"/>
  <c r="U572" i="6"/>
  <c r="V572" i="6"/>
  <c r="W572" i="6"/>
  <c r="X572" i="6"/>
  <c r="H50" i="6"/>
  <c r="I50" i="6"/>
  <c r="J50" i="6"/>
  <c r="K50" i="6"/>
  <c r="L50" i="6"/>
  <c r="M50" i="6"/>
  <c r="O50" i="6"/>
  <c r="P50" i="6"/>
  <c r="Q50" i="6"/>
  <c r="R50" i="6"/>
  <c r="T50" i="6"/>
  <c r="U50" i="6"/>
  <c r="V50" i="6"/>
  <c r="W50" i="6"/>
  <c r="H51" i="6"/>
  <c r="I51" i="6"/>
  <c r="J51" i="6"/>
  <c r="K51" i="6"/>
  <c r="L51" i="6"/>
  <c r="M51" i="6"/>
  <c r="O51" i="6"/>
  <c r="P51" i="6"/>
  <c r="Q51" i="6"/>
  <c r="R51" i="6"/>
  <c r="T51" i="6"/>
  <c r="U51" i="6"/>
  <c r="V51" i="6"/>
  <c r="W51" i="6"/>
  <c r="H52" i="6"/>
  <c r="I52" i="6"/>
  <c r="J52" i="6"/>
  <c r="K52" i="6"/>
  <c r="L52" i="6"/>
  <c r="M52" i="6"/>
  <c r="O52" i="6"/>
  <c r="P52" i="6"/>
  <c r="Q52" i="6"/>
  <c r="R52" i="6"/>
  <c r="T52" i="6"/>
  <c r="U52" i="6"/>
  <c r="V52" i="6"/>
  <c r="W52" i="6"/>
  <c r="H47" i="6"/>
  <c r="I47" i="6"/>
  <c r="J47" i="6"/>
  <c r="K47" i="6"/>
  <c r="L47" i="6"/>
  <c r="M47" i="6"/>
  <c r="O47" i="6"/>
  <c r="P47" i="6"/>
  <c r="Q47" i="6"/>
  <c r="R47" i="6"/>
  <c r="T47" i="6"/>
  <c r="U47" i="6"/>
  <c r="V47" i="6"/>
  <c r="W47" i="6"/>
  <c r="H1005" i="6"/>
  <c r="I1005" i="6"/>
  <c r="J1005" i="6"/>
  <c r="K1005" i="6"/>
  <c r="L1005" i="6"/>
  <c r="M1005" i="6"/>
  <c r="O1005" i="6"/>
  <c r="P1005" i="6"/>
  <c r="Q1005" i="6"/>
  <c r="R1005" i="6"/>
  <c r="T1005" i="6"/>
  <c r="U1005" i="6"/>
  <c r="V1005" i="6"/>
  <c r="W1005" i="6"/>
  <c r="H48" i="6"/>
  <c r="I48" i="6"/>
  <c r="J48" i="6"/>
  <c r="K48" i="6"/>
  <c r="L48" i="6"/>
  <c r="M48" i="6"/>
  <c r="O48" i="6"/>
  <c r="P48" i="6"/>
  <c r="Q48" i="6"/>
  <c r="R48" i="6"/>
  <c r="T48" i="6"/>
  <c r="U48" i="6"/>
  <c r="V48" i="6"/>
  <c r="W48" i="6"/>
  <c r="H9" i="6"/>
  <c r="I9" i="6"/>
  <c r="J9" i="6"/>
  <c r="K9" i="6"/>
  <c r="L9" i="6"/>
  <c r="M9" i="6"/>
  <c r="O9" i="6"/>
  <c r="P9" i="6"/>
  <c r="Q9" i="6"/>
  <c r="R9" i="6"/>
  <c r="T9" i="6"/>
  <c r="U9" i="6"/>
  <c r="V9" i="6"/>
  <c r="W9" i="6"/>
  <c r="H10" i="6"/>
  <c r="I10" i="6"/>
  <c r="J10" i="6"/>
  <c r="K10" i="6"/>
  <c r="L10" i="6"/>
  <c r="M10" i="6"/>
  <c r="O10" i="6"/>
  <c r="P10" i="6"/>
  <c r="Q10" i="6"/>
  <c r="R10" i="6"/>
  <c r="T10" i="6"/>
  <c r="U10" i="6"/>
  <c r="V10" i="6"/>
  <c r="W10" i="6"/>
  <c r="H7" i="6"/>
  <c r="I7" i="6"/>
  <c r="J7" i="6"/>
  <c r="K7" i="6"/>
  <c r="L7" i="6"/>
  <c r="M7" i="6"/>
  <c r="O7" i="6"/>
  <c r="P7" i="6"/>
  <c r="Q7" i="6"/>
  <c r="R7" i="6"/>
  <c r="T7" i="6"/>
  <c r="U7" i="6"/>
  <c r="V7" i="6"/>
  <c r="W7" i="6"/>
  <c r="H6" i="6"/>
  <c r="I6" i="6"/>
  <c r="J6" i="6"/>
  <c r="K6" i="6"/>
  <c r="L6" i="6"/>
  <c r="M6" i="6"/>
  <c r="O6" i="6"/>
  <c r="P6" i="6"/>
  <c r="Q6" i="6"/>
  <c r="R6" i="6"/>
  <c r="T6" i="6"/>
  <c r="U6" i="6"/>
  <c r="V6" i="6"/>
  <c r="W6" i="6"/>
  <c r="H8" i="6"/>
  <c r="I8" i="6"/>
  <c r="J8" i="6"/>
  <c r="K8" i="6"/>
  <c r="L8" i="6"/>
  <c r="M8" i="6"/>
  <c r="O8" i="6"/>
  <c r="P8" i="6"/>
  <c r="Q8" i="6"/>
  <c r="R8" i="6"/>
  <c r="T8" i="6"/>
  <c r="U8" i="6"/>
  <c r="V8" i="6"/>
  <c r="W8" i="6"/>
  <c r="H946" i="6"/>
  <c r="I946" i="6"/>
  <c r="J946" i="6"/>
  <c r="K946" i="6"/>
  <c r="L946" i="6"/>
  <c r="M946" i="6"/>
  <c r="O946" i="6"/>
  <c r="P946" i="6"/>
  <c r="Q946" i="6"/>
  <c r="R946" i="6"/>
  <c r="T946" i="6"/>
  <c r="U946" i="6"/>
  <c r="V946" i="6"/>
  <c r="W946" i="6"/>
  <c r="H568" i="6"/>
  <c r="I568" i="6"/>
  <c r="J568" i="6"/>
  <c r="K568" i="6"/>
  <c r="L568" i="6"/>
  <c r="M568" i="6"/>
  <c r="O568" i="6"/>
  <c r="P568" i="6"/>
  <c r="Q568" i="6"/>
  <c r="R568" i="6"/>
  <c r="T568" i="6"/>
  <c r="U568" i="6"/>
  <c r="V568" i="6"/>
  <c r="W568" i="6"/>
  <c r="H945" i="6"/>
  <c r="I945" i="6"/>
  <c r="J945" i="6"/>
  <c r="K945" i="6"/>
  <c r="L945" i="6"/>
  <c r="M945" i="6"/>
  <c r="O945" i="6"/>
  <c r="P945" i="6"/>
  <c r="Q945" i="6"/>
  <c r="R945" i="6"/>
  <c r="T945" i="6"/>
  <c r="U945" i="6"/>
  <c r="V945" i="6"/>
  <c r="W945" i="6"/>
  <c r="H796" i="6"/>
  <c r="I796" i="6"/>
  <c r="J796" i="6"/>
  <c r="K796" i="6"/>
  <c r="L796" i="6"/>
  <c r="M796" i="6"/>
  <c r="O796" i="6"/>
  <c r="P796" i="6"/>
  <c r="Q796" i="6"/>
  <c r="R796" i="6"/>
  <c r="T796" i="6"/>
  <c r="U796" i="6"/>
  <c r="V796" i="6"/>
  <c r="W796" i="6"/>
  <c r="H797" i="6"/>
  <c r="I797" i="6"/>
  <c r="J797" i="6"/>
  <c r="K797" i="6"/>
  <c r="L797" i="6"/>
  <c r="M797" i="6"/>
  <c r="O797" i="6"/>
  <c r="P797" i="6"/>
  <c r="Q797" i="6"/>
  <c r="R797" i="6"/>
  <c r="T797" i="6"/>
  <c r="U797" i="6"/>
  <c r="V797" i="6"/>
  <c r="W797" i="6"/>
  <c r="H798" i="6"/>
  <c r="I798" i="6"/>
  <c r="J798" i="6"/>
  <c r="K798" i="6"/>
  <c r="L798" i="6"/>
  <c r="M798" i="6"/>
  <c r="O798" i="6"/>
  <c r="P798" i="6"/>
  <c r="Q798" i="6"/>
  <c r="R798" i="6"/>
  <c r="T798" i="6"/>
  <c r="U798" i="6"/>
  <c r="V798" i="6"/>
  <c r="W798" i="6"/>
  <c r="H106" i="6"/>
  <c r="I106" i="6"/>
  <c r="J106" i="6"/>
  <c r="K106" i="6"/>
  <c r="L106" i="6"/>
  <c r="M106" i="6"/>
  <c r="O106" i="6"/>
  <c r="P106" i="6"/>
  <c r="Q106" i="6"/>
  <c r="R106" i="6"/>
  <c r="T106" i="6"/>
  <c r="U106" i="6"/>
  <c r="V106" i="6"/>
  <c r="W106" i="6"/>
  <c r="H107" i="6"/>
  <c r="I107" i="6"/>
  <c r="J107" i="6"/>
  <c r="K107" i="6"/>
  <c r="L107" i="6"/>
  <c r="M107" i="6"/>
  <c r="O107" i="6"/>
  <c r="P107" i="6"/>
  <c r="Q107" i="6"/>
  <c r="R107" i="6"/>
  <c r="T107" i="6"/>
  <c r="U107" i="6"/>
  <c r="V107" i="6"/>
  <c r="W107" i="6"/>
  <c r="H108" i="6"/>
  <c r="I108" i="6"/>
  <c r="J108" i="6"/>
  <c r="K108" i="6"/>
  <c r="L108" i="6"/>
  <c r="M108" i="6"/>
  <c r="O108" i="6"/>
  <c r="P108" i="6"/>
  <c r="Q108" i="6"/>
  <c r="R108" i="6"/>
  <c r="T108" i="6"/>
  <c r="U108" i="6"/>
  <c r="V108" i="6"/>
  <c r="W108" i="6"/>
  <c r="H216" i="6"/>
  <c r="I216" i="6"/>
  <c r="J216" i="6"/>
  <c r="K216" i="6"/>
  <c r="L216" i="6"/>
  <c r="M216" i="6"/>
  <c r="O216" i="6"/>
  <c r="P216" i="6"/>
  <c r="Q216" i="6"/>
  <c r="R216" i="6"/>
  <c r="T216" i="6"/>
  <c r="U216" i="6"/>
  <c r="V216" i="6"/>
  <c r="W216" i="6"/>
  <c r="X216" i="6"/>
  <c r="H999" i="6"/>
  <c r="I999" i="6"/>
  <c r="J999" i="6"/>
  <c r="K999" i="6"/>
  <c r="L999" i="6"/>
  <c r="M999" i="6"/>
  <c r="O999" i="6"/>
  <c r="P999" i="6"/>
  <c r="Q999" i="6"/>
  <c r="R999" i="6"/>
  <c r="T999" i="6"/>
  <c r="U999" i="6"/>
  <c r="V999" i="6"/>
  <c r="W999" i="6"/>
  <c r="H210" i="6"/>
  <c r="I210" i="6"/>
  <c r="J210" i="6"/>
  <c r="K210" i="6"/>
  <c r="L210" i="6"/>
  <c r="M210" i="6"/>
  <c r="O210" i="6"/>
  <c r="P210" i="6"/>
  <c r="Q210" i="6"/>
  <c r="R210" i="6"/>
  <c r="T210" i="6"/>
  <c r="U210" i="6"/>
  <c r="V210" i="6"/>
  <c r="W210" i="6"/>
  <c r="H211" i="6"/>
  <c r="I211" i="6"/>
  <c r="J211" i="6"/>
  <c r="K211" i="6"/>
  <c r="L211" i="6"/>
  <c r="M211" i="6"/>
  <c r="O211" i="6"/>
  <c r="P211" i="6"/>
  <c r="Q211" i="6"/>
  <c r="R211" i="6"/>
  <c r="T211" i="6"/>
  <c r="U211" i="6"/>
  <c r="V211" i="6"/>
  <c r="W211" i="6"/>
  <c r="H218" i="6"/>
  <c r="I218" i="6"/>
  <c r="J218" i="6"/>
  <c r="K218" i="6"/>
  <c r="L218" i="6"/>
  <c r="M218" i="6"/>
  <c r="O218" i="6"/>
  <c r="P218" i="6"/>
  <c r="Q218" i="6"/>
  <c r="R218" i="6"/>
  <c r="T218" i="6"/>
  <c r="U218" i="6"/>
  <c r="V218" i="6"/>
  <c r="W218" i="6"/>
  <c r="H217" i="6"/>
  <c r="I217" i="6"/>
  <c r="J217" i="6"/>
  <c r="K217" i="6"/>
  <c r="L217" i="6"/>
  <c r="M217" i="6"/>
  <c r="O217" i="6"/>
  <c r="P217" i="6"/>
  <c r="Q217" i="6"/>
  <c r="R217" i="6"/>
  <c r="T217" i="6"/>
  <c r="U217" i="6"/>
  <c r="V217" i="6"/>
  <c r="W217" i="6"/>
  <c r="H207" i="6"/>
  <c r="I207" i="6"/>
  <c r="J207" i="6"/>
  <c r="K207" i="6"/>
  <c r="L207" i="6"/>
  <c r="M207" i="6"/>
  <c r="O207" i="6"/>
  <c r="P207" i="6"/>
  <c r="Q207" i="6"/>
  <c r="R207" i="6"/>
  <c r="T207" i="6"/>
  <c r="U207" i="6"/>
  <c r="V207" i="6"/>
  <c r="W207" i="6"/>
  <c r="H206" i="6"/>
  <c r="I206" i="6"/>
  <c r="J206" i="6"/>
  <c r="K206" i="6"/>
  <c r="L206" i="6"/>
  <c r="M206" i="6"/>
  <c r="O206" i="6"/>
  <c r="P206" i="6"/>
  <c r="Q206" i="6"/>
  <c r="R206" i="6"/>
  <c r="T206" i="6"/>
  <c r="U206" i="6"/>
  <c r="V206" i="6"/>
  <c r="W206" i="6"/>
  <c r="H214" i="6"/>
  <c r="I214" i="6"/>
  <c r="J214" i="6"/>
  <c r="K214" i="6"/>
  <c r="L214" i="6"/>
  <c r="M214" i="6"/>
  <c r="O214" i="6"/>
  <c r="P214" i="6"/>
  <c r="Q214" i="6"/>
  <c r="R214" i="6"/>
  <c r="T214" i="6"/>
  <c r="U214" i="6"/>
  <c r="V214" i="6"/>
  <c r="W214" i="6"/>
  <c r="H215" i="6"/>
  <c r="I215" i="6"/>
  <c r="J215" i="6"/>
  <c r="K215" i="6"/>
  <c r="L215" i="6"/>
  <c r="M215" i="6"/>
  <c r="O215" i="6"/>
  <c r="P215" i="6"/>
  <c r="Q215" i="6"/>
  <c r="R215" i="6"/>
  <c r="T215" i="6"/>
  <c r="U215" i="6"/>
  <c r="V215" i="6"/>
  <c r="W215" i="6"/>
  <c r="H208" i="6"/>
  <c r="I208" i="6"/>
  <c r="J208" i="6"/>
  <c r="K208" i="6"/>
  <c r="L208" i="6"/>
  <c r="M208" i="6"/>
  <c r="O208" i="6"/>
  <c r="P208" i="6"/>
  <c r="Q208" i="6"/>
  <c r="R208" i="6"/>
  <c r="T208" i="6"/>
  <c r="U208" i="6"/>
  <c r="V208" i="6"/>
  <c r="W208" i="6"/>
  <c r="H978" i="6"/>
  <c r="I978" i="6"/>
  <c r="J978" i="6"/>
  <c r="K978" i="6"/>
  <c r="L978" i="6"/>
  <c r="M978" i="6"/>
  <c r="O978" i="6"/>
  <c r="P978" i="6"/>
  <c r="Q978" i="6"/>
  <c r="R978" i="6"/>
  <c r="T978" i="6"/>
  <c r="U978" i="6"/>
  <c r="V978" i="6"/>
  <c r="W978" i="6"/>
  <c r="H343" i="6"/>
  <c r="I343" i="6"/>
  <c r="J343" i="6"/>
  <c r="K343" i="6"/>
  <c r="L343" i="6"/>
  <c r="M343" i="6"/>
  <c r="O343" i="6"/>
  <c r="P343" i="6"/>
  <c r="Q343" i="6"/>
  <c r="R343" i="6"/>
  <c r="T343" i="6"/>
  <c r="U343" i="6"/>
  <c r="V343" i="6"/>
  <c r="W343" i="6"/>
  <c r="H342" i="6"/>
  <c r="I342" i="6"/>
  <c r="J342" i="6"/>
  <c r="K342" i="6"/>
  <c r="L342" i="6"/>
  <c r="M342" i="6"/>
  <c r="O342" i="6"/>
  <c r="P342" i="6"/>
  <c r="Q342" i="6"/>
  <c r="R342" i="6"/>
  <c r="T342" i="6"/>
  <c r="U342" i="6"/>
  <c r="V342" i="6"/>
  <c r="W342" i="6"/>
  <c r="H996" i="6"/>
  <c r="I996" i="6"/>
  <c r="J996" i="6"/>
  <c r="K996" i="6"/>
  <c r="L996" i="6"/>
  <c r="M996" i="6"/>
  <c r="O996" i="6"/>
  <c r="P996" i="6"/>
  <c r="Q996" i="6"/>
  <c r="R996" i="6"/>
  <c r="T996" i="6"/>
  <c r="U996" i="6"/>
  <c r="V996" i="6"/>
  <c r="W996" i="6"/>
  <c r="H162" i="6"/>
  <c r="I162" i="6"/>
  <c r="J162" i="6"/>
  <c r="K162" i="6"/>
  <c r="L162" i="6"/>
  <c r="M162" i="6"/>
  <c r="O162" i="6"/>
  <c r="P162" i="6"/>
  <c r="Q162" i="6"/>
  <c r="R162" i="6"/>
  <c r="T162" i="6"/>
  <c r="U162" i="6"/>
  <c r="V162" i="6"/>
  <c r="W162" i="6"/>
  <c r="H131" i="6"/>
  <c r="I131" i="6"/>
  <c r="J131" i="6"/>
  <c r="K131" i="6"/>
  <c r="L131" i="6"/>
  <c r="M131" i="6"/>
  <c r="O131" i="6"/>
  <c r="P131" i="6"/>
  <c r="Q131" i="6"/>
  <c r="R131" i="6"/>
  <c r="T131" i="6"/>
  <c r="U131" i="6"/>
  <c r="V131" i="6"/>
  <c r="W131" i="6"/>
  <c r="H135" i="6"/>
  <c r="I135" i="6"/>
  <c r="J135" i="6"/>
  <c r="K135" i="6"/>
  <c r="L135" i="6"/>
  <c r="M135" i="6"/>
  <c r="O135" i="6"/>
  <c r="P135" i="6"/>
  <c r="Q135" i="6"/>
  <c r="R135" i="6"/>
  <c r="T135" i="6"/>
  <c r="U135" i="6"/>
  <c r="V135" i="6"/>
  <c r="W135" i="6"/>
  <c r="H136" i="6"/>
  <c r="I136" i="6"/>
  <c r="J136" i="6"/>
  <c r="K136" i="6"/>
  <c r="L136" i="6"/>
  <c r="M136" i="6"/>
  <c r="O136" i="6"/>
  <c r="P136" i="6"/>
  <c r="Q136" i="6"/>
  <c r="R136" i="6"/>
  <c r="T136" i="6"/>
  <c r="U136" i="6"/>
  <c r="V136" i="6"/>
  <c r="W136" i="6"/>
  <c r="H1012" i="6"/>
  <c r="I1012" i="6"/>
  <c r="J1012" i="6"/>
  <c r="K1012" i="6"/>
  <c r="L1012" i="6"/>
  <c r="M1012" i="6"/>
  <c r="O1012" i="6"/>
  <c r="P1012" i="6"/>
  <c r="Q1012" i="6"/>
  <c r="R1012" i="6"/>
  <c r="T1012" i="6"/>
  <c r="U1012" i="6"/>
  <c r="V1012" i="6"/>
  <c r="W1012" i="6"/>
  <c r="H128" i="6"/>
  <c r="I128" i="6"/>
  <c r="J128" i="6"/>
  <c r="K128" i="6"/>
  <c r="L128" i="6"/>
  <c r="M128" i="6"/>
  <c r="O128" i="6"/>
  <c r="P128" i="6"/>
  <c r="Q128" i="6"/>
  <c r="R128" i="6"/>
  <c r="T128" i="6"/>
  <c r="U128" i="6"/>
  <c r="V128" i="6"/>
  <c r="W128" i="6"/>
  <c r="H132" i="6"/>
  <c r="I132" i="6"/>
  <c r="J132" i="6"/>
  <c r="K132" i="6"/>
  <c r="L132" i="6"/>
  <c r="M132" i="6"/>
  <c r="O132" i="6"/>
  <c r="P132" i="6"/>
  <c r="Q132" i="6"/>
  <c r="R132" i="6"/>
  <c r="T132" i="6"/>
  <c r="U132" i="6"/>
  <c r="V132" i="6"/>
  <c r="W132" i="6"/>
  <c r="H129" i="6"/>
  <c r="I129" i="6"/>
  <c r="J129" i="6"/>
  <c r="K129" i="6"/>
  <c r="L129" i="6"/>
  <c r="M129" i="6"/>
  <c r="O129" i="6"/>
  <c r="P129" i="6"/>
  <c r="Q129" i="6"/>
  <c r="R129" i="6"/>
  <c r="T129" i="6"/>
  <c r="U129" i="6"/>
  <c r="V129" i="6"/>
  <c r="W129" i="6"/>
  <c r="H380" i="6"/>
  <c r="I380" i="6"/>
  <c r="J380" i="6"/>
  <c r="K380" i="6"/>
  <c r="L380" i="6"/>
  <c r="M380" i="6"/>
  <c r="O380" i="6"/>
  <c r="P380" i="6"/>
  <c r="Q380" i="6"/>
  <c r="R380" i="6"/>
  <c r="T380" i="6"/>
  <c r="U380" i="6"/>
  <c r="V380" i="6"/>
  <c r="W380" i="6"/>
  <c r="H379" i="6"/>
  <c r="I379" i="6"/>
  <c r="J379" i="6"/>
  <c r="K379" i="6"/>
  <c r="L379" i="6"/>
  <c r="M379" i="6"/>
  <c r="O379" i="6"/>
  <c r="P379" i="6"/>
  <c r="Q379" i="6"/>
  <c r="R379" i="6"/>
  <c r="T379" i="6"/>
  <c r="U379" i="6"/>
  <c r="V379" i="6"/>
  <c r="W379" i="6"/>
  <c r="H381" i="6"/>
  <c r="I381" i="6"/>
  <c r="J381" i="6"/>
  <c r="K381" i="6"/>
  <c r="L381" i="6"/>
  <c r="M381" i="6"/>
  <c r="O381" i="6"/>
  <c r="P381" i="6"/>
  <c r="Q381" i="6"/>
  <c r="R381" i="6"/>
  <c r="T381" i="6"/>
  <c r="U381" i="6"/>
  <c r="V381" i="6"/>
  <c r="W381" i="6"/>
  <c r="H632" i="6"/>
  <c r="I632" i="6"/>
  <c r="J632" i="6"/>
  <c r="K632" i="6"/>
  <c r="L632" i="6"/>
  <c r="M632" i="6"/>
  <c r="O632" i="6"/>
  <c r="P632" i="6"/>
  <c r="Q632" i="6"/>
  <c r="R632" i="6"/>
  <c r="T632" i="6"/>
  <c r="U632" i="6"/>
  <c r="V632" i="6"/>
  <c r="W632" i="6"/>
  <c r="H629" i="6"/>
  <c r="I629" i="6"/>
  <c r="J629" i="6"/>
  <c r="K629" i="6"/>
  <c r="L629" i="6"/>
  <c r="M629" i="6"/>
  <c r="O629" i="6"/>
  <c r="P629" i="6"/>
  <c r="Q629" i="6"/>
  <c r="R629" i="6"/>
  <c r="T629" i="6"/>
  <c r="U629" i="6"/>
  <c r="V629" i="6"/>
  <c r="W629" i="6"/>
  <c r="H628" i="6"/>
  <c r="I628" i="6"/>
  <c r="J628" i="6"/>
  <c r="K628" i="6"/>
  <c r="L628" i="6"/>
  <c r="M628" i="6"/>
  <c r="O628" i="6"/>
  <c r="P628" i="6"/>
  <c r="Q628" i="6"/>
  <c r="R628" i="6"/>
  <c r="T628" i="6"/>
  <c r="U628" i="6"/>
  <c r="V628" i="6"/>
  <c r="W628" i="6"/>
  <c r="H630" i="6"/>
  <c r="I630" i="6"/>
  <c r="J630" i="6"/>
  <c r="K630" i="6"/>
  <c r="L630" i="6"/>
  <c r="M630" i="6"/>
  <c r="O630" i="6"/>
  <c r="P630" i="6"/>
  <c r="Q630" i="6"/>
  <c r="R630" i="6"/>
  <c r="T630" i="6"/>
  <c r="U630" i="6"/>
  <c r="V630" i="6"/>
  <c r="W630" i="6"/>
  <c r="H1009" i="6"/>
  <c r="I1009" i="6"/>
  <c r="J1009" i="6"/>
  <c r="K1009" i="6"/>
  <c r="L1009" i="6"/>
  <c r="M1009" i="6"/>
  <c r="O1009" i="6"/>
  <c r="P1009" i="6"/>
  <c r="Q1009" i="6"/>
  <c r="R1009" i="6"/>
  <c r="T1009" i="6"/>
  <c r="U1009" i="6"/>
  <c r="V1009" i="6"/>
  <c r="W1009" i="6"/>
  <c r="H395" i="6"/>
  <c r="I395" i="6"/>
  <c r="J395" i="6"/>
  <c r="K395" i="6"/>
  <c r="L395" i="6"/>
  <c r="M395" i="6"/>
  <c r="O395" i="6"/>
  <c r="P395" i="6"/>
  <c r="Q395" i="6"/>
  <c r="R395" i="6"/>
  <c r="T395" i="6"/>
  <c r="U395" i="6"/>
  <c r="V395" i="6"/>
  <c r="W395" i="6"/>
  <c r="H396" i="6"/>
  <c r="I396" i="6"/>
  <c r="J396" i="6"/>
  <c r="K396" i="6"/>
  <c r="L396" i="6"/>
  <c r="M396" i="6"/>
  <c r="O396" i="6"/>
  <c r="P396" i="6"/>
  <c r="Q396" i="6"/>
  <c r="R396" i="6"/>
  <c r="T396" i="6"/>
  <c r="U396" i="6"/>
  <c r="V396" i="6"/>
  <c r="W396" i="6"/>
  <c r="H19" i="6"/>
  <c r="I19" i="6"/>
  <c r="J19" i="6"/>
  <c r="K19" i="6"/>
  <c r="L19" i="6"/>
  <c r="M19" i="6"/>
  <c r="O19" i="6"/>
  <c r="P19" i="6"/>
  <c r="Q19" i="6"/>
  <c r="R19" i="6"/>
  <c r="T19" i="6"/>
  <c r="U19" i="6"/>
  <c r="V19" i="6"/>
  <c r="W19" i="6"/>
  <c r="H24" i="6"/>
  <c r="I24" i="6"/>
  <c r="J24" i="6"/>
  <c r="K24" i="6"/>
  <c r="L24" i="6"/>
  <c r="M24" i="6"/>
  <c r="O24" i="6"/>
  <c r="P24" i="6"/>
  <c r="Q24" i="6"/>
  <c r="R24" i="6"/>
  <c r="T24" i="6"/>
  <c r="U24" i="6"/>
  <c r="V24" i="6"/>
  <c r="W24" i="6"/>
  <c r="H811" i="6"/>
  <c r="I811" i="6"/>
  <c r="J811" i="6"/>
  <c r="K811" i="6"/>
  <c r="L811" i="6"/>
  <c r="M811" i="6"/>
  <c r="O811" i="6"/>
  <c r="P811" i="6"/>
  <c r="Q811" i="6"/>
  <c r="R811" i="6"/>
  <c r="T811" i="6"/>
  <c r="U811" i="6"/>
  <c r="V811" i="6"/>
  <c r="W811" i="6"/>
  <c r="H325" i="6"/>
  <c r="I325" i="6"/>
  <c r="J325" i="6"/>
  <c r="K325" i="6"/>
  <c r="L325" i="6"/>
  <c r="M325" i="6"/>
  <c r="O325" i="6"/>
  <c r="P325" i="6"/>
  <c r="Q325" i="6"/>
  <c r="R325" i="6"/>
  <c r="T325" i="6"/>
  <c r="U325" i="6"/>
  <c r="V325" i="6"/>
  <c r="W325" i="6"/>
  <c r="H326" i="6"/>
  <c r="I326" i="6"/>
  <c r="J326" i="6"/>
  <c r="K326" i="6"/>
  <c r="L326" i="6"/>
  <c r="M326" i="6"/>
  <c r="O326" i="6"/>
  <c r="P326" i="6"/>
  <c r="Q326" i="6"/>
  <c r="R326" i="6"/>
  <c r="T326" i="6"/>
  <c r="U326" i="6"/>
  <c r="V326" i="6"/>
  <c r="W326" i="6"/>
  <c r="H324" i="6"/>
  <c r="I324" i="6"/>
  <c r="J324" i="6"/>
  <c r="K324" i="6"/>
  <c r="L324" i="6"/>
  <c r="M324" i="6"/>
  <c r="O324" i="6"/>
  <c r="P324" i="6"/>
  <c r="Q324" i="6"/>
  <c r="R324" i="6"/>
  <c r="T324" i="6"/>
  <c r="U324" i="6"/>
  <c r="V324" i="6"/>
  <c r="W324" i="6"/>
  <c r="H812" i="6"/>
  <c r="I812" i="6"/>
  <c r="J812" i="6"/>
  <c r="K812" i="6"/>
  <c r="L812" i="6"/>
  <c r="M812" i="6"/>
  <c r="O812" i="6"/>
  <c r="P812" i="6"/>
  <c r="Q812" i="6"/>
  <c r="R812" i="6"/>
  <c r="T812" i="6"/>
  <c r="U812" i="6"/>
  <c r="V812" i="6"/>
  <c r="W812" i="6"/>
  <c r="H810" i="6"/>
  <c r="I810" i="6"/>
  <c r="J810" i="6"/>
  <c r="K810" i="6"/>
  <c r="L810" i="6"/>
  <c r="M810" i="6"/>
  <c r="O810" i="6"/>
  <c r="P810" i="6"/>
  <c r="Q810" i="6"/>
  <c r="R810" i="6"/>
  <c r="T810" i="6"/>
  <c r="U810" i="6"/>
  <c r="V810" i="6"/>
  <c r="W810" i="6"/>
  <c r="H354" i="6"/>
  <c r="I354" i="6"/>
  <c r="J354" i="6"/>
  <c r="K354" i="6"/>
  <c r="L354" i="6"/>
  <c r="M354" i="6"/>
  <c r="O354" i="6"/>
  <c r="P354" i="6"/>
  <c r="Q354" i="6"/>
  <c r="R354" i="6"/>
  <c r="T354" i="6"/>
  <c r="U354" i="6"/>
  <c r="V354" i="6"/>
  <c r="W354" i="6"/>
  <c r="H882" i="6"/>
  <c r="I882" i="6"/>
  <c r="J882" i="6"/>
  <c r="K882" i="6"/>
  <c r="L882" i="6"/>
  <c r="M882" i="6"/>
  <c r="O882" i="6"/>
  <c r="P882" i="6"/>
  <c r="Q882" i="6"/>
  <c r="R882" i="6"/>
  <c r="T882" i="6"/>
  <c r="U882" i="6"/>
  <c r="V882" i="6"/>
  <c r="W882" i="6"/>
  <c r="H881" i="6"/>
  <c r="I881" i="6"/>
  <c r="J881" i="6"/>
  <c r="K881" i="6"/>
  <c r="L881" i="6"/>
  <c r="M881" i="6"/>
  <c r="O881" i="6"/>
  <c r="P881" i="6"/>
  <c r="Q881" i="6"/>
  <c r="R881" i="6"/>
  <c r="T881" i="6"/>
  <c r="U881" i="6"/>
  <c r="V881" i="6"/>
  <c r="W881" i="6"/>
  <c r="H212" i="6"/>
  <c r="I212" i="6"/>
  <c r="J212" i="6"/>
  <c r="K212" i="6"/>
  <c r="L212" i="6"/>
  <c r="M212" i="6"/>
  <c r="O212" i="6"/>
  <c r="P212" i="6"/>
  <c r="Q212" i="6"/>
  <c r="R212" i="6"/>
  <c r="T212" i="6"/>
  <c r="U212" i="6"/>
  <c r="V212" i="6"/>
  <c r="W212" i="6"/>
  <c r="H213" i="6"/>
  <c r="I213" i="6"/>
  <c r="J213" i="6"/>
  <c r="K213" i="6"/>
  <c r="L213" i="6"/>
  <c r="M213" i="6"/>
  <c r="O213" i="6"/>
  <c r="P213" i="6"/>
  <c r="Q213" i="6"/>
  <c r="R213" i="6"/>
  <c r="T213" i="6"/>
  <c r="U213" i="6"/>
  <c r="V213" i="6"/>
  <c r="W213" i="6"/>
  <c r="H521" i="6"/>
  <c r="I521" i="6"/>
  <c r="J521" i="6"/>
  <c r="K521" i="6"/>
  <c r="L521" i="6"/>
  <c r="M521" i="6"/>
  <c r="O521" i="6"/>
  <c r="P521" i="6"/>
  <c r="Q521" i="6"/>
  <c r="R521" i="6"/>
  <c r="T521" i="6"/>
  <c r="U521" i="6"/>
  <c r="V521" i="6"/>
  <c r="W521" i="6"/>
  <c r="H522" i="6"/>
  <c r="I522" i="6"/>
  <c r="J522" i="6"/>
  <c r="K522" i="6"/>
  <c r="L522" i="6"/>
  <c r="M522" i="6"/>
  <c r="O522" i="6"/>
  <c r="P522" i="6"/>
  <c r="Q522" i="6"/>
  <c r="R522" i="6"/>
  <c r="T522" i="6"/>
  <c r="U522" i="6"/>
  <c r="V522" i="6"/>
  <c r="W522" i="6"/>
  <c r="H829" i="6"/>
  <c r="I829" i="6"/>
  <c r="J829" i="6"/>
  <c r="K829" i="6"/>
  <c r="L829" i="6"/>
  <c r="M829" i="6"/>
  <c r="O829" i="6"/>
  <c r="P829" i="6"/>
  <c r="Q829" i="6"/>
  <c r="R829" i="6"/>
  <c r="T829" i="6"/>
  <c r="U829" i="6"/>
  <c r="V829" i="6"/>
  <c r="W829" i="6"/>
  <c r="H578" i="6"/>
  <c r="I578" i="6"/>
  <c r="J578" i="6"/>
  <c r="K578" i="6"/>
  <c r="L578" i="6"/>
  <c r="M578" i="6"/>
  <c r="O578" i="6"/>
  <c r="P578" i="6"/>
  <c r="Q578" i="6"/>
  <c r="R578" i="6"/>
  <c r="T578" i="6"/>
  <c r="U578" i="6"/>
  <c r="V578" i="6"/>
  <c r="W578" i="6"/>
  <c r="H424" i="6"/>
  <c r="I424" i="6"/>
  <c r="J424" i="6"/>
  <c r="K424" i="6"/>
  <c r="L424" i="6"/>
  <c r="M424" i="6"/>
  <c r="O424" i="6"/>
  <c r="P424" i="6"/>
  <c r="Q424" i="6"/>
  <c r="R424" i="6"/>
  <c r="T424" i="6"/>
  <c r="U424" i="6"/>
  <c r="V424" i="6"/>
  <c r="W424" i="6"/>
  <c r="H425" i="6"/>
  <c r="I425" i="6"/>
  <c r="J425" i="6"/>
  <c r="K425" i="6"/>
  <c r="L425" i="6"/>
  <c r="M425" i="6"/>
  <c r="O425" i="6"/>
  <c r="P425" i="6"/>
  <c r="Q425" i="6"/>
  <c r="R425" i="6"/>
  <c r="T425" i="6"/>
  <c r="U425" i="6"/>
  <c r="V425" i="6"/>
  <c r="W425" i="6"/>
  <c r="H423" i="6"/>
  <c r="I423" i="6"/>
  <c r="J423" i="6"/>
  <c r="K423" i="6"/>
  <c r="L423" i="6"/>
  <c r="M423" i="6"/>
  <c r="O423" i="6"/>
  <c r="P423" i="6"/>
  <c r="Q423" i="6"/>
  <c r="R423" i="6"/>
  <c r="T423" i="6"/>
  <c r="U423" i="6"/>
  <c r="V423" i="6"/>
  <c r="W423" i="6"/>
  <c r="H458" i="6"/>
  <c r="I458" i="6"/>
  <c r="J458" i="6"/>
  <c r="K458" i="6"/>
  <c r="L458" i="6"/>
  <c r="M458" i="6"/>
  <c r="O458" i="6"/>
  <c r="P458" i="6"/>
  <c r="Q458" i="6"/>
  <c r="R458" i="6"/>
  <c r="S458" i="6"/>
  <c r="T458" i="6"/>
  <c r="U458" i="6"/>
  <c r="V458" i="6"/>
  <c r="W458" i="6"/>
  <c r="H223" i="6"/>
  <c r="I223" i="6"/>
  <c r="J223" i="6"/>
  <c r="K223" i="6"/>
  <c r="L223" i="6"/>
  <c r="M223" i="6"/>
  <c r="O223" i="6"/>
  <c r="P223" i="6"/>
  <c r="Q223" i="6"/>
  <c r="R223" i="6"/>
  <c r="T223" i="6"/>
  <c r="U223" i="6"/>
  <c r="V223" i="6"/>
  <c r="W223" i="6"/>
  <c r="H222" i="6"/>
  <c r="I222" i="6"/>
  <c r="J222" i="6"/>
  <c r="K222" i="6"/>
  <c r="L222" i="6"/>
  <c r="M222" i="6"/>
  <c r="O222" i="6"/>
  <c r="P222" i="6"/>
  <c r="Q222" i="6"/>
  <c r="R222" i="6"/>
  <c r="T222" i="6"/>
  <c r="U222" i="6"/>
  <c r="V222" i="6"/>
  <c r="W222" i="6"/>
  <c r="H221" i="6"/>
  <c r="I221" i="6"/>
  <c r="J221" i="6"/>
  <c r="K221" i="6"/>
  <c r="L221" i="6"/>
  <c r="M221" i="6"/>
  <c r="O221" i="6"/>
  <c r="P221" i="6"/>
  <c r="Q221" i="6"/>
  <c r="R221" i="6"/>
  <c r="T221" i="6"/>
  <c r="U221" i="6"/>
  <c r="V221" i="6"/>
  <c r="W221" i="6"/>
  <c r="H938" i="6"/>
  <c r="I938" i="6"/>
  <c r="J938" i="6"/>
  <c r="K938" i="6"/>
  <c r="L938" i="6"/>
  <c r="M938" i="6"/>
  <c r="O938" i="6"/>
  <c r="P938" i="6"/>
  <c r="Q938" i="6"/>
  <c r="R938" i="6"/>
  <c r="T938" i="6"/>
  <c r="U938" i="6"/>
  <c r="V938" i="6"/>
  <c r="W938" i="6"/>
  <c r="H937" i="6"/>
  <c r="I937" i="6"/>
  <c r="J937" i="6"/>
  <c r="K937" i="6"/>
  <c r="L937" i="6"/>
  <c r="M937" i="6"/>
  <c r="O937" i="6"/>
  <c r="P937" i="6"/>
  <c r="Q937" i="6"/>
  <c r="R937" i="6"/>
  <c r="T937" i="6"/>
  <c r="U937" i="6"/>
  <c r="V937" i="6"/>
  <c r="W937" i="6"/>
  <c r="H846" i="6"/>
  <c r="I846" i="6"/>
  <c r="J846" i="6"/>
  <c r="K846" i="6"/>
  <c r="L846" i="6"/>
  <c r="M846" i="6"/>
  <c r="O846" i="6"/>
  <c r="P846" i="6"/>
  <c r="Q846" i="6"/>
  <c r="R846" i="6"/>
  <c r="T846" i="6"/>
  <c r="U846" i="6"/>
  <c r="V846" i="6"/>
  <c r="W846" i="6"/>
  <c r="H845" i="6"/>
  <c r="I845" i="6"/>
  <c r="J845" i="6"/>
  <c r="K845" i="6"/>
  <c r="L845" i="6"/>
  <c r="M845" i="6"/>
  <c r="O845" i="6"/>
  <c r="P845" i="6"/>
  <c r="Q845" i="6"/>
  <c r="R845" i="6"/>
  <c r="T845" i="6"/>
  <c r="U845" i="6"/>
  <c r="V845" i="6"/>
  <c r="W845" i="6"/>
  <c r="H388" i="6"/>
  <c r="I388" i="6"/>
  <c r="J388" i="6"/>
  <c r="K388" i="6"/>
  <c r="L388" i="6"/>
  <c r="M388" i="6"/>
  <c r="O388" i="6"/>
  <c r="P388" i="6"/>
  <c r="Q388" i="6"/>
  <c r="R388" i="6"/>
  <c r="T388" i="6"/>
  <c r="U388" i="6"/>
  <c r="V388" i="6"/>
  <c r="W388" i="6"/>
  <c r="H177" i="6"/>
  <c r="I177" i="6"/>
  <c r="J177" i="6"/>
  <c r="K177" i="6"/>
  <c r="L177" i="6"/>
  <c r="M177" i="6"/>
  <c r="O177" i="6"/>
  <c r="P177" i="6"/>
  <c r="Q177" i="6"/>
  <c r="R177" i="6"/>
  <c r="T177" i="6"/>
  <c r="U177" i="6"/>
  <c r="V177" i="6"/>
  <c r="W177" i="6"/>
  <c r="H988" i="6"/>
  <c r="I988" i="6"/>
  <c r="J988" i="6"/>
  <c r="K988" i="6"/>
  <c r="L988" i="6"/>
  <c r="M988" i="6"/>
  <c r="O988" i="6"/>
  <c r="P988" i="6"/>
  <c r="Q988" i="6"/>
  <c r="R988" i="6"/>
  <c r="T988" i="6"/>
  <c r="U988" i="6"/>
  <c r="V988" i="6"/>
  <c r="W988" i="6"/>
  <c r="H378" i="6"/>
  <c r="I378" i="6"/>
  <c r="J378" i="6"/>
  <c r="K378" i="6"/>
  <c r="L378" i="6"/>
  <c r="M378" i="6"/>
  <c r="O378" i="6"/>
  <c r="P378" i="6"/>
  <c r="Q378" i="6"/>
  <c r="R378" i="6"/>
  <c r="T378" i="6"/>
  <c r="U378" i="6"/>
  <c r="V378" i="6"/>
  <c r="W378" i="6"/>
  <c r="H377" i="6"/>
  <c r="I377" i="6"/>
  <c r="J377" i="6"/>
  <c r="K377" i="6"/>
  <c r="L377" i="6"/>
  <c r="M377" i="6"/>
  <c r="O377" i="6"/>
  <c r="P377" i="6"/>
  <c r="Q377" i="6"/>
  <c r="R377" i="6"/>
  <c r="T377" i="6"/>
  <c r="U377" i="6"/>
  <c r="V377" i="6"/>
  <c r="W377" i="6"/>
  <c r="H473" i="6"/>
  <c r="I473" i="6"/>
  <c r="J473" i="6"/>
  <c r="K473" i="6"/>
  <c r="L473" i="6"/>
  <c r="M473" i="6"/>
  <c r="O473" i="6"/>
  <c r="P473" i="6"/>
  <c r="Q473" i="6"/>
  <c r="R473" i="6"/>
  <c r="T473" i="6"/>
  <c r="U473" i="6"/>
  <c r="V473" i="6"/>
  <c r="W473" i="6"/>
  <c r="H474" i="6"/>
  <c r="I474" i="6"/>
  <c r="J474" i="6"/>
  <c r="K474" i="6"/>
  <c r="L474" i="6"/>
  <c r="M474" i="6"/>
  <c r="O474" i="6"/>
  <c r="P474" i="6"/>
  <c r="Q474" i="6"/>
  <c r="R474" i="6"/>
  <c r="T474" i="6"/>
  <c r="U474" i="6"/>
  <c r="V474" i="6"/>
  <c r="W474" i="6"/>
  <c r="H472" i="6"/>
  <c r="I472" i="6"/>
  <c r="J472" i="6"/>
  <c r="K472" i="6"/>
  <c r="L472" i="6"/>
  <c r="M472" i="6"/>
  <c r="O472" i="6"/>
  <c r="P472" i="6"/>
  <c r="Q472" i="6"/>
  <c r="R472" i="6"/>
  <c r="T472" i="6"/>
  <c r="U472" i="6"/>
  <c r="V472" i="6"/>
  <c r="W472" i="6"/>
  <c r="H760" i="6"/>
  <c r="I760" i="6"/>
  <c r="J760" i="6"/>
  <c r="K760" i="6"/>
  <c r="L760" i="6"/>
  <c r="M760" i="6"/>
  <c r="O760" i="6"/>
  <c r="P760" i="6"/>
  <c r="Q760" i="6"/>
  <c r="R760" i="6"/>
  <c r="T760" i="6"/>
  <c r="U760" i="6"/>
  <c r="V760" i="6"/>
  <c r="W760" i="6"/>
  <c r="H924" i="6"/>
  <c r="I924" i="6"/>
  <c r="J924" i="6"/>
  <c r="K924" i="6"/>
  <c r="L924" i="6"/>
  <c r="M924" i="6"/>
  <c r="O924" i="6"/>
  <c r="P924" i="6"/>
  <c r="Q924" i="6"/>
  <c r="R924" i="6"/>
  <c r="T924" i="6"/>
  <c r="U924" i="6"/>
  <c r="V924" i="6"/>
  <c r="W924" i="6"/>
  <c r="H923" i="6"/>
  <c r="I923" i="6"/>
  <c r="J923" i="6"/>
  <c r="K923" i="6"/>
  <c r="L923" i="6"/>
  <c r="M923" i="6"/>
  <c r="O923" i="6"/>
  <c r="P923" i="6"/>
  <c r="Q923" i="6"/>
  <c r="R923" i="6"/>
  <c r="T923" i="6"/>
  <c r="U923" i="6"/>
  <c r="V923" i="6"/>
  <c r="W923" i="6"/>
  <c r="H929" i="6"/>
  <c r="I929" i="6"/>
  <c r="J929" i="6"/>
  <c r="K929" i="6"/>
  <c r="L929" i="6"/>
  <c r="M929" i="6"/>
  <c r="O929" i="6"/>
  <c r="P929" i="6"/>
  <c r="Q929" i="6"/>
  <c r="R929" i="6"/>
  <c r="T929" i="6"/>
  <c r="U929" i="6"/>
  <c r="V929" i="6"/>
  <c r="W929" i="6"/>
  <c r="H928" i="6"/>
  <c r="I928" i="6"/>
  <c r="J928" i="6"/>
  <c r="K928" i="6"/>
  <c r="L928" i="6"/>
  <c r="M928" i="6"/>
  <c r="O928" i="6"/>
  <c r="P928" i="6"/>
  <c r="Q928" i="6"/>
  <c r="R928" i="6"/>
  <c r="T928" i="6"/>
  <c r="U928" i="6"/>
  <c r="V928" i="6"/>
  <c r="W928" i="6"/>
  <c r="H934" i="6"/>
  <c r="I934" i="6"/>
  <c r="J934" i="6"/>
  <c r="K934" i="6"/>
  <c r="L934" i="6"/>
  <c r="M934" i="6"/>
  <c r="O934" i="6"/>
  <c r="P934" i="6"/>
  <c r="Q934" i="6"/>
  <c r="R934" i="6"/>
  <c r="T934" i="6"/>
  <c r="U934" i="6"/>
  <c r="V934" i="6"/>
  <c r="W934" i="6"/>
  <c r="H933" i="6"/>
  <c r="I933" i="6"/>
  <c r="J933" i="6"/>
  <c r="K933" i="6"/>
  <c r="L933" i="6"/>
  <c r="M933" i="6"/>
  <c r="O933" i="6"/>
  <c r="P933" i="6"/>
  <c r="Q933" i="6"/>
  <c r="R933" i="6"/>
  <c r="T933" i="6"/>
  <c r="U933" i="6"/>
  <c r="V933" i="6"/>
  <c r="W933" i="6"/>
  <c r="H950" i="6"/>
  <c r="I950" i="6"/>
  <c r="J950" i="6"/>
  <c r="K950" i="6"/>
  <c r="L950" i="6"/>
  <c r="M950" i="6"/>
  <c r="O950" i="6"/>
  <c r="P950" i="6"/>
  <c r="Q950" i="6"/>
  <c r="R950" i="6"/>
  <c r="T950" i="6"/>
  <c r="U950" i="6"/>
  <c r="V950" i="6"/>
  <c r="W950" i="6"/>
  <c r="H873" i="6"/>
  <c r="I873" i="6"/>
  <c r="J873" i="6"/>
  <c r="K873" i="6"/>
  <c r="L873" i="6"/>
  <c r="M873" i="6"/>
  <c r="O873" i="6"/>
  <c r="P873" i="6"/>
  <c r="Q873" i="6"/>
  <c r="R873" i="6"/>
  <c r="T873" i="6"/>
  <c r="U873" i="6"/>
  <c r="V873" i="6"/>
  <c r="W873" i="6"/>
  <c r="H452" i="6"/>
  <c r="I452" i="6"/>
  <c r="J452" i="6"/>
  <c r="K452" i="6"/>
  <c r="L452" i="6"/>
  <c r="M452" i="6"/>
  <c r="O452" i="6"/>
  <c r="P452" i="6"/>
  <c r="Q452" i="6"/>
  <c r="R452" i="6"/>
  <c r="T452" i="6"/>
  <c r="U452" i="6"/>
  <c r="V452" i="6"/>
  <c r="W452" i="6"/>
  <c r="H605" i="6"/>
  <c r="I605" i="6"/>
  <c r="J605" i="6"/>
  <c r="K605" i="6"/>
  <c r="L605" i="6"/>
  <c r="M605" i="6"/>
  <c r="O605" i="6"/>
  <c r="P605" i="6"/>
  <c r="Q605" i="6"/>
  <c r="R605" i="6"/>
  <c r="T605" i="6"/>
  <c r="U605" i="6"/>
  <c r="V605" i="6"/>
  <c r="W605" i="6"/>
  <c r="H955" i="6"/>
  <c r="I955" i="6"/>
  <c r="J955" i="6"/>
  <c r="K955" i="6"/>
  <c r="L955" i="6"/>
  <c r="M955" i="6"/>
  <c r="O955" i="6"/>
  <c r="P955" i="6"/>
  <c r="Q955" i="6"/>
  <c r="R955" i="6"/>
  <c r="T955" i="6"/>
  <c r="U955" i="6"/>
  <c r="V955" i="6"/>
  <c r="W955" i="6"/>
  <c r="X955" i="6"/>
  <c r="H413" i="6"/>
  <c r="I413" i="6"/>
  <c r="J413" i="6"/>
  <c r="K413" i="6"/>
  <c r="L413" i="6"/>
  <c r="M413" i="6"/>
  <c r="O413" i="6"/>
  <c r="P413" i="6"/>
  <c r="Q413" i="6"/>
  <c r="R413" i="6"/>
  <c r="T413" i="6"/>
  <c r="U413" i="6"/>
  <c r="V413" i="6"/>
  <c r="W413" i="6"/>
  <c r="H414" i="6"/>
  <c r="I414" i="6"/>
  <c r="J414" i="6"/>
  <c r="K414" i="6"/>
  <c r="L414" i="6"/>
  <c r="M414" i="6"/>
  <c r="O414" i="6"/>
  <c r="P414" i="6"/>
  <c r="Q414" i="6"/>
  <c r="R414" i="6"/>
  <c r="T414" i="6"/>
  <c r="U414" i="6"/>
  <c r="V414" i="6"/>
  <c r="W414" i="6"/>
  <c r="H991" i="6"/>
  <c r="I991" i="6"/>
  <c r="J991" i="6"/>
  <c r="K991" i="6"/>
  <c r="L991" i="6"/>
  <c r="M991" i="6"/>
  <c r="O991" i="6"/>
  <c r="P991" i="6"/>
  <c r="Q991" i="6"/>
  <c r="R991" i="6"/>
  <c r="T991" i="6"/>
  <c r="U991" i="6"/>
  <c r="V991" i="6"/>
  <c r="W991" i="6"/>
  <c r="H224" i="6"/>
  <c r="I224" i="6"/>
  <c r="J224" i="6"/>
  <c r="K224" i="6"/>
  <c r="L224" i="6"/>
  <c r="M224" i="6"/>
  <c r="O224" i="6"/>
  <c r="P224" i="6"/>
  <c r="Q224" i="6"/>
  <c r="R224" i="6"/>
  <c r="T224" i="6"/>
  <c r="U224" i="6"/>
  <c r="V224" i="6"/>
  <c r="W224" i="6"/>
  <c r="H225" i="6"/>
  <c r="I225" i="6"/>
  <c r="J225" i="6"/>
  <c r="K225" i="6"/>
  <c r="L225" i="6"/>
  <c r="M225" i="6"/>
  <c r="O225" i="6"/>
  <c r="P225" i="6"/>
  <c r="Q225" i="6"/>
  <c r="R225" i="6"/>
  <c r="T225" i="6"/>
  <c r="U225" i="6"/>
  <c r="V225" i="6"/>
  <c r="W225" i="6"/>
  <c r="H948" i="6"/>
  <c r="I948" i="6"/>
  <c r="J948" i="6"/>
  <c r="K948" i="6"/>
  <c r="L948" i="6"/>
  <c r="M948" i="6"/>
  <c r="O948" i="6"/>
  <c r="P948" i="6"/>
  <c r="Q948" i="6"/>
  <c r="R948" i="6"/>
  <c r="T948" i="6"/>
  <c r="U948" i="6"/>
  <c r="V948" i="6"/>
  <c r="W948" i="6"/>
  <c r="H543" i="6"/>
  <c r="I543" i="6"/>
  <c r="J543" i="6"/>
  <c r="K543" i="6"/>
  <c r="L543" i="6"/>
  <c r="M543" i="6"/>
  <c r="O543" i="6"/>
  <c r="P543" i="6"/>
  <c r="Q543" i="6"/>
  <c r="R543" i="6"/>
  <c r="T543" i="6"/>
  <c r="U543" i="6"/>
  <c r="V543" i="6"/>
  <c r="W543" i="6"/>
  <c r="H506" i="6"/>
  <c r="I506" i="6"/>
  <c r="J506" i="6"/>
  <c r="K506" i="6"/>
  <c r="L506" i="6"/>
  <c r="M506" i="6"/>
  <c r="O506" i="6"/>
  <c r="P506" i="6"/>
  <c r="Q506" i="6"/>
  <c r="R506" i="6"/>
  <c r="T506" i="6"/>
  <c r="U506" i="6"/>
  <c r="V506" i="6"/>
  <c r="W506" i="6"/>
  <c r="H147" i="6"/>
  <c r="I147" i="6"/>
  <c r="J147" i="6"/>
  <c r="K147" i="6"/>
  <c r="L147" i="6"/>
  <c r="M147" i="6"/>
  <c r="O147" i="6"/>
  <c r="P147" i="6"/>
  <c r="Q147" i="6"/>
  <c r="R147" i="6"/>
  <c r="T147" i="6"/>
  <c r="U147" i="6"/>
  <c r="V147" i="6"/>
  <c r="W147" i="6"/>
  <c r="H145" i="6"/>
  <c r="I145" i="6"/>
  <c r="J145" i="6"/>
  <c r="K145" i="6"/>
  <c r="L145" i="6"/>
  <c r="M145" i="6"/>
  <c r="O145" i="6"/>
  <c r="P145" i="6"/>
  <c r="Q145" i="6"/>
  <c r="R145" i="6"/>
  <c r="T145" i="6"/>
  <c r="U145" i="6"/>
  <c r="V145" i="6"/>
  <c r="W145" i="6"/>
  <c r="H144" i="6"/>
  <c r="I144" i="6"/>
  <c r="J144" i="6"/>
  <c r="K144" i="6"/>
  <c r="L144" i="6"/>
  <c r="M144" i="6"/>
  <c r="O144" i="6"/>
  <c r="P144" i="6"/>
  <c r="Q144" i="6"/>
  <c r="R144" i="6"/>
  <c r="T144" i="6"/>
  <c r="U144" i="6"/>
  <c r="V144" i="6"/>
  <c r="W144" i="6"/>
  <c r="H141" i="6"/>
  <c r="I141" i="6"/>
  <c r="J141" i="6"/>
  <c r="K141" i="6"/>
  <c r="L141" i="6"/>
  <c r="M141" i="6"/>
  <c r="O141" i="6"/>
  <c r="P141" i="6"/>
  <c r="Q141" i="6"/>
  <c r="R141" i="6"/>
  <c r="T141" i="6"/>
  <c r="U141" i="6"/>
  <c r="V141" i="6"/>
  <c r="W141" i="6"/>
  <c r="H142" i="6"/>
  <c r="I142" i="6"/>
  <c r="J142" i="6"/>
  <c r="K142" i="6"/>
  <c r="L142" i="6"/>
  <c r="M142" i="6"/>
  <c r="O142" i="6"/>
  <c r="P142" i="6"/>
  <c r="Q142" i="6"/>
  <c r="R142" i="6"/>
  <c r="T142" i="6"/>
  <c r="U142" i="6"/>
  <c r="V142" i="6"/>
  <c r="W142" i="6"/>
  <c r="H1001" i="6"/>
  <c r="I1001" i="6"/>
  <c r="J1001" i="6"/>
  <c r="K1001" i="6"/>
  <c r="L1001" i="6"/>
  <c r="M1001" i="6"/>
  <c r="O1001" i="6"/>
  <c r="P1001" i="6"/>
  <c r="Q1001" i="6"/>
  <c r="R1001" i="6"/>
  <c r="T1001" i="6"/>
  <c r="U1001" i="6"/>
  <c r="V1001" i="6"/>
  <c r="W1001" i="6"/>
  <c r="H140" i="6"/>
  <c r="I140" i="6"/>
  <c r="J140" i="6"/>
  <c r="K140" i="6"/>
  <c r="L140" i="6"/>
  <c r="M140" i="6"/>
  <c r="O140" i="6"/>
  <c r="P140" i="6"/>
  <c r="Q140" i="6"/>
  <c r="R140" i="6"/>
  <c r="T140" i="6"/>
  <c r="U140" i="6"/>
  <c r="V140" i="6"/>
  <c r="W140" i="6"/>
  <c r="H918" i="6"/>
  <c r="I918" i="6"/>
  <c r="J918" i="6"/>
  <c r="K918" i="6"/>
  <c r="L918" i="6"/>
  <c r="M918" i="6"/>
  <c r="O918" i="6"/>
  <c r="P918" i="6"/>
  <c r="Q918" i="6"/>
  <c r="R918" i="6"/>
  <c r="T918" i="6"/>
  <c r="U918" i="6"/>
  <c r="V918" i="6"/>
  <c r="W918" i="6"/>
  <c r="H707" i="6"/>
  <c r="I707" i="6"/>
  <c r="J707" i="6"/>
  <c r="K707" i="6"/>
  <c r="L707" i="6"/>
  <c r="M707" i="6"/>
  <c r="O707" i="6"/>
  <c r="P707" i="6"/>
  <c r="Q707" i="6"/>
  <c r="R707" i="6"/>
  <c r="T707" i="6"/>
  <c r="U707" i="6"/>
  <c r="V707" i="6"/>
  <c r="W707" i="6"/>
  <c r="H677" i="6"/>
  <c r="I677" i="6"/>
  <c r="J677" i="6"/>
  <c r="K677" i="6"/>
  <c r="L677" i="6"/>
  <c r="M677" i="6"/>
  <c r="O677" i="6"/>
  <c r="P677" i="6"/>
  <c r="Q677" i="6"/>
  <c r="R677" i="6"/>
  <c r="T677" i="6"/>
  <c r="U677" i="6"/>
  <c r="V677" i="6"/>
  <c r="W677" i="6"/>
  <c r="H308" i="6"/>
  <c r="I308" i="6"/>
  <c r="J308" i="6"/>
  <c r="K308" i="6"/>
  <c r="L308" i="6"/>
  <c r="M308" i="6"/>
  <c r="O308" i="6"/>
  <c r="P308" i="6"/>
  <c r="Q308" i="6"/>
  <c r="R308" i="6"/>
  <c r="T308" i="6"/>
  <c r="U308" i="6"/>
  <c r="V308" i="6"/>
  <c r="W308" i="6"/>
  <c r="H262" i="6"/>
  <c r="I262" i="6"/>
  <c r="J262" i="6"/>
  <c r="K262" i="6"/>
  <c r="L262" i="6"/>
  <c r="M262" i="6"/>
  <c r="O262" i="6"/>
  <c r="P262" i="6"/>
  <c r="Q262" i="6"/>
  <c r="R262" i="6"/>
  <c r="T262" i="6"/>
  <c r="U262" i="6"/>
  <c r="V262" i="6"/>
  <c r="W262" i="6"/>
  <c r="H192" i="6"/>
  <c r="I192" i="6"/>
  <c r="J192" i="6"/>
  <c r="K192" i="6"/>
  <c r="L192" i="6"/>
  <c r="M192" i="6"/>
  <c r="O192" i="6"/>
  <c r="P192" i="6"/>
  <c r="Q192" i="6"/>
  <c r="R192" i="6"/>
  <c r="T192" i="6"/>
  <c r="U192" i="6"/>
  <c r="V192" i="6"/>
  <c r="W192" i="6"/>
  <c r="H126" i="6"/>
  <c r="I126" i="6"/>
  <c r="J126" i="6"/>
  <c r="K126" i="6"/>
  <c r="L126" i="6"/>
  <c r="M126" i="6"/>
  <c r="O126" i="6"/>
  <c r="P126" i="6"/>
  <c r="Q126" i="6"/>
  <c r="R126" i="6"/>
  <c r="T126" i="6"/>
  <c r="U126" i="6"/>
  <c r="V126" i="6"/>
  <c r="W126" i="6"/>
  <c r="H66" i="6"/>
  <c r="I66" i="6"/>
  <c r="J66" i="6"/>
  <c r="K66" i="6"/>
  <c r="L66" i="6"/>
  <c r="M66" i="6"/>
  <c r="O66" i="6"/>
  <c r="P66" i="6"/>
  <c r="Q66" i="6"/>
  <c r="R66" i="6"/>
  <c r="T66" i="6"/>
  <c r="U66" i="6"/>
  <c r="V66" i="6"/>
  <c r="W66" i="6"/>
  <c r="H146" i="6"/>
  <c r="I146" i="6"/>
  <c r="J146" i="6"/>
  <c r="K146" i="6"/>
  <c r="L146" i="6"/>
  <c r="M146" i="6"/>
  <c r="O146" i="6"/>
  <c r="P146" i="6"/>
  <c r="Q146" i="6"/>
  <c r="R146" i="6"/>
  <c r="T146" i="6"/>
  <c r="U146" i="6"/>
  <c r="V146" i="6"/>
  <c r="W146" i="6"/>
  <c r="H947" i="6"/>
  <c r="I947" i="6"/>
  <c r="J947" i="6"/>
  <c r="K947" i="6"/>
  <c r="L947" i="6"/>
  <c r="M947" i="6"/>
  <c r="O947" i="6"/>
  <c r="P947" i="6"/>
  <c r="Q947" i="6"/>
  <c r="R947" i="6"/>
  <c r="T947" i="6"/>
  <c r="U947" i="6"/>
  <c r="V947" i="6"/>
  <c r="W947" i="6"/>
  <c r="H936" i="6"/>
  <c r="I936" i="6"/>
  <c r="J936" i="6"/>
  <c r="K936" i="6"/>
  <c r="L936" i="6"/>
  <c r="M936" i="6"/>
  <c r="O936" i="6"/>
  <c r="P936" i="6"/>
  <c r="Q936" i="6"/>
  <c r="R936" i="6"/>
  <c r="T936" i="6"/>
  <c r="U936" i="6"/>
  <c r="V936" i="6"/>
  <c r="W936" i="6"/>
  <c r="H919" i="6"/>
  <c r="I919" i="6"/>
  <c r="J919" i="6"/>
  <c r="K919" i="6"/>
  <c r="L919" i="6"/>
  <c r="M919" i="6"/>
  <c r="O919" i="6"/>
  <c r="P919" i="6"/>
  <c r="Q919" i="6"/>
  <c r="R919" i="6"/>
  <c r="T919" i="6"/>
  <c r="U919" i="6"/>
  <c r="V919" i="6"/>
  <c r="W919" i="6"/>
  <c r="H904" i="6"/>
  <c r="I904" i="6"/>
  <c r="J904" i="6"/>
  <c r="K904" i="6"/>
  <c r="L904" i="6"/>
  <c r="M904" i="6"/>
  <c r="O904" i="6"/>
  <c r="P904" i="6"/>
  <c r="Q904" i="6"/>
  <c r="R904" i="6"/>
  <c r="T904" i="6"/>
  <c r="U904" i="6"/>
  <c r="V904" i="6"/>
  <c r="W904" i="6"/>
  <c r="H890" i="6"/>
  <c r="I890" i="6"/>
  <c r="J890" i="6"/>
  <c r="K890" i="6"/>
  <c r="L890" i="6"/>
  <c r="M890" i="6"/>
  <c r="O890" i="6"/>
  <c r="P890" i="6"/>
  <c r="Q890" i="6"/>
  <c r="R890" i="6"/>
  <c r="T890" i="6"/>
  <c r="U890" i="6"/>
  <c r="V890" i="6"/>
  <c r="W890" i="6"/>
  <c r="H874" i="6"/>
  <c r="I874" i="6"/>
  <c r="J874" i="6"/>
  <c r="K874" i="6"/>
  <c r="L874" i="6"/>
  <c r="M874" i="6"/>
  <c r="O874" i="6"/>
  <c r="P874" i="6"/>
  <c r="Q874" i="6"/>
  <c r="R874" i="6"/>
  <c r="T874" i="6"/>
  <c r="U874" i="6"/>
  <c r="V874" i="6"/>
  <c r="W874" i="6"/>
  <c r="H860" i="6"/>
  <c r="I860" i="6"/>
  <c r="J860" i="6"/>
  <c r="K860" i="6"/>
  <c r="L860" i="6"/>
  <c r="M860" i="6"/>
  <c r="O860" i="6"/>
  <c r="P860" i="6"/>
  <c r="Q860" i="6"/>
  <c r="R860" i="6"/>
  <c r="T860" i="6"/>
  <c r="U860" i="6"/>
  <c r="V860" i="6"/>
  <c r="W860" i="6"/>
  <c r="H849" i="6"/>
  <c r="I849" i="6"/>
  <c r="J849" i="6"/>
  <c r="K849" i="6"/>
  <c r="L849" i="6"/>
  <c r="M849" i="6"/>
  <c r="O849" i="6"/>
  <c r="P849" i="6"/>
  <c r="Q849" i="6"/>
  <c r="R849" i="6"/>
  <c r="T849" i="6"/>
  <c r="U849" i="6"/>
  <c r="V849" i="6"/>
  <c r="W849" i="6"/>
  <c r="H920" i="6"/>
  <c r="I920" i="6"/>
  <c r="J920" i="6"/>
  <c r="K920" i="6"/>
  <c r="L920" i="6"/>
  <c r="M920" i="6"/>
  <c r="O920" i="6"/>
  <c r="P920" i="6"/>
  <c r="Q920" i="6"/>
  <c r="R920" i="6"/>
  <c r="T920" i="6"/>
  <c r="U920" i="6"/>
  <c r="V920" i="6"/>
  <c r="W920" i="6"/>
  <c r="H645" i="6"/>
  <c r="I645" i="6"/>
  <c r="J645" i="6"/>
  <c r="K645" i="6"/>
  <c r="L645" i="6"/>
  <c r="M645" i="6"/>
  <c r="O645" i="6"/>
  <c r="P645" i="6"/>
  <c r="Q645" i="6"/>
  <c r="R645" i="6"/>
  <c r="T645" i="6"/>
  <c r="U645" i="6"/>
  <c r="V645" i="6"/>
  <c r="W645" i="6"/>
  <c r="H734" i="6"/>
  <c r="I734" i="6"/>
  <c r="J734" i="6"/>
  <c r="K734" i="6"/>
  <c r="L734" i="6"/>
  <c r="M734" i="6"/>
  <c r="O734" i="6"/>
  <c r="P734" i="6"/>
  <c r="Q734" i="6"/>
  <c r="R734" i="6"/>
  <c r="T734" i="6"/>
  <c r="U734" i="6"/>
  <c r="V734" i="6"/>
  <c r="W734" i="6"/>
  <c r="H735" i="6"/>
  <c r="I735" i="6"/>
  <c r="J735" i="6"/>
  <c r="K735" i="6"/>
  <c r="L735" i="6"/>
  <c r="M735" i="6"/>
  <c r="O735" i="6"/>
  <c r="P735" i="6"/>
  <c r="Q735" i="6"/>
  <c r="R735" i="6"/>
  <c r="T735" i="6"/>
  <c r="U735" i="6"/>
  <c r="V735" i="6"/>
  <c r="W735" i="6"/>
  <c r="H733" i="6"/>
  <c r="I733" i="6"/>
  <c r="J733" i="6"/>
  <c r="K733" i="6"/>
  <c r="L733" i="6"/>
  <c r="M733" i="6"/>
  <c r="O733" i="6"/>
  <c r="P733" i="6"/>
  <c r="Q733" i="6"/>
  <c r="R733" i="6"/>
  <c r="T733" i="6"/>
  <c r="U733" i="6"/>
  <c r="V733" i="6"/>
  <c r="W733" i="6"/>
  <c r="H486" i="6"/>
  <c r="I486" i="6"/>
  <c r="J486" i="6"/>
  <c r="K486" i="6"/>
  <c r="L486" i="6"/>
  <c r="M486" i="6"/>
  <c r="O486" i="6"/>
  <c r="P486" i="6"/>
  <c r="Q486" i="6"/>
  <c r="R486" i="6"/>
  <c r="T486" i="6"/>
  <c r="U486" i="6"/>
  <c r="V486" i="6"/>
  <c r="W486" i="6"/>
  <c r="H485" i="6"/>
  <c r="I485" i="6"/>
  <c r="J485" i="6"/>
  <c r="K485" i="6"/>
  <c r="L485" i="6"/>
  <c r="M485" i="6"/>
  <c r="O485" i="6"/>
  <c r="P485" i="6"/>
  <c r="Q485" i="6"/>
  <c r="R485" i="6"/>
  <c r="T485" i="6"/>
  <c r="U485" i="6"/>
  <c r="V485" i="6"/>
  <c r="W485" i="6"/>
  <c r="H123" i="6"/>
  <c r="I123" i="6"/>
  <c r="J123" i="6"/>
  <c r="K123" i="6"/>
  <c r="L123" i="6"/>
  <c r="M123" i="6"/>
  <c r="O123" i="6"/>
  <c r="P123" i="6"/>
  <c r="Q123" i="6"/>
  <c r="R123" i="6"/>
  <c r="T123" i="6"/>
  <c r="U123" i="6"/>
  <c r="V123" i="6"/>
  <c r="W123" i="6"/>
  <c r="H335" i="6"/>
  <c r="I335" i="6"/>
  <c r="J335" i="6"/>
  <c r="K335" i="6"/>
  <c r="L335" i="6"/>
  <c r="M335" i="6"/>
  <c r="O335" i="6"/>
  <c r="P335" i="6"/>
  <c r="Q335" i="6"/>
  <c r="R335" i="6"/>
  <c r="T335" i="6"/>
  <c r="U335" i="6"/>
  <c r="V335" i="6"/>
  <c r="W335" i="6"/>
  <c r="H179" i="6"/>
  <c r="I179" i="6"/>
  <c r="J179" i="6"/>
  <c r="K179" i="6"/>
  <c r="L179" i="6"/>
  <c r="M179" i="6"/>
  <c r="O179" i="6"/>
  <c r="P179" i="6"/>
  <c r="Q179" i="6"/>
  <c r="R179" i="6"/>
  <c r="T179" i="6"/>
  <c r="U179" i="6"/>
  <c r="V179" i="6"/>
  <c r="W179" i="6"/>
  <c r="H54" i="6"/>
  <c r="I54" i="6"/>
  <c r="J54" i="6"/>
  <c r="K54" i="6"/>
  <c r="L54" i="6"/>
  <c r="M54" i="6"/>
  <c r="O54" i="6"/>
  <c r="P54" i="6"/>
  <c r="Q54" i="6"/>
  <c r="R54" i="6"/>
  <c r="T54" i="6"/>
  <c r="U54" i="6"/>
  <c r="V54" i="6"/>
  <c r="W54" i="6"/>
  <c r="H263" i="6"/>
  <c r="I263" i="6"/>
  <c r="J263" i="6"/>
  <c r="K263" i="6"/>
  <c r="L263" i="6"/>
  <c r="M263" i="6"/>
  <c r="O263" i="6"/>
  <c r="P263" i="6"/>
  <c r="Q263" i="6"/>
  <c r="R263" i="6"/>
  <c r="T263" i="6"/>
  <c r="U263" i="6"/>
  <c r="V263" i="6"/>
  <c r="W263" i="6"/>
  <c r="H555" i="6"/>
  <c r="I555" i="6"/>
  <c r="J555" i="6"/>
  <c r="K555" i="6"/>
  <c r="L555" i="6"/>
  <c r="M555" i="6"/>
  <c r="O555" i="6"/>
  <c r="P555" i="6"/>
  <c r="Q555" i="6"/>
  <c r="R555" i="6"/>
  <c r="T555" i="6"/>
  <c r="U555" i="6"/>
  <c r="V555" i="6"/>
  <c r="W555" i="6"/>
  <c r="H745" i="6"/>
  <c r="I745" i="6"/>
  <c r="J745" i="6"/>
  <c r="K745" i="6"/>
  <c r="L745" i="6"/>
  <c r="M745" i="6"/>
  <c r="O745" i="6"/>
  <c r="P745" i="6"/>
  <c r="Q745" i="6"/>
  <c r="R745" i="6"/>
  <c r="T745" i="6"/>
  <c r="U745" i="6"/>
  <c r="V745" i="6"/>
  <c r="W745" i="6"/>
  <c r="H348" i="6"/>
  <c r="I348" i="6"/>
  <c r="J348" i="6"/>
  <c r="K348" i="6"/>
  <c r="L348" i="6"/>
  <c r="M348" i="6"/>
  <c r="O348" i="6"/>
  <c r="P348" i="6"/>
  <c r="Q348" i="6"/>
  <c r="R348" i="6"/>
  <c r="T348" i="6"/>
  <c r="U348" i="6"/>
  <c r="V348" i="6"/>
  <c r="W348" i="6"/>
  <c r="H351" i="6"/>
  <c r="I351" i="6"/>
  <c r="J351" i="6"/>
  <c r="K351" i="6"/>
  <c r="L351" i="6"/>
  <c r="M351" i="6"/>
  <c r="O351" i="6"/>
  <c r="P351" i="6"/>
  <c r="Q351" i="6"/>
  <c r="R351" i="6"/>
  <c r="T351" i="6"/>
  <c r="U351" i="6"/>
  <c r="V351" i="6"/>
  <c r="W351" i="6"/>
  <c r="H350" i="6"/>
  <c r="I350" i="6"/>
  <c r="J350" i="6"/>
  <c r="K350" i="6"/>
  <c r="L350" i="6"/>
  <c r="M350" i="6"/>
  <c r="O350" i="6"/>
  <c r="P350" i="6"/>
  <c r="Q350" i="6"/>
  <c r="R350" i="6"/>
  <c r="T350" i="6"/>
  <c r="U350" i="6"/>
  <c r="V350" i="6"/>
  <c r="W350" i="6"/>
  <c r="H345" i="6"/>
  <c r="I345" i="6"/>
  <c r="J345" i="6"/>
  <c r="K345" i="6"/>
  <c r="L345" i="6"/>
  <c r="M345" i="6"/>
  <c r="O345" i="6"/>
  <c r="P345" i="6"/>
  <c r="Q345" i="6"/>
  <c r="R345" i="6"/>
  <c r="T345" i="6"/>
  <c r="U345" i="6"/>
  <c r="V345" i="6"/>
  <c r="W345" i="6"/>
  <c r="H349" i="6"/>
  <c r="I349" i="6"/>
  <c r="J349" i="6"/>
  <c r="K349" i="6"/>
  <c r="L349" i="6"/>
  <c r="M349" i="6"/>
  <c r="O349" i="6"/>
  <c r="P349" i="6"/>
  <c r="Q349" i="6"/>
  <c r="R349" i="6"/>
  <c r="T349" i="6"/>
  <c r="U349" i="6"/>
  <c r="V349" i="6"/>
  <c r="W349" i="6"/>
  <c r="H346" i="6"/>
  <c r="I346" i="6"/>
  <c r="J346" i="6"/>
  <c r="K346" i="6"/>
  <c r="L346" i="6"/>
  <c r="M346" i="6"/>
  <c r="O346" i="6"/>
  <c r="P346" i="6"/>
  <c r="Q346" i="6"/>
  <c r="R346" i="6"/>
  <c r="T346" i="6"/>
  <c r="U346" i="6"/>
  <c r="V346" i="6"/>
  <c r="W346" i="6"/>
  <c r="H352" i="6"/>
  <c r="I352" i="6"/>
  <c r="J352" i="6"/>
  <c r="K352" i="6"/>
  <c r="L352" i="6"/>
  <c r="M352" i="6"/>
  <c r="O352" i="6"/>
  <c r="P352" i="6"/>
  <c r="Q352" i="6"/>
  <c r="R352" i="6"/>
  <c r="T352" i="6"/>
  <c r="U352" i="6"/>
  <c r="V352" i="6"/>
  <c r="W352" i="6"/>
  <c r="H347" i="6"/>
  <c r="I347" i="6"/>
  <c r="J347" i="6"/>
  <c r="K347" i="6"/>
  <c r="L347" i="6"/>
  <c r="M347" i="6"/>
  <c r="O347" i="6"/>
  <c r="P347" i="6"/>
  <c r="Q347" i="6"/>
  <c r="R347" i="6"/>
  <c r="T347" i="6"/>
  <c r="U347" i="6"/>
  <c r="V347" i="6"/>
  <c r="W347" i="6"/>
  <c r="H344" i="6"/>
  <c r="I344" i="6"/>
  <c r="J344" i="6"/>
  <c r="K344" i="6"/>
  <c r="L344" i="6"/>
  <c r="M344" i="6"/>
  <c r="O344" i="6"/>
  <c r="P344" i="6"/>
  <c r="Q344" i="6"/>
  <c r="R344" i="6"/>
  <c r="T344" i="6"/>
  <c r="U344" i="6"/>
  <c r="V344" i="6"/>
  <c r="W344" i="6"/>
  <c r="H746" i="6"/>
  <c r="I746" i="6"/>
  <c r="J746" i="6"/>
  <c r="K746" i="6"/>
  <c r="L746" i="6"/>
  <c r="M746" i="6"/>
  <c r="O746" i="6"/>
  <c r="P746" i="6"/>
  <c r="Q746" i="6"/>
  <c r="R746" i="6"/>
  <c r="T746" i="6"/>
  <c r="U746" i="6"/>
  <c r="V746" i="6"/>
  <c r="W746" i="6"/>
  <c r="H744" i="6"/>
  <c r="I744" i="6"/>
  <c r="J744" i="6"/>
  <c r="K744" i="6"/>
  <c r="L744" i="6"/>
  <c r="M744" i="6"/>
  <c r="O744" i="6"/>
  <c r="P744" i="6"/>
  <c r="Q744" i="6"/>
  <c r="R744" i="6"/>
  <c r="T744" i="6"/>
  <c r="U744" i="6"/>
  <c r="V744" i="6"/>
  <c r="W744" i="6"/>
  <c r="M5" i="7"/>
  <c r="M6" i="7"/>
  <c r="M7" i="7"/>
  <c r="M8" i="7"/>
  <c r="M4" i="7"/>
  <c r="L2" i="2" a="1"/>
  <c r="L2" i="2"/>
  <c r="K2" i="2" a="1"/>
  <c r="K2" i="2"/>
  <c r="L3" i="2" a="1"/>
  <c r="L3" i="2"/>
  <c r="L4" i="2" a="1"/>
  <c r="L4" i="2"/>
  <c r="L5" i="2" a="1"/>
  <c r="L5" i="2"/>
  <c r="L6" i="2" a="1"/>
  <c r="L6" i="2"/>
  <c r="L8" i="2" a="1"/>
  <c r="L8" i="2"/>
  <c r="L9" i="2" a="1"/>
  <c r="L9" i="2"/>
  <c r="K3" i="2" a="1"/>
  <c r="K3" i="2"/>
  <c r="K4" i="2" a="1"/>
  <c r="K4" i="2"/>
  <c r="K5" i="2" a="1"/>
  <c r="K5" i="2"/>
  <c r="K6" i="2" a="1"/>
  <c r="K6" i="2"/>
  <c r="N449" i="6"/>
  <c r="X293" i="6"/>
  <c r="N886" i="6"/>
  <c r="N843" i="6"/>
  <c r="N821" i="6"/>
  <c r="N239" i="6"/>
  <c r="N721" i="6"/>
  <c r="N663" i="6"/>
  <c r="S550" i="6"/>
  <c r="X564" i="6"/>
  <c r="N715" i="6"/>
  <c r="X854" i="6"/>
  <c r="X961" i="6"/>
  <c r="S892" i="6"/>
  <c r="S803" i="6"/>
  <c r="S557" i="6"/>
  <c r="X421" i="6"/>
  <c r="N990" i="6"/>
  <c r="N294" i="6"/>
  <c r="N236" i="6"/>
  <c r="N138" i="6"/>
  <c r="N459" i="6"/>
  <c r="S232" i="6"/>
  <c r="S251" i="6"/>
  <c r="S668" i="6"/>
  <c r="N869" i="6"/>
  <c r="S455" i="6"/>
  <c r="S13" i="6"/>
  <c r="S488" i="6"/>
  <c r="S1011" i="6"/>
  <c r="N969" i="6"/>
  <c r="S878" i="6"/>
  <c r="S866" i="6"/>
  <c r="S623" i="6"/>
  <c r="S841" i="6"/>
  <c r="S768" i="6"/>
  <c r="X277" i="6"/>
  <c r="S390" i="6"/>
  <c r="X32" i="6"/>
  <c r="N603" i="6"/>
  <c r="N559" i="6"/>
  <c r="N596" i="6"/>
  <c r="N508" i="6"/>
  <c r="X617" i="6"/>
  <c r="S791" i="6"/>
  <c r="X584" i="6"/>
  <c r="X643" i="6"/>
  <c r="N852" i="6"/>
  <c r="N674" i="6"/>
  <c r="N406" i="6"/>
  <c r="N533" i="6"/>
  <c r="N762" i="6"/>
  <c r="X273" i="6"/>
  <c r="X399" i="6"/>
  <c r="X435" i="6"/>
  <c r="X490" i="6"/>
  <c r="N524" i="6"/>
  <c r="X551" i="6"/>
  <c r="X590" i="6"/>
  <c r="S927" i="6"/>
  <c r="X848" i="6"/>
  <c r="X839" i="6"/>
  <c r="X457" i="6"/>
  <c r="N557" i="6"/>
  <c r="N668" i="6"/>
  <c r="S441" i="6"/>
  <c r="X726" i="6"/>
  <c r="S984" i="6"/>
  <c r="X182" i="6"/>
  <c r="N33" i="6"/>
  <c r="X58" i="6"/>
  <c r="N514" i="6"/>
  <c r="X512" i="6"/>
  <c r="S298" i="6"/>
  <c r="N301" i="6"/>
  <c r="S297" i="6"/>
  <c r="X203" i="6"/>
  <c r="S409" i="6"/>
  <c r="X105" i="6"/>
  <c r="S79" i="6"/>
  <c r="S559" i="6"/>
  <c r="S731" i="6"/>
  <c r="N480" i="6"/>
  <c r="N642" i="6"/>
  <c r="S234" i="6"/>
  <c r="S614" i="6"/>
  <c r="N539" i="6"/>
  <c r="S646" i="6"/>
  <c r="X531" i="6"/>
  <c r="S758" i="6"/>
  <c r="N588" i="6"/>
  <c r="S236" i="6"/>
  <c r="X1000" i="6"/>
  <c r="S459" i="6"/>
  <c r="X137" i="6"/>
  <c r="X817" i="6"/>
  <c r="S1020" i="6"/>
  <c r="X701" i="6"/>
  <c r="N569" i="6"/>
  <c r="X233" i="6"/>
  <c r="S676" i="6"/>
  <c r="S282" i="6"/>
  <c r="S364" i="6"/>
  <c r="S405" i="6"/>
  <c r="S447" i="6"/>
  <c r="S446" i="6"/>
  <c r="S532" i="6"/>
  <c r="S607" i="6"/>
  <c r="S606" i="6"/>
  <c r="S761" i="6"/>
  <c r="S338" i="6"/>
  <c r="S401" i="6"/>
  <c r="X970" i="6"/>
  <c r="X456" i="6"/>
  <c r="X675" i="6"/>
  <c r="X283" i="6"/>
  <c r="X363" i="6"/>
  <c r="X404" i="6"/>
  <c r="X445" i="6"/>
  <c r="X608" i="6"/>
  <c r="X656" i="6"/>
  <c r="X994" i="6"/>
  <c r="S492" i="6"/>
  <c r="N627" i="6"/>
  <c r="N838" i="6"/>
  <c r="S375" i="6"/>
  <c r="S592" i="6"/>
  <c r="X695" i="6"/>
  <c r="X92" i="6"/>
  <c r="N356" i="6"/>
  <c r="S512" i="6"/>
  <c r="S621" i="6"/>
  <c r="S14" i="6"/>
  <c r="S670" i="6"/>
  <c r="S854" i="6"/>
  <c r="N502" i="6"/>
  <c r="S266" i="6"/>
  <c r="S33" i="6"/>
  <c r="S85" i="6"/>
  <c r="S57" i="6"/>
  <c r="S56" i="6"/>
  <c r="S59" i="6"/>
  <c r="N58" i="6"/>
  <c r="N299" i="6"/>
  <c r="X201" i="6"/>
  <c r="S150" i="6"/>
  <c r="X359" i="6"/>
  <c r="N359" i="6"/>
  <c r="X554" i="6"/>
  <c r="S250" i="6"/>
  <c r="S1004" i="6"/>
  <c r="S669" i="6"/>
  <c r="S92" i="6"/>
  <c r="X356" i="6"/>
  <c r="X499" i="6"/>
  <c r="N505" i="6"/>
  <c r="S355" i="6"/>
  <c r="X130" i="6"/>
  <c r="X276" i="6"/>
  <c r="S276" i="6"/>
  <c r="X229" i="6"/>
  <c r="S229" i="6"/>
  <c r="S244" i="6"/>
  <c r="X755" i="6"/>
  <c r="S755" i="6"/>
  <c r="X59" i="6"/>
  <c r="N513" i="6"/>
  <c r="S124" i="6"/>
  <c r="S566" i="6"/>
  <c r="S859" i="6"/>
  <c r="N995" i="6"/>
  <c r="S174" i="6"/>
  <c r="S95" i="6"/>
  <c r="X702" i="6"/>
  <c r="S290" i="6"/>
  <c r="S292" i="6"/>
  <c r="N917" i="6"/>
  <c r="N705" i="6"/>
  <c r="X5" i="6"/>
  <c r="S163" i="6"/>
  <c r="N776" i="6"/>
  <c r="X678" i="6"/>
  <c r="S678" i="6"/>
  <c r="S586" i="6"/>
  <c r="S582" i="6"/>
  <c r="S979" i="6"/>
  <c r="S3" i="6"/>
  <c r="N34" i="6"/>
  <c r="N76" i="6"/>
  <c r="X764" i="6"/>
  <c r="N1017" i="6"/>
  <c r="N65" i="6"/>
  <c r="N382" i="6"/>
  <c r="N304" i="6"/>
  <c r="N1020" i="6"/>
  <c r="X727" i="6"/>
  <c r="S687" i="6"/>
  <c r="S585" i="6"/>
  <c r="S644" i="6"/>
  <c r="S230" i="6"/>
  <c r="S190" i="6"/>
  <c r="X603" i="6"/>
  <c r="N736" i="6"/>
  <c r="X732" i="6"/>
  <c r="X696" i="6"/>
  <c r="N700" i="6"/>
  <c r="X616" i="6"/>
  <c r="S769" i="6"/>
  <c r="S759" i="6"/>
  <c r="S688" i="6"/>
  <c r="X583" i="6"/>
  <c r="X588" i="6"/>
  <c r="N644" i="6"/>
  <c r="X642" i="6"/>
  <c r="N243" i="6"/>
  <c r="N230" i="6"/>
  <c r="X235" i="6"/>
  <c r="N234" i="6"/>
  <c r="X459" i="6"/>
  <c r="X138" i="6"/>
  <c r="N614" i="6"/>
  <c r="X827" i="6"/>
  <c r="N676" i="6"/>
  <c r="N282" i="6"/>
  <c r="X365" i="6"/>
  <c r="N364" i="6"/>
  <c r="X447" i="6"/>
  <c r="X533" i="6"/>
  <c r="N606" i="6"/>
  <c r="X762" i="6"/>
  <c r="N655" i="6"/>
  <c r="N148" i="6"/>
  <c r="N149" i="6"/>
  <c r="N249" i="6"/>
  <c r="S339" i="6"/>
  <c r="S273" i="6"/>
  <c r="S501" i="6"/>
  <c r="N491" i="6"/>
  <c r="X552" i="6"/>
  <c r="N591" i="6"/>
  <c r="N694" i="6"/>
  <c r="S589" i="6"/>
  <c r="S569" i="6"/>
  <c r="S642" i="6"/>
  <c r="S242" i="6"/>
  <c r="S227" i="6"/>
  <c r="S233" i="6"/>
  <c r="S189" i="6"/>
  <c r="S454" i="6"/>
  <c r="S323" i="6"/>
  <c r="N436" i="6"/>
  <c r="N492" i="6"/>
  <c r="S525" i="6"/>
  <c r="N552" i="6"/>
  <c r="X627" i="6"/>
  <c r="S626" i="6"/>
  <c r="X673" i="6"/>
  <c r="N646" i="6"/>
  <c r="X731" i="6"/>
  <c r="X508" i="6"/>
  <c r="N701" i="6"/>
  <c r="S616" i="6"/>
  <c r="N770" i="6"/>
  <c r="X661" i="6"/>
  <c r="N661" i="6"/>
  <c r="N660" i="6"/>
  <c r="X634" i="6"/>
  <c r="X633" i="6"/>
  <c r="X743" i="6"/>
  <c r="N743" i="6"/>
  <c r="X462" i="6"/>
  <c r="N462" i="6"/>
  <c r="N461" i="6"/>
  <c r="X790" i="6"/>
  <c r="N790" i="6"/>
  <c r="N720" i="6"/>
  <c r="X719" i="6"/>
  <c r="X573" i="6"/>
  <c r="X759" i="6"/>
  <c r="N759" i="6"/>
  <c r="X544" i="6"/>
  <c r="N544" i="6"/>
  <c r="N688" i="6"/>
  <c r="X587" i="6"/>
  <c r="N587" i="6"/>
  <c r="X582" i="6"/>
  <c r="N589" i="6"/>
  <c r="X644" i="6"/>
  <c r="X979" i="6"/>
  <c r="N242" i="6"/>
  <c r="X230" i="6"/>
  <c r="N1000" i="6"/>
  <c r="N233" i="6"/>
  <c r="X3" i="6"/>
  <c r="N137" i="6"/>
  <c r="X614" i="6"/>
  <c r="X962" i="6"/>
  <c r="N675" i="6"/>
  <c r="X282" i="6"/>
  <c r="N89" i="6"/>
  <c r="N363" i="6"/>
  <c r="X446" i="6"/>
  <c r="N445" i="6"/>
  <c r="N608" i="6"/>
  <c r="X606" i="6"/>
  <c r="N763" i="6"/>
  <c r="X761" i="6"/>
  <c r="N656" i="6"/>
  <c r="N994" i="6"/>
  <c r="S149" i="6"/>
  <c r="X340" i="6"/>
  <c r="N340" i="6"/>
  <c r="X339" i="6"/>
  <c r="N339" i="6"/>
  <c r="X338" i="6"/>
  <c r="X337" i="6"/>
  <c r="N337" i="6"/>
  <c r="N273" i="6"/>
  <c r="X454" i="6"/>
  <c r="N400" i="6"/>
  <c r="N501" i="6"/>
  <c r="X500" i="6"/>
  <c r="X322" i="6"/>
  <c r="N322" i="6"/>
  <c r="N323" i="6"/>
  <c r="X321" i="6"/>
  <c r="N374" i="6"/>
  <c r="X375" i="6"/>
  <c r="N373" i="6"/>
  <c r="X401" i="6"/>
  <c r="N399" i="6"/>
  <c r="X437" i="6"/>
  <c r="N435" i="6"/>
  <c r="X492" i="6"/>
  <c r="N490" i="6"/>
  <c r="X525" i="6"/>
  <c r="N523" i="6"/>
  <c r="X553" i="6"/>
  <c r="N551" i="6"/>
  <c r="X592" i="6"/>
  <c r="N590" i="6"/>
  <c r="X626" i="6"/>
  <c r="X693" i="6"/>
  <c r="N987" i="6"/>
  <c r="S813" i="6"/>
  <c r="X306" i="6"/>
  <c r="N306" i="6"/>
  <c r="N818" i="6"/>
  <c r="X847" i="6"/>
  <c r="N847" i="6"/>
  <c r="N261" i="6"/>
  <c r="X960" i="6"/>
  <c r="X101" i="6"/>
  <c r="N101" i="6"/>
  <c r="N100" i="6"/>
  <c r="X620" i="6"/>
  <c r="X619" i="6"/>
  <c r="N619" i="6"/>
  <c r="N622" i="6"/>
  <c r="X618" i="6"/>
  <c r="X84" i="6"/>
  <c r="N84" i="6"/>
  <c r="N83" i="6"/>
  <c r="X88" i="6"/>
  <c r="X87" i="6"/>
  <c r="N87" i="6"/>
  <c r="N993" i="6"/>
  <c r="X86" i="6"/>
  <c r="X178" i="6"/>
  <c r="N178" i="6"/>
  <c r="N558" i="6"/>
  <c r="S839" i="6"/>
  <c r="N621" i="6"/>
  <c r="N556" i="6"/>
  <c r="X248" i="6"/>
  <c r="N247" i="6"/>
  <c r="X251" i="6"/>
  <c r="N12" i="6"/>
  <c r="X14" i="6"/>
  <c r="N16" i="6"/>
  <c r="X13" i="6"/>
  <c r="N670" i="6"/>
  <c r="X668" i="6"/>
  <c r="N90" i="6"/>
  <c r="N935" i="6"/>
  <c r="X17" i="6"/>
  <c r="N442" i="6"/>
  <c r="X869" i="6"/>
  <c r="N883" i="6"/>
  <c r="X897" i="6"/>
  <c r="N911" i="6"/>
  <c r="N626" i="6"/>
  <c r="X694" i="6"/>
  <c r="N693" i="6"/>
  <c r="X815" i="6"/>
  <c r="N815" i="6"/>
  <c r="N814" i="6"/>
  <c r="X813" i="6"/>
  <c r="X927" i="6"/>
  <c r="N927" i="6"/>
  <c r="N971" i="6"/>
  <c r="S818" i="6"/>
  <c r="S848" i="6"/>
  <c r="S261" i="6"/>
  <c r="S100" i="6"/>
  <c r="S622" i="6"/>
  <c r="S83" i="6"/>
  <c r="S453" i="6"/>
  <c r="S500" i="6"/>
  <c r="S322" i="6"/>
  <c r="S321" i="6"/>
  <c r="S400" i="6"/>
  <c r="S436" i="6"/>
  <c r="S491" i="6"/>
  <c r="S490" i="6"/>
  <c r="S524" i="6"/>
  <c r="S523" i="6"/>
  <c r="S552" i="6"/>
  <c r="S551" i="6"/>
  <c r="S591" i="6"/>
  <c r="S590" i="6"/>
  <c r="S627" i="6"/>
  <c r="S695" i="6"/>
  <c r="S987" i="6"/>
  <c r="S814" i="6"/>
  <c r="S971" i="6"/>
  <c r="S970" i="6"/>
  <c r="S306" i="6"/>
  <c r="N848" i="6"/>
  <c r="S847" i="6"/>
  <c r="S960" i="6"/>
  <c r="S101" i="6"/>
  <c r="S620" i="6"/>
  <c r="S619" i="6"/>
  <c r="S618" i="6"/>
  <c r="S84" i="6"/>
  <c r="S88" i="6"/>
  <c r="S87" i="6"/>
  <c r="S86" i="6"/>
  <c r="S178" i="6"/>
  <c r="S558" i="6"/>
  <c r="X838" i="6"/>
  <c r="N903" i="6"/>
  <c r="S457" i="6"/>
  <c r="N456" i="6"/>
  <c r="X621" i="6"/>
  <c r="N915" i="6"/>
  <c r="X556" i="6"/>
  <c r="N554" i="6"/>
  <c r="X247" i="6"/>
  <c r="N250" i="6"/>
  <c r="X12" i="6"/>
  <c r="N1004" i="6"/>
  <c r="X16" i="6"/>
  <c r="N15" i="6"/>
  <c r="X670" i="6"/>
  <c r="N669" i="6"/>
  <c r="X952" i="6"/>
  <c r="X90" i="6"/>
  <c r="X442" i="6"/>
  <c r="X911" i="6"/>
  <c r="X28" i="6"/>
  <c r="X984" i="6"/>
  <c r="S964" i="6"/>
  <c r="S1024" i="6"/>
  <c r="S935" i="6"/>
  <c r="S442" i="6"/>
  <c r="S443" i="6"/>
  <c r="S822" i="6"/>
  <c r="S840" i="6"/>
  <c r="S869" i="6"/>
  <c r="S883" i="6"/>
  <c r="S911" i="6"/>
  <c r="S356" i="6"/>
  <c r="S25" i="6"/>
  <c r="S28" i="6"/>
  <c r="S498" i="6"/>
  <c r="S499" i="6"/>
  <c r="S725" i="6"/>
  <c r="S893" i="6"/>
  <c r="N984" i="6"/>
  <c r="S932" i="6"/>
  <c r="N504" i="6"/>
  <c r="X502" i="6"/>
  <c r="N964" i="6"/>
  <c r="X209" i="6"/>
  <c r="N49" i="6"/>
  <c r="X26" i="6"/>
  <c r="N28" i="6"/>
  <c r="X497" i="6"/>
  <c r="N497" i="6"/>
  <c r="N726" i="6"/>
  <c r="X725" i="6"/>
  <c r="X985" i="6"/>
  <c r="N985" i="6"/>
  <c r="X892" i="6"/>
  <c r="S503" i="6"/>
  <c r="S502" i="6"/>
  <c r="S143" i="6"/>
  <c r="S209" i="6"/>
  <c r="S182" i="6"/>
  <c r="S104" i="6"/>
  <c r="S115" i="6"/>
  <c r="N952" i="6"/>
  <c r="X91" i="6"/>
  <c r="N92" i="6"/>
  <c r="X935" i="6"/>
  <c r="N17" i="6"/>
  <c r="X443" i="6"/>
  <c r="N441" i="6"/>
  <c r="X840" i="6"/>
  <c r="X883" i="6"/>
  <c r="N897" i="6"/>
  <c r="X930" i="6"/>
  <c r="N961" i="6"/>
  <c r="X25" i="6"/>
  <c r="N26" i="6"/>
  <c r="X29" i="6"/>
  <c r="N29" i="6"/>
  <c r="X498" i="6"/>
  <c r="N498" i="6"/>
  <c r="S726" i="6"/>
  <c r="N725" i="6"/>
  <c r="X893" i="6"/>
  <c r="N892" i="6"/>
  <c r="X505" i="6"/>
  <c r="X504" i="6"/>
  <c r="N503" i="6"/>
  <c r="X964" i="6"/>
  <c r="N143" i="6"/>
  <c r="X49" i="6"/>
  <c r="N182" i="6"/>
  <c r="X255" i="6"/>
  <c r="N115" i="6"/>
  <c r="X266" i="6"/>
  <c r="N130" i="6"/>
  <c r="X33" i="6"/>
  <c r="N77" i="6"/>
  <c r="X85" i="6"/>
  <c r="N57" i="6"/>
  <c r="X757" i="6"/>
  <c r="N757" i="6"/>
  <c r="X756" i="6"/>
  <c r="N756" i="6"/>
  <c r="S55" i="6"/>
  <c r="N55" i="6"/>
  <c r="S1022" i="6"/>
  <c r="S60" i="6"/>
  <c r="X513" i="6"/>
  <c r="N512" i="6"/>
  <c r="N305" i="6"/>
  <c r="N201" i="6"/>
  <c r="N203" i="6"/>
  <c r="S202" i="6"/>
  <c r="S238" i="6"/>
  <c r="S402" i="6"/>
  <c r="S27" i="6"/>
  <c r="S296" i="6"/>
  <c r="S359" i="6"/>
  <c r="S439" i="6"/>
  <c r="S481" i="6"/>
  <c r="S782" i="6"/>
  <c r="N276" i="6"/>
  <c r="X77" i="6"/>
  <c r="N229" i="6"/>
  <c r="X57" i="6"/>
  <c r="N244" i="6"/>
  <c r="X56" i="6"/>
  <c r="N56" i="6"/>
  <c r="N1022" i="6"/>
  <c r="N60" i="6"/>
  <c r="N59" i="6"/>
  <c r="S58" i="6"/>
  <c r="S514" i="6"/>
  <c r="X298" i="6"/>
  <c r="N298" i="6"/>
  <c r="X297" i="6"/>
  <c r="N200" i="6"/>
  <c r="X204" i="6"/>
  <c r="N199" i="6"/>
  <c r="X202" i="6"/>
  <c r="N202" i="6"/>
  <c r="X27" i="6"/>
  <c r="X150" i="6"/>
  <c r="N150" i="6"/>
  <c r="N238" i="6"/>
  <c r="X296" i="6"/>
  <c r="N402" i="6"/>
  <c r="X439" i="6"/>
  <c r="X481" i="6"/>
  <c r="N481" i="6"/>
  <c r="N488" i="6"/>
  <c r="X782" i="6"/>
  <c r="N782" i="6"/>
  <c r="S167" i="6"/>
  <c r="S509" i="6"/>
  <c r="S479" i="6"/>
  <c r="X700" i="6"/>
  <c r="S617" i="6"/>
  <c r="S661" i="6"/>
  <c r="S633" i="6"/>
  <c r="N634" i="6"/>
  <c r="N742" i="6"/>
  <c r="N719" i="6"/>
  <c r="N758" i="6"/>
  <c r="X148" i="6"/>
  <c r="X249" i="6"/>
  <c r="N246" i="6"/>
  <c r="N338" i="6"/>
  <c r="N454" i="6"/>
  <c r="N500" i="6"/>
  <c r="S373" i="6"/>
  <c r="S399" i="6"/>
  <c r="S435" i="6"/>
  <c r="X374" i="6"/>
  <c r="N375" i="6"/>
  <c r="X400" i="6"/>
  <c r="X436" i="6"/>
  <c r="X814" i="6"/>
  <c r="X971" i="6"/>
  <c r="N970" i="6"/>
  <c r="N960" i="6"/>
  <c r="N620" i="6"/>
  <c r="N618" i="6"/>
  <c r="N88" i="6"/>
  <c r="N86" i="6"/>
  <c r="S29" i="6"/>
  <c r="N839" i="6"/>
  <c r="N457" i="6"/>
  <c r="X455" i="6"/>
  <c r="X557" i="6"/>
  <c r="N499" i="6"/>
  <c r="X558" i="6"/>
  <c r="S838" i="6"/>
  <c r="X903" i="6"/>
  <c r="N932" i="6"/>
  <c r="S505" i="6"/>
  <c r="X355" i="6"/>
  <c r="S757" i="6"/>
  <c r="X55" i="6"/>
  <c r="N755" i="6"/>
  <c r="X60" i="6"/>
  <c r="X514" i="6"/>
  <c r="X299" i="6"/>
  <c r="X301" i="6"/>
  <c r="X200" i="6"/>
  <c r="X199" i="6"/>
  <c r="X488" i="6"/>
  <c r="S301" i="6"/>
  <c r="N297" i="6"/>
  <c r="S201" i="6"/>
  <c r="S200" i="6"/>
  <c r="N204" i="6"/>
  <c r="S203" i="6"/>
  <c r="S199" i="6"/>
  <c r="N27" i="6"/>
  <c r="N296" i="6"/>
  <c r="N439" i="6"/>
  <c r="X760" i="6"/>
  <c r="N873" i="6"/>
  <c r="S225" i="6"/>
  <c r="N933" i="6"/>
  <c r="S1007" i="6"/>
  <c r="S78" i="6"/>
  <c r="S404" i="6"/>
  <c r="X491" i="6"/>
  <c r="X915" i="6"/>
  <c r="N251" i="6"/>
  <c r="S12" i="6"/>
  <c r="S952" i="6"/>
  <c r="X143" i="6"/>
  <c r="N104" i="6"/>
  <c r="S255" i="6"/>
  <c r="S77" i="6"/>
  <c r="X244" i="6"/>
  <c r="S756" i="6"/>
  <c r="S305" i="6"/>
  <c r="S876" i="6"/>
  <c r="N640" i="6"/>
  <c r="S97" i="6"/>
  <c r="S312" i="6"/>
  <c r="N18" i="6"/>
  <c r="N168" i="6"/>
  <c r="S125" i="6"/>
  <c r="N690" i="6"/>
  <c r="S724" i="6"/>
  <c r="N680" i="6"/>
  <c r="S1015" i="6"/>
  <c r="S826" i="6"/>
  <c r="N972" i="6"/>
  <c r="S967" i="6"/>
  <c r="N390" i="6"/>
  <c r="X977" i="6"/>
  <c r="N30" i="6"/>
  <c r="S651" i="6"/>
  <c r="S673" i="6"/>
  <c r="X672" i="6"/>
  <c r="S742" i="6"/>
  <c r="N586" i="6"/>
  <c r="N583" i="6"/>
  <c r="X570" i="6"/>
  <c r="X358" i="6"/>
  <c r="S243" i="6"/>
  <c r="S231" i="6"/>
  <c r="N460" i="6"/>
  <c r="X189" i="6"/>
  <c r="X887" i="6"/>
  <c r="X853" i="6"/>
  <c r="S281" i="6"/>
  <c r="X89" i="6"/>
  <c r="N365" i="6"/>
  <c r="N607" i="6"/>
  <c r="X763" i="6"/>
  <c r="S249" i="6"/>
  <c r="X246" i="6"/>
  <c r="N453" i="6"/>
  <c r="X373" i="6"/>
  <c r="S693" i="6"/>
  <c r="X987" i="6"/>
  <c r="S993" i="6"/>
  <c r="S903" i="6"/>
  <c r="S248" i="6"/>
  <c r="S91" i="6"/>
  <c r="N1024" i="6"/>
  <c r="X441" i="6"/>
  <c r="N822" i="6"/>
  <c r="S497" i="6"/>
  <c r="S985" i="6"/>
  <c r="X932" i="6"/>
  <c r="X1022" i="6"/>
  <c r="S513" i="6"/>
  <c r="X305" i="6"/>
  <c r="S204" i="6"/>
  <c r="X75" i="6"/>
  <c r="S437" i="6"/>
  <c r="X523" i="6"/>
  <c r="S553" i="6"/>
  <c r="X924" i="6"/>
  <c r="S924" i="6"/>
  <c r="N836" i="6"/>
  <c r="N469" i="6"/>
  <c r="S714" i="6"/>
  <c r="X896" i="6"/>
  <c r="X181" i="6"/>
  <c r="N367" i="6"/>
  <c r="N567" i="6"/>
  <c r="N94" i="6"/>
  <c r="N120" i="6"/>
  <c r="S21" i="6"/>
  <c r="S173" i="6"/>
  <c r="X706" i="6"/>
  <c r="X563" i="6"/>
  <c r="N562" i="6"/>
  <c r="N465" i="6"/>
  <c r="S307" i="6"/>
  <c r="N710" i="6"/>
  <c r="N593" i="6"/>
  <c r="S331" i="6"/>
  <c r="S470" i="6"/>
  <c r="S482" i="6"/>
  <c r="N809" i="6"/>
  <c r="N837" i="6"/>
  <c r="S995" i="6"/>
  <c r="X998" i="6"/>
  <c r="X158" i="6"/>
  <c r="X666" i="6"/>
  <c r="N103" i="6"/>
  <c r="S433" i="6"/>
  <c r="X163" i="6"/>
  <c r="X171" i="6"/>
  <c r="X11" i="6"/>
  <c r="X153" i="6"/>
  <c r="N805" i="6"/>
  <c r="S599" i="6"/>
  <c r="N722" i="6"/>
  <c r="N752" i="6"/>
  <c r="S353" i="6"/>
  <c r="S265" i="6"/>
  <c r="N330" i="6"/>
  <c r="N341" i="6"/>
  <c r="S529" i="6"/>
  <c r="S581" i="6"/>
  <c r="S912" i="6"/>
  <c r="N944" i="6"/>
  <c r="X1016" i="6"/>
  <c r="N279" i="6"/>
  <c r="X145" i="6"/>
  <c r="S414" i="6"/>
  <c r="N145" i="6"/>
  <c r="N667" i="6"/>
  <c r="X949" i="6"/>
  <c r="X165" i="6"/>
  <c r="S168" i="6"/>
  <c r="X898" i="6"/>
  <c r="N71" i="6"/>
  <c r="X300" i="6"/>
  <c r="S239" i="6"/>
  <c r="N861" i="6"/>
  <c r="X36" i="6"/>
  <c r="S75" i="6"/>
  <c r="N78" i="6"/>
  <c r="S80" i="6"/>
  <c r="N79" i="6"/>
  <c r="S727" i="6"/>
  <c r="X708" i="6"/>
  <c r="S708" i="6"/>
  <c r="S764" i="6"/>
  <c r="N764" i="6"/>
  <c r="N673" i="6"/>
  <c r="N672" i="6"/>
  <c r="X596" i="6"/>
  <c r="X647" i="6"/>
  <c r="N531" i="6"/>
  <c r="X509" i="6"/>
  <c r="X480" i="6"/>
  <c r="S480" i="6"/>
  <c r="X479" i="6"/>
  <c r="S701" i="6"/>
  <c r="N617" i="6"/>
  <c r="N616" i="6"/>
  <c r="X770" i="6"/>
  <c r="X769" i="6"/>
  <c r="X660" i="6"/>
  <c r="N633" i="6"/>
  <c r="S743" i="6"/>
  <c r="X742" i="6"/>
  <c r="S462" i="6"/>
  <c r="X461" i="6"/>
  <c r="S461" i="6"/>
  <c r="X791" i="6"/>
  <c r="N791" i="6"/>
  <c r="X720" i="6"/>
  <c r="N573" i="6"/>
  <c r="X758" i="6"/>
  <c r="X688" i="6"/>
  <c r="X687" i="6"/>
  <c r="N687" i="6"/>
  <c r="X586" i="6"/>
  <c r="X585" i="6"/>
  <c r="N585" i="6"/>
  <c r="N584" i="6"/>
  <c r="N582" i="6"/>
  <c r="S588" i="6"/>
  <c r="X571" i="6"/>
  <c r="N571" i="6"/>
  <c r="S570" i="6"/>
  <c r="N570" i="6"/>
  <c r="X569" i="6"/>
  <c r="S643" i="6"/>
  <c r="N643" i="6"/>
  <c r="N979" i="6"/>
  <c r="S358" i="6"/>
  <c r="N358" i="6"/>
  <c r="X357" i="6"/>
  <c r="S357" i="6"/>
  <c r="X243" i="6"/>
  <c r="X228" i="6"/>
  <c r="N227" i="6"/>
  <c r="X236" i="6"/>
  <c r="X231" i="6"/>
  <c r="N231" i="6"/>
  <c r="S1000" i="6"/>
  <c r="S235" i="6"/>
  <c r="X234" i="6"/>
  <c r="X460" i="6"/>
  <c r="S460" i="6"/>
  <c r="X190" i="6"/>
  <c r="N190" i="6"/>
  <c r="N189" i="6"/>
  <c r="N3" i="6"/>
  <c r="S138" i="6"/>
  <c r="X232" i="6"/>
  <c r="N232" i="6"/>
  <c r="N817" i="6"/>
  <c r="X816" i="6"/>
  <c r="N887" i="6"/>
  <c r="N962" i="6"/>
  <c r="N853" i="6"/>
  <c r="X852" i="6"/>
  <c r="X676" i="6"/>
  <c r="S675" i="6"/>
  <c r="X674" i="6"/>
  <c r="N283" i="6"/>
  <c r="X284" i="6"/>
  <c r="X281" i="6"/>
  <c r="N281" i="6"/>
  <c r="X364" i="6"/>
  <c r="X406" i="6"/>
  <c r="X405" i="6"/>
  <c r="N405" i="6"/>
  <c r="N404" i="6"/>
  <c r="N446" i="6"/>
  <c r="X532" i="6"/>
  <c r="N532" i="6"/>
  <c r="X607" i="6"/>
  <c r="S762" i="6"/>
  <c r="N761" i="6"/>
  <c r="S656" i="6"/>
  <c r="S994" i="6"/>
  <c r="X149" i="6"/>
  <c r="S340" i="6"/>
  <c r="X453" i="6"/>
  <c r="S374" i="6"/>
  <c r="X524" i="6"/>
  <c r="X591" i="6"/>
  <c r="N592" i="6"/>
  <c r="X250" i="6"/>
  <c r="X15" i="6"/>
  <c r="N13" i="6"/>
  <c r="N840" i="6"/>
  <c r="S897" i="6"/>
  <c r="N209" i="6"/>
  <c r="S49" i="6"/>
  <c r="N266" i="6"/>
  <c r="X543" i="6"/>
  <c r="N948" i="6"/>
  <c r="X413" i="6"/>
  <c r="N377" i="6"/>
  <c r="S378" i="6"/>
  <c r="S222" i="6"/>
  <c r="S381" i="6"/>
  <c r="X176" i="6"/>
  <c r="N781" i="6"/>
  <c r="N709" i="6"/>
  <c r="X968" i="6"/>
  <c r="X419" i="6"/>
  <c r="S109" i="6"/>
  <c r="S889" i="6"/>
  <c r="N546" i="6"/>
  <c r="N165" i="6"/>
  <c r="S511" i="6"/>
  <c r="S310" i="6"/>
  <c r="S313" i="6"/>
  <c r="N609" i="6"/>
  <c r="X289" i="6"/>
  <c r="X953" i="6"/>
  <c r="N632" i="6"/>
  <c r="X780" i="6"/>
  <c r="N982" i="6"/>
  <c r="N124" i="6"/>
  <c r="X802" i="6"/>
  <c r="S184" i="6"/>
  <c r="N184" i="6"/>
  <c r="X1023" i="6"/>
  <c r="N671" i="6"/>
  <c r="S545" i="6"/>
  <c r="X784" i="6"/>
  <c r="S172" i="6"/>
  <c r="N410" i="6"/>
  <c r="X94" i="6"/>
  <c r="N997" i="6"/>
  <c r="S96" i="6"/>
  <c r="N98" i="6"/>
  <c r="N309" i="6"/>
  <c r="N311" i="6"/>
  <c r="X610" i="6"/>
  <c r="S489" i="6"/>
  <c r="N958" i="6"/>
  <c r="N916" i="6"/>
  <c r="X23" i="6"/>
  <c r="S164" i="6"/>
  <c r="X167" i="6"/>
  <c r="S898" i="6"/>
  <c r="N600" i="6"/>
  <c r="N601" i="6"/>
  <c r="S638" i="6"/>
  <c r="S139" i="6"/>
  <c r="N245" i="6"/>
  <c r="S793" i="6"/>
  <c r="N981" i="6"/>
  <c r="S515" i="6"/>
  <c r="N579" i="6"/>
  <c r="N264" i="6"/>
  <c r="S1019" i="6"/>
  <c r="N329" i="6"/>
  <c r="N332" i="6"/>
  <c r="S334" i="6"/>
  <c r="S336" i="6"/>
  <c r="S681" i="6"/>
  <c r="S870" i="6"/>
  <c r="N288" i="6"/>
  <c r="N1010" i="6"/>
  <c r="N278" i="6"/>
  <c r="S371" i="6"/>
  <c r="X376" i="6"/>
  <c r="S1014" i="6"/>
  <c r="X71" i="6"/>
  <c r="S32" i="6"/>
  <c r="X31" i="6"/>
  <c r="X78" i="6"/>
  <c r="N80" i="6"/>
  <c r="N708" i="6"/>
  <c r="S736" i="6"/>
  <c r="S647" i="6"/>
  <c r="X646" i="6"/>
  <c r="N732" i="6"/>
  <c r="N696" i="6"/>
  <c r="S634" i="6"/>
  <c r="S719" i="6"/>
  <c r="S544" i="6"/>
  <c r="X589" i="6"/>
  <c r="S571" i="6"/>
  <c r="N357" i="6"/>
  <c r="X242" i="6"/>
  <c r="N228" i="6"/>
  <c r="X227" i="6"/>
  <c r="N235" i="6"/>
  <c r="S137" i="6"/>
  <c r="N816" i="6"/>
  <c r="S887" i="6"/>
  <c r="N827" i="6"/>
  <c r="S962" i="6"/>
  <c r="N284" i="6"/>
  <c r="N447" i="6"/>
  <c r="X991" i="6"/>
  <c r="S413" i="6"/>
  <c r="S950" i="6"/>
  <c r="N472" i="6"/>
  <c r="S474" i="6"/>
  <c r="N424" i="6"/>
  <c r="N128" i="6"/>
  <c r="N6" i="6"/>
  <c r="N10" i="6"/>
  <c r="S47" i="6"/>
  <c r="N51" i="6"/>
  <c r="X864" i="6"/>
  <c r="N718" i="6"/>
  <c r="N565" i="6"/>
  <c r="S639" i="6"/>
  <c r="X950" i="6"/>
  <c r="N946" i="6"/>
  <c r="X541" i="6"/>
  <c r="X493" i="6"/>
  <c r="S730" i="6"/>
  <c r="N181" i="6"/>
  <c r="N272" i="6"/>
  <c r="X119" i="6"/>
  <c r="S410" i="6"/>
  <c r="N1007" i="6"/>
  <c r="N118" i="6"/>
  <c r="S958" i="6"/>
  <c r="X290" i="6"/>
  <c r="N953" i="6"/>
  <c r="N153" i="6"/>
  <c r="X807" i="6"/>
  <c r="X561" i="6"/>
  <c r="N789" i="6"/>
  <c r="N484" i="6"/>
  <c r="X478" i="6"/>
  <c r="S44" i="6"/>
  <c r="X205" i="6"/>
  <c r="X537" i="6"/>
  <c r="N536" i="6"/>
  <c r="X862" i="6"/>
  <c r="N31" i="6"/>
  <c r="S34" i="6"/>
  <c r="N75" i="6"/>
  <c r="X1020" i="6"/>
  <c r="N727" i="6"/>
  <c r="S603" i="6"/>
  <c r="X651" i="6"/>
  <c r="X736" i="6"/>
  <c r="S732" i="6"/>
  <c r="S696" i="6"/>
  <c r="S700" i="6"/>
  <c r="S770" i="6"/>
  <c r="S660" i="6"/>
  <c r="S720" i="6"/>
  <c r="S816" i="6"/>
  <c r="S827" i="6"/>
  <c r="S852" i="6"/>
  <c r="S674" i="6"/>
  <c r="S284" i="6"/>
  <c r="S406" i="6"/>
  <c r="S533" i="6"/>
  <c r="S337" i="6"/>
  <c r="X501" i="6"/>
  <c r="X323" i="6"/>
  <c r="N321" i="6"/>
  <c r="S815" i="6"/>
  <c r="X818" i="6"/>
  <c r="X261" i="6"/>
  <c r="X100" i="6"/>
  <c r="X622" i="6"/>
  <c r="X83" i="6"/>
  <c r="X993" i="6"/>
  <c r="S456" i="6"/>
  <c r="S915" i="6"/>
  <c r="S554" i="6"/>
  <c r="S15" i="6"/>
  <c r="S90" i="6"/>
  <c r="N893" i="6"/>
  <c r="X104" i="6"/>
  <c r="N255" i="6"/>
  <c r="S299" i="6"/>
  <c r="X238" i="6"/>
  <c r="X402" i="6"/>
  <c r="N798" i="6"/>
  <c r="N161" i="6"/>
  <c r="S542" i="6"/>
  <c r="S541" i="6"/>
  <c r="X526" i="6"/>
  <c r="X959" i="6"/>
  <c r="S116" i="6"/>
  <c r="X926" i="6"/>
  <c r="X67" i="6"/>
  <c r="S46" i="6"/>
  <c r="N187" i="6"/>
  <c r="S102" i="6"/>
  <c r="N110" i="6"/>
  <c r="N698" i="6"/>
  <c r="X258" i="6"/>
  <c r="S908" i="6"/>
  <c r="N121" i="6"/>
  <c r="S785" i="6"/>
  <c r="X96" i="6"/>
  <c r="S807" i="6"/>
  <c r="X828" i="6"/>
  <c r="S145" i="6"/>
  <c r="S224" i="6"/>
  <c r="S929" i="6"/>
  <c r="N386" i="6"/>
  <c r="S659" i="6"/>
  <c r="N965" i="6"/>
  <c r="X683" i="6"/>
  <c r="N519" i="6"/>
  <c r="N1011" i="6"/>
  <c r="S185" i="6"/>
  <c r="N949" i="6"/>
  <c r="S1023" i="6"/>
  <c r="S875" i="6"/>
  <c r="N889" i="6"/>
  <c r="N269" i="6"/>
  <c r="S166" i="6"/>
  <c r="N172" i="6"/>
  <c r="N409" i="6"/>
  <c r="S93" i="6"/>
  <c r="X997" i="6"/>
  <c r="X309" i="6"/>
  <c r="N290" i="6"/>
  <c r="X22" i="6"/>
  <c r="X65" i="6"/>
  <c r="N898" i="6"/>
  <c r="S293" i="6"/>
  <c r="S872" i="6"/>
  <c r="N39" i="6"/>
  <c r="X80" i="6"/>
  <c r="N651" i="6"/>
  <c r="X559" i="6"/>
  <c r="S672" i="6"/>
  <c r="N647" i="6"/>
  <c r="S531" i="6"/>
  <c r="N509" i="6"/>
  <c r="S508" i="6"/>
  <c r="N479" i="6"/>
  <c r="N769" i="6"/>
  <c r="S790" i="6"/>
  <c r="S573" i="6"/>
  <c r="S587" i="6"/>
  <c r="S584" i="6"/>
  <c r="S817" i="6"/>
  <c r="S853" i="6"/>
  <c r="S283" i="6"/>
  <c r="S89" i="6"/>
  <c r="S363" i="6"/>
  <c r="S445" i="6"/>
  <c r="S608" i="6"/>
  <c r="S763" i="6"/>
  <c r="S246" i="6"/>
  <c r="N401" i="6"/>
  <c r="N437" i="6"/>
  <c r="N525" i="6"/>
  <c r="N553" i="6"/>
  <c r="N455" i="6"/>
  <c r="S556" i="6"/>
  <c r="N248" i="6"/>
  <c r="S247" i="6"/>
  <c r="X1004" i="6"/>
  <c r="N14" i="6"/>
  <c r="S16" i="6"/>
  <c r="X669" i="6"/>
  <c r="N91" i="6"/>
  <c r="X1024" i="6"/>
  <c r="S17" i="6"/>
  <c r="N443" i="6"/>
  <c r="X822" i="6"/>
  <c r="N930" i="6"/>
  <c r="N25" i="6"/>
  <c r="S26" i="6"/>
  <c r="N355" i="6"/>
  <c r="S504" i="6"/>
  <c r="X503" i="6"/>
  <c r="X115" i="6"/>
  <c r="S130" i="6"/>
  <c r="N85" i="6"/>
  <c r="X547" i="6"/>
  <c r="S144" i="6"/>
  <c r="X506" i="6"/>
  <c r="N543" i="6"/>
  <c r="S948" i="6"/>
  <c r="N224" i="6"/>
  <c r="S605" i="6"/>
  <c r="N934" i="6"/>
  <c r="S928" i="6"/>
  <c r="N923" i="6"/>
  <c r="N473" i="6"/>
  <c r="S388" i="6"/>
  <c r="S937" i="6"/>
  <c r="N522" i="6"/>
  <c r="N215" i="6"/>
  <c r="N127" i="6"/>
  <c r="S773" i="6"/>
  <c r="X542" i="6"/>
  <c r="N387" i="6"/>
  <c r="N440" i="6"/>
  <c r="S709" i="6"/>
  <c r="X467" i="6"/>
  <c r="X468" i="6"/>
  <c r="N730" i="6"/>
  <c r="S226" i="6"/>
  <c r="X831" i="6"/>
  <c r="S832" i="6"/>
  <c r="X1002" i="6"/>
  <c r="S683" i="6"/>
  <c r="S749" i="6"/>
  <c r="X750" i="6"/>
  <c r="S667" i="6"/>
  <c r="N186" i="6"/>
  <c r="N188" i="6"/>
  <c r="S256" i="6"/>
  <c r="X433" i="6"/>
  <c r="S82" i="6"/>
  <c r="N122" i="6"/>
  <c r="S427" i="6"/>
  <c r="X682" i="6"/>
  <c r="X858" i="6"/>
  <c r="S765" i="6"/>
  <c r="X624" i="6"/>
  <c r="S615" i="6"/>
  <c r="N957" i="6"/>
  <c r="N679" i="6"/>
  <c r="S973" i="6"/>
  <c r="X539" i="6"/>
  <c r="N394" i="6"/>
  <c r="X147" i="6"/>
  <c r="X225" i="6"/>
  <c r="N225" i="6"/>
  <c r="N414" i="6"/>
  <c r="N452" i="6"/>
  <c r="S933" i="6"/>
  <c r="X928" i="6"/>
  <c r="N928" i="6"/>
  <c r="N924" i="6"/>
  <c r="N760" i="6"/>
  <c r="X378" i="6"/>
  <c r="N542" i="6"/>
  <c r="S176" i="6"/>
  <c r="S526" i="6"/>
  <c r="S271" i="6"/>
  <c r="S411" i="6"/>
  <c r="N310" i="6"/>
  <c r="S311" i="6"/>
  <c r="X609" i="6"/>
  <c r="X489" i="6"/>
  <c r="N703" i="6"/>
  <c r="S953" i="6"/>
  <c r="X916" i="6"/>
  <c r="X795" i="6"/>
  <c r="N23" i="6"/>
  <c r="S18" i="6"/>
  <c r="S153" i="6"/>
  <c r="S767" i="6"/>
  <c r="N280" i="6"/>
  <c r="S277" i="6"/>
  <c r="S593" i="6"/>
  <c r="X412" i="6"/>
  <c r="N884" i="6"/>
  <c r="X664" i="6"/>
  <c r="X484" i="6"/>
  <c r="N391" i="6"/>
  <c r="S954" i="6"/>
  <c r="N605" i="6"/>
  <c r="S873" i="6"/>
  <c r="N578" i="6"/>
  <c r="N381" i="6"/>
  <c r="S385" i="6"/>
  <c r="S384" i="6"/>
  <c r="N716" i="6"/>
  <c r="X416" i="6"/>
  <c r="N968" i="6"/>
  <c r="N905" i="6"/>
  <c r="X394" i="6"/>
  <c r="N397" i="6"/>
  <c r="S518" i="6"/>
  <c r="S181" i="6"/>
  <c r="N183" i="6"/>
  <c r="N1023" i="6"/>
  <c r="S888" i="6"/>
  <c r="N888" i="6"/>
  <c r="X545" i="6"/>
  <c r="N834" i="6"/>
  <c r="N271" i="6"/>
  <c r="S113" i="6"/>
  <c r="S165" i="6"/>
  <c r="N956" i="6"/>
  <c r="N784" i="6"/>
  <c r="N641" i="6"/>
  <c r="N566" i="6"/>
  <c r="N411" i="6"/>
  <c r="N95" i="6"/>
  <c r="X98" i="6"/>
  <c r="S98" i="6"/>
  <c r="S99" i="6"/>
  <c r="N99" i="6"/>
  <c r="N610" i="6"/>
  <c r="X704" i="6"/>
  <c r="S704" i="6"/>
  <c r="N702" i="6"/>
  <c r="X291" i="6"/>
  <c r="N464" i="6"/>
  <c r="X21" i="6"/>
  <c r="N164" i="6"/>
  <c r="N174" i="6"/>
  <c r="X1017" i="6"/>
  <c r="S1017" i="6"/>
  <c r="N169" i="6"/>
  <c r="X712" i="6"/>
  <c r="N807" i="6"/>
  <c r="N561" i="6"/>
  <c r="N865" i="6"/>
  <c r="S611" i="6"/>
  <c r="N293" i="6"/>
  <c r="S278" i="6"/>
  <c r="X686" i="6"/>
  <c r="S376" i="6"/>
  <c r="X884" i="6"/>
  <c r="N458" i="6"/>
  <c r="S129" i="6"/>
  <c r="S254" i="6"/>
  <c r="S493" i="6"/>
  <c r="S604" i="6"/>
  <c r="S467" i="6"/>
  <c r="S982" i="6"/>
  <c r="X888" i="6"/>
  <c r="N257" i="6"/>
  <c r="X271" i="6"/>
  <c r="X166" i="6"/>
  <c r="X444" i="6"/>
  <c r="S821" i="6"/>
  <c r="S738" i="6"/>
  <c r="S448" i="6"/>
  <c r="X602" i="6"/>
  <c r="S53" i="6"/>
  <c r="X865" i="6"/>
  <c r="X594" i="6"/>
  <c r="X527" i="6"/>
  <c r="X133" i="6"/>
  <c r="N361" i="6"/>
  <c r="X198" i="6"/>
  <c r="X711" i="6"/>
  <c r="S613" i="6"/>
  <c r="X287" i="6"/>
  <c r="S274" i="6"/>
  <c r="X370" i="6"/>
  <c r="N494" i="6"/>
  <c r="S819" i="6"/>
  <c r="X398" i="6"/>
  <c r="S260" i="6"/>
  <c r="X534" i="6"/>
  <c r="X471" i="6"/>
  <c r="N788" i="6"/>
  <c r="N974" i="6"/>
  <c r="S302" i="6"/>
  <c r="N38" i="6"/>
  <c r="S576" i="6"/>
  <c r="S151" i="6"/>
  <c r="X653" i="6"/>
  <c r="X716" i="6"/>
  <c r="N547" i="6"/>
  <c r="S880" i="6"/>
  <c r="N517" i="6"/>
  <c r="N931" i="6"/>
  <c r="S1010" i="6"/>
  <c r="N580" i="6"/>
  <c r="N45" i="6"/>
  <c r="S228" i="6"/>
  <c r="X671" i="6"/>
  <c r="S444" i="6"/>
  <c r="X20" i="6"/>
  <c r="N738" i="6"/>
  <c r="S828" i="6"/>
  <c r="S71" i="6"/>
  <c r="X44" i="6"/>
  <c r="S961" i="6"/>
  <c r="B3" i="10"/>
  <c r="B4" i="10"/>
  <c r="B14" i="10"/>
  <c r="S991" i="6"/>
  <c r="X414" i="6"/>
  <c r="N413" i="6"/>
  <c r="X605" i="6"/>
  <c r="N929" i="6"/>
  <c r="X474" i="6"/>
  <c r="S177" i="6"/>
  <c r="N223" i="6"/>
  <c r="N213" i="6"/>
  <c r="S811" i="6"/>
  <c r="X129" i="6"/>
  <c r="N132" i="6"/>
  <c r="S128" i="6"/>
  <c r="X1012" i="6"/>
  <c r="X342" i="6"/>
  <c r="N343" i="6"/>
  <c r="N207" i="6"/>
  <c r="N211" i="6"/>
  <c r="N216" i="6"/>
  <c r="S945" i="6"/>
  <c r="N7" i="6"/>
  <c r="X9" i="6"/>
  <c r="X47" i="6"/>
  <c r="N52" i="6"/>
  <c r="X156" i="6"/>
  <c r="X157" i="6"/>
  <c r="X160" i="6"/>
  <c r="X942" i="6"/>
  <c r="X318" i="6"/>
  <c r="X319" i="6"/>
  <c r="X254" i="6"/>
  <c r="X252" i="6"/>
  <c r="X922" i="6"/>
  <c r="S127" i="6"/>
  <c r="X451" i="6"/>
  <c r="X779" i="6"/>
  <c r="X891" i="6"/>
  <c r="X386" i="6"/>
  <c r="X863" i="6"/>
  <c r="X837" i="6"/>
  <c r="S440" i="6"/>
  <c r="X833" i="6"/>
  <c r="X728" i="6"/>
  <c r="N728" i="6"/>
  <c r="S729" i="6"/>
  <c r="X982" i="6"/>
  <c r="X658" i="6"/>
  <c r="X226" i="6"/>
  <c r="S117" i="6"/>
  <c r="X116" i="6"/>
  <c r="N831" i="6"/>
  <c r="X124" i="6"/>
  <c r="N1002" i="6"/>
  <c r="X418" i="6"/>
  <c r="N419" i="6"/>
  <c r="S906" i="6"/>
  <c r="X905" i="6"/>
  <c r="N802" i="6"/>
  <c r="X965" i="6"/>
  <c r="X714" i="6"/>
  <c r="X939" i="6"/>
  <c r="N951" i="6"/>
  <c r="X397" i="6"/>
  <c r="S895" i="6"/>
  <c r="N750" i="6"/>
  <c r="X748" i="6"/>
  <c r="S748" i="6"/>
  <c r="N520" i="6"/>
  <c r="N666" i="6"/>
  <c r="N185" i="6"/>
  <c r="S187" i="6"/>
  <c r="X184" i="6"/>
  <c r="S103" i="6"/>
  <c r="S110" i="6"/>
  <c r="N105" i="6"/>
  <c r="N875" i="6"/>
  <c r="S188" i="6"/>
  <c r="S992" i="6"/>
  <c r="S257" i="6"/>
  <c r="S466" i="6"/>
  <c r="S434" i="6"/>
  <c r="N433" i="6"/>
  <c r="N295" i="6"/>
  <c r="S393" i="6"/>
  <c r="S121" i="6"/>
  <c r="N166" i="6"/>
  <c r="X172" i="6"/>
  <c r="X511" i="6"/>
  <c r="X410" i="6"/>
  <c r="X409" i="6"/>
  <c r="X95" i="6"/>
  <c r="X97" i="6"/>
  <c r="N96" i="6"/>
  <c r="X310" i="6"/>
  <c r="S309" i="6"/>
  <c r="X313" i="6"/>
  <c r="S609" i="6"/>
  <c r="S120" i="6"/>
  <c r="X859" i="6"/>
  <c r="N858" i="6"/>
  <c r="X703" i="6"/>
  <c r="S291" i="6"/>
  <c r="X292" i="6"/>
  <c r="S917" i="6"/>
  <c r="S774" i="6"/>
  <c r="S20" i="6"/>
  <c r="X164" i="6"/>
  <c r="N163" i="6"/>
  <c r="X174" i="6"/>
  <c r="N167" i="6"/>
  <c r="S382" i="6"/>
  <c r="S805" i="6"/>
  <c r="X821" i="6"/>
  <c r="S562" i="6"/>
  <c r="S715" i="6"/>
  <c r="N867" i="6"/>
  <c r="N753" i="6"/>
  <c r="S449" i="6"/>
  <c r="N989" i="6"/>
  <c r="N507" i="6"/>
  <c r="N267" i="6"/>
  <c r="S329" i="6"/>
  <c r="N530" i="6"/>
  <c r="N527" i="6"/>
  <c r="S653" i="6"/>
  <c r="N844" i="6"/>
  <c r="S944" i="6"/>
  <c r="S957" i="6"/>
  <c r="X286" i="6"/>
  <c r="S495" i="6"/>
  <c r="N495" i="6"/>
  <c r="N977" i="6"/>
  <c r="S809" i="6"/>
  <c r="X450" i="6"/>
  <c r="X648" i="6"/>
  <c r="S886" i="6"/>
  <c r="N73" i="6"/>
  <c r="S74" i="6"/>
  <c r="N300" i="6"/>
  <c r="S37" i="6"/>
  <c r="N631" i="6"/>
  <c r="N862" i="6"/>
  <c r="N35" i="6"/>
  <c r="X79" i="6"/>
  <c r="N678" i="6"/>
  <c r="S596" i="6"/>
  <c r="S583" i="6"/>
  <c r="N506" i="6"/>
  <c r="S543" i="6"/>
  <c r="S452" i="6"/>
  <c r="X873" i="6"/>
  <c r="X934" i="6"/>
  <c r="S760" i="6"/>
  <c r="S473" i="6"/>
  <c r="X377" i="6"/>
  <c r="N521" i="6"/>
  <c r="N797" i="6"/>
  <c r="S864" i="6"/>
  <c r="S421" i="6"/>
  <c r="S468" i="6"/>
  <c r="N658" i="6"/>
  <c r="N116" i="6"/>
  <c r="N418" i="6"/>
  <c r="S802" i="6"/>
  <c r="N714" i="6"/>
  <c r="X925" i="6"/>
  <c r="X895" i="6"/>
  <c r="N749" i="6"/>
  <c r="X518" i="6"/>
  <c r="X180" i="6"/>
  <c r="S183" i="6"/>
  <c r="S966" i="6"/>
  <c r="N102" i="6"/>
  <c r="N109" i="6"/>
  <c r="S105" i="6"/>
  <c r="N876" i="6"/>
  <c r="N1021" i="6"/>
  <c r="S195" i="6"/>
  <c r="S891" i="6"/>
  <c r="S716" i="6"/>
  <c r="S837" i="6"/>
  <c r="X403" i="6"/>
  <c r="S416" i="6"/>
  <c r="X729" i="6"/>
  <c r="N832" i="6"/>
  <c r="S905" i="6"/>
  <c r="N683" i="6"/>
  <c r="S519" i="6"/>
  <c r="N518" i="6"/>
  <c r="S949" i="6"/>
  <c r="X992" i="6"/>
  <c r="N909" i="6"/>
  <c r="N434" i="6"/>
  <c r="X295" i="6"/>
  <c r="X114" i="6"/>
  <c r="X122" i="6"/>
  <c r="S119" i="6"/>
  <c r="X93" i="6"/>
  <c r="X1007" i="6"/>
  <c r="X830" i="6"/>
  <c r="N787" i="6"/>
  <c r="S561" i="6"/>
  <c r="S665" i="6"/>
  <c r="X691" i="6"/>
  <c r="X753" i="6"/>
  <c r="X407" i="6"/>
  <c r="S595" i="6"/>
  <c r="X267" i="6"/>
  <c r="X333" i="6"/>
  <c r="X823" i="6"/>
  <c r="X193" i="6"/>
  <c r="N275" i="6"/>
  <c r="N415" i="6"/>
  <c r="N806" i="6"/>
  <c r="X844" i="6"/>
  <c r="N855" i="6"/>
  <c r="X612" i="6"/>
  <c r="N611" i="6"/>
  <c r="N483" i="6"/>
  <c r="X901" i="6"/>
  <c r="S986" i="6"/>
  <c r="X62" i="6"/>
  <c r="N372" i="6"/>
  <c r="X477" i="6"/>
  <c r="S496" i="6"/>
  <c r="X495" i="6"/>
  <c r="X314" i="6"/>
  <c r="X921" i="6"/>
  <c r="S430" i="6"/>
  <c r="N820" i="6"/>
  <c r="X220" i="6"/>
  <c r="N219" i="6"/>
  <c r="X800" i="6"/>
  <c r="S635" i="6"/>
  <c r="S662" i="6"/>
  <c r="S560" i="6"/>
  <c r="N516" i="6"/>
  <c r="S654" i="6"/>
  <c r="S740" i="6"/>
  <c r="S857" i="6"/>
  <c r="S900" i="6"/>
  <c r="X73" i="6"/>
  <c r="N70" i="6"/>
  <c r="X983" i="6"/>
  <c r="S998" i="6"/>
  <c r="N44" i="6"/>
  <c r="X575" i="6"/>
  <c r="S976" i="6"/>
  <c r="X776" i="6"/>
  <c r="X861" i="6"/>
  <c r="X35" i="6"/>
  <c r="S258" i="6"/>
  <c r="S272" i="6"/>
  <c r="S114" i="6"/>
  <c r="N785" i="6"/>
  <c r="S784" i="6"/>
  <c r="S510" i="6"/>
  <c r="S412" i="6"/>
  <c r="N97" i="6"/>
  <c r="N312" i="6"/>
  <c r="X311" i="6"/>
  <c r="N313" i="6"/>
  <c r="S610" i="6"/>
  <c r="X120" i="6"/>
  <c r="S702" i="6"/>
  <c r="X958" i="6"/>
  <c r="N292" i="6"/>
  <c r="S23" i="6"/>
  <c r="X168" i="6"/>
  <c r="X170" i="6"/>
  <c r="S11" i="6"/>
  <c r="N125" i="6"/>
  <c r="N422" i="6"/>
  <c r="N765" i="6"/>
  <c r="X805" i="6"/>
  <c r="N856" i="6"/>
  <c r="S563" i="6"/>
  <c r="X562" i="6"/>
  <c r="N665" i="6"/>
  <c r="N448" i="6"/>
  <c r="X332" i="6"/>
  <c r="N197" i="6"/>
  <c r="S61" i="6"/>
  <c r="N986" i="6"/>
  <c r="S1016" i="6"/>
  <c r="N686" i="6"/>
  <c r="S977" i="6"/>
  <c r="X649" i="6"/>
  <c r="N740" i="6"/>
  <c r="X476" i="6"/>
  <c r="X894" i="6"/>
  <c r="X749" i="6"/>
  <c r="X519" i="6"/>
  <c r="X667" i="6"/>
  <c r="X803" i="6"/>
  <c r="X46" i="6"/>
  <c r="X1011" i="6"/>
  <c r="S186" i="6"/>
  <c r="N966" i="6"/>
  <c r="X102" i="6"/>
  <c r="X109" i="6"/>
  <c r="S671" i="6"/>
  <c r="X876" i="6"/>
  <c r="X889" i="6"/>
  <c r="S546" i="6"/>
  <c r="N992" i="6"/>
  <c r="X834" i="6"/>
  <c r="N699" i="6"/>
  <c r="X697" i="6"/>
  <c r="X256" i="6"/>
  <c r="X269" i="6"/>
  <c r="X908" i="6"/>
  <c r="X82" i="6"/>
  <c r="N114" i="6"/>
  <c r="X1013" i="6"/>
  <c r="X785" i="6"/>
  <c r="X566" i="6"/>
  <c r="S170" i="6"/>
  <c r="X173" i="6"/>
  <c r="N11" i="6"/>
  <c r="S65" i="6"/>
  <c r="X125" i="6"/>
  <c r="S737" i="6"/>
  <c r="X765" i="6"/>
  <c r="N786" i="6"/>
  <c r="N830" i="6"/>
  <c r="S712" i="6"/>
  <c r="X738" i="6"/>
  <c r="N767" i="6"/>
  <c r="S787" i="6"/>
  <c r="N828" i="6"/>
  <c r="S843" i="6"/>
  <c r="X856" i="6"/>
  <c r="N871" i="6"/>
  <c r="S884" i="6"/>
  <c r="N563" i="6"/>
  <c r="N564" i="6"/>
  <c r="X878" i="6"/>
  <c r="S600" i="6"/>
  <c r="X599" i="6"/>
  <c r="N598" i="6"/>
  <c r="S601" i="6"/>
  <c r="X638" i="6"/>
  <c r="N637" i="6"/>
  <c r="S636" i="6"/>
  <c r="X665" i="6"/>
  <c r="N664" i="6"/>
  <c r="S663" i="6"/>
  <c r="X692" i="6"/>
  <c r="N691" i="6"/>
  <c r="S690" i="6"/>
  <c r="X724" i="6"/>
  <c r="N723" i="6"/>
  <c r="S722" i="6"/>
  <c r="X754" i="6"/>
  <c r="S752" i="6"/>
  <c r="X139" i="6"/>
  <c r="N407" i="6"/>
  <c r="X448" i="6"/>
  <c r="N602" i="6"/>
  <c r="S465" i="6"/>
  <c r="X53" i="6"/>
  <c r="N81" i="6"/>
  <c r="S245" i="6"/>
  <c r="X307" i="6"/>
  <c r="N369" i="6"/>
  <c r="X793" i="6"/>
  <c r="N792" i="6"/>
  <c r="S1008" i="6"/>
  <c r="X353" i="6"/>
  <c r="S990" i="6"/>
  <c r="X866" i="6"/>
  <c r="S981" i="6"/>
  <c r="X550" i="6"/>
  <c r="S710" i="6"/>
  <c r="X515" i="6"/>
  <c r="S579" i="6"/>
  <c r="X623" i="6"/>
  <c r="N652" i="6"/>
  <c r="X595" i="6"/>
  <c r="N594" i="6"/>
  <c r="X265" i="6"/>
  <c r="N268" i="6"/>
  <c r="X1019" i="6"/>
  <c r="X331" i="6"/>
  <c r="N328" i="6"/>
  <c r="X1015" i="6"/>
  <c r="N333" i="6"/>
  <c r="S332" i="6"/>
  <c r="X334" i="6"/>
  <c r="S341" i="6"/>
  <c r="X529" i="6"/>
  <c r="S528" i="6"/>
  <c r="X134" i="6"/>
  <c r="N133" i="6"/>
  <c r="S914" i="6"/>
  <c r="X841" i="6"/>
  <c r="N823" i="6"/>
  <c r="S294" i="6"/>
  <c r="X360" i="6"/>
  <c r="N362" i="6"/>
  <c r="S361" i="6"/>
  <c r="X197" i="6"/>
  <c r="N198" i="6"/>
  <c r="X879" i="6"/>
  <c r="N193" i="6"/>
  <c r="S275" i="6"/>
  <c r="X336" i="6"/>
  <c r="N383" i="6"/>
  <c r="S415" i="6"/>
  <c r="X470" i="6"/>
  <c r="S548" i="6"/>
  <c r="X581" i="6"/>
  <c r="N624" i="6"/>
  <c r="X681" i="6"/>
  <c r="N711" i="6"/>
  <c r="S739" i="6"/>
  <c r="X768" i="6"/>
  <c r="S806" i="6"/>
  <c r="X826" i="6"/>
  <c r="S855" i="6"/>
  <c r="X870" i="6"/>
  <c r="N885" i="6"/>
  <c r="S899" i="6"/>
  <c r="X912" i="6"/>
  <c r="X613" i="6"/>
  <c r="N612" i="6"/>
  <c r="X615" i="6"/>
  <c r="N61" i="6"/>
  <c r="S868" i="6"/>
  <c r="X482" i="6"/>
  <c r="S483" i="6"/>
  <c r="X902" i="6"/>
  <c r="N901" i="6"/>
  <c r="X986" i="6"/>
  <c r="N287" i="6"/>
  <c r="S288" i="6"/>
  <c r="X274" i="6"/>
  <c r="N1016" i="6"/>
  <c r="X280" i="6"/>
  <c r="N277" i="6"/>
  <c r="S279" i="6"/>
  <c r="N62" i="6"/>
  <c r="N1006" i="6"/>
  <c r="S63" i="6"/>
  <c r="X685" i="6"/>
  <c r="N684" i="6"/>
  <c r="S372" i="6"/>
  <c r="X371" i="6"/>
  <c r="N370" i="6"/>
  <c r="S679" i="6"/>
  <c r="N477" i="6"/>
  <c r="S972" i="6"/>
  <c r="X496" i="6"/>
  <c r="S494" i="6"/>
  <c r="X967" i="6"/>
  <c r="N877" i="6"/>
  <c r="S152" i="6"/>
  <c r="X240" i="6"/>
  <c r="N314" i="6"/>
  <c r="S327" i="6"/>
  <c r="X368" i="6"/>
  <c r="N376" i="6"/>
  <c r="X487" i="6"/>
  <c r="X825" i="6"/>
  <c r="N921" i="6"/>
  <c r="S431" i="6"/>
  <c r="X430" i="6"/>
  <c r="S820" i="6"/>
  <c r="X819" i="6"/>
  <c r="N432" i="6"/>
  <c r="S428" i="6"/>
  <c r="X427" i="6"/>
  <c r="N398" i="6"/>
  <c r="S801" i="6"/>
  <c r="N650" i="6"/>
  <c r="S649" i="6"/>
  <c r="N220" i="6"/>
  <c r="S219" i="6"/>
  <c r="X426" i="6"/>
  <c r="N392" i="6"/>
  <c r="S391" i="6"/>
  <c r="X260" i="6"/>
  <c r="N800" i="6"/>
  <c r="S799" i="6"/>
  <c r="X635" i="6"/>
  <c r="N475" i="6"/>
  <c r="S721" i="6"/>
  <c r="X662" i="6"/>
  <c r="N534" i="6"/>
  <c r="S689" i="6"/>
  <c r="X751" i="6"/>
  <c r="N775" i="6"/>
  <c r="S597" i="6"/>
  <c r="X560" i="6"/>
  <c r="S516" i="6"/>
  <c r="X549" i="6"/>
  <c r="S625" i="6"/>
  <c r="X654" i="6"/>
  <c r="N682" i="6"/>
  <c r="S713" i="6"/>
  <c r="X740" i="6"/>
  <c r="N766" i="6"/>
  <c r="S788" i="6"/>
  <c r="X808" i="6"/>
  <c r="N824" i="6"/>
  <c r="S842" i="6"/>
  <c r="X857" i="6"/>
  <c r="N872" i="6"/>
  <c r="N913" i="6"/>
  <c r="S974" i="6"/>
  <c r="X973" i="6"/>
  <c r="N69" i="6"/>
  <c r="S68" i="6"/>
  <c r="X72" i="6"/>
  <c r="X1014" i="6"/>
  <c r="S70" i="6"/>
  <c r="N303" i="6"/>
  <c r="S304" i="6"/>
  <c r="X302" i="6"/>
  <c r="N983" i="6"/>
  <c r="X39" i="6"/>
  <c r="N40" i="6"/>
  <c r="S38" i="6"/>
  <c r="N43" i="6"/>
  <c r="S42" i="6"/>
  <c r="X41" i="6"/>
  <c r="X954" i="6"/>
  <c r="N851" i="6"/>
  <c r="S850" i="6"/>
  <c r="X576" i="6"/>
  <c r="N575" i="6"/>
  <c r="S574" i="6"/>
  <c r="X577" i="6"/>
  <c r="N112" i="6"/>
  <c r="S111" i="6"/>
  <c r="X976" i="6"/>
  <c r="S476" i="6"/>
  <c r="X151" i="6"/>
  <c r="N194" i="6"/>
  <c r="X941" i="6"/>
  <c r="N940" i="6"/>
  <c r="S778" i="6"/>
  <c r="X777" i="6"/>
  <c r="S910" i="6"/>
  <c r="S538" i="6"/>
  <c r="S535" i="6"/>
  <c r="S30" i="6"/>
  <c r="S1003" i="6"/>
  <c r="X76" i="6"/>
  <c r="S365" i="6"/>
  <c r="S942" i="6"/>
  <c r="S779" i="6"/>
  <c r="X411" i="6"/>
  <c r="S360" i="6"/>
  <c r="S280" i="6"/>
  <c r="N649" i="6"/>
  <c r="N155" i="6"/>
  <c r="N316" i="6"/>
  <c r="S319" i="6"/>
  <c r="N907" i="6"/>
  <c r="S863" i="6"/>
  <c r="S833" i="6"/>
  <c r="N420" i="6"/>
  <c r="S397" i="6"/>
  <c r="N748" i="6"/>
  <c r="X183" i="6"/>
  <c r="X875" i="6"/>
  <c r="S697" i="6"/>
  <c r="X466" i="6"/>
  <c r="N393" i="6"/>
  <c r="N783" i="6"/>
  <c r="X641" i="6"/>
  <c r="X510" i="6"/>
  <c r="X786" i="6"/>
  <c r="N712" i="6"/>
  <c r="S856" i="6"/>
  <c r="X871" i="6"/>
  <c r="X867" i="6"/>
  <c r="X598" i="6"/>
  <c r="S692" i="6"/>
  <c r="X723" i="6"/>
  <c r="S754" i="6"/>
  <c r="X81" i="6"/>
  <c r="X989" i="6"/>
  <c r="X507" i="6"/>
  <c r="X268" i="6"/>
  <c r="X530" i="6"/>
  <c r="N528" i="6"/>
  <c r="S134" i="6"/>
  <c r="N914" i="6"/>
  <c r="X362" i="6"/>
  <c r="N880" i="6"/>
  <c r="S879" i="6"/>
  <c r="X517" i="6"/>
  <c r="N548" i="6"/>
  <c r="N653" i="6"/>
  <c r="N739" i="6"/>
  <c r="X789" i="6"/>
  <c r="X885" i="6"/>
  <c r="N899" i="6"/>
  <c r="N912" i="6"/>
  <c r="X61" i="6"/>
  <c r="N868" i="6"/>
  <c r="S902" i="6"/>
  <c r="S286" i="6"/>
  <c r="N63" i="6"/>
  <c r="S685" i="6"/>
  <c r="X684" i="6"/>
  <c r="S478" i="6"/>
  <c r="X877" i="6"/>
  <c r="N152" i="6"/>
  <c r="S240" i="6"/>
  <c r="N327" i="6"/>
  <c r="N431" i="6"/>
  <c r="X429" i="6"/>
  <c r="N819" i="6"/>
  <c r="N428" i="6"/>
  <c r="N801" i="6"/>
  <c r="S450" i="6"/>
  <c r="X650" i="6"/>
  <c r="S648" i="6"/>
  <c r="S426" i="6"/>
  <c r="N799" i="6"/>
  <c r="N689" i="6"/>
  <c r="S751" i="6"/>
  <c r="N597" i="6"/>
  <c r="S549" i="6"/>
  <c r="N713" i="6"/>
  <c r="N842" i="6"/>
  <c r="X913" i="6"/>
  <c r="N68" i="6"/>
  <c r="S72" i="6"/>
  <c r="N74" i="6"/>
  <c r="S300" i="6"/>
  <c r="N37" i="6"/>
  <c r="X40" i="6"/>
  <c r="X43" i="6"/>
  <c r="X45" i="6"/>
  <c r="X851" i="6"/>
  <c r="N850" i="6"/>
  <c r="N574" i="6"/>
  <c r="X112" i="6"/>
  <c r="N111" i="6"/>
  <c r="N476" i="6"/>
  <c r="S941" i="6"/>
  <c r="X940" i="6"/>
  <c r="S777" i="6"/>
  <c r="N910" i="6"/>
  <c r="S205" i="6"/>
  <c r="N538" i="6"/>
  <c r="X536" i="6"/>
  <c r="N535" i="6"/>
  <c r="S862" i="6"/>
  <c r="N1003" i="6"/>
  <c r="S148" i="6"/>
  <c r="N695" i="6"/>
  <c r="S930" i="6"/>
  <c r="S1002" i="6"/>
  <c r="S328" i="6"/>
  <c r="N206" i="6"/>
  <c r="N568" i="6"/>
  <c r="S48" i="6"/>
  <c r="X1005" i="6"/>
  <c r="S52" i="6"/>
  <c r="X51" i="6"/>
  <c r="S572" i="6"/>
  <c r="X155" i="6"/>
  <c r="X161" i="6"/>
  <c r="S158" i="6"/>
  <c r="X980" i="6"/>
  <c r="S943" i="6"/>
  <c r="X317" i="6"/>
  <c r="S1018" i="6"/>
  <c r="S315" i="6"/>
  <c r="X320" i="6"/>
  <c r="X1021" i="6"/>
  <c r="S259" i="6"/>
  <c r="X241" i="6"/>
  <c r="S196" i="6"/>
  <c r="X907" i="6"/>
  <c r="X127" i="6"/>
  <c r="N451" i="6"/>
  <c r="X366" i="6"/>
  <c r="X771" i="6"/>
  <c r="X175" i="6"/>
  <c r="N891" i="6"/>
  <c r="X385" i="6"/>
  <c r="X718" i="6"/>
  <c r="S717" i="6"/>
  <c r="X836" i="6"/>
  <c r="S403" i="6"/>
  <c r="X440" i="6"/>
  <c r="X565" i="6"/>
  <c r="X709" i="6"/>
  <c r="X417" i="6"/>
  <c r="N416" i="6"/>
  <c r="S963" i="6"/>
  <c r="X730" i="6"/>
  <c r="X969" i="6"/>
  <c r="X657" i="6"/>
  <c r="S968" i="6"/>
  <c r="S959" i="6"/>
  <c r="X117" i="6"/>
  <c r="S831" i="6"/>
  <c r="X832" i="6"/>
  <c r="S419" i="6"/>
  <c r="S741" i="6"/>
  <c r="S951" i="6"/>
  <c r="S896" i="6"/>
  <c r="S750" i="6"/>
  <c r="S520" i="6"/>
  <c r="S666" i="6"/>
  <c r="S67" i="6"/>
  <c r="X187" i="6"/>
  <c r="X186" i="6"/>
  <c r="X103" i="6"/>
  <c r="X110" i="6"/>
  <c r="X188" i="6"/>
  <c r="X546" i="6"/>
  <c r="N545" i="6"/>
  <c r="X835" i="6"/>
  <c r="X257" i="6"/>
  <c r="N256" i="6"/>
  <c r="X270" i="6"/>
  <c r="X434" i="6"/>
  <c r="S295" i="6"/>
  <c r="N82" i="6"/>
  <c r="N119" i="6"/>
  <c r="X367" i="6"/>
  <c r="X783" i="6"/>
  <c r="S641" i="6"/>
  <c r="X640" i="6"/>
  <c r="N511" i="6"/>
  <c r="X567" i="6"/>
  <c r="X382" i="6"/>
  <c r="X737" i="6"/>
  <c r="S786" i="6"/>
  <c r="S830" i="6"/>
  <c r="X843" i="6"/>
  <c r="S871" i="6"/>
  <c r="X715" i="6"/>
  <c r="N878" i="6"/>
  <c r="S867" i="6"/>
  <c r="X600" i="6"/>
  <c r="N599" i="6"/>
  <c r="S598" i="6"/>
  <c r="X601" i="6"/>
  <c r="N638" i="6"/>
  <c r="X636" i="6"/>
  <c r="S664" i="6"/>
  <c r="X663" i="6"/>
  <c r="N692" i="6"/>
  <c r="S691" i="6"/>
  <c r="X690" i="6"/>
  <c r="N724" i="6"/>
  <c r="S723" i="6"/>
  <c r="X722" i="6"/>
  <c r="S753" i="6"/>
  <c r="X752" i="6"/>
  <c r="S407" i="6"/>
  <c r="X449" i="6"/>
  <c r="S602" i="6"/>
  <c r="X465" i="6"/>
  <c r="N53" i="6"/>
  <c r="S81" i="6"/>
  <c r="X245" i="6"/>
  <c r="N307" i="6"/>
  <c r="X794" i="6"/>
  <c r="N793" i="6"/>
  <c r="X1008" i="6"/>
  <c r="S989" i="6"/>
  <c r="X990" i="6"/>
  <c r="N866" i="6"/>
  <c r="X981" i="6"/>
  <c r="S507" i="6"/>
  <c r="X710" i="6"/>
  <c r="N515" i="6"/>
  <c r="N623" i="6"/>
  <c r="X680" i="6"/>
  <c r="S594" i="6"/>
  <c r="N265" i="6"/>
  <c r="S268" i="6"/>
  <c r="S267" i="6"/>
  <c r="X329" i="6"/>
  <c r="X330" i="6"/>
  <c r="N1015" i="6"/>
  <c r="S333" i="6"/>
  <c r="X341" i="6"/>
  <c r="N529" i="6"/>
  <c r="S527" i="6"/>
  <c r="X528" i="6"/>
  <c r="N134" i="6"/>
  <c r="S133" i="6"/>
  <c r="X914" i="6"/>
  <c r="S823" i="6"/>
  <c r="X294" i="6"/>
  <c r="N360" i="6"/>
  <c r="X361" i="6"/>
  <c r="S198" i="6"/>
  <c r="N879" i="6"/>
  <c r="S193" i="6"/>
  <c r="X275" i="6"/>
  <c r="N336" i="6"/>
  <c r="X415" i="6"/>
  <c r="N470" i="6"/>
  <c r="S517" i="6"/>
  <c r="X548" i="6"/>
  <c r="S624" i="6"/>
  <c r="N681" i="6"/>
  <c r="S711" i="6"/>
  <c r="X739" i="6"/>
  <c r="N768" i="6"/>
  <c r="X806" i="6"/>
  <c r="N826" i="6"/>
  <c r="S844" i="6"/>
  <c r="X855" i="6"/>
  <c r="N870" i="6"/>
  <c r="S885" i="6"/>
  <c r="X899" i="6"/>
  <c r="S931" i="6"/>
  <c r="N613" i="6"/>
  <c r="S612" i="6"/>
  <c r="X611" i="6"/>
  <c r="N615" i="6"/>
  <c r="N482" i="6"/>
  <c r="S484" i="6"/>
  <c r="X483" i="6"/>
  <c r="N902" i="6"/>
  <c r="X957" i="6"/>
  <c r="S287" i="6"/>
  <c r="X288" i="6"/>
  <c r="X1010" i="6"/>
  <c r="N274" i="6"/>
  <c r="X278" i="6"/>
  <c r="S62" i="6"/>
  <c r="X63" i="6"/>
  <c r="N685" i="6"/>
  <c r="X372" i="6"/>
  <c r="N371" i="6"/>
  <c r="S370" i="6"/>
  <c r="S477" i="6"/>
  <c r="X972" i="6"/>
  <c r="N496" i="6"/>
  <c r="X494" i="6"/>
  <c r="S877" i="6"/>
  <c r="X152" i="6"/>
  <c r="N240" i="6"/>
  <c r="S314" i="6"/>
  <c r="N368" i="6"/>
  <c r="X809" i="6"/>
  <c r="S921" i="6"/>
  <c r="N430" i="6"/>
  <c r="X820" i="6"/>
  <c r="S432" i="6"/>
  <c r="S398" i="6"/>
  <c r="N450" i="6"/>
  <c r="S650" i="6"/>
  <c r="N648" i="6"/>
  <c r="X219" i="6"/>
  <c r="N426" i="6"/>
  <c r="S392" i="6"/>
  <c r="X391" i="6"/>
  <c r="S800" i="6"/>
  <c r="X799" i="6"/>
  <c r="N635" i="6"/>
  <c r="S475" i="6"/>
  <c r="X721" i="6"/>
  <c r="N662" i="6"/>
  <c r="S534" i="6"/>
  <c r="X689" i="6"/>
  <c r="S775" i="6"/>
  <c r="X597" i="6"/>
  <c r="N560" i="6"/>
  <c r="N549" i="6"/>
  <c r="S580" i="6"/>
  <c r="N654" i="6"/>
  <c r="S682" i="6"/>
  <c r="X713" i="6"/>
  <c r="X788" i="6"/>
  <c r="N808" i="6"/>
  <c r="N857" i="6"/>
  <c r="X886" i="6"/>
  <c r="N900" i="6"/>
  <c r="S913" i="6"/>
  <c r="X974" i="6"/>
  <c r="N973" i="6"/>
  <c r="S69" i="6"/>
  <c r="X68" i="6"/>
  <c r="N72" i="6"/>
  <c r="S73" i="6"/>
  <c r="X74" i="6"/>
  <c r="N1014" i="6"/>
  <c r="S303" i="6"/>
  <c r="X304" i="6"/>
  <c r="N302" i="6"/>
  <c r="S983" i="6"/>
  <c r="X37" i="6"/>
  <c r="S40" i="6"/>
  <c r="X38" i="6"/>
  <c r="S43" i="6"/>
  <c r="X42" i="6"/>
  <c r="N41" i="6"/>
  <c r="S45" i="6"/>
  <c r="S851" i="6"/>
  <c r="X850" i="6"/>
  <c r="N576" i="6"/>
  <c r="S575" i="6"/>
  <c r="X574" i="6"/>
  <c r="N577" i="6"/>
  <c r="X111" i="6"/>
  <c r="N976" i="6"/>
  <c r="S631" i="6"/>
  <c r="N151" i="6"/>
  <c r="S194" i="6"/>
  <c r="X239" i="6"/>
  <c r="N941" i="6"/>
  <c r="S940" i="6"/>
  <c r="X778" i="6"/>
  <c r="N777" i="6"/>
  <c r="S776" i="6"/>
  <c r="X910" i="6"/>
  <c r="S539" i="6"/>
  <c r="X538" i="6"/>
  <c r="N537" i="6"/>
  <c r="S536" i="6"/>
  <c r="X535" i="6"/>
  <c r="S861" i="6"/>
  <c r="X30" i="6"/>
  <c r="N32" i="6"/>
  <c r="X1003" i="6"/>
  <c r="N36" i="6"/>
  <c r="S35" i="6"/>
  <c r="X34" i="6"/>
  <c r="S699" i="6"/>
  <c r="X113" i="6"/>
  <c r="X787" i="6"/>
  <c r="S564" i="6"/>
  <c r="S637" i="6"/>
  <c r="N754" i="6"/>
  <c r="N139" i="6"/>
  <c r="S369" i="6"/>
  <c r="S792" i="6"/>
  <c r="N353" i="6"/>
  <c r="S547" i="6"/>
  <c r="X579" i="6"/>
  <c r="X593" i="6"/>
  <c r="N1019" i="6"/>
  <c r="N334" i="6"/>
  <c r="S530" i="6"/>
  <c r="N841" i="6"/>
  <c r="S362" i="6"/>
  <c r="X880" i="6"/>
  <c r="S383" i="6"/>
  <c r="N581" i="6"/>
  <c r="S789" i="6"/>
  <c r="X944" i="6"/>
  <c r="X868" i="6"/>
  <c r="S901" i="6"/>
  <c r="N286" i="6"/>
  <c r="X279" i="6"/>
  <c r="S1006" i="6"/>
  <c r="S684" i="6"/>
  <c r="X679" i="6"/>
  <c r="N478" i="6"/>
  <c r="N967" i="6"/>
  <c r="X390" i="6"/>
  <c r="N487" i="6"/>
  <c r="N825" i="6"/>
  <c r="S429" i="6"/>
  <c r="X428" i="6"/>
  <c r="N427" i="6"/>
  <c r="S220" i="6"/>
  <c r="N260" i="6"/>
  <c r="N751" i="6"/>
  <c r="S471" i="6"/>
  <c r="X516" i="6"/>
  <c r="S766" i="6"/>
  <c r="S824" i="6"/>
  <c r="X70" i="6"/>
  <c r="N998" i="6"/>
  <c r="N954" i="6"/>
  <c r="S112" i="6"/>
  <c r="N205" i="6"/>
  <c r="S31" i="6"/>
  <c r="X792" i="6"/>
  <c r="N1008" i="6"/>
  <c r="X652" i="6"/>
  <c r="S264" i="6"/>
  <c r="S197" i="6"/>
  <c r="X383" i="6"/>
  <c r="S686" i="6"/>
  <c r="S368" i="6"/>
  <c r="S487" i="6"/>
  <c r="S825" i="6"/>
  <c r="N429" i="6"/>
  <c r="N471" i="6"/>
  <c r="X580" i="6"/>
  <c r="N625" i="6"/>
  <c r="X766" i="6"/>
  <c r="S808" i="6"/>
  <c r="X872" i="6"/>
  <c r="X900" i="6"/>
  <c r="X303" i="6"/>
  <c r="S39" i="6"/>
  <c r="N42" i="6"/>
  <c r="S41" i="6"/>
  <c r="S577" i="6"/>
  <c r="X631" i="6"/>
  <c r="X194" i="6"/>
  <c r="N778" i="6"/>
  <c r="S537" i="6"/>
  <c r="S36" i="6"/>
  <c r="S76" i="6"/>
  <c r="N854" i="6"/>
  <c r="N157" i="6"/>
  <c r="N906" i="6"/>
  <c r="N438" i="6"/>
  <c r="X767" i="6"/>
  <c r="X369" i="6"/>
  <c r="N794" i="6"/>
  <c r="S680" i="6"/>
  <c r="X264" i="6"/>
  <c r="X327" i="6"/>
  <c r="X431" i="6"/>
  <c r="X801" i="6"/>
  <c r="S694" i="6"/>
  <c r="X774" i="6"/>
  <c r="X931" i="6"/>
  <c r="N403" i="6"/>
  <c r="N963" i="6"/>
  <c r="N659" i="6"/>
  <c r="X452" i="6"/>
  <c r="S506" i="6"/>
  <c r="S922" i="6"/>
  <c r="S728" i="6"/>
  <c r="S438" i="6"/>
  <c r="X99" i="6"/>
  <c r="X747" i="6"/>
  <c r="N173" i="6"/>
  <c r="X637" i="6"/>
  <c r="N636" i="6"/>
  <c r="S794" i="6"/>
  <c r="S652" i="6"/>
  <c r="N595" i="6"/>
  <c r="N331" i="6"/>
  <c r="X842" i="6"/>
  <c r="N731" i="6"/>
  <c r="S655" i="6"/>
  <c r="N813" i="6"/>
  <c r="S965" i="6"/>
  <c r="X655" i="6"/>
  <c r="X472" i="6"/>
  <c r="X222" i="6"/>
  <c r="X10" i="6"/>
  <c r="S156" i="6"/>
  <c r="X118" i="6"/>
  <c r="X475" i="6"/>
  <c r="X775" i="6"/>
  <c r="X948" i="6"/>
  <c r="X628" i="6"/>
  <c r="X797" i="6"/>
  <c r="X568" i="6"/>
  <c r="N320" i="6"/>
  <c r="N241" i="6"/>
  <c r="N925" i="6"/>
  <c r="N895" i="6"/>
  <c r="X328" i="6"/>
  <c r="X1006" i="6"/>
  <c r="X392" i="6"/>
  <c r="X69" i="6"/>
  <c r="X224" i="6"/>
  <c r="X578" i="6"/>
  <c r="X521" i="6"/>
  <c r="X810" i="6"/>
  <c r="X999" i="6"/>
  <c r="X781" i="6"/>
  <c r="S865" i="6"/>
  <c r="N550" i="6"/>
  <c r="S330" i="6"/>
  <c r="X432" i="6"/>
  <c r="X625" i="6"/>
  <c r="X824" i="6"/>
  <c r="X923" i="6"/>
  <c r="X380" i="6"/>
  <c r="N259" i="6"/>
  <c r="N408" i="6"/>
  <c r="X326" i="6"/>
  <c r="X395" i="6"/>
  <c r="X208" i="6"/>
  <c r="X218" i="6"/>
  <c r="S9" i="6"/>
  <c r="S50" i="6"/>
  <c r="S64" i="6"/>
  <c r="N191" i="6"/>
  <c r="N285" i="6"/>
  <c r="X388" i="6"/>
  <c r="X423" i="6"/>
  <c r="X881" i="6"/>
  <c r="X24" i="6"/>
  <c r="X381" i="6"/>
  <c r="X131" i="6"/>
  <c r="X206" i="6"/>
  <c r="X107" i="6"/>
  <c r="X6" i="6"/>
  <c r="S159" i="6"/>
  <c r="N158" i="6"/>
  <c r="N1018" i="6"/>
  <c r="S252" i="6"/>
  <c r="S451" i="6"/>
  <c r="N384" i="6"/>
  <c r="N804" i="6"/>
  <c r="X185" i="6"/>
  <c r="S318" i="6"/>
  <c r="X316" i="6"/>
  <c r="N176" i="6"/>
  <c r="S386" i="6"/>
  <c r="X387" i="6"/>
  <c r="N526" i="6"/>
  <c r="N8" i="6"/>
  <c r="N48" i="6"/>
  <c r="S1005" i="6"/>
  <c r="N159" i="6"/>
  <c r="N154" i="6"/>
  <c r="S161" i="6"/>
  <c r="X237" i="6"/>
  <c r="N943" i="6"/>
  <c r="S317" i="6"/>
  <c r="N254" i="6"/>
  <c r="N253" i="6"/>
  <c r="S1021" i="6"/>
  <c r="X196" i="6"/>
  <c r="N922" i="6"/>
  <c r="N64" i="6"/>
  <c r="N540" i="6"/>
  <c r="N389" i="6"/>
  <c r="N717" i="6"/>
  <c r="S836" i="6"/>
  <c r="N493" i="6"/>
  <c r="S565" i="6"/>
  <c r="X963" i="6"/>
  <c r="X933" i="6"/>
  <c r="X929" i="6"/>
  <c r="X988" i="6"/>
  <c r="X177" i="6"/>
  <c r="X845" i="6"/>
  <c r="X846" i="6"/>
  <c r="X221" i="6"/>
  <c r="X223" i="6"/>
  <c r="X458" i="6"/>
  <c r="S423" i="6"/>
  <c r="X425" i="6"/>
  <c r="X424" i="6"/>
  <c r="S578" i="6"/>
  <c r="X829" i="6"/>
  <c r="X522" i="6"/>
  <c r="S521" i="6"/>
  <c r="X213" i="6"/>
  <c r="X212" i="6"/>
  <c r="S881" i="6"/>
  <c r="X882" i="6"/>
  <c r="X354" i="6"/>
  <c r="S810" i="6"/>
  <c r="X812" i="6"/>
  <c r="X324" i="6"/>
  <c r="S326" i="6"/>
  <c r="X325" i="6"/>
  <c r="X811" i="6"/>
  <c r="S24" i="6"/>
  <c r="X396" i="6"/>
  <c r="S395" i="6"/>
  <c r="X1009" i="6"/>
  <c r="X630" i="6"/>
  <c r="S628" i="6"/>
  <c r="X629" i="6"/>
  <c r="X632" i="6"/>
  <c r="X132" i="6"/>
  <c r="X128" i="6"/>
  <c r="S1012" i="6"/>
  <c r="X136" i="6"/>
  <c r="X135" i="6"/>
  <c r="S131" i="6"/>
  <c r="X162" i="6"/>
  <c r="X996" i="6"/>
  <c r="S342" i="6"/>
  <c r="X343" i="6"/>
  <c r="X978" i="6"/>
  <c r="S208" i="6"/>
  <c r="X215" i="6"/>
  <c r="X214" i="6"/>
  <c r="S206" i="6"/>
  <c r="X207" i="6"/>
  <c r="X217" i="6"/>
  <c r="S218" i="6"/>
  <c r="X211" i="6"/>
  <c r="X210" i="6"/>
  <c r="S999" i="6"/>
  <c r="X108" i="6"/>
  <c r="S107" i="6"/>
  <c r="X106" i="6"/>
  <c r="X798" i="6"/>
  <c r="S797" i="6"/>
  <c r="X796" i="6"/>
  <c r="X945" i="6"/>
  <c r="S568" i="6"/>
  <c r="X946" i="6"/>
  <c r="X8" i="6"/>
  <c r="S6" i="6"/>
  <c r="X7" i="6"/>
  <c r="S10" i="6"/>
  <c r="X52" i="6"/>
  <c r="N50" i="6"/>
  <c r="N572" i="6"/>
  <c r="S155" i="6"/>
  <c r="N237" i="6"/>
  <c r="S980" i="6"/>
  <c r="N319" i="6"/>
  <c r="N315" i="6"/>
  <c r="X259" i="6"/>
  <c r="N195" i="6"/>
  <c r="N196" i="6"/>
  <c r="N773" i="6"/>
  <c r="N772" i="6"/>
  <c r="N779" i="6"/>
  <c r="X384" i="6"/>
  <c r="N863" i="6"/>
  <c r="N864" i="6"/>
  <c r="S718" i="6"/>
  <c r="N604" i="6"/>
  <c r="N639" i="6"/>
  <c r="X659" i="6"/>
  <c r="N950" i="6"/>
  <c r="S934" i="6"/>
  <c r="S923" i="6"/>
  <c r="S472" i="6"/>
  <c r="S377" i="6"/>
  <c r="N988" i="6"/>
  <c r="N388" i="6"/>
  <c r="N845" i="6"/>
  <c r="S846" i="6"/>
  <c r="N937" i="6"/>
  <c r="N938" i="6"/>
  <c r="N222" i="6"/>
  <c r="N425" i="6"/>
  <c r="S424" i="6"/>
  <c r="N829" i="6"/>
  <c r="S522" i="6"/>
  <c r="S212" i="6"/>
  <c r="N881" i="6"/>
  <c r="N882" i="6"/>
  <c r="S354" i="6"/>
  <c r="N812" i="6"/>
  <c r="S324" i="6"/>
  <c r="N326" i="6"/>
  <c r="N325" i="6"/>
  <c r="N24" i="6"/>
  <c r="N19" i="6"/>
  <c r="S396" i="6"/>
  <c r="N1009" i="6"/>
  <c r="S630" i="6"/>
  <c r="N629" i="6"/>
  <c r="S632" i="6"/>
  <c r="N379" i="6"/>
  <c r="S380" i="6"/>
  <c r="N129" i="6"/>
  <c r="N1012" i="6"/>
  <c r="N136" i="6"/>
  <c r="S135" i="6"/>
  <c r="N131" i="6"/>
  <c r="N162" i="6"/>
  <c r="S996" i="6"/>
  <c r="N342" i="6"/>
  <c r="S978" i="6"/>
  <c r="S214" i="6"/>
  <c r="S217" i="6"/>
  <c r="N218" i="6"/>
  <c r="S210" i="6"/>
  <c r="S108" i="6"/>
  <c r="N107" i="6"/>
  <c r="N106" i="6"/>
  <c r="S798" i="6"/>
  <c r="N796" i="6"/>
  <c r="S8" i="6"/>
  <c r="X48" i="6"/>
  <c r="S51" i="6"/>
  <c r="X154" i="6"/>
  <c r="N156" i="6"/>
  <c r="S157" i="6"/>
  <c r="X943" i="6"/>
  <c r="S316" i="6"/>
  <c r="X253" i="6"/>
  <c r="S781" i="6"/>
  <c r="S387" i="6"/>
  <c r="X717" i="6"/>
  <c r="X639" i="6"/>
  <c r="N833" i="6"/>
  <c r="N421" i="6"/>
  <c r="N729" i="6"/>
  <c r="S969" i="6"/>
  <c r="S54" i="6"/>
  <c r="S123" i="6"/>
  <c r="S860" i="6"/>
  <c r="S988" i="6"/>
  <c r="S845" i="6"/>
  <c r="S223" i="6"/>
  <c r="S425" i="6"/>
  <c r="S829" i="6"/>
  <c r="S213" i="6"/>
  <c r="S882" i="6"/>
  <c r="S812" i="6"/>
  <c r="S325" i="6"/>
  <c r="S19" i="6"/>
  <c r="S1009" i="6"/>
  <c r="S629" i="6"/>
  <c r="S379" i="6"/>
  <c r="S132" i="6"/>
  <c r="S136" i="6"/>
  <c r="S162" i="6"/>
  <c r="S343" i="6"/>
  <c r="S215" i="6"/>
  <c r="S207" i="6"/>
  <c r="S216" i="6"/>
  <c r="S7" i="6"/>
  <c r="N920" i="6"/>
  <c r="N874" i="6"/>
  <c r="N919" i="6"/>
  <c r="N146" i="6"/>
  <c r="N677" i="6"/>
  <c r="N991" i="6"/>
  <c r="N177" i="6"/>
  <c r="N212" i="6"/>
  <c r="N354" i="6"/>
  <c r="N324" i="6"/>
  <c r="N811" i="6"/>
  <c r="N396" i="6"/>
  <c r="N630" i="6"/>
  <c r="N380" i="6"/>
  <c r="N135" i="6"/>
  <c r="N996" i="6"/>
  <c r="N978" i="6"/>
  <c r="N214" i="6"/>
  <c r="N217" i="6"/>
  <c r="N210" i="6"/>
  <c r="N108" i="6"/>
  <c r="N945" i="6"/>
  <c r="AQ999" i="6" a="1"/>
  <c r="AQ999" i="6"/>
  <c r="BM999" i="6"/>
  <c r="AM828" i="6" a="1"/>
  <c r="AM828" i="6"/>
  <c r="AM756" i="6" a="1"/>
  <c r="AM756" i="6"/>
  <c r="AM916" i="6" a="1"/>
  <c r="AM916" i="6"/>
  <c r="AP916" i="6"/>
  <c r="AT916" i="6"/>
  <c r="AM1005" i="6" a="1"/>
  <c r="AM1005" i="6"/>
  <c r="AM706" i="6" a="1"/>
  <c r="AM706" i="6"/>
  <c r="AM981" i="6" a="1"/>
  <c r="AM981" i="6"/>
  <c r="AM188" i="6" a="1"/>
  <c r="AM188" i="6"/>
  <c r="AM244" i="6" a="1"/>
  <c r="AM244" i="6"/>
  <c r="AM132" i="6" a="1"/>
  <c r="AM132" i="6" s="1"/>
  <c r="AM744" i="6" a="1"/>
  <c r="AM744" i="6"/>
  <c r="AP744" i="6" s="1"/>
  <c r="AM698" i="6" a="1"/>
  <c r="AM698" i="6" s="1"/>
  <c r="AM152" i="6" a="1"/>
  <c r="AM152" i="6"/>
  <c r="AM23" i="6" a="1"/>
  <c r="AM23" i="6"/>
  <c r="AM96" i="6" a="1"/>
  <c r="AM96" i="6" s="1"/>
  <c r="AM61" i="6" a="1"/>
  <c r="AM61" i="6"/>
  <c r="AM271" i="6" a="1"/>
  <c r="AM271" i="6"/>
  <c r="AM556" i="6" a="1"/>
  <c r="AM556" i="6" s="1"/>
  <c r="AM423" i="6" a="1"/>
  <c r="AM423" i="6"/>
  <c r="AM456" i="6" a="1"/>
  <c r="AM456" i="6"/>
  <c r="AM529" i="6" a="1"/>
  <c r="AM529" i="6" s="1"/>
  <c r="AM257" i="6" a="1"/>
  <c r="AM257" i="6"/>
  <c r="AM103" i="6" a="1"/>
  <c r="AM103" i="6"/>
  <c r="AM675" i="6" a="1"/>
  <c r="AM675" i="6" s="1"/>
  <c r="AM372" i="6" a="1"/>
  <c r="AM372" i="6"/>
  <c r="AM617" i="6" a="1"/>
  <c r="AM617" i="6"/>
  <c r="AM138" i="6" a="1"/>
  <c r="AM138" i="6" s="1"/>
  <c r="AM362" i="6" a="1"/>
  <c r="AM362" i="6"/>
  <c r="AM819" i="6" a="1"/>
  <c r="AM819" i="6"/>
  <c r="AM312" i="6" a="1"/>
  <c r="AM312" i="6" s="1"/>
  <c r="AM380" i="6" a="1"/>
  <c r="AM380" i="6"/>
  <c r="AM590" i="6" a="1"/>
  <c r="AM590" i="6"/>
  <c r="AM573" i="6" a="1"/>
  <c r="AM573" i="6" s="1"/>
  <c r="AM820" i="6" a="1"/>
  <c r="AM820" i="6"/>
  <c r="AM739" i="6" a="1"/>
  <c r="AM739" i="6"/>
  <c r="AM329" i="6" a="1"/>
  <c r="AM329" i="6" s="1"/>
  <c r="AM57" i="6" a="1"/>
  <c r="AM57" i="6"/>
  <c r="AM691" i="6" a="1"/>
  <c r="AM691" i="6"/>
  <c r="AM319" i="6" a="1"/>
  <c r="AM319" i="6" s="1"/>
  <c r="AM286" i="6" a="1"/>
  <c r="AM286" i="6"/>
  <c r="I14" i="4" a="1"/>
  <c r="I14" i="4" s="1"/>
  <c r="AM430" i="6" a="1"/>
  <c r="AM430" i="6" s="1"/>
  <c r="I119" i="4" a="1"/>
  <c r="I119" i="4"/>
  <c r="I234" i="4" a="1"/>
  <c r="I234" i="4" s="1"/>
  <c r="AM1006" i="6" a="1"/>
  <c r="AM1006" i="6" s="1"/>
  <c r="AM726" i="6" a="1"/>
  <c r="AM726" i="6"/>
  <c r="AM642" i="6" a="1"/>
  <c r="AM642" i="6" s="1"/>
  <c r="AM674" i="6" a="1"/>
  <c r="AM674" i="6" s="1"/>
  <c r="I188" i="4" a="1"/>
  <c r="I188" i="4" s="1"/>
  <c r="I139" i="4" a="1"/>
  <c r="I139" i="4" s="1"/>
  <c r="I90" i="4" a="1"/>
  <c r="I90" i="4" s="1"/>
  <c r="AM997" i="6" a="1"/>
  <c r="AM997" i="6" s="1"/>
  <c r="AQ35" i="6" a="1"/>
  <c r="AQ35" i="6" s="1"/>
  <c r="I76" i="4" a="1"/>
  <c r="I76" i="4" s="1"/>
  <c r="I7" i="4" a="1"/>
  <c r="I7" i="4" s="1"/>
  <c r="AM1012" i="6" a="1"/>
  <c r="AM1012" i="6" s="1"/>
  <c r="I198" i="4" a="1"/>
  <c r="I198" i="4" s="1"/>
  <c r="AQ437" i="6" a="1"/>
  <c r="AQ437" i="6" s="1"/>
  <c r="I72" i="4" a="1"/>
  <c r="I72" i="4" s="1"/>
  <c r="AQ100" i="6" a="1"/>
  <c r="AQ100" i="6" s="1"/>
  <c r="BM100" i="6" s="1"/>
  <c r="I200" i="4" a="1"/>
  <c r="I200" i="4" s="1"/>
  <c r="AQ302" i="6" a="1"/>
  <c r="AQ302" i="6" s="1"/>
  <c r="AQ916" i="6" a="1"/>
  <c r="AQ916" i="6" s="1"/>
  <c r="AM825" i="6" a="1"/>
  <c r="AM825" i="6" s="1"/>
  <c r="AQ974" i="6" a="1"/>
  <c r="AQ974" i="6" s="1"/>
  <c r="BM974" i="6" s="1"/>
  <c r="I247" i="4" a="1"/>
  <c r="I247" i="4" s="1"/>
  <c r="I58" i="4" a="1"/>
  <c r="I58" i="4" s="1"/>
  <c r="AQ846" i="6" a="1"/>
  <c r="AQ846" i="6" s="1"/>
  <c r="I117" i="4" a="1"/>
  <c r="I117" i="4" s="1"/>
  <c r="AM550" i="6" a="1"/>
  <c r="AM550" i="6" s="1"/>
  <c r="AQ183" i="6" a="1"/>
  <c r="AQ183" i="6" s="1"/>
  <c r="AM273" i="6" a="1"/>
  <c r="AM273" i="6" s="1"/>
  <c r="AQ728" i="6" a="1"/>
  <c r="AQ728" i="6" s="1"/>
  <c r="BM728" i="6" s="1"/>
  <c r="AM910" i="6" a="1"/>
  <c r="AM910" i="6" s="1"/>
  <c r="AM894" i="6" a="1"/>
  <c r="AM894" i="6" s="1"/>
  <c r="AQ192" i="6" a="1"/>
  <c r="AQ192" i="6" s="1"/>
  <c r="AQ50" i="6" a="1"/>
  <c r="AQ50" i="6" s="1"/>
  <c r="BF50" i="6" s="1"/>
  <c r="AQ234" i="6" a="1"/>
  <c r="AQ234" i="6" s="1"/>
  <c r="I140" i="4" a="1"/>
  <c r="I140" i="4" s="1"/>
  <c r="AM404" i="6" a="1"/>
  <c r="AM404" i="6" s="1"/>
  <c r="AM793" i="6" a="1"/>
  <c r="AM793" i="6" s="1"/>
  <c r="AM253" i="6" a="1"/>
  <c r="AM253" i="6" s="1"/>
  <c r="AN253" i="6" s="1" a="1"/>
  <c r="AN253" i="6" s="1"/>
  <c r="AM447" i="6" a="1"/>
  <c r="AM447" i="6" s="1"/>
  <c r="AM123" i="6" a="1"/>
  <c r="AM123" i="6" s="1"/>
  <c r="AQ911" i="6" a="1"/>
  <c r="AQ911" i="6" s="1"/>
  <c r="AM694" i="6" a="1"/>
  <c r="AM694" i="6" s="1"/>
  <c r="AP694" i="6" s="1"/>
  <c r="AQ386" i="6" a="1"/>
  <c r="AQ386" i="6" s="1"/>
  <c r="AM515" i="6" a="1"/>
  <c r="AM515" i="6" s="1"/>
  <c r="AP515" i="6" s="1"/>
  <c r="AM67" i="6" a="1"/>
  <c r="AM67" i="6" s="1"/>
  <c r="AM537" i="6" a="1"/>
  <c r="AM537" i="6" s="1"/>
  <c r="AM738" i="6" a="1"/>
  <c r="AM738" i="6" s="1"/>
  <c r="AM482" i="6" a="1"/>
  <c r="AM482" i="6" s="1"/>
  <c r="AM746" i="6" a="1"/>
  <c r="AM746" i="6" s="1"/>
  <c r="AN746" i="6" s="1" a="1"/>
  <c r="AN746" i="6" s="1"/>
  <c r="AQ333" i="6" a="1"/>
  <c r="AQ333" i="6" s="1"/>
  <c r="BM333" i="6" s="1"/>
  <c r="AQ523" i="6" a="1"/>
  <c r="AQ523" i="6" s="1"/>
  <c r="AQ656" i="6" a="1"/>
  <c r="AQ656" i="6" s="1"/>
  <c r="AM333" i="6" a="1"/>
  <c r="AM333" i="6" s="1"/>
  <c r="AM336" i="6" a="1"/>
  <c r="AM336" i="6" s="1"/>
  <c r="AN336" i="6" s="1" a="1"/>
  <c r="AN336" i="6" s="1"/>
  <c r="AM156" i="6" a="1"/>
  <c r="AM156" i="6" s="1"/>
  <c r="AM250" i="6" a="1"/>
  <c r="AM250" i="6" s="1"/>
  <c r="AQ968" i="6" a="1"/>
  <c r="AQ968" i="6" s="1"/>
  <c r="BF968" i="6" s="1"/>
  <c r="AM870" i="6" a="1"/>
  <c r="AM870" i="6" s="1"/>
  <c r="AM905" i="6" a="1"/>
  <c r="AM905" i="6" s="1"/>
  <c r="AN905" i="6" s="1" a="1"/>
  <c r="AN905" i="6" s="1"/>
  <c r="AM978" i="6" a="1"/>
  <c r="AM978" i="6" s="1"/>
  <c r="AN978" i="6" s="1" a="1"/>
  <c r="AN978" i="6" s="1"/>
  <c r="AM949" i="6" a="1"/>
  <c r="AM949" i="6" s="1"/>
  <c r="AM36" i="6" a="1"/>
  <c r="AM36" i="6" s="1"/>
  <c r="AN36" i="6" s="1" a="1"/>
  <c r="AN36" i="6" s="1"/>
  <c r="I174" i="4" a="1"/>
  <c r="I174" i="4" s="1"/>
  <c r="AM944" i="6" a="1"/>
  <c r="AM944" i="6" s="1"/>
  <c r="AN944" i="6" s="1" a="1"/>
  <c r="AN944" i="6" s="1"/>
  <c r="AM763" i="6" a="1"/>
  <c r="AM763" i="6" s="1"/>
  <c r="AN763" i="6" s="1" a="1"/>
  <c r="AN763" i="6" s="1"/>
  <c r="AM603" i="6" a="1"/>
  <c r="AM603" i="6" s="1"/>
  <c r="AN603" i="6" s="1" a="1"/>
  <c r="AN603" i="6" s="1"/>
  <c r="AM838" i="6" a="1"/>
  <c r="AM838" i="6" s="1"/>
  <c r="AM720" i="6" a="1"/>
  <c r="AM720" i="6" s="1"/>
  <c r="AM514" i="6" a="1"/>
  <c r="AM514" i="6" s="1"/>
  <c r="AM1004" i="6" a="1"/>
  <c r="AM1004" i="6" s="1"/>
  <c r="AN1004" i="6" s="1" a="1"/>
  <c r="AN1004" i="6" s="1"/>
  <c r="I137" i="4" a="1"/>
  <c r="I137" i="4" s="1"/>
  <c r="I159" i="4" a="1"/>
  <c r="I159" i="4" s="1"/>
  <c r="K159" i="4" s="1" a="1"/>
  <c r="K159" i="4" s="1"/>
  <c r="I112" i="4" a="1"/>
  <c r="I112" i="4" s="1"/>
  <c r="AM258" i="6" a="1"/>
  <c r="AM258" i="6" s="1"/>
  <c r="AN258" i="6" s="1" a="1"/>
  <c r="AN258" i="6" s="1"/>
  <c r="AQ977" i="6" a="1"/>
  <c r="AQ977" i="6" s="1"/>
  <c r="BF977" i="6" s="1"/>
  <c r="AQ845" i="6" a="1"/>
  <c r="AQ845" i="6" s="1"/>
  <c r="BF845" i="6" s="1"/>
  <c r="AM64" i="6" a="1"/>
  <c r="AM64" i="6" s="1"/>
  <c r="AM80" i="6" a="1"/>
  <c r="AM80" i="6" s="1"/>
  <c r="AN80" i="6" s="1" a="1"/>
  <c r="AN80" i="6" s="1"/>
  <c r="AM276" i="6" a="1"/>
  <c r="AM276" i="6" s="1"/>
  <c r="AN276" i="6" s="1" a="1"/>
  <c r="AN276" i="6" s="1"/>
  <c r="AM1008" i="6" a="1"/>
  <c r="AM1008" i="6" s="1"/>
  <c r="AP1008" i="6" s="1"/>
  <c r="AQ255" i="6" a="1"/>
  <c r="AQ255" i="6" s="1"/>
  <c r="BM255" i="6" s="1"/>
  <c r="AM558" i="6" a="1"/>
  <c r="AM558" i="6" s="1"/>
  <c r="AN558" i="6" s="1" a="1"/>
  <c r="AN558" i="6" s="1"/>
  <c r="AM759" i="6" a="1"/>
  <c r="AM759" i="6" s="1"/>
  <c r="AN759" i="6" s="1" a="1"/>
  <c r="AN759" i="6" s="1"/>
  <c r="AM39" i="6" a="1"/>
  <c r="AM39" i="6" s="1"/>
  <c r="AN39" i="6" s="1" a="1"/>
  <c r="AN39" i="6" s="1"/>
  <c r="I240" i="4" a="1"/>
  <c r="I240" i="4" s="1"/>
  <c r="AY346" i="6" a="1"/>
  <c r="AY346" i="6" s="1"/>
  <c r="BT346" i="6" s="1"/>
  <c r="I19" i="4" a="1"/>
  <c r="I19" i="4" s="1"/>
  <c r="K19" i="4" s="1" a="1"/>
  <c r="K19" i="4" s="1"/>
  <c r="AQ527" i="6" a="1"/>
  <c r="AQ527" i="6" s="1"/>
  <c r="AM118" i="6" a="1"/>
  <c r="AM118" i="6" s="1"/>
  <c r="AM74" i="6" a="1"/>
  <c r="AM74" i="6" s="1"/>
  <c r="AM668" i="6" a="1"/>
  <c r="AM668" i="6" s="1"/>
  <c r="AN668" i="6" s="1" a="1"/>
  <c r="AN668" i="6" s="1"/>
  <c r="AQ125" i="6" a="1"/>
  <c r="AQ125" i="6" s="1"/>
  <c r="BM125" i="6" s="1"/>
  <c r="AQ963" i="6" a="1"/>
  <c r="AQ963" i="6" s="1"/>
  <c r="AQ921" i="6" a="1"/>
  <c r="AQ921" i="6" s="1"/>
  <c r="BM921" i="6" s="1"/>
  <c r="AQ485" i="6" a="1"/>
  <c r="AQ485" i="6" s="1"/>
  <c r="AM347" i="6" a="1"/>
  <c r="AM347" i="6" s="1"/>
  <c r="AP347" i="6" s="1"/>
  <c r="AT347" i="6" s="1"/>
  <c r="AQ689" i="6" a="1"/>
  <c r="AQ689" i="6" s="1"/>
  <c r="BF689" i="6" s="1"/>
  <c r="AQ877" i="6" a="1"/>
  <c r="AQ877" i="6" s="1"/>
  <c r="BM877" i="6" s="1"/>
  <c r="AQ822" i="6" a="1"/>
  <c r="AQ822" i="6" s="1"/>
  <c r="AQ359" i="6" a="1"/>
  <c r="AQ359" i="6" s="1"/>
  <c r="AQ447" i="6" a="1"/>
  <c r="AQ447" i="6" s="1"/>
  <c r="BF447" i="6" s="1"/>
  <c r="AQ558" i="6" a="1"/>
  <c r="AQ558" i="6" s="1"/>
  <c r="BM558" i="6" s="1"/>
  <c r="AQ757" i="6" a="1"/>
  <c r="AQ757" i="6" s="1"/>
  <c r="BM757" i="6" s="1"/>
  <c r="AQ944" i="6" a="1"/>
  <c r="AQ944" i="6" s="1"/>
  <c r="AQ138" i="6" a="1"/>
  <c r="AQ138" i="6" s="1"/>
  <c r="BF138" i="6" s="1"/>
  <c r="AQ438" i="6" a="1"/>
  <c r="AQ438" i="6" s="1"/>
  <c r="AQ678" i="6" a="1"/>
  <c r="AQ678" i="6" s="1"/>
  <c r="AQ924" i="6" a="1"/>
  <c r="AQ924" i="6" s="1"/>
  <c r="BF924" i="6" s="1"/>
  <c r="AQ679" i="6" a="1"/>
  <c r="AQ679" i="6" s="1"/>
  <c r="BM679" i="6" s="1"/>
  <c r="AQ787" i="6" a="1"/>
  <c r="AQ787" i="6" s="1"/>
  <c r="BM787" i="6" s="1"/>
  <c r="AQ282" i="6" a="1"/>
  <c r="AQ282" i="6" s="1"/>
  <c r="BF282" i="6" s="1"/>
  <c r="AM968" i="6" a="1"/>
  <c r="AM968" i="6" s="1"/>
  <c r="AM618" i="6" a="1"/>
  <c r="AM618" i="6" s="1"/>
  <c r="AN618" i="6" s="1" a="1"/>
  <c r="AN618" i="6" s="1"/>
  <c r="AQ184" i="6" a="1"/>
  <c r="AQ184" i="6" s="1"/>
  <c r="BF184" i="6" s="1"/>
  <c r="AQ696" i="6" a="1"/>
  <c r="AQ696" i="6" s="1"/>
  <c r="BM696" i="6" s="1"/>
  <c r="AQ259" i="6" a="1"/>
  <c r="AQ259" i="6" s="1"/>
  <c r="BM259" i="6" s="1"/>
  <c r="AQ824" i="6" a="1"/>
  <c r="AQ824" i="6" s="1"/>
  <c r="BM824" i="6" s="1"/>
  <c r="AQ149" i="6" a="1"/>
  <c r="AQ149" i="6" s="1"/>
  <c r="BM149" i="6" s="1"/>
  <c r="AQ557" i="6" a="1"/>
  <c r="AQ557" i="6" s="1"/>
  <c r="BM557" i="6" s="1"/>
  <c r="AM37" i="6" a="1"/>
  <c r="AM37" i="6" s="1"/>
  <c r="AP37" i="6" s="1"/>
  <c r="AT37" i="6" s="1"/>
  <c r="AM321" i="6" a="1"/>
  <c r="AM321" i="6" s="1"/>
  <c r="AM503" i="6" a="1"/>
  <c r="AM503" i="6" s="1"/>
  <c r="AP503" i="6" s="1"/>
  <c r="AT503" i="6" s="1"/>
  <c r="AM932" i="6" a="1"/>
  <c r="AM932" i="6" s="1"/>
  <c r="AP932" i="6" s="1"/>
  <c r="AT932" i="6" s="1"/>
  <c r="AQ750" i="6" a="1"/>
  <c r="AQ750" i="6" s="1"/>
  <c r="AQ440" i="6" a="1"/>
  <c r="AQ440" i="6" s="1"/>
  <c r="BM440" i="6" s="1"/>
  <c r="AM395" i="6" a="1"/>
  <c r="AM395" i="6" s="1"/>
  <c r="AP395" i="6" s="1"/>
  <c r="AT395" i="6" s="1"/>
  <c r="AM887" i="6" a="1"/>
  <c r="AM887" i="6" s="1"/>
  <c r="AP887" i="6" s="1"/>
  <c r="AT887" i="6" s="1"/>
  <c r="AQ710" i="6" a="1"/>
  <c r="AQ710" i="6" s="1"/>
  <c r="BM710" i="6" s="1"/>
  <c r="AM6" i="6" a="1"/>
  <c r="AM6" i="6" s="1"/>
  <c r="AM34" i="6" a="1"/>
  <c r="AM34" i="6" s="1"/>
  <c r="AP34" i="6" s="1"/>
  <c r="AT34" i="6" s="1"/>
  <c r="AM442" i="6" a="1"/>
  <c r="AM442" i="6" s="1"/>
  <c r="AN442" i="6" s="1" a="1"/>
  <c r="AN442" i="6" s="1"/>
  <c r="AM864" i="6" a="1"/>
  <c r="AM864" i="6" s="1"/>
  <c r="AN864" i="6" s="1" a="1"/>
  <c r="AN864" i="6" s="1"/>
  <c r="AM562" i="6" a="1"/>
  <c r="AM562" i="6" s="1"/>
  <c r="AP562" i="6" s="1"/>
  <c r="AT562" i="6" s="1"/>
  <c r="AM640" i="6" a="1"/>
  <c r="AM640" i="6" s="1"/>
  <c r="AM616" i="6" a="1"/>
  <c r="AM616" i="6" s="1"/>
  <c r="AN616" i="6" s="1" a="1"/>
  <c r="AN616" i="6" s="1"/>
  <c r="AM907" i="6" a="1"/>
  <c r="AM907" i="6" s="1"/>
  <c r="AP907" i="6" s="1"/>
  <c r="AT907" i="6" s="1"/>
  <c r="AM440" i="6" a="1"/>
  <c r="AM440" i="6" s="1"/>
  <c r="AN440" i="6" s="1" a="1"/>
  <c r="AN440" i="6" s="1"/>
  <c r="AM630" i="6" a="1"/>
  <c r="AM630" i="6" s="1"/>
  <c r="AP630" i="6" s="1"/>
  <c r="AT630" i="6" s="1"/>
  <c r="AQ273" i="6" a="1"/>
  <c r="AQ273" i="6" s="1"/>
  <c r="BM273" i="6" s="1"/>
  <c r="AM487" i="6" a="1"/>
  <c r="AM487" i="6" s="1"/>
  <c r="AN487" i="6" s="1" a="1"/>
  <c r="AN487" i="6" s="1"/>
  <c r="AM542" i="6" a="1"/>
  <c r="AM542" i="6" s="1"/>
  <c r="AN542" i="6" s="1" a="1"/>
  <c r="AN542" i="6" s="1"/>
  <c r="AM884" i="6" a="1"/>
  <c r="AM884" i="6" s="1"/>
  <c r="AM795" i="6" a="1"/>
  <c r="AM795" i="6" s="1"/>
  <c r="AN795" i="6" s="1" a="1"/>
  <c r="AN795" i="6" s="1"/>
  <c r="AM341" i="6" a="1"/>
  <c r="AM341" i="6" s="1"/>
  <c r="AP341" i="6" s="1"/>
  <c r="AT341" i="6" s="1"/>
  <c r="AM852" i="6" a="1"/>
  <c r="AM852" i="6" s="1"/>
  <c r="AN852" i="6" s="1" a="1"/>
  <c r="AN852" i="6" s="1"/>
  <c r="AM883" i="6" a="1"/>
  <c r="AM883" i="6" s="1"/>
  <c r="AN883" i="6" s="1" a="1"/>
  <c r="AN883" i="6" s="1"/>
  <c r="AM458" i="6" a="1"/>
  <c r="AM458" i="6" s="1"/>
  <c r="AN458" i="6" s="1" a="1"/>
  <c r="AN458" i="6" s="1"/>
  <c r="AM832" i="6" a="1"/>
  <c r="AM832" i="6" s="1"/>
  <c r="I144" i="4" a="1"/>
  <c r="I144" i="4" s="1"/>
  <c r="AM284" i="6" a="1"/>
  <c r="AM284" i="6" s="1"/>
  <c r="AP284" i="6" s="1"/>
  <c r="AT284" i="6" s="1"/>
  <c r="AM509" i="6" a="1"/>
  <c r="AM509" i="6" s="1"/>
  <c r="AP509" i="6" s="1"/>
  <c r="AT509" i="6" s="1"/>
  <c r="I233" i="4" a="1"/>
  <c r="I233" i="4" s="1"/>
  <c r="J233" i="4" s="1" a="1"/>
  <c r="J233" i="4" s="1"/>
  <c r="I67" i="4" a="1"/>
  <c r="I67" i="4" s="1"/>
  <c r="AM234" i="6" a="1"/>
  <c r="AM234" i="6" s="1"/>
  <c r="AN234" i="6" s="1" a="1"/>
  <c r="AN234" i="6" s="1"/>
  <c r="AM300" i="6" a="1"/>
  <c r="AM300" i="6" s="1"/>
  <c r="AP300" i="6" s="1"/>
  <c r="AT300" i="6" s="1"/>
  <c r="AQ422" i="6" a="1"/>
  <c r="AQ422" i="6" s="1"/>
  <c r="AM83" i="6" a="1"/>
  <c r="AM83" i="6" s="1"/>
  <c r="AN83" i="6" s="1" a="1"/>
  <c r="AN83" i="6" s="1"/>
  <c r="AM613" i="6" a="1"/>
  <c r="AM613" i="6" s="1"/>
  <c r="AP613" i="6" s="1"/>
  <c r="AT613" i="6" s="1"/>
  <c r="AM85" i="6" a="1"/>
  <c r="AM85" i="6" s="1"/>
  <c r="AN85" i="6" s="1" a="1"/>
  <c r="AN85" i="6" s="1"/>
  <c r="AM438" i="6" a="1"/>
  <c r="AM438" i="6" s="1"/>
  <c r="AP438" i="6" s="1"/>
  <c r="AT438" i="6" s="1"/>
  <c r="AQ314" i="6" a="1"/>
  <c r="AQ314" i="6" s="1"/>
  <c r="BM314" i="6" s="1"/>
  <c r="AM508" i="6" a="1"/>
  <c r="AM508" i="6" s="1"/>
  <c r="AP508" i="6" s="1"/>
  <c r="AT508" i="6" s="1"/>
  <c r="AM711" i="6" a="1"/>
  <c r="AM711" i="6" s="1"/>
  <c r="AN711" i="6" s="1" a="1"/>
  <c r="AN711" i="6" s="1"/>
  <c r="AM904" i="6" a="1"/>
  <c r="AM904" i="6" s="1"/>
  <c r="AP904" i="6" s="1"/>
  <c r="AT904" i="6" s="1"/>
  <c r="AM46" i="6" a="1"/>
  <c r="AM46" i="6" s="1"/>
  <c r="AQ66" i="6" a="1"/>
  <c r="AQ66" i="6" s="1"/>
  <c r="AM641" i="6" a="1"/>
  <c r="AM641" i="6" s="1"/>
  <c r="AP641" i="6" s="1"/>
  <c r="AT641" i="6" s="1"/>
  <c r="AQ336" i="6" a="1"/>
  <c r="AQ336" i="6" s="1"/>
  <c r="BM336" i="6" s="1"/>
  <c r="AM236" i="6" a="1"/>
  <c r="AM236" i="6" s="1"/>
  <c r="AN236" i="6" s="1" a="1"/>
  <c r="AN236" i="6" s="1"/>
  <c r="AM748" i="6" a="1"/>
  <c r="AM748" i="6" s="1"/>
  <c r="AP748" i="6" s="1"/>
  <c r="AT748" i="6" s="1"/>
  <c r="AM291" i="6" a="1"/>
  <c r="AM291" i="6" s="1"/>
  <c r="AM158" i="6" a="1"/>
  <c r="AM158" i="6" s="1"/>
  <c r="AP158" i="6" s="1"/>
  <c r="AT158" i="6" s="1"/>
  <c r="AY815" i="6" a="1"/>
  <c r="AY815" i="6" s="1"/>
  <c r="AQ473" i="6" a="1"/>
  <c r="AQ473" i="6" s="1"/>
  <c r="BM473" i="6" s="1"/>
  <c r="AQ486" i="6" a="1"/>
  <c r="AQ486" i="6" s="1"/>
  <c r="AQ722" i="6" a="1"/>
  <c r="AQ722" i="6" s="1"/>
  <c r="BM722" i="6" s="1"/>
  <c r="AM912" i="6" a="1"/>
  <c r="AM912" i="6" s="1"/>
  <c r="AN912" i="6" s="1" a="1"/>
  <c r="AN912" i="6" s="1"/>
  <c r="AM574" i="6" a="1"/>
  <c r="AM574" i="6" s="1"/>
  <c r="AY180" i="6" a="1"/>
  <c r="AY180" i="6" s="1"/>
  <c r="BT180" i="6" s="1"/>
  <c r="AM129" i="6" a="1"/>
  <c r="AM129" i="6" s="1"/>
  <c r="AY38" i="6" a="1"/>
  <c r="AY38" i="6" s="1"/>
  <c r="AM474" i="6" a="1"/>
  <c r="AM474" i="6" s="1"/>
  <c r="AN474" i="6" s="1" a="1"/>
  <c r="AN474" i="6" s="1"/>
  <c r="AM50" i="6" a="1"/>
  <c r="AM50" i="6" s="1"/>
  <c r="AM614" i="6" a="1"/>
  <c r="AM614" i="6" s="1"/>
  <c r="AQ337" i="6" a="1"/>
  <c r="AQ337" i="6" s="1"/>
  <c r="AM700" i="6" a="1"/>
  <c r="AM700" i="6" s="1"/>
  <c r="AY476" i="6" a="1"/>
  <c r="AY476" i="6" s="1"/>
  <c r="BZ476" i="6" s="1"/>
  <c r="AM665" i="6" a="1"/>
  <c r="AM665" i="6" s="1"/>
  <c r="AN665" i="6" s="1" a="1"/>
  <c r="AN665" i="6" s="1"/>
  <c r="AM685" i="6" a="1"/>
  <c r="AM685" i="6" s="1"/>
  <c r="AN685" i="6" s="1" a="1"/>
  <c r="AN685" i="6" s="1"/>
  <c r="AM628" i="6" a="1"/>
  <c r="AM628" i="6" s="1"/>
  <c r="AQ667" i="6" a="1"/>
  <c r="AQ667" i="6" s="1"/>
  <c r="BF667" i="6" s="1"/>
  <c r="AM702" i="6" a="1"/>
  <c r="AM702" i="6" s="1"/>
  <c r="AN702" i="6" s="1" a="1"/>
  <c r="AN702" i="6" s="1"/>
  <c r="AM227" i="6" a="1"/>
  <c r="AM227" i="6" s="1"/>
  <c r="AM385" i="6" a="1"/>
  <c r="AM385" i="6" s="1"/>
  <c r="AN385" i="6" s="1" a="1"/>
  <c r="AN385" i="6" s="1"/>
  <c r="AM867" i="6" a="1"/>
  <c r="AM867" i="6" s="1"/>
  <c r="AP867" i="6" s="1"/>
  <c r="AT867" i="6" s="1"/>
  <c r="AM551" i="6" a="1"/>
  <c r="AM551" i="6" s="1"/>
  <c r="AQ808" i="6" a="1"/>
  <c r="AQ808" i="6" s="1"/>
  <c r="BM808" i="6" s="1"/>
  <c r="I218" i="4" a="1"/>
  <c r="I218" i="4" s="1"/>
  <c r="AU996" i="6" s="1"/>
  <c r="AX996" i="6" s="1"/>
  <c r="AY905" i="6" a="1"/>
  <c r="AY905" i="6" s="1"/>
  <c r="AM853" i="6" a="1"/>
  <c r="AM853" i="6" s="1"/>
  <c r="AP853" i="6" s="1"/>
  <c r="AT853" i="6" s="1"/>
  <c r="AM531" i="6" a="1"/>
  <c r="AM531" i="6" s="1"/>
  <c r="AP531" i="6" s="1"/>
  <c r="AT531" i="6" s="1"/>
  <c r="AM855" i="6" a="1"/>
  <c r="AM855" i="6" s="1"/>
  <c r="AP855" i="6" s="1"/>
  <c r="AT855" i="6" s="1"/>
  <c r="AQ572" i="6" a="1"/>
  <c r="AQ572" i="6" s="1"/>
  <c r="BF572" i="6" s="1"/>
  <c r="AM585" i="6" a="1"/>
  <c r="AM585" i="6" s="1"/>
  <c r="AP585" i="6" s="1"/>
  <c r="AT585" i="6" s="1"/>
  <c r="AM143" i="6" a="1"/>
  <c r="AM143" i="6" s="1"/>
  <c r="AP143" i="6" s="1"/>
  <c r="AT143" i="6" s="1"/>
  <c r="AM195" i="6" a="1"/>
  <c r="AM195" i="6" s="1"/>
  <c r="AP195" i="6" s="1"/>
  <c r="AT195" i="6" s="1"/>
  <c r="AM933" i="6" a="1"/>
  <c r="AM933" i="6" s="1"/>
  <c r="AN933" i="6" s="1" a="1"/>
  <c r="AN933" i="6" s="1"/>
  <c r="AM843" i="6" a="1"/>
  <c r="AM843" i="6" s="1"/>
  <c r="AM102" i="6" a="1"/>
  <c r="AM102" i="6" s="1"/>
  <c r="AM278" i="6" a="1"/>
  <c r="AM278" i="6" s="1"/>
  <c r="AM363" i="6" a="1"/>
  <c r="AM363" i="6" s="1"/>
  <c r="AP363" i="6" s="1"/>
  <c r="AT363" i="6" s="1"/>
  <c r="AM485" i="6" a="1"/>
  <c r="AM485" i="6" s="1"/>
  <c r="AN485" i="6" s="1" a="1"/>
  <c r="AN485" i="6" s="1"/>
  <c r="AM563" i="6" a="1"/>
  <c r="AM563" i="6" s="1"/>
  <c r="AP563" i="6" s="1"/>
  <c r="AT563" i="6" s="1"/>
  <c r="AY883" i="6" a="1"/>
  <c r="AY883" i="6" s="1"/>
  <c r="AM1024" i="6" a="1"/>
  <c r="AM1024" i="6" s="1"/>
  <c r="AM489" i="6" a="1"/>
  <c r="AM489" i="6" s="1"/>
  <c r="AM135" i="6" a="1"/>
  <c r="AM135" i="6" s="1"/>
  <c r="AP135" i="6" s="1"/>
  <c r="AT135" i="6" s="1"/>
  <c r="AM516" i="6" a="1"/>
  <c r="AM516" i="6" s="1"/>
  <c r="AP516" i="6" s="1"/>
  <c r="AT516" i="6" s="1"/>
  <c r="AM800" i="6" a="1"/>
  <c r="AM800" i="6" s="1"/>
  <c r="AM7" i="6" a="1"/>
  <c r="AM7" i="6" s="1"/>
  <c r="AN7" i="6" s="1" a="1"/>
  <c r="AN7" i="6" s="1"/>
  <c r="AM809" i="6" a="1"/>
  <c r="AM809" i="6" s="1"/>
  <c r="AN809" i="6" s="1" a="1"/>
  <c r="AN809" i="6" s="1"/>
  <c r="AM360" i="6" a="1"/>
  <c r="AM360" i="6" s="1"/>
  <c r="AM602" i="6" a="1"/>
  <c r="AM602" i="6" s="1"/>
  <c r="AN602" i="6" s="1" a="1"/>
  <c r="AN602" i="6" s="1"/>
  <c r="AM402" i="6" a="1"/>
  <c r="AM402" i="6" s="1"/>
  <c r="AP402" i="6" s="1"/>
  <c r="AT402" i="6" s="1"/>
  <c r="AM204" i="6" a="1"/>
  <c r="AM204" i="6" s="1"/>
  <c r="AN204" i="6" s="1" a="1"/>
  <c r="AN204" i="6" s="1"/>
  <c r="AM989" i="6" a="1"/>
  <c r="AM989" i="6" s="1"/>
  <c r="AM309" i="6" a="1"/>
  <c r="AM309" i="6" s="1"/>
  <c r="AM59" i="6" a="1"/>
  <c r="AM59" i="6" s="1"/>
  <c r="AN59" i="6" s="1" a="1"/>
  <c r="AN59" i="6" s="1"/>
  <c r="AM566" i="6" a="1"/>
  <c r="AM566" i="6" s="1"/>
  <c r="AN566" i="6" s="1" a="1"/>
  <c r="AN566" i="6" s="1"/>
  <c r="AM842" i="6" a="1"/>
  <c r="AM842" i="6" s="1"/>
  <c r="AM451" i="6" a="1"/>
  <c r="AM451" i="6" s="1"/>
  <c r="AP451" i="6" s="1"/>
  <c r="AT451" i="6" s="1"/>
  <c r="AM801" i="6" a="1"/>
  <c r="AM801" i="6" s="1"/>
  <c r="AN801" i="6" s="1" a="1"/>
  <c r="AN801" i="6" s="1"/>
  <c r="AM175" i="6" a="1"/>
  <c r="AM175" i="6" s="1"/>
  <c r="AP175" i="6" s="1"/>
  <c r="AT175" i="6" s="1"/>
  <c r="AM207" i="6" a="1"/>
  <c r="AM207" i="6" s="1"/>
  <c r="AY695" i="6" a="1"/>
  <c r="AY695" i="6" s="1"/>
  <c r="AM970" i="6" a="1"/>
  <c r="AM970" i="6" s="1"/>
  <c r="AM817" i="6" a="1"/>
  <c r="AM817" i="6" s="1"/>
  <c r="AN817" i="6" s="1" a="1"/>
  <c r="AN817" i="6" s="1"/>
  <c r="AM873" i="6" a="1"/>
  <c r="AM873" i="6" s="1"/>
  <c r="AN873" i="6" s="1" a="1"/>
  <c r="AN873" i="6" s="1"/>
  <c r="I186" i="4" a="1"/>
  <c r="I186" i="4" s="1"/>
  <c r="AU1021" i="6" s="1"/>
  <c r="AX1021" i="6" s="1"/>
  <c r="AM579" i="6" a="1"/>
  <c r="AM579" i="6" s="1"/>
  <c r="AP579" i="6" s="1"/>
  <c r="AT579" i="6" s="1"/>
  <c r="AM826" i="6" a="1"/>
  <c r="AM826" i="6" s="1"/>
  <c r="AP826" i="6" s="1"/>
  <c r="AT826" i="6" s="1"/>
  <c r="AM266" i="6" a="1"/>
  <c r="AM266" i="6" s="1"/>
  <c r="AN266" i="6" s="1" a="1"/>
  <c r="AN266" i="6" s="1"/>
  <c r="AM109" i="6" a="1"/>
  <c r="AM109" i="6" s="1"/>
  <c r="AP109" i="6" s="1"/>
  <c r="AT109" i="6" s="1"/>
  <c r="AM488" i="6" a="1"/>
  <c r="AM488" i="6" s="1"/>
  <c r="AN488" i="6" s="1" a="1"/>
  <c r="AN488" i="6" s="1"/>
  <c r="AM461" i="6" a="1"/>
  <c r="AM461" i="6" s="1"/>
  <c r="AP461" i="6" s="1"/>
  <c r="AT461" i="6" s="1"/>
  <c r="AM421" i="6" a="1"/>
  <c r="AM421" i="6" s="1"/>
  <c r="AY855" i="6" a="1"/>
  <c r="AY855" i="6" s="1"/>
  <c r="AM860" i="6" a="1"/>
  <c r="AM860" i="6" s="1"/>
  <c r="AP860" i="6" s="1"/>
  <c r="AT860" i="6" s="1"/>
  <c r="AM133" i="6" a="1"/>
  <c r="AM133" i="6" s="1"/>
  <c r="AN133" i="6" s="1" a="1"/>
  <c r="AN133" i="6" s="1"/>
  <c r="AM216" i="6" a="1"/>
  <c r="AM216" i="6" s="1"/>
  <c r="I50" i="4" a="1"/>
  <c r="I50" i="4" s="1"/>
  <c r="J50" i="4" s="1" a="1"/>
  <c r="J50" i="4" s="1"/>
  <c r="AV1020" i="6" s="1"/>
  <c r="AM339" i="6" a="1"/>
  <c r="AM339" i="6" s="1"/>
  <c r="AM413" i="6" a="1"/>
  <c r="AM413" i="6" s="1"/>
  <c r="AN413" i="6" s="1" a="1"/>
  <c r="AN413" i="6" s="1"/>
  <c r="AM929" i="6" a="1"/>
  <c r="AM929" i="6" s="1"/>
  <c r="AM279" i="6" a="1"/>
  <c r="AM279" i="6" s="1"/>
  <c r="AM649" i="6" a="1"/>
  <c r="AM649" i="6" s="1"/>
  <c r="AP649" i="6" s="1"/>
  <c r="AM327" i="6" a="1"/>
  <c r="AM327" i="6" s="1"/>
  <c r="AM224" i="6" a="1"/>
  <c r="AM224" i="6" s="1"/>
  <c r="AP224" i="6" s="1"/>
  <c r="AT224" i="6" s="1"/>
  <c r="AM91" i="6" a="1"/>
  <c r="AM91" i="6" s="1"/>
  <c r="AM861" i="6" a="1"/>
  <c r="AM861" i="6" s="1"/>
  <c r="AM775" i="6" a="1"/>
  <c r="AM775" i="6" s="1"/>
  <c r="AM105" i="6" a="1"/>
  <c r="AM105" i="6" s="1"/>
  <c r="AP105" i="6" s="1"/>
  <c r="AT105" i="6" s="1"/>
  <c r="AQ907" i="6" a="1"/>
  <c r="AQ907" i="6" s="1"/>
  <c r="AM277" i="6" a="1"/>
  <c r="AM277" i="6" s="1"/>
  <c r="AM146" i="6" a="1"/>
  <c r="AM146" i="6" s="1"/>
  <c r="AN146" i="6" s="1" a="1"/>
  <c r="AN146" i="6" s="1"/>
  <c r="AM760" i="6" a="1"/>
  <c r="AM760" i="6" s="1"/>
  <c r="AM1013" i="6" a="1"/>
  <c r="AM1013" i="6" s="1"/>
  <c r="AP1013" i="6" s="1"/>
  <c r="AM973" i="6" a="1"/>
  <c r="AM973" i="6" s="1"/>
  <c r="AP973" i="6" s="1"/>
  <c r="AT973" i="6" s="1"/>
  <c r="AM701" i="6" a="1"/>
  <c r="AM701" i="6" s="1"/>
  <c r="AP701" i="6" s="1"/>
  <c r="AT701" i="6" s="1"/>
  <c r="AM11" i="6" a="1"/>
  <c r="AM11" i="6" s="1"/>
  <c r="AP11" i="6" s="1"/>
  <c r="AT11" i="6" s="1"/>
  <c r="AM110" i="6" a="1"/>
  <c r="AM110" i="6" s="1"/>
  <c r="AP110" i="6" s="1"/>
  <c r="AT110" i="6" s="1"/>
  <c r="AM71" i="6" a="1"/>
  <c r="AM71" i="6" s="1"/>
  <c r="AM501" i="6" a="1"/>
  <c r="AM501" i="6" s="1"/>
  <c r="AN501" i="6" s="1" a="1"/>
  <c r="AN501" i="6" s="1"/>
  <c r="AQ684" i="6" a="1"/>
  <c r="AQ684" i="6" s="1"/>
  <c r="BM684" i="6" s="1"/>
  <c r="AM684" i="6" a="1"/>
  <c r="AM684" i="6" s="1"/>
  <c r="AP684" i="6" s="1"/>
  <c r="AT684" i="6" s="1"/>
  <c r="AM646" i="6" a="1"/>
  <c r="AM646" i="6" s="1"/>
  <c r="AN646" i="6" s="1" a="1"/>
  <c r="AN646" i="6" s="1"/>
  <c r="AM624" i="6" a="1"/>
  <c r="AM624" i="6" s="1"/>
  <c r="AP624" i="6" s="1"/>
  <c r="AT624" i="6" s="1"/>
  <c r="AM983" i="6" a="1"/>
  <c r="AM983" i="6" s="1"/>
  <c r="AM211" i="6" a="1"/>
  <c r="AM211" i="6" s="1"/>
  <c r="AN211" i="6" s="1" a="1"/>
  <c r="AN211" i="6" s="1"/>
  <c r="AM823" i="6" a="1"/>
  <c r="AM823" i="6" s="1"/>
  <c r="AP823" i="6" s="1"/>
  <c r="AT823" i="6" s="1"/>
  <c r="AM659" i="6" a="1"/>
  <c r="AM659" i="6" s="1"/>
  <c r="AN659" i="6" s="1" a="1"/>
  <c r="AN659" i="6" s="1"/>
  <c r="AM736" i="6" a="1"/>
  <c r="AM736" i="6" s="1"/>
  <c r="AP736" i="6" s="1"/>
  <c r="AT736" i="6" s="1"/>
  <c r="AQ129" i="6" a="1"/>
  <c r="AQ129" i="6" s="1"/>
  <c r="BM129" i="6" s="1"/>
  <c r="AM951" i="6" a="1"/>
  <c r="AM951" i="6" s="1"/>
  <c r="AN951" i="6" s="1" a="1"/>
  <c r="AN951" i="6" s="1"/>
  <c r="AM418" i="6" a="1"/>
  <c r="AM418" i="6" s="1"/>
  <c r="AM149" i="6" a="1"/>
  <c r="AM149" i="6" s="1"/>
  <c r="AP149" i="6" s="1"/>
  <c r="AT149" i="6" s="1"/>
  <c r="AQ501" i="6" a="1"/>
  <c r="AQ501" i="6" s="1"/>
  <c r="BF501" i="6" s="1"/>
  <c r="AM787" i="6" a="1"/>
  <c r="AM787" i="6" s="1"/>
  <c r="AN787" i="6" s="1" a="1"/>
  <c r="AN787" i="6" s="1"/>
  <c r="AM733" i="6" a="1"/>
  <c r="AM733" i="6" s="1"/>
  <c r="AP733" i="6" s="1"/>
  <c r="AT733" i="6" s="1"/>
  <c r="AM791" i="6" a="1"/>
  <c r="AM791" i="6" s="1"/>
  <c r="AN791" i="6" s="1" a="1"/>
  <c r="AN791" i="6" s="1"/>
  <c r="AM210" i="6" a="1"/>
  <c r="AM210" i="6" s="1"/>
  <c r="AN210" i="6" s="1" a="1"/>
  <c r="AN210" i="6" s="1"/>
  <c r="AM288" i="6" a="1"/>
  <c r="AM288" i="6" s="1"/>
  <c r="AP288" i="6" s="1"/>
  <c r="AT288" i="6" s="1"/>
  <c r="AM356" i="6" a="1"/>
  <c r="AM356" i="6" s="1"/>
  <c r="AP356" i="6" s="1"/>
  <c r="AT356" i="6" s="1"/>
  <c r="AM704" i="6" a="1"/>
  <c r="AM704" i="6" s="1"/>
  <c r="AP704" i="6" s="1"/>
  <c r="AT704" i="6" s="1"/>
  <c r="AM854" i="6" a="1"/>
  <c r="AM854" i="6" s="1"/>
  <c r="AP854" i="6" s="1"/>
  <c r="AT854" i="6" s="1"/>
  <c r="AQ839" i="6" a="1"/>
  <c r="AQ839" i="6" s="1"/>
  <c r="BF839" i="6" s="1"/>
  <c r="AM906" i="6" a="1"/>
  <c r="AM906" i="6" s="1"/>
  <c r="AP906" i="6" s="1"/>
  <c r="AT906" i="6" s="1"/>
  <c r="AM445" i="6" a="1"/>
  <c r="AM445" i="6" s="1"/>
  <c r="AP445" i="6" s="1"/>
  <c r="AT445" i="6" s="1"/>
  <c r="AM420" i="6" a="1"/>
  <c r="AM420" i="6" s="1"/>
  <c r="AN420" i="6" s="1" a="1"/>
  <c r="AN420" i="6" s="1"/>
  <c r="AM264" i="6" a="1"/>
  <c r="AM264" i="6" s="1"/>
  <c r="AP264" i="6" s="1"/>
  <c r="AT264" i="6" s="1"/>
  <c r="AM942" i="6" a="1"/>
  <c r="AM942" i="6" s="1"/>
  <c r="AN942" i="6" s="1" a="1"/>
  <c r="AN942" i="6" s="1"/>
  <c r="AM811" i="6" a="1"/>
  <c r="AM811" i="6" s="1"/>
  <c r="AP811" i="6" s="1"/>
  <c r="AT811" i="6" s="1"/>
  <c r="AQ831" i="6" a="1"/>
  <c r="AQ831" i="6" s="1"/>
  <c r="BM831" i="6" s="1"/>
  <c r="AY639" i="6" a="1"/>
  <c r="AY639" i="6" s="1"/>
  <c r="AQ918" i="6" a="1"/>
  <c r="AQ918" i="6" s="1"/>
  <c r="BM918" i="6" s="1"/>
  <c r="AM377" i="6" a="1"/>
  <c r="AM377" i="6" s="1"/>
  <c r="AP377" i="6" s="1"/>
  <c r="AT377" i="6" s="1"/>
  <c r="AM948" i="6" a="1"/>
  <c r="AM948" i="6" s="1"/>
  <c r="AM405" i="6" a="1"/>
  <c r="AM405" i="6" s="1"/>
  <c r="AM376" i="6" a="1"/>
  <c r="AM376" i="6" s="1"/>
  <c r="AP376" i="6" s="1"/>
  <c r="AT376" i="6" s="1"/>
  <c r="AM725" i="6" a="1"/>
  <c r="AM725" i="6" s="1"/>
  <c r="AQ343" i="6" a="1"/>
  <c r="AQ343" i="6" s="1"/>
  <c r="BM343" i="6" s="1"/>
  <c r="AM141" i="6" a="1"/>
  <c r="AM141" i="6" s="1"/>
  <c r="AP141" i="6" s="1"/>
  <c r="AT141" i="6" s="1"/>
  <c r="AQ680" i="6" a="1"/>
  <c r="AQ680" i="6" s="1"/>
  <c r="BF680" i="6" s="1"/>
  <c r="AM984" i="6" a="1"/>
  <c r="AM984" i="6" s="1"/>
  <c r="AM75" i="6" a="1"/>
  <c r="AM75" i="6" s="1"/>
  <c r="AP75" i="6" s="1"/>
  <c r="AT75" i="6" s="1"/>
  <c r="AM821" i="6" a="1"/>
  <c r="AM821" i="6" s="1"/>
  <c r="AM548" i="6" a="1"/>
  <c r="AM548" i="6" s="1"/>
  <c r="AP548" i="6" s="1"/>
  <c r="AT548" i="6" s="1"/>
  <c r="AY265" i="6" a="1"/>
  <c r="AY265" i="6" s="1"/>
  <c r="AQ857" i="6" a="1"/>
  <c r="AQ857" i="6" s="1"/>
  <c r="BM857" i="6" s="1"/>
  <c r="AQ979" i="6" a="1"/>
  <c r="AQ979" i="6" s="1"/>
  <c r="BM979" i="6" s="1"/>
  <c r="AY95" i="6" a="1"/>
  <c r="AY95" i="6" s="1"/>
  <c r="BZ95" i="6" s="1"/>
  <c r="AM379" i="6" a="1"/>
  <c r="AM379" i="6" s="1"/>
  <c r="AP379" i="6" s="1"/>
  <c r="AT379" i="6" s="1"/>
  <c r="AM497" i="6" a="1"/>
  <c r="AM497" i="6" s="1"/>
  <c r="AN497" i="6" s="1" a="1"/>
  <c r="AN497" i="6" s="1"/>
  <c r="AM214" i="6" a="1"/>
  <c r="AM214" i="6" s="1"/>
  <c r="AM888" i="6" a="1"/>
  <c r="AM888" i="6" s="1"/>
  <c r="AN888" i="6" s="1" a="1"/>
  <c r="AN888" i="6" s="1"/>
  <c r="AQ759" i="6" a="1"/>
  <c r="AQ759" i="6" s="1"/>
  <c r="BF759" i="6" s="1"/>
  <c r="AM745" i="6" a="1"/>
  <c r="AM745" i="6" s="1"/>
  <c r="AN745" i="6" s="1" a="1"/>
  <c r="AN745" i="6" s="1"/>
  <c r="AM173" i="6" a="1"/>
  <c r="AM173" i="6" s="1"/>
  <c r="AP173" i="6" s="1"/>
  <c r="AT173" i="6" s="1"/>
  <c r="AQ145" i="6" a="1"/>
  <c r="AQ145" i="6" s="1"/>
  <c r="BM145" i="6" s="1"/>
  <c r="AM56" i="6" a="1"/>
  <c r="AM56" i="6" s="1"/>
  <c r="AN56" i="6" s="1" a="1"/>
  <c r="AN56" i="6" s="1"/>
  <c r="AM190" i="6" a="1"/>
  <c r="AM190" i="6" s="1"/>
  <c r="AM335" i="6" a="1"/>
  <c r="AM335" i="6" s="1"/>
  <c r="AN335" i="6" s="1" a="1"/>
  <c r="AN335" i="6" s="1"/>
  <c r="AM184" i="6" a="1"/>
  <c r="AM184" i="6" s="1"/>
  <c r="AN184" i="6" s="1" a="1"/>
  <c r="AN184" i="6" s="1"/>
  <c r="AM772" i="6" a="1"/>
  <c r="AM772" i="6" s="1"/>
  <c r="AN772" i="6" s="1" a="1"/>
  <c r="AN772" i="6" s="1"/>
  <c r="AM255" i="6" a="1"/>
  <c r="AM255" i="6" s="1"/>
  <c r="AP255" i="6" s="1"/>
  <c r="AT255" i="6" s="1"/>
  <c r="AQ304" i="6" a="1"/>
  <c r="AQ304" i="6" s="1"/>
  <c r="BF304" i="6" s="1"/>
  <c r="AM491" i="6" a="1"/>
  <c r="AM491" i="6" s="1"/>
  <c r="AP491" i="6" s="1"/>
  <c r="AT491" i="6" s="1"/>
  <c r="AM137" i="6" a="1"/>
  <c r="AM137" i="6" s="1"/>
  <c r="AN137" i="6" s="1" a="1"/>
  <c r="AN137" i="6" s="1"/>
  <c r="AM505" i="6" a="1"/>
  <c r="AM505" i="6" s="1"/>
  <c r="AN505" i="6" s="1" a="1"/>
  <c r="AN505" i="6" s="1"/>
  <c r="AM677" i="6" a="1"/>
  <c r="AM677" i="6" s="1"/>
  <c r="AP677" i="6" s="1"/>
  <c r="AT677" i="6" s="1"/>
  <c r="AQ754" i="6" a="1"/>
  <c r="AQ754" i="6" s="1"/>
  <c r="BM754" i="6" s="1"/>
  <c r="AM954" i="6" a="1"/>
  <c r="AM954" i="6" s="1"/>
  <c r="AP954" i="6" s="1"/>
  <c r="AT954" i="6" s="1"/>
  <c r="AM29" i="6" a="1"/>
  <c r="AM29" i="6" s="1"/>
  <c r="AP29" i="6" s="1"/>
  <c r="AT29" i="6" s="1"/>
  <c r="AM282" i="6" a="1"/>
  <c r="AM282" i="6" s="1"/>
  <c r="AP282" i="6" s="1"/>
  <c r="AT282" i="6" s="1"/>
  <c r="AM82" i="6" a="1"/>
  <c r="AM82" i="6" s="1"/>
  <c r="AN82" i="6" s="1" a="1"/>
  <c r="AN82" i="6" s="1"/>
  <c r="AM167" i="6" a="1"/>
  <c r="AM167" i="6" s="1"/>
  <c r="AN167" i="6" s="1" a="1"/>
  <c r="AN167" i="6" s="1"/>
  <c r="AM134" i="6" a="1"/>
  <c r="AM134" i="6" s="1"/>
  <c r="AN134" i="6" s="1" a="1"/>
  <c r="AN134" i="6" s="1"/>
  <c r="AM410" i="6" a="1"/>
  <c r="AM410" i="6" s="1"/>
  <c r="AQ923" i="6" a="1"/>
  <c r="AQ923" i="6" s="1"/>
  <c r="BM923" i="6" s="1"/>
  <c r="AM777" i="6" a="1"/>
  <c r="AM777" i="6" s="1"/>
  <c r="AN777" i="6" s="1" a="1"/>
  <c r="AN777" i="6" s="1"/>
  <c r="AY831" i="6" a="1"/>
  <c r="AY831" i="6" s="1"/>
  <c r="AM194" i="6" a="1"/>
  <c r="AM194" i="6" s="1"/>
  <c r="AN194" i="6" s="1" a="1"/>
  <c r="AN194" i="6" s="1"/>
  <c r="AM439" i="6" a="1"/>
  <c r="AM439" i="6" s="1"/>
  <c r="AM669" i="6" a="1"/>
  <c r="AM669" i="6" s="1"/>
  <c r="AP669" i="6" s="1"/>
  <c r="AT669" i="6" s="1"/>
  <c r="AM1020" i="6" a="1"/>
  <c r="AM1020" i="6" s="1"/>
  <c r="AM393" i="6" a="1"/>
  <c r="AM393" i="6" s="1"/>
  <c r="AM518" i="6" a="1"/>
  <c r="AM518" i="6" s="1"/>
  <c r="AP518" i="6" s="1"/>
  <c r="AT518" i="6" s="1"/>
  <c r="AM466" i="6" a="1"/>
  <c r="AM466" i="6" s="1"/>
  <c r="AM658" i="6" a="1"/>
  <c r="AM658" i="6" s="1"/>
  <c r="AN658" i="6" s="1" a="1"/>
  <c r="AN658" i="6" s="1"/>
  <c r="AM473" i="6" a="1"/>
  <c r="AM473" i="6" s="1"/>
  <c r="AM541" i="6" a="1"/>
  <c r="AM541" i="6" s="1"/>
  <c r="AM540" i="6" a="1"/>
  <c r="AM540" i="6" s="1"/>
  <c r="AM460" i="6" a="1"/>
  <c r="AM460" i="6" s="1"/>
  <c r="AP460" i="6" s="1"/>
  <c r="AT460" i="6" s="1"/>
  <c r="AM119" i="6" a="1"/>
  <c r="AM119" i="6" s="1"/>
  <c r="AM233" i="6" a="1"/>
  <c r="AM233" i="6" s="1"/>
  <c r="AP233" i="6" s="1"/>
  <c r="AT233" i="6" s="1"/>
  <c r="AM724" i="6" a="1"/>
  <c r="AM724" i="6" s="1"/>
  <c r="AM371" i="6" a="1"/>
  <c r="AM371" i="6" s="1"/>
  <c r="AM781" i="6" a="1"/>
  <c r="AM781" i="6" s="1"/>
  <c r="AP781" i="6" s="1"/>
  <c r="AT781" i="6" s="1"/>
  <c r="AM107" i="6" a="1"/>
  <c r="AM107" i="6" s="1"/>
  <c r="AP107" i="6" s="1"/>
  <c r="AT107" i="6" s="1"/>
  <c r="AY155" i="6" a="1"/>
  <c r="AY155" i="6" s="1"/>
  <c r="BZ155" i="6" s="1"/>
  <c r="AQ768" i="6" a="1"/>
  <c r="AQ768" i="6" s="1"/>
  <c r="AQ903" i="6" a="1"/>
  <c r="AQ903" i="6" s="1"/>
  <c r="BM903" i="6" s="1"/>
  <c r="AM598" i="6" a="1"/>
  <c r="AM598" i="6" s="1"/>
  <c r="I246" i="4" a="1"/>
  <c r="I246" i="4" s="1"/>
  <c r="J246" i="4" s="1" a="1"/>
  <c r="J246" i="4" s="1"/>
  <c r="AV1001" i="6" s="1"/>
  <c r="AM858" i="6" a="1"/>
  <c r="AM858" i="6" s="1"/>
  <c r="AN858" i="6" s="1" a="1"/>
  <c r="AN858" i="6" s="1"/>
  <c r="AM909" i="6" a="1"/>
  <c r="AM909" i="6" s="1"/>
  <c r="AN909" i="6" s="1" a="1"/>
  <c r="AN909" i="6" s="1"/>
  <c r="AQ306" i="6" a="1"/>
  <c r="AQ306" i="6" s="1"/>
  <c r="BM306" i="6" s="1"/>
  <c r="AM486" i="6" a="1"/>
  <c r="AM486" i="6" s="1"/>
  <c r="AN486" i="6" s="1" a="1"/>
  <c r="AN486" i="6" s="1"/>
  <c r="AM407" i="6" a="1"/>
  <c r="AM407" i="6" s="1"/>
  <c r="AP407" i="6" s="1"/>
  <c r="AT407" i="6" s="1"/>
  <c r="AM607" i="6" a="1"/>
  <c r="AM607" i="6" s="1"/>
  <c r="AM4" i="6" a="1"/>
  <c r="AM4" i="6" s="1"/>
  <c r="AP4" i="6" s="1"/>
  <c r="AT4" i="6" s="1"/>
  <c r="AQ426" i="6" a="1"/>
  <c r="AQ426" i="6" s="1"/>
  <c r="BF426" i="6" s="1"/>
  <c r="AQ942" i="6" a="1"/>
  <c r="AQ942" i="6" s="1"/>
  <c r="BM942" i="6" s="1"/>
  <c r="AM875" i="6" a="1"/>
  <c r="AM875" i="6" s="1"/>
  <c r="AM49" i="6" a="1"/>
  <c r="AM49" i="6" s="1"/>
  <c r="AM101" i="6" a="1"/>
  <c r="AM101" i="6" s="1"/>
  <c r="AN101" i="6" s="1" a="1"/>
  <c r="AN101" i="6" s="1"/>
  <c r="AM901" i="6" a="1"/>
  <c r="AM901" i="6" s="1"/>
  <c r="AN901" i="6" s="1" a="1"/>
  <c r="AN901" i="6" s="1"/>
  <c r="AM917" i="6" a="1"/>
  <c r="AM917" i="6" s="1"/>
  <c r="AQ372" i="6" a="1"/>
  <c r="AQ372" i="6" s="1"/>
  <c r="BM372" i="6" s="1"/>
  <c r="AM20" i="6" a="1"/>
  <c r="AM20" i="6" s="1"/>
  <c r="AP20" i="6" s="1"/>
  <c r="AT20" i="6" s="1"/>
  <c r="AM524" i="6" a="1"/>
  <c r="AM524" i="6" s="1"/>
  <c r="AQ224" i="6" a="1"/>
  <c r="AQ224" i="6" s="1"/>
  <c r="BF224" i="6" s="1"/>
  <c r="AM187" i="6" a="1"/>
  <c r="AM187" i="6" s="1"/>
  <c r="AQ402" i="6" a="1"/>
  <c r="AQ402" i="6" s="1"/>
  <c r="BF402" i="6" s="1"/>
  <c r="AM780" i="6" a="1"/>
  <c r="AM780" i="6" s="1"/>
  <c r="AM247" i="6" a="1"/>
  <c r="AM247" i="6" s="1"/>
  <c r="AP247" i="6" s="1"/>
  <c r="AT247" i="6" s="1"/>
  <c r="AY329" i="6" a="1"/>
  <c r="AY329" i="6" s="1"/>
  <c r="BT329" i="6" s="1"/>
  <c r="AM507" i="6" a="1"/>
  <c r="AM507" i="6" s="1"/>
  <c r="AP507" i="6" s="1"/>
  <c r="AT507" i="6" s="1"/>
  <c r="AM784" i="6" a="1"/>
  <c r="AM784" i="6" s="1"/>
  <c r="AM923" i="6" a="1"/>
  <c r="AM923" i="6" s="1"/>
  <c r="AM595" i="6" a="1"/>
  <c r="AM595" i="6" s="1"/>
  <c r="AN595" i="6" s="1" a="1"/>
  <c r="AN595" i="6" s="1"/>
  <c r="AM747" i="6" a="1"/>
  <c r="AM747" i="6" s="1"/>
  <c r="AM690" i="6" a="1"/>
  <c r="AM690" i="6" s="1"/>
  <c r="AP690" i="6" s="1"/>
  <c r="AT690" i="6" s="1"/>
  <c r="AM914" i="6" a="1"/>
  <c r="AM914" i="6" s="1"/>
  <c r="AM845" i="6" a="1"/>
  <c r="AM845" i="6" s="1"/>
  <c r="AP845" i="6" s="1"/>
  <c r="AT845" i="6" s="1"/>
  <c r="AM303" i="6" a="1"/>
  <c r="AM303" i="6" s="1"/>
  <c r="AP303" i="6" s="1"/>
  <c r="AT303" i="6" s="1"/>
  <c r="AM990" i="6" a="1"/>
  <c r="AM990" i="6" s="1"/>
  <c r="AN990" i="6" s="1" a="1"/>
  <c r="AN990" i="6" s="1"/>
  <c r="AM186" i="6" a="1"/>
  <c r="AM186" i="6" s="1"/>
  <c r="AP186" i="6" s="1"/>
  <c r="AT186" i="6" s="1"/>
  <c r="AM899" i="6" a="1"/>
  <c r="AM899" i="6" s="1"/>
  <c r="AM343" i="6" a="1"/>
  <c r="AM343" i="6" s="1"/>
  <c r="AM750" i="6" a="1"/>
  <c r="AM750" i="6" s="1"/>
  <c r="AN750" i="6" s="1" a="1"/>
  <c r="AN750" i="6" s="1"/>
  <c r="AM941" i="6" a="1"/>
  <c r="AM941" i="6" s="1"/>
  <c r="AN941" i="6" s="1" a="1"/>
  <c r="AN941" i="6" s="1"/>
  <c r="AM577" i="6" a="1"/>
  <c r="AM577" i="6" s="1"/>
  <c r="AY609" i="6" a="1"/>
  <c r="AY609" i="6" s="1"/>
  <c r="AQ755" i="6" a="1"/>
  <c r="AQ755" i="6" s="1"/>
  <c r="BM755" i="6" s="1"/>
  <c r="AM350" i="6" a="1"/>
  <c r="AM350" i="6" s="1"/>
  <c r="AM308" i="6" a="1"/>
  <c r="AM308" i="6" s="1"/>
  <c r="AP308" i="6" s="1"/>
  <c r="AT308" i="6" s="1"/>
  <c r="AM305" i="6" a="1"/>
  <c r="AM305" i="6" s="1"/>
  <c r="AM612" i="6" a="1"/>
  <c r="AM612" i="6" s="1"/>
  <c r="AN612" i="6" s="1" a="1"/>
  <c r="AN612" i="6" s="1"/>
  <c r="AM492" i="6" a="1"/>
  <c r="AM492" i="6" s="1"/>
  <c r="AP492" i="6" s="1"/>
  <c r="AT492" i="6" s="1"/>
  <c r="AQ525" i="6" a="1"/>
  <c r="AQ525" i="6" s="1"/>
  <c r="BM525" i="6" s="1"/>
  <c r="AQ95" i="6" a="1"/>
  <c r="AQ95" i="6" s="1"/>
  <c r="BF95" i="6" s="1"/>
  <c r="AM228" i="6" a="1"/>
  <c r="AM228" i="6" s="1"/>
  <c r="AP228" i="6" s="1"/>
  <c r="AT228" i="6" s="1"/>
  <c r="AM444" i="6" a="1"/>
  <c r="AM444" i="6" s="1"/>
  <c r="AN444" i="6" s="1" a="1"/>
  <c r="AN444" i="6" s="1"/>
  <c r="AM1015" i="6" a="1"/>
  <c r="AM1015" i="6" s="1"/>
  <c r="AY995" i="6" a="1"/>
  <c r="AY995" i="6" s="1"/>
  <c r="AM639" i="6" a="1"/>
  <c r="AM639" i="6" s="1"/>
  <c r="AN639" i="6" s="1" a="1"/>
  <c r="AN639" i="6" s="1"/>
  <c r="AY460" i="6" a="1"/>
  <c r="AY460" i="6" s="1"/>
  <c r="BZ460" i="6" s="1"/>
  <c r="AM387" i="6" a="1"/>
  <c r="AM387" i="6" s="1"/>
  <c r="AM179" i="6" a="1"/>
  <c r="AM179" i="6" s="1"/>
  <c r="AN179" i="6" s="1" a="1"/>
  <c r="AN179" i="6" s="1"/>
  <c r="AM611" i="6" a="1"/>
  <c r="AM611" i="6" s="1"/>
  <c r="AN611" i="6" s="1" a="1"/>
  <c r="AN611" i="6" s="1"/>
  <c r="AQ625" i="6" a="1"/>
  <c r="AQ625" i="6" s="1"/>
  <c r="BF625" i="6" s="1"/>
  <c r="AM890" i="6" a="1"/>
  <c r="AM890" i="6" s="1"/>
  <c r="AM208" i="6" a="1"/>
  <c r="AM208" i="6" s="1"/>
  <c r="AP208" i="6" s="1"/>
  <c r="AT208" i="6" s="1"/>
  <c r="AM939" i="6" a="1"/>
  <c r="AM939" i="6" s="1"/>
  <c r="AP939" i="6" s="1"/>
  <c r="AT939" i="6" s="1"/>
  <c r="AM520" i="6" a="1"/>
  <c r="AM520" i="6" s="1"/>
  <c r="AM652" i="6" a="1"/>
  <c r="AM652" i="6" s="1"/>
  <c r="AM559" i="6" a="1"/>
  <c r="AM559" i="6" s="1"/>
  <c r="AN559" i="6" s="1" a="1"/>
  <c r="AN559" i="6" s="1"/>
  <c r="AM749" i="6" a="1"/>
  <c r="AM749" i="6" s="1"/>
  <c r="AN749" i="6" s="1" a="1"/>
  <c r="AN749" i="6" s="1"/>
  <c r="AM384" i="6" a="1"/>
  <c r="AM384" i="6" s="1"/>
  <c r="AN384" i="6" s="1" a="1"/>
  <c r="AN384" i="6" s="1"/>
  <c r="AM958" i="6" a="1"/>
  <c r="AM958" i="6" s="1"/>
  <c r="AP958" i="6" s="1"/>
  <c r="AT958" i="6" s="1"/>
  <c r="AQ409" i="6" a="1"/>
  <c r="AQ409" i="6" s="1"/>
  <c r="BF409" i="6" s="1"/>
  <c r="AQ621" i="6" a="1"/>
  <c r="AQ621" i="6" s="1"/>
  <c r="AY964" i="6" a="1"/>
  <c r="AY964" i="6" s="1"/>
  <c r="BZ964" i="6" s="1"/>
  <c r="AM721" i="6" a="1"/>
  <c r="AM721" i="6" s="1"/>
  <c r="AM243" i="6" a="1"/>
  <c r="AM243" i="6" s="1"/>
  <c r="AP243" i="6" s="1"/>
  <c r="AT243" i="6" s="1"/>
  <c r="AM654" i="6" a="1"/>
  <c r="AM654" i="6" s="1"/>
  <c r="AP654" i="6" s="1"/>
  <c r="AT654" i="6" s="1"/>
  <c r="AM436" i="6" a="1"/>
  <c r="AM436" i="6" s="1"/>
  <c r="AP436" i="6" s="1"/>
  <c r="AT436" i="6" s="1"/>
  <c r="AY427" i="6" a="1"/>
  <c r="AY427" i="6" s="1"/>
  <c r="BT427" i="6" s="1"/>
  <c r="AM952" i="6" a="1"/>
  <c r="AM952" i="6" s="1"/>
  <c r="AN952" i="6" s="1" a="1"/>
  <c r="AN952" i="6" s="1"/>
  <c r="AY505" i="6" a="1"/>
  <c r="AY505" i="6" s="1"/>
  <c r="BZ505" i="6" s="1"/>
  <c r="AY618" i="6" a="1"/>
  <c r="AY618" i="6" s="1"/>
  <c r="AM1009" i="6" a="1"/>
  <c r="AM1009" i="6" s="1"/>
  <c r="AQ901" i="6" a="1"/>
  <c r="AQ901" i="6" s="1"/>
  <c r="BF901" i="6" s="1"/>
  <c r="AY308" i="6" a="1"/>
  <c r="AY308" i="6" s="1"/>
  <c r="AY762" i="6" a="1"/>
  <c r="AY762" i="6" s="1"/>
  <c r="BT762" i="6" s="1"/>
  <c r="AQ802" i="6" a="1"/>
  <c r="AQ802" i="6" s="1"/>
  <c r="AY680" i="6" a="1"/>
  <c r="AY680" i="6" s="1"/>
  <c r="AQ538" i="6" a="1"/>
  <c r="AQ538" i="6" s="1"/>
  <c r="BM538" i="6" s="1"/>
  <c r="AQ477" i="6" a="1"/>
  <c r="AQ477" i="6" s="1"/>
  <c r="BM477" i="6" s="1"/>
  <c r="AQ503" i="6" a="1"/>
  <c r="AQ503" i="6" s="1"/>
  <c r="I143" i="4" a="1"/>
  <c r="I143" i="4" s="1"/>
  <c r="I220" i="4" a="1"/>
  <c r="I220" i="4" s="1"/>
  <c r="J220" i="4" s="1" a="1"/>
  <c r="J220" i="4" s="1"/>
  <c r="AY928" i="6" a="1"/>
  <c r="AY928" i="6" s="1"/>
  <c r="BZ928" i="6" s="1"/>
  <c r="AY792" i="6" a="1"/>
  <c r="AY792" i="6" s="1"/>
  <c r="AY12" i="6" a="1"/>
  <c r="AY12" i="6" s="1"/>
  <c r="BZ12" i="6" s="1"/>
  <c r="AY303" i="6" a="1"/>
  <c r="AY303" i="6" s="1"/>
  <c r="BT303" i="6" s="1"/>
  <c r="AQ992" i="6" a="1"/>
  <c r="AQ992" i="6" s="1"/>
  <c r="BM992" i="6" s="1"/>
  <c r="AQ518" i="6" a="1"/>
  <c r="AQ518" i="6" s="1"/>
  <c r="AQ962" i="6" a="1"/>
  <c r="AQ962" i="6" s="1"/>
  <c r="BM962" i="6" s="1"/>
  <c r="I30" i="4" a="1"/>
  <c r="I30" i="4" s="1"/>
  <c r="J30" i="4" s="1" a="1"/>
  <c r="J30" i="4" s="1"/>
  <c r="AV994" i="6" s="1"/>
  <c r="I224" i="4" a="1"/>
  <c r="I224" i="4" s="1"/>
  <c r="J224" i="4" s="1" a="1"/>
  <c r="J224" i="4" s="1"/>
  <c r="AQ373" i="6" a="1"/>
  <c r="AQ373" i="6" s="1"/>
  <c r="I230" i="4" a="1"/>
  <c r="I230" i="4" s="1"/>
  <c r="J230" i="4" s="1" a="1"/>
  <c r="J230" i="4" s="1"/>
  <c r="AM767" i="6" a="1"/>
  <c r="AM767" i="6" s="1"/>
  <c r="AM513" i="6" a="1"/>
  <c r="AM513" i="6" s="1"/>
  <c r="AQ973" i="6" a="1"/>
  <c r="AQ973" i="6" s="1"/>
  <c r="AY96" i="6" a="1"/>
  <c r="AY96" i="6" s="1"/>
  <c r="BZ96" i="6" s="1"/>
  <c r="AQ551" i="6" a="1"/>
  <c r="AQ551" i="6" s="1"/>
  <c r="AY742" i="6" a="1"/>
  <c r="AY742" i="6" s="1"/>
  <c r="AM237" i="6" a="1"/>
  <c r="AM237" i="6" s="1"/>
  <c r="AP237" i="6" s="1"/>
  <c r="AT237" i="6" s="1"/>
  <c r="AY51" i="6" a="1"/>
  <c r="AY51" i="6" s="1"/>
  <c r="AM136" i="6" a="1"/>
  <c r="AM136" i="6" s="1"/>
  <c r="AN136" i="6" s="1" a="1"/>
  <c r="AN136" i="6" s="1"/>
  <c r="AM810" i="6" a="1"/>
  <c r="AM810" i="6" s="1"/>
  <c r="AP810" i="6" s="1"/>
  <c r="AT810" i="6" s="1"/>
  <c r="AM419" i="6" a="1"/>
  <c r="AM419" i="6" s="1"/>
  <c r="AN419" i="6" s="1" a="1"/>
  <c r="AN419" i="6" s="1"/>
  <c r="AM263" i="6" a="1"/>
  <c r="AM263" i="6" s="1"/>
  <c r="AQ361" i="6" a="1"/>
  <c r="AQ361" i="6" s="1"/>
  <c r="AM830" i="6" a="1"/>
  <c r="AM830" i="6" s="1"/>
  <c r="AN830" i="6" s="1" a="1"/>
  <c r="AN830" i="6" s="1"/>
  <c r="AY615" i="6" a="1"/>
  <c r="AY615" i="6" s="1"/>
  <c r="AM682" i="6" a="1"/>
  <c r="AM682" i="6" s="1"/>
  <c r="AN682" i="6" s="1" a="1"/>
  <c r="AN682" i="6" s="1"/>
  <c r="AQ682" i="6" a="1"/>
  <c r="AQ682" i="6" s="1"/>
  <c r="BF682" i="6" s="1"/>
  <c r="AQ292" i="6" a="1"/>
  <c r="AQ292" i="6" s="1"/>
  <c r="AM1000" i="6" a="1"/>
  <c r="AM1000" i="6" s="1"/>
  <c r="AN1000" i="6" s="1" a="1"/>
  <c r="AN1000" i="6" s="1"/>
  <c r="AM298" i="6" a="1"/>
  <c r="AM298" i="6" s="1"/>
  <c r="AN298" i="6" s="1" a="1"/>
  <c r="AN298" i="6" s="1"/>
  <c r="AM17" i="6" a="1"/>
  <c r="AM17" i="6" s="1"/>
  <c r="AN17" i="6" s="1" a="1"/>
  <c r="AN17" i="6" s="1"/>
  <c r="AQ403" i="6" a="1"/>
  <c r="AQ403" i="6" s="1"/>
  <c r="AM435" i="6" a="1"/>
  <c r="AM435" i="6" s="1"/>
  <c r="AN435" i="6" s="1" a="1"/>
  <c r="AN435" i="6" s="1"/>
  <c r="AY67" i="6" a="1"/>
  <c r="AY67" i="6" s="1"/>
  <c r="AM924" i="6" a="1"/>
  <c r="AM924" i="6" s="1"/>
  <c r="AQ872" i="6" a="1"/>
  <c r="AQ872" i="6" s="1"/>
  <c r="AY79" i="6" a="1"/>
  <c r="AY79" i="6" s="1"/>
  <c r="AM483" i="6" a="1"/>
  <c r="AM483" i="6" s="1"/>
  <c r="AP483" i="6" s="1"/>
  <c r="AT483" i="6" s="1"/>
  <c r="AM197" i="6" a="1"/>
  <c r="AM197" i="6" s="1"/>
  <c r="AM822" i="6" a="1"/>
  <c r="AM822" i="6" s="1"/>
  <c r="AQ738" i="6" a="1"/>
  <c r="AQ738" i="6" s="1"/>
  <c r="BF738" i="6" s="1"/>
  <c r="AQ959" i="6" a="1"/>
  <c r="AQ959" i="6" s="1"/>
  <c r="BF959" i="6" s="1"/>
  <c r="AQ401" i="6" a="1"/>
  <c r="AQ401" i="6" s="1"/>
  <c r="AQ770" i="6" a="1"/>
  <c r="AQ770" i="6" s="1"/>
  <c r="BM770" i="6" s="1"/>
  <c r="AM32" i="6" a="1"/>
  <c r="AM32" i="6" s="1"/>
  <c r="AM212" i="6" a="1"/>
  <c r="AM212" i="6" s="1"/>
  <c r="AM807" i="6" a="1"/>
  <c r="AM807" i="6" s="1"/>
  <c r="AQ318" i="6" a="1"/>
  <c r="AQ318" i="6" s="1"/>
  <c r="AM527" i="6" a="1"/>
  <c r="AM527" i="6" s="1"/>
  <c r="AQ934" i="6" a="1"/>
  <c r="AQ934" i="6" s="1"/>
  <c r="BM934" i="6" s="1"/>
  <c r="AM625" i="6" a="1"/>
  <c r="AM625" i="6" s="1"/>
  <c r="AY878" i="6" a="1"/>
  <c r="AY878" i="6" s="1"/>
  <c r="BZ878" i="6" s="1"/>
  <c r="AQ331" i="6" a="1"/>
  <c r="AQ331" i="6" s="1"/>
  <c r="AY531" i="6" a="1"/>
  <c r="AY531" i="6" s="1"/>
  <c r="BZ531" i="6" s="1"/>
  <c r="AM773" i="6" a="1"/>
  <c r="AM773" i="6" s="1"/>
  <c r="AN773" i="6" s="1" a="1"/>
  <c r="AN773" i="6" s="1"/>
  <c r="AM116" i="6" a="1"/>
  <c r="AM116" i="6" s="1"/>
  <c r="AN116" i="6" s="1" a="1"/>
  <c r="AN116" i="6" s="1"/>
  <c r="AM469" i="6" a="1"/>
  <c r="AM469" i="6" s="1"/>
  <c r="AY438" i="6" a="1"/>
  <c r="AY438" i="6" s="1"/>
  <c r="AQ75" i="6" a="1"/>
  <c r="AQ75" i="6" s="1"/>
  <c r="BF75" i="6" s="1"/>
  <c r="AM705" i="6" a="1"/>
  <c r="AM705" i="6" s="1"/>
  <c r="AN705" i="6" s="1" a="1"/>
  <c r="AN705" i="6" s="1"/>
  <c r="AM871" i="6" a="1"/>
  <c r="AM871" i="6" s="1"/>
  <c r="AY228" i="6" a="1"/>
  <c r="AY228" i="6" s="1"/>
  <c r="BZ228" i="6" s="1"/>
  <c r="AM72" i="6" a="1"/>
  <c r="AM72" i="6" s="1"/>
  <c r="AM254" i="6" a="1"/>
  <c r="AM254" i="6" s="1"/>
  <c r="AP254" i="6" s="1"/>
  <c r="AT254" i="6" s="1"/>
  <c r="AM710" i="6" a="1"/>
  <c r="AM710" i="6" s="1"/>
  <c r="AN710" i="6" s="1" a="1"/>
  <c r="AN710" i="6" s="1"/>
  <c r="AM389" i="6" a="1"/>
  <c r="AM389" i="6" s="1"/>
  <c r="AN389" i="6" s="1" a="1"/>
  <c r="AN389" i="6" s="1"/>
  <c r="AQ130" i="6" a="1"/>
  <c r="AQ130" i="6" s="1"/>
  <c r="AM862" i="6" a="1"/>
  <c r="AM862" i="6" s="1"/>
  <c r="AY468" i="6" a="1"/>
  <c r="AY468" i="6" s="1"/>
  <c r="AY52" i="6" a="1"/>
  <c r="AY52" i="6" s="1"/>
  <c r="AQ879" i="6" a="1"/>
  <c r="AQ879" i="6" s="1"/>
  <c r="BF879" i="6" s="1"/>
  <c r="AM755" i="6" a="1"/>
  <c r="AM755" i="6" s="1"/>
  <c r="AP755" i="6" s="1"/>
  <c r="AY984" i="6" a="1"/>
  <c r="AY984" i="6" s="1"/>
  <c r="AM53" i="6" a="1"/>
  <c r="AM53" i="6" s="1"/>
  <c r="AY282" i="6" a="1"/>
  <c r="AY282" i="6" s="1"/>
  <c r="BT282" i="6" s="1"/>
  <c r="AM317" i="6" a="1"/>
  <c r="AM317" i="6" s="1"/>
  <c r="AP317" i="6" s="1"/>
  <c r="AT317" i="6" s="1"/>
  <c r="AQ665" i="6" a="1"/>
  <c r="AQ665" i="6" s="1"/>
  <c r="BM665" i="6" s="1"/>
  <c r="AM605" i="6" a="1"/>
  <c r="AM605" i="6" s="1"/>
  <c r="AP605" i="6" s="1"/>
  <c r="AT605" i="6" s="1"/>
  <c r="AY387" i="6" a="1"/>
  <c r="AY387" i="6" s="1"/>
  <c r="AM732" i="6" a="1"/>
  <c r="AM732" i="6" s="1"/>
  <c r="AY781" i="6" a="1"/>
  <c r="AY781" i="6" s="1"/>
  <c r="AM814" i="6" a="1"/>
  <c r="AM814" i="6" s="1"/>
  <c r="AM565" i="6" a="1"/>
  <c r="AM565" i="6" s="1"/>
  <c r="AP565" i="6" s="1"/>
  <c r="AT565" i="6" s="1"/>
  <c r="AY702" i="6" a="1"/>
  <c r="AY702" i="6" s="1"/>
  <c r="AM660" i="6" a="1"/>
  <c r="AM660" i="6" s="1"/>
  <c r="AN660" i="6" s="1" a="1"/>
  <c r="AN660" i="6" s="1"/>
  <c r="AY204" i="6" a="1"/>
  <c r="AY204" i="6" s="1"/>
  <c r="AM43" i="6" a="1"/>
  <c r="AM43" i="6" s="1"/>
  <c r="AN43" i="6" s="1" a="1"/>
  <c r="AN43" i="6" s="1"/>
  <c r="AY1010" i="6" a="1"/>
  <c r="AY1010" i="6" s="1"/>
  <c r="AM433" i="6" a="1"/>
  <c r="AM433" i="6" s="1"/>
  <c r="AN433" i="6" s="1" a="1"/>
  <c r="AN433" i="6" s="1"/>
  <c r="AM715" i="6" a="1"/>
  <c r="AM715" i="6" s="1"/>
  <c r="AP715" i="6" s="1"/>
  <c r="AT715" i="6" s="1"/>
  <c r="AY250" i="6" a="1"/>
  <c r="AY250" i="6" s="1"/>
  <c r="AM114" i="6" a="1"/>
  <c r="AM114" i="6" s="1"/>
  <c r="AY819" i="6" a="1"/>
  <c r="AY819" i="6" s="1"/>
  <c r="AY874" i="6" a="1"/>
  <c r="AY874" i="6" s="1"/>
  <c r="BZ874" i="6" s="1"/>
  <c r="AY723" i="6" a="1"/>
  <c r="AY723" i="6" s="1"/>
  <c r="AM601" i="6" a="1"/>
  <c r="AM601" i="6" s="1"/>
  <c r="AP601" i="6" s="1"/>
  <c r="AT601" i="6" s="1"/>
  <c r="AY650" i="6" a="1"/>
  <c r="AY650" i="6" s="1"/>
  <c r="AM880" i="6" a="1"/>
  <c r="AM880" i="6" s="1"/>
  <c r="AY844" i="6" a="1"/>
  <c r="AY844" i="6" s="1"/>
  <c r="AY138" i="6" a="1"/>
  <c r="AY138" i="6" s="1"/>
  <c r="I189" i="4" a="1"/>
  <c r="I189" i="4" s="1"/>
  <c r="J189" i="4" s="1" a="1"/>
  <c r="J189" i="4" s="1"/>
  <c r="AM771" i="6" a="1"/>
  <c r="AM771" i="6" s="1"/>
  <c r="AN771" i="6" s="1" a="1"/>
  <c r="AN771" i="6" s="1"/>
  <c r="AY823" i="6" a="1"/>
  <c r="AY823" i="6" s="1"/>
  <c r="BT823" i="6" s="1"/>
  <c r="I2" i="4" a="1"/>
  <c r="I2" i="4" s="1"/>
  <c r="J2" i="4" s="1" a="1"/>
  <c r="J2" i="4" s="1"/>
  <c r="AM13" i="6" a="1"/>
  <c r="AM13" i="6" s="1"/>
  <c r="AM480" i="6" a="1"/>
  <c r="AM480" i="6" s="1"/>
  <c r="AN480" i="6" s="1" a="1"/>
  <c r="AN480" i="6" s="1"/>
  <c r="AM816" i="6" a="1"/>
  <c r="AM816" i="6" s="1"/>
  <c r="AN816" i="6" s="1" a="1"/>
  <c r="AN816" i="6" s="1"/>
  <c r="AY610" i="6" a="1"/>
  <c r="AY610" i="6" s="1"/>
  <c r="AM229" i="6" a="1"/>
  <c r="AM229" i="6" s="1"/>
  <c r="AN229" i="6" s="1" a="1"/>
  <c r="AN229" i="6" s="1"/>
  <c r="AM693" i="6" a="1"/>
  <c r="AM693" i="6" s="1"/>
  <c r="AP693" i="6" s="1"/>
  <c r="AT693" i="6" s="1"/>
  <c r="AY336" i="6" a="1"/>
  <c r="AY336" i="6" s="1"/>
  <c r="AM532" i="6" a="1"/>
  <c r="AM532" i="6" s="1"/>
  <c r="AN532" i="6" s="1" a="1"/>
  <c r="AN532" i="6" s="1"/>
  <c r="AM127" i="6" a="1"/>
  <c r="AM127" i="6" s="1"/>
  <c r="AM692" i="6" a="1"/>
  <c r="AM692" i="6" s="1"/>
  <c r="AM369" i="6" a="1"/>
  <c r="AM369" i="6" s="1"/>
  <c r="AM761" i="6" a="1"/>
  <c r="AM761" i="6" s="1"/>
  <c r="AM476" i="6" a="1"/>
  <c r="AM476" i="6" s="1"/>
  <c r="AM866" i="6" a="1"/>
  <c r="AM866" i="6" s="1"/>
  <c r="AQ742" i="6" a="1"/>
  <c r="AQ742" i="6" s="1"/>
  <c r="BF742" i="6" s="1"/>
  <c r="AM841" i="6" a="1"/>
  <c r="AM841" i="6" s="1"/>
  <c r="AM656" i="6" a="1"/>
  <c r="AM656" i="6" s="1"/>
  <c r="AY541" i="6" a="1"/>
  <c r="AY541" i="6" s="1"/>
  <c r="AM774" i="6" a="1"/>
  <c r="AM774" i="6" s="1"/>
  <c r="AN774" i="6" s="1" a="1"/>
  <c r="AN774" i="6" s="1"/>
  <c r="AY356" i="6" a="1"/>
  <c r="AY356" i="6" s="1"/>
  <c r="BZ356" i="6" s="1"/>
  <c r="AQ111" i="6" a="1"/>
  <c r="AQ111" i="6" s="1"/>
  <c r="AQ472" i="6" a="1"/>
  <c r="AQ472" i="6" s="1"/>
  <c r="AM874" i="6" a="1"/>
  <c r="AM874" i="6" s="1"/>
  <c r="AN874" i="6" s="1" a="1"/>
  <c r="AN874" i="6" s="1"/>
  <c r="AM27" i="6" a="1"/>
  <c r="AM27" i="6" s="1"/>
  <c r="AM994" i="6" a="1"/>
  <c r="AM994" i="6" s="1"/>
  <c r="AN994" i="6" s="1" a="1"/>
  <c r="AN994" i="6" s="1"/>
  <c r="I54" i="4" a="1"/>
  <c r="I54" i="4" s="1"/>
  <c r="J54" i="4" s="1" a="1"/>
  <c r="J54" i="4" s="1"/>
  <c r="I145" i="4" a="1"/>
  <c r="I145" i="4" s="1"/>
  <c r="J145" i="4" s="1" a="1"/>
  <c r="J145" i="4" s="1"/>
  <c r="AQ975" i="6" a="1"/>
  <c r="AQ975" i="6" s="1"/>
  <c r="BF975" i="6" s="1"/>
  <c r="AQ793" i="6" a="1"/>
  <c r="AQ793" i="6" s="1"/>
  <c r="BM793" i="6" s="1"/>
  <c r="AM956" i="6" a="1"/>
  <c r="AM956" i="6" s="1"/>
  <c r="AY344" i="6" a="1"/>
  <c r="AY344" i="6" s="1"/>
  <c r="AY34" i="6" a="1"/>
  <c r="AY34" i="6" s="1"/>
  <c r="AM839" i="6" a="1"/>
  <c r="AM839" i="6" s="1"/>
  <c r="AY61" i="6" a="1"/>
  <c r="AY61" i="6" s="1"/>
  <c r="AY887" i="6" a="1"/>
  <c r="AY887" i="6" s="1"/>
  <c r="BT887" i="6" s="1"/>
  <c r="AM94" i="6" a="1"/>
  <c r="AM94" i="6" s="1"/>
  <c r="AP94" i="6" s="1"/>
  <c r="AT94" i="6" s="1"/>
  <c r="AM592" i="6" a="1"/>
  <c r="AM592" i="6" s="1"/>
  <c r="AP592" i="6" s="1"/>
  <c r="AT592" i="6" s="1"/>
  <c r="AQ223" i="6" a="1"/>
  <c r="AQ223" i="6" s="1"/>
  <c r="AY603" i="6" a="1"/>
  <c r="AY603" i="6" s="1"/>
  <c r="AY1009" i="6" a="1"/>
  <c r="AY1009" i="6" s="1"/>
  <c r="AM758" i="6" a="1"/>
  <c r="AM758" i="6" s="1"/>
  <c r="AQ345" i="6" a="1"/>
  <c r="AQ345" i="6" s="1"/>
  <c r="BF345" i="6" s="1"/>
  <c r="I44" i="4" a="1"/>
  <c r="I44" i="4" s="1"/>
  <c r="K44" i="4" s="1" a="1"/>
  <c r="K44" i="4" s="1"/>
  <c r="AQ110" i="6" a="1"/>
  <c r="AQ110" i="6" s="1"/>
  <c r="BF110" i="6" s="1"/>
  <c r="AY622" i="6" a="1"/>
  <c r="AY622" i="6" s="1"/>
  <c r="AM893" i="6" a="1"/>
  <c r="AM893" i="6" s="1"/>
  <c r="AM353" i="6" a="1"/>
  <c r="AM353" i="6" s="1"/>
  <c r="AQ703" i="6" a="1"/>
  <c r="AQ703" i="6" s="1"/>
  <c r="BM703" i="6" s="1"/>
  <c r="AM709" i="6" a="1"/>
  <c r="AM709" i="6" s="1"/>
  <c r="AP709" i="6" s="1"/>
  <c r="AT709" i="6" s="1"/>
  <c r="AY76" i="6" a="1"/>
  <c r="AY76" i="6" s="1"/>
  <c r="AQ574" i="6" a="1"/>
  <c r="AQ574" i="6" s="1"/>
  <c r="AM174" i="6" a="1"/>
  <c r="AM174" i="6" s="1"/>
  <c r="AN174" i="6" s="1" a="1"/>
  <c r="AN174" i="6" s="1"/>
  <c r="AM145" i="6" a="1"/>
  <c r="AM145" i="6" s="1"/>
  <c r="AM355" i="6" a="1"/>
  <c r="AM355" i="6" s="1"/>
  <c r="AN355" i="6" s="1" a="1"/>
  <c r="AN355" i="6" s="1"/>
  <c r="AY81" i="6" a="1"/>
  <c r="AY81" i="6" s="1"/>
  <c r="BT81" i="6" s="1"/>
  <c r="AM443" i="6" a="1"/>
  <c r="AM443" i="6" s="1"/>
  <c r="AP443" i="6" s="1"/>
  <c r="AT443" i="6" s="1"/>
  <c r="AQ147" i="6" a="1"/>
  <c r="AQ147" i="6" s="1"/>
  <c r="BM147" i="6" s="1"/>
  <c r="AM449" i="6" a="1"/>
  <c r="AM449" i="6" s="1"/>
  <c r="AQ524" i="6" a="1"/>
  <c r="AQ524" i="6" s="1"/>
  <c r="BM524" i="6" s="1"/>
  <c r="AQ73" i="6" a="1"/>
  <c r="AQ73" i="6" s="1"/>
  <c r="BF73" i="6" s="1"/>
  <c r="AM245" i="6" a="1"/>
  <c r="AM245" i="6" s="1"/>
  <c r="AQ982" i="6" a="1"/>
  <c r="AQ982" i="6" s="1"/>
  <c r="BM982" i="6" s="1"/>
  <c r="AQ584" i="6" a="1"/>
  <c r="AQ584" i="6" s="1"/>
  <c r="AY795" i="6" a="1"/>
  <c r="AY795" i="6" s="1"/>
  <c r="BT795" i="6" s="1"/>
  <c r="AY681" i="6" a="1"/>
  <c r="AY681" i="6" s="1"/>
  <c r="BT681" i="6" s="1"/>
  <c r="AY1013" i="6" a="1"/>
  <c r="AY1013" i="6" s="1"/>
  <c r="AQ464" i="6" a="1"/>
  <c r="AQ464" i="6" s="1"/>
  <c r="BM464" i="6" s="1"/>
  <c r="AY361" i="6" a="1"/>
  <c r="AY361" i="6" s="1"/>
  <c r="BZ361" i="6" s="1"/>
  <c r="AM972" i="6" a="1"/>
  <c r="AM972" i="6" s="1"/>
  <c r="AM638" i="6" a="1"/>
  <c r="AM638" i="6" s="1"/>
  <c r="AN638" i="6" s="1" a="1"/>
  <c r="AN638" i="6" s="1"/>
  <c r="AM947" i="6" a="1"/>
  <c r="AM947" i="6" s="1"/>
  <c r="AM399" i="6" a="1"/>
  <c r="AM399" i="6" s="1"/>
  <c r="AP399" i="6" s="1"/>
  <c r="AT399" i="6" s="1"/>
  <c r="AM717" i="6" a="1"/>
  <c r="AM717" i="6" s="1"/>
  <c r="AP717" i="6" s="1"/>
  <c r="AT717" i="6" s="1"/>
  <c r="AM217" i="6" a="1"/>
  <c r="AM217" i="6" s="1"/>
  <c r="AP217" i="6" s="1"/>
  <c r="AT217" i="6" s="1"/>
  <c r="AM633" i="6" a="1"/>
  <c r="AM633" i="6" s="1"/>
  <c r="AN633" i="6" s="1" a="1"/>
  <c r="AN633" i="6" s="1"/>
  <c r="AM788" i="6" a="1"/>
  <c r="AM788" i="6" s="1"/>
  <c r="AN788" i="6" s="1" a="1"/>
  <c r="AN788" i="6" s="1"/>
  <c r="AM533" i="6" a="1"/>
  <c r="AM533" i="6" s="1"/>
  <c r="AN533" i="6" s="1" a="1"/>
  <c r="AN533" i="6" s="1"/>
  <c r="AY780" i="6" a="1"/>
  <c r="AY780" i="6" s="1"/>
  <c r="AM92" i="6" a="1"/>
  <c r="AM92" i="6" s="1"/>
  <c r="AN92" i="6" s="1" a="1"/>
  <c r="AN92" i="6" s="1"/>
  <c r="AM506" i="6" a="1"/>
  <c r="AM506" i="6" s="1"/>
  <c r="AP506" i="6" s="1"/>
  <c r="AT506" i="6" s="1"/>
  <c r="AM450" i="6" a="1"/>
  <c r="AM450" i="6" s="1"/>
  <c r="AQ773" i="6" a="1"/>
  <c r="AQ773" i="6" s="1"/>
  <c r="BM773" i="6" s="1"/>
  <c r="AM671" i="6" a="1"/>
  <c r="AM671" i="6" s="1"/>
  <c r="AQ191" i="6" a="1"/>
  <c r="AQ191" i="6" s="1"/>
  <c r="BM191" i="6" s="1"/>
  <c r="AM930" i="6" a="1"/>
  <c r="AM930" i="6" s="1"/>
  <c r="AN930" i="6" s="1" a="1"/>
  <c r="AN930" i="6" s="1"/>
  <c r="AQ364" i="6" a="1"/>
  <c r="AQ364" i="6" s="1"/>
  <c r="BM364" i="6" s="1"/>
  <c r="AQ335" i="6" a="1"/>
  <c r="AQ335" i="6" s="1"/>
  <c r="BM335" i="6" s="1"/>
  <c r="AY260" i="6" a="1"/>
  <c r="AY260" i="6" s="1"/>
  <c r="AM295" i="6" a="1"/>
  <c r="AM295" i="6" s="1"/>
  <c r="AP295" i="6" s="1"/>
  <c r="AT295" i="6" s="1"/>
  <c r="AM683" i="6" a="1"/>
  <c r="AM683" i="6" s="1"/>
  <c r="AM716" i="6" a="1"/>
  <c r="AM716" i="6" s="1"/>
  <c r="AP716" i="6" s="1"/>
  <c r="AT716" i="6" s="1"/>
  <c r="AY182" i="6" a="1"/>
  <c r="AY182" i="6" s="1"/>
  <c r="AM879" i="6" a="1"/>
  <c r="AM879" i="6" s="1"/>
  <c r="AP879" i="6" s="1"/>
  <c r="AT879" i="6" s="1"/>
  <c r="AM428" i="6" a="1"/>
  <c r="AM428" i="6" s="1"/>
  <c r="AN428" i="6" s="1" a="1"/>
  <c r="AN428" i="6" s="1"/>
  <c r="AY640" i="6" a="1"/>
  <c r="AY640" i="6" s="1"/>
  <c r="BT640" i="6" s="1"/>
  <c r="AY114" i="6" a="1"/>
  <c r="AY114" i="6" s="1"/>
  <c r="AY64" i="6" a="1"/>
  <c r="AY64" i="6" s="1"/>
  <c r="AM539" i="6" a="1"/>
  <c r="AM539" i="6" s="1"/>
  <c r="AP539" i="6" s="1"/>
  <c r="AT539" i="6" s="1"/>
  <c r="AQ983" i="6" a="1"/>
  <c r="AQ983" i="6" s="1"/>
  <c r="BM983" i="6" s="1"/>
  <c r="AM799" i="6" a="1"/>
  <c r="AM799" i="6" s="1"/>
  <c r="AQ254" i="6" a="1"/>
  <c r="AQ254" i="6" s="1"/>
  <c r="AY410" i="6" a="1"/>
  <c r="AY410" i="6" s="1"/>
  <c r="AM14" i="6" a="1"/>
  <c r="AM14" i="6" s="1"/>
  <c r="AN14" i="6" s="1" a="1"/>
  <c r="AN14" i="6" s="1"/>
  <c r="AM157" i="6" a="1"/>
  <c r="AM157" i="6" s="1"/>
  <c r="AN157" i="6" s="1" a="1"/>
  <c r="AN157" i="6" s="1"/>
  <c r="AQ474" i="6" a="1"/>
  <c r="AQ474" i="6" s="1"/>
  <c r="BF474" i="6" s="1"/>
  <c r="AM48" i="6" a="1"/>
  <c r="AM48" i="6" s="1"/>
  <c r="AM620" i="6" a="1"/>
  <c r="AM620" i="6" s="1"/>
  <c r="AP620" i="6" s="1"/>
  <c r="AT620" i="6" s="1"/>
  <c r="AM988" i="6" a="1"/>
  <c r="AM988" i="6" s="1"/>
  <c r="AN988" i="6" s="1" a="1"/>
  <c r="AN988" i="6" s="1"/>
  <c r="AM148" i="6" a="1"/>
  <c r="AM148" i="6" s="1"/>
  <c r="AP148" i="6" s="1"/>
  <c r="AM455" i="6" a="1"/>
  <c r="AM455" i="6" s="1"/>
  <c r="AM292" i="6" a="1"/>
  <c r="AM292" i="6" s="1"/>
  <c r="AN292" i="6" s="1" a="1"/>
  <c r="AN292" i="6" s="1"/>
  <c r="AM851" i="6" a="1"/>
  <c r="AM851" i="6" s="1"/>
  <c r="AM265" i="6" a="1"/>
  <c r="AM265" i="6" s="1"/>
  <c r="AN265" i="6" s="1" a="1"/>
  <c r="AN265" i="6" s="1"/>
  <c r="AQ206" i="6" a="1"/>
  <c r="AQ206" i="6" s="1"/>
  <c r="AM976" i="6" a="1"/>
  <c r="AM976" i="6" s="1"/>
  <c r="AQ44" i="6" a="1"/>
  <c r="AQ44" i="6" s="1"/>
  <c r="BM44" i="6" s="1"/>
  <c r="AQ393" i="6" a="1"/>
  <c r="AQ393" i="6" s="1"/>
  <c r="BM393" i="6" s="1"/>
  <c r="AQ344" i="6" a="1"/>
  <c r="AQ344" i="6" s="1"/>
  <c r="BF344" i="6" s="1"/>
  <c r="AQ148" i="6" a="1"/>
  <c r="AQ148" i="6" s="1"/>
  <c r="BF148" i="6" s="1"/>
  <c r="AQ643" i="6" a="1"/>
  <c r="AQ643" i="6" s="1"/>
  <c r="AM985" i="6" a="1"/>
  <c r="AM985" i="6" s="1"/>
  <c r="AN985" i="6" s="1" a="1"/>
  <c r="AN985" i="6" s="1"/>
  <c r="AY845" i="6" a="1"/>
  <c r="AY845" i="6" s="1"/>
  <c r="BT845" i="6" s="1"/>
  <c r="AM113" i="6" a="1"/>
  <c r="AM113" i="6" s="1"/>
  <c r="AM51" i="6" a="1"/>
  <c r="AM51" i="6" s="1"/>
  <c r="AN51" i="6" s="1" a="1"/>
  <c r="AN51" i="6" s="1"/>
  <c r="AM342" i="6" a="1"/>
  <c r="AM342" i="6" s="1"/>
  <c r="AP342" i="6" s="1"/>
  <c r="AT342" i="6" s="1"/>
  <c r="AM553" i="6" a="1"/>
  <c r="AM553" i="6" s="1"/>
  <c r="AY510" i="6" a="1"/>
  <c r="AY510" i="6" s="1"/>
  <c r="BZ510" i="6" s="1"/>
  <c r="AM417" i="6" a="1"/>
  <c r="AM417" i="6" s="1"/>
  <c r="AM31" i="6" a="1"/>
  <c r="AM31" i="6" s="1"/>
  <c r="AP31" i="6" s="1"/>
  <c r="AT31" i="6" s="1"/>
  <c r="AY403" i="6" a="1"/>
  <c r="AY403" i="6" s="1"/>
  <c r="BZ403" i="6" s="1"/>
  <c r="AY954" i="6" a="1"/>
  <c r="AY954" i="6" s="1"/>
  <c r="AM70" i="6" a="1"/>
  <c r="AM70" i="6" s="1"/>
  <c r="AP70" i="6" s="1"/>
  <c r="AT70" i="6" s="1"/>
  <c r="AY847" i="6" a="1"/>
  <c r="AY847" i="6" s="1"/>
  <c r="AM751" i="6" a="1"/>
  <c r="AM751" i="6" s="1"/>
  <c r="AP751" i="6" s="1"/>
  <c r="AT751" i="6" s="1"/>
  <c r="AY988" i="6" a="1"/>
  <c r="AY988" i="6" s="1"/>
  <c r="BZ988" i="6" s="1"/>
  <c r="AQ609" i="6" a="1"/>
  <c r="AQ609" i="6" s="1"/>
  <c r="AM982" i="6" a="1"/>
  <c r="AM982" i="6" s="1"/>
  <c r="AP982" i="6" s="1"/>
  <c r="AT982" i="6" s="1"/>
  <c r="AM144" i="6" a="1"/>
  <c r="AM144" i="6" s="1"/>
  <c r="AP144" i="6" s="1"/>
  <c r="AT144" i="6" s="1"/>
  <c r="AY160" i="6" a="1"/>
  <c r="AY160" i="6" s="1"/>
  <c r="BZ160" i="6" s="1"/>
  <c r="AM97" i="6" a="1"/>
  <c r="AM97" i="6" s="1"/>
  <c r="AY544" i="6" a="1"/>
  <c r="AY544" i="6" s="1"/>
  <c r="BZ544" i="6" s="1"/>
  <c r="AQ188" i="6" a="1"/>
  <c r="AQ188" i="6" s="1"/>
  <c r="AY459" i="6" a="1"/>
  <c r="AY459" i="6" s="1"/>
  <c r="BZ459" i="6" s="1"/>
  <c r="AQ429" i="6" a="1"/>
  <c r="AQ429" i="6" s="1"/>
  <c r="BM429" i="6" s="1"/>
  <c r="AM437" i="6" a="1"/>
  <c r="AM437" i="6" s="1"/>
  <c r="AQ463" i="6" a="1"/>
  <c r="AQ463" i="6" s="1"/>
  <c r="BF463" i="6" s="1"/>
  <c r="AY1007" i="6" a="1"/>
  <c r="AY1007" i="6" s="1"/>
  <c r="AY412" i="6" a="1"/>
  <c r="AY412" i="6" s="1"/>
  <c r="AQ428" i="6" a="1"/>
  <c r="AQ428" i="6" s="1"/>
  <c r="AY696" i="6" a="1"/>
  <c r="AY696" i="6" s="1"/>
  <c r="AQ825" i="6" a="1"/>
  <c r="AQ825" i="6" s="1"/>
  <c r="BM825" i="6" s="1"/>
  <c r="AY42" i="6" a="1"/>
  <c r="AY42" i="6" s="1"/>
  <c r="AQ972" i="6" a="1"/>
  <c r="AQ972" i="6" s="1"/>
  <c r="BM972" i="6" s="1"/>
  <c r="AQ789" i="6" a="1"/>
  <c r="AQ789" i="6" s="1"/>
  <c r="BF789" i="6" s="1"/>
  <c r="AQ490" i="6" a="1"/>
  <c r="AQ490" i="6" s="1"/>
  <c r="AY165" i="6" a="1"/>
  <c r="AY165" i="6" s="1"/>
  <c r="BZ165" i="6" s="1"/>
  <c r="AY966" i="6" a="1"/>
  <c r="AY966" i="6" s="1"/>
  <c r="BT966" i="6" s="1"/>
  <c r="AQ855" i="6" a="1"/>
  <c r="AQ855" i="6" s="1"/>
  <c r="BF855" i="6" s="1"/>
  <c r="AY664" i="6" a="1"/>
  <c r="AY664" i="6" s="1"/>
  <c r="AQ548" i="6" a="1"/>
  <c r="AQ548" i="6" s="1"/>
  <c r="BM548" i="6" s="1"/>
  <c r="AQ693" i="6" a="1"/>
  <c r="AQ693" i="6" s="1"/>
  <c r="BF693" i="6" s="1"/>
  <c r="AM140" i="6" a="1"/>
  <c r="AM140" i="6" s="1"/>
  <c r="AP140" i="6" s="1"/>
  <c r="AT140" i="6" s="1"/>
  <c r="AM568" i="6" a="1"/>
  <c r="AM568" i="6" s="1"/>
  <c r="AQ252" i="6" a="1"/>
  <c r="AQ252" i="6" s="1"/>
  <c r="AQ334" i="6" a="1"/>
  <c r="AQ334" i="6" s="1"/>
  <c r="AQ332" i="6" a="1"/>
  <c r="AQ332" i="6" s="1"/>
  <c r="AM699" i="6" a="1"/>
  <c r="AM699" i="6" s="1"/>
  <c r="AM193" i="6" a="1"/>
  <c r="AM193" i="6" s="1"/>
  <c r="AM122" i="6" a="1"/>
  <c r="AM122" i="6" s="1"/>
  <c r="AM865" i="6" a="1"/>
  <c r="AM865" i="6" s="1"/>
  <c r="AM629" i="6" a="1"/>
  <c r="AM629" i="6" s="1"/>
  <c r="AY818" i="6" a="1"/>
  <c r="AY818" i="6" s="1"/>
  <c r="AY236" i="6" a="1"/>
  <c r="AY236" i="6" s="1"/>
  <c r="AY840" i="6" a="1"/>
  <c r="AY840" i="6" s="1"/>
  <c r="AY398" i="6" a="1"/>
  <c r="AY398" i="6" s="1"/>
  <c r="BT398" i="6" s="1"/>
  <c r="AQ169" i="6" a="1"/>
  <c r="AQ169" i="6" s="1"/>
  <c r="BM169" i="6" s="1"/>
  <c r="AY789" i="6" a="1"/>
  <c r="AY789" i="6" s="1"/>
  <c r="AY926" i="6" a="1"/>
  <c r="AY926" i="6" s="1"/>
  <c r="AM259" i="6" a="1"/>
  <c r="AM259" i="6" s="1"/>
  <c r="AQ544" i="6" a="1"/>
  <c r="AQ544" i="6" s="1"/>
  <c r="I141" i="4" a="1"/>
  <c r="I141" i="4" s="1"/>
  <c r="J141" i="4" s="1" a="1"/>
  <c r="J141" i="4" s="1"/>
  <c r="AQ131" i="6" a="1"/>
  <c r="AQ131" i="6" s="1"/>
  <c r="AQ513" i="6" a="1"/>
  <c r="AQ513" i="6" s="1"/>
  <c r="BF513" i="6" s="1"/>
  <c r="AY806" i="6" a="1"/>
  <c r="AY806" i="6" s="1"/>
  <c r="AM815" i="6" a="1"/>
  <c r="AM815" i="6" s="1"/>
  <c r="AQ267" i="6" a="1"/>
  <c r="AQ267" i="6" s="1"/>
  <c r="BF267" i="6" s="1"/>
  <c r="I168" i="4" a="1"/>
  <c r="I168" i="4" s="1"/>
  <c r="J168" i="4" s="1" a="1"/>
  <c r="J168" i="4" s="1"/>
  <c r="AY14" i="6" a="1"/>
  <c r="AY14" i="6" s="1"/>
  <c r="AQ608" i="6" a="1"/>
  <c r="AQ608" i="6" s="1"/>
  <c r="AM374" i="6" a="1"/>
  <c r="AM374" i="6" s="1"/>
  <c r="AQ88" i="6" a="1"/>
  <c r="AQ88" i="6" s="1"/>
  <c r="AY924" i="6" a="1"/>
  <c r="AY924" i="6" s="1"/>
  <c r="BZ924" i="6" s="1"/>
  <c r="AQ756" i="6" a="1"/>
  <c r="AQ756" i="6" s="1"/>
  <c r="BF756" i="6" s="1"/>
  <c r="AM863" i="6" a="1"/>
  <c r="AM863" i="6" s="1"/>
  <c r="AM81" i="6" a="1"/>
  <c r="AM81" i="6" s="1"/>
  <c r="AQ859" i="6" a="1"/>
  <c r="AQ859" i="6" s="1"/>
  <c r="I98" i="4" a="1"/>
  <c r="I98" i="4" s="1"/>
  <c r="J98" i="4" s="1" a="1"/>
  <c r="J98" i="4" s="1"/>
  <c r="I92" i="4" a="1"/>
  <c r="I92" i="4" s="1"/>
  <c r="J92" i="4" s="1" a="1"/>
  <c r="J92" i="4" s="1"/>
  <c r="AY86" i="6" a="1"/>
  <c r="AY86" i="6" s="1"/>
  <c r="AM636" i="6" a="1"/>
  <c r="AM636" i="6" s="1"/>
  <c r="AM414" i="6" a="1"/>
  <c r="AM414" i="6" s="1"/>
  <c r="AY832" i="6" a="1"/>
  <c r="AY832" i="6" s="1"/>
  <c r="BZ832" i="6" s="1"/>
  <c r="AQ723" i="6" a="1"/>
  <c r="AQ723" i="6" s="1"/>
  <c r="AY788" i="6" a="1"/>
  <c r="AY788" i="6" s="1"/>
  <c r="BT788" i="6" s="1"/>
  <c r="AQ1013" i="6" a="1"/>
  <c r="AQ1013" i="6" s="1"/>
  <c r="BF1013" i="6" s="1"/>
  <c r="AQ295" i="6" a="1"/>
  <c r="AQ295" i="6" s="1"/>
  <c r="AQ63" i="6" a="1"/>
  <c r="AQ63" i="6" s="1"/>
  <c r="AQ586" i="6" a="1"/>
  <c r="AQ586" i="6" s="1"/>
  <c r="AM957" i="6" a="1"/>
  <c r="AM957" i="6" s="1"/>
  <c r="AY612" i="6" a="1"/>
  <c r="AY612" i="6" s="1"/>
  <c r="BZ612" i="6" s="1"/>
  <c r="AM572" i="6" a="1"/>
  <c r="AM572" i="6" s="1"/>
  <c r="AN572" i="6" s="1" a="1"/>
  <c r="AN572" i="6" s="1"/>
  <c r="AY90" i="6" a="1"/>
  <c r="AY90" i="6" s="1"/>
  <c r="AM370" i="6" a="1"/>
  <c r="AM370" i="6" s="1"/>
  <c r="AY498" i="6" a="1"/>
  <c r="AY498" i="6" s="1"/>
  <c r="AQ498" i="6" a="1"/>
  <c r="AQ498" i="6" s="1"/>
  <c r="BF498" i="6" s="1"/>
  <c r="AY372" i="6" a="1"/>
  <c r="AY372" i="6" s="1"/>
  <c r="BZ372" i="6" s="1"/>
  <c r="AY446" i="6" a="1"/>
  <c r="AY446" i="6" s="1"/>
  <c r="BZ446" i="6" s="1"/>
  <c r="AY294" i="6" a="1"/>
  <c r="AY294" i="6" s="1"/>
  <c r="BZ294" i="6" s="1"/>
  <c r="AM25" i="6" a="1"/>
  <c r="AM25" i="6" s="1"/>
  <c r="AN25" i="6" s="1" a="1"/>
  <c r="AN25" i="6" s="1"/>
  <c r="AQ453" i="6" a="1"/>
  <c r="AQ453" i="6" s="1"/>
  <c r="AQ896" i="6" a="1"/>
  <c r="AQ896" i="6" s="1"/>
  <c r="AM824" i="6" a="1"/>
  <c r="AM824" i="6" s="1"/>
  <c r="AN824" i="6" s="1" a="1"/>
  <c r="AN824" i="6" s="1"/>
  <c r="AY953" i="6" a="1"/>
  <c r="AY953" i="6" s="1"/>
  <c r="BT953" i="6" s="1"/>
  <c r="AM121" i="6" a="1"/>
  <c r="AM121" i="6" s="1"/>
  <c r="AQ96" i="6" a="1"/>
  <c r="AQ96" i="6" s="1"/>
  <c r="BF96" i="6" s="1"/>
  <c r="I68" i="4" a="1"/>
  <c r="I68" i="4" s="1"/>
  <c r="J68" i="4" s="1" a="1"/>
  <c r="J68" i="4" s="1"/>
  <c r="AV998" i="6" s="1"/>
  <c r="AM535" i="6" a="1"/>
  <c r="AM535" i="6" s="1"/>
  <c r="AN535" i="6" s="1" a="1"/>
  <c r="AN535" i="6" s="1"/>
  <c r="AQ339" i="6" a="1"/>
  <c r="AQ339" i="6" s="1"/>
  <c r="AQ40" i="6" a="1"/>
  <c r="AQ40" i="6" s="1"/>
  <c r="BM40" i="6" s="1"/>
  <c r="AM398" i="6" a="1"/>
  <c r="AM398" i="6" s="1"/>
  <c r="AN398" i="6" s="1" a="1"/>
  <c r="AN398" i="6" s="1"/>
  <c r="AM975" i="6" a="1"/>
  <c r="AM975" i="6" s="1"/>
  <c r="AN975" i="6" s="1" a="1"/>
  <c r="AN975" i="6" s="1"/>
  <c r="AM712" i="6" a="1"/>
  <c r="AM712" i="6" s="1"/>
  <c r="AM999" i="6" a="1"/>
  <c r="AM999" i="6" s="1"/>
  <c r="AQ296" i="6" a="1"/>
  <c r="AQ296" i="6" s="1"/>
  <c r="AM24" i="6" a="1"/>
  <c r="AM24" i="6" s="1"/>
  <c r="AN24" i="6" s="1" a="1"/>
  <c r="AN24" i="6" s="1"/>
  <c r="AQ329" i="6" a="1"/>
  <c r="AQ329" i="6" s="1"/>
  <c r="AQ780" i="6" a="1"/>
  <c r="AQ780" i="6" s="1"/>
  <c r="BM780" i="6" s="1"/>
  <c r="AQ535" i="6" a="1"/>
  <c r="AQ535" i="6" s="1"/>
  <c r="BF535" i="6" s="1"/>
  <c r="AY276" i="6" a="1"/>
  <c r="AY276" i="6" s="1"/>
  <c r="I32" i="4" a="1"/>
  <c r="I32" i="4" s="1"/>
  <c r="AY185" i="6" a="1"/>
  <c r="AY185" i="6" s="1"/>
  <c r="AQ195" i="6" a="1"/>
  <c r="AQ195" i="6" s="1"/>
  <c r="BF195" i="6" s="1"/>
  <c r="AY390" i="6" a="1"/>
  <c r="AY390" i="6" s="1"/>
  <c r="BZ390" i="6" s="1"/>
  <c r="AQ431" i="6" a="1"/>
  <c r="AQ431" i="6" s="1"/>
  <c r="BF431" i="6" s="1"/>
  <c r="AQ468" i="6" a="1"/>
  <c r="AQ468" i="6" s="1"/>
  <c r="BM468" i="6" s="1"/>
  <c r="AY465" i="6" a="1"/>
  <c r="AY465" i="6" s="1"/>
  <c r="AQ737" i="6" a="1"/>
  <c r="AQ737" i="6" s="1"/>
  <c r="BM737" i="6" s="1"/>
  <c r="AM812" i="6" a="1"/>
  <c r="AM812" i="6" s="1"/>
  <c r="AP812" i="6" s="1"/>
  <c r="AT812" i="6" s="1"/>
  <c r="AY291" i="6" a="1"/>
  <c r="AY291" i="6" s="1"/>
  <c r="BT291" i="6" s="1"/>
  <c r="AY8" i="6" a="1"/>
  <c r="AY8" i="6" s="1"/>
  <c r="AY109" i="6" a="1"/>
  <c r="AY109" i="6" s="1"/>
  <c r="AM803" i="6" a="1"/>
  <c r="AM803" i="6" s="1"/>
  <c r="AP803" i="6" s="1"/>
  <c r="AT803" i="6" s="1"/>
  <c r="AM966" i="6" a="1"/>
  <c r="AM966" i="6" s="1"/>
  <c r="AP966" i="6" s="1"/>
  <c r="AM996" i="6" a="1"/>
  <c r="AM996" i="6" s="1"/>
  <c r="AN996" i="6" s="1" a="1"/>
  <c r="AN996" i="6" s="1"/>
  <c r="AY63" i="6" a="1"/>
  <c r="AY63" i="6" s="1"/>
  <c r="AQ871" i="6" a="1"/>
  <c r="AQ871" i="6" s="1"/>
  <c r="BF871" i="6" s="1"/>
  <c r="AY791" i="6" a="1"/>
  <c r="AY791" i="6" s="1"/>
  <c r="AM796" i="6" a="1"/>
  <c r="AM796" i="6" s="1"/>
  <c r="AQ602" i="6" a="1"/>
  <c r="AQ602" i="6" s="1"/>
  <c r="BF602" i="6" s="1"/>
  <c r="AM16" i="6" a="1"/>
  <c r="AM16" i="6" s="1"/>
  <c r="AP16" i="6" s="1"/>
  <c r="AT16" i="6" s="1"/>
  <c r="AM934" i="6" a="1"/>
  <c r="AM934" i="6" s="1"/>
  <c r="AP934" i="6" s="1"/>
  <c r="AT934" i="6" s="1"/>
  <c r="AM740" i="6" a="1"/>
  <c r="AM740" i="6" s="1"/>
  <c r="AM467" i="6" a="1"/>
  <c r="AM467" i="6" s="1"/>
  <c r="AM818" i="6" a="1"/>
  <c r="AM818" i="6" s="1"/>
  <c r="AP818" i="6" s="1"/>
  <c r="AT818" i="6" s="1"/>
  <c r="AQ519" i="6" a="1"/>
  <c r="AQ519" i="6" s="1"/>
  <c r="BF519" i="6" s="1"/>
  <c r="AQ827" i="6" a="1"/>
  <c r="AQ827" i="6" s="1"/>
  <c r="BF827" i="6" s="1"/>
  <c r="AY885" i="6" a="1"/>
  <c r="AY885" i="6" s="1"/>
  <c r="AM409" i="6" a="1"/>
  <c r="AM409" i="6" s="1"/>
  <c r="AP409" i="6" s="1"/>
  <c r="AM142" i="6" a="1"/>
  <c r="AM142" i="6" s="1"/>
  <c r="AN142" i="6" s="1" a="1"/>
  <c r="AN142" i="6" s="1"/>
  <c r="AY440" i="6" a="1"/>
  <c r="AY440" i="6" s="1"/>
  <c r="BT440" i="6" s="1"/>
  <c r="AM324" i="6" a="1"/>
  <c r="AM324" i="6" s="1"/>
  <c r="AN324" i="6" s="1" a="1"/>
  <c r="AN324" i="6" s="1"/>
  <c r="AM962" i="6" a="1"/>
  <c r="AM962" i="6" s="1"/>
  <c r="AY331" i="6" a="1"/>
  <c r="AY331" i="6" s="1"/>
  <c r="BT331" i="6" s="1"/>
  <c r="AM203" i="6" a="1"/>
  <c r="AM203" i="6" s="1"/>
  <c r="AP203" i="6" s="1"/>
  <c r="AT203" i="6" s="1"/>
  <c r="AY29" i="6" a="1"/>
  <c r="AY29" i="6" s="1"/>
  <c r="BZ29" i="6" s="1"/>
  <c r="AM260" i="6" a="1"/>
  <c r="AM260" i="6" s="1"/>
  <c r="AP260" i="6" s="1"/>
  <c r="AT260" i="6" s="1"/>
  <c r="AM238" i="6" a="1"/>
  <c r="AM238" i="6" s="1"/>
  <c r="AP238" i="6" s="1"/>
  <c r="AT238" i="6" s="1"/>
  <c r="I161" i="4" a="1"/>
  <c r="I161" i="4" s="1"/>
  <c r="J161" i="4" s="1" a="1"/>
  <c r="J161" i="4" s="1"/>
  <c r="AY703" i="6" a="1"/>
  <c r="AY703" i="6" s="1"/>
  <c r="AM945" i="6" a="1"/>
  <c r="AM945" i="6" s="1"/>
  <c r="AN945" i="6" s="1" a="1"/>
  <c r="AN945" i="6" s="1"/>
  <c r="AQ241" i="6" a="1"/>
  <c r="AQ241" i="6" s="1"/>
  <c r="AY111" i="6" a="1"/>
  <c r="AY111" i="6" s="1"/>
  <c r="BT111" i="6" s="1"/>
  <c r="AQ893" i="6" a="1"/>
  <c r="AQ893" i="6" s="1"/>
  <c r="BF893" i="6" s="1"/>
  <c r="AM325" i="6" a="1"/>
  <c r="AM325" i="6" s="1"/>
  <c r="AN325" i="6" s="1" a="1"/>
  <c r="AN325" i="6" s="1"/>
  <c r="AM479" i="6" a="1"/>
  <c r="AM479" i="6" s="1"/>
  <c r="AP479" i="6" s="1"/>
  <c r="AT479" i="6" s="1"/>
  <c r="AQ324" i="6" a="1"/>
  <c r="AQ324" i="6" s="1"/>
  <c r="AM408" i="6" a="1"/>
  <c r="AM408" i="6" s="1"/>
  <c r="AM974" i="6" a="1"/>
  <c r="AM974" i="6" s="1"/>
  <c r="AN974" i="6" s="1" a="1"/>
  <c r="AN974" i="6" s="1"/>
  <c r="AM1003" i="6" a="1"/>
  <c r="AM1003" i="6" s="1"/>
  <c r="AM87" i="6" a="1"/>
  <c r="AM87" i="6" s="1"/>
  <c r="AN87" i="6" s="1" a="1"/>
  <c r="AN87" i="6" s="1"/>
  <c r="AM219" i="6" a="1"/>
  <c r="AM219" i="6" s="1"/>
  <c r="AP219" i="6" s="1"/>
  <c r="AT219" i="6" s="1"/>
  <c r="AM213" i="6" a="1"/>
  <c r="AM213" i="6" s="1"/>
  <c r="AN213" i="6" s="1" a="1"/>
  <c r="AN213" i="6" s="1"/>
  <c r="AM836" i="6" a="1"/>
  <c r="AM836" i="6" s="1"/>
  <c r="AQ699" i="6" a="1"/>
  <c r="AQ699" i="6" s="1"/>
  <c r="BM699" i="6" s="1"/>
  <c r="AM307" i="6" a="1"/>
  <c r="AM307" i="6" s="1"/>
  <c r="AP307" i="6" s="1"/>
  <c r="AT307" i="6" s="1"/>
  <c r="AY700" i="6" a="1"/>
  <c r="AY700" i="6" s="1"/>
  <c r="AM334" i="6" a="1"/>
  <c r="AM334" i="6" s="1"/>
  <c r="AN334" i="6" s="1" a="1"/>
  <c r="AN334" i="6" s="1"/>
  <c r="AM1019" i="6" a="1"/>
  <c r="AM1019" i="6" s="1"/>
  <c r="AQ248" i="6" a="1"/>
  <c r="AQ248" i="6" s="1"/>
  <c r="AM696" i="6" a="1"/>
  <c r="AM696" i="6" s="1"/>
  <c r="AP696" i="6" s="1"/>
  <c r="AT696" i="6" s="1"/>
  <c r="AM662" i="6" a="1"/>
  <c r="AM662" i="6" s="1"/>
  <c r="AP662" i="6" s="1"/>
  <c r="AT662" i="6" s="1"/>
  <c r="AM536" i="6" a="1"/>
  <c r="AM536" i="6" s="1"/>
  <c r="AN536" i="6" s="1" a="1"/>
  <c r="AN536" i="6" s="1"/>
  <c r="AM876" i="6" a="1"/>
  <c r="AM876" i="6" s="1"/>
  <c r="AQ592" i="6" a="1"/>
  <c r="AQ592" i="6" s="1"/>
  <c r="BF592" i="6" s="1"/>
  <c r="AM886" i="6" a="1"/>
  <c r="AM886" i="6" s="1"/>
  <c r="AN886" i="6" s="1" a="1"/>
  <c r="AN886" i="6" s="1"/>
  <c r="AM463" i="6" a="1"/>
  <c r="AM463" i="6" s="1"/>
  <c r="AN463" i="6" s="1" a="1"/>
  <c r="AN463" i="6" s="1"/>
  <c r="AM373" i="6" a="1"/>
  <c r="AM373" i="6" s="1"/>
  <c r="AQ301" i="6" a="1"/>
  <c r="AQ301" i="6" s="1"/>
  <c r="BF301" i="6" s="1"/>
  <c r="AY906" i="6" a="1"/>
  <c r="AY906" i="6" s="1"/>
  <c r="AQ834" i="6" a="1"/>
  <c r="AQ834" i="6" s="1"/>
  <c r="BF834" i="6" s="1"/>
  <c r="AM580" i="6" a="1"/>
  <c r="AM580" i="6" s="1"/>
  <c r="AQ441" i="6" a="1"/>
  <c r="AQ441" i="6" s="1"/>
  <c r="BM441" i="6" s="1"/>
  <c r="AM19" i="6" a="1"/>
  <c r="AM19" i="6" s="1"/>
  <c r="AN19" i="6" s="1" a="1"/>
  <c r="AN19" i="6" s="1"/>
  <c r="AY32" i="6" a="1"/>
  <c r="AY32" i="6" s="1"/>
  <c r="BZ32" i="6" s="1"/>
  <c r="AY629" i="6" a="1"/>
  <c r="AY629" i="6" s="1"/>
  <c r="BZ629" i="6" s="1"/>
  <c r="AM495" i="6" a="1"/>
  <c r="AM495" i="6" s="1"/>
  <c r="AY19" i="6" a="1"/>
  <c r="AY19" i="6" s="1"/>
  <c r="BT19" i="6" s="1"/>
  <c r="AM494" i="6" a="1"/>
  <c r="AM494" i="6" s="1"/>
  <c r="AY462" i="6" a="1"/>
  <c r="AY462" i="6" s="1"/>
  <c r="AY418" i="6" a="1"/>
  <c r="AY418" i="6" s="1"/>
  <c r="BT418" i="6" s="1"/>
  <c r="AM619" i="6" a="1"/>
  <c r="AM619" i="6" s="1"/>
  <c r="AP619" i="6" s="1"/>
  <c r="AT619" i="6" s="1"/>
  <c r="AM645" i="6" a="1"/>
  <c r="AM645" i="6" s="1"/>
  <c r="AY482" i="6" a="1"/>
  <c r="AY482" i="6" s="1"/>
  <c r="AM349" i="6" a="1"/>
  <c r="AM349" i="6" s="1"/>
  <c r="AP349" i="6" s="1"/>
  <c r="AT349" i="6" s="1"/>
  <c r="AM731" i="6" a="1"/>
  <c r="AM731" i="6" s="1"/>
  <c r="AP731" i="6" s="1"/>
  <c r="AT731" i="6" s="1"/>
  <c r="AM65" i="6" a="1"/>
  <c r="AM65" i="6" s="1"/>
  <c r="AM294" i="6" a="1"/>
  <c r="AM294" i="6" s="1"/>
  <c r="AM857" i="6" a="1"/>
  <c r="AM857" i="6" s="1"/>
  <c r="AN857" i="6" s="1" a="1"/>
  <c r="AN857" i="6" s="1"/>
  <c r="AQ940" i="6" a="1"/>
  <c r="AQ940" i="6" s="1"/>
  <c r="AY860" i="6" a="1"/>
  <c r="AY860" i="6" s="1"/>
  <c r="AQ885" i="6" a="1"/>
  <c r="AQ885" i="6" s="1"/>
  <c r="AM112" i="6" a="1"/>
  <c r="AM112" i="6" s="1"/>
  <c r="AY316" i="6" a="1"/>
  <c r="AY316" i="6" s="1"/>
  <c r="AM511" i="6" a="1"/>
  <c r="AM511" i="6" s="1"/>
  <c r="AM161" i="6" a="1"/>
  <c r="AM161" i="6" s="1"/>
  <c r="AP161" i="6" s="1"/>
  <c r="AT161" i="6" s="1"/>
  <c r="AY619" i="6" a="1"/>
  <c r="AY619" i="6" s="1"/>
  <c r="BT619" i="6" s="1"/>
  <c r="AM22" i="6" a="1"/>
  <c r="AM22" i="6" s="1"/>
  <c r="AM582" i="6" a="1"/>
  <c r="AM582" i="6" s="1"/>
  <c r="AP582" i="6" s="1"/>
  <c r="AT582" i="6" s="1"/>
  <c r="AY473" i="6" a="1"/>
  <c r="AY473" i="6" s="1"/>
  <c r="AM344" i="6" a="1"/>
  <c r="AM344" i="6" s="1"/>
  <c r="AY596" i="6" a="1"/>
  <c r="AY596" i="6" s="1"/>
  <c r="AM1014" i="6" a="1"/>
  <c r="AM1014" i="6" s="1"/>
  <c r="AQ176" i="6" a="1"/>
  <c r="AQ176" i="6" s="1"/>
  <c r="BM176" i="6" s="1"/>
  <c r="AQ59" i="6" a="1"/>
  <c r="AQ59" i="6" s="1"/>
  <c r="BM59" i="6" s="1"/>
  <c r="AQ209" i="6" a="1"/>
  <c r="AQ209" i="6" s="1"/>
  <c r="BF209" i="6" s="1"/>
  <c r="AQ610" i="6" a="1"/>
  <c r="AQ610" i="6" s="1"/>
  <c r="BF610" i="6" s="1"/>
  <c r="AY441" i="6" a="1"/>
  <c r="AY441" i="6" s="1"/>
  <c r="AY621" i="6" a="1"/>
  <c r="AY621" i="6" s="1"/>
  <c r="AM314" i="6" a="1"/>
  <c r="AM314" i="6" s="1"/>
  <c r="AQ442" i="6" a="1"/>
  <c r="AQ442" i="6" s="1"/>
  <c r="BF442" i="6" s="1"/>
  <c r="AM689" i="6" a="1"/>
  <c r="AM689" i="6" s="1"/>
  <c r="AP689" i="6" s="1"/>
  <c r="AT689" i="6" s="1"/>
  <c r="AM525" i="6" a="1"/>
  <c r="AM525" i="6" s="1"/>
  <c r="AY458" i="6" a="1"/>
  <c r="AY458" i="6" s="1"/>
  <c r="BT458" i="6" s="1"/>
  <c r="I18" i="4" a="1"/>
  <c r="I18" i="4" s="1"/>
  <c r="AQ691" i="6" a="1"/>
  <c r="AQ691" i="6" s="1"/>
  <c r="BF691" i="6" s="1"/>
  <c r="AM12" i="6" a="1"/>
  <c r="AM12" i="6" s="1"/>
  <c r="AM267" i="6" a="1"/>
  <c r="AM267" i="6" s="1"/>
  <c r="AQ580" i="6" a="1"/>
  <c r="AQ580" i="6" s="1"/>
  <c r="AM111" i="6" a="1"/>
  <c r="AM111" i="6" s="1"/>
  <c r="AM230" i="6" a="1"/>
  <c r="AM230" i="6" s="1"/>
  <c r="AQ705" i="6" a="1"/>
  <c r="AQ705" i="6" s="1"/>
  <c r="BF705" i="6" s="1"/>
  <c r="AQ741" i="6" a="1"/>
  <c r="AQ741" i="6" s="1"/>
  <c r="AM538" i="6" a="1"/>
  <c r="AM538" i="6" s="1"/>
  <c r="AM584" i="6" a="1"/>
  <c r="AM584" i="6" s="1"/>
  <c r="AY133" i="6" a="1"/>
  <c r="AY133" i="6" s="1"/>
  <c r="AY626" i="6" a="1"/>
  <c r="AY626" i="6" s="1"/>
  <c r="BZ626" i="6" s="1"/>
  <c r="AM168" i="6" a="1"/>
  <c r="AM168" i="6" s="1"/>
  <c r="AQ396" i="6" a="1"/>
  <c r="AQ396" i="6" s="1"/>
  <c r="BM396" i="6" s="1"/>
  <c r="AM388" i="6" a="1"/>
  <c r="AM388" i="6" s="1"/>
  <c r="AN388" i="6" s="1" a="1"/>
  <c r="AN388" i="6" s="1"/>
  <c r="AQ162" i="6" a="1"/>
  <c r="AQ162" i="6" s="1"/>
  <c r="BM162" i="6" s="1"/>
  <c r="AM557" i="6" a="1"/>
  <c r="AM557" i="6" s="1"/>
  <c r="AQ744" i="6" a="1"/>
  <c r="AQ744" i="6" s="1"/>
  <c r="BF744" i="6" s="1"/>
  <c r="AM218" i="6" a="1"/>
  <c r="AM218" i="6" s="1"/>
  <c r="AY968" i="6" a="1"/>
  <c r="AY968" i="6" s="1"/>
  <c r="BT968" i="6" s="1"/>
  <c r="AM790" i="6" a="1"/>
  <c r="AM790" i="6" s="1"/>
  <c r="AN790" i="6" s="1" a="1"/>
  <c r="AN790" i="6" s="1"/>
  <c r="AM950" i="6" a="1"/>
  <c r="AM950" i="6" s="1"/>
  <c r="AQ578" i="6" a="1"/>
  <c r="AQ578" i="6" s="1"/>
  <c r="BF578" i="6" s="1"/>
  <c r="AM971" i="6" a="1"/>
  <c r="AM971" i="6" s="1"/>
  <c r="AP971" i="6" s="1"/>
  <c r="AT971" i="6" s="1"/>
  <c r="AM268" i="6" a="1"/>
  <c r="AM268" i="6" s="1"/>
  <c r="AN268" i="6" s="1" a="1"/>
  <c r="AN268" i="6" s="1"/>
  <c r="AM150" i="6" a="1"/>
  <c r="AM150" i="6" s="1"/>
  <c r="AM432" i="6" a="1"/>
  <c r="AM432" i="6" s="1"/>
  <c r="AN432" i="6" s="1" a="1"/>
  <c r="AN432" i="6" s="1"/>
  <c r="AQ217" i="6" a="1"/>
  <c r="AQ217" i="6" s="1"/>
  <c r="AY543" i="6" a="1"/>
  <c r="AY543" i="6" s="1"/>
  <c r="AQ293" i="6" a="1"/>
  <c r="AQ293" i="6" s="1"/>
  <c r="BF293" i="6" s="1"/>
  <c r="AQ892" i="6" a="1"/>
  <c r="AQ892" i="6" s="1"/>
  <c r="AM191" i="6" a="1"/>
  <c r="AM191" i="6" s="1"/>
  <c r="AQ199" i="6" a="1"/>
  <c r="AQ199" i="6" s="1"/>
  <c r="AQ835" i="6" a="1"/>
  <c r="AQ835" i="6" s="1"/>
  <c r="BM835" i="6" s="1"/>
  <c r="AM422" i="6" a="1"/>
  <c r="AM422" i="6" s="1"/>
  <c r="AN422" i="6" s="1" a="1"/>
  <c r="AN422" i="6" s="1"/>
  <c r="AM465" i="6" a="1"/>
  <c r="AM465" i="6" s="1"/>
  <c r="AN465" i="6" s="1" a="1"/>
  <c r="AN465" i="6" s="1"/>
  <c r="AM318" i="6" a="1"/>
  <c r="AM318" i="6" s="1"/>
  <c r="AP318" i="6" s="1"/>
  <c r="AT318" i="6" s="1"/>
  <c r="AY258" i="6" a="1"/>
  <c r="AY258" i="6" s="1"/>
  <c r="AY852" i="6" a="1"/>
  <c r="AY852" i="6" s="1"/>
  <c r="BZ852" i="6" s="1"/>
  <c r="AQ378" i="6" a="1"/>
  <c r="AQ378" i="6" s="1"/>
  <c r="BM378" i="6" s="1"/>
  <c r="AM979" i="6" a="1"/>
  <c r="AM979" i="6" s="1"/>
  <c r="AP979" i="6" s="1"/>
  <c r="AT979" i="6" s="1"/>
  <c r="AY416" i="6" a="1"/>
  <c r="AY416" i="6" s="1"/>
  <c r="AM10" i="6" a="1"/>
  <c r="AM10" i="6" s="1"/>
  <c r="AM471" i="6" a="1"/>
  <c r="AM471" i="6" s="1"/>
  <c r="AM1017" i="6" a="1"/>
  <c r="AM1017" i="6" s="1"/>
  <c r="AM848" i="6" a="1"/>
  <c r="AM848" i="6" s="1"/>
  <c r="AQ325" i="6" a="1"/>
  <c r="AQ325" i="6" s="1"/>
  <c r="AM695" i="6" a="1"/>
  <c r="AM695" i="6" s="1"/>
  <c r="AP695" i="6" s="1"/>
  <c r="AT695" i="6" s="1"/>
  <c r="AQ998" i="6" a="1"/>
  <c r="AQ998" i="6" s="1"/>
  <c r="AY227" i="6" a="1"/>
  <c r="AY227" i="6" s="1"/>
  <c r="AM648" i="6" a="1"/>
  <c r="AM648" i="6" s="1"/>
  <c r="AP648" i="6" s="1"/>
  <c r="AT648" i="6" s="1"/>
  <c r="AM571" i="6" a="1"/>
  <c r="AM571" i="6" s="1"/>
  <c r="AM147" i="6" a="1"/>
  <c r="AM147" i="6" s="1"/>
  <c r="AM567" i="6" a="1"/>
  <c r="AM567" i="6" s="1"/>
  <c r="AN567" i="6" s="1" a="1"/>
  <c r="AN567" i="6" s="1"/>
  <c r="AY907" i="6" a="1"/>
  <c r="AY907" i="6" s="1"/>
  <c r="BZ907" i="6" s="1"/>
  <c r="AQ18" i="6" a="1"/>
  <c r="AQ18" i="6" s="1"/>
  <c r="AM462" i="6" a="1"/>
  <c r="AM462" i="6" s="1"/>
  <c r="AM262" i="6" a="1"/>
  <c r="AM262" i="6" s="1"/>
  <c r="AM913" i="6" a="1"/>
  <c r="AM913" i="6" s="1"/>
  <c r="AQ1004" i="6" a="1"/>
  <c r="AQ1004" i="6" s="1"/>
  <c r="AQ367" i="6" a="1"/>
  <c r="AQ367" i="6" s="1"/>
  <c r="AQ568" i="6" a="1"/>
  <c r="AQ568" i="6" s="1"/>
  <c r="BM568" i="6" s="1"/>
  <c r="AQ536" i="6" a="1"/>
  <c r="AQ536" i="6" s="1"/>
  <c r="BF536" i="6" s="1"/>
  <c r="AQ598" i="6" a="1"/>
  <c r="AQ598" i="6" s="1"/>
  <c r="AQ420" i="6" a="1"/>
  <c r="AQ420" i="6" s="1"/>
  <c r="BF420" i="6" s="1"/>
  <c r="AY624" i="6" a="1"/>
  <c r="AY624" i="6" s="1"/>
  <c r="BZ624" i="6" s="1"/>
  <c r="AQ208" i="6" a="1"/>
  <c r="AQ208" i="6" s="1"/>
  <c r="AQ17" i="6" a="1"/>
  <c r="AQ17" i="6" s="1"/>
  <c r="BF17" i="6" s="1"/>
  <c r="AQ966" i="6" a="1"/>
  <c r="AQ966" i="6" s="1"/>
  <c r="BF966" i="6" s="1"/>
  <c r="AM600" i="6" a="1"/>
  <c r="AM600" i="6" s="1"/>
  <c r="AN600" i="6" s="1" a="1"/>
  <c r="AN600" i="6" s="1"/>
  <c r="AY285" i="6" a="1"/>
  <c r="AY285" i="6" s="1"/>
  <c r="BT285" i="6" s="1"/>
  <c r="AM154" i="6" a="1"/>
  <c r="AM154" i="6" s="1"/>
  <c r="AP154" i="6" s="1"/>
  <c r="AT154" i="6" s="1"/>
  <c r="AM526" i="6" a="1"/>
  <c r="AM526" i="6" s="1"/>
  <c r="AQ1011" i="6" a="1"/>
  <c r="AQ1011" i="6" s="1"/>
  <c r="BM1011" i="6" s="1"/>
  <c r="AY797" i="6" a="1"/>
  <c r="AY797" i="6" s="1"/>
  <c r="BZ797" i="6" s="1"/>
  <c r="AM58" i="6" a="1"/>
  <c r="AM58" i="6" s="1"/>
  <c r="AM1002" i="6" a="1"/>
  <c r="AM1002" i="6" s="1"/>
  <c r="AY898" i="6" a="1"/>
  <c r="AY898" i="6" s="1"/>
  <c r="AQ222" i="6" a="1"/>
  <c r="AQ222" i="6" s="1"/>
  <c r="BM222" i="6" s="1"/>
  <c r="AY417" i="6" a="1"/>
  <c r="AY417" i="6" s="1"/>
  <c r="BT417" i="6" s="1"/>
  <c r="AM713" i="6" a="1"/>
  <c r="AM713" i="6" s="1"/>
  <c r="AQ179" i="6" a="1"/>
  <c r="AQ179" i="6" s="1"/>
  <c r="BM179" i="6" s="1"/>
  <c r="AY911" i="6" a="1"/>
  <c r="AY911" i="6" s="1"/>
  <c r="BZ911" i="6" s="1"/>
  <c r="AQ591" i="6" a="1"/>
  <c r="AQ591" i="6" s="1"/>
  <c r="BF591" i="6" s="1"/>
  <c r="AQ381" i="6" a="1"/>
  <c r="AQ381" i="6" s="1"/>
  <c r="BM381" i="6" s="1"/>
  <c r="AQ153" i="6" a="1"/>
  <c r="AQ153" i="6" s="1"/>
  <c r="BM153" i="6" s="1"/>
  <c r="AY342" i="6" a="1"/>
  <c r="AY342" i="6" s="1"/>
  <c r="AM8" i="6" a="1"/>
  <c r="AM8" i="6" s="1"/>
  <c r="AY999" i="6" a="1"/>
  <c r="AY999" i="6" s="1"/>
  <c r="AY947" i="6" a="1"/>
  <c r="AY947" i="6" s="1"/>
  <c r="BT947" i="6" s="1"/>
  <c r="AQ107" i="6" a="1"/>
  <c r="AQ107" i="6" s="1"/>
  <c r="AQ57" i="6" a="1"/>
  <c r="AQ57" i="6" s="1"/>
  <c r="BF57" i="6" s="1"/>
  <c r="AY584" i="6" a="1"/>
  <c r="AY584" i="6" s="1"/>
  <c r="AQ910" i="6" a="1"/>
  <c r="AQ910" i="6" s="1"/>
  <c r="BF910" i="6" s="1"/>
  <c r="AQ791" i="6" a="1"/>
  <c r="AQ791" i="6" s="1"/>
  <c r="I8" i="4" a="1"/>
  <c r="I8" i="4" s="1"/>
  <c r="AQ72" i="6" a="1"/>
  <c r="AQ72" i="6" s="1"/>
  <c r="AY69" i="6" a="1"/>
  <c r="AY69" i="6" s="1"/>
  <c r="BT69" i="6" s="1"/>
  <c r="AQ764" i="6" a="1"/>
  <c r="AQ764" i="6" s="1"/>
  <c r="AY892" i="6" a="1"/>
  <c r="AY892" i="6" s="1"/>
  <c r="AQ124" i="6" a="1"/>
  <c r="AQ124" i="6" s="1"/>
  <c r="AQ631" i="6" a="1"/>
  <c r="AQ631" i="6" s="1"/>
  <c r="AQ288" i="6" a="1"/>
  <c r="AQ288" i="6" s="1"/>
  <c r="BM288" i="6" s="1"/>
  <c r="BN288" i="6" s="1"/>
  <c r="AY841" i="6" a="1"/>
  <c r="AY841" i="6" s="1"/>
  <c r="AQ90" i="6" a="1"/>
  <c r="AQ90" i="6" s="1"/>
  <c r="BF90" i="6" s="1"/>
  <c r="AQ811" i="6" a="1"/>
  <c r="AQ811" i="6" s="1"/>
  <c r="BM811" i="6" s="1"/>
  <c r="AY992" i="6" a="1"/>
  <c r="AY992" i="6" s="1"/>
  <c r="AY516" i="6" a="1"/>
  <c r="AY516" i="6" s="1"/>
  <c r="AQ604" i="6" a="1"/>
  <c r="AQ604" i="6" s="1"/>
  <c r="BM604" i="6" s="1"/>
  <c r="AY452" i="6" a="1"/>
  <c r="AY452" i="6" s="1"/>
  <c r="BZ452" i="6" s="1"/>
  <c r="AQ685" i="6" a="1"/>
  <c r="AQ685" i="6" s="1"/>
  <c r="BM685" i="6" s="1"/>
  <c r="AY369" i="6" a="1"/>
  <c r="AY369" i="6" s="1"/>
  <c r="AQ127" i="6" a="1"/>
  <c r="AQ127" i="6" s="1"/>
  <c r="AQ24" i="6" a="1"/>
  <c r="AQ24" i="6" s="1"/>
  <c r="AY522" i="6" a="1"/>
  <c r="AY522" i="6" s="1"/>
  <c r="BT522" i="6" s="1"/>
  <c r="AM647" i="6" a="1"/>
  <c r="AM647" i="6" s="1"/>
  <c r="AP647" i="6" s="1"/>
  <c r="AT647" i="6" s="1"/>
  <c r="AQ636" i="6" a="1"/>
  <c r="AQ636" i="6" s="1"/>
  <c r="BF636" i="6" s="1"/>
  <c r="AY219" i="6" a="1"/>
  <c r="AY219" i="6" s="1"/>
  <c r="AQ717" i="6" a="1"/>
  <c r="AQ717" i="6" s="1"/>
  <c r="BM717" i="6" s="1"/>
  <c r="AQ246" i="6" a="1"/>
  <c r="AQ246" i="6" s="1"/>
  <c r="BF246" i="6" s="1"/>
  <c r="AQ775" i="6" a="1"/>
  <c r="AQ775" i="6" s="1"/>
  <c r="BM775" i="6" s="1"/>
  <c r="AY216" i="6" a="1"/>
  <c r="AY216" i="6" s="1"/>
  <c r="BZ216" i="6" s="1"/>
  <c r="AQ357" i="6" a="1"/>
  <c r="AQ357" i="6" s="1"/>
  <c r="BM357" i="6" s="1"/>
  <c r="AY756" i="6" a="1"/>
  <c r="AY756" i="6" s="1"/>
  <c r="BZ756" i="6" s="1"/>
  <c r="I202" i="4" a="1"/>
  <c r="I202" i="4" s="1"/>
  <c r="AY731" i="6" a="1"/>
  <c r="AY731" i="6" s="1"/>
  <c r="AM424" i="6" a="1"/>
  <c r="AM424" i="6" s="1"/>
  <c r="AQ860" i="6" a="1"/>
  <c r="AQ860" i="6" s="1"/>
  <c r="BF860" i="6" s="1"/>
  <c r="BG860" i="6" s="1"/>
  <c r="AM547" i="6" a="1"/>
  <c r="AM547" i="6" s="1"/>
  <c r="AY581" i="6" a="1"/>
  <c r="AY581" i="6" s="1"/>
  <c r="BT581" i="6" s="1"/>
  <c r="AQ433" i="6" a="1"/>
  <c r="AQ433" i="6" s="1"/>
  <c r="BM433" i="6" s="1"/>
  <c r="AQ994" i="6" a="1"/>
  <c r="AQ994" i="6" s="1"/>
  <c r="BM994" i="6" s="1"/>
  <c r="AY323" i="6" a="1"/>
  <c r="AY323" i="6" s="1"/>
  <c r="AM581" i="6" a="1"/>
  <c r="AM581" i="6" s="1"/>
  <c r="AQ730" i="6" a="1"/>
  <c r="AQ730" i="6" s="1"/>
  <c r="BF730" i="6" s="1"/>
  <c r="AQ520" i="6" a="1"/>
  <c r="AQ520" i="6" s="1"/>
  <c r="AM351" i="6" a="1"/>
  <c r="AM351" i="6" s="1"/>
  <c r="AM578" i="6" a="1"/>
  <c r="AM578" i="6" s="1"/>
  <c r="AP578" i="6" s="1"/>
  <c r="AM30" i="6" a="1"/>
  <c r="AM30" i="6" s="1"/>
  <c r="AP30" i="6" s="1"/>
  <c r="AT30" i="6" s="1"/>
  <c r="AQ126" i="6" a="1"/>
  <c r="AQ126" i="6" s="1"/>
  <c r="AQ69" i="6" a="1"/>
  <c r="AQ69" i="6" s="1"/>
  <c r="AQ233" i="6" a="1"/>
  <c r="AQ233" i="6" s="1"/>
  <c r="BF233" i="6" s="1"/>
  <c r="BG233" i="6" s="1"/>
  <c r="AY1019" i="6" a="1"/>
  <c r="AY1019" i="6" s="1"/>
  <c r="AQ436" i="6" a="1"/>
  <c r="AQ436" i="6" s="1"/>
  <c r="AQ794" i="6" a="1"/>
  <c r="AQ794" i="6" s="1"/>
  <c r="AQ826" i="6" a="1"/>
  <c r="AQ826" i="6" s="1"/>
  <c r="AQ981" i="6" a="1"/>
  <c r="AQ981" i="6" s="1"/>
  <c r="AM159" i="6" a="1"/>
  <c r="AM159" i="6" s="1"/>
  <c r="AP159" i="6" s="1"/>
  <c r="AT159" i="6" s="1"/>
  <c r="AM637" i="6" a="1"/>
  <c r="AM637" i="6" s="1"/>
  <c r="AQ215" i="6" a="1"/>
  <c r="AQ215" i="6" s="1"/>
  <c r="BF215" i="6" s="1"/>
  <c r="AQ633" i="6" a="1"/>
  <c r="AQ633" i="6" s="1"/>
  <c r="BF633" i="6" s="1"/>
  <c r="AM345" i="6" a="1"/>
  <c r="AM345" i="6" s="1"/>
  <c r="AP345" i="6" s="1"/>
  <c r="AT345" i="6" s="1"/>
  <c r="AQ261" i="6" a="1"/>
  <c r="AQ261" i="6" s="1"/>
  <c r="AQ10" i="6" a="1"/>
  <c r="AQ10" i="6" s="1"/>
  <c r="AY805" i="6" a="1"/>
  <c r="AY805" i="6" s="1"/>
  <c r="AQ174" i="6" a="1"/>
  <c r="AQ174" i="6" s="1"/>
  <c r="AY682" i="6" a="1"/>
  <c r="AY682" i="6" s="1"/>
  <c r="BT682" i="6" s="1"/>
  <c r="AQ202" i="6" a="1"/>
  <c r="AQ202" i="6" s="1"/>
  <c r="AY889" i="6" a="1"/>
  <c r="AY889" i="6" s="1"/>
  <c r="AQ948" i="6" a="1"/>
  <c r="AQ948" i="6" s="1"/>
  <c r="AQ154" i="6" a="1"/>
  <c r="AQ154" i="6" s="1"/>
  <c r="BF154" i="6" s="1"/>
  <c r="AM490" i="6" a="1"/>
  <c r="AM490" i="6" s="1"/>
  <c r="I120" i="4" a="1"/>
  <c r="I120" i="4" s="1"/>
  <c r="J120" i="4" s="1" a="1"/>
  <c r="J120" i="4" s="1"/>
  <c r="AQ369" i="6" a="1"/>
  <c r="AQ369" i="6" s="1"/>
  <c r="AQ256" i="6" a="1"/>
  <c r="AQ256" i="6" s="1"/>
  <c r="BF256" i="6" s="1"/>
  <c r="AQ926" i="6" a="1"/>
  <c r="AQ926" i="6" s="1"/>
  <c r="BF926" i="6" s="1"/>
  <c r="AY511" i="6" a="1"/>
  <c r="AY511" i="6" s="1"/>
  <c r="BT511" i="6" s="1"/>
  <c r="AQ958" i="6" a="1"/>
  <c r="AQ958" i="6" s="1"/>
  <c r="AQ953" i="6" a="1"/>
  <c r="AQ953" i="6" s="1"/>
  <c r="BF953" i="6" s="1"/>
  <c r="AY36" i="6" a="1"/>
  <c r="AY36" i="6" s="1"/>
  <c r="AQ309" i="6" a="1"/>
  <c r="AQ309" i="6" s="1"/>
  <c r="BM309" i="6" s="1"/>
  <c r="AQ650" i="6" a="1"/>
  <c r="AQ650" i="6" s="1"/>
  <c r="AY662" i="6" a="1"/>
  <c r="AY662" i="6" s="1"/>
  <c r="BT662" i="6" s="1"/>
  <c r="AY289" i="6" a="1"/>
  <c r="AY289" i="6" s="1"/>
  <c r="AM1023" i="6" a="1"/>
  <c r="AM1023" i="6" s="1"/>
  <c r="AP1023" i="6" s="1"/>
  <c r="AY540" i="6" a="1"/>
  <c r="AY540" i="6" s="1"/>
  <c r="BZ540" i="6" s="1"/>
  <c r="AQ836" i="6" a="1"/>
  <c r="AQ836" i="6" s="1"/>
  <c r="BF836" i="6" s="1"/>
  <c r="AQ216" i="6" a="1"/>
  <c r="AQ216" i="6" s="1"/>
  <c r="AY786" i="6" a="1"/>
  <c r="AY786" i="6" s="1"/>
  <c r="BZ786" i="6" s="1"/>
  <c r="AQ838" i="6" a="1"/>
  <c r="AQ838" i="6" s="1"/>
  <c r="AY121" i="6" a="1"/>
  <c r="AY121" i="6" s="1"/>
  <c r="I178" i="4" a="1"/>
  <c r="I178" i="4" s="1"/>
  <c r="AY752" i="6" a="1"/>
  <c r="AY752" i="6" s="1"/>
  <c r="AY221" i="6" a="1"/>
  <c r="AY221" i="6" s="1"/>
  <c r="AQ12" i="6" a="1"/>
  <c r="AQ12" i="6" s="1"/>
  <c r="AM235" i="6" a="1"/>
  <c r="AM235" i="6" s="1"/>
  <c r="AP235" i="6" s="1"/>
  <c r="AT235" i="6" s="1"/>
  <c r="AQ240" i="6" a="1"/>
  <c r="AQ240" i="6" s="1"/>
  <c r="AM185" i="6" a="1"/>
  <c r="AM185" i="6" s="1"/>
  <c r="AY62" i="6" a="1"/>
  <c r="AY62" i="6" s="1"/>
  <c r="AM708" i="6" a="1"/>
  <c r="AM708" i="6" s="1"/>
  <c r="AY483" i="6" a="1"/>
  <c r="AY483" i="6" s="1"/>
  <c r="AM130" i="6" a="1"/>
  <c r="AM130" i="6" s="1"/>
  <c r="AQ506" i="6" a="1"/>
  <c r="AQ506" i="6" s="1"/>
  <c r="AQ189" i="6" a="1"/>
  <c r="AQ189" i="6" s="1"/>
  <c r="AQ348" i="6" a="1"/>
  <c r="AQ348" i="6" s="1"/>
  <c r="AQ736" i="6" a="1"/>
  <c r="AQ736" i="6" s="1"/>
  <c r="AM330" i="6" a="1"/>
  <c r="AM330" i="6" s="1"/>
  <c r="AM99" i="6" a="1"/>
  <c r="AM99" i="6" s="1"/>
  <c r="AQ539" i="6" a="1"/>
  <c r="AQ539" i="6" s="1"/>
  <c r="AQ952" i="6" a="1"/>
  <c r="AQ952" i="6" s="1"/>
  <c r="AQ632" i="6" a="1"/>
  <c r="AQ632" i="6" s="1"/>
  <c r="AM382" i="6" a="1"/>
  <c r="AM382" i="6" s="1"/>
  <c r="AY169" i="6" a="1"/>
  <c r="AY169" i="6" s="1"/>
  <c r="AQ1017" i="6" a="1"/>
  <c r="AQ1017" i="6" s="1"/>
  <c r="BM1017" i="6" s="1"/>
  <c r="AM108" i="6" a="1"/>
  <c r="AM108" i="6" s="1"/>
  <c r="AQ547" i="6" a="1"/>
  <c r="AQ547" i="6" s="1"/>
  <c r="BF547" i="6" s="1"/>
  <c r="AY530" i="6" a="1"/>
  <c r="AY530" i="6" s="1"/>
  <c r="AM126" i="6" a="1"/>
  <c r="AM126" i="6" s="1"/>
  <c r="AM778" i="6" a="1"/>
  <c r="AM778" i="6" s="1"/>
  <c r="AQ698" i="6" a="1"/>
  <c r="AQ698" i="6" s="1"/>
  <c r="BM698" i="6" s="1"/>
  <c r="AY136" i="6" a="1"/>
  <c r="AY136" i="6" s="1"/>
  <c r="BZ136" i="6" s="1"/>
  <c r="AQ751" i="6" a="1"/>
  <c r="AQ751" i="6" s="1"/>
  <c r="AY851" i="6" a="1"/>
  <c r="AY851" i="6" s="1"/>
  <c r="BZ851" i="6" s="1"/>
  <c r="AY665" i="6" a="1"/>
  <c r="AY665" i="6" s="1"/>
  <c r="AY778" i="6" a="1"/>
  <c r="AY778" i="6" s="1"/>
  <c r="BZ778" i="6" s="1"/>
  <c r="AY720" i="6" a="1"/>
  <c r="AY720" i="6" s="1"/>
  <c r="BZ720" i="6" s="1"/>
  <c r="AY55" i="6" a="1"/>
  <c r="AY55" i="6" s="1"/>
  <c r="AM964" i="6" a="1"/>
  <c r="AM964" i="6" s="1"/>
  <c r="AY407" i="6" a="1"/>
  <c r="AY407" i="6" s="1"/>
  <c r="AQ424" i="6" a="1"/>
  <c r="AQ424" i="6" s="1"/>
  <c r="AQ819" i="6" a="1"/>
  <c r="AQ819" i="6" s="1"/>
  <c r="AQ589" i="6" a="1"/>
  <c r="AQ589" i="6" s="1"/>
  <c r="BF589" i="6" s="1"/>
  <c r="AM289" i="6" a="1"/>
  <c r="AM289" i="6" s="1"/>
  <c r="AP289" i="6" s="1"/>
  <c r="AT289" i="6" s="1"/>
  <c r="AY979" i="6" a="1"/>
  <c r="AY979" i="6" s="1"/>
  <c r="AM734" i="6" a="1"/>
  <c r="AM734" i="6" s="1"/>
  <c r="AQ647" i="6" a="1"/>
  <c r="AQ647" i="6" s="1"/>
  <c r="BF647" i="6" s="1"/>
  <c r="AY955" i="6" a="1"/>
  <c r="AY955" i="6" s="1"/>
  <c r="BZ955" i="6" s="1"/>
  <c r="AQ573" i="6" a="1"/>
  <c r="AQ573" i="6" s="1"/>
  <c r="BF573" i="6" s="1"/>
  <c r="AY297" i="6" a="1"/>
  <c r="AY297" i="6" s="1"/>
  <c r="AQ454" i="6" a="1"/>
  <c r="AQ454" i="6" s="1"/>
  <c r="BM454" i="6" s="1"/>
  <c r="AQ652" i="6" a="1"/>
  <c r="AQ652" i="6" s="1"/>
  <c r="BM652" i="6" s="1"/>
  <c r="AQ297" i="6" a="1"/>
  <c r="AQ297" i="6" s="1"/>
  <c r="BM297" i="6" s="1"/>
  <c r="AQ91" i="6" a="1"/>
  <c r="AQ91" i="6" s="1"/>
  <c r="I250" i="4" a="1"/>
  <c r="I250" i="4" s="1"/>
  <c r="J250" i="4" s="1" a="1"/>
  <c r="J250" i="4" s="1"/>
  <c r="AM44" i="6" a="1"/>
  <c r="AM44" i="6" s="1"/>
  <c r="AP44" i="6" s="1"/>
  <c r="AM703" i="6" a="1"/>
  <c r="AM703" i="6" s="1"/>
  <c r="AQ469" i="6" a="1"/>
  <c r="AQ469" i="6" s="1"/>
  <c r="BM469" i="6" s="1"/>
  <c r="AM980" i="6" a="1"/>
  <c r="AM980" i="6" s="1"/>
  <c r="AM76" i="6" a="1"/>
  <c r="AM76" i="6" s="1"/>
  <c r="AP76" i="6" s="1"/>
  <c r="AT76" i="6" s="1"/>
  <c r="AQ277" i="6" a="1"/>
  <c r="AQ277" i="6" s="1"/>
  <c r="BF277" i="6" s="1"/>
  <c r="AM599" i="6" a="1"/>
  <c r="AM599" i="6" s="1"/>
  <c r="AQ715" i="6" a="1"/>
  <c r="AQ715" i="6" s="1"/>
  <c r="AQ961" i="6" a="1"/>
  <c r="AQ961" i="6" s="1"/>
  <c r="AM364" i="6" a="1"/>
  <c r="AM364" i="6" s="1"/>
  <c r="AY817" i="6" a="1"/>
  <c r="AY817" i="6" s="1"/>
  <c r="BZ817" i="6" s="1"/>
  <c r="AQ269" i="6" a="1"/>
  <c r="AQ269" i="6" s="1"/>
  <c r="AY873" i="6" a="1"/>
  <c r="AY873" i="6" s="1"/>
  <c r="BT873" i="6" s="1"/>
  <c r="AQ840" i="6" a="1"/>
  <c r="AQ840" i="6" s="1"/>
  <c r="AQ801" i="6" a="1"/>
  <c r="AQ801" i="6" s="1"/>
  <c r="BF801" i="6" s="1"/>
  <c r="AQ11" i="6" a="1"/>
  <c r="AQ11" i="6" s="1"/>
  <c r="AM931" i="6" a="1"/>
  <c r="AM931" i="6" s="1"/>
  <c r="AM386" i="6" a="1"/>
  <c r="AM386" i="6" s="1"/>
  <c r="AY958" i="6" a="1"/>
  <c r="AY958" i="6" s="1"/>
  <c r="BZ958" i="6" s="1"/>
  <c r="AQ298" i="6" a="1"/>
  <c r="AQ298" i="6" s="1"/>
  <c r="AQ1021" i="6" a="1"/>
  <c r="AQ1021" i="6" s="1"/>
  <c r="BF1021" i="6" s="1"/>
  <c r="AQ630" i="6" a="1"/>
  <c r="AQ630" i="6" s="1"/>
  <c r="AQ597" i="6" a="1"/>
  <c r="AQ597" i="6" s="1"/>
  <c r="BM597" i="6" s="1"/>
  <c r="AQ704" i="6" a="1"/>
  <c r="AQ704" i="6" s="1"/>
  <c r="BF704" i="6" s="1"/>
  <c r="AM499" i="6" a="1"/>
  <c r="AM499" i="6" s="1"/>
  <c r="AM943" i="6" a="1"/>
  <c r="AM943" i="6" s="1"/>
  <c r="AP943" i="6" s="1"/>
  <c r="AT943" i="6" s="1"/>
  <c r="AM672" i="6" a="1"/>
  <c r="AM672" i="6" s="1"/>
  <c r="AN672" i="6" s="1" a="1"/>
  <c r="AN672" i="6" s="1"/>
  <c r="AQ316" i="6" a="1"/>
  <c r="AQ316" i="6" s="1"/>
  <c r="BM316" i="6" s="1"/>
  <c r="AQ556" i="6" a="1"/>
  <c r="AQ556" i="6" s="1"/>
  <c r="BM556" i="6" s="1"/>
  <c r="AM269" i="6" a="1"/>
  <c r="AM269" i="6" s="1"/>
  <c r="AP269" i="6" s="1"/>
  <c r="AT269" i="6" s="1"/>
  <c r="AY223" i="6" a="1"/>
  <c r="AY223" i="6" s="1"/>
  <c r="AY48" i="6" a="1"/>
  <c r="AY48" i="6" s="1"/>
  <c r="BZ48" i="6" s="1"/>
  <c r="AM643" i="6" a="1"/>
  <c r="AM643" i="6" s="1"/>
  <c r="AM753" i="6" a="1"/>
  <c r="AM753" i="6" s="1"/>
  <c r="AP753" i="6" s="1"/>
  <c r="AT753" i="6" s="1"/>
  <c r="AY521" i="6" a="1"/>
  <c r="AY521" i="6" s="1"/>
  <c r="AM352" i="6" a="1"/>
  <c r="AM352" i="6" s="1"/>
  <c r="AM406" i="6" a="1"/>
  <c r="AM406" i="6" s="1"/>
  <c r="AN406" i="6" s="1" a="1"/>
  <c r="AN406" i="6" s="1"/>
  <c r="AM679" i="6" a="1"/>
  <c r="AM679" i="6" s="1"/>
  <c r="AN679" i="6" s="1" a="1"/>
  <c r="AN679" i="6" s="1"/>
  <c r="AY980" i="6" a="1"/>
  <c r="AY980" i="6" s="1"/>
  <c r="BZ980" i="6" s="1"/>
  <c r="AM545" i="6" a="1"/>
  <c r="AM545" i="6" s="1"/>
  <c r="AP545" i="6" s="1"/>
  <c r="AT545" i="6" s="1"/>
  <c r="AQ815" i="6" a="1"/>
  <c r="AQ815" i="6" s="1"/>
  <c r="AM575" i="6" a="1"/>
  <c r="AM575" i="6" s="1"/>
  <c r="AP575" i="6" s="1"/>
  <c r="AT575" i="6" s="1"/>
  <c r="AY262" i="6" a="1"/>
  <c r="AY262" i="6" s="1"/>
  <c r="BT262" i="6" s="1"/>
  <c r="AM626" i="6" a="1"/>
  <c r="AM626" i="6" s="1"/>
  <c r="AQ762" i="6" a="1"/>
  <c r="AQ762" i="6" s="1"/>
  <c r="BM762" i="6" s="1"/>
  <c r="AM293" i="6" a="1"/>
  <c r="AM293" i="6" s="1"/>
  <c r="AP293" i="6" s="1"/>
  <c r="AT293" i="6" s="1"/>
  <c r="AM922" i="6" a="1"/>
  <c r="AM922" i="6" s="1"/>
  <c r="AQ991" i="6" a="1"/>
  <c r="AQ991" i="6" s="1"/>
  <c r="BM991" i="6" s="1"/>
  <c r="AM322" i="6" a="1"/>
  <c r="AM322" i="6" s="1"/>
  <c r="AP322" i="6" s="1"/>
  <c r="AT322" i="6" s="1"/>
  <c r="AQ820" i="6" a="1"/>
  <c r="AQ820" i="6" s="1"/>
  <c r="BF820" i="6" s="1"/>
  <c r="AM415" i="6" a="1"/>
  <c r="AM415" i="6" s="1"/>
  <c r="AP415" i="6" s="1"/>
  <c r="AT415" i="6" s="1"/>
  <c r="AY509" i="6" a="1"/>
  <c r="AY509" i="6" s="1"/>
  <c r="BZ509" i="6" s="1"/>
  <c r="AY304" i="6" a="1"/>
  <c r="AY304" i="6" s="1"/>
  <c r="AY546" i="6" a="1"/>
  <c r="AY546" i="6" s="1"/>
  <c r="AY746" i="6" a="1"/>
  <c r="AY746" i="6" s="1"/>
  <c r="AQ489" i="6" a="1"/>
  <c r="AQ489" i="6" s="1"/>
  <c r="BM489" i="6" s="1"/>
  <c r="AQ289" i="6" a="1"/>
  <c r="AQ289" i="6" s="1"/>
  <c r="BF289" i="6" s="1"/>
  <c r="AM160" i="6" a="1"/>
  <c r="AM160" i="6" s="1"/>
  <c r="AN160" i="6" s="1" a="1"/>
  <c r="AN160" i="6" s="1"/>
  <c r="AM606" i="6" a="1"/>
  <c r="AM606" i="6" s="1"/>
  <c r="AP606" i="6" s="1"/>
  <c r="AT606" i="6" s="1"/>
  <c r="AM872" i="6" a="1"/>
  <c r="AM872" i="6" s="1"/>
  <c r="AN872" i="6" s="1" a="1"/>
  <c r="AN872" i="6" s="1"/>
  <c r="AQ767" i="6" a="1"/>
  <c r="AQ767" i="6" s="1"/>
  <c r="AQ821" i="6" a="1"/>
  <c r="AQ821" i="6" s="1"/>
  <c r="AQ341" i="6" a="1"/>
  <c r="AQ341" i="6" s="1"/>
  <c r="BF341" i="6" s="1"/>
  <c r="BG341" i="6" s="1"/>
  <c r="AY85" i="6" a="1"/>
  <c r="AY85" i="6" s="1"/>
  <c r="AY424" i="6" a="1"/>
  <c r="AY424" i="6" s="1"/>
  <c r="BT424" i="6" s="1"/>
  <c r="AQ670" i="6" a="1"/>
  <c r="AQ670" i="6" s="1"/>
  <c r="AY162" i="6" a="1"/>
  <c r="AY162" i="6" s="1"/>
  <c r="BZ162" i="6" s="1"/>
  <c r="AQ588" i="6" a="1"/>
  <c r="AQ588" i="6" s="1"/>
  <c r="BF588" i="6" s="1"/>
  <c r="AQ250" i="6" a="1"/>
  <c r="AQ250" i="6" s="1"/>
  <c r="BM250" i="6" s="1"/>
  <c r="AY46" i="6" a="1"/>
  <c r="AY46" i="6" s="1"/>
  <c r="BZ46" i="6" s="1"/>
  <c r="AQ380" i="6" a="1"/>
  <c r="AQ380" i="6" s="1"/>
  <c r="BM380" i="6" s="1"/>
  <c r="AY654" i="6" a="1"/>
  <c r="AY654" i="6" s="1"/>
  <c r="BZ654" i="6" s="1"/>
  <c r="AM165" i="6" a="1"/>
  <c r="AM165" i="6" s="1"/>
  <c r="AQ465" i="6" a="1"/>
  <c r="AQ465" i="6" s="1"/>
  <c r="AQ32" i="6" a="1"/>
  <c r="AQ32" i="6" s="1"/>
  <c r="BM32" i="6" s="1"/>
  <c r="AM151" i="6" a="1"/>
  <c r="AM151" i="6" s="1"/>
  <c r="AM808" i="6" a="1"/>
  <c r="AM808" i="6" s="1"/>
  <c r="AP808" i="6" s="1"/>
  <c r="AT808" i="6" s="1"/>
  <c r="AQ917" i="6" a="1"/>
  <c r="AQ917" i="6" s="1"/>
  <c r="AQ41" i="6" a="1"/>
  <c r="AQ41" i="6" s="1"/>
  <c r="BF41" i="6" s="1"/>
  <c r="AY830" i="6" a="1"/>
  <c r="AY830" i="6" s="1"/>
  <c r="AM202" i="6" a="1"/>
  <c r="AM202" i="6" s="1"/>
  <c r="AN202" i="6" s="1" a="1"/>
  <c r="AN202" i="6" s="1"/>
  <c r="AM953" i="6" a="1"/>
  <c r="AM953" i="6" s="1"/>
  <c r="AP953" i="6" s="1"/>
  <c r="AT953" i="6" s="1"/>
  <c r="AM358" i="6" a="1"/>
  <c r="AM358" i="6" s="1"/>
  <c r="AP358" i="6" s="1"/>
  <c r="AT358" i="6" s="1"/>
  <c r="AM166" i="6" a="1"/>
  <c r="AM166" i="6" s="1"/>
  <c r="AN166" i="6" s="1" a="1"/>
  <c r="AN166" i="6" s="1"/>
  <c r="AY200" i="6" a="1"/>
  <c r="AY200" i="6" s="1"/>
  <c r="BZ200" i="6" s="1"/>
  <c r="AY278" i="6" a="1"/>
  <c r="AY278" i="6" s="1"/>
  <c r="BT278" i="6" s="1"/>
  <c r="AQ1009" i="6" a="1"/>
  <c r="AQ1009" i="6" s="1"/>
  <c r="BM1009" i="6" s="1"/>
  <c r="AM686" i="6" a="1"/>
  <c r="AM686" i="6" s="1"/>
  <c r="AY667" i="6" a="1"/>
  <c r="AY667" i="6" s="1"/>
  <c r="AQ56" i="6" a="1"/>
  <c r="AQ56" i="6" s="1"/>
  <c r="BF56" i="6" s="1"/>
  <c r="AQ457" i="6" a="1"/>
  <c r="AQ457" i="6" s="1"/>
  <c r="BM457" i="6" s="1"/>
  <c r="AQ843" i="6" a="1"/>
  <c r="AQ843" i="6" s="1"/>
  <c r="AQ181" i="6" a="1"/>
  <c r="AQ181" i="6" s="1"/>
  <c r="AQ721" i="6" a="1"/>
  <c r="AQ721" i="6" s="1"/>
  <c r="AQ471" i="6" a="1"/>
  <c r="AQ471" i="6" s="1"/>
  <c r="AM425" i="6" a="1"/>
  <c r="AM425" i="6" s="1"/>
  <c r="AP425" i="6" s="1"/>
  <c r="AT425" i="6" s="1"/>
  <c r="AQ891" i="6" a="1"/>
  <c r="AQ891" i="6" s="1"/>
  <c r="AQ281" i="6" a="1"/>
  <c r="AQ281" i="6" s="1"/>
  <c r="BM281" i="6" s="1"/>
  <c r="AQ470" i="6" a="1"/>
  <c r="AQ470" i="6" s="1"/>
  <c r="I85" i="4" a="1"/>
  <c r="I85" i="4" s="1"/>
  <c r="J85" i="4" s="1" a="1"/>
  <c r="J85" i="4" s="1"/>
  <c r="AM878" i="6" a="1"/>
  <c r="AM878" i="6" s="1"/>
  <c r="AQ505" i="6" a="1"/>
  <c r="AQ505" i="6" s="1"/>
  <c r="BM505" i="6" s="1"/>
  <c r="AM718" i="6" a="1"/>
  <c r="AM718" i="6" s="1"/>
  <c r="AP718" i="6" s="1"/>
  <c r="AM62" i="6" a="1"/>
  <c r="AM62" i="6" s="1"/>
  <c r="AY389" i="6" a="1"/>
  <c r="AY389" i="6" s="1"/>
  <c r="AQ458" i="6" a="1"/>
  <c r="AQ458" i="6" s="1"/>
  <c r="BM458" i="6" s="1"/>
  <c r="AM176" i="6" a="1"/>
  <c r="AM176" i="6" s="1"/>
  <c r="AP176" i="6" s="1"/>
  <c r="AQ39" i="6" a="1"/>
  <c r="AQ39" i="6" s="1"/>
  <c r="BM39" i="6" s="1"/>
  <c r="AQ34" i="6" a="1"/>
  <c r="AQ34" i="6" s="1"/>
  <c r="BM34" i="6" s="1"/>
  <c r="BN34" i="6" s="1"/>
  <c r="AQ927" i="6" a="1"/>
  <c r="AQ927" i="6" s="1"/>
  <c r="BF927" i="6" s="1"/>
  <c r="AQ989" i="6" a="1"/>
  <c r="AQ989" i="6" s="1"/>
  <c r="BM989" i="6" s="1"/>
  <c r="AY380" i="6" a="1"/>
  <c r="AY380" i="6" s="1"/>
  <c r="AQ496" i="6" a="1"/>
  <c r="AQ496" i="6" s="1"/>
  <c r="AM274" i="6" a="1"/>
  <c r="AM274" i="6" s="1"/>
  <c r="AY711" i="6" a="1"/>
  <c r="AY711" i="6" s="1"/>
  <c r="BZ711" i="6" s="1"/>
  <c r="AY371" i="6" a="1"/>
  <c r="AY371" i="6" s="1"/>
  <c r="AM891" i="6" a="1"/>
  <c r="AM891" i="6" s="1"/>
  <c r="AP891" i="6" s="1"/>
  <c r="AT891" i="6" s="1"/>
  <c r="AM453" i="6" a="1"/>
  <c r="AM453" i="6" s="1"/>
  <c r="AQ265" i="6" a="1"/>
  <c r="AQ265" i="6" s="1"/>
  <c r="BM265" i="6" s="1"/>
  <c r="AM106" i="6" a="1"/>
  <c r="AM106" i="6" s="1"/>
  <c r="AM454" i="6" a="1"/>
  <c r="AM454" i="6" s="1"/>
  <c r="AQ93" i="6" a="1"/>
  <c r="AQ93" i="6" s="1"/>
  <c r="BF93" i="6" s="1"/>
  <c r="AY65" i="6" a="1"/>
  <c r="AY65" i="6" s="1"/>
  <c r="AM762" i="6" a="1"/>
  <c r="AM762" i="6" s="1"/>
  <c r="AM201" i="6" a="1"/>
  <c r="AM201" i="6" s="1"/>
  <c r="AY40" i="6" a="1"/>
  <c r="AY40" i="6" s="1"/>
  <c r="I232" i="4" a="1"/>
  <c r="I232" i="4" s="1"/>
  <c r="J232" i="4" s="1" a="1"/>
  <c r="J232" i="4" s="1"/>
  <c r="AY259" i="6" a="1"/>
  <c r="AY259" i="6" s="1"/>
  <c r="AM806" i="6" a="1"/>
  <c r="AM806" i="6" s="1"/>
  <c r="AY58" i="6" a="1"/>
  <c r="AY58" i="6" s="1"/>
  <c r="AQ622" i="6" a="1"/>
  <c r="AQ622" i="6" s="1"/>
  <c r="BM622" i="6" s="1"/>
  <c r="AQ197" i="6" a="1"/>
  <c r="AQ197" i="6" s="1"/>
  <c r="BF197" i="6" s="1"/>
  <c r="I55" i="4" a="1"/>
  <c r="I55" i="4" s="1"/>
  <c r="J55" i="4" s="1" a="1"/>
  <c r="J55" i="4" s="1"/>
  <c r="AQ328" i="6" a="1"/>
  <c r="AQ328" i="6" s="1"/>
  <c r="AQ727" i="6" a="1"/>
  <c r="AQ727" i="6" s="1"/>
  <c r="BM727" i="6" s="1"/>
  <c r="AQ173" i="6" a="1"/>
  <c r="AQ173" i="6" s="1"/>
  <c r="BF173" i="6" s="1"/>
  <c r="AM383" i="6" a="1"/>
  <c r="AM383" i="6" s="1"/>
  <c r="AN383" i="6" s="1" a="1"/>
  <c r="AN383" i="6" s="1"/>
  <c r="AQ542" i="6" a="1"/>
  <c r="AQ542" i="6" s="1"/>
  <c r="BF542" i="6" s="1"/>
  <c r="AY972" i="6" a="1"/>
  <c r="AY972" i="6" s="1"/>
  <c r="BZ972" i="6" s="1"/>
  <c r="AM661" i="6" a="1"/>
  <c r="AM661" i="6" s="1"/>
  <c r="AY864" i="6" a="1"/>
  <c r="AY864" i="6" s="1"/>
  <c r="AM623" i="6" a="1"/>
  <c r="AM623" i="6" s="1"/>
  <c r="AQ868" i="6" a="1"/>
  <c r="AQ868" i="6" s="1"/>
  <c r="BM868" i="6" s="1"/>
  <c r="AQ783" i="6" a="1"/>
  <c r="AQ783" i="6" s="1"/>
  <c r="BF783" i="6" s="1"/>
  <c r="AY796" i="6" a="1"/>
  <c r="AY796" i="6" s="1"/>
  <c r="BZ796" i="6" s="1"/>
  <c r="AM928" i="6" a="1"/>
  <c r="AM928" i="6" s="1"/>
  <c r="AN928" i="6" s="1" a="1"/>
  <c r="AN928" i="6" s="1"/>
  <c r="AQ642" i="6" a="1"/>
  <c r="AQ642" i="6" s="1"/>
  <c r="BF642" i="6" s="1"/>
  <c r="AM182" i="6" a="1"/>
  <c r="AM182" i="6" s="1"/>
  <c r="AQ245" i="6" a="1"/>
  <c r="AQ245" i="6" s="1"/>
  <c r="BF245" i="6" s="1"/>
  <c r="AY770" i="6" a="1"/>
  <c r="AY770" i="6" s="1"/>
  <c r="AM252" i="6" a="1"/>
  <c r="AM252" i="6" s="1"/>
  <c r="AP252" i="6" s="1"/>
  <c r="AT252" i="6" s="1"/>
  <c r="AQ389" i="6" a="1"/>
  <c r="AQ389" i="6" s="1"/>
  <c r="BM389" i="6" s="1"/>
  <c r="AY154" i="6" a="1"/>
  <c r="AY154" i="6" s="1"/>
  <c r="BZ154" i="6" s="1"/>
  <c r="AQ300" i="6" a="1"/>
  <c r="AQ300" i="6" s="1"/>
  <c r="BM300" i="6" s="1"/>
  <c r="BN300" i="6" s="1"/>
  <c r="AY370" i="6" a="1"/>
  <c r="AY370" i="6" s="1"/>
  <c r="AM1018" i="6" a="1"/>
  <c r="AM1018" i="6" s="1"/>
  <c r="AM225" i="6" a="1"/>
  <c r="AM225" i="6" s="1"/>
  <c r="AQ459" i="6" a="1"/>
  <c r="AQ459" i="6" s="1"/>
  <c r="BM459" i="6" s="1"/>
  <c r="AQ990" i="6" a="1"/>
  <c r="AQ990" i="6" s="1"/>
  <c r="AM670" i="6" a="1"/>
  <c r="AM670" i="6" s="1"/>
  <c r="AM837" i="6" a="1"/>
  <c r="AM837" i="6" s="1"/>
  <c r="AP837" i="6" s="1"/>
  <c r="AT837" i="6" s="1"/>
  <c r="AY137" i="6" a="1"/>
  <c r="AY137" i="6" s="1"/>
  <c r="BT137" i="6" s="1"/>
  <c r="AQ385" i="6" a="1"/>
  <c r="AQ385" i="6" s="1"/>
  <c r="AQ776" i="6" a="1"/>
  <c r="AQ776" i="6" s="1"/>
  <c r="BF776" i="6" s="1"/>
  <c r="AM764" i="6" a="1"/>
  <c r="AM764" i="6" s="1"/>
  <c r="AQ1019" i="6" a="1"/>
  <c r="AQ1019" i="6" s="1"/>
  <c r="AQ700" i="6" a="1"/>
  <c r="AQ700" i="6" s="1"/>
  <c r="AQ342" i="6" a="1"/>
  <c r="AQ342" i="6" s="1"/>
  <c r="BM342" i="6" s="1"/>
  <c r="BN342" i="6" s="1"/>
  <c r="AQ946" i="6" a="1"/>
  <c r="AQ946" i="6" s="1"/>
  <c r="AY502" i="6" a="1"/>
  <c r="AY502" i="6" s="1"/>
  <c r="AQ563" i="6" a="1"/>
  <c r="AQ563" i="6" s="1"/>
  <c r="AM248" i="6" a="1"/>
  <c r="AM248" i="6" s="1"/>
  <c r="AM673" i="6" a="1"/>
  <c r="AM673" i="6" s="1"/>
  <c r="AM596" i="6" a="1"/>
  <c r="AM596" i="6" s="1"/>
  <c r="AN596" i="6" s="1" a="1"/>
  <c r="AN596" i="6" s="1"/>
  <c r="AQ851" i="6" a="1"/>
  <c r="AQ851" i="6" s="1"/>
  <c r="BM851" i="6" s="1"/>
  <c r="AY671" i="6" a="1"/>
  <c r="AY671" i="6" s="1"/>
  <c r="BZ671" i="6" s="1"/>
  <c r="AY173" i="6" a="1"/>
  <c r="AY173" i="6" s="1"/>
  <c r="BT173" i="6" s="1"/>
  <c r="AQ769" i="6" a="1"/>
  <c r="AQ769" i="6" s="1"/>
  <c r="BM769" i="6" s="1"/>
  <c r="AY1022" i="6" a="1"/>
  <c r="AY1022" i="6" s="1"/>
  <c r="BT1022" i="6" s="1"/>
  <c r="AY408" i="6" a="1"/>
  <c r="AY408" i="6" s="1"/>
  <c r="BZ408" i="6" s="1"/>
  <c r="AY288" i="6" a="1"/>
  <c r="AY288" i="6" s="1"/>
  <c r="BT288" i="6" s="1"/>
  <c r="AM644" i="6" a="1"/>
  <c r="AM644" i="6" s="1"/>
  <c r="AN644" i="6" s="1" a="1"/>
  <c r="AN644" i="6" s="1"/>
  <c r="AQ814" i="6" a="1"/>
  <c r="AQ814" i="6" s="1"/>
  <c r="BF814" i="6" s="1"/>
  <c r="AQ112" i="6" a="1"/>
  <c r="AQ112" i="6" s="1"/>
  <c r="BM112" i="6" s="1"/>
  <c r="AM588" i="6" a="1"/>
  <c r="AM588" i="6" s="1"/>
  <c r="AP588" i="6" s="1"/>
  <c r="AT588" i="6" s="1"/>
  <c r="AQ82" i="6" a="1"/>
  <c r="AQ82" i="6" s="1"/>
  <c r="BM82" i="6" s="1"/>
  <c r="AQ823" i="6" a="1"/>
  <c r="AQ823" i="6" s="1"/>
  <c r="BM823" i="6" s="1"/>
  <c r="AY967" i="6" a="1"/>
  <c r="AY967" i="6" s="1"/>
  <c r="BT967" i="6" s="1"/>
  <c r="AQ870" i="6" a="1"/>
  <c r="AQ870" i="6" s="1"/>
  <c r="AY141" i="6" a="1"/>
  <c r="AY141" i="6" s="1"/>
  <c r="AQ423" i="6" a="1"/>
  <c r="AQ423" i="6" s="1"/>
  <c r="BM423" i="6" s="1"/>
  <c r="AQ865" i="6" a="1"/>
  <c r="AQ865" i="6" s="1"/>
  <c r="AQ575" i="6" a="1"/>
  <c r="AQ575" i="6" s="1"/>
  <c r="AY724" i="6" a="1"/>
  <c r="AY724" i="6" s="1"/>
  <c r="AY207" i="6" a="1"/>
  <c r="AY207" i="6" s="1"/>
  <c r="AQ534" i="6" a="1"/>
  <c r="AQ534" i="6" s="1"/>
  <c r="AY475" i="6" a="1"/>
  <c r="AY475" i="6" s="1"/>
  <c r="BT475" i="6" s="1"/>
  <c r="AY443" i="6" a="1"/>
  <c r="AY443" i="6" s="1"/>
  <c r="BT443" i="6" s="1"/>
  <c r="AQ475" i="6" a="1"/>
  <c r="AQ475" i="6" s="1"/>
  <c r="BF475" i="6" s="1"/>
  <c r="AY1023" i="6" a="1"/>
  <c r="AY1023" i="6" s="1"/>
  <c r="AY620" i="6" a="1"/>
  <c r="AY620" i="6" s="1"/>
  <c r="BT620" i="6" s="1"/>
  <c r="AQ873" i="6" a="1"/>
  <c r="AQ873" i="6" s="1"/>
  <c r="BF873" i="6" s="1"/>
  <c r="AQ15" i="6" a="1"/>
  <c r="AQ15" i="6" s="1"/>
  <c r="BF15" i="6" s="1"/>
  <c r="AM93" i="6" a="1"/>
  <c r="AM93" i="6" s="1"/>
  <c r="AY105" i="6" a="1"/>
  <c r="AY105" i="6" s="1"/>
  <c r="BT105" i="6" s="1"/>
  <c r="AY824" i="6" a="1"/>
  <c r="AY824" i="6" s="1"/>
  <c r="BZ824" i="6" s="1"/>
  <c r="AQ407" i="6" a="1"/>
  <c r="AQ407" i="6" s="1"/>
  <c r="AQ158" i="6" a="1"/>
  <c r="AQ158" i="6" s="1"/>
  <c r="AQ141" i="6" a="1"/>
  <c r="AQ141" i="6" s="1"/>
  <c r="AY1016" i="6" a="1"/>
  <c r="AY1016" i="6" s="1"/>
  <c r="AM261" i="6" a="1"/>
  <c r="AM261" i="6" s="1"/>
  <c r="AP261" i="6" s="1"/>
  <c r="AT261" i="6" s="1"/>
  <c r="I249" i="4" a="1"/>
  <c r="I249" i="4" s="1"/>
  <c r="J249" i="4" s="1" a="1"/>
  <c r="J249" i="4" s="1"/>
  <c r="AM332" i="6" a="1"/>
  <c r="AM332" i="6" s="1"/>
  <c r="AP332" i="6" s="1"/>
  <c r="AT332" i="6" s="1"/>
  <c r="AM198" i="6" a="1"/>
  <c r="AM198" i="6" s="1"/>
  <c r="AQ67" i="6" a="1"/>
  <c r="AQ67" i="6" s="1"/>
  <c r="AM936" i="6" a="1"/>
  <c r="AM936" i="6" s="1"/>
  <c r="I255" i="4" a="1"/>
  <c r="I255" i="4" s="1"/>
  <c r="J255" i="4" s="1" a="1"/>
  <c r="J255" i="4" s="1"/>
  <c r="I227" i="4" a="1"/>
  <c r="I227" i="4" s="1"/>
  <c r="AY142" i="6" a="1"/>
  <c r="AY142" i="6" s="1"/>
  <c r="BZ142" i="6" s="1"/>
  <c r="I21" i="4" a="1"/>
  <c r="I21" i="4" s="1"/>
  <c r="J21" i="4" s="1" a="1"/>
  <c r="J21" i="4" s="1"/>
  <c r="AM632" i="6" a="1"/>
  <c r="AM632" i="6" s="1"/>
  <c r="AY97" i="6" a="1"/>
  <c r="AY97" i="6" s="1"/>
  <c r="BT97" i="6" s="1"/>
  <c r="AQ207" i="6" a="1"/>
  <c r="AQ207" i="6" s="1"/>
  <c r="AM98" i="6" a="1"/>
  <c r="AM98" i="6" s="1"/>
  <c r="AP98" i="6" s="1"/>
  <c r="AT98" i="6" s="1"/>
  <c r="AM170" i="6" a="1"/>
  <c r="AM170" i="6" s="1"/>
  <c r="AQ467" i="6" a="1"/>
  <c r="AQ467" i="6" s="1"/>
  <c r="BF467" i="6" s="1"/>
  <c r="AM90" i="6" a="1"/>
  <c r="AM90" i="6" s="1"/>
  <c r="AQ809" i="6" a="1"/>
  <c r="AQ809" i="6" s="1"/>
  <c r="AQ388" i="6" a="1"/>
  <c r="AQ388" i="6" s="1"/>
  <c r="AQ229" i="6" a="1"/>
  <c r="AQ229" i="6" s="1"/>
  <c r="BM229" i="6" s="1"/>
  <c r="AY349" i="6" a="1"/>
  <c r="AY349" i="6" s="1"/>
  <c r="BT349" i="6" s="1"/>
  <c r="AQ733" i="6" a="1"/>
  <c r="AQ733" i="6" s="1"/>
  <c r="AY611" i="6" a="1"/>
  <c r="AY611" i="6" s="1"/>
  <c r="AM315" i="6" a="1"/>
  <c r="AM315" i="6" s="1"/>
  <c r="AM918" i="6" a="1"/>
  <c r="AM918" i="6" s="1"/>
  <c r="AY655" i="6" a="1"/>
  <c r="AY655" i="6" s="1"/>
  <c r="BT655" i="6" s="1"/>
  <c r="AY357" i="6" a="1"/>
  <c r="AY357" i="6" s="1"/>
  <c r="AY330" i="6" a="1"/>
  <c r="AY330" i="6" s="1"/>
  <c r="BZ330" i="6" s="1"/>
  <c r="AY478" i="6" a="1"/>
  <c r="AY478" i="6" s="1"/>
  <c r="BZ478" i="6" s="1"/>
  <c r="AQ852" i="6" a="1"/>
  <c r="AQ852" i="6" s="1"/>
  <c r="AQ943" i="6" a="1"/>
  <c r="AQ943" i="6" s="1"/>
  <c r="AQ932" i="6" a="1"/>
  <c r="AQ932" i="6" s="1"/>
  <c r="AM365" i="6" a="1"/>
  <c r="AM365" i="6" s="1"/>
  <c r="AY875" i="6" a="1"/>
  <c r="AY875" i="6" s="1"/>
  <c r="AY91" i="6" a="1"/>
  <c r="AY91" i="6" s="1"/>
  <c r="AM627" i="6" a="1"/>
  <c r="AM627" i="6" s="1"/>
  <c r="AN627" i="6" s="1" a="1"/>
  <c r="AN627" i="6" s="1"/>
  <c r="AQ664" i="6" a="1"/>
  <c r="AQ664" i="6" s="1"/>
  <c r="AQ782" i="6" a="1"/>
  <c r="AQ782" i="6" s="1"/>
  <c r="AY166" i="6" a="1"/>
  <c r="AY166" i="6" s="1"/>
  <c r="AQ660" i="6" a="1"/>
  <c r="AQ660" i="6" s="1"/>
  <c r="AM77" i="6" a="1"/>
  <c r="AM77" i="6" s="1"/>
  <c r="AM251" i="6" a="1"/>
  <c r="AM251" i="6" s="1"/>
  <c r="AP251" i="6" s="1"/>
  <c r="AT251" i="6" s="1"/>
  <c r="AM478" i="6" a="1"/>
  <c r="AM478" i="6" s="1"/>
  <c r="AQ284" i="6" a="1"/>
  <c r="AQ284" i="6" s="1"/>
  <c r="BM284" i="6" s="1"/>
  <c r="AQ813" i="6" a="1"/>
  <c r="AQ813" i="6" s="1"/>
  <c r="BF813" i="6" s="1"/>
  <c r="AY638" i="6" a="1"/>
  <c r="AY638" i="6" s="1"/>
  <c r="AQ883" i="6" a="1"/>
  <c r="AQ883" i="6" s="1"/>
  <c r="AY355" i="6" a="1"/>
  <c r="AY355" i="6" s="1"/>
  <c r="AM296" i="6" a="1"/>
  <c r="AM296" i="6" s="1"/>
  <c r="AQ951" i="6" a="1"/>
  <c r="AQ951" i="6" s="1"/>
  <c r="BF951" i="6" s="1"/>
  <c r="AM390" i="6" a="1"/>
  <c r="AM390" i="6" s="1"/>
  <c r="AQ900" i="6" a="1"/>
  <c r="AQ900" i="6" s="1"/>
  <c r="AY707" i="6" a="1"/>
  <c r="AY707" i="6" s="1"/>
  <c r="BZ707" i="6" s="1"/>
  <c r="AQ507" i="6" a="1"/>
  <c r="AQ507" i="6" s="1"/>
  <c r="AQ546" i="6" a="1"/>
  <c r="AQ546" i="6" s="1"/>
  <c r="AY101" i="6" a="1"/>
  <c r="AY101" i="6" s="1"/>
  <c r="BZ101" i="6" s="1"/>
  <c r="AY579" i="6" a="1"/>
  <c r="AY579" i="6" s="1"/>
  <c r="AM868" i="6" a="1"/>
  <c r="AM868" i="6" s="1"/>
  <c r="AY916" i="6" a="1"/>
  <c r="AY916" i="6" s="1"/>
  <c r="AY829" i="6" a="1"/>
  <c r="AY829" i="6" s="1"/>
  <c r="AQ749" i="6" a="1"/>
  <c r="AQ749" i="6" s="1"/>
  <c r="AQ796" i="6" a="1"/>
  <c r="AQ796" i="6" s="1"/>
  <c r="AM411" i="6" a="1"/>
  <c r="AM411" i="6" s="1"/>
  <c r="AM9" i="6" a="1"/>
  <c r="AM9" i="6" s="1"/>
  <c r="AN9" i="6" s="1" a="1"/>
  <c r="AN9" i="6" s="1"/>
  <c r="AY604" i="6" a="1"/>
  <c r="AY604" i="6" s="1"/>
  <c r="BT604" i="6" s="1"/>
  <c r="AQ258" i="6" a="1"/>
  <c r="AQ258" i="6" s="1"/>
  <c r="BF258" i="6" s="1"/>
  <c r="AQ720" i="6" a="1"/>
  <c r="AQ720" i="6" s="1"/>
  <c r="AY565" i="6" a="1"/>
  <c r="AY565" i="6" s="1"/>
  <c r="AY31" i="6" a="1"/>
  <c r="AY31" i="6" s="1"/>
  <c r="AQ567" i="6" a="1"/>
  <c r="AQ567" i="6" s="1"/>
  <c r="AM378" i="6" a="1"/>
  <c r="AM378" i="6" s="1"/>
  <c r="AM215" i="6" a="1"/>
  <c r="AM215" i="6" s="1"/>
  <c r="AQ695" i="6" a="1"/>
  <c r="AQ695" i="6" s="1"/>
  <c r="BF695" i="6" s="1"/>
  <c r="AQ180" i="6" a="1"/>
  <c r="AQ180" i="6" s="1"/>
  <c r="BF180" i="6" s="1"/>
  <c r="AM655" i="6" a="1"/>
  <c r="AM655" i="6" s="1"/>
  <c r="AP655" i="6" s="1"/>
  <c r="AT655" i="6" s="1"/>
  <c r="I235" i="4" a="1"/>
  <c r="I235" i="4" s="1"/>
  <c r="AY334" i="6" a="1"/>
  <c r="AY334" i="6" s="1"/>
  <c r="AQ366" i="6" a="1"/>
  <c r="AQ366" i="6" s="1"/>
  <c r="BM366" i="6" s="1"/>
  <c r="AQ564" i="6" a="1"/>
  <c r="AQ564" i="6" s="1"/>
  <c r="AM280" i="6" a="1"/>
  <c r="AM280" i="6" s="1"/>
  <c r="AP280" i="6" s="1"/>
  <c r="AT280" i="6" s="1"/>
  <c r="AQ638" i="6" a="1"/>
  <c r="AQ638" i="6" s="1"/>
  <c r="AY17" i="6" a="1"/>
  <c r="AY17" i="6" s="1"/>
  <c r="BZ17" i="6" s="1"/>
  <c r="AQ362" i="6" a="1"/>
  <c r="AQ362" i="6" s="1"/>
  <c r="BF362" i="6" s="1"/>
  <c r="AM512" i="6" a="1"/>
  <c r="AM512" i="6" s="1"/>
  <c r="AM998" i="6" a="1"/>
  <c r="AM998" i="6" s="1"/>
  <c r="AP998" i="6" s="1"/>
  <c r="AQ732" i="6" a="1"/>
  <c r="AQ732" i="6" s="1"/>
  <c r="BF732" i="6" s="1"/>
  <c r="AQ235" i="6" a="1"/>
  <c r="AQ235" i="6" s="1"/>
  <c r="AQ286" i="6" a="1"/>
  <c r="AQ286" i="6" s="1"/>
  <c r="AY868" i="6" a="1"/>
  <c r="AY868" i="6" s="1"/>
  <c r="AM331" i="6" a="1"/>
  <c r="AM331" i="6" s="1"/>
  <c r="AP331" i="6" s="1"/>
  <c r="AT331" i="6" s="1"/>
  <c r="AQ937" i="6" a="1"/>
  <c r="AQ937" i="6" s="1"/>
  <c r="AQ104" i="6" a="1"/>
  <c r="AQ104" i="6" s="1"/>
  <c r="BF104" i="6" s="1"/>
  <c r="AM650" i="6" a="1"/>
  <c r="AM650" i="6" s="1"/>
  <c r="AP650" i="6" s="1"/>
  <c r="AT650" i="6" s="1"/>
  <c r="AQ792" i="6" a="1"/>
  <c r="AQ792" i="6" s="1"/>
  <c r="BM792" i="6" s="1"/>
  <c r="AM631" i="6" a="1"/>
  <c r="AM631" i="6" s="1"/>
  <c r="AM223" i="6" a="1"/>
  <c r="AM223" i="6" s="1"/>
  <c r="AP223" i="6" s="1"/>
  <c r="AT223" i="6" s="1"/>
  <c r="AY708" i="6" a="1"/>
  <c r="AY708" i="6" s="1"/>
  <c r="AM651" i="6" a="1"/>
  <c r="AM651" i="6" s="1"/>
  <c r="AQ658" i="6" a="1"/>
  <c r="AQ658" i="6" s="1"/>
  <c r="AY839" i="6" a="1"/>
  <c r="AY839" i="6" s="1"/>
  <c r="AQ1015" i="6" a="1"/>
  <c r="AQ1015" i="6" s="1"/>
  <c r="AM115" i="6" a="1"/>
  <c r="AM115" i="6" s="1"/>
  <c r="AQ9" i="6" a="1"/>
  <c r="AQ9" i="6" s="1"/>
  <c r="BF9" i="6" s="1"/>
  <c r="AQ659" i="6" a="1"/>
  <c r="AQ659" i="6" s="1"/>
  <c r="AQ649" i="6" a="1"/>
  <c r="AQ649" i="6" s="1"/>
  <c r="AQ36" i="6" a="1"/>
  <c r="AQ36" i="6" s="1"/>
  <c r="AQ51" i="6" a="1"/>
  <c r="AQ51" i="6" s="1"/>
  <c r="AQ30" i="6" a="1"/>
  <c r="AQ30" i="6" s="1"/>
  <c r="AY948" i="6" a="1"/>
  <c r="AY948" i="6" s="1"/>
  <c r="AM340" i="6" a="1"/>
  <c r="AM340" i="6" s="1"/>
  <c r="AP340" i="6" s="1"/>
  <c r="AT340" i="6" s="1"/>
  <c r="AQ239" i="6" a="1"/>
  <c r="AQ239" i="6" s="1"/>
  <c r="AQ200" i="6" a="1"/>
  <c r="AQ200" i="6" s="1"/>
  <c r="AY918" i="6" a="1"/>
  <c r="AY918" i="6" s="1"/>
  <c r="BT918" i="6" s="1"/>
  <c r="AM844" i="6" a="1"/>
  <c r="AM844" i="6" s="1"/>
  <c r="AY145" i="6" a="1"/>
  <c r="AY145" i="6" s="1"/>
  <c r="AY691" i="6" a="1"/>
  <c r="AY691" i="6" s="1"/>
  <c r="AY353" i="6" a="1"/>
  <c r="AY353" i="6" s="1"/>
  <c r="AM798" i="6" a="1"/>
  <c r="AM798" i="6" s="1"/>
  <c r="AN798" i="6" s="1" a="1"/>
  <c r="AN798" i="6" s="1"/>
  <c r="AY545" i="6" a="1"/>
  <c r="AY545" i="6" s="1"/>
  <c r="AY445" i="6" a="1"/>
  <c r="AY445" i="6" s="1"/>
  <c r="AQ290" i="6" a="1"/>
  <c r="AQ290" i="6" s="1"/>
  <c r="BF290" i="6" s="1"/>
  <c r="AY866" i="6" a="1"/>
  <c r="AY866" i="6" s="1"/>
  <c r="BT866" i="6" s="1"/>
  <c r="AM477" i="6" a="1"/>
  <c r="AM477" i="6" s="1"/>
  <c r="AM849" i="6" a="1"/>
  <c r="AM849" i="6" s="1"/>
  <c r="AQ452" i="6" a="1"/>
  <c r="AQ452" i="6" s="1"/>
  <c r="BM452" i="6" s="1"/>
  <c r="AQ382" i="6" a="1"/>
  <c r="AQ382" i="6" s="1"/>
  <c r="AM287" i="6" a="1"/>
  <c r="AM287" i="6" s="1"/>
  <c r="AQ264" i="6" a="1"/>
  <c r="AQ264" i="6" s="1"/>
  <c r="AQ761" i="6" a="1"/>
  <c r="AQ761" i="6" s="1"/>
  <c r="AM47" i="6" a="1"/>
  <c r="AM47" i="6" s="1"/>
  <c r="AM281" i="6" a="1"/>
  <c r="AM281" i="6" s="1"/>
  <c r="AP281" i="6" s="1"/>
  <c r="AQ713" i="6" a="1"/>
  <c r="AQ713" i="6" s="1"/>
  <c r="BF713" i="6" s="1"/>
  <c r="AM348" i="6" a="1"/>
  <c r="AM348" i="6" s="1"/>
  <c r="AP348" i="6" s="1"/>
  <c r="AT348" i="6" s="1"/>
  <c r="AQ444" i="6" a="1"/>
  <c r="AQ444" i="6" s="1"/>
  <c r="AM41" i="6" a="1"/>
  <c r="AM41" i="6" s="1"/>
  <c r="AN41" i="6" s="1" a="1"/>
  <c r="AN41" i="6" s="1"/>
  <c r="AY923" i="6" a="1"/>
  <c r="AY923" i="6" s="1"/>
  <c r="BT923" i="6" s="1"/>
  <c r="AQ243" i="6" a="1"/>
  <c r="AQ243" i="6" s="1"/>
  <c r="AY144" i="6" a="1"/>
  <c r="AY144" i="6" s="1"/>
  <c r="AQ461" i="6" a="1"/>
  <c r="AQ461" i="6" s="1"/>
  <c r="BF461" i="6" s="1"/>
  <c r="BG461" i="6" s="1"/>
  <c r="AY88" i="6" a="1"/>
  <c r="AY88" i="6" s="1"/>
  <c r="BZ88" i="6" s="1"/>
  <c r="AQ218" i="6" a="1"/>
  <c r="AQ218" i="6" s="1"/>
  <c r="AQ587" i="6" a="1"/>
  <c r="AQ587" i="6" s="1"/>
  <c r="BM587" i="6" s="1"/>
  <c r="AM153" i="6" a="1"/>
  <c r="AM153" i="6" s="1"/>
  <c r="AN153" i="6" s="1" a="1"/>
  <c r="AN153" i="6" s="1"/>
  <c r="AQ170" i="6" a="1"/>
  <c r="AQ170" i="6" s="1"/>
  <c r="AQ146" i="6" a="1"/>
  <c r="AQ146" i="6" s="1"/>
  <c r="BF146" i="6" s="1"/>
  <c r="AQ1023" i="6" a="1"/>
  <c r="AQ1023" i="6" s="1"/>
  <c r="AY339" i="6" a="1"/>
  <c r="AY339" i="6" s="1"/>
  <c r="AM124" i="6" a="1"/>
  <c r="AM124" i="6" s="1"/>
  <c r="AY315" i="6" a="1"/>
  <c r="AY315" i="6" s="1"/>
  <c r="I163" i="4" a="1"/>
  <c r="I163" i="4" s="1"/>
  <c r="J163" i="4" s="1" a="1"/>
  <c r="J163" i="4" s="1"/>
  <c r="AY983" i="6" a="1"/>
  <c r="AY983" i="6" s="1"/>
  <c r="AQ164" i="6" a="1"/>
  <c r="AQ164" i="6" s="1"/>
  <c r="AQ451" i="6" a="1"/>
  <c r="AQ451" i="6" s="1"/>
  <c r="AM955" i="6" a="1"/>
  <c r="AM955" i="6" s="1"/>
  <c r="AP955" i="6" s="1"/>
  <c r="AT955" i="6" s="1"/>
  <c r="AQ220" i="6" a="1"/>
  <c r="AQ220" i="6" s="1"/>
  <c r="BF220" i="6" s="1"/>
  <c r="AY139" i="6" a="1"/>
  <c r="AY139" i="6" s="1"/>
  <c r="BT139" i="6" s="1"/>
  <c r="AM593" i="6" a="1"/>
  <c r="AM593" i="6" s="1"/>
  <c r="AN593" i="6" s="1" a="1"/>
  <c r="AN593" i="6" s="1"/>
  <c r="AQ971" i="6" a="1"/>
  <c r="AQ971" i="6" s="1"/>
  <c r="AQ805" i="6" a="1"/>
  <c r="AQ805" i="6" s="1"/>
  <c r="BF805" i="6" s="1"/>
  <c r="AQ370" i="6" a="1"/>
  <c r="AQ370" i="6" s="1"/>
  <c r="AY766" i="6" a="1"/>
  <c r="AY766" i="6" s="1"/>
  <c r="AQ677" i="6" a="1"/>
  <c r="AQ677" i="6" s="1"/>
  <c r="BF677" i="6" s="1"/>
  <c r="BG677" i="6" s="1"/>
  <c r="I254" i="4" a="1"/>
  <c r="I254" i="4" s="1"/>
  <c r="J254" i="4" s="1" a="1"/>
  <c r="J254" i="4" s="1"/>
  <c r="AY235" i="6" a="1"/>
  <c r="AY235" i="6" s="1"/>
  <c r="AM927" i="6" a="1"/>
  <c r="AM927" i="6" s="1"/>
  <c r="AQ123" i="6" a="1"/>
  <c r="AQ123" i="6" s="1"/>
  <c r="BF123" i="6" s="1"/>
  <c r="AM104" i="6" a="1"/>
  <c r="AM104" i="6" s="1"/>
  <c r="AM920" i="6" a="1"/>
  <c r="AM920" i="6" s="1"/>
  <c r="AY578" i="6" a="1"/>
  <c r="AY578" i="6" s="1"/>
  <c r="AY442" i="6" a="1"/>
  <c r="AY442" i="6" s="1"/>
  <c r="AQ697" i="6" a="1"/>
  <c r="AQ697" i="6" s="1"/>
  <c r="BM697" i="6" s="1"/>
  <c r="AQ8" i="6" a="1"/>
  <c r="AQ8" i="6" s="1"/>
  <c r="BF8" i="6" s="1"/>
  <c r="AQ606" i="6" a="1"/>
  <c r="AQ606" i="6" s="1"/>
  <c r="AM523" i="6" a="1"/>
  <c r="AM523" i="6" s="1"/>
  <c r="AQ655" i="6" a="1"/>
  <c r="AQ655" i="6" s="1"/>
  <c r="BM655" i="6" s="1"/>
  <c r="AY233" i="6" a="1"/>
  <c r="AY233" i="6" s="1"/>
  <c r="BT233" i="6" s="1"/>
  <c r="AY737" i="6" a="1"/>
  <c r="AY737" i="6" s="1"/>
  <c r="AY293" i="6" a="1"/>
  <c r="AY293" i="6" s="1"/>
  <c r="AY794" i="6" a="1"/>
  <c r="AY794" i="6" s="1"/>
  <c r="BZ794" i="6" s="1"/>
  <c r="AY729" i="6" a="1"/>
  <c r="AY729" i="6" s="1"/>
  <c r="AY893" i="6" a="1"/>
  <c r="AY893" i="6" s="1"/>
  <c r="AM963" i="6" a="1"/>
  <c r="AM963" i="6" s="1"/>
  <c r="AP963" i="6" s="1"/>
  <c r="AT963" i="6" s="1"/>
  <c r="AY962" i="6" a="1"/>
  <c r="AY962" i="6" s="1"/>
  <c r="BZ962" i="6" s="1"/>
  <c r="AY728" i="6" a="1"/>
  <c r="AY728" i="6" s="1"/>
  <c r="I9" i="4" a="1"/>
  <c r="I9" i="4" s="1"/>
  <c r="J9" i="4" s="1" a="1"/>
  <c r="J9" i="4" s="1"/>
  <c r="AY558" i="6" a="1"/>
  <c r="AY558" i="6" s="1"/>
  <c r="AY77" i="6" a="1"/>
  <c r="AY77" i="6" s="1"/>
  <c r="AY486" i="6" a="1"/>
  <c r="AY486" i="6" s="1"/>
  <c r="AM728" i="6" a="1"/>
  <c r="AM728" i="6" s="1"/>
  <c r="AM54" i="6" a="1"/>
  <c r="AM54" i="6" s="1"/>
  <c r="AQ368" i="6" a="1"/>
  <c r="AQ368" i="6" s="1"/>
  <c r="I84" i="4" a="1"/>
  <c r="I84" i="4" s="1"/>
  <c r="AQ881" i="6" a="1"/>
  <c r="AQ881" i="6" s="1"/>
  <c r="AQ861" i="6" a="1"/>
  <c r="AQ861" i="6" s="1"/>
  <c r="AY360" i="6" a="1"/>
  <c r="AY360" i="6" s="1"/>
  <c r="AY525" i="6" a="1"/>
  <c r="AY525" i="6" s="1"/>
  <c r="AM510" i="6" a="1"/>
  <c r="AM510" i="6" s="1"/>
  <c r="AN510" i="6" s="1" a="1"/>
  <c r="AN510" i="6" s="1"/>
  <c r="I167" i="4" a="1"/>
  <c r="I167" i="4" s="1"/>
  <c r="I166" i="4" a="1"/>
  <c r="I166" i="4" s="1"/>
  <c r="J166" i="4" s="1" a="1"/>
  <c r="J166" i="4" s="1"/>
  <c r="AM522" i="6" a="1"/>
  <c r="AM522" i="6" s="1"/>
  <c r="AQ115" i="6" a="1"/>
  <c r="AQ115" i="6" s="1"/>
  <c r="BF115" i="6" s="1"/>
  <c r="AQ193" i="6" a="1"/>
  <c r="AQ193" i="6" s="1"/>
  <c r="AQ238" i="6" a="1"/>
  <c r="AQ238" i="6" s="1"/>
  <c r="AQ211" i="6" a="1"/>
  <c r="AQ211" i="6" s="1"/>
  <c r="BM211" i="6" s="1"/>
  <c r="AY957" i="6" a="1"/>
  <c r="AY957" i="6" s="1"/>
  <c r="BT957" i="6" s="1"/>
  <c r="AY10" i="6" a="1"/>
  <c r="AY10" i="6" s="1"/>
  <c r="AQ818" i="6" a="1"/>
  <c r="AQ818" i="6" s="1"/>
  <c r="BM818" i="6" s="1"/>
  <c r="AY877" i="6" a="1"/>
  <c r="AY877" i="6" s="1"/>
  <c r="AY152" i="6" a="1"/>
  <c r="AY152" i="6" s="1"/>
  <c r="AY493" i="6" a="1"/>
  <c r="AY493" i="6" s="1"/>
  <c r="AY960" i="6" a="1"/>
  <c r="AY960" i="6" s="1"/>
  <c r="AQ639" i="6" a="1"/>
  <c r="AQ639" i="6" s="1"/>
  <c r="BF639" i="6" s="1"/>
  <c r="AQ987" i="6" a="1"/>
  <c r="AQ987" i="6" s="1"/>
  <c r="BM987" i="6" s="1"/>
  <c r="AY241" i="6" a="1"/>
  <c r="AY241" i="6" s="1"/>
  <c r="AQ28" i="6" a="1"/>
  <c r="AQ28" i="6" s="1"/>
  <c r="AQ653" i="6" a="1"/>
  <c r="AQ653" i="6" s="1"/>
  <c r="BF653" i="6" s="1"/>
  <c r="AQ478" i="6" a="1"/>
  <c r="AQ478" i="6" s="1"/>
  <c r="BF478" i="6" s="1"/>
  <c r="AQ270" i="6" a="1"/>
  <c r="AQ270" i="6" s="1"/>
  <c r="BM270" i="6" s="1"/>
  <c r="AQ675" i="6" a="1"/>
  <c r="AQ675" i="6" s="1"/>
  <c r="AQ231" i="6" a="1"/>
  <c r="AQ231" i="6" s="1"/>
  <c r="BF231" i="6" s="1"/>
  <c r="AY970" i="6" a="1"/>
  <c r="AY970" i="6" s="1"/>
  <c r="AY140" i="6" a="1"/>
  <c r="AY140" i="6" s="1"/>
  <c r="AQ509" i="6" a="1"/>
  <c r="AQ509" i="6" s="1"/>
  <c r="BM509" i="6" s="1"/>
  <c r="BN509" i="6" s="1"/>
  <c r="AY290" i="6" a="1"/>
  <c r="AY290" i="6" s="1"/>
  <c r="AY880" i="6" a="1"/>
  <c r="AY880" i="6" s="1"/>
  <c r="AY971" i="6" a="1"/>
  <c r="AY971" i="6" s="1"/>
  <c r="AQ627" i="6" a="1"/>
  <c r="AQ627" i="6" s="1"/>
  <c r="BM627" i="6" s="1"/>
  <c r="AQ160" i="6" a="1"/>
  <c r="AQ160" i="6" s="1"/>
  <c r="BF160" i="6" s="1"/>
  <c r="AQ615" i="6" a="1"/>
  <c r="AQ615" i="6" s="1"/>
  <c r="AY399" i="6" a="1"/>
  <c r="AY399" i="6" s="1"/>
  <c r="AM850" i="6" a="1"/>
  <c r="AM850" i="6" s="1"/>
  <c r="AN850" i="6" s="1" a="1"/>
  <c r="AN850" i="6" s="1"/>
  <c r="AY107" i="6" a="1"/>
  <c r="AY107" i="6" s="1"/>
  <c r="BT107" i="6" s="1"/>
  <c r="AQ607" i="6" a="1"/>
  <c r="AQ607" i="6" s="1"/>
  <c r="BM607" i="6" s="1"/>
  <c r="AY251" i="6" a="1"/>
  <c r="AY251" i="6" s="1"/>
  <c r="I82" i="4" a="1"/>
  <c r="I82" i="4" s="1"/>
  <c r="AY803" i="6" a="1"/>
  <c r="AY803" i="6" s="1"/>
  <c r="AY714" i="6" a="1"/>
  <c r="AY714" i="6" s="1"/>
  <c r="BT714" i="6" s="1"/>
  <c r="AM375" i="6" a="1"/>
  <c r="AM375" i="6" s="1"/>
  <c r="AN375" i="6" s="1" a="1"/>
  <c r="AN375" i="6" s="1"/>
  <c r="AM827" i="6" a="1"/>
  <c r="AM827" i="6" s="1"/>
  <c r="AM727" i="6" a="1"/>
  <c r="AM727" i="6" s="1"/>
  <c r="AM68" i="6" a="1"/>
  <c r="AM68" i="6" s="1"/>
  <c r="AY432" i="6" a="1"/>
  <c r="AY432" i="6" s="1"/>
  <c r="AQ47" i="6" a="1"/>
  <c r="AQ47" i="6" s="1"/>
  <c r="BM47" i="6" s="1"/>
  <c r="AM792" i="6" a="1"/>
  <c r="AM792" i="6" s="1"/>
  <c r="AN792" i="6" s="1" a="1"/>
  <c r="AN792" i="6" s="1"/>
  <c r="AQ895" i="6" a="1"/>
  <c r="AQ895" i="6" s="1"/>
  <c r="AQ226" i="6" a="1"/>
  <c r="AQ226" i="6" s="1"/>
  <c r="BF226" i="6" s="1"/>
  <c r="AY765" i="6" a="1"/>
  <c r="AY765" i="6" s="1"/>
  <c r="AY167" i="6" a="1"/>
  <c r="AY167" i="6" s="1"/>
  <c r="BZ167" i="6" s="1"/>
  <c r="AQ326" i="6" a="1"/>
  <c r="AQ326" i="6" s="1"/>
  <c r="AQ142" i="6" a="1"/>
  <c r="AQ142" i="6" s="1"/>
  <c r="BM142" i="6" s="1"/>
  <c r="AQ305" i="6" a="1"/>
  <c r="AQ305" i="6" s="1"/>
  <c r="BF305" i="6" s="1"/>
  <c r="AY598" i="6" a="1"/>
  <c r="AY598" i="6" s="1"/>
  <c r="BZ598" i="6" s="1"/>
  <c r="AQ828" i="6" a="1"/>
  <c r="AQ828" i="6" s="1"/>
  <c r="BF828" i="6" s="1"/>
  <c r="AY952" i="6" a="1"/>
  <c r="AY952" i="6" s="1"/>
  <c r="AQ863" i="6" a="1"/>
  <c r="AQ863" i="6" s="1"/>
  <c r="AQ648" i="6" a="1"/>
  <c r="AQ648" i="6" s="1"/>
  <c r="AQ595" i="6" a="1"/>
  <c r="AQ595" i="6" s="1"/>
  <c r="BM595" i="6" s="1"/>
  <c r="AQ619" i="6" a="1"/>
  <c r="AQ619" i="6" s="1"/>
  <c r="BF619" i="6" s="1"/>
  <c r="BG619" i="6" s="1"/>
  <c r="AQ118" i="6" a="1"/>
  <c r="AQ118" i="6" s="1"/>
  <c r="AQ803" i="6" a="1"/>
  <c r="AQ803" i="6" s="1"/>
  <c r="BM803" i="6" s="1"/>
  <c r="AY263" i="6" a="1"/>
  <c r="AY263" i="6" s="1"/>
  <c r="BT263" i="6" s="1"/>
  <c r="AY869" i="6" a="1"/>
  <c r="AY869" i="6" s="1"/>
  <c r="BZ869" i="6" s="1"/>
  <c r="AQ493" i="6" a="1"/>
  <c r="AQ493" i="6" s="1"/>
  <c r="BF493" i="6" s="1"/>
  <c r="AQ491" i="6" a="1"/>
  <c r="AQ491" i="6" s="1"/>
  <c r="AQ941" i="6" a="1"/>
  <c r="AQ941" i="6" s="1"/>
  <c r="BM941" i="6" s="1"/>
  <c r="AQ251" i="6" a="1"/>
  <c r="AQ251" i="6" s="1"/>
  <c r="BF251" i="6" s="1"/>
  <c r="AM722" i="6" a="1"/>
  <c r="AM722" i="6" s="1"/>
  <c r="I209" i="4" a="1"/>
  <c r="I209" i="4" s="1"/>
  <c r="AQ37" i="6" a="1"/>
  <c r="AQ37" i="6" s="1"/>
  <c r="AQ64" i="6" a="1"/>
  <c r="AQ64" i="6" s="1"/>
  <c r="BM64" i="6" s="1"/>
  <c r="AQ795" i="6" a="1"/>
  <c r="AQ795" i="6" s="1"/>
  <c r="AQ596" i="6" a="1"/>
  <c r="AQ596" i="6" s="1"/>
  <c r="BF596" i="6" s="1"/>
  <c r="AQ390" i="6" a="1"/>
  <c r="AQ390" i="6" s="1"/>
  <c r="AY856" i="6" a="1"/>
  <c r="AY856" i="6" s="1"/>
  <c r="AY298" i="6" a="1"/>
  <c r="AY298" i="6" s="1"/>
  <c r="BZ298" i="6" s="1"/>
  <c r="AQ886" i="6" a="1"/>
  <c r="AQ886" i="6" s="1"/>
  <c r="AY234" i="6" a="1"/>
  <c r="AY234" i="6" s="1"/>
  <c r="BT234" i="6" s="1"/>
  <c r="AY989" i="6" a="1"/>
  <c r="AY989" i="6" s="1"/>
  <c r="BZ989" i="6" s="1"/>
  <c r="AY927" i="6" a="1"/>
  <c r="AY927" i="6" s="1"/>
  <c r="BZ927" i="6" s="1"/>
  <c r="AQ570" i="6" a="1"/>
  <c r="AQ570" i="6" s="1"/>
  <c r="AQ482" i="6" a="1"/>
  <c r="AQ482" i="6" s="1"/>
  <c r="BF482" i="6" s="1"/>
  <c r="AY7" i="6" a="1"/>
  <c r="AY7" i="6" s="1"/>
  <c r="AQ922" i="6" a="1"/>
  <c r="AQ922" i="6" s="1"/>
  <c r="BM922" i="6" s="1"/>
  <c r="AM60" i="6" a="1"/>
  <c r="AM60" i="6" s="1"/>
  <c r="AP60" i="6" s="1"/>
  <c r="AT60" i="6" s="1"/>
  <c r="AM765" i="6" a="1"/>
  <c r="AM765" i="6" s="1"/>
  <c r="AN765" i="6" s="1" a="1"/>
  <c r="AN765" i="6" s="1"/>
  <c r="AM813" i="6" a="1"/>
  <c r="AM813" i="6" s="1"/>
  <c r="AN813" i="6" s="1" a="1"/>
  <c r="AN813" i="6" s="1"/>
  <c r="AY526" i="6" a="1"/>
  <c r="AY526" i="6" s="1"/>
  <c r="AY45" i="6" a="1"/>
  <c r="AY45" i="6" s="1"/>
  <c r="AY597" i="6" a="1"/>
  <c r="AY597" i="6" s="1"/>
  <c r="AY577" i="6" a="1"/>
  <c r="AY577" i="6" s="1"/>
  <c r="BT577" i="6" s="1"/>
  <c r="AQ662" i="6" a="1"/>
  <c r="AQ662" i="6" s="1"/>
  <c r="BF662" i="6" s="1"/>
  <c r="BG662" i="6" s="1"/>
  <c r="AY474" i="6" a="1"/>
  <c r="AY474" i="6" s="1"/>
  <c r="AQ83" i="6" a="1"/>
  <c r="AQ83" i="6" s="1"/>
  <c r="AQ303" i="6" a="1"/>
  <c r="AQ303" i="6" s="1"/>
  <c r="BM303" i="6" s="1"/>
  <c r="BN303" i="6" s="1"/>
  <c r="AQ242" i="6" a="1"/>
  <c r="AQ242" i="6" s="1"/>
  <c r="AY238" i="6" a="1"/>
  <c r="AY238" i="6" s="1"/>
  <c r="AQ5" i="6" a="1"/>
  <c r="AQ5" i="6" s="1"/>
  <c r="BF5" i="6" s="1"/>
  <c r="AQ178" i="6" a="1"/>
  <c r="AQ178" i="6" s="1"/>
  <c r="AY318" i="6" a="1"/>
  <c r="AY318" i="6" s="1"/>
  <c r="AY132" i="6" a="1"/>
  <c r="AY132" i="6" s="1"/>
  <c r="AQ533" i="6" a="1"/>
  <c r="AQ533" i="6" s="1"/>
  <c r="BF533" i="6" s="1"/>
  <c r="AQ397" i="6" a="1"/>
  <c r="AQ397" i="6" s="1"/>
  <c r="AQ13" i="6" a="1"/>
  <c r="AQ13" i="6" s="1"/>
  <c r="AQ77" i="6" a="1"/>
  <c r="AQ77" i="6" s="1"/>
  <c r="AQ346" i="6" a="1"/>
  <c r="AQ346" i="6" s="1"/>
  <c r="AM555" i="6" a="1"/>
  <c r="AM555" i="6" s="1"/>
  <c r="AN555" i="6" s="1" a="1"/>
  <c r="AN555" i="6" s="1"/>
  <c r="AM776" i="6" a="1"/>
  <c r="AM776" i="6" s="1"/>
  <c r="AQ322" i="6" a="1"/>
  <c r="AQ322" i="6" s="1"/>
  <c r="AY900" i="6" a="1"/>
  <c r="AY900" i="6" s="1"/>
  <c r="BT900" i="6" s="1"/>
  <c r="AM847" i="6" a="1"/>
  <c r="AM847" i="6" s="1"/>
  <c r="AQ694" i="6" a="1"/>
  <c r="AQ694" i="6" s="1"/>
  <c r="AY264" i="6" a="1"/>
  <c r="AY264" i="6" s="1"/>
  <c r="BZ264" i="6" s="1"/>
  <c r="AY506" i="6" a="1"/>
  <c r="AY506" i="6" s="1"/>
  <c r="BT506" i="6" s="1"/>
  <c r="AQ1006" i="6" a="1"/>
  <c r="AQ1006" i="6" s="1"/>
  <c r="BF1006" i="6" s="1"/>
  <c r="AQ798" i="6" a="1"/>
  <c r="AQ798" i="6" s="1"/>
  <c r="BM798" i="6" s="1"/>
  <c r="AQ688" i="6" a="1"/>
  <c r="AQ688" i="6" s="1"/>
  <c r="BF688" i="6" s="1"/>
  <c r="AQ213" i="6" a="1"/>
  <c r="AQ213" i="6" s="1"/>
  <c r="BM213" i="6" s="1"/>
  <c r="AY535" i="6" a="1"/>
  <c r="AY535" i="6" s="1"/>
  <c r="AQ92" i="6" a="1"/>
  <c r="AQ92" i="6" s="1"/>
  <c r="AY904" i="6" a="1"/>
  <c r="AY904" i="6" s="1"/>
  <c r="AQ847" i="6" a="1"/>
  <c r="AQ847" i="6" s="1"/>
  <c r="AQ702" i="6" a="1"/>
  <c r="AQ702" i="6" s="1"/>
  <c r="AY975" i="6" a="1"/>
  <c r="AY975" i="6" s="1"/>
  <c r="BT975" i="6" s="1"/>
  <c r="AY809" i="6" a="1"/>
  <c r="AY809" i="6" s="1"/>
  <c r="BT809" i="6" s="1"/>
  <c r="AQ884" i="6" a="1"/>
  <c r="AQ884" i="6" s="1"/>
  <c r="AQ45" i="6" a="1"/>
  <c r="AQ45" i="6" s="1"/>
  <c r="AQ228" i="6" a="1"/>
  <c r="AQ228" i="6" s="1"/>
  <c r="AQ98" i="6" a="1"/>
  <c r="AQ98" i="6" s="1"/>
  <c r="BM98" i="6" s="1"/>
  <c r="AY576" i="6" a="1"/>
  <c r="AY576" i="6" s="1"/>
  <c r="AQ163" i="6" a="1"/>
  <c r="AQ163" i="6" s="1"/>
  <c r="AQ725" i="6" a="1"/>
  <c r="AQ725" i="6" s="1"/>
  <c r="AQ106" i="6" a="1"/>
  <c r="AQ106" i="6" s="1"/>
  <c r="BM106" i="6" s="1"/>
  <c r="AQ449" i="6" a="1"/>
  <c r="AQ449" i="6" s="1"/>
  <c r="AY882" i="6" a="1"/>
  <c r="AY882" i="6" s="1"/>
  <c r="AQ1022" i="6" a="1"/>
  <c r="AQ1022" i="6" s="1"/>
  <c r="AQ435" i="6" a="1"/>
  <c r="AQ435" i="6" s="1"/>
  <c r="AQ905" i="6" a="1"/>
  <c r="AQ905" i="6" s="1"/>
  <c r="AY386" i="6" a="1"/>
  <c r="AY386" i="6" s="1"/>
  <c r="AY37" i="6" a="1"/>
  <c r="AY37" i="6" s="1"/>
  <c r="BZ37" i="6" s="1"/>
  <c r="AQ618" i="6" a="1"/>
  <c r="AQ618" i="6" s="1"/>
  <c r="BM618" i="6" s="1"/>
  <c r="AY3" i="6" a="1"/>
  <c r="AY3" i="6" s="1"/>
  <c r="BT3" i="6" s="1"/>
  <c r="AQ866" i="6" a="1"/>
  <c r="AQ866" i="6" s="1"/>
  <c r="BM866" i="6" s="1"/>
  <c r="AY704" i="6" a="1"/>
  <c r="AY704" i="6" s="1"/>
  <c r="BZ704" i="6" s="1"/>
  <c r="AQ790" i="6" a="1"/>
  <c r="AQ790" i="6" s="1"/>
  <c r="AQ25" i="6" a="1"/>
  <c r="AQ25" i="6" s="1"/>
  <c r="BF25" i="6" s="1"/>
  <c r="AM429" i="6" a="1"/>
  <c r="AM429" i="6" s="1"/>
  <c r="AQ672" i="6" a="1"/>
  <c r="AQ672" i="6" s="1"/>
  <c r="BF672" i="6" s="1"/>
  <c r="AQ356" i="6" a="1"/>
  <c r="AQ356" i="6" s="1"/>
  <c r="AQ854" i="6" a="1"/>
  <c r="AQ854" i="6" s="1"/>
  <c r="BM854" i="6" s="1"/>
  <c r="BN854" i="6" s="1"/>
  <c r="BP854" i="6" s="1"/>
  <c r="AQ669" i="6" a="1"/>
  <c r="AQ669" i="6" s="1"/>
  <c r="BF669" i="6" s="1"/>
  <c r="BG669" i="6" s="1"/>
  <c r="BI669" i="6" s="1"/>
  <c r="AY106" i="6" a="1"/>
  <c r="AY106" i="6" s="1"/>
  <c r="BT106" i="6" s="1"/>
  <c r="AQ766" i="6" a="1"/>
  <c r="AQ766" i="6" s="1"/>
  <c r="BM766" i="6" s="1"/>
  <c r="AQ476" i="6" a="1"/>
  <c r="AQ476" i="6" s="1"/>
  <c r="BF476" i="6" s="1"/>
  <c r="AQ522" i="6" a="1"/>
  <c r="AQ522" i="6" s="1"/>
  <c r="BF522" i="6" s="1"/>
  <c r="AY719" i="6" a="1"/>
  <c r="AY719" i="6" s="1"/>
  <c r="AY211" i="6" a="1"/>
  <c r="AY211" i="6" s="1"/>
  <c r="BT211" i="6" s="1"/>
  <c r="AQ930" i="6" a="1"/>
  <c r="AQ930" i="6" s="1"/>
  <c r="BF930" i="6" s="1"/>
  <c r="AY93" i="6" a="1"/>
  <c r="AY93" i="6" s="1"/>
  <c r="BZ93" i="6" s="1"/>
  <c r="AQ902" i="6" a="1"/>
  <c r="AQ902" i="6" s="1"/>
  <c r="BF902" i="6" s="1"/>
  <c r="AY991" i="6" a="1"/>
  <c r="AY991" i="6" s="1"/>
  <c r="AQ313" i="6" a="1"/>
  <c r="AQ313" i="6" s="1"/>
  <c r="AQ985" i="6" a="1"/>
  <c r="AQ985" i="6" s="1"/>
  <c r="BF985" i="6" s="1"/>
  <c r="AY436" i="6" a="1"/>
  <c r="AY436" i="6" s="1"/>
  <c r="BZ436" i="6" s="1"/>
  <c r="AQ651" i="6" a="1"/>
  <c r="AQ651" i="6" s="1"/>
  <c r="BM651" i="6" s="1"/>
  <c r="AQ969" i="6" a="1"/>
  <c r="AQ969" i="6" s="1"/>
  <c r="BM969" i="6" s="1"/>
  <c r="AY627" i="6" a="1"/>
  <c r="AY627" i="6" s="1"/>
  <c r="BT627" i="6" s="1"/>
  <c r="AQ268" i="6" a="1"/>
  <c r="AQ268" i="6" s="1"/>
  <c r="AM804" i="6" a="1"/>
  <c r="AM804" i="6" s="1"/>
  <c r="AY669" i="6" a="1"/>
  <c r="AY669" i="6" s="1"/>
  <c r="AQ355" i="6" a="1"/>
  <c r="AQ355" i="6" s="1"/>
  <c r="I136" i="4" a="1"/>
  <c r="I136" i="4" s="1"/>
  <c r="J136" i="4" s="1" a="1"/>
  <c r="J136" i="4" s="1"/>
  <c r="AQ661" i="6" a="1"/>
  <c r="AQ661" i="6" s="1"/>
  <c r="AQ171" i="6" a="1"/>
  <c r="AQ171" i="6" s="1"/>
  <c r="AM484" i="6" a="1"/>
  <c r="AM484" i="6" s="1"/>
  <c r="AY1018" i="6" a="1"/>
  <c r="AY1018" i="6" s="1"/>
  <c r="AQ949" i="6" a="1"/>
  <c r="AQ949" i="6" s="1"/>
  <c r="AQ156" i="6" a="1"/>
  <c r="AQ156" i="6" s="1"/>
  <c r="BF156" i="6" s="1"/>
  <c r="AQ68" i="6" a="1"/>
  <c r="AQ68" i="6" s="1"/>
  <c r="AQ120" i="6" a="1"/>
  <c r="AQ120" i="6" s="1"/>
  <c r="BF120" i="6" s="1"/>
  <c r="AQ42" i="6" a="1"/>
  <c r="AQ42" i="6" s="1"/>
  <c r="AY24" i="6" a="1"/>
  <c r="AY24" i="6" s="1"/>
  <c r="AM681" i="6" a="1"/>
  <c r="AM681" i="6" s="1"/>
  <c r="AM528" i="6" a="1"/>
  <c r="AM528" i="6" s="1"/>
  <c r="AN528" i="6" s="1" a="1"/>
  <c r="AN528" i="6" s="1"/>
  <c r="AQ60" i="6" a="1"/>
  <c r="AQ60" i="6" s="1"/>
  <c r="AQ391" i="6" a="1"/>
  <c r="AQ391" i="6" s="1"/>
  <c r="AQ583" i="6" a="1"/>
  <c r="AQ583" i="6" s="1"/>
  <c r="AQ157" i="6" a="1"/>
  <c r="AQ157" i="6" s="1"/>
  <c r="AQ279" i="6" a="1"/>
  <c r="AQ279" i="6" s="1"/>
  <c r="AY608" i="6" a="1"/>
  <c r="AY608" i="6" s="1"/>
  <c r="BZ608" i="6" s="1"/>
  <c r="AQ817" i="6" a="1"/>
  <c r="AQ817" i="6" s="1"/>
  <c r="BF817" i="6" s="1"/>
  <c r="AY102" i="6" a="1"/>
  <c r="AY102" i="6" s="1"/>
  <c r="AY201" i="6" a="1"/>
  <c r="AY201" i="6" s="1"/>
  <c r="BT201" i="6" s="1"/>
  <c r="AY899" i="6" a="1"/>
  <c r="AY899" i="6" s="1"/>
  <c r="BT899" i="6" s="1"/>
  <c r="AQ71" i="6" a="1"/>
  <c r="AQ71" i="6" s="1"/>
  <c r="AQ466" i="6" a="1"/>
  <c r="AQ466" i="6" s="1"/>
  <c r="AY779" i="6" a="1"/>
  <c r="AY779" i="6" s="1"/>
  <c r="BZ779" i="6" s="1"/>
  <c r="AQ906" i="6" a="1"/>
  <c r="AQ906" i="6" s="1"/>
  <c r="AQ139" i="6" a="1"/>
  <c r="AQ139" i="6" s="1"/>
  <c r="AQ312" i="6" a="1"/>
  <c r="AQ312" i="6" s="1"/>
  <c r="BF312" i="6" s="1"/>
  <c r="AQ988" i="6" a="1"/>
  <c r="AQ988" i="6" s="1"/>
  <c r="AQ997" i="6" a="1"/>
  <c r="AQ997" i="6" s="1"/>
  <c r="BM997" i="6" s="1"/>
  <c r="AQ327" i="6" a="1"/>
  <c r="AQ327" i="6" s="1"/>
  <c r="BM327" i="6" s="1"/>
  <c r="I177" i="4" a="1"/>
  <c r="I177" i="4" s="1"/>
  <c r="J177" i="4" s="1" a="1"/>
  <c r="J177" i="4" s="1"/>
  <c r="AQ928" i="6" a="1"/>
  <c r="AQ928" i="6" s="1"/>
  <c r="I65" i="4" a="1"/>
  <c r="I65" i="4" s="1"/>
  <c r="J65" i="4" s="1" a="1"/>
  <c r="J65" i="4" s="1"/>
  <c r="AQ448" i="6" a="1"/>
  <c r="AQ448" i="6" s="1"/>
  <c r="AY150" i="6" a="1"/>
  <c r="AY150" i="6" s="1"/>
  <c r="BT150" i="6" s="1"/>
  <c r="AQ363" i="6" a="1"/>
  <c r="AQ363" i="6" s="1"/>
  <c r="I28" i="4" a="1"/>
  <c r="I28" i="4" s="1"/>
  <c r="AQ752" i="6" a="1"/>
  <c r="AQ752" i="6" s="1"/>
  <c r="AY378" i="6" a="1"/>
  <c r="AY378" i="6" s="1"/>
  <c r="BZ378" i="6" s="1"/>
  <c r="AY195" i="6" a="1"/>
  <c r="AY195" i="6" s="1"/>
  <c r="BT195" i="6" s="1"/>
  <c r="AY688" i="6" a="1"/>
  <c r="AY688" i="6" s="1"/>
  <c r="BT688" i="6" s="1"/>
  <c r="AQ909" i="6" a="1"/>
  <c r="AQ909" i="6" s="1"/>
  <c r="BF909" i="6" s="1"/>
  <c r="AY985" i="6" a="1"/>
  <c r="AY985" i="6" s="1"/>
  <c r="BT985" i="6" s="1"/>
  <c r="AQ554" i="6" a="1"/>
  <c r="AQ554" i="6" s="1"/>
  <c r="AY733" i="6" a="1"/>
  <c r="AY733" i="6" s="1"/>
  <c r="BZ733" i="6" s="1"/>
  <c r="AY57" i="6" a="1"/>
  <c r="AY57" i="6" s="1"/>
  <c r="BZ57" i="6" s="1"/>
  <c r="AQ276" i="6" a="1"/>
  <c r="AQ276" i="6" s="1"/>
  <c r="AQ569" i="6" a="1"/>
  <c r="AQ569" i="6" s="1"/>
  <c r="BM569" i="6" s="1"/>
  <c r="AY772" i="6" a="1"/>
  <c r="AY772" i="6" s="1"/>
  <c r="BT772" i="6" s="1"/>
  <c r="AY706" i="6" a="1"/>
  <c r="AY706" i="6" s="1"/>
  <c r="AQ748" i="6" a="1"/>
  <c r="AQ748" i="6" s="1"/>
  <c r="BF748" i="6" s="1"/>
  <c r="BG748" i="6" s="1"/>
  <c r="AQ626" i="6" a="1"/>
  <c r="AQ626" i="6" s="1"/>
  <c r="BM626" i="6" s="1"/>
  <c r="AY870" i="6" a="1"/>
  <c r="AY870" i="6" s="1"/>
  <c r="BT870" i="6" s="1"/>
  <c r="AQ203" i="6" a="1"/>
  <c r="AQ203" i="6" s="1"/>
  <c r="AQ788" i="6" a="1"/>
  <c r="AQ788" i="6" s="1"/>
  <c r="BF788" i="6" s="1"/>
  <c r="AQ23" i="6" a="1"/>
  <c r="AQ23" i="6" s="1"/>
  <c r="AQ663" i="6" a="1"/>
  <c r="AQ663" i="6" s="1"/>
  <c r="AQ78" i="6" a="1"/>
  <c r="AQ78" i="6" s="1"/>
  <c r="BF78" i="6" s="1"/>
  <c r="AY394" i="6" a="1"/>
  <c r="AY394" i="6" s="1"/>
  <c r="BT394" i="6" s="1"/>
  <c r="AQ600" i="6" a="1"/>
  <c r="AQ600" i="6" s="1"/>
  <c r="AQ613" i="6" a="1"/>
  <c r="AQ613" i="6" s="1"/>
  <c r="AQ121" i="6" a="1"/>
  <c r="AQ121" i="6" s="1"/>
  <c r="BF121" i="6" s="1"/>
  <c r="AY623" i="6" a="1"/>
  <c r="AY623" i="6" s="1"/>
  <c r="BZ623" i="6" s="1"/>
  <c r="AY277" i="6" a="1"/>
  <c r="AY277" i="6" s="1"/>
  <c r="BT277" i="6" s="1"/>
  <c r="AQ980" i="6" a="1"/>
  <c r="AQ980" i="6" s="1"/>
  <c r="BF980" i="6" s="1"/>
  <c r="AY504" i="6" a="1"/>
  <c r="AY504" i="6" s="1"/>
  <c r="BZ504" i="6" s="1"/>
  <c r="AQ210" i="6" a="1"/>
  <c r="AQ210" i="6" s="1"/>
  <c r="BF210" i="6" s="1"/>
  <c r="AY226" i="6" a="1"/>
  <c r="AY226" i="6" s="1"/>
  <c r="BT226" i="6" s="1"/>
  <c r="AQ646" i="6" a="1"/>
  <c r="AQ646" i="6" s="1"/>
  <c r="AQ986" i="6" a="1"/>
  <c r="AQ986" i="6" s="1"/>
  <c r="BM986" i="6" s="1"/>
  <c r="AY89" i="6" a="1"/>
  <c r="AY89" i="6" s="1"/>
  <c r="AY249" i="6" a="1"/>
  <c r="AY249" i="6" s="1"/>
  <c r="BZ249" i="6" s="1"/>
  <c r="I157" i="4" a="1"/>
  <c r="I157" i="4" s="1"/>
  <c r="J157" i="4" s="1" a="1"/>
  <c r="J157" i="4" s="1"/>
  <c r="AM991" i="6" a="1"/>
  <c r="AM991" i="6" s="1"/>
  <c r="AQ552" i="6" a="1"/>
  <c r="AQ552" i="6" s="1"/>
  <c r="AQ760" i="6" a="1"/>
  <c r="AQ760" i="6" s="1"/>
  <c r="BF760" i="6" s="1"/>
  <c r="AQ593" i="6" a="1"/>
  <c r="AQ593" i="6" s="1"/>
  <c r="AQ947" i="6" a="1"/>
  <c r="AQ947" i="6" s="1"/>
  <c r="BM947" i="6" s="1"/>
  <c r="AQ806" i="6" a="1"/>
  <c r="AQ806" i="6" s="1"/>
  <c r="AQ657" i="6" a="1"/>
  <c r="AQ657" i="6" s="1"/>
  <c r="BM657" i="6" s="1"/>
  <c r="AM770" i="6" a="1"/>
  <c r="AM770" i="6" s="1"/>
  <c r="AM256" i="6" a="1"/>
  <c r="AM256" i="6" s="1"/>
  <c r="AY179" i="6" a="1"/>
  <c r="AY179" i="6" s="1"/>
  <c r="AQ807" i="6" a="1"/>
  <c r="AQ807" i="6" s="1"/>
  <c r="AM323" i="6" a="1"/>
  <c r="AM323" i="6" s="1"/>
  <c r="AQ446" i="6" a="1"/>
  <c r="AQ446" i="6" s="1"/>
  <c r="AQ735" i="6" a="1"/>
  <c r="AQ735" i="6" s="1"/>
  <c r="AQ830" i="6" a="1"/>
  <c r="AQ830" i="6" s="1"/>
  <c r="AQ841" i="6" a="1"/>
  <c r="AQ841" i="6" s="1"/>
  <c r="AY593" i="6" a="1"/>
  <c r="AY593" i="6" s="1"/>
  <c r="BT593" i="6" s="1"/>
  <c r="AY453" i="6" a="1"/>
  <c r="AY453" i="6" s="1"/>
  <c r="AY382" i="6" a="1"/>
  <c r="AY382" i="6" s="1"/>
  <c r="AY50" i="6" a="1"/>
  <c r="AY50" i="6" s="1"/>
  <c r="BZ50" i="6" s="1"/>
  <c r="AY568" i="6" a="1"/>
  <c r="AY568" i="6" s="1"/>
  <c r="BT568" i="6" s="1"/>
  <c r="AY388" i="6" a="1"/>
  <c r="AY388" i="6" s="1"/>
  <c r="BT388" i="6" s="1"/>
  <c r="AY973" i="6" a="1"/>
  <c r="AY973" i="6" s="1"/>
  <c r="BT973" i="6" s="1"/>
  <c r="AY557" i="6" a="1"/>
  <c r="AY557" i="6" s="1"/>
  <c r="BT557" i="6" s="1"/>
  <c r="AQ497" i="6" a="1"/>
  <c r="AQ497" i="6" s="1"/>
  <c r="AY363" i="6" a="1"/>
  <c r="AY363" i="6" s="1"/>
  <c r="BZ363" i="6" s="1"/>
  <c r="AQ753" i="6" a="1"/>
  <c r="AQ753" i="6" s="1"/>
  <c r="BM753" i="6" s="1"/>
  <c r="BN753" i="6" s="1"/>
  <c r="AQ260" i="6" a="1"/>
  <c r="AQ260" i="6" s="1"/>
  <c r="AY933" i="6" a="1"/>
  <c r="AY933" i="6" s="1"/>
  <c r="BZ933" i="6" s="1"/>
  <c r="AQ890" i="6" a="1"/>
  <c r="AQ890" i="6" s="1"/>
  <c r="AY188" i="6" a="1"/>
  <c r="AY188" i="6" s="1"/>
  <c r="BT188" i="6" s="1"/>
  <c r="AY594" i="6" a="1"/>
  <c r="AY594" i="6" s="1"/>
  <c r="BT594" i="6" s="1"/>
  <c r="AY582" i="6" a="1"/>
  <c r="AY582" i="6" s="1"/>
  <c r="BT582" i="6" s="1"/>
  <c r="AY187" i="6" a="1"/>
  <c r="AY187" i="6" s="1"/>
  <c r="BT187" i="6" s="1"/>
  <c r="AY178" i="6" a="1"/>
  <c r="AY178" i="6" s="1"/>
  <c r="AY534" i="6" a="1"/>
  <c r="AY534" i="6" s="1"/>
  <c r="BZ534" i="6" s="1"/>
  <c r="AQ272" i="6" a="1"/>
  <c r="AQ272" i="6" s="1"/>
  <c r="AY693" i="6" a="1"/>
  <c r="AY693" i="6" s="1"/>
  <c r="BT693" i="6" s="1"/>
  <c r="AQ837" i="6" a="1"/>
  <c r="AQ837" i="6" s="1"/>
  <c r="AQ1016" i="6" a="1"/>
  <c r="AQ1016" i="6" s="1"/>
  <c r="AQ799" i="6" a="1"/>
  <c r="AQ799" i="6" s="1"/>
  <c r="AY757" i="6" a="1"/>
  <c r="AY757" i="6" s="1"/>
  <c r="BZ757" i="6" s="1"/>
  <c r="AQ746" i="6" a="1"/>
  <c r="AQ746" i="6" s="1"/>
  <c r="BM746" i="6" s="1"/>
  <c r="AQ729" i="6" a="1"/>
  <c r="AQ729" i="6" s="1"/>
  <c r="BM729" i="6" s="1"/>
  <c r="AQ739" i="6" a="1"/>
  <c r="AQ739" i="6" s="1"/>
  <c r="AQ22" i="6" a="1"/>
  <c r="AQ22" i="6" s="1"/>
  <c r="BM22" i="6" s="1"/>
  <c r="AQ920" i="6" a="1"/>
  <c r="AQ920" i="6" s="1"/>
  <c r="BM920" i="6" s="1"/>
  <c r="I25" i="4" a="1"/>
  <c r="I25" i="4" s="1"/>
  <c r="AY252" i="6" a="1"/>
  <c r="AY252" i="6" s="1"/>
  <c r="BT252" i="6" s="1"/>
  <c r="AY998" i="6" a="1"/>
  <c r="AY998" i="6" s="1"/>
  <c r="AY300" i="6" a="1"/>
  <c r="AY300" i="6" s="1"/>
  <c r="BZ300" i="6" s="1"/>
  <c r="AY492" i="6" a="1"/>
  <c r="AY492" i="6" s="1"/>
  <c r="BT492" i="6" s="1"/>
  <c r="AQ97" i="6" a="1"/>
  <c r="AQ97" i="6" s="1"/>
  <c r="AY591" i="6" a="1"/>
  <c r="AY591" i="6" s="1"/>
  <c r="BZ591" i="6" s="1"/>
  <c r="AY749" i="6" a="1"/>
  <c r="AY749" i="6" s="1"/>
  <c r="AQ500" i="6" a="1"/>
  <c r="AQ500" i="6" s="1"/>
  <c r="AQ683" i="6" a="1"/>
  <c r="AQ683" i="6" s="1"/>
  <c r="AQ862" i="6" a="1"/>
  <c r="AQ862" i="6" s="1"/>
  <c r="AQ185" i="6" a="1"/>
  <c r="AQ185" i="6" s="1"/>
  <c r="AY1006" i="6" a="1"/>
  <c r="AY1006" i="6" s="1"/>
  <c r="AY848" i="6" a="1"/>
  <c r="AY848" i="6" s="1"/>
  <c r="BT848" i="6" s="1"/>
  <c r="AY415" i="6" a="1"/>
  <c r="AY415" i="6" s="1"/>
  <c r="BZ415" i="6" s="1"/>
  <c r="AY16" i="6" a="1"/>
  <c r="AY16" i="6" s="1"/>
  <c r="BT16" i="6" s="1"/>
  <c r="AY347" i="6" a="1"/>
  <c r="AY347" i="6" s="1"/>
  <c r="BZ347" i="6" s="1"/>
  <c r="AQ415" i="6" a="1"/>
  <c r="AQ415" i="6" s="1"/>
  <c r="BF415" i="6" s="1"/>
  <c r="AY469" i="6" a="1"/>
  <c r="AY469" i="6" s="1"/>
  <c r="BT469" i="6" s="1"/>
  <c r="AY301" i="6" a="1"/>
  <c r="AY301" i="6" s="1"/>
  <c r="BZ301" i="6" s="1"/>
  <c r="AQ774" i="6" a="1"/>
  <c r="AQ774" i="6" s="1"/>
  <c r="I142" i="4" a="1"/>
  <c r="I142" i="4" s="1"/>
  <c r="J142" i="4" s="1" a="1"/>
  <c r="J142" i="4" s="1"/>
  <c r="AQ105" i="6" a="1"/>
  <c r="AQ105" i="6" s="1"/>
  <c r="AY321" i="6" a="1"/>
  <c r="AY321" i="6" s="1"/>
  <c r="AQ352" i="6" a="1"/>
  <c r="AQ352" i="6" s="1"/>
  <c r="BF352" i="6" s="1"/>
  <c r="AY814" i="6" a="1"/>
  <c r="AY814" i="6" s="1"/>
  <c r="BZ814" i="6" s="1"/>
  <c r="AY499" i="6" a="1"/>
  <c r="AY499" i="6" s="1"/>
  <c r="BZ499" i="6" s="1"/>
  <c r="AM1010" i="6" a="1"/>
  <c r="AM1010" i="6" s="1"/>
  <c r="I251" i="4" a="1"/>
  <c r="I251" i="4" s="1"/>
  <c r="I151" i="4" a="1"/>
  <c r="I151" i="4" s="1"/>
  <c r="J151" i="4" s="1" a="1"/>
  <c r="J151" i="4" s="1"/>
  <c r="AQ4" i="6" a="1"/>
  <c r="AQ4" i="6" s="1"/>
  <c r="AY508" i="6" a="1"/>
  <c r="AY508" i="6" s="1"/>
  <c r="I26" i="4" a="1"/>
  <c r="I26" i="4" s="1"/>
  <c r="J26" i="4" s="1" a="1"/>
  <c r="J26" i="4" s="1"/>
  <c r="AY808" i="6" a="1"/>
  <c r="AY808" i="6" s="1"/>
  <c r="I197" i="4" a="1"/>
  <c r="I197" i="4" s="1"/>
  <c r="J197" i="4" s="1" a="1"/>
  <c r="J197" i="4" s="1"/>
  <c r="AY977" i="6" a="1"/>
  <c r="AY977" i="6" s="1"/>
  <c r="AY205" i="6" a="1"/>
  <c r="AY205" i="6" s="1"/>
  <c r="BT205" i="6" s="1"/>
  <c r="AQ117" i="6" a="1"/>
  <c r="AQ117" i="6" s="1"/>
  <c r="BM117" i="6" s="1"/>
  <c r="AQ399" i="6" a="1"/>
  <c r="AQ399" i="6" s="1"/>
  <c r="AY820" i="6" a="1"/>
  <c r="AY820" i="6" s="1"/>
  <c r="BT820" i="6" s="1"/>
  <c r="AY932" i="6" a="1"/>
  <c r="AY932" i="6" s="1"/>
  <c r="BZ932" i="6" s="1"/>
  <c r="AM171" i="6" a="1"/>
  <c r="AM171" i="6" s="1"/>
  <c r="AQ853" i="6" a="1"/>
  <c r="AQ853" i="6" s="1"/>
  <c r="AQ484" i="6" a="1"/>
  <c r="AQ484" i="6" s="1"/>
  <c r="BM484" i="6" s="1"/>
  <c r="AQ350" i="6" a="1"/>
  <c r="AQ350" i="6" s="1"/>
  <c r="AQ204" i="6" a="1"/>
  <c r="AQ204" i="6" s="1"/>
  <c r="AY286" i="6" a="1"/>
  <c r="AY286" i="6" s="1"/>
  <c r="BZ286" i="6" s="1"/>
  <c r="AY115" i="6" a="1"/>
  <c r="AY115" i="6" s="1"/>
  <c r="BZ115" i="6" s="1"/>
  <c r="AQ724" i="6" a="1"/>
  <c r="AQ724" i="6" s="1"/>
  <c r="BF724" i="6" s="1"/>
  <c r="AY659" i="6" a="1"/>
  <c r="AY659" i="6" s="1"/>
  <c r="AY901" i="6" a="1"/>
  <c r="AY901" i="6" s="1"/>
  <c r="BZ901" i="6" s="1"/>
  <c r="AY426" i="6" a="1"/>
  <c r="AY426" i="6" s="1"/>
  <c r="BT426" i="6" s="1"/>
  <c r="I5" i="4" a="1"/>
  <c r="I5" i="4" s="1"/>
  <c r="AQ46" i="6" a="1"/>
  <c r="AQ46" i="6" s="1"/>
  <c r="AY374" i="6" a="1"/>
  <c r="AY374" i="6" s="1"/>
  <c r="BT374" i="6" s="1"/>
  <c r="I192" i="4" a="1"/>
  <c r="I192" i="4" s="1"/>
  <c r="AY256" i="6" a="1"/>
  <c r="AY256" i="6" s="1"/>
  <c r="BZ256" i="6" s="1"/>
  <c r="AQ880" i="6" a="1"/>
  <c r="AQ880" i="6" s="1"/>
  <c r="AQ628" i="6" a="1"/>
  <c r="AQ628" i="6" s="1"/>
  <c r="AQ271" i="6" a="1"/>
  <c r="AQ271" i="6" s="1"/>
  <c r="AQ599" i="6" a="1"/>
  <c r="AQ599" i="6" s="1"/>
  <c r="I86" i="4" a="1"/>
  <c r="I86" i="4" s="1"/>
  <c r="AY326" i="6" a="1"/>
  <c r="AY326" i="6" s="1"/>
  <c r="BZ326" i="6" s="1"/>
  <c r="AY15" i="6" a="1"/>
  <c r="AY15" i="6" s="1"/>
  <c r="AM589" i="6" a="1"/>
  <c r="AM589" i="6" s="1"/>
  <c r="AP589" i="6" s="1"/>
  <c r="AQ14" i="6" a="1"/>
  <c r="AQ14" i="6" s="1"/>
  <c r="AQ495" i="6" a="1"/>
  <c r="AQ495" i="6" s="1"/>
  <c r="BM495" i="6" s="1"/>
  <c r="AQ232" i="6" a="1"/>
  <c r="AQ232" i="6" s="1"/>
  <c r="BM232" i="6" s="1"/>
  <c r="AY537" i="6" a="1"/>
  <c r="AY537" i="6" s="1"/>
  <c r="AY630" i="6" a="1"/>
  <c r="AY630" i="6" s="1"/>
  <c r="BT630" i="6" s="1"/>
  <c r="AM155" i="6" a="1"/>
  <c r="AM155" i="6" s="1"/>
  <c r="AY174" i="6" a="1"/>
  <c r="AY174" i="6" s="1"/>
  <c r="AQ555" i="6" a="1"/>
  <c r="AQ555" i="6" s="1"/>
  <c r="AQ511" i="6" a="1"/>
  <c r="AQ511" i="6" s="1"/>
  <c r="AY945" i="6" a="1"/>
  <c r="AY945" i="6" s="1"/>
  <c r="AM992" i="6" a="1"/>
  <c r="AM992" i="6" s="1"/>
  <c r="AQ412" i="6" a="1"/>
  <c r="AQ412" i="6" s="1"/>
  <c r="AQ758" i="6" a="1"/>
  <c r="AQ758" i="6" s="1"/>
  <c r="BF758" i="6" s="1"/>
  <c r="AM719" i="6" a="1"/>
  <c r="AM719" i="6" s="1"/>
  <c r="I3" i="4" a="1"/>
  <c r="I3" i="4" s="1"/>
  <c r="AY859" i="6" a="1"/>
  <c r="AY859" i="6" s="1"/>
  <c r="BT859" i="6" s="1"/>
  <c r="AQ582" i="6" a="1"/>
  <c r="AQ582" i="6" s="1"/>
  <c r="AY625" i="6" a="1"/>
  <c r="AY625" i="6" s="1"/>
  <c r="BZ625" i="6" s="1"/>
  <c r="AQ94" i="6" a="1"/>
  <c r="AQ94" i="6" s="1"/>
  <c r="AY745" i="6" a="1"/>
  <c r="AY745" i="6" s="1"/>
  <c r="AQ102" i="6" a="1"/>
  <c r="AQ102" i="6" s="1"/>
  <c r="AQ338" i="6" a="1"/>
  <c r="AQ338" i="6" s="1"/>
  <c r="AY888" i="6" a="1"/>
  <c r="AY888" i="6" s="1"/>
  <c r="AY335" i="6" a="1"/>
  <c r="AY335" i="6" s="1"/>
  <c r="BT335" i="6" s="1"/>
  <c r="AQ360" i="6" a="1"/>
  <c r="AQ360" i="6" s="1"/>
  <c r="AY533" i="6" a="1"/>
  <c r="AY533" i="6" s="1"/>
  <c r="BT533" i="6" s="1"/>
  <c r="AQ190" i="6" a="1"/>
  <c r="AQ190" i="6" s="1"/>
  <c r="AQ899" i="6" a="1"/>
  <c r="AQ899" i="6" s="1"/>
  <c r="AY261" i="6" a="1"/>
  <c r="AY261" i="6" s="1"/>
  <c r="BT261" i="6" s="1"/>
  <c r="AQ786" i="6" a="1"/>
  <c r="AQ786" i="6" s="1"/>
  <c r="BF786" i="6" s="1"/>
  <c r="AQ319" i="6" a="1"/>
  <c r="AQ319" i="6" s="1"/>
  <c r="AY104" i="6" a="1"/>
  <c r="AY104" i="6" s="1"/>
  <c r="BZ104" i="6" s="1"/>
  <c r="AQ603" i="6" a="1"/>
  <c r="AQ603" i="6" s="1"/>
  <c r="BM603" i="6" s="1"/>
  <c r="AQ601" i="6" a="1"/>
  <c r="AQ601" i="6" s="1"/>
  <c r="BF601" i="6" s="1"/>
  <c r="BG601" i="6" s="1"/>
  <c r="AQ196" i="6" a="1"/>
  <c r="AQ196" i="6" s="1"/>
  <c r="BF196" i="6" s="1"/>
  <c r="AQ278" i="6" a="1"/>
  <c r="AQ278" i="6" s="1"/>
  <c r="AM366" i="6" a="1"/>
  <c r="AM366" i="6" s="1"/>
  <c r="AQ719" i="6" a="1"/>
  <c r="AQ719" i="6" s="1"/>
  <c r="AY539" i="6" a="1"/>
  <c r="AY539" i="6" s="1"/>
  <c r="BZ539" i="6" s="1"/>
  <c r="AQ1012" i="6" a="1"/>
  <c r="AQ1012" i="6" s="1"/>
  <c r="BF1012" i="6" s="1"/>
  <c r="AQ287" i="6" a="1"/>
  <c r="AQ287" i="6" s="1"/>
  <c r="BM287" i="6" s="1"/>
  <c r="AY146" i="6" a="1"/>
  <c r="AY146" i="6" s="1"/>
  <c r="I20" i="4" a="1"/>
  <c r="I20" i="4" s="1"/>
  <c r="J20" i="4" s="1" a="1"/>
  <c r="J20" i="4" s="1"/>
  <c r="AY846" i="6" a="1"/>
  <c r="AY846" i="6" s="1"/>
  <c r="BT846" i="6" s="1"/>
  <c r="AY571" i="6" a="1"/>
  <c r="AY571" i="6" s="1"/>
  <c r="BZ571" i="6" s="1"/>
  <c r="AQ340" i="6" a="1"/>
  <c r="AQ340" i="6" s="1"/>
  <c r="BM340" i="6" s="1"/>
  <c r="AQ935" i="6" a="1"/>
  <c r="AQ935" i="6" s="1"/>
  <c r="AQ74" i="6" a="1"/>
  <c r="AQ74" i="6" s="1"/>
  <c r="AQ528" i="6" a="1"/>
  <c r="AQ528" i="6" s="1"/>
  <c r="AM475" i="6" a="1"/>
  <c r="AM475" i="6" s="1"/>
  <c r="AQ257" i="6" a="1"/>
  <c r="AQ257" i="6" s="1"/>
  <c r="BM257" i="6" s="1"/>
  <c r="AQ623" i="6" a="1"/>
  <c r="AQ623" i="6" s="1"/>
  <c r="AQ611" i="6" a="1"/>
  <c r="AQ611" i="6" s="1"/>
  <c r="AY542" i="6" a="1"/>
  <c r="AY542" i="6" s="1"/>
  <c r="AQ237" i="6" a="1"/>
  <c r="AQ237" i="6" s="1"/>
  <c r="AQ1008" i="6" a="1"/>
  <c r="AQ1008" i="6" s="1"/>
  <c r="AQ531" i="6" a="1"/>
  <c r="AQ531" i="6" s="1"/>
  <c r="AY713" i="6" a="1"/>
  <c r="AY713" i="6" s="1"/>
  <c r="AY569" i="6" a="1"/>
  <c r="AY569" i="6" s="1"/>
  <c r="BT569" i="6" s="1"/>
  <c r="AQ576" i="6" a="1"/>
  <c r="AQ576" i="6" s="1"/>
  <c r="AM177" i="6" a="1"/>
  <c r="AM177" i="6" s="1"/>
  <c r="AY842" i="6" a="1"/>
  <c r="AY842" i="6" s="1"/>
  <c r="AQ585" i="6" a="1"/>
  <c r="AQ585" i="6" s="1"/>
  <c r="AQ427" i="6" a="1"/>
  <c r="AQ427" i="6" s="1"/>
  <c r="BF427" i="6" s="1"/>
  <c r="AQ20" i="6" a="1"/>
  <c r="AQ20" i="6" s="1"/>
  <c r="BF20" i="6" s="1"/>
  <c r="AQ262" i="6" a="1"/>
  <c r="AQ262" i="6" s="1"/>
  <c r="AM192" i="6" a="1"/>
  <c r="AM192" i="6" s="1"/>
  <c r="AQ577" i="6" a="1"/>
  <c r="AQ577" i="6" s="1"/>
  <c r="BF577" i="6" s="1"/>
  <c r="AQ167" i="6" a="1"/>
  <c r="AQ167" i="6" s="1"/>
  <c r="AM895" i="6" a="1"/>
  <c r="AM895" i="6" s="1"/>
  <c r="AQ629" i="6" a="1"/>
  <c r="AQ629" i="6" s="1"/>
  <c r="BM629" i="6" s="1"/>
  <c r="AQ707" i="6" a="1"/>
  <c r="AQ707" i="6" s="1"/>
  <c r="AQ244" i="6" a="1"/>
  <c r="AQ244" i="6" s="1"/>
  <c r="AY910" i="6" a="1"/>
  <c r="AY910" i="6" s="1"/>
  <c r="BT910" i="6" s="1"/>
  <c r="AY450" i="6" a="1"/>
  <c r="AY450" i="6" s="1"/>
  <c r="BT450" i="6" s="1"/>
  <c r="AQ743" i="6" a="1"/>
  <c r="AQ743" i="6" s="1"/>
  <c r="BF743" i="6" s="1"/>
  <c r="AQ480" i="6" a="1"/>
  <c r="AQ480" i="6" s="1"/>
  <c r="AM3" i="6" a="1"/>
  <c r="AM3" i="6" s="1"/>
  <c r="AQ515" i="6" a="1"/>
  <c r="AQ515" i="6" s="1"/>
  <c r="BF515" i="6" s="1"/>
  <c r="AQ406" i="6" a="1"/>
  <c r="AQ406" i="6" s="1"/>
  <c r="AY420" i="6" a="1"/>
  <c r="AY420" i="6" s="1"/>
  <c r="AM346" i="6" a="1"/>
  <c r="AM346" i="6" s="1"/>
  <c r="AQ1001" i="6" a="1"/>
  <c r="AQ1001" i="6" s="1"/>
  <c r="BF1001" i="6" s="1"/>
  <c r="AQ512" i="6" a="1"/>
  <c r="AQ512" i="6" s="1"/>
  <c r="AQ641" i="6" a="1"/>
  <c r="AQ641" i="6" s="1"/>
  <c r="AM782" i="6" a="1"/>
  <c r="AM782" i="6" s="1"/>
  <c r="AM935" i="6" a="1"/>
  <c r="AM935" i="6" s="1"/>
  <c r="AP935" i="6" s="1"/>
  <c r="AT935" i="6" s="1"/>
  <c r="AM986" i="6" a="1"/>
  <c r="AM986" i="6" s="1"/>
  <c r="AP986" i="6" s="1"/>
  <c r="AT986" i="6" s="1"/>
  <c r="AQ374" i="6" a="1"/>
  <c r="AQ374" i="6" s="1"/>
  <c r="AQ499" i="6" a="1"/>
  <c r="AQ499" i="6" s="1"/>
  <c r="BM499" i="6" s="1"/>
  <c r="AM666" i="6" a="1"/>
  <c r="AM666" i="6" s="1"/>
  <c r="AP666" i="6" s="1"/>
  <c r="AT666" i="6" s="1"/>
  <c r="AM55" i="6" a="1"/>
  <c r="AM55" i="6" s="1"/>
  <c r="AY574" i="6" a="1"/>
  <c r="AY574" i="6" s="1"/>
  <c r="BZ574" i="6" s="1"/>
  <c r="AQ1010" i="6" a="1"/>
  <c r="AQ1010" i="6" s="1"/>
  <c r="AQ29" i="6" a="1"/>
  <c r="AQ29" i="6" s="1"/>
  <c r="AQ285" i="6" a="1"/>
  <c r="AQ285" i="6" s="1"/>
  <c r="BF285" i="6" s="1"/>
  <c r="AQ330" i="6" a="1"/>
  <c r="AQ330" i="6" s="1"/>
  <c r="AQ31" i="6" a="1"/>
  <c r="AQ31" i="6" s="1"/>
  <c r="BF31" i="6" s="1"/>
  <c r="BG31" i="6" s="1"/>
  <c r="AQ38" i="6" a="1"/>
  <c r="AQ38" i="6" s="1"/>
  <c r="AM470" i="6" a="1"/>
  <c r="AM470" i="6" s="1"/>
  <c r="AN470" i="6" s="1" a="1"/>
  <c r="AN470" i="6" s="1"/>
  <c r="AM78" i="6" a="1"/>
  <c r="AM78" i="6" s="1"/>
  <c r="AP78" i="6" s="1"/>
  <c r="AT78" i="6" s="1"/>
  <c r="AQ410" i="6" a="1"/>
  <c r="AQ410" i="6" s="1"/>
  <c r="BM410" i="6" s="1"/>
  <c r="AQ668" i="6" a="1"/>
  <c r="AQ668" i="6" s="1"/>
  <c r="AM829" i="6" a="1"/>
  <c r="AM829" i="6" s="1"/>
  <c r="AM359" i="6" a="1"/>
  <c r="AM359" i="6" s="1"/>
  <c r="AQ86" i="6" a="1"/>
  <c r="AQ86" i="6" s="1"/>
  <c r="AQ687" i="6" a="1"/>
  <c r="AQ687" i="6" s="1"/>
  <c r="BF687" i="6" s="1"/>
  <c r="I22" i="4" a="1"/>
  <c r="I22" i="4" s="1"/>
  <c r="AY21" i="6" a="1"/>
  <c r="AY21" i="6" s="1"/>
  <c r="BT21" i="6" s="1"/>
  <c r="AM946" i="6" a="1"/>
  <c r="AM946" i="6" s="1"/>
  <c r="AQ439" i="6" a="1"/>
  <c r="AQ439" i="6" s="1"/>
  <c r="AY562" i="6" a="1"/>
  <c r="AY562" i="6" s="1"/>
  <c r="BT562" i="6" s="1"/>
  <c r="AQ321" i="6" a="1"/>
  <c r="AQ321" i="6" s="1"/>
  <c r="BF321" i="6" s="1"/>
  <c r="AM915" i="6" a="1"/>
  <c r="AM915" i="6" s="1"/>
  <c r="AP915" i="6" s="1"/>
  <c r="AT915" i="6" s="1"/>
  <c r="AQ143" i="6" a="1"/>
  <c r="AQ143" i="6" s="1"/>
  <c r="BM143" i="6" s="1"/>
  <c r="BN143" i="6" s="1"/>
  <c r="AY656" i="6" a="1"/>
  <c r="AY656" i="6" s="1"/>
  <c r="AM859" i="6" a="1"/>
  <c r="AM859" i="6" s="1"/>
  <c r="AP859" i="6" s="1"/>
  <c r="AT859" i="6" s="1"/>
  <c r="AM496" i="6" a="1"/>
  <c r="AM496" i="6" s="1"/>
  <c r="AP496" i="6" s="1"/>
  <c r="AT496" i="6" s="1"/>
  <c r="AQ914" i="6" a="1"/>
  <c r="AQ914" i="6" s="1"/>
  <c r="AY242" i="6" a="1"/>
  <c r="AY242" i="6" s="1"/>
  <c r="BT242" i="6" s="1"/>
  <c r="AY755" i="6" a="1"/>
  <c r="AY755" i="6" s="1"/>
  <c r="BT755" i="6" s="1"/>
  <c r="AM69" i="6" a="1"/>
  <c r="AM69" i="6" s="1"/>
  <c r="AN69" i="6" s="1" a="1"/>
  <c r="AN69" i="6" s="1"/>
  <c r="AM381" i="6" a="1"/>
  <c r="AM381" i="6" s="1"/>
  <c r="AP381" i="6" s="1"/>
  <c r="AT381" i="6" s="1"/>
  <c r="AM552" i="6" a="1"/>
  <c r="AM552" i="6" s="1"/>
  <c r="AP552" i="6" s="1"/>
  <c r="AT552" i="6" s="1"/>
  <c r="AQ419" i="6" a="1"/>
  <c r="AQ419" i="6" s="1"/>
  <c r="BM419" i="6" s="1"/>
  <c r="AQ763" i="6" a="1"/>
  <c r="AQ763" i="6" s="1"/>
  <c r="AQ882" i="6" a="1"/>
  <c r="AQ882" i="6" s="1"/>
  <c r="AQ166" i="6" a="1"/>
  <c r="AQ166" i="6" s="1"/>
  <c r="AM881" i="6" a="1"/>
  <c r="AM881" i="6" s="1"/>
  <c r="AP881" i="6" s="1"/>
  <c r="AT881" i="6" s="1"/>
  <c r="AQ778" i="6" a="1"/>
  <c r="AQ778" i="6" s="1"/>
  <c r="BM778" i="6" s="1"/>
  <c r="AM707" i="6" a="1"/>
  <c r="AM707" i="6" s="1"/>
  <c r="AQ151" i="6" a="1"/>
  <c r="AQ151" i="6" s="1"/>
  <c r="AQ640" i="6" a="1"/>
  <c r="AQ640" i="6" s="1"/>
  <c r="AQ116" i="6" a="1"/>
  <c r="AQ116" i="6" s="1"/>
  <c r="AQ624" i="6" a="1"/>
  <c r="AQ624" i="6" s="1"/>
  <c r="AQ810" i="6" a="1"/>
  <c r="AQ810" i="6" s="1"/>
  <c r="I39" i="4" a="1"/>
  <c r="I39" i="4" s="1"/>
  <c r="AY555" i="6" a="1"/>
  <c r="AY555" i="6" s="1"/>
  <c r="AQ43" i="6" a="1"/>
  <c r="AQ43" i="6" s="1"/>
  <c r="AY646" i="6" a="1"/>
  <c r="AY646" i="6" s="1"/>
  <c r="AQ432" i="6" a="1"/>
  <c r="AQ432" i="6" s="1"/>
  <c r="BM432" i="6" s="1"/>
  <c r="AM591" i="6" a="1"/>
  <c r="AM591" i="6" s="1"/>
  <c r="AQ976" i="6" a="1"/>
  <c r="AQ976" i="6" s="1"/>
  <c r="AQ915" i="6" a="1"/>
  <c r="AQ915" i="6" s="1"/>
  <c r="BM915" i="6" s="1"/>
  <c r="AM742" i="6" a="1"/>
  <c r="AM742" i="6" s="1"/>
  <c r="AQ294" i="6" a="1"/>
  <c r="AQ294" i="6" s="1"/>
  <c r="AY678" i="6" a="1"/>
  <c r="AY678" i="6" s="1"/>
  <c r="AQ114" i="6" a="1"/>
  <c r="AQ114" i="6" s="1"/>
  <c r="AY444" i="6" a="1"/>
  <c r="AY444" i="6" s="1"/>
  <c r="AY168" i="6" a="1"/>
  <c r="AY168" i="6" s="1"/>
  <c r="AQ358" i="6" a="1"/>
  <c r="AQ358" i="6" s="1"/>
  <c r="AM84" i="6" a="1"/>
  <c r="AM84" i="6" s="1"/>
  <c r="AY22" i="6" a="1"/>
  <c r="AY22" i="6" s="1"/>
  <c r="AQ521" i="6" a="1"/>
  <c r="AQ521" i="6" s="1"/>
  <c r="AY1024" i="6" a="1"/>
  <c r="AY1024" i="6" s="1"/>
  <c r="AY849" i="6" a="1"/>
  <c r="AY849" i="6" s="1"/>
  <c r="AQ878" i="6" a="1"/>
  <c r="AQ878" i="6" s="1"/>
  <c r="BF878" i="6" s="1"/>
  <c r="AY736" i="6" a="1"/>
  <c r="AY736" i="6" s="1"/>
  <c r="AY903" i="6" a="1"/>
  <c r="AY903" i="6" s="1"/>
  <c r="AM960" i="6" a="1"/>
  <c r="AM960" i="6" s="1"/>
  <c r="AQ676" i="6" a="1"/>
  <c r="AQ676" i="6" s="1"/>
  <c r="AY768" i="6" a="1"/>
  <c r="AY768" i="6" s="1"/>
  <c r="AQ3" i="6" a="1"/>
  <c r="AQ3" i="6" s="1"/>
  <c r="AM441" i="6" a="1"/>
  <c r="AM441" i="6" s="1"/>
  <c r="AM570" i="6" a="1"/>
  <c r="AM570" i="6" s="1"/>
  <c r="AQ119" i="6" a="1"/>
  <c r="AQ119" i="6" s="1"/>
  <c r="AY232" i="6" a="1"/>
  <c r="AY232" i="6" s="1"/>
  <c r="AY1017" i="6" a="1"/>
  <c r="AY1017" i="6" s="1"/>
  <c r="BT1017" i="6" s="1"/>
  <c r="AY674" i="6" a="1"/>
  <c r="AY674" i="6" s="1"/>
  <c r="AM608" i="6" a="1"/>
  <c r="AM608" i="6" s="1"/>
  <c r="AM869" i="6" a="1"/>
  <c r="AM869" i="6" s="1"/>
  <c r="AM965" i="6" a="1"/>
  <c r="AM965" i="6" s="1"/>
  <c r="AN965" i="6" s="1" a="1"/>
  <c r="AN965" i="6" s="1"/>
  <c r="AQ887" i="6" a="1"/>
  <c r="AQ887" i="6" s="1"/>
  <c r="BF887" i="6" s="1"/>
  <c r="BG887" i="6" s="1"/>
  <c r="AQ711" i="6" a="1"/>
  <c r="AQ711" i="6" s="1"/>
  <c r="AM586" i="6" a="1"/>
  <c r="AM586" i="6" s="1"/>
  <c r="AQ201" i="6" a="1"/>
  <c r="AQ201" i="6" s="1"/>
  <c r="AM457" i="6" a="1"/>
  <c r="AM457" i="6" s="1"/>
  <c r="AN457" i="6" s="1" a="1"/>
  <c r="AN457" i="6" s="1"/>
  <c r="AQ681" i="6" a="1"/>
  <c r="AQ681" i="6" s="1"/>
  <c r="AM576" i="6" a="1"/>
  <c r="AM576" i="6" s="1"/>
  <c r="AN576" i="6" s="1" a="1"/>
  <c r="AN576" i="6" s="1"/>
  <c r="AQ58" i="6" a="1"/>
  <c r="AQ58" i="6" s="1"/>
  <c r="AQ87" i="6" a="1"/>
  <c r="AQ87" i="6" s="1"/>
  <c r="BF87" i="6" s="1"/>
  <c r="AY635" i="6" a="1"/>
  <c r="AY635" i="6" s="1"/>
  <c r="AQ957" i="6" a="1"/>
  <c r="AQ957" i="6" s="1"/>
  <c r="AQ561" i="6" a="1"/>
  <c r="AQ561" i="6" s="1"/>
  <c r="AM220" i="6" a="1"/>
  <c r="AM220" i="6" s="1"/>
  <c r="AQ686" i="6" a="1"/>
  <c r="AQ686" i="6" s="1"/>
  <c r="AQ654" i="6" a="1"/>
  <c r="AQ654" i="6" s="1"/>
  <c r="AM354" i="6" a="1"/>
  <c r="AM354" i="6" s="1"/>
  <c r="AM131" i="6" a="1"/>
  <c r="AM131" i="6" s="1"/>
  <c r="AM802" i="6" a="1"/>
  <c r="AM802" i="6" s="1"/>
  <c r="AP802" i="6" s="1"/>
  <c r="AT802" i="6" s="1"/>
  <c r="AM752" i="6" a="1"/>
  <c r="AM752" i="6" s="1"/>
  <c r="AP752" i="6" s="1"/>
  <c r="AT752" i="6" s="1"/>
  <c r="AM714" i="6" a="1"/>
  <c r="AM714" i="6" s="1"/>
  <c r="AP714" i="6" s="1"/>
  <c r="AT714" i="6" s="1"/>
  <c r="AM877" i="6" a="1"/>
  <c r="AM877" i="6" s="1"/>
  <c r="AP877" i="6" s="1"/>
  <c r="AT877" i="6" s="1"/>
  <c r="AQ54" i="6" a="1"/>
  <c r="AQ54" i="6" s="1"/>
  <c r="BM54" i="6" s="1"/>
  <c r="AM301" i="6" a="1"/>
  <c r="AM301" i="6" s="1"/>
  <c r="AQ347" i="6" a="1"/>
  <c r="AQ347" i="6" s="1"/>
  <c r="AQ1002" i="6" a="1"/>
  <c r="AQ1002" i="6" s="1"/>
  <c r="AM902" i="6" a="1"/>
  <c r="AM902" i="6" s="1"/>
  <c r="AY202" i="6" a="1"/>
  <c r="AY202" i="6" s="1"/>
  <c r="AM338" i="6" a="1"/>
  <c r="AM338" i="6" s="1"/>
  <c r="AQ434" i="6" a="1"/>
  <c r="AQ434" i="6" s="1"/>
  <c r="AM401" i="6" a="1"/>
  <c r="AM401" i="6" s="1"/>
  <c r="AP401" i="6" s="1"/>
  <c r="AT401" i="6" s="1"/>
  <c r="AM239" i="6" a="1"/>
  <c r="AM239" i="6" s="1"/>
  <c r="AN239" i="6" s="1" a="1"/>
  <c r="AN239" i="6" s="1"/>
  <c r="AQ925" i="6" a="1"/>
  <c r="AQ925" i="6" s="1"/>
  <c r="AY994" i="6" a="1"/>
  <c r="AY994" i="6" s="1"/>
  <c r="AY564" i="6" a="1"/>
  <c r="AY564" i="6" s="1"/>
  <c r="BT564" i="6" s="1"/>
  <c r="AQ418" i="6" a="1"/>
  <c r="AQ418" i="6" s="1"/>
  <c r="BF418" i="6" s="1"/>
  <c r="AQ48" i="6" a="1"/>
  <c r="AQ48" i="6" s="1"/>
  <c r="BM48" i="6" s="1"/>
  <c r="AY524" i="6" a="1"/>
  <c r="AY524" i="6" s="1"/>
  <c r="AM785" i="6" a="1"/>
  <c r="AM785" i="6" s="1"/>
  <c r="AN785" i="6" s="1" a="1"/>
  <c r="AN785" i="6" s="1"/>
  <c r="AM597" i="6" a="1"/>
  <c r="AM597" i="6" s="1"/>
  <c r="AP597" i="6" s="1"/>
  <c r="AT597" i="6" s="1"/>
  <c r="AQ387" i="6" a="1"/>
  <c r="AQ387" i="6" s="1"/>
  <c r="BM387" i="6" s="1"/>
  <c r="AY397" i="6" a="1"/>
  <c r="AY397" i="6" s="1"/>
  <c r="AY837" i="6" a="1"/>
  <c r="AY837" i="6" s="1"/>
  <c r="AQ349" i="6" a="1"/>
  <c r="AQ349" i="6" s="1"/>
  <c r="AM678" i="6" a="1"/>
  <c r="AM678" i="6" s="1"/>
  <c r="AP678" i="6" s="1"/>
  <c r="AT678" i="6" s="1"/>
  <c r="AQ797" i="6" a="1"/>
  <c r="AQ797" i="6" s="1"/>
  <c r="BF797" i="6" s="1"/>
  <c r="AQ993" i="6" a="1"/>
  <c r="AQ993" i="6" s="1"/>
  <c r="AQ137" i="6" a="1"/>
  <c r="AQ137" i="6" s="1"/>
  <c r="BF137" i="6" s="1"/>
  <c r="AY314" i="6" a="1"/>
  <c r="AY314" i="6" s="1"/>
  <c r="AQ186" i="6" a="1"/>
  <c r="AQ186" i="6" s="1"/>
  <c r="AM667" i="6" a="1"/>
  <c r="AM667" i="6" s="1"/>
  <c r="AY275" i="6" a="1"/>
  <c r="AY275" i="6" s="1"/>
  <c r="I147" i="4" a="1"/>
  <c r="I147" i="4" s="1"/>
  <c r="AY74" i="6" a="1"/>
  <c r="AY74" i="6" s="1"/>
  <c r="AQ553" i="6" a="1"/>
  <c r="AQ553" i="6" s="1"/>
  <c r="AY753" i="6" a="1"/>
  <c r="AY753" i="6" s="1"/>
  <c r="AM856" i="6" a="1"/>
  <c r="AM856" i="6" s="1"/>
  <c r="AN856" i="6" s="1" a="1"/>
  <c r="AN856" i="6" s="1"/>
  <c r="AM40" i="6" a="1"/>
  <c r="AM40" i="6" s="1"/>
  <c r="AP40" i="6" s="1"/>
  <c r="AT40" i="6" s="1"/>
  <c r="AQ919" i="6" a="1"/>
  <c r="AQ919" i="6" s="1"/>
  <c r="BF919" i="6" s="1"/>
  <c r="AY230" i="6" a="1"/>
  <c r="AY230" i="6" s="1"/>
  <c r="BZ230" i="6" s="1"/>
  <c r="AQ225" i="6" a="1"/>
  <c r="AQ225" i="6" s="1"/>
  <c r="BM225" i="6" s="1"/>
  <c r="AQ960" i="6" a="1"/>
  <c r="AQ960" i="6" s="1"/>
  <c r="BF960" i="6" s="1"/>
  <c r="AM885" i="6" a="1"/>
  <c r="AM885" i="6" s="1"/>
  <c r="AM969" i="6" a="1"/>
  <c r="AM969" i="6" s="1"/>
  <c r="AQ227" i="6" a="1"/>
  <c r="AQ227" i="6" s="1"/>
  <c r="BF227" i="6" s="1"/>
  <c r="AY78" i="6" a="1"/>
  <c r="AY78" i="6" s="1"/>
  <c r="BT78" i="6" s="1"/>
  <c r="AY364" i="6" a="1"/>
  <c r="AY364" i="6" s="1"/>
  <c r="BT364" i="6" s="1"/>
  <c r="AM500" i="6" a="1"/>
  <c r="AM500" i="6" s="1"/>
  <c r="AP500" i="6" s="1"/>
  <c r="AT500" i="6" s="1"/>
  <c r="AY843" i="6" a="1"/>
  <c r="AY843" i="6" s="1"/>
  <c r="AY220" i="6" a="1"/>
  <c r="AY220" i="6" s="1"/>
  <c r="AY698" i="6" a="1"/>
  <c r="AY698" i="6" s="1"/>
  <c r="AM1016" i="6" a="1"/>
  <c r="AM1016" i="6" s="1"/>
  <c r="AY348" i="6" a="1"/>
  <c r="AY348" i="6" s="1"/>
  <c r="I175" i="4" a="1"/>
  <c r="I175" i="4" s="1"/>
  <c r="J175" i="4" s="1" a="1"/>
  <c r="J175" i="4" s="1"/>
  <c r="I138" i="4" a="1"/>
  <c r="I138" i="4" s="1"/>
  <c r="AQ581" i="6" a="1"/>
  <c r="AQ581" i="6" s="1"/>
  <c r="BF581" i="6" s="1"/>
  <c r="AQ168" i="6" a="1"/>
  <c r="AQ168" i="6" s="1"/>
  <c r="BM168" i="6" s="1"/>
  <c r="AM805" i="6" a="1"/>
  <c r="AM805" i="6" s="1"/>
  <c r="AN805" i="6" s="1" a="1"/>
  <c r="AN805" i="6" s="1"/>
  <c r="AQ26" i="6" a="1"/>
  <c r="AQ26" i="6" s="1"/>
  <c r="BF26" i="6" s="1"/>
  <c r="AM794" i="6" a="1"/>
  <c r="AM794" i="6" s="1"/>
  <c r="AY171" i="6" a="1"/>
  <c r="AY171" i="6" s="1"/>
  <c r="BT171" i="6" s="1"/>
  <c r="AY777" i="6" a="1"/>
  <c r="AY777" i="6" s="1"/>
  <c r="BZ777" i="6" s="1"/>
  <c r="AY567" i="6" a="1"/>
  <c r="AY567" i="6" s="1"/>
  <c r="AY738" i="6" a="1"/>
  <c r="AY738" i="6" s="1"/>
  <c r="BZ738" i="6" s="1"/>
  <c r="AY422" i="6" a="1"/>
  <c r="AY422" i="6" s="1"/>
  <c r="AY292" i="6" a="1"/>
  <c r="AY292" i="6" s="1"/>
  <c r="BT292" i="6" s="1"/>
  <c r="I100" i="4" a="1"/>
  <c r="I100" i="4" s="1"/>
  <c r="AM925" i="6" a="1"/>
  <c r="AM925" i="6" s="1"/>
  <c r="AP925" i="6" s="1"/>
  <c r="AT925" i="6" s="1"/>
  <c r="AQ772" i="6" a="1"/>
  <c r="AQ772" i="6" s="1"/>
  <c r="BF772" i="6" s="1"/>
  <c r="AQ65" i="6" a="1"/>
  <c r="AQ65" i="6" s="1"/>
  <c r="BM65" i="6" s="1"/>
  <c r="AQ674" i="6" a="1"/>
  <c r="AQ674" i="6" s="1"/>
  <c r="BM674" i="6" s="1"/>
  <c r="AQ706" i="6" a="1"/>
  <c r="AQ706" i="6" s="1"/>
  <c r="BF706" i="6" s="1"/>
  <c r="I15" i="4" a="1"/>
  <c r="I15" i="4" s="1"/>
  <c r="AQ70" i="6" a="1"/>
  <c r="AQ70" i="6" s="1"/>
  <c r="BF70" i="6" s="1"/>
  <c r="BG70" i="6" s="1"/>
  <c r="AY799" i="6" a="1"/>
  <c r="AY799" i="6" s="1"/>
  <c r="AM908" i="6" a="1"/>
  <c r="AM908" i="6" s="1"/>
  <c r="AY158" i="6" a="1"/>
  <c r="AY158" i="6" s="1"/>
  <c r="BT158" i="6" s="1"/>
  <c r="AM283" i="6" a="1"/>
  <c r="AM283" i="6" s="1"/>
  <c r="AP283" i="6" s="1"/>
  <c r="AT283" i="6" s="1"/>
  <c r="AQ411" i="6" a="1"/>
  <c r="AQ411" i="6" s="1"/>
  <c r="BM411" i="6" s="1"/>
  <c r="AQ673" i="6" a="1"/>
  <c r="AQ673" i="6" s="1"/>
  <c r="BF673" i="6" s="1"/>
  <c r="AY863" i="6" a="1"/>
  <c r="AY863" i="6" s="1"/>
  <c r="BZ863" i="6" s="1"/>
  <c r="AY170" i="6" a="1"/>
  <c r="AY170" i="6" s="1"/>
  <c r="BT170" i="6" s="1"/>
  <c r="AQ198" i="6" a="1"/>
  <c r="AQ198" i="6" s="1"/>
  <c r="BM198" i="6" s="1"/>
  <c r="AQ690" i="6" a="1"/>
  <c r="AQ690" i="6" s="1"/>
  <c r="AQ566" i="6" a="1"/>
  <c r="AQ566" i="6" s="1"/>
  <c r="AY430" i="6" a="1"/>
  <c r="AY430" i="6" s="1"/>
  <c r="BT430" i="6" s="1"/>
  <c r="AQ965" i="6" a="1"/>
  <c r="AQ965" i="6" s="1"/>
  <c r="AM889" i="6" a="1"/>
  <c r="AM889" i="6" s="1"/>
  <c r="AQ1003" i="6" a="1"/>
  <c r="AQ1003" i="6" s="1"/>
  <c r="AY177" i="6" a="1"/>
  <c r="AY177" i="6" s="1"/>
  <c r="AY367" i="6" a="1"/>
  <c r="AY367" i="6" s="1"/>
  <c r="AY83" i="6" a="1"/>
  <c r="AY83" i="6" s="1"/>
  <c r="AQ740" i="6" a="1"/>
  <c r="AQ740" i="6" s="1"/>
  <c r="AQ219" i="6" a="1"/>
  <c r="AQ219" i="6" s="1"/>
  <c r="BM219" i="6" s="1"/>
  <c r="BN219" i="6" s="1"/>
  <c r="AY366" i="6" a="1"/>
  <c r="AY366" i="6" s="1"/>
  <c r="AY810" i="6" a="1"/>
  <c r="AY810" i="6" s="1"/>
  <c r="AQ545" i="6" a="1"/>
  <c r="AQ545" i="6" s="1"/>
  <c r="BF545" i="6" s="1"/>
  <c r="BG545" i="6" s="1"/>
  <c r="I180" i="4" a="1"/>
  <c r="I180" i="4" s="1"/>
  <c r="AY379" i="6" a="1"/>
  <c r="AY379" i="6" s="1"/>
  <c r="BT379" i="6" s="1"/>
  <c r="AY676" i="6" a="1"/>
  <c r="AY676" i="6" s="1"/>
  <c r="BZ676" i="6" s="1"/>
  <c r="AY151" i="6" a="1"/>
  <c r="AY151" i="6" s="1"/>
  <c r="AY908" i="6" a="1"/>
  <c r="AY908" i="6" s="1"/>
  <c r="AM199" i="6" a="1"/>
  <c r="AM199" i="6" s="1"/>
  <c r="AQ784" i="6" a="1"/>
  <c r="AQ784" i="6" s="1"/>
  <c r="BF784" i="6" s="1"/>
  <c r="I160" i="4" a="1"/>
  <c r="I160" i="4" s="1"/>
  <c r="AM519" i="6" a="1"/>
  <c r="AM519" i="6" s="1"/>
  <c r="AQ504" i="6" a="1"/>
  <c r="AQ504" i="6" s="1"/>
  <c r="BF504" i="6" s="1"/>
  <c r="AQ514" i="6" a="1"/>
  <c r="AQ514" i="6" s="1"/>
  <c r="BF514" i="6" s="1"/>
  <c r="AM926" i="6" a="1"/>
  <c r="AM926" i="6" s="1"/>
  <c r="AY384" i="6" a="1"/>
  <c r="AY384" i="6" s="1"/>
  <c r="BZ384" i="6" s="1"/>
  <c r="AM544" i="6" a="1"/>
  <c r="AM544" i="6" s="1"/>
  <c r="AN544" i="6" s="1" a="1"/>
  <c r="AN544" i="6" s="1"/>
  <c r="AQ417" i="6" a="1"/>
  <c r="AQ417" i="6" s="1"/>
  <c r="BM417" i="6" s="1"/>
  <c r="AM897" i="6" a="1"/>
  <c r="AM897" i="6" s="1"/>
  <c r="AM723" i="6" a="1"/>
  <c r="AM723" i="6" s="1"/>
  <c r="AP723" i="6" s="1"/>
  <c r="AT723" i="6" s="1"/>
  <c r="AQ320" i="6" a="1"/>
  <c r="AQ320" i="6" s="1"/>
  <c r="AY649" i="6" a="1"/>
  <c r="AY649" i="6" s="1"/>
  <c r="AY959" i="6" a="1"/>
  <c r="AY959" i="6" s="1"/>
  <c r="BT959" i="6" s="1"/>
  <c r="AM840" i="6" a="1"/>
  <c r="AM840" i="6" s="1"/>
  <c r="I93" i="4" a="1"/>
  <c r="I93" i="4" s="1"/>
  <c r="AQ487" i="6" a="1"/>
  <c r="AQ487" i="6" s="1"/>
  <c r="BF487" i="6" s="1"/>
  <c r="AM231" i="6" a="1"/>
  <c r="AM231" i="6" s="1"/>
  <c r="AQ455" i="6" a="1"/>
  <c r="AQ455" i="6" s="1"/>
  <c r="BF455" i="6" s="1"/>
  <c r="AM1021" i="6" a="1"/>
  <c r="AM1021" i="6" s="1"/>
  <c r="AN1021" i="6" s="1" a="1"/>
  <c r="AN1021" i="6" s="1"/>
  <c r="AY248" i="6" a="1"/>
  <c r="AY248" i="6" s="1"/>
  <c r="AY978" i="6" a="1"/>
  <c r="AY978" i="6" s="1"/>
  <c r="AY49" i="6" a="1"/>
  <c r="AY49" i="6" s="1"/>
  <c r="I46" i="4" a="1"/>
  <c r="I46" i="4" s="1"/>
  <c r="AQ392" i="6" a="1"/>
  <c r="AQ392" i="6" s="1"/>
  <c r="AM882" i="6" a="1"/>
  <c r="AM882" i="6" s="1"/>
  <c r="AN882" i="6" s="1" a="1"/>
  <c r="AN882" i="6" s="1"/>
  <c r="AQ510" i="6" a="1"/>
  <c r="AQ510" i="6" s="1"/>
  <c r="AM431" i="6" a="1"/>
  <c r="AM431" i="6" s="1"/>
  <c r="AY467" i="6" a="1"/>
  <c r="AY467" i="6" s="1"/>
  <c r="BT467" i="6" s="1"/>
  <c r="AY812" i="6" a="1"/>
  <c r="AY812" i="6" s="1"/>
  <c r="BZ812" i="6" s="1"/>
  <c r="AM554" i="6" a="1"/>
  <c r="AM554" i="6" s="1"/>
  <c r="AY854" i="6" a="1"/>
  <c r="AY854" i="6" s="1"/>
  <c r="BT854" i="6" s="1"/>
  <c r="AQ931" i="6" a="1"/>
  <c r="AQ931" i="6" s="1"/>
  <c r="BF931" i="6" s="1"/>
  <c r="AY861" i="6" a="1"/>
  <c r="AY861" i="6" s="1"/>
  <c r="BT861" i="6" s="1"/>
  <c r="AQ456" i="6" a="1"/>
  <c r="AQ456" i="6" s="1"/>
  <c r="BM456" i="6" s="1"/>
  <c r="AQ945" i="6" a="1"/>
  <c r="AQ945" i="6" s="1"/>
  <c r="BF945" i="6" s="1"/>
  <c r="AM472" i="6" a="1"/>
  <c r="AM472" i="6" s="1"/>
  <c r="AP472" i="6" s="1"/>
  <c r="AT472" i="6" s="1"/>
  <c r="AY338" i="6" a="1"/>
  <c r="AY338" i="6" s="1"/>
  <c r="BT338" i="6" s="1"/>
  <c r="AQ1018" i="6" a="1"/>
  <c r="AQ1018" i="6" s="1"/>
  <c r="BF1018" i="6" s="1"/>
  <c r="AQ612" i="6" a="1"/>
  <c r="AQ612" i="6" s="1"/>
  <c r="AQ182" i="6" a="1"/>
  <c r="AQ182" i="6" s="1"/>
  <c r="AM357" i="6" a="1"/>
  <c r="AM357" i="6" s="1"/>
  <c r="AP357" i="6" s="1"/>
  <c r="AT357" i="6" s="1"/>
  <c r="AM609" i="6" a="1"/>
  <c r="AM609" i="6" s="1"/>
  <c r="AM676" i="6" a="1"/>
  <c r="AM676" i="6" s="1"/>
  <c r="AP676" i="6" s="1"/>
  <c r="AT676" i="6" s="1"/>
  <c r="AM396" i="6" a="1"/>
  <c r="AM396" i="6" s="1"/>
  <c r="AP396" i="6" s="1"/>
  <c r="AT396" i="6" s="1"/>
  <c r="AM768" i="6" a="1"/>
  <c r="AM768" i="6" s="1"/>
  <c r="AY197" i="6" a="1"/>
  <c r="AY197" i="6" s="1"/>
  <c r="AQ850" i="6" a="1"/>
  <c r="AQ850" i="6" s="1"/>
  <c r="AM987" i="6" a="1"/>
  <c r="AM987" i="6" s="1"/>
  <c r="I217" i="4" a="1"/>
  <c r="I217" i="4" s="1"/>
  <c r="AY47" i="6" a="1"/>
  <c r="AY47" i="6" s="1"/>
  <c r="AY876" i="6" a="1"/>
  <c r="AY876" i="6" s="1"/>
  <c r="BZ876" i="6" s="1"/>
  <c r="AQ967" i="6" a="1"/>
  <c r="AQ967" i="6" s="1"/>
  <c r="AY559" i="6" a="1"/>
  <c r="AY559" i="6" s="1"/>
  <c r="BZ559" i="6" s="1"/>
  <c r="AY743" i="6" a="1"/>
  <c r="AY743" i="6" s="1"/>
  <c r="AQ718" i="6" a="1"/>
  <c r="AQ718" i="6" s="1"/>
  <c r="AQ400" i="6" a="1"/>
  <c r="AQ400" i="6" s="1"/>
  <c r="AQ508" i="6" a="1"/>
  <c r="AQ508" i="6" s="1"/>
  <c r="BF508" i="6" s="1"/>
  <c r="BG508" i="6" s="1"/>
  <c r="AQ221" i="6" a="1"/>
  <c r="AQ221" i="6" s="1"/>
  <c r="AQ353" i="6" a="1"/>
  <c r="AQ353" i="6" s="1"/>
  <c r="BM353" i="6" s="1"/>
  <c r="AM737" i="6" a="1"/>
  <c r="AM737" i="6" s="1"/>
  <c r="AQ33" i="6" a="1"/>
  <c r="AQ33" i="6" s="1"/>
  <c r="AY448" i="6" a="1"/>
  <c r="AY448" i="6" s="1"/>
  <c r="AQ804" i="6" a="1"/>
  <c r="AQ804" i="6" s="1"/>
  <c r="AQ532" i="6" a="1"/>
  <c r="AQ532" i="6" s="1"/>
  <c r="BF532" i="6" s="1"/>
  <c r="AQ541" i="6" a="1"/>
  <c r="AQ541" i="6" s="1"/>
  <c r="AM564" i="6" a="1"/>
  <c r="AM564" i="6" s="1"/>
  <c r="AP564" i="6" s="1"/>
  <c r="AT564" i="6" s="1"/>
  <c r="AM448" i="6" a="1"/>
  <c r="AM448" i="6" s="1"/>
  <c r="AM394" i="6" a="1"/>
  <c r="AM394" i="6" s="1"/>
  <c r="AP394" i="6" s="1"/>
  <c r="AT394" i="6" s="1"/>
  <c r="AQ779" i="6" a="1"/>
  <c r="AQ779" i="6" s="1"/>
  <c r="BF779" i="6" s="1"/>
  <c r="AY123" i="6" a="1"/>
  <c r="AY123" i="6" s="1"/>
  <c r="BZ123" i="6" s="1"/>
  <c r="AM397" i="6" a="1"/>
  <c r="AM397" i="6" s="1"/>
  <c r="AY257" i="6" a="1"/>
  <c r="AY257" i="6" s="1"/>
  <c r="BT257" i="6" s="1"/>
  <c r="AY935" i="6" a="1"/>
  <c r="AY935" i="6" s="1"/>
  <c r="BT935" i="6" s="1"/>
  <c r="AM892" i="6" a="1"/>
  <c r="AM892" i="6" s="1"/>
  <c r="AQ842" i="6" a="1"/>
  <c r="AQ842" i="6" s="1"/>
  <c r="BM842" i="6" s="1"/>
  <c r="AQ502" i="6" a="1"/>
  <c r="AQ502" i="6" s="1"/>
  <c r="AQ236" i="6" a="1"/>
  <c r="AQ236" i="6" s="1"/>
  <c r="BF236" i="6" s="1"/>
  <c r="AQ635" i="6" a="1"/>
  <c r="AQ635" i="6" s="1"/>
  <c r="AY447" i="6" a="1"/>
  <c r="AY447" i="6" s="1"/>
  <c r="I66" i="4" a="1"/>
  <c r="I66" i="4" s="1"/>
  <c r="AQ408" i="6" a="1"/>
  <c r="AQ408" i="6" s="1"/>
  <c r="AM783" i="6" a="1"/>
  <c r="AM783" i="6" s="1"/>
  <c r="AQ1007" i="6" a="1"/>
  <c r="AQ1007" i="6" s="1"/>
  <c r="BF1007" i="6" s="1"/>
  <c r="AM786" i="6" a="1"/>
  <c r="AM786" i="6" s="1"/>
  <c r="AY613" i="6" a="1"/>
  <c r="AY613" i="6" s="1"/>
  <c r="BZ613" i="6" s="1"/>
  <c r="I63" i="4" a="1"/>
  <c r="I63" i="4" s="1"/>
  <c r="I179" i="4" a="1"/>
  <c r="I179" i="4" s="1"/>
  <c r="AQ488" i="6" a="1"/>
  <c r="AQ488" i="6" s="1"/>
  <c r="BM488" i="6" s="1"/>
  <c r="AQ152" i="6" a="1"/>
  <c r="AQ152" i="6" s="1"/>
  <c r="BF152" i="6" s="1"/>
  <c r="AY993" i="6" a="1"/>
  <c r="AY993" i="6" s="1"/>
  <c r="BT993" i="6" s="1"/>
  <c r="AM697" i="6" a="1"/>
  <c r="AM697" i="6" s="1"/>
  <c r="AP697" i="6" s="1"/>
  <c r="AT697" i="6" s="1"/>
  <c r="AQ175" i="6" a="1"/>
  <c r="AQ175" i="6" s="1"/>
  <c r="AQ785" i="6" a="1"/>
  <c r="AQ785" i="6" s="1"/>
  <c r="AQ856" i="6" a="1"/>
  <c r="AQ856" i="6" s="1"/>
  <c r="BF856" i="6" s="1"/>
  <c r="AY816" i="6" a="1"/>
  <c r="AY816" i="6" s="1"/>
  <c r="AY306" i="6" a="1"/>
  <c r="AY306" i="6" s="1"/>
  <c r="BZ306" i="6" s="1"/>
  <c r="AQ954" i="6" a="1"/>
  <c r="AQ954" i="6" s="1"/>
  <c r="BM954" i="6" s="1"/>
  <c r="BN954" i="6" s="1"/>
  <c r="BP954" i="6" s="1"/>
  <c r="AQ634" i="6" a="1"/>
  <c r="AQ634" i="6" s="1"/>
  <c r="AQ571" i="6" a="1"/>
  <c r="AQ571" i="6" s="1"/>
  <c r="BM571" i="6" s="1"/>
  <c r="I70" i="4" a="1"/>
  <c r="I70" i="4" s="1"/>
  <c r="AQ84" i="6" a="1"/>
  <c r="AQ84" i="6" s="1"/>
  <c r="BM84" i="6" s="1"/>
  <c r="AQ317" i="6" a="1"/>
  <c r="AQ317" i="6" s="1"/>
  <c r="BM317" i="6" s="1"/>
  <c r="BN317" i="6" s="1"/>
  <c r="BO317" i="6" s="1"/>
  <c r="AY798" i="6" a="1"/>
  <c r="AY798" i="6" s="1"/>
  <c r="BT798" i="6" s="1"/>
  <c r="AQ898" i="6" a="1"/>
  <c r="AQ898" i="6" s="1"/>
  <c r="AY437" i="6" a="1"/>
  <c r="AY437" i="6" s="1"/>
  <c r="BT437" i="6" s="1"/>
  <c r="AY245" i="6" a="1"/>
  <c r="AY245" i="6" s="1"/>
  <c r="BT245" i="6" s="1"/>
  <c r="AQ323" i="6" a="1"/>
  <c r="AQ323" i="6" s="1"/>
  <c r="BF323" i="6" s="1"/>
  <c r="AQ765" i="6" a="1"/>
  <c r="AQ765" i="6" s="1"/>
  <c r="AQ616" i="6" a="1"/>
  <c r="AQ616" i="6" s="1"/>
  <c r="AQ113" i="6" a="1"/>
  <c r="AQ113" i="6" s="1"/>
  <c r="BM113" i="6" s="1"/>
  <c r="AQ79" i="6" a="1"/>
  <c r="AQ79" i="6" s="1"/>
  <c r="AY602" i="6" a="1"/>
  <c r="AY602" i="6" s="1"/>
  <c r="BZ602" i="6" s="1"/>
  <c r="AY1003" i="6" a="1"/>
  <c r="AY1003" i="6" s="1"/>
  <c r="AQ848" i="6" a="1"/>
  <c r="AQ848" i="6" s="1"/>
  <c r="AQ135" i="6" a="1"/>
  <c r="AQ135" i="6" s="1"/>
  <c r="BF135" i="6" s="1"/>
  <c r="BG135" i="6" s="1"/>
  <c r="BH135" i="6" s="1"/>
  <c r="AM769" i="6" a="1"/>
  <c r="AM769" i="6" s="1"/>
  <c r="AN769" i="6" s="1" a="1"/>
  <c r="AN769" i="6" s="1"/>
  <c r="AY311" i="6" a="1"/>
  <c r="AY311" i="6" s="1"/>
  <c r="BT311" i="6" s="1"/>
  <c r="AY913" i="6" a="1"/>
  <c r="AY913" i="6" s="1"/>
  <c r="BZ913" i="6" s="1"/>
  <c r="AY365" i="6" a="1"/>
  <c r="AY365" i="6" s="1"/>
  <c r="BT365" i="6" s="1"/>
  <c r="I162" i="4" a="1"/>
  <c r="I162" i="4" s="1"/>
  <c r="AQ280" i="6" a="1"/>
  <c r="AQ280" i="6" s="1"/>
  <c r="BF280" i="6" s="1"/>
  <c r="BG280" i="6" s="1"/>
  <c r="BH280" i="6" s="1"/>
  <c r="AQ516" i="6" a="1"/>
  <c r="AQ516" i="6" s="1"/>
  <c r="BM516" i="6" s="1"/>
  <c r="AY327" i="6" a="1"/>
  <c r="AY327" i="6" s="1"/>
  <c r="AQ1014" i="6" a="1"/>
  <c r="AQ1014" i="6" s="1"/>
  <c r="BF1014" i="6" s="1"/>
  <c r="AY71" i="6" a="1"/>
  <c r="AY71" i="6" s="1"/>
  <c r="AY39" i="6" a="1"/>
  <c r="AY39" i="6" s="1"/>
  <c r="AQ1024" i="6" a="1"/>
  <c r="AQ1024" i="6" s="1"/>
  <c r="BM1024" i="6" s="1"/>
  <c r="AY666" i="6" a="1"/>
  <c r="AY666" i="6" s="1"/>
  <c r="AQ1000" i="6" a="1"/>
  <c r="AQ1000" i="6" s="1"/>
  <c r="AM766" i="6" a="1"/>
  <c r="AM766" i="6" s="1"/>
  <c r="AN766" i="6" s="1" a="1"/>
  <c r="AN766" i="6" s="1"/>
  <c r="AY186" i="6" a="1"/>
  <c r="AY186" i="6" s="1"/>
  <c r="BT186" i="6" s="1"/>
  <c r="AY862" i="6" a="1"/>
  <c r="AY862" i="6" s="1"/>
  <c r="BT862" i="6" s="1"/>
  <c r="AY573" i="6" a="1"/>
  <c r="AY573" i="6" s="1"/>
  <c r="BT573" i="6" s="1"/>
  <c r="AY538" i="6" a="1"/>
  <c r="AY538" i="6" s="1"/>
  <c r="AY92" i="6" a="1"/>
  <c r="AY92" i="6" s="1"/>
  <c r="BT92" i="6" s="1"/>
  <c r="AM275" i="6" a="1"/>
  <c r="AM275" i="6" s="1"/>
  <c r="AP275" i="6" s="1"/>
  <c r="AQ383" i="6" a="1"/>
  <c r="AQ383" i="6" s="1"/>
  <c r="AM21" i="6" a="1"/>
  <c r="AM21" i="6" s="1"/>
  <c r="AQ53" i="6" a="1"/>
  <c r="AQ53" i="6" s="1"/>
  <c r="BF53" i="6" s="1"/>
  <c r="AM911" i="6" a="1"/>
  <c r="AM911" i="6" s="1"/>
  <c r="AM919" i="6" a="1"/>
  <c r="AM919" i="6" s="1"/>
  <c r="AN919" i="6" s="1" a="1"/>
  <c r="AN919" i="6" s="1"/>
  <c r="AM181" i="6" a="1"/>
  <c r="AM181" i="6" s="1"/>
  <c r="AP181" i="6" s="1"/>
  <c r="AT181" i="6" s="1"/>
  <c r="AM664" i="6" a="1"/>
  <c r="AM664" i="6" s="1"/>
  <c r="AY391" i="6" a="1"/>
  <c r="AY391" i="6" s="1"/>
  <c r="AM89" i="6" a="1"/>
  <c r="AM89" i="6" s="1"/>
  <c r="AP89" i="6" s="1"/>
  <c r="AT89" i="6" s="1"/>
  <c r="AY922" i="6" a="1"/>
  <c r="AY922" i="6" s="1"/>
  <c r="BZ922" i="6" s="1"/>
  <c r="AM634" i="6" a="1"/>
  <c r="AM634" i="6" s="1"/>
  <c r="AQ849" i="6" a="1"/>
  <c r="AQ849" i="6" s="1"/>
  <c r="BF849" i="6" s="1"/>
  <c r="AM754" i="6" a="1"/>
  <c r="AM754" i="6" s="1"/>
  <c r="AP754" i="6" s="1"/>
  <c r="AT754" i="6" s="1"/>
  <c r="AM743" i="6" a="1"/>
  <c r="AM743" i="6" s="1"/>
  <c r="AN743" i="6" s="1" a="1"/>
  <c r="AN743" i="6" s="1"/>
  <c r="AY127" i="6" a="1"/>
  <c r="AY127" i="6" s="1"/>
  <c r="BT127" i="6" s="1"/>
  <c r="AQ253" i="6" a="1"/>
  <c r="AQ253" i="6" s="1"/>
  <c r="I83" i="4" a="1"/>
  <c r="I83" i="4" s="1"/>
  <c r="AY400" i="6" a="1"/>
  <c r="AY400" i="6" s="1"/>
  <c r="BZ400" i="6" s="1"/>
  <c r="AM493" i="6" a="1"/>
  <c r="AM493" i="6" s="1"/>
  <c r="AQ543" i="6" a="1"/>
  <c r="AQ543" i="6" s="1"/>
  <c r="AM583" i="6" a="1"/>
  <c r="AM583" i="6" s="1"/>
  <c r="AP583" i="6" s="1"/>
  <c r="AT583" i="6" s="1"/>
  <c r="AY373" i="6" a="1"/>
  <c r="AY373" i="6" s="1"/>
  <c r="AQ421" i="6" a="1"/>
  <c r="AQ421" i="6" s="1"/>
  <c r="BM421" i="6" s="1"/>
  <c r="AQ734" i="6" a="1"/>
  <c r="AQ734" i="6" s="1"/>
  <c r="BF734" i="6" s="1"/>
  <c r="I226" i="4" a="1"/>
  <c r="I226" i="4" s="1"/>
  <c r="AQ565" i="6" a="1"/>
  <c r="AQ565" i="6" s="1"/>
  <c r="AQ365" i="6" a="1"/>
  <c r="AQ365" i="6" s="1"/>
  <c r="BF365" i="6" s="1"/>
  <c r="AY896" i="6" a="1"/>
  <c r="AY896" i="6" s="1"/>
  <c r="BT896" i="6" s="1"/>
  <c r="AY976" i="6" a="1"/>
  <c r="AY976" i="6" s="1"/>
  <c r="AY987" i="6" a="1"/>
  <c r="AY987" i="6" s="1"/>
  <c r="BT987" i="6" s="1"/>
  <c r="AM310" i="6" a="1"/>
  <c r="AM310" i="6" s="1"/>
  <c r="AQ1020" i="6" a="1"/>
  <c r="AQ1020" i="6" s="1"/>
  <c r="BM1020" i="6" s="1"/>
  <c r="I4" i="4" a="1"/>
  <c r="I4" i="4" s="1"/>
  <c r="AY4" i="6" a="1"/>
  <c r="AY4" i="6" s="1"/>
  <c r="BT4" i="6" s="1"/>
  <c r="AQ128" i="6" a="1"/>
  <c r="AQ128" i="6" s="1"/>
  <c r="I104" i="4" a="1"/>
  <c r="I104" i="4" s="1"/>
  <c r="AM316" i="6" a="1"/>
  <c r="AM316" i="6" s="1"/>
  <c r="AQ559" i="6" a="1"/>
  <c r="AQ559" i="6" s="1"/>
  <c r="BF559" i="6" s="1"/>
  <c r="I248" i="4" a="1"/>
  <c r="I248" i="4" s="1"/>
  <c r="I31" i="4" a="1"/>
  <c r="I31" i="4" s="1"/>
  <c r="AY20" i="6" a="1"/>
  <c r="AY20" i="6" s="1"/>
  <c r="AM163" i="6" a="1"/>
  <c r="AM163" i="6" s="1"/>
  <c r="AN163" i="6" s="1" a="1"/>
  <c r="AN163" i="6" s="1"/>
  <c r="AY189" i="6" a="1"/>
  <c r="AY189" i="6" s="1"/>
  <c r="I110" i="4" a="1"/>
  <c r="I110" i="4" s="1"/>
  <c r="AQ897" i="6" a="1"/>
  <c r="AQ897" i="6" s="1"/>
  <c r="BF897" i="6" s="1"/>
  <c r="AM977" i="6" a="1"/>
  <c r="AM977" i="6" s="1"/>
  <c r="AY402" i="6" a="1"/>
  <c r="AY402" i="6" s="1"/>
  <c r="AM290" i="6" a="1"/>
  <c r="AM290" i="6" s="1"/>
  <c r="AN290" i="6" s="1" a="1"/>
  <c r="AN290" i="6" s="1"/>
  <c r="AY283" i="6" a="1"/>
  <c r="AY283" i="6" s="1"/>
  <c r="BT283" i="6" s="1"/>
  <c r="AQ161" i="6" a="1"/>
  <c r="AQ161" i="6" s="1"/>
  <c r="BF161" i="6" s="1"/>
  <c r="BG161" i="6" s="1"/>
  <c r="BH161" i="6" s="1"/>
  <c r="I10" i="4" a="1"/>
  <c r="I10" i="4" s="1"/>
  <c r="AQ771" i="6" a="1"/>
  <c r="AQ771" i="6" s="1"/>
  <c r="BM771" i="6" s="1"/>
  <c r="AY35" i="6" a="1"/>
  <c r="AY35" i="6" s="1"/>
  <c r="BZ35" i="6" s="1"/>
  <c r="AM797" i="6" a="1"/>
  <c r="AM797" i="6" s="1"/>
  <c r="AP797" i="6" s="1"/>
  <c r="AT797" i="6" s="1"/>
  <c r="AY217" i="6" a="1"/>
  <c r="AY217" i="6" s="1"/>
  <c r="BT217" i="6" s="1"/>
  <c r="AM459" i="6" a="1"/>
  <c r="AM459" i="6" s="1"/>
  <c r="AQ62" i="6" a="1"/>
  <c r="AQ62" i="6" s="1"/>
  <c r="BM62" i="6" s="1"/>
  <c r="AQ398" i="6" a="1"/>
  <c r="AQ398" i="6" s="1"/>
  <c r="AQ376" i="6" a="1"/>
  <c r="AQ376" i="6" s="1"/>
  <c r="AY934" i="6" a="1"/>
  <c r="AY934" i="6" s="1"/>
  <c r="BT934" i="6" s="1"/>
  <c r="AQ867" i="6" a="1"/>
  <c r="AQ867" i="6" s="1"/>
  <c r="BM867" i="6" s="1"/>
  <c r="AM900" i="6" a="1"/>
  <c r="AM900" i="6" s="1"/>
  <c r="AN900" i="6" s="1" a="1"/>
  <c r="AN900" i="6" s="1"/>
  <c r="AM52" i="6" a="1"/>
  <c r="AM52" i="6" s="1"/>
  <c r="AP52" i="6" s="1"/>
  <c r="AT52" i="6" s="1"/>
  <c r="AQ666" i="6" a="1"/>
  <c r="AQ666" i="6" s="1"/>
  <c r="BM666" i="6" s="1"/>
  <c r="AM26" i="6" a="1"/>
  <c r="AM26" i="6" s="1"/>
  <c r="AP26" i="6" s="1"/>
  <c r="AQ712" i="6" a="1"/>
  <c r="AQ712" i="6" s="1"/>
  <c r="BF712" i="6" s="1"/>
  <c r="AY198" i="6" a="1"/>
  <c r="AY198" i="6" s="1"/>
  <c r="AM680" i="6" a="1"/>
  <c r="AM680" i="6" s="1"/>
  <c r="AN680" i="6" s="1" a="1"/>
  <c r="AN680" i="6" s="1"/>
  <c r="AY112" i="6" a="1"/>
  <c r="AY112" i="6" s="1"/>
  <c r="BZ112" i="6" s="1"/>
  <c r="AY500" i="6" a="1"/>
  <c r="AY500" i="6" s="1"/>
  <c r="BT500" i="6" s="1"/>
  <c r="AY936" i="6" a="1"/>
  <c r="AY936" i="6" s="1"/>
  <c r="BT936" i="6" s="1"/>
  <c r="I102" i="4" a="1"/>
  <c r="I102" i="4" s="1"/>
  <c r="J102" i="4" s="1" a="1"/>
  <c r="J102" i="4" s="1"/>
  <c r="AY5" i="6" a="1"/>
  <c r="AY5" i="6" s="1"/>
  <c r="BZ5" i="6" s="1"/>
  <c r="I77" i="4" a="1"/>
  <c r="I77" i="4" s="1"/>
  <c r="AM993" i="6" a="1"/>
  <c r="AM993" i="6" s="1"/>
  <c r="AN993" i="6" s="1" a="1"/>
  <c r="AN993" i="6" s="1"/>
  <c r="AY456" i="6" a="1"/>
  <c r="AY456" i="6" s="1"/>
  <c r="BT456" i="6" s="1"/>
  <c r="AY897" i="6" a="1"/>
  <c r="AY897" i="6" s="1"/>
  <c r="I99" i="4" a="1"/>
  <c r="I99" i="4" s="1"/>
  <c r="AM604" i="6" a="1"/>
  <c r="AM604" i="6" s="1"/>
  <c r="AN604" i="6" s="1" a="1"/>
  <c r="AN604" i="6" s="1"/>
  <c r="AM73" i="6" a="1"/>
  <c r="AM73" i="6" s="1"/>
  <c r="AN73" i="6" s="1" a="1"/>
  <c r="AN73" i="6" s="1"/>
  <c r="AM242" i="6" a="1"/>
  <c r="AM242" i="6" s="1"/>
  <c r="AN242" i="6" s="1" a="1"/>
  <c r="AN242" i="6" s="1"/>
  <c r="AM189" i="6" a="1"/>
  <c r="AM189" i="6" s="1"/>
  <c r="AN189" i="6" s="1" a="1"/>
  <c r="AN189" i="6" s="1"/>
  <c r="AY1004" i="6" a="1"/>
  <c r="AY1004" i="6" s="1"/>
  <c r="BZ1004" i="6" s="1"/>
  <c r="AM741" i="6" a="1"/>
  <c r="AM741" i="6" s="1"/>
  <c r="AP741" i="6" s="1"/>
  <c r="AT741" i="6" s="1"/>
  <c r="AM328" i="6" a="1"/>
  <c r="AM328" i="6" s="1"/>
  <c r="AP328" i="6" s="1"/>
  <c r="AT328" i="6" s="1"/>
  <c r="AQ938" i="6" a="1"/>
  <c r="AQ938" i="6" s="1"/>
  <c r="BM938" i="6" s="1"/>
  <c r="AM621" i="6" a="1"/>
  <c r="AM621" i="6" s="1"/>
  <c r="AP621" i="6" s="1"/>
  <c r="AY110" i="6" a="1"/>
  <c r="AY110" i="6" s="1"/>
  <c r="AM311" i="6" a="1"/>
  <c r="AM311" i="6" s="1"/>
  <c r="AP311" i="6" s="1"/>
  <c r="AT311" i="6" s="1"/>
  <c r="AQ970" i="6" a="1"/>
  <c r="AQ970" i="6" s="1"/>
  <c r="BF970" i="6" s="1"/>
  <c r="I12" i="4" a="1"/>
  <c r="I12" i="4" s="1"/>
  <c r="AY587" i="6" a="1"/>
  <c r="AY587" i="6" s="1"/>
  <c r="AM657" i="6" a="1"/>
  <c r="AM657" i="6" s="1"/>
  <c r="AN657" i="6" s="1" a="1"/>
  <c r="AN657" i="6" s="1"/>
  <c r="AY287" i="6" a="1"/>
  <c r="AY287" i="6" s="1"/>
  <c r="BZ287" i="6" s="1"/>
  <c r="AY1015" i="6" a="1"/>
  <c r="AY1015" i="6" s="1"/>
  <c r="BT1015" i="6" s="1"/>
  <c r="AQ308" i="6" a="1"/>
  <c r="AQ308" i="6" s="1"/>
  <c r="BF308" i="6" s="1"/>
  <c r="BG308" i="6" s="1"/>
  <c r="BI308" i="6" s="1"/>
  <c r="AY660" i="6" a="1"/>
  <c r="AY660" i="6" s="1"/>
  <c r="BT660" i="6" s="1"/>
  <c r="AY302" i="6" a="1"/>
  <c r="AY302" i="6" s="1"/>
  <c r="BZ302" i="6" s="1"/>
  <c r="AY481" i="6" a="1"/>
  <c r="AY481" i="6" s="1"/>
  <c r="BZ481" i="6" s="1"/>
  <c r="AQ21" i="6" a="1"/>
  <c r="AQ21" i="6" s="1"/>
  <c r="BF21" i="6" s="1"/>
  <c r="AY853" i="6" a="1"/>
  <c r="AY853" i="6" s="1"/>
  <c r="BZ853" i="6" s="1"/>
  <c r="I49" i="4" a="1"/>
  <c r="I49" i="4" s="1"/>
  <c r="AY464" i="6" a="1"/>
  <c r="AY464" i="6" s="1"/>
  <c r="BZ464" i="6" s="1"/>
  <c r="AM835" i="6" a="1"/>
  <c r="AM835" i="6" s="1"/>
  <c r="AY454" i="6" a="1"/>
  <c r="AY454" i="6" s="1"/>
  <c r="BT454" i="6" s="1"/>
  <c r="AY406" i="6" a="1"/>
  <c r="AY406" i="6" s="1"/>
  <c r="BT406" i="6" s="1"/>
  <c r="AY614" i="6" a="1"/>
  <c r="AY614" i="6" s="1"/>
  <c r="BZ614" i="6" s="1"/>
  <c r="AY497" i="6" a="1"/>
  <c r="AY497" i="6" s="1"/>
  <c r="BT497" i="6" s="1"/>
  <c r="AQ562" i="6" a="1"/>
  <c r="AQ562" i="6" s="1"/>
  <c r="BF562" i="6" s="1"/>
  <c r="BG562" i="6" s="1"/>
  <c r="BI562" i="6" s="1"/>
  <c r="AQ833" i="6" a="1"/>
  <c r="AQ833" i="6" s="1"/>
  <c r="BM833" i="6" s="1"/>
  <c r="AY328" i="6" a="1"/>
  <c r="AY328" i="6" s="1"/>
  <c r="AQ19" i="6" a="1"/>
  <c r="AQ19" i="6" s="1"/>
  <c r="BM19" i="6" s="1"/>
  <c r="AY632" i="6" a="1"/>
  <c r="AY632" i="6" s="1"/>
  <c r="AM299" i="6" a="1"/>
  <c r="AM299" i="6" s="1"/>
  <c r="AN299" i="6" s="1" a="1"/>
  <c r="AN299" i="6" s="1"/>
  <c r="AQ6" i="6" a="1"/>
  <c r="AQ6" i="6" s="1"/>
  <c r="BM6" i="6" s="1"/>
  <c r="AY931" i="6" a="1"/>
  <c r="AY931" i="6" s="1"/>
  <c r="AQ908" i="6" a="1"/>
  <c r="AQ908" i="6" s="1"/>
  <c r="BF908" i="6" s="1"/>
  <c r="AQ55" i="6" a="1"/>
  <c r="AQ55" i="6" s="1"/>
  <c r="AM757" i="6" a="1"/>
  <c r="AM757" i="6" s="1"/>
  <c r="AN757" i="6" s="1" a="1"/>
  <c r="AN757" i="6" s="1"/>
  <c r="AQ549" i="6" a="1"/>
  <c r="AQ549" i="6" s="1"/>
  <c r="BF549" i="6" s="1"/>
  <c r="AQ620" i="6" a="1"/>
  <c r="AQ620" i="6" s="1"/>
  <c r="BF620" i="6" s="1"/>
  <c r="BG620" i="6" s="1"/>
  <c r="BI620" i="6" s="1"/>
  <c r="AQ404" i="6" a="1"/>
  <c r="AQ404" i="6" s="1"/>
  <c r="BF404" i="6" s="1"/>
  <c r="AY272" i="6" a="1"/>
  <c r="AY272" i="6" s="1"/>
  <c r="BT272" i="6" s="1"/>
  <c r="AQ16" i="6" a="1"/>
  <c r="AQ16" i="6" s="1"/>
  <c r="BM16" i="6" s="1"/>
  <c r="BN16" i="6" s="1"/>
  <c r="AQ249" i="6" a="1"/>
  <c r="AQ249" i="6" s="1"/>
  <c r="BM249" i="6" s="1"/>
  <c r="AQ89" i="6" a="1"/>
  <c r="AQ89" i="6" s="1"/>
  <c r="BF89" i="6" s="1"/>
  <c r="AQ800" i="6" a="1"/>
  <c r="AQ800" i="6" s="1"/>
  <c r="BM800" i="6" s="1"/>
  <c r="AY60" i="6" a="1"/>
  <c r="AY60" i="6" s="1"/>
  <c r="BZ60" i="6" s="1"/>
  <c r="AY572" i="6" a="1"/>
  <c r="AY572" i="6" s="1"/>
  <c r="BT572" i="6" s="1"/>
  <c r="AQ605" i="6" a="1"/>
  <c r="AQ605" i="6" s="1"/>
  <c r="AY305" i="6" a="1"/>
  <c r="AY305" i="6" s="1"/>
  <c r="BZ305" i="6" s="1"/>
  <c r="I196" i="4" a="1"/>
  <c r="I196" i="4" s="1"/>
  <c r="AQ889" i="6" a="1"/>
  <c r="AQ889" i="6" s="1"/>
  <c r="AY479" i="6" a="1"/>
  <c r="AY479" i="6" s="1"/>
  <c r="AY857" i="6" a="1"/>
  <c r="AY857" i="6" s="1"/>
  <c r="BT857" i="6" s="1"/>
  <c r="AQ263" i="6" a="1"/>
  <c r="AQ263" i="6" s="1"/>
  <c r="BM263" i="6" s="1"/>
  <c r="AQ708" i="6" a="1"/>
  <c r="AQ708" i="6" s="1"/>
  <c r="AM241" i="6" a="1"/>
  <c r="AM241" i="6" s="1"/>
  <c r="AP241" i="6" s="1"/>
  <c r="AT241" i="6" s="1"/>
  <c r="AQ371" i="6" a="1"/>
  <c r="AQ371" i="6" s="1"/>
  <c r="BM371" i="6" s="1"/>
  <c r="AQ1005" i="6" a="1"/>
  <c r="AQ1005" i="6" s="1"/>
  <c r="AY352" i="6" a="1"/>
  <c r="AY352" i="6" s="1"/>
  <c r="AY528" i="6" a="1"/>
  <c r="AY528" i="6" s="1"/>
  <c r="BT528" i="6" s="1"/>
  <c r="AY982" i="6" a="1"/>
  <c r="AY982" i="6" s="1"/>
  <c r="BT982" i="6" s="1"/>
  <c r="AY969" i="6" a="1"/>
  <c r="AY969" i="6" s="1"/>
  <c r="BZ969" i="6" s="1"/>
  <c r="AY550" i="6" a="1"/>
  <c r="AY550" i="6" s="1"/>
  <c r="AY802" i="6" a="1"/>
  <c r="AY802" i="6" s="1"/>
  <c r="BT802" i="6" s="1"/>
  <c r="AY827" i="6" a="1"/>
  <c r="AY827" i="6" s="1"/>
  <c r="BT827" i="6" s="1"/>
  <c r="AQ692" i="6" a="1"/>
  <c r="AQ692" i="6" s="1"/>
  <c r="BF692" i="6" s="1"/>
  <c r="AY319" i="6" a="1"/>
  <c r="AY319" i="6" s="1"/>
  <c r="AY103" i="6" a="1"/>
  <c r="AY103" i="6" s="1"/>
  <c r="BT103" i="6" s="1"/>
  <c r="AQ876" i="6" a="1"/>
  <c r="AQ876" i="6" s="1"/>
  <c r="BF876" i="6" s="1"/>
  <c r="AY919" i="6" a="1"/>
  <c r="AY919" i="6" s="1"/>
  <c r="BT919" i="6" s="1"/>
  <c r="AQ614" i="6" a="1"/>
  <c r="AQ614" i="6" s="1"/>
  <c r="BF614" i="6" s="1"/>
  <c r="AY902" i="6" a="1"/>
  <c r="AY902" i="6" s="1"/>
  <c r="BT902" i="6" s="1"/>
  <c r="AQ445" i="6" a="1"/>
  <c r="AQ445" i="6" s="1"/>
  <c r="BF445" i="6" s="1"/>
  <c r="BG445" i="6" s="1"/>
  <c r="BI445" i="6" s="1"/>
  <c r="AQ816" i="6" a="1"/>
  <c r="AQ816" i="6" s="1"/>
  <c r="BM816" i="6" s="1"/>
  <c r="AQ984" i="6" a="1"/>
  <c r="AQ984" i="6" s="1"/>
  <c r="BM984" i="6" s="1"/>
  <c r="AY273" i="6" a="1"/>
  <c r="AY273" i="6" s="1"/>
  <c r="AQ81" i="6" a="1"/>
  <c r="AQ81" i="6" s="1"/>
  <c r="AY6" i="6" a="1"/>
  <c r="AY6" i="6" s="1"/>
  <c r="BZ6" i="6" s="1"/>
  <c r="AQ913" i="6" a="1"/>
  <c r="AQ913" i="6" s="1"/>
  <c r="BM913" i="6" s="1"/>
  <c r="AY617" i="6" a="1"/>
  <c r="AY617" i="6" s="1"/>
  <c r="BT617" i="6" s="1"/>
  <c r="AY601" i="6" a="1"/>
  <c r="AY601" i="6" s="1"/>
  <c r="BZ601" i="6" s="1"/>
  <c r="AQ172" i="6" a="1"/>
  <c r="AQ172" i="6" s="1"/>
  <c r="AY790" i="6" a="1"/>
  <c r="AY790" i="6" s="1"/>
  <c r="BZ790" i="6" s="1"/>
  <c r="AY951" i="6" a="1"/>
  <c r="AY951" i="6" s="1"/>
  <c r="BT951" i="6" s="1"/>
  <c r="AQ645" i="6" a="1"/>
  <c r="AQ645" i="6" s="1"/>
  <c r="AQ76" i="6" a="1"/>
  <c r="AQ76" i="6" s="1"/>
  <c r="BM76" i="6" s="1"/>
  <c r="BN76" i="6" s="1"/>
  <c r="BO76" i="6" s="1"/>
  <c r="AQ413" i="6" a="1"/>
  <c r="AQ413" i="6" s="1"/>
  <c r="BF413" i="6" s="1"/>
  <c r="AQ560" i="6" a="1"/>
  <c r="AQ560" i="6" s="1"/>
  <c r="BM560" i="6" s="1"/>
  <c r="I80" i="4" a="1"/>
  <c r="I80" i="4" s="1"/>
  <c r="J80" i="4" s="1" a="1"/>
  <c r="J80" i="4" s="1"/>
  <c r="AQ579" i="6" a="1"/>
  <c r="AQ579" i="6" s="1"/>
  <c r="BM579" i="6" s="1"/>
  <c r="AY295" i="6" a="1"/>
  <c r="AY295" i="6" s="1"/>
  <c r="I106" i="4" a="1"/>
  <c r="I106" i="4" s="1"/>
  <c r="I244" i="4" a="1"/>
  <c r="I244" i="4" s="1"/>
  <c r="AM35" i="6" a="1"/>
  <c r="AM35" i="6" s="1"/>
  <c r="AP35" i="6" s="1"/>
  <c r="AT35" i="6" s="1"/>
  <c r="AM452" i="6" a="1"/>
  <c r="AM452" i="6" s="1"/>
  <c r="AP452" i="6" s="1"/>
  <c r="AM63" i="6" a="1"/>
  <c r="AM63" i="6" s="1"/>
  <c r="AN63" i="6" s="1" a="1"/>
  <c r="AN63" i="6" s="1"/>
  <c r="AY909" i="6" a="1"/>
  <c r="AY909" i="6" s="1"/>
  <c r="BT909" i="6" s="1"/>
  <c r="AY25" i="6" a="1"/>
  <c r="AY25" i="6" s="1"/>
  <c r="BT25" i="6" s="1"/>
  <c r="AY586" i="6" a="1"/>
  <c r="AY586" i="6" s="1"/>
  <c r="BT586" i="6" s="1"/>
  <c r="AQ377" i="6" a="1"/>
  <c r="AQ377" i="6" s="1"/>
  <c r="BF377" i="6" s="1"/>
  <c r="AQ460" i="6" a="1"/>
  <c r="AQ460" i="6" s="1"/>
  <c r="BF460" i="6" s="1"/>
  <c r="BG460" i="6" s="1"/>
  <c r="BI460" i="6" s="1"/>
  <c r="AQ888" i="6" a="1"/>
  <c r="AQ888" i="6" s="1"/>
  <c r="BM888" i="6" s="1"/>
  <c r="AY419" i="6" a="1"/>
  <c r="AY419" i="6" s="1"/>
  <c r="BZ419" i="6" s="1"/>
  <c r="I150" i="4" a="1"/>
  <c r="I150" i="4" s="1"/>
  <c r="AQ978" i="6" a="1"/>
  <c r="AQ978" i="6" s="1"/>
  <c r="AY496" i="6" a="1"/>
  <c r="AY496" i="6" s="1"/>
  <c r="AY18" i="6" a="1"/>
  <c r="AY18" i="6" s="1"/>
  <c r="BZ18" i="6" s="1"/>
  <c r="AQ530" i="6" a="1"/>
  <c r="AQ530" i="6" s="1"/>
  <c r="BF530" i="6" s="1"/>
  <c r="AY651" i="6" a="1"/>
  <c r="AY651" i="6" s="1"/>
  <c r="I48" i="4" a="1"/>
  <c r="I48" i="4" s="1"/>
  <c r="AY281" i="6" a="1"/>
  <c r="AY281" i="6" s="1"/>
  <c r="BZ281" i="6" s="1"/>
  <c r="AQ671" i="6" a="1"/>
  <c r="AQ671" i="6" s="1"/>
  <c r="BM671" i="6" s="1"/>
  <c r="AY956" i="6" a="1"/>
  <c r="AY956" i="6" s="1"/>
  <c r="BT956" i="6" s="1"/>
  <c r="AQ275" i="6" a="1"/>
  <c r="AQ275" i="6" s="1"/>
  <c r="BF275" i="6" s="1"/>
  <c r="I42" i="4" a="1"/>
  <c r="I42" i="4" s="1"/>
  <c r="AQ929" i="6" a="1"/>
  <c r="AQ929" i="6" s="1"/>
  <c r="AQ414" i="6" a="1"/>
  <c r="AQ414" i="6" s="1"/>
  <c r="AY758" i="6" a="1"/>
  <c r="AY758" i="6" s="1"/>
  <c r="BZ758" i="6" s="1"/>
  <c r="AY735" i="6" a="1"/>
  <c r="AY735" i="6" s="1"/>
  <c r="BT735" i="6" s="1"/>
  <c r="AY393" i="6" a="1"/>
  <c r="AY393" i="6" s="1"/>
  <c r="BZ393" i="6" s="1"/>
  <c r="AQ291" i="6" a="1"/>
  <c r="AQ291" i="6" s="1"/>
  <c r="BF291" i="6" s="1"/>
  <c r="AY413" i="6" a="1"/>
  <c r="AY413" i="6" s="1"/>
  <c r="BT413" i="6" s="1"/>
  <c r="AY687" i="6" a="1"/>
  <c r="AY687" i="6" s="1"/>
  <c r="BT687" i="6" s="1"/>
  <c r="AQ405" i="6" a="1"/>
  <c r="AQ405" i="6" s="1"/>
  <c r="AY193" i="6" a="1"/>
  <c r="AY193" i="6" s="1"/>
  <c r="BZ193" i="6" s="1"/>
  <c r="AY637" i="6" a="1"/>
  <c r="AY637" i="6" s="1"/>
  <c r="I201" i="4" a="1"/>
  <c r="I201" i="4" s="1"/>
  <c r="J201" i="4" s="1" a="1"/>
  <c r="J201" i="4" s="1"/>
  <c r="AQ481" i="6" a="1"/>
  <c r="AQ481" i="6" s="1"/>
  <c r="BF481" i="6" s="1"/>
  <c r="AY556" i="6" a="1"/>
  <c r="AY556" i="6" s="1"/>
  <c r="BT556" i="6" s="1"/>
  <c r="AQ731" i="6" a="1"/>
  <c r="AQ731" i="6" s="1"/>
  <c r="BM731" i="6" s="1"/>
  <c r="BN731" i="6" s="1"/>
  <c r="BO731" i="6" s="1"/>
  <c r="AY414" i="6" a="1"/>
  <c r="AY414" i="6" s="1"/>
  <c r="BT414" i="6" s="1"/>
  <c r="AY206" i="6" a="1"/>
  <c r="AY206" i="6" s="1"/>
  <c r="BT206" i="6" s="1"/>
  <c r="I41" i="4" a="1"/>
  <c r="I41" i="4" s="1"/>
  <c r="K41" i="4" s="1" a="1"/>
  <c r="K41" i="4" s="1"/>
  <c r="AQ996" i="6" a="1"/>
  <c r="AQ996" i="6" s="1"/>
  <c r="BF996" i="6" s="1"/>
  <c r="AY455" i="6" a="1"/>
  <c r="AY455" i="6" s="1"/>
  <c r="AQ101" i="6" a="1"/>
  <c r="AQ101" i="6" s="1"/>
  <c r="BM101" i="6" s="1"/>
  <c r="AY359" i="6" a="1"/>
  <c r="AY359" i="6" s="1"/>
  <c r="AQ781" i="6" a="1"/>
  <c r="AQ781" i="6" s="1"/>
  <c r="BM781" i="6" s="1"/>
  <c r="BN781" i="6" s="1"/>
  <c r="AQ52" i="6" a="1"/>
  <c r="AQ52" i="6" s="1"/>
  <c r="BM52" i="6" s="1"/>
  <c r="AQ132" i="6" a="1"/>
  <c r="AQ132" i="6" s="1"/>
  <c r="BM132" i="6" s="1"/>
  <c r="AQ550" i="6" a="1"/>
  <c r="AQ550" i="6" s="1"/>
  <c r="BM550" i="6" s="1"/>
  <c r="AY774" i="6" a="1"/>
  <c r="AY774" i="6" s="1"/>
  <c r="BZ774" i="6" s="1"/>
  <c r="AQ230" i="6" a="1"/>
  <c r="AQ230" i="6" s="1"/>
  <c r="BM230" i="6" s="1"/>
  <c r="AY1008" i="6" a="1"/>
  <c r="AY1008" i="6" s="1"/>
  <c r="BZ1008" i="6" s="1"/>
  <c r="AQ955" i="6" a="1"/>
  <c r="AQ955" i="6" s="1"/>
  <c r="BM955" i="6" s="1"/>
  <c r="AQ99" i="6" a="1"/>
  <c r="AQ99" i="6" s="1"/>
  <c r="BF99" i="6" s="1"/>
  <c r="AQ274" i="6" a="1"/>
  <c r="AQ274" i="6" s="1"/>
  <c r="BF274" i="6" s="1"/>
  <c r="AM831" i="6" a="1"/>
  <c r="AM831" i="6" s="1"/>
  <c r="AP831" i="6" s="1"/>
  <c r="AT831" i="6" s="1"/>
  <c r="AY683" i="6" a="1"/>
  <c r="AY683" i="6" s="1"/>
  <c r="BT683" i="6" s="1"/>
  <c r="AY679" i="6" a="1"/>
  <c r="AY679" i="6" s="1"/>
  <c r="BZ679" i="6" s="1"/>
  <c r="AY312" i="6" a="1"/>
  <c r="AY312" i="6" s="1"/>
  <c r="BZ312" i="6" s="1"/>
  <c r="AQ155" i="6" a="1"/>
  <c r="AQ155" i="6" s="1"/>
  <c r="BF155" i="6" s="1"/>
  <c r="AQ933" i="6" a="1"/>
  <c r="AQ933" i="6" s="1"/>
  <c r="BM933" i="6" s="1"/>
  <c r="AQ133" i="6" a="1"/>
  <c r="AQ133" i="6" s="1"/>
  <c r="BF133" i="6" s="1"/>
  <c r="AY224" i="6" a="1"/>
  <c r="AY224" i="6" s="1"/>
  <c r="BT224" i="6" s="1"/>
  <c r="AQ247" i="6" a="1"/>
  <c r="AQ247" i="6" s="1"/>
  <c r="BM247" i="6" s="1"/>
  <c r="BN247" i="6" s="1"/>
  <c r="AY532" i="6" a="1"/>
  <c r="AY532" i="6" s="1"/>
  <c r="AQ395" i="6" a="1"/>
  <c r="AQ395" i="6" s="1"/>
  <c r="BF395" i="6" s="1"/>
  <c r="AQ310" i="6" a="1"/>
  <c r="AQ310" i="6" s="1"/>
  <c r="BF310" i="6" s="1"/>
  <c r="AM426" i="6" a="1"/>
  <c r="AM426" i="6" s="1"/>
  <c r="I73" i="4" a="1"/>
  <c r="I73" i="4" s="1"/>
  <c r="AQ7" i="6" a="1"/>
  <c r="AQ7" i="6" s="1"/>
  <c r="BF7" i="6" s="1"/>
  <c r="AQ103" i="6" a="1"/>
  <c r="AQ103" i="6" s="1"/>
  <c r="BF103" i="6" s="1"/>
  <c r="AY858" i="6" a="1"/>
  <c r="AY858" i="6" s="1"/>
  <c r="BT858" i="6" s="1"/>
  <c r="AM169" i="6" a="1"/>
  <c r="AM169" i="6" s="1"/>
  <c r="AP169" i="6" s="1"/>
  <c r="AT169" i="6" s="1"/>
  <c r="AQ709" i="6" a="1"/>
  <c r="AQ709" i="6" s="1"/>
  <c r="BF709" i="6" s="1"/>
  <c r="BG709" i="6" s="1"/>
  <c r="BI709" i="6" s="1"/>
  <c r="AY670" i="6" a="1"/>
  <c r="AY670" i="6" s="1"/>
  <c r="BZ670" i="6" s="1"/>
  <c r="AQ745" i="6" a="1"/>
  <c r="AQ745" i="6" s="1"/>
  <c r="BF745" i="6" s="1"/>
  <c r="AM546" i="6" a="1"/>
  <c r="AM546" i="6" s="1"/>
  <c r="AN546" i="6" s="1" a="1"/>
  <c r="AN546" i="6" s="1"/>
  <c r="AY981" i="6" a="1"/>
  <c r="AY981" i="6" s="1"/>
  <c r="BZ981" i="6" s="1"/>
  <c r="AY392" i="6" a="1"/>
  <c r="AY392" i="6" s="1"/>
  <c r="AM967" i="6" a="1"/>
  <c r="AM967" i="6" s="1"/>
  <c r="AY214" i="6" a="1"/>
  <c r="AY214" i="6" s="1"/>
  <c r="BT214" i="6" s="1"/>
  <c r="AM88" i="6" a="1"/>
  <c r="AM88" i="6" s="1"/>
  <c r="AN88" i="6" s="1" a="1"/>
  <c r="AN88" i="6" s="1"/>
  <c r="AY881" i="6" a="1"/>
  <c r="AY881" i="6" s="1"/>
  <c r="BT881" i="6" s="1"/>
  <c r="AY94" i="6" a="1"/>
  <c r="AY94" i="6" s="1"/>
  <c r="BZ94" i="6" s="1"/>
  <c r="AY974" i="6" a="1"/>
  <c r="AY974" i="6" s="1"/>
  <c r="BZ974" i="6" s="1"/>
  <c r="AQ832" i="6" a="1"/>
  <c r="AQ832" i="6" s="1"/>
  <c r="AM337" i="6" a="1"/>
  <c r="AM337" i="6" s="1"/>
  <c r="AP337" i="6" s="1"/>
  <c r="AT337" i="6" s="1"/>
  <c r="AM1001" i="6" a="1"/>
  <c r="AM1001" i="6" s="1"/>
  <c r="AN1001" i="6" s="1" a="1"/>
  <c r="AN1001" i="6" s="1"/>
  <c r="AY828" i="6" a="1"/>
  <c r="AY828" i="6" s="1"/>
  <c r="BT828" i="6" s="1"/>
  <c r="AM938" i="6" a="1"/>
  <c r="AM938" i="6" s="1"/>
  <c r="AN938" i="6" s="1" a="1"/>
  <c r="AN938" i="6" s="1"/>
  <c r="AY566" i="6" a="1"/>
  <c r="AY566" i="6" s="1"/>
  <c r="I237" i="4" a="1"/>
  <c r="I237" i="4" s="1"/>
  <c r="I154" i="4" a="1"/>
  <c r="I154" i="4" s="1"/>
  <c r="J154" i="4" s="1" a="1"/>
  <c r="J154" i="4" s="1"/>
  <c r="AQ894" i="6" a="1"/>
  <c r="AQ894" i="6" s="1"/>
  <c r="BM894" i="6" s="1"/>
  <c r="AY672" i="6" a="1"/>
  <c r="AY672" i="6" s="1"/>
  <c r="AQ49" i="6" a="1"/>
  <c r="AQ49" i="6" s="1"/>
  <c r="BM49" i="6" s="1"/>
  <c r="AQ912" i="6" a="1"/>
  <c r="AQ912" i="6" s="1"/>
  <c r="BM912" i="6" s="1"/>
  <c r="AQ844" i="6" a="1"/>
  <c r="AQ844" i="6" s="1"/>
  <c r="BF844" i="6" s="1"/>
  <c r="AY56" i="6" a="1"/>
  <c r="AY56" i="6" s="1"/>
  <c r="BT56" i="6" s="1"/>
  <c r="AQ540" i="6" a="1"/>
  <c r="AQ540" i="6" s="1"/>
  <c r="AQ777" i="6" a="1"/>
  <c r="AQ777" i="6" s="1"/>
  <c r="BM777" i="6" s="1"/>
  <c r="AQ443" i="6" a="1"/>
  <c r="AQ443" i="6" s="1"/>
  <c r="BM443" i="6" s="1"/>
  <c r="BN443" i="6" s="1"/>
  <c r="BP443" i="6" s="1"/>
  <c r="AY125" i="6" a="1"/>
  <c r="AY125" i="6" s="1"/>
  <c r="BZ125" i="6" s="1"/>
  <c r="AQ214" i="6" a="1"/>
  <c r="AQ214" i="6" s="1"/>
  <c r="I191" i="4" a="1"/>
  <c r="I191" i="4" s="1"/>
  <c r="J191" i="4" s="1" a="1"/>
  <c r="J191" i="4" s="1"/>
  <c r="AY712" i="6" a="1"/>
  <c r="AY712" i="6" s="1"/>
  <c r="BT712" i="6" s="1"/>
  <c r="AY159" i="6" a="1"/>
  <c r="AY159" i="6" s="1"/>
  <c r="AY53" i="6" a="1"/>
  <c r="AY53" i="6" s="1"/>
  <c r="BZ53" i="6" s="1"/>
  <c r="AQ701" i="6" a="1"/>
  <c r="AQ701" i="6" s="1"/>
  <c r="BF701" i="6" s="1"/>
  <c r="BG701" i="6" s="1"/>
  <c r="BH701" i="6" s="1"/>
  <c r="AQ177" i="6" a="1"/>
  <c r="AQ177" i="6" s="1"/>
  <c r="BM177" i="6" s="1"/>
  <c r="I69" i="4" a="1"/>
  <c r="I69" i="4" s="1"/>
  <c r="K69" i="4" s="1" a="1"/>
  <c r="K69" i="4" s="1"/>
  <c r="AY122" i="6" a="1"/>
  <c r="AY122" i="6" s="1"/>
  <c r="BZ122" i="6" s="1"/>
  <c r="AY163" i="6" a="1"/>
  <c r="AY163" i="6" s="1"/>
  <c r="BT163" i="6" s="1"/>
  <c r="AY740" i="6" a="1"/>
  <c r="AY740" i="6" s="1"/>
  <c r="AY1020" i="6" a="1"/>
  <c r="AY1020" i="6" s="1"/>
  <c r="I75" i="4" a="1"/>
  <c r="I75" i="4" s="1"/>
  <c r="AY643" i="6" a="1"/>
  <c r="AY643" i="6" s="1"/>
  <c r="BZ643" i="6" s="1"/>
  <c r="AQ529" i="6" a="1"/>
  <c r="AQ529" i="6" s="1"/>
  <c r="BF529" i="6" s="1"/>
  <c r="I213" i="4" a="1"/>
  <c r="I213" i="4" s="1"/>
  <c r="J213" i="4" s="1" a="1"/>
  <c r="J213" i="4" s="1"/>
  <c r="AY605" i="6" a="1"/>
  <c r="AY605" i="6" s="1"/>
  <c r="BT605" i="6" s="1"/>
  <c r="AY512" i="6" a="1"/>
  <c r="AY512" i="6" s="1"/>
  <c r="BZ512" i="6" s="1"/>
  <c r="AY767" i="6" a="1"/>
  <c r="AY767" i="6" s="1"/>
  <c r="AY212" i="6" a="1"/>
  <c r="AY212" i="6" s="1"/>
  <c r="BT212" i="6" s="1"/>
  <c r="AY600" i="6" a="1"/>
  <c r="AY600" i="6" s="1"/>
  <c r="BZ600" i="6" s="1"/>
  <c r="AY771" i="6" a="1"/>
  <c r="AY771" i="6" s="1"/>
  <c r="BT771" i="6" s="1"/>
  <c r="AY835" i="6" a="1"/>
  <c r="AY835" i="6" s="1"/>
  <c r="BZ835" i="6" s="1"/>
  <c r="I6" i="4" a="1"/>
  <c r="I6" i="4" s="1"/>
  <c r="AY800" i="6" a="1"/>
  <c r="AY800" i="6" s="1"/>
  <c r="BZ800" i="6" s="1"/>
  <c r="AY147" i="6" a="1"/>
  <c r="AY147" i="6" s="1"/>
  <c r="BT147" i="6" s="1"/>
  <c r="AY350" i="6" a="1"/>
  <c r="AY350" i="6" s="1"/>
  <c r="BT350" i="6" s="1"/>
  <c r="AY912" i="6" a="1"/>
  <c r="AY912" i="6" s="1"/>
  <c r="AY181" i="6" a="1"/>
  <c r="AY181" i="6" s="1"/>
  <c r="BT181" i="6" s="1"/>
  <c r="AY172" i="6" a="1"/>
  <c r="AY172" i="6" s="1"/>
  <c r="BT172" i="6" s="1"/>
  <c r="AY435" i="6" a="1"/>
  <c r="AY435" i="6" s="1"/>
  <c r="AQ517" i="6" a="1"/>
  <c r="AQ517" i="6" s="1"/>
  <c r="BF517" i="6" s="1"/>
  <c r="AY822" i="6" a="1"/>
  <c r="AY822" i="6" s="1"/>
  <c r="BZ822" i="6" s="1"/>
  <c r="AY914" i="6" a="1"/>
  <c r="AY914" i="6" s="1"/>
  <c r="BT914" i="6" s="1"/>
  <c r="AY433" i="6" a="1"/>
  <c r="AY433" i="6" s="1"/>
  <c r="BZ433" i="6" s="1"/>
  <c r="AQ858" i="6" a="1"/>
  <c r="AQ858" i="6" s="1"/>
  <c r="BF858" i="6" s="1"/>
  <c r="I38" i="4" a="1"/>
  <c r="I38" i="4" s="1"/>
  <c r="I222" i="4" a="1"/>
  <c r="I222" i="4" s="1"/>
  <c r="I148" i="4" a="1"/>
  <c r="I148" i="4" s="1"/>
  <c r="I253" i="4" a="1"/>
  <c r="I253" i="4" s="1"/>
  <c r="I87" i="4" a="1"/>
  <c r="I87" i="4" s="1"/>
  <c r="I184" i="4" a="1"/>
  <c r="I184" i="4" s="1"/>
  <c r="K184" i="4" s="1" a="1"/>
  <c r="K184" i="4" s="1"/>
  <c r="I156" i="4" a="1"/>
  <c r="I156" i="4" s="1"/>
  <c r="I62" i="4" a="1"/>
  <c r="I62" i="4" s="1"/>
  <c r="J62" i="4" s="1" a="1"/>
  <c r="J62" i="4" s="1"/>
  <c r="I182" i="4" a="1"/>
  <c r="I182" i="4" s="1"/>
  <c r="K182" i="4" s="1" a="1"/>
  <c r="K182" i="4" s="1"/>
  <c r="I37" i="4" a="1"/>
  <c r="I37" i="4" s="1"/>
  <c r="I88" i="4" a="1"/>
  <c r="I88" i="4" s="1"/>
  <c r="I116" i="4" a="1"/>
  <c r="I116" i="4" s="1"/>
  <c r="J116" i="4" s="1" a="1"/>
  <c r="J116" i="4" s="1"/>
  <c r="I81" i="4" a="1"/>
  <c r="I81" i="4" s="1"/>
  <c r="J81" i="4" s="1" a="1"/>
  <c r="J81" i="4" s="1"/>
  <c r="I219" i="4" a="1"/>
  <c r="I219" i="4" s="1"/>
  <c r="I29" i="4" a="1"/>
  <c r="I29" i="4" s="1"/>
  <c r="J29" i="4" s="1" a="1"/>
  <c r="J29" i="4" s="1"/>
  <c r="I256" i="4" a="1"/>
  <c r="I256" i="4" s="1"/>
  <c r="I176" i="4" a="1"/>
  <c r="I176" i="4" s="1"/>
  <c r="I47" i="4" a="1"/>
  <c r="I47" i="4" s="1"/>
  <c r="J47" i="4" s="1" a="1"/>
  <c r="J47" i="4" s="1"/>
  <c r="I35" i="4" a="1"/>
  <c r="I35" i="4" s="1"/>
  <c r="I172" i="4" a="1"/>
  <c r="I172" i="4" s="1"/>
  <c r="I146" i="4" a="1"/>
  <c r="I146" i="4" s="1"/>
  <c r="J146" i="4" s="1" a="1"/>
  <c r="J146" i="4" s="1"/>
  <c r="AM959" i="6" a="1"/>
  <c r="AM959" i="6" s="1"/>
  <c r="AP959" i="6" s="1"/>
  <c r="AY764" i="6" a="1"/>
  <c r="AY764" i="6" s="1"/>
  <c r="BZ764" i="6" s="1"/>
  <c r="AY769" i="6" a="1"/>
  <c r="AY769" i="6" s="1"/>
  <c r="AY266" i="6" a="1"/>
  <c r="AY266" i="6" s="1"/>
  <c r="AM172" i="6" a="1"/>
  <c r="AM172" i="6" s="1"/>
  <c r="AN172" i="6" s="1" a="1"/>
  <c r="AN172" i="6" s="1"/>
  <c r="AY429" i="6" a="1"/>
  <c r="AY429" i="6" s="1"/>
  <c r="BZ429" i="6" s="1"/>
  <c r="AY358" i="6" a="1"/>
  <c r="AY358" i="6" s="1"/>
  <c r="AQ80" i="6" a="1"/>
  <c r="AQ80" i="6" s="1"/>
  <c r="BM80" i="6" s="1"/>
  <c r="AM446" i="6" a="1"/>
  <c r="AM446" i="6" s="1"/>
  <c r="AP446" i="6" s="1"/>
  <c r="AT446" i="6" s="1"/>
  <c r="AY825" i="6" a="1"/>
  <c r="AY825" i="6" s="1"/>
  <c r="BZ825" i="6" s="1"/>
  <c r="AM232" i="6" a="1"/>
  <c r="AM232" i="6" s="1"/>
  <c r="AP232" i="6" s="1"/>
  <c r="AT232" i="6" s="1"/>
  <c r="AQ61" i="6" a="1"/>
  <c r="AQ61" i="6" s="1"/>
  <c r="BM61" i="6" s="1"/>
  <c r="AQ637" i="6" a="1"/>
  <c r="AQ637" i="6" s="1"/>
  <c r="BF637" i="6" s="1"/>
  <c r="AQ936" i="6" a="1"/>
  <c r="AQ936" i="6" s="1"/>
  <c r="BF936" i="6" s="1"/>
  <c r="AY560" i="6" a="1"/>
  <c r="AY560" i="6" s="1"/>
  <c r="AY942" i="6" a="1"/>
  <c r="AY942" i="6" s="1"/>
  <c r="BZ942" i="6" s="1"/>
  <c r="AY268" i="6" a="1"/>
  <c r="AY268" i="6" s="1"/>
  <c r="BT268" i="6" s="1"/>
  <c r="AY395" i="6" a="1"/>
  <c r="AY395" i="6" s="1"/>
  <c r="BZ395" i="6" s="1"/>
  <c r="AY716" i="6" a="1"/>
  <c r="AY716" i="6" s="1"/>
  <c r="BT716" i="6" s="1"/>
  <c r="AY773" i="6" a="1"/>
  <c r="AY773" i="6" s="1"/>
  <c r="BT773" i="6" s="1"/>
  <c r="AY68" i="6" a="1"/>
  <c r="AY68" i="6" s="1"/>
  <c r="BZ68" i="6" s="1"/>
  <c r="AY87" i="6" a="1"/>
  <c r="AY87" i="6" s="1"/>
  <c r="BT87" i="6" s="1"/>
  <c r="AQ874" i="6" a="1"/>
  <c r="AQ874" i="6" s="1"/>
  <c r="BF874" i="6" s="1"/>
  <c r="AM663" i="6" a="1"/>
  <c r="AM663" i="6" s="1"/>
  <c r="AN663" i="6" s="1" a="1"/>
  <c r="AN663" i="6" s="1"/>
  <c r="AQ351" i="6" a="1"/>
  <c r="AQ351" i="6" s="1"/>
  <c r="AM183" i="6" a="1"/>
  <c r="AM183" i="6" s="1"/>
  <c r="AN183" i="6" s="1" a="1"/>
  <c r="AN183" i="6" s="1"/>
  <c r="AY267" i="6" a="1"/>
  <c r="AY267" i="6" s="1"/>
  <c r="BZ267" i="6" s="1"/>
  <c r="I56" i="4" a="1"/>
  <c r="I56" i="4" s="1"/>
  <c r="K56" i="4" s="1" a="1"/>
  <c r="K56" i="4" s="1"/>
  <c r="I121" i="4" a="1"/>
  <c r="I121" i="4" s="1"/>
  <c r="J121" i="4" s="1" a="1"/>
  <c r="J121" i="4" s="1"/>
  <c r="AM33" i="6" a="1"/>
  <c r="AM33" i="6" s="1"/>
  <c r="AN33" i="6" s="1" a="1"/>
  <c r="AN33" i="6" s="1"/>
  <c r="AY642" i="6" a="1"/>
  <c r="AY642" i="6" s="1"/>
  <c r="AQ299" i="6" a="1"/>
  <c r="AQ299" i="6" s="1"/>
  <c r="AM464" i="6" a="1"/>
  <c r="AM464" i="6" s="1"/>
  <c r="AP464" i="6" s="1"/>
  <c r="AQ875" i="6" a="1"/>
  <c r="AQ875" i="6" s="1"/>
  <c r="AM687" i="6" a="1"/>
  <c r="AM687" i="6" s="1"/>
  <c r="AP687" i="6" s="1"/>
  <c r="BG687" i="6" s="1"/>
  <c r="BH687" i="6" s="1"/>
  <c r="AY396" i="6" a="1"/>
  <c r="AY396" i="6" s="1"/>
  <c r="AQ526" i="6" a="1"/>
  <c r="AQ526" i="6" s="1"/>
  <c r="BM526" i="6" s="1"/>
  <c r="AY131" i="6" a="1"/>
  <c r="AY131" i="6" s="1"/>
  <c r="BT131" i="6" s="1"/>
  <c r="AY307" i="6" a="1"/>
  <c r="AY307" i="6" s="1"/>
  <c r="BT307" i="6" s="1"/>
  <c r="AY143" i="6" a="1"/>
  <c r="AY143" i="6" s="1"/>
  <c r="BT143" i="6" s="1"/>
  <c r="AY580" i="6" a="1"/>
  <c r="AY580" i="6" s="1"/>
  <c r="BT580" i="6" s="1"/>
  <c r="AY715" i="6" a="1"/>
  <c r="AY715" i="6" s="1"/>
  <c r="BZ715" i="6" s="1"/>
  <c r="AQ212" i="6" a="1"/>
  <c r="AQ212" i="6" s="1"/>
  <c r="AY527" i="6" a="1"/>
  <c r="AY527" i="6" s="1"/>
  <c r="BZ527" i="6" s="1"/>
  <c r="AY986" i="6" a="1"/>
  <c r="AY986" i="6" s="1"/>
  <c r="AY208" i="6" a="1"/>
  <c r="AY208" i="6" s="1"/>
  <c r="BT208" i="6" s="1"/>
  <c r="AY963" i="6" a="1"/>
  <c r="AY963" i="6" s="1"/>
  <c r="BT963" i="6" s="1"/>
  <c r="AQ904" i="6" a="1"/>
  <c r="AQ904" i="6" s="1"/>
  <c r="BF904" i="6" s="1"/>
  <c r="AY813" i="6" a="1"/>
  <c r="AY813" i="6" s="1"/>
  <c r="BT813" i="6" s="1"/>
  <c r="I78" i="4" a="1"/>
  <c r="I78" i="4" s="1"/>
  <c r="K78" i="4" s="1" a="1"/>
  <c r="K78" i="4" s="1"/>
  <c r="AQ384" i="6" a="1"/>
  <c r="AQ384" i="6" s="1"/>
  <c r="BM384" i="6" s="1"/>
  <c r="AY129" i="6" a="1"/>
  <c r="AY129" i="6" s="1"/>
  <c r="BZ129" i="6" s="1"/>
  <c r="AY890" i="6" a="1"/>
  <c r="AY890" i="6" s="1"/>
  <c r="BT890" i="6" s="1"/>
  <c r="AM635" i="6" a="1"/>
  <c r="AM635" i="6" s="1"/>
  <c r="AP635" i="6" s="1"/>
  <c r="AT635" i="6" s="1"/>
  <c r="AY99" i="6" a="1"/>
  <c r="AY99" i="6" s="1"/>
  <c r="BZ99" i="6" s="1"/>
  <c r="AY628" i="6" a="1"/>
  <c r="AY628" i="6" s="1"/>
  <c r="AY254" i="6" a="1"/>
  <c r="AY254" i="6" s="1"/>
  <c r="BT254" i="6" s="1"/>
  <c r="AM5" i="6" a="1"/>
  <c r="AM5" i="6" s="1"/>
  <c r="AP5" i="6" s="1"/>
  <c r="AT5" i="6" s="1"/>
  <c r="AY563" i="6" a="1"/>
  <c r="AY563" i="6" s="1"/>
  <c r="BT563" i="6" s="1"/>
  <c r="AM1011" i="6" a="1"/>
  <c r="AM1011" i="6" s="1"/>
  <c r="AP1011" i="6" s="1"/>
  <c r="AS1011" i="6" s="1"/>
  <c r="AT1011" i="6" s="1"/>
  <c r="AY739" i="6" a="1"/>
  <c r="AY739" i="6" s="1"/>
  <c r="AY1001" i="6" a="1"/>
  <c r="AY1001" i="6" s="1"/>
  <c r="BZ1001" i="6" s="1"/>
  <c r="AY836" i="6" a="1"/>
  <c r="AY836" i="6" s="1"/>
  <c r="AM270" i="6" a="1"/>
  <c r="AM270" i="6" s="1"/>
  <c r="AN270" i="6" s="1" a="1"/>
  <c r="AN270" i="6" s="1"/>
  <c r="AQ864" i="6" a="1"/>
  <c r="AQ864" i="6" s="1"/>
  <c r="BF864" i="6" s="1"/>
  <c r="AQ829" i="6" a="1"/>
  <c r="AQ829" i="6" s="1"/>
  <c r="BF829" i="6" s="1"/>
  <c r="AQ165" i="6" a="1"/>
  <c r="AQ165" i="6" s="1"/>
  <c r="BF165" i="6" s="1"/>
  <c r="AY939" i="6" a="1"/>
  <c r="AY939" i="6" s="1"/>
  <c r="BT939" i="6" s="1"/>
  <c r="I109" i="4" a="1"/>
  <c r="I109" i="4" s="1"/>
  <c r="J109" i="4" s="1" a="1"/>
  <c r="J109" i="4" s="1"/>
  <c r="AY763" i="6" a="1"/>
  <c r="AY763" i="6" s="1"/>
  <c r="BT763" i="6" s="1"/>
  <c r="AQ425" i="6" a="1"/>
  <c r="AQ425" i="6" s="1"/>
  <c r="BF425" i="6" s="1"/>
  <c r="BG425" i="6" s="1"/>
  <c r="BH425" i="6" s="1"/>
  <c r="AY1021" i="6" a="1"/>
  <c r="AY1021" i="6" s="1"/>
  <c r="BA1021" i="6" s="1"/>
  <c r="BB1021" i="6" s="1"/>
  <c r="I40" i="4" a="1"/>
  <c r="I40" i="4" s="1"/>
  <c r="AQ644" i="6" a="1"/>
  <c r="AQ644" i="6" s="1"/>
  <c r="BF644" i="6" s="1"/>
  <c r="AY404" i="6" a="1"/>
  <c r="AY404" i="6" s="1"/>
  <c r="AQ311" i="6" a="1"/>
  <c r="AQ311" i="6" s="1"/>
  <c r="BF311" i="6" s="1"/>
  <c r="AQ109" i="6" a="1"/>
  <c r="AQ109" i="6" s="1"/>
  <c r="BF109" i="6" s="1"/>
  <c r="AY833" i="6" a="1"/>
  <c r="AY833" i="6" s="1"/>
  <c r="BT833" i="6" s="1"/>
  <c r="AQ450" i="6" a="1"/>
  <c r="AQ450" i="6" s="1"/>
  <c r="BF450" i="6" s="1"/>
  <c r="AQ379" i="6" a="1"/>
  <c r="AQ379" i="6" s="1"/>
  <c r="BM379" i="6" s="1"/>
  <c r="AY244" i="6" a="1"/>
  <c r="AY244" i="6" s="1"/>
  <c r="BZ244" i="6" s="1"/>
  <c r="AY73" i="6" a="1"/>
  <c r="AY73" i="6" s="1"/>
  <c r="BT73" i="6" s="1"/>
  <c r="AM79" i="6" a="1"/>
  <c r="AM79" i="6" s="1"/>
  <c r="AP79" i="6" s="1"/>
  <c r="AT79" i="6" s="1"/>
  <c r="AY183" i="6" a="1"/>
  <c r="AY183" i="6" s="1"/>
  <c r="BZ183" i="6" s="1"/>
  <c r="AY518" i="6" a="1"/>
  <c r="AY518" i="6" s="1"/>
  <c r="BT518" i="6" s="1"/>
  <c r="AQ122" i="6" a="1"/>
  <c r="AQ122" i="6" s="1"/>
  <c r="BM122" i="6" s="1"/>
  <c r="AQ187" i="6" a="1"/>
  <c r="AQ187" i="6" s="1"/>
  <c r="BF187" i="6" s="1"/>
  <c r="AQ964" i="6" a="1"/>
  <c r="AQ964" i="6" s="1"/>
  <c r="BF964" i="6" s="1"/>
  <c r="AQ492" i="6" a="1"/>
  <c r="AQ492" i="6" s="1"/>
  <c r="BF492" i="6" s="1"/>
  <c r="BG492" i="6" s="1"/>
  <c r="AY345" i="6" a="1"/>
  <c r="AY345" i="6" s="1"/>
  <c r="BZ345" i="6" s="1"/>
  <c r="AY838" i="6" a="1"/>
  <c r="AY838" i="6" s="1"/>
  <c r="BT838" i="6" s="1"/>
  <c r="AY548" i="6" a="1"/>
  <c r="AY548" i="6" s="1"/>
  <c r="BZ548" i="6" s="1"/>
  <c r="AY761" i="6" a="1"/>
  <c r="AY761" i="6" s="1"/>
  <c r="BZ761" i="6" s="1"/>
  <c r="AY44" i="6" a="1"/>
  <c r="AY44" i="6" s="1"/>
  <c r="BT44" i="6" s="1"/>
  <c r="AY785" i="6" a="1"/>
  <c r="AY785" i="6" s="1"/>
  <c r="BT785" i="6" s="1"/>
  <c r="AY296" i="6" a="1"/>
  <c r="AY296" i="6" s="1"/>
  <c r="BZ296" i="6" s="1"/>
  <c r="AY82" i="6" a="1"/>
  <c r="AY82" i="6" s="1"/>
  <c r="BZ82" i="6" s="1"/>
  <c r="AQ307" i="6" a="1"/>
  <c r="AQ307" i="6" s="1"/>
  <c r="BF307" i="6" s="1"/>
  <c r="BG307" i="6" s="1"/>
  <c r="BH307" i="6" s="1"/>
  <c r="AY787" i="6" a="1"/>
  <c r="AY787" i="6" s="1"/>
  <c r="BZ787" i="6" s="1"/>
  <c r="AY585" i="6" a="1"/>
  <c r="AY585" i="6" s="1"/>
  <c r="I60" i="4" a="1"/>
  <c r="I60" i="4" s="1"/>
  <c r="K60" i="4" s="1" a="1"/>
  <c r="K60" i="4" s="1"/>
  <c r="AQ266" i="6" a="1"/>
  <c r="AQ266" i="6" s="1"/>
  <c r="BF266" i="6" s="1"/>
  <c r="AM961" i="6" a="1"/>
  <c r="AM961" i="6" s="1"/>
  <c r="AP961" i="6" s="1"/>
  <c r="AT961" i="6" s="1"/>
  <c r="AQ136" i="6" a="1"/>
  <c r="AQ136" i="6" s="1"/>
  <c r="BF136" i="6" s="1"/>
  <c r="I61" i="4" a="1"/>
  <c r="I61" i="4" s="1"/>
  <c r="K61" i="4" s="1" a="1"/>
  <c r="K61" i="4" s="1"/>
  <c r="AY491" i="6" a="1"/>
  <c r="AY491" i="6" s="1"/>
  <c r="BZ491" i="6" s="1"/>
  <c r="AM205" i="6" a="1"/>
  <c r="AM205" i="6" s="1"/>
  <c r="AP205" i="6" s="1"/>
  <c r="AT205" i="6" s="1"/>
  <c r="AY43" i="6" a="1"/>
  <c r="AY43" i="6" s="1"/>
  <c r="BZ43" i="6" s="1"/>
  <c r="AY751" i="6" a="1"/>
  <c r="AY751" i="6" s="1"/>
  <c r="BT751" i="6" s="1"/>
  <c r="I149" i="4" a="1"/>
  <c r="I149" i="4" s="1"/>
  <c r="K149" i="4" s="1" a="1"/>
  <c r="K149" i="4" s="1"/>
  <c r="I210" i="4" a="1"/>
  <c r="I210" i="4" s="1"/>
  <c r="AY194" i="6" a="1"/>
  <c r="AY194" i="6" s="1"/>
  <c r="BT194" i="6" s="1"/>
  <c r="AY673" i="6" a="1"/>
  <c r="AY673" i="6" s="1"/>
  <c r="AY376" i="6" a="1"/>
  <c r="AY376" i="6" s="1"/>
  <c r="BT376" i="6" s="1"/>
  <c r="AY775" i="6" a="1"/>
  <c r="AY775" i="6" s="1"/>
  <c r="BT775" i="6" s="1"/>
  <c r="AY920" i="6" a="1"/>
  <c r="AY920" i="6" s="1"/>
  <c r="BT920" i="6" s="1"/>
  <c r="AY616" i="6" a="1"/>
  <c r="AY616" i="6" s="1"/>
  <c r="BZ616" i="6" s="1"/>
  <c r="AY190" i="6" a="1"/>
  <c r="AY190" i="6" s="1"/>
  <c r="BT190" i="6" s="1"/>
  <c r="AY54" i="6" a="1"/>
  <c r="AY54" i="6" s="1"/>
  <c r="BZ54" i="6" s="1"/>
  <c r="AQ416" i="6" a="1"/>
  <c r="AQ416" i="6" s="1"/>
  <c r="BM416" i="6" s="1"/>
  <c r="AY11" i="6" a="1"/>
  <c r="AY11" i="6" s="1"/>
  <c r="BT11" i="6" s="1"/>
  <c r="AY930" i="6" a="1"/>
  <c r="AY930" i="6" s="1"/>
  <c r="BT930" i="6" s="1"/>
  <c r="AQ159" i="6" a="1"/>
  <c r="AQ159" i="6" s="1"/>
  <c r="BF159" i="6" s="1"/>
  <c r="BG159" i="6" s="1"/>
  <c r="AQ869" i="6" a="1"/>
  <c r="AQ869" i="6" s="1"/>
  <c r="BF869" i="6" s="1"/>
  <c r="AY354" i="6" a="1"/>
  <c r="AY354" i="6" s="1"/>
  <c r="BT354" i="6" s="1"/>
  <c r="AQ747" i="6" a="1"/>
  <c r="AQ747" i="6" s="1"/>
  <c r="BM747" i="6" s="1"/>
  <c r="AY494" i="6" a="1"/>
  <c r="AY494" i="6" s="1"/>
  <c r="BZ494" i="6" s="1"/>
  <c r="AQ85" i="6" a="1"/>
  <c r="AQ85" i="6" s="1"/>
  <c r="BM85" i="6" s="1"/>
  <c r="AM240" i="6" a="1"/>
  <c r="AM240" i="6" s="1"/>
  <c r="AY28" i="6" a="1"/>
  <c r="AY28" i="6" s="1"/>
  <c r="BZ28" i="6" s="1"/>
  <c r="AY126" i="6" a="1"/>
  <c r="AY126" i="6" s="1"/>
  <c r="BT126" i="6" s="1"/>
  <c r="AY804" i="6" a="1"/>
  <c r="AY804" i="6" s="1"/>
  <c r="AY1012" i="6" a="1"/>
  <c r="AY1012" i="6" s="1"/>
  <c r="BZ1012" i="6" s="1"/>
  <c r="AQ194" i="6" a="1"/>
  <c r="AQ194" i="6" s="1"/>
  <c r="AQ108" i="6" a="1"/>
  <c r="AQ108" i="6" s="1"/>
  <c r="BM108" i="6" s="1"/>
  <c r="AY513" i="6" a="1"/>
  <c r="AY513" i="6" s="1"/>
  <c r="BT513" i="6" s="1"/>
  <c r="AY727" i="6" a="1"/>
  <c r="AY727" i="6" s="1"/>
  <c r="BZ727" i="6" s="1"/>
  <c r="AY485" i="6" a="1"/>
  <c r="AY485" i="6" s="1"/>
  <c r="BT485" i="6" s="1"/>
  <c r="AQ375" i="6" a="1"/>
  <c r="AQ375" i="6" s="1"/>
  <c r="BF375" i="6" s="1"/>
  <c r="AQ315" i="6" a="1"/>
  <c r="AQ315" i="6" s="1"/>
  <c r="BM315" i="6" s="1"/>
  <c r="AQ494" i="6" a="1"/>
  <c r="AQ494" i="6" s="1"/>
  <c r="BF494" i="6" s="1"/>
  <c r="AY191" i="6" a="1"/>
  <c r="AY191" i="6" s="1"/>
  <c r="BT191" i="6" s="1"/>
  <c r="I71" i="4" a="1"/>
  <c r="I71" i="4" s="1"/>
  <c r="K71" i="4" s="1" a="1"/>
  <c r="K71" i="4" s="1"/>
  <c r="AY645" i="6" a="1"/>
  <c r="AY645" i="6" s="1"/>
  <c r="BZ645" i="6" s="1"/>
  <c r="I11" i="4" a="1"/>
  <c r="I11" i="4" s="1"/>
  <c r="AY425" i="6" a="1"/>
  <c r="AY425" i="6" s="1"/>
  <c r="BT425" i="6" s="1"/>
  <c r="AM361" i="6" a="1"/>
  <c r="AM361" i="6" s="1"/>
  <c r="AY946" i="6" a="1"/>
  <c r="AY946" i="6" s="1"/>
  <c r="BZ946" i="6" s="1"/>
  <c r="AM615" i="6" a="1"/>
  <c r="AM615" i="6" s="1"/>
  <c r="AN615" i="6" s="1" a="1"/>
  <c r="AN615" i="6" s="1"/>
  <c r="AQ462" i="6" a="1"/>
  <c r="AQ462" i="6" s="1"/>
  <c r="BF462" i="6" s="1"/>
  <c r="AY551" i="6" a="1"/>
  <c r="AY551" i="6" s="1"/>
  <c r="BT551" i="6" s="1"/>
  <c r="AY520" i="6" a="1"/>
  <c r="AY520" i="6" s="1"/>
  <c r="BT520" i="6" s="1"/>
  <c r="AY606" i="6" a="1"/>
  <c r="AY606" i="6" s="1"/>
  <c r="AY421" i="6" a="1"/>
  <c r="AY421" i="6" s="1"/>
  <c r="BT421" i="6" s="1"/>
  <c r="AM297" i="6" a="1"/>
  <c r="AM297" i="6" s="1"/>
  <c r="AN297" i="6" s="1" a="1"/>
  <c r="AN297" i="6" s="1"/>
  <c r="AQ617" i="6" a="1"/>
  <c r="AQ617" i="6" s="1"/>
  <c r="BF617" i="6" s="1"/>
  <c r="AM569" i="6" a="1"/>
  <c r="AM569" i="6" s="1"/>
  <c r="AP569" i="6" s="1"/>
  <c r="AY961" i="6" a="1"/>
  <c r="AY961" i="6" s="1"/>
  <c r="AM1022" i="6" a="1"/>
  <c r="AM1022" i="6" s="1"/>
  <c r="AP1022" i="6" s="1"/>
  <c r="AS1022" i="6" s="1"/>
  <c r="AT1022" i="6" s="1"/>
  <c r="AY134" i="6" a="1"/>
  <c r="AY134" i="6" s="1"/>
  <c r="BT134" i="6" s="1"/>
  <c r="AQ537" i="6" a="1"/>
  <c r="AQ537" i="6" s="1"/>
  <c r="BM537" i="6" s="1"/>
  <c r="AY726" i="6" a="1"/>
  <c r="AY726" i="6" s="1"/>
  <c r="BT726" i="6" s="1"/>
  <c r="AM313" i="6" a="1"/>
  <c r="AM313" i="6" s="1"/>
  <c r="AN313" i="6" s="1" a="1"/>
  <c r="AN313" i="6" s="1"/>
  <c r="AQ27" i="6" a="1"/>
  <c r="AQ27" i="6" s="1"/>
  <c r="BF27" i="6" s="1"/>
  <c r="AY709" i="6" a="1"/>
  <c r="AY709" i="6" s="1"/>
  <c r="BT709" i="6" s="1"/>
  <c r="AY686" i="6" a="1"/>
  <c r="AY686" i="6" s="1"/>
  <c r="BT686" i="6" s="1"/>
  <c r="AY488" i="6" a="1"/>
  <c r="AY488" i="6" s="1"/>
  <c r="BZ488" i="6" s="1"/>
  <c r="AY135" i="6" a="1"/>
  <c r="AY135" i="6" s="1"/>
  <c r="BT135" i="6" s="1"/>
  <c r="AY547" i="6" a="1"/>
  <c r="AY547" i="6" s="1"/>
  <c r="BT547" i="6" s="1"/>
  <c r="AY997" i="6" a="1"/>
  <c r="AY997" i="6" s="1"/>
  <c r="BZ997" i="6" s="1"/>
  <c r="AY507" i="6" a="1"/>
  <c r="AY507" i="6" s="1"/>
  <c r="AY117" i="6" a="1"/>
  <c r="AY117" i="6" s="1"/>
  <c r="BZ117" i="6" s="1"/>
  <c r="AY661" i="6" a="1"/>
  <c r="AY661" i="6" s="1"/>
  <c r="BT661" i="6" s="1"/>
  <c r="AM222" i="6" a="1"/>
  <c r="AM222" i="6" s="1"/>
  <c r="AY690" i="6" a="1"/>
  <c r="AY690" i="6" s="1"/>
  <c r="BT690" i="6" s="1"/>
  <c r="AY721" i="6" a="1"/>
  <c r="AY721" i="6" s="1"/>
  <c r="BZ721" i="6" s="1"/>
  <c r="AQ950" i="6" a="1"/>
  <c r="AQ950" i="6" s="1"/>
  <c r="BM950" i="6" s="1"/>
  <c r="AY80" i="6" a="1"/>
  <c r="AY80" i="6" s="1"/>
  <c r="BT80" i="6" s="1"/>
  <c r="AY471" i="6" a="1"/>
  <c r="AY471" i="6" s="1"/>
  <c r="AY351" i="6" a="1"/>
  <c r="AY351" i="6" s="1"/>
  <c r="BZ351" i="6" s="1"/>
  <c r="AM833" i="6" a="1"/>
  <c r="AM833" i="6" s="1"/>
  <c r="AP833" i="6" s="1"/>
  <c r="AM688" i="6" a="1"/>
  <c r="AM688" i="6" s="1"/>
  <c r="AY641" i="6" a="1"/>
  <c r="AY641" i="6" s="1"/>
  <c r="I193" i="4" a="1"/>
  <c r="I193" i="4" s="1"/>
  <c r="AY423" i="6" a="1"/>
  <c r="AY423" i="6" s="1"/>
  <c r="BZ423" i="6" s="1"/>
  <c r="AY1011" i="6" a="1"/>
  <c r="AY1011" i="6" s="1"/>
  <c r="AY718" i="6" a="1"/>
  <c r="AY718" i="6" s="1"/>
  <c r="BT718" i="6" s="1"/>
  <c r="AM937" i="6" a="1"/>
  <c r="AM937" i="6" s="1"/>
  <c r="AN937" i="6" s="1" a="1"/>
  <c r="AN937" i="6" s="1"/>
  <c r="AY884" i="6" a="1"/>
  <c r="AY884" i="6" s="1"/>
  <c r="AY225" i="6" a="1"/>
  <c r="AY225" i="6" s="1"/>
  <c r="BZ225" i="6" s="1"/>
  <c r="AY872" i="6" a="1"/>
  <c r="AY872" i="6" s="1"/>
  <c r="BT872" i="6" s="1"/>
  <c r="AY783" i="6" a="1"/>
  <c r="AY783" i="6" s="1"/>
  <c r="BZ783" i="6" s="1"/>
  <c r="AY879" i="6" a="1"/>
  <c r="AY879" i="6" s="1"/>
  <c r="BZ879" i="6" s="1"/>
  <c r="AY784" i="6" a="1"/>
  <c r="AY784" i="6" s="1"/>
  <c r="BZ784" i="6" s="1"/>
  <c r="AY375" i="6" a="1"/>
  <c r="AY375" i="6" s="1"/>
  <c r="BT375" i="6" s="1"/>
  <c r="AM610" i="6" a="1"/>
  <c r="AM610" i="6" s="1"/>
  <c r="AN610" i="6" s="1" a="1"/>
  <c r="AN610" i="6" s="1"/>
  <c r="AQ134" i="6" a="1"/>
  <c r="AQ134" i="6" s="1"/>
  <c r="BF134" i="6" s="1"/>
  <c r="I203" i="4" a="1"/>
  <c r="I203" i="4" s="1"/>
  <c r="AY554" i="6" a="1"/>
  <c r="AY554" i="6" s="1"/>
  <c r="AY108" i="6" a="1"/>
  <c r="AY108" i="6" s="1"/>
  <c r="I108" i="4" a="1"/>
  <c r="I108" i="4" s="1"/>
  <c r="AM834" i="6" a="1"/>
  <c r="AM834" i="6" s="1"/>
  <c r="AN834" i="6" s="1" a="1"/>
  <c r="AN834" i="6" s="1"/>
  <c r="AY431" i="6" a="1"/>
  <c r="AY431" i="6" s="1"/>
  <c r="BT431" i="6" s="1"/>
  <c r="AY451" i="6" a="1"/>
  <c r="AY451" i="6" s="1"/>
  <c r="BT451" i="6" s="1"/>
  <c r="AY280" i="6" a="1"/>
  <c r="AY280" i="6" s="1"/>
  <c r="BZ280" i="6" s="1"/>
  <c r="AY325" i="6" a="1"/>
  <c r="AY325" i="6" s="1"/>
  <c r="BT325" i="6" s="1"/>
  <c r="AM903" i="6" a="1"/>
  <c r="AM903" i="6" s="1"/>
  <c r="AP903" i="6" s="1"/>
  <c r="AT903" i="6" s="1"/>
  <c r="AY457" i="6" a="1"/>
  <c r="AY457" i="6" s="1"/>
  <c r="AY279" i="6" a="1"/>
  <c r="AY279" i="6" s="1"/>
  <c r="BZ279" i="6" s="1"/>
  <c r="AM42" i="6" a="1"/>
  <c r="AM42" i="6" s="1"/>
  <c r="AQ140" i="6" a="1"/>
  <c r="AQ140" i="6" s="1"/>
  <c r="I181" i="4" a="1"/>
  <c r="I181" i="4" s="1"/>
  <c r="K181" i="4" s="1" a="1"/>
  <c r="K181" i="4" s="1"/>
  <c r="AY13" i="6" a="1"/>
  <c r="AY13" i="6" s="1"/>
  <c r="AY949" i="6" a="1"/>
  <c r="AY949" i="6" s="1"/>
  <c r="BT949" i="6" s="1"/>
  <c r="I211" i="4" a="1"/>
  <c r="I211" i="4" s="1"/>
  <c r="J211" i="4" s="1" a="1"/>
  <c r="J211" i="4" s="1"/>
  <c r="AY807" i="6" a="1"/>
  <c r="AY807" i="6" s="1"/>
  <c r="BZ807" i="6" s="1"/>
  <c r="AY309" i="6" a="1"/>
  <c r="AY309" i="6" s="1"/>
  <c r="BT309" i="6" s="1"/>
  <c r="AY176" i="6" a="1"/>
  <c r="AY176" i="6" s="1"/>
  <c r="AY484" i="6" a="1"/>
  <c r="AY484" i="6" s="1"/>
  <c r="AY750" i="6" a="1"/>
  <c r="AY750" i="6" s="1"/>
  <c r="AY149" i="6" a="1"/>
  <c r="AY149" i="6" s="1"/>
  <c r="AQ714" i="6" a="1"/>
  <c r="AQ714" i="6" s="1"/>
  <c r="AY299" i="6" a="1"/>
  <c r="AY299" i="6" s="1"/>
  <c r="BT299" i="6" s="1"/>
  <c r="AY1000" i="6" a="1"/>
  <c r="AY1000" i="6" s="1"/>
  <c r="BZ1000" i="6" s="1"/>
  <c r="AY209" i="6" a="1"/>
  <c r="AY209" i="6" s="1"/>
  <c r="BT209" i="6" s="1"/>
  <c r="AY668" i="6" a="1"/>
  <c r="AY668" i="6" s="1"/>
  <c r="AY341" i="6" a="1"/>
  <c r="AY341" i="6" s="1"/>
  <c r="BT341" i="6" s="1"/>
  <c r="AY689" i="6" a="1"/>
  <c r="AY689" i="6" s="1"/>
  <c r="BT689" i="6" s="1"/>
  <c r="AY529" i="6" a="1"/>
  <c r="AY529" i="6" s="1"/>
  <c r="AY320" i="6" a="1"/>
  <c r="AY320" i="6" s="1"/>
  <c r="BZ320" i="6" s="1"/>
  <c r="AQ283" i="6" a="1"/>
  <c r="AQ283" i="6" s="1"/>
  <c r="BM283" i="6" s="1"/>
  <c r="AM246" i="6" a="1"/>
  <c r="AM246" i="6" s="1"/>
  <c r="AN246" i="6" s="1" a="1"/>
  <c r="AN246" i="6" s="1"/>
  <c r="AY710" i="6" a="1"/>
  <c r="AY710" i="6" s="1"/>
  <c r="AM128" i="6" a="1"/>
  <c r="AM128" i="6" s="1"/>
  <c r="AP128" i="6" s="1"/>
  <c r="AT128" i="6" s="1"/>
  <c r="AY725" i="6" a="1"/>
  <c r="AY725" i="6" s="1"/>
  <c r="BZ725" i="6" s="1"/>
  <c r="AM125" i="6" a="1"/>
  <c r="AM125" i="6" s="1"/>
  <c r="AQ479" i="6" a="1"/>
  <c r="AQ479" i="6" s="1"/>
  <c r="BF479" i="6" s="1"/>
  <c r="BG479" i="6" s="1"/>
  <c r="BH479" i="6" s="1"/>
  <c r="I118" i="4" a="1"/>
  <c r="I118" i="4" s="1"/>
  <c r="K118" i="4" s="1" a="1"/>
  <c r="K118" i="4" s="1"/>
  <c r="AM164" i="6" a="1"/>
  <c r="AM164" i="6" s="1"/>
  <c r="AP164" i="6" s="1"/>
  <c r="AT164" i="6" s="1"/>
  <c r="AY461" i="6" a="1"/>
  <c r="AY461" i="6" s="1"/>
  <c r="BT461" i="6" s="1"/>
  <c r="AY120" i="6" a="1"/>
  <c r="AY120" i="6" s="1"/>
  <c r="BZ120" i="6" s="1"/>
  <c r="AY340" i="6" a="1"/>
  <c r="AY340" i="6" s="1"/>
  <c r="AY313" i="6" a="1"/>
  <c r="AY313" i="6" s="1"/>
  <c r="BZ313" i="6" s="1"/>
  <c r="AY730" i="6" a="1"/>
  <c r="AY730" i="6" s="1"/>
  <c r="BT730" i="6" s="1"/>
  <c r="AY734" i="6" a="1"/>
  <c r="AY734" i="6" s="1"/>
  <c r="AY793" i="6" a="1"/>
  <c r="AY793" i="6" s="1"/>
  <c r="BZ793" i="6" s="1"/>
  <c r="AQ150" i="6" a="1"/>
  <c r="AQ150" i="6" s="1"/>
  <c r="BM150" i="6" s="1"/>
  <c r="AY218" i="6" a="1"/>
  <c r="AY218" i="6" s="1"/>
  <c r="AQ812" i="6" a="1"/>
  <c r="AQ812" i="6" s="1"/>
  <c r="BM812" i="6" s="1"/>
  <c r="AY385" i="6" a="1"/>
  <c r="AY385" i="6" s="1"/>
  <c r="AY705" i="6" a="1"/>
  <c r="AY705" i="6" s="1"/>
  <c r="BZ705" i="6" s="1"/>
  <c r="AY153" i="6" a="1"/>
  <c r="AY153" i="6" s="1"/>
  <c r="BT153" i="6" s="1"/>
  <c r="AY644" i="6" a="1"/>
  <c r="AY644" i="6" s="1"/>
  <c r="BT644" i="6" s="1"/>
  <c r="AY210" i="6" a="1"/>
  <c r="AY210" i="6" s="1"/>
  <c r="BT210" i="6" s="1"/>
  <c r="AY514" i="6" a="1"/>
  <c r="AY514" i="6" s="1"/>
  <c r="AY658" i="6" a="1"/>
  <c r="AY658" i="6" s="1"/>
  <c r="BZ658" i="6" s="1"/>
  <c r="AY850" i="6" a="1"/>
  <c r="AY850" i="6" s="1"/>
  <c r="AY130" i="6" a="1"/>
  <c r="AY130" i="6" s="1"/>
  <c r="BZ130" i="6" s="1"/>
  <c r="AY269" i="6" a="1"/>
  <c r="AY269" i="6" s="1"/>
  <c r="AY592" i="6" a="1"/>
  <c r="AY592" i="6" s="1"/>
  <c r="BT592" i="6" s="1"/>
  <c r="AY523" i="6" a="1"/>
  <c r="AY523" i="6" s="1"/>
  <c r="BT523" i="6" s="1"/>
  <c r="I79" i="4" a="1"/>
  <c r="I79" i="4" s="1"/>
  <c r="AY184" i="6" a="1"/>
  <c r="AY184" i="6" s="1"/>
  <c r="BZ184" i="6" s="1"/>
  <c r="AY760" i="6" a="1"/>
  <c r="AY760" i="6" s="1"/>
  <c r="I113" i="4" a="1"/>
  <c r="I113" i="4" s="1"/>
  <c r="J113" i="4" s="1" a="1"/>
  <c r="J113" i="4" s="1"/>
  <c r="AM45" i="6" a="1"/>
  <c r="AM45" i="6" s="1"/>
  <c r="AY428" i="6" a="1"/>
  <c r="AY428" i="6" s="1"/>
  <c r="AY697" i="6" a="1"/>
  <c r="AY697" i="6" s="1"/>
  <c r="BT697" i="6" s="1"/>
  <c r="I52" i="4" a="1"/>
  <c r="I52" i="4" s="1"/>
  <c r="AY124" i="6" a="1"/>
  <c r="AY124" i="6" s="1"/>
  <c r="AY921" i="6" a="1"/>
  <c r="AY921" i="6" s="1"/>
  <c r="BZ921" i="6" s="1"/>
  <c r="AY917" i="6" a="1"/>
  <c r="AY917" i="6" s="1"/>
  <c r="AY886" i="6" a="1"/>
  <c r="AY886" i="6" s="1"/>
  <c r="BT886" i="6" s="1"/>
  <c r="AY944" i="6" a="1"/>
  <c r="AY944" i="6" s="1"/>
  <c r="AY401" i="6" a="1"/>
  <c r="AY401" i="6" s="1"/>
  <c r="BT401" i="6" s="1"/>
  <c r="I169" i="4" a="1"/>
  <c r="I169" i="4" s="1"/>
  <c r="K169" i="4" s="1" a="1"/>
  <c r="K169" i="4" s="1"/>
  <c r="AY409" i="6" a="1"/>
  <c r="AY409" i="6" s="1"/>
  <c r="BT409" i="6" s="1"/>
  <c r="AY821" i="6" a="1"/>
  <c r="AY821" i="6" s="1"/>
  <c r="BZ821" i="6" s="1"/>
  <c r="AY653" i="6" a="1"/>
  <c r="AY653" i="6" s="1"/>
  <c r="AY470" i="6" a="1"/>
  <c r="AY470" i="6" s="1"/>
  <c r="AY324" i="6" a="1"/>
  <c r="AY324" i="6" s="1"/>
  <c r="BT324" i="6" s="1"/>
  <c r="AY891" i="6" a="1"/>
  <c r="AY891" i="6" s="1"/>
  <c r="AY647" i="6" a="1"/>
  <c r="AY647" i="6" s="1"/>
  <c r="AY229" i="6" a="1"/>
  <c r="AY229" i="6" s="1"/>
  <c r="AY377" i="6" a="1"/>
  <c r="AY377" i="6" s="1"/>
  <c r="BZ377" i="6" s="1"/>
  <c r="AY929" i="6" a="1"/>
  <c r="AY929" i="6" s="1"/>
  <c r="AY553" i="6" a="1"/>
  <c r="AY553" i="6" s="1"/>
  <c r="BT553" i="6" s="1"/>
  <c r="AQ726" i="6" a="1"/>
  <c r="AQ726" i="6" s="1"/>
  <c r="BF726" i="6" s="1"/>
  <c r="AY381" i="6" a="1"/>
  <c r="AY381" i="6" s="1"/>
  <c r="BT381" i="6" s="1"/>
  <c r="AY595" i="6" a="1"/>
  <c r="AY595" i="6" s="1"/>
  <c r="BZ595" i="6" s="1"/>
  <c r="AM622" i="6" a="1"/>
  <c r="AM622" i="6" s="1"/>
  <c r="AP622" i="6" s="1"/>
  <c r="BN622" i="6" s="1"/>
  <c r="AY271" i="6" a="1"/>
  <c r="AY271" i="6" s="1"/>
  <c r="BZ271" i="6" s="1"/>
  <c r="AY113" i="6" a="1"/>
  <c r="AY113" i="6" s="1"/>
  <c r="BT113" i="6" s="1"/>
  <c r="I94" i="4" a="1"/>
  <c r="I94" i="4" s="1"/>
  <c r="AU1015" i="6" s="1"/>
  <c r="AX1015" i="6" s="1"/>
  <c r="AM304" i="6" a="1"/>
  <c r="AM304" i="6" s="1"/>
  <c r="AN304" i="6" s="1" a="1"/>
  <c r="AN304" i="6" s="1"/>
  <c r="AY333" i="6" a="1"/>
  <c r="AY333" i="6" s="1"/>
  <c r="BZ333" i="6" s="1"/>
  <c r="I225" i="4" a="1"/>
  <c r="I225" i="4" s="1"/>
  <c r="I243" i="4" a="1"/>
  <c r="I243" i="4" s="1"/>
  <c r="J243" i="4" s="1" a="1"/>
  <c r="J243" i="4" s="1"/>
  <c r="I216" i="4" a="1"/>
  <c r="I216" i="4" s="1"/>
  <c r="K216" i="4" s="1" a="1"/>
  <c r="K216" i="4" s="1"/>
  <c r="I103" i="4" a="1"/>
  <c r="I103" i="4" s="1"/>
  <c r="I27" i="4" a="1"/>
  <c r="I27" i="4" s="1"/>
  <c r="I212" i="4" a="1"/>
  <c r="I212" i="4" s="1"/>
  <c r="I96" i="4" a="1"/>
  <c r="I96" i="4" s="1"/>
  <c r="K96" i="4" s="1" a="1"/>
  <c r="K96" i="4" s="1"/>
  <c r="I204" i="4" a="1"/>
  <c r="I204" i="4" s="1"/>
  <c r="J204" i="4" s="1" a="1"/>
  <c r="J204" i="4" s="1"/>
  <c r="I190" i="4" a="1"/>
  <c r="I190" i="4" s="1"/>
  <c r="I23" i="4" a="1"/>
  <c r="I23" i="4" s="1"/>
  <c r="J23" i="4" s="1" a="1"/>
  <c r="I252" i="4" a="1"/>
  <c r="I252" i="4" s="1"/>
  <c r="I187" i="4" a="1"/>
  <c r="I187" i="4" s="1"/>
  <c r="K187" i="4" s="1" a="1"/>
  <c r="K187" i="4" s="1"/>
  <c r="I36" i="4" a="1"/>
  <c r="I36" i="4" s="1"/>
  <c r="K36" i="4" s="1" a="1"/>
  <c r="K36" i="4" s="1"/>
  <c r="I33" i="4" a="1"/>
  <c r="I33" i="4" s="1"/>
  <c r="J33" i="4" s="1" a="1"/>
  <c r="J33" i="4" s="1"/>
  <c r="I115" i="4" a="1"/>
  <c r="I115" i="4" s="1"/>
  <c r="K115" i="4" s="1" a="1"/>
  <c r="K115" i="4" s="1"/>
  <c r="I89" i="4" a="1"/>
  <c r="I89" i="4" s="1"/>
  <c r="I51" i="4" a="1"/>
  <c r="I51" i="4" s="1"/>
  <c r="I34" i="4" a="1"/>
  <c r="I34" i="4" s="1"/>
  <c r="I229" i="4" a="1"/>
  <c r="I229" i="4" s="1"/>
  <c r="K229" i="4" s="1" a="1"/>
  <c r="K229" i="4" s="1"/>
  <c r="I195" i="4" a="1"/>
  <c r="I195" i="4" s="1"/>
  <c r="J195" i="4" s="1" a="1"/>
  <c r="J195" i="4" s="1"/>
  <c r="I164" i="4" a="1"/>
  <c r="I164" i="4" s="1"/>
  <c r="J164" i="4" s="1" a="1"/>
  <c r="J164" i="4" s="1"/>
  <c r="I107" i="4" a="1"/>
  <c r="I107" i="4" s="1"/>
  <c r="AQ430" i="6" a="1"/>
  <c r="AQ430" i="6" s="1"/>
  <c r="BF430" i="6" s="1"/>
  <c r="AY937" i="6" a="1"/>
  <c r="AY937" i="6" s="1"/>
  <c r="BZ937" i="6" s="1"/>
  <c r="AY243" i="6" a="1"/>
  <c r="AY243" i="6" s="1"/>
  <c r="BZ243" i="6" s="1"/>
  <c r="AY501" i="6" a="1"/>
  <c r="AY501" i="6" s="1"/>
  <c r="AQ394" i="6" a="1"/>
  <c r="AQ394" i="6" s="1"/>
  <c r="BF394" i="6" s="1"/>
  <c r="AQ354" i="6" a="1"/>
  <c r="AQ354" i="6" s="1"/>
  <c r="I245" i="4" a="1"/>
  <c r="I245" i="4" s="1"/>
  <c r="K245" i="4" s="1" a="1"/>
  <c r="K245" i="4" s="1"/>
  <c r="AY634" i="6" a="1"/>
  <c r="AY634" i="6" s="1"/>
  <c r="BT634" i="6" s="1"/>
  <c r="AY41" i="6" a="1"/>
  <c r="AY41" i="6" s="1"/>
  <c r="AY490" i="6" a="1"/>
  <c r="AY490" i="6" s="1"/>
  <c r="AM28" i="6" a="1"/>
  <c r="AM28" i="6" s="1"/>
  <c r="AP28" i="6" s="1"/>
  <c r="AT28" i="6" s="1"/>
  <c r="AQ956" i="6" a="1"/>
  <c r="AQ956" i="6" s="1"/>
  <c r="BM956" i="6" s="1"/>
  <c r="AM560" i="6" a="1"/>
  <c r="AM560" i="6" s="1"/>
  <c r="AP560" i="6" s="1"/>
  <c r="AT560" i="6" s="1"/>
  <c r="AY519" i="6" a="1"/>
  <c r="AY519" i="6" s="1"/>
  <c r="BT519" i="6" s="1"/>
  <c r="AY322" i="6" a="1"/>
  <c r="AY322" i="6" s="1"/>
  <c r="BZ322" i="6" s="1"/>
  <c r="AY732" i="6" a="1"/>
  <c r="AY732" i="6" s="1"/>
  <c r="BZ732" i="6" s="1"/>
  <c r="AM468" i="6" a="1"/>
  <c r="AM468" i="6" s="1"/>
  <c r="AN468" i="6" s="1" a="1"/>
  <c r="AN468" i="6" s="1"/>
  <c r="AM15" i="6" a="1"/>
  <c r="AM15" i="6" s="1"/>
  <c r="AP15" i="6" s="1"/>
  <c r="AT15" i="6" s="1"/>
  <c r="AM209" i="6" a="1"/>
  <c r="AM209" i="6" s="1"/>
  <c r="AN209" i="6" s="1" a="1"/>
  <c r="AN209" i="6" s="1"/>
  <c r="AY834" i="6" a="1"/>
  <c r="AY834" i="6" s="1"/>
  <c r="AY941" i="6" a="1"/>
  <c r="AY941" i="6" s="1"/>
  <c r="AM412" i="6" a="1"/>
  <c r="AM412" i="6" s="1"/>
  <c r="AN412" i="6" s="1" a="1"/>
  <c r="AN412" i="6" s="1"/>
  <c r="AY66" i="6" a="1"/>
  <c r="AY66" i="6" s="1"/>
  <c r="BZ66" i="6" s="1"/>
  <c r="AY599" i="6" a="1"/>
  <c r="AY599" i="6" s="1"/>
  <c r="AY826" i="6" a="1"/>
  <c r="AY826" i="6" s="1"/>
  <c r="BT826" i="6" s="1"/>
  <c r="AY570" i="6" a="1"/>
  <c r="AY570" i="6" s="1"/>
  <c r="AQ716" i="6" a="1"/>
  <c r="AQ716" i="6" s="1"/>
  <c r="BF716" i="6" s="1"/>
  <c r="BG716" i="6" s="1"/>
  <c r="I173" i="4" a="1"/>
  <c r="I173" i="4" s="1"/>
  <c r="AU1002" i="6" s="1"/>
  <c r="AX1002" i="6" s="1"/>
  <c r="AQ483" i="6" a="1"/>
  <c r="AQ483" i="6" s="1"/>
  <c r="BM483" i="6" s="1"/>
  <c r="BN483" i="6" s="1"/>
  <c r="AY677" i="6" a="1"/>
  <c r="AY677" i="6" s="1"/>
  <c r="AQ590" i="6" a="1"/>
  <c r="AQ590" i="6" s="1"/>
  <c r="BM590" i="6" s="1"/>
  <c r="AY1002" i="6" a="1"/>
  <c r="AY1002" i="6" s="1"/>
  <c r="AY480" i="6" a="1"/>
  <c r="AY480" i="6" s="1"/>
  <c r="BZ480" i="6" s="1"/>
  <c r="AY72" i="6" a="1"/>
  <c r="AY72" i="6" s="1"/>
  <c r="I74" i="4" a="1"/>
  <c r="I74" i="4" s="1"/>
  <c r="K74" i="4" s="1" a="1"/>
  <c r="K74" i="4" s="1"/>
  <c r="AQ594" i="6" a="1"/>
  <c r="AQ594" i="6" s="1"/>
  <c r="BF594" i="6" s="1"/>
  <c r="I114" i="4" a="1"/>
  <c r="I114" i="4" s="1"/>
  <c r="K114" i="4" s="1" a="1"/>
  <c r="K114" i="4" s="1"/>
  <c r="AY119" i="6" a="1"/>
  <c r="AY119" i="6" s="1"/>
  <c r="BZ119" i="6" s="1"/>
  <c r="AY648" i="6" a="1"/>
  <c r="AY648" i="6" s="1"/>
  <c r="I194" i="4" a="1"/>
  <c r="I194" i="4" s="1"/>
  <c r="J194" i="4" s="1" a="1"/>
  <c r="J194" i="4" s="1"/>
  <c r="I158" i="4" a="1"/>
  <c r="I158" i="4" s="1"/>
  <c r="J158" i="4" s="1" a="1"/>
  <c r="J158" i="4" s="1"/>
  <c r="AY631" i="6" a="1"/>
  <c r="AY631" i="6" s="1"/>
  <c r="AY405" i="6" a="1"/>
  <c r="AY405" i="6" s="1"/>
  <c r="BT405" i="6" s="1"/>
  <c r="AY215" i="6" a="1"/>
  <c r="AY215" i="6" s="1"/>
  <c r="I57" i="4" a="1"/>
  <c r="I57" i="4" s="1"/>
  <c r="J57" i="4" s="1" a="1"/>
  <c r="J57" i="4" s="1"/>
  <c r="AY59" i="6" a="1"/>
  <c r="AY59" i="6" s="1"/>
  <c r="BZ59" i="6" s="1"/>
  <c r="I153" i="4" a="1"/>
  <c r="I153" i="4" s="1"/>
  <c r="J153" i="4" s="1" a="1"/>
  <c r="J153" i="4" s="1"/>
  <c r="AY255" i="6" a="1"/>
  <c r="AY255" i="6" s="1"/>
  <c r="AY463" i="6" a="1"/>
  <c r="AY463" i="6" s="1"/>
  <c r="AY368" i="6" a="1"/>
  <c r="AY368" i="6" s="1"/>
  <c r="AY213" i="6" a="1"/>
  <c r="AY213" i="6" s="1"/>
  <c r="AY84" i="6" a="1"/>
  <c r="AY84" i="6" s="1"/>
  <c r="AY489" i="6" a="1"/>
  <c r="AY489" i="6" s="1"/>
  <c r="BT489" i="6" s="1"/>
  <c r="AM306" i="6" a="1"/>
  <c r="AM306" i="6" s="1"/>
  <c r="AN306" i="6" s="1" a="1"/>
  <c r="AN306" i="6" s="1"/>
  <c r="AY694" i="6" a="1"/>
  <c r="AY694" i="6" s="1"/>
  <c r="BT694" i="6" s="1"/>
  <c r="AY747" i="6" a="1"/>
  <c r="AY747" i="6" s="1"/>
  <c r="BZ747" i="6" s="1"/>
  <c r="AM498" i="6" a="1"/>
  <c r="AM498" i="6" s="1"/>
  <c r="AN498" i="6" s="1" a="1"/>
  <c r="AN498" i="6" s="1"/>
  <c r="AQ144" i="6" a="1"/>
  <c r="AQ144" i="6" s="1"/>
  <c r="I53" i="4" a="1"/>
  <c r="I53" i="4" s="1"/>
  <c r="AY27" i="6" a="1"/>
  <c r="AY27" i="6" s="1"/>
  <c r="BZ27" i="6" s="1"/>
  <c r="AY239" i="6" a="1"/>
  <c r="AY239" i="6" s="1"/>
  <c r="BZ239" i="6" s="1"/>
  <c r="I185" i="4" a="1"/>
  <c r="I185" i="4" s="1"/>
  <c r="AY203" i="6" a="1"/>
  <c r="AY203" i="6" s="1"/>
  <c r="I59" i="4" a="1"/>
  <c r="I59" i="4" s="1"/>
  <c r="K59" i="4" s="1" a="1"/>
  <c r="K59" i="4" s="1"/>
  <c r="AY589" i="6" a="1"/>
  <c r="AY589" i="6" s="1"/>
  <c r="AY9" i="6" a="1"/>
  <c r="AY9" i="6" s="1"/>
  <c r="BZ9" i="6" s="1"/>
  <c r="AY515" i="6" a="1"/>
  <c r="AY515" i="6" s="1"/>
  <c r="I236" i="4" a="1"/>
  <c r="I236" i="4" s="1"/>
  <c r="AY439" i="6" a="1"/>
  <c r="AY439" i="6" s="1"/>
  <c r="BZ439" i="6" s="1"/>
  <c r="AY894" i="6" a="1"/>
  <c r="AY894" i="6" s="1"/>
  <c r="AY684" i="6" a="1"/>
  <c r="AY684" i="6" s="1"/>
  <c r="BZ684" i="6" s="1"/>
  <c r="AY231" i="6" a="1"/>
  <c r="AY231" i="6" s="1"/>
  <c r="AY148" i="6" a="1"/>
  <c r="AY148" i="6" s="1"/>
  <c r="AY253" i="6" a="1"/>
  <c r="AY253" i="6" s="1"/>
  <c r="AY157" i="6" a="1"/>
  <c r="AY157" i="6" s="1"/>
  <c r="BT157" i="6" s="1"/>
  <c r="AY652" i="6" a="1"/>
  <c r="AY652" i="6" s="1"/>
  <c r="BT652" i="6" s="1"/>
  <c r="I64" i="4" a="1"/>
  <c r="I64" i="4" s="1"/>
  <c r="K64" i="4" s="1" a="1"/>
  <c r="K64" i="4" s="1"/>
  <c r="AY237" i="6" a="1"/>
  <c r="AY237" i="6" s="1"/>
  <c r="BZ237" i="6" s="1"/>
  <c r="AY744" i="6" a="1"/>
  <c r="AY744" i="6" s="1"/>
  <c r="BT744" i="6" s="1"/>
  <c r="AY636" i="6" a="1"/>
  <c r="AY636" i="6" s="1"/>
  <c r="I17" i="4" a="1"/>
  <c r="I17" i="4" s="1"/>
  <c r="J17" i="4" s="1" a="1"/>
  <c r="J17" i="4" s="1"/>
  <c r="AY575" i="6" a="1"/>
  <c r="AY575" i="6" s="1"/>
  <c r="AY801" i="6" a="1"/>
  <c r="AY801" i="6" s="1"/>
  <c r="BZ801" i="6" s="1"/>
  <c r="AY717" i="6" a="1"/>
  <c r="AY717" i="6" s="1"/>
  <c r="BZ717" i="6" s="1"/>
  <c r="AY607" i="6" a="1"/>
  <c r="AY607" i="6" s="1"/>
  <c r="BZ607" i="6" s="1"/>
  <c r="AY754" i="6" a="1"/>
  <c r="AY754" i="6" s="1"/>
  <c r="AY871" i="6" a="1"/>
  <c r="AY871" i="6" s="1"/>
  <c r="AM517" i="6" a="1"/>
  <c r="AM517" i="6" s="1"/>
  <c r="AN517" i="6" s="1" a="1"/>
  <c r="AN517" i="6" s="1"/>
  <c r="AY164" i="6" a="1"/>
  <c r="AY164" i="6" s="1"/>
  <c r="AY270" i="6" a="1"/>
  <c r="AY270" i="6" s="1"/>
  <c r="BT270" i="6" s="1"/>
  <c r="AY284" i="6" a="1"/>
  <c r="AY284" i="6" s="1"/>
  <c r="BZ284" i="6" s="1"/>
  <c r="AY199" i="6" a="1"/>
  <c r="AY199" i="6" s="1"/>
  <c r="BZ199" i="6" s="1"/>
  <c r="AM729" i="6" a="1"/>
  <c r="AM729" i="6" s="1"/>
  <c r="AP729" i="6" s="1"/>
  <c r="AT729" i="6" s="1"/>
  <c r="AY118" i="6" a="1"/>
  <c r="AY118" i="6" s="1"/>
  <c r="BT118" i="6" s="1"/>
  <c r="I97" i="4" a="1"/>
  <c r="I97" i="4" s="1"/>
  <c r="J97" i="4" s="1" a="1"/>
  <c r="J97" i="4" s="1"/>
  <c r="AY722" i="6" a="1"/>
  <c r="AY722" i="6" s="1"/>
  <c r="AM326" i="6" a="1"/>
  <c r="AM326" i="6" s="1"/>
  <c r="AN326" i="6" s="1" a="1"/>
  <c r="AN326" i="6" s="1"/>
  <c r="AY940" i="6" a="1"/>
  <c r="AY940" i="6" s="1"/>
  <c r="BZ940" i="6" s="1"/>
  <c r="AY33" i="6" a="1"/>
  <c r="AY33" i="6" s="1"/>
  <c r="AM38" i="6" a="1"/>
  <c r="AM38" i="6" s="1"/>
  <c r="AN38" i="6" s="1" a="1"/>
  <c r="AN38" i="6" s="1"/>
  <c r="AY590" i="6" a="1"/>
  <c r="AY590" i="6" s="1"/>
  <c r="BZ590" i="6" s="1"/>
  <c r="AY549" i="6" a="1"/>
  <c r="AY549" i="6" s="1"/>
  <c r="BT549" i="6" s="1"/>
  <c r="AY950" i="6" a="1"/>
  <c r="AY950" i="6" s="1"/>
  <c r="AY100" i="6" a="1"/>
  <c r="AY100" i="6" s="1"/>
  <c r="BZ100" i="6" s="1"/>
  <c r="AM1007" i="6" a="1"/>
  <c r="AM1007" i="6" s="1"/>
  <c r="AN1007" i="6" s="1" a="1"/>
  <c r="AN1007" i="6" s="1"/>
  <c r="AQ939" i="6" a="1"/>
  <c r="AQ939" i="6" s="1"/>
  <c r="BF939" i="6" s="1"/>
  <c r="BG939" i="6" s="1"/>
  <c r="BI939" i="6" s="1"/>
  <c r="AY472" i="6" a="1"/>
  <c r="AY472" i="6" s="1"/>
  <c r="BZ472" i="6" s="1"/>
  <c r="AY692" i="6" a="1"/>
  <c r="AY692" i="6" s="1"/>
  <c r="BZ692" i="6" s="1"/>
  <c r="I105" i="4" a="1"/>
  <c r="I105" i="4" s="1"/>
  <c r="K105" i="4" s="1" a="1"/>
  <c r="K105" i="4" s="1"/>
  <c r="AQ205" i="6" a="1"/>
  <c r="AQ205" i="6" s="1"/>
  <c r="BM205" i="6" s="1"/>
  <c r="BN205" i="6" s="1"/>
  <c r="BP205" i="6" s="1"/>
  <c r="AY782" i="6" a="1"/>
  <c r="AY782" i="6" s="1"/>
  <c r="BT782" i="6" s="1"/>
  <c r="AY561" i="6" a="1"/>
  <c r="AY561" i="6" s="1"/>
  <c r="BT561" i="6" s="1"/>
  <c r="AY685" i="6" a="1"/>
  <c r="AY685" i="6" s="1"/>
  <c r="BT685" i="6" s="1"/>
  <c r="AY196" i="6" a="1"/>
  <c r="AY196" i="6" s="1"/>
  <c r="AY23" i="6" a="1"/>
  <c r="AY23" i="6" s="1"/>
  <c r="BT23" i="6" s="1"/>
  <c r="AM200" i="6" a="1"/>
  <c r="AM200" i="6" s="1"/>
  <c r="AY867" i="6" a="1"/>
  <c r="AY867" i="6" s="1"/>
  <c r="BZ867" i="6" s="1"/>
  <c r="AY996" i="6" a="1"/>
  <c r="AY996" i="6" s="1"/>
  <c r="BA996" i="6" s="1"/>
  <c r="BB996" i="6" s="1"/>
  <c r="I239" i="4" a="1"/>
  <c r="I239" i="4" s="1"/>
  <c r="K239" i="4" s="1" a="1"/>
  <c r="K239" i="4" s="1"/>
  <c r="AY583" i="6" a="1"/>
  <c r="AY583" i="6" s="1"/>
  <c r="AY383" i="6" a="1"/>
  <c r="AY383" i="6" s="1"/>
  <c r="I165" i="4" a="1"/>
  <c r="I165" i="4" s="1"/>
  <c r="AY274" i="6" a="1"/>
  <c r="AY274" i="6" s="1"/>
  <c r="BZ274" i="6" s="1"/>
  <c r="AY434" i="6" a="1"/>
  <c r="AY434" i="6" s="1"/>
  <c r="BT434" i="6" s="1"/>
  <c r="AY776" i="6" a="1"/>
  <c r="AY776" i="6" s="1"/>
  <c r="BT776" i="6" s="1"/>
  <c r="AY75" i="6" a="1"/>
  <c r="AY75" i="6" s="1"/>
  <c r="BT75" i="6" s="1"/>
  <c r="I45" i="4" a="1"/>
  <c r="I45" i="4" s="1"/>
  <c r="K45" i="4" s="1" a="1"/>
  <c r="K45" i="4" s="1"/>
  <c r="AY741" i="6" a="1"/>
  <c r="AY741" i="6" s="1"/>
  <c r="BT741" i="6" s="1"/>
  <c r="I231" i="4" a="1"/>
  <c r="I231" i="4" s="1"/>
  <c r="I214" i="4" a="1"/>
  <c r="I214" i="4" s="1"/>
  <c r="J214" i="4" s="1" a="1"/>
  <c r="J214" i="4" s="1"/>
  <c r="AY175" i="6" a="1"/>
  <c r="AY175" i="6" s="1"/>
  <c r="AM521" i="6" a="1"/>
  <c r="AM521" i="6" s="1"/>
  <c r="AP521" i="6" s="1"/>
  <c r="AT521" i="6" s="1"/>
  <c r="AY748" i="6" a="1"/>
  <c r="AY748" i="6" s="1"/>
  <c r="AY156" i="6" a="1"/>
  <c r="AY156" i="6" s="1"/>
  <c r="BT156" i="6" s="1"/>
  <c r="AY128" i="6" a="1"/>
  <c r="AY128" i="6" s="1"/>
  <c r="BT128" i="6" s="1"/>
  <c r="AY965" i="6" a="1"/>
  <c r="AY965" i="6" s="1"/>
  <c r="AY343" i="6" a="1"/>
  <c r="AY343" i="6" s="1"/>
  <c r="BZ343" i="6" s="1"/>
  <c r="AY552" i="6" a="1"/>
  <c r="AY552" i="6" s="1"/>
  <c r="AY477" i="6" a="1"/>
  <c r="AY477" i="6" s="1"/>
  <c r="BT477" i="6" s="1"/>
  <c r="AY317" i="6" a="1"/>
  <c r="AY317" i="6" s="1"/>
  <c r="BZ317" i="6" s="1"/>
  <c r="AY246" i="6" a="1"/>
  <c r="AY246" i="6" s="1"/>
  <c r="AY116" i="6" a="1"/>
  <c r="AY116" i="6" s="1"/>
  <c r="BZ116" i="6" s="1"/>
  <c r="AY26" i="6" a="1"/>
  <c r="AY26" i="6" s="1"/>
  <c r="BT26" i="6" s="1"/>
  <c r="AY247" i="6" a="1"/>
  <c r="AY247" i="6" s="1"/>
  <c r="BT247" i="6" s="1"/>
  <c r="I152" i="4" a="1"/>
  <c r="I152" i="4" s="1"/>
  <c r="K152" i="4" s="1" a="1"/>
  <c r="K152" i="4" s="1"/>
  <c r="I228" i="4" a="1"/>
  <c r="I228" i="4" s="1"/>
  <c r="J228" i="4" s="1" a="1"/>
  <c r="J228" i="4" s="1"/>
  <c r="I101" i="4" a="1"/>
  <c r="I101" i="4" s="1"/>
  <c r="J101" i="4" s="1" a="1"/>
  <c r="J101" i="4" s="1"/>
  <c r="I171" i="4" a="1"/>
  <c r="I171" i="4" s="1"/>
  <c r="K171" i="4" s="1" a="1"/>
  <c r="K171" i="4" s="1"/>
  <c r="I43" i="4" a="1"/>
  <c r="I43" i="4" s="1"/>
  <c r="K43" i="4" s="1" a="1"/>
  <c r="K43" i="4" s="1"/>
  <c r="I242" i="4" a="1"/>
  <c r="I242" i="4" s="1"/>
  <c r="J242" i="4" s="1" a="1"/>
  <c r="J242" i="4" s="1"/>
  <c r="I238" i="4" a="1"/>
  <c r="I238" i="4" s="1"/>
  <c r="J238" i="4" s="1" a="1"/>
  <c r="J238" i="4" s="1"/>
  <c r="I91" i="4" a="1"/>
  <c r="I91" i="4" s="1"/>
  <c r="J91" i="4" s="1" a="1"/>
  <c r="J91" i="4" s="1"/>
  <c r="I199" i="4" a="1"/>
  <c r="I199" i="4" s="1"/>
  <c r="J199" i="4" s="1" a="1"/>
  <c r="J199" i="4" s="1"/>
  <c r="I13" i="4" a="1"/>
  <c r="I13" i="4" s="1"/>
  <c r="J13" i="4" s="1" a="1"/>
  <c r="J13" i="4" s="1"/>
  <c r="I170" i="4" a="1"/>
  <c r="I170" i="4" s="1"/>
  <c r="K170" i="4" s="1" a="1"/>
  <c r="K170" i="4" s="1"/>
  <c r="I221" i="4" a="1"/>
  <c r="I221" i="4" s="1"/>
  <c r="K221" i="4" s="1" a="1"/>
  <c r="K221" i="4" s="1"/>
  <c r="I155" i="4" a="1"/>
  <c r="I155" i="4" s="1"/>
  <c r="I241" i="4" a="1"/>
  <c r="I241" i="4" s="1"/>
  <c r="J241" i="4" s="1" a="1"/>
  <c r="J241" i="4" s="1"/>
  <c r="I111" i="4" a="1"/>
  <c r="I111" i="4" s="1"/>
  <c r="J111" i="4" s="1" a="1"/>
  <c r="J111" i="4" s="1"/>
  <c r="I215" i="4" a="1"/>
  <c r="I215" i="4" s="1"/>
  <c r="I183" i="4" a="1"/>
  <c r="I183" i="4" s="1"/>
  <c r="I24" i="4" a="1"/>
  <c r="I24" i="4" s="1"/>
  <c r="J24" i="4" s="1" a="1"/>
  <c r="J24" i="4" s="1"/>
  <c r="I223" i="4" a="1"/>
  <c r="I223" i="4" s="1"/>
  <c r="K223" i="4" s="1" a="1"/>
  <c r="K223" i="4" s="1"/>
  <c r="I16" i="4" a="1"/>
  <c r="I16" i="4" s="1"/>
  <c r="K16" i="4" s="1" a="1"/>
  <c r="K16" i="4" s="1"/>
  <c r="I95" i="4" a="1"/>
  <c r="I95" i="4" s="1"/>
  <c r="J95" i="4" s="1" a="1"/>
  <c r="J95" i="4" s="1"/>
  <c r="AY332" i="6" a="1"/>
  <c r="AY332" i="6" s="1"/>
  <c r="BT332" i="6" s="1"/>
  <c r="AY663" i="6" a="1"/>
  <c r="AY663" i="6" s="1"/>
  <c r="BZ663" i="6" s="1"/>
  <c r="AY925" i="6" a="1"/>
  <c r="AY925" i="6" s="1"/>
  <c r="AY699" i="6" a="1"/>
  <c r="AY699" i="6" s="1"/>
  <c r="BT699" i="6" s="1"/>
  <c r="AY192" i="6" a="1"/>
  <c r="AY192" i="6" s="1"/>
  <c r="BZ192" i="6" s="1"/>
  <c r="AY310" i="6" a="1"/>
  <c r="AY310" i="6" s="1"/>
  <c r="BT310" i="6" s="1"/>
  <c r="AY98" i="6" a="1"/>
  <c r="AY98" i="6" s="1"/>
  <c r="AY487" i="6" a="1"/>
  <c r="AY487" i="6" s="1"/>
  <c r="BT487" i="6" s="1"/>
  <c r="AM504" i="6" a="1"/>
  <c r="AM504" i="6" s="1"/>
  <c r="AN504" i="6" s="1" a="1"/>
  <c r="AN504" i="6" s="1"/>
  <c r="AM730" i="6" a="1"/>
  <c r="AM730" i="6" s="1"/>
  <c r="AM921" i="6" a="1"/>
  <c r="AM921" i="6" s="1"/>
  <c r="AP921" i="6" s="1"/>
  <c r="AM367" i="6" a="1"/>
  <c r="AM367" i="6" s="1"/>
  <c r="AP367" i="6" s="1"/>
  <c r="AM400" i="6" a="1"/>
  <c r="AM400" i="6" s="1"/>
  <c r="AM226" i="6" a="1"/>
  <c r="AM226" i="6" s="1"/>
  <c r="AN226" i="6" s="1" a="1"/>
  <c r="AN226" i="6" s="1"/>
  <c r="AM392" i="6" a="1"/>
  <c r="AM392" i="6" s="1"/>
  <c r="AM221" i="6" a="1"/>
  <c r="AM221" i="6" s="1"/>
  <c r="AM898" i="6" a="1"/>
  <c r="AM898" i="6" s="1"/>
  <c r="AP898" i="6" s="1"/>
  <c r="AT898" i="6" s="1"/>
  <c r="AM18" i="6" a="1"/>
  <c r="AM18" i="6" s="1"/>
  <c r="AN18" i="6" s="1" a="1"/>
  <c r="AN18" i="6" s="1"/>
  <c r="AM100" i="6" a="1"/>
  <c r="AM100" i="6" s="1"/>
  <c r="AM481" i="6" a="1"/>
  <c r="AM481" i="6" s="1"/>
  <c r="AY588" i="6" a="1"/>
  <c r="AY588" i="6" s="1"/>
  <c r="AY30" i="6" a="1"/>
  <c r="AY30" i="6" s="1"/>
  <c r="AY990" i="6" a="1"/>
  <c r="AY990" i="6" s="1"/>
  <c r="AY411" i="6" a="1"/>
  <c r="AY411" i="6" s="1"/>
  <c r="BT411" i="6" s="1"/>
  <c r="AY759" i="6" a="1"/>
  <c r="AY759" i="6" s="1"/>
  <c r="BZ759" i="6" s="1"/>
  <c r="AY495" i="6" a="1"/>
  <c r="AY495" i="6" s="1"/>
  <c r="BZ495" i="6" s="1"/>
  <c r="AY466" i="6" a="1"/>
  <c r="AY466" i="6" s="1"/>
  <c r="AY915" i="6" a="1"/>
  <c r="AY915" i="6" s="1"/>
  <c r="BT915" i="6" s="1"/>
  <c r="AY938" i="6" a="1"/>
  <c r="AY938" i="6" s="1"/>
  <c r="BT938" i="6" s="1"/>
  <c r="AY1005" i="6" a="1"/>
  <c r="AY1005" i="6" s="1"/>
  <c r="BT1005" i="6" s="1"/>
  <c r="AY362" i="6" a="1"/>
  <c r="AY362" i="6" s="1"/>
  <c r="BT362" i="6" s="1"/>
  <c r="AY943" i="6" a="1"/>
  <c r="AY943" i="6" s="1"/>
  <c r="BZ943" i="6" s="1"/>
  <c r="AM846" i="6" a="1"/>
  <c r="AM846" i="6" s="1"/>
  <c r="AM534" i="6" a="1"/>
  <c r="AM534" i="6" s="1"/>
  <c r="AN534" i="6" s="1" a="1"/>
  <c r="AN534" i="6" s="1"/>
  <c r="AM66" i="6" a="1"/>
  <c r="AM66" i="6" s="1"/>
  <c r="AN66" i="6" s="1" a="1"/>
  <c r="AN66" i="6" s="1"/>
  <c r="AM139" i="6" a="1"/>
  <c r="AM139" i="6" s="1"/>
  <c r="AP139" i="6" s="1"/>
  <c r="AT139" i="6" s="1"/>
  <c r="AM530" i="6" a="1"/>
  <c r="AM530" i="6" s="1"/>
  <c r="AN530" i="6" s="1" a="1"/>
  <c r="AN530" i="6" s="1"/>
  <c r="AM249" i="6" a="1"/>
  <c r="AM249" i="6" s="1"/>
  <c r="AP249" i="6" s="1"/>
  <c r="AM594" i="6" a="1"/>
  <c r="AM594" i="6" s="1"/>
  <c r="AN594" i="6" s="1" a="1"/>
  <c r="AN594" i="6" s="1"/>
  <c r="AM779" i="6" a="1"/>
  <c r="AM779" i="6" s="1"/>
  <c r="AM561" i="6" a="1"/>
  <c r="AM561" i="6" s="1"/>
  <c r="AN561" i="6" s="1" a="1"/>
  <c r="AN561" i="6" s="1"/>
  <c r="AM272" i="6" a="1"/>
  <c r="AM272" i="6" s="1"/>
  <c r="AP272" i="6" s="1"/>
  <c r="AT272" i="6" s="1"/>
  <c r="AM320" i="6" a="1"/>
  <c r="AM320" i="6" s="1"/>
  <c r="AN320" i="6" s="1" a="1"/>
  <c r="AN320" i="6" s="1"/>
  <c r="AM162" i="6" a="1"/>
  <c r="AM162" i="6" s="1"/>
  <c r="AP162" i="6" s="1"/>
  <c r="BN162" i="6" s="1"/>
  <c r="BP162" i="6" s="1"/>
  <c r="AM95" i="6" a="1"/>
  <c r="AM95" i="6" s="1"/>
  <c r="AN95" i="6" s="1" a="1"/>
  <c r="AN95" i="6" s="1"/>
  <c r="AM434" i="6" a="1"/>
  <c r="AM434" i="6" s="1"/>
  <c r="AP434" i="6" s="1"/>
  <c r="AT434" i="6" s="1"/>
  <c r="AM940" i="6" a="1"/>
  <c r="AM940" i="6" s="1"/>
  <c r="AN940" i="6" s="1" a="1"/>
  <c r="AN940" i="6" s="1"/>
  <c r="AM735" i="6" a="1"/>
  <c r="AM735" i="6" s="1"/>
  <c r="AN735" i="6" s="1" a="1"/>
  <c r="AN735" i="6" s="1"/>
  <c r="AM543" i="6" a="1"/>
  <c r="AM543" i="6" s="1"/>
  <c r="AM789" i="6" a="1"/>
  <c r="AM789" i="6" s="1"/>
  <c r="AP789" i="6" s="1"/>
  <c r="AM896" i="6" a="1"/>
  <c r="AM896" i="6" s="1"/>
  <c r="AP896" i="6" s="1"/>
  <c r="AM391" i="6" a="1"/>
  <c r="AM391" i="6" s="1"/>
  <c r="AM416" i="6" a="1"/>
  <c r="AM416" i="6" s="1"/>
  <c r="AP416" i="6" s="1"/>
  <c r="AT416" i="6" s="1"/>
  <c r="AM368" i="6" a="1"/>
  <c r="AM368" i="6" s="1"/>
  <c r="AP368" i="6" s="1"/>
  <c r="AT368" i="6" s="1"/>
  <c r="AM117" i="6" a="1"/>
  <c r="AM117" i="6" s="1"/>
  <c r="AM587" i="6" a="1"/>
  <c r="AM587" i="6" s="1"/>
  <c r="AY70" i="6" a="1"/>
  <c r="AY70" i="6" s="1"/>
  <c r="AY865" i="6" a="1"/>
  <c r="AY865" i="6" s="1"/>
  <c r="BT865" i="6" s="1"/>
  <c r="AY675" i="6" a="1"/>
  <c r="AY675" i="6" s="1"/>
  <c r="AY895" i="6" a="1"/>
  <c r="AY895" i="6" s="1"/>
  <c r="AY701" i="6" a="1"/>
  <c r="AY701" i="6" s="1"/>
  <c r="BZ701" i="6" s="1"/>
  <c r="AY240" i="6" a="1"/>
  <c r="AY240" i="6" s="1"/>
  <c r="BZ240" i="6" s="1"/>
  <c r="AY517" i="6" a="1"/>
  <c r="AY517" i="6" s="1"/>
  <c r="AY1014" i="6" a="1"/>
  <c r="AY1014" i="6" s="1"/>
  <c r="AY657" i="6" a="1"/>
  <c r="AY657" i="6" s="1"/>
  <c r="AY222" i="6" a="1"/>
  <c r="AY222" i="6" s="1"/>
  <c r="AY633" i="6" a="1"/>
  <c r="AY633" i="6" s="1"/>
  <c r="BT633" i="6" s="1"/>
  <c r="AY811" i="6" a="1"/>
  <c r="AY811" i="6" s="1"/>
  <c r="AY337" i="6" a="1"/>
  <c r="AY337" i="6" s="1"/>
  <c r="BT337" i="6" s="1"/>
  <c r="AY536" i="6" a="1"/>
  <c r="AY536" i="6" s="1"/>
  <c r="AY503" i="6" a="1"/>
  <c r="AY503" i="6" s="1"/>
  <c r="BZ503" i="6" s="1"/>
  <c r="AY449" i="6" a="1"/>
  <c r="AY449" i="6" s="1"/>
  <c r="AY161" i="6" a="1"/>
  <c r="AY161" i="6" s="1"/>
  <c r="AQ995" i="6" a="1"/>
  <c r="AQ995" i="6" s="1"/>
  <c r="BM995" i="6" s="1"/>
  <c r="AM502" i="6" a="1"/>
  <c r="AM502" i="6" s="1"/>
  <c r="AN502" i="6" s="1" a="1"/>
  <c r="AN502" i="6" s="1"/>
  <c r="AM180" i="6" a="1"/>
  <c r="AM180" i="6" s="1"/>
  <c r="AM403" i="6" a="1"/>
  <c r="AM403" i="6" s="1"/>
  <c r="AM196" i="6" a="1"/>
  <c r="AM196" i="6" s="1"/>
  <c r="AP196" i="6" s="1"/>
  <c r="AT196" i="6" s="1"/>
  <c r="AM285" i="6" a="1"/>
  <c r="AM285" i="6" s="1"/>
  <c r="AM120" i="6" a="1"/>
  <c r="AM120" i="6" s="1"/>
  <c r="AM86" i="6" a="1"/>
  <c r="AM86" i="6" s="1"/>
  <c r="AM178" i="6" a="1"/>
  <c r="AM178" i="6" s="1"/>
  <c r="AN178" i="6" s="1" a="1"/>
  <c r="AN178" i="6" s="1"/>
  <c r="AM206" i="6" a="1"/>
  <c r="AM206" i="6" s="1"/>
  <c r="AM549" i="6" a="1"/>
  <c r="AM549" i="6" s="1"/>
  <c r="AP549" i="6" s="1"/>
  <c r="AM302" i="6" a="1"/>
  <c r="AM302" i="6" s="1"/>
  <c r="AM653" i="6" a="1"/>
  <c r="AM653" i="6" s="1"/>
  <c r="AP653" i="6" s="1"/>
  <c r="BG653" i="6" s="1"/>
  <c r="BI653" i="6" s="1"/>
  <c r="K168" i="4" a="1"/>
  <c r="K168" i="4" s="1"/>
  <c r="K233" i="4" a="1"/>
  <c r="K233" i="4" s="1"/>
  <c r="K65" i="4" a="1"/>
  <c r="K65" i="4" s="1"/>
  <c r="K54" i="4" a="1"/>
  <c r="K54" i="4" s="1"/>
  <c r="K30" i="4" a="1"/>
  <c r="K30" i="4" s="1"/>
  <c r="K68" i="4" a="1"/>
  <c r="K68" i="4" s="1"/>
  <c r="K50" i="4" a="1"/>
  <c r="K50" i="4" s="1"/>
  <c r="K92" i="4" a="1"/>
  <c r="K92" i="4" s="1"/>
  <c r="K21" i="4" a="1"/>
  <c r="K21" i="4" s="1"/>
  <c r="K249" i="4" a="1"/>
  <c r="K249" i="4" s="1"/>
  <c r="K82" i="4" a="1"/>
  <c r="K82" i="4" s="1"/>
  <c r="K167" i="4" a="1"/>
  <c r="K167" i="4" s="1"/>
  <c r="K230" i="4" a="1"/>
  <c r="K230" i="4" s="1"/>
  <c r="K26" i="4" a="1"/>
  <c r="K26" i="4" s="1"/>
  <c r="K142" i="4" a="1"/>
  <c r="K142" i="4" s="1"/>
  <c r="K120" i="4" a="1"/>
  <c r="K120" i="4" s="1"/>
  <c r="K2" i="4" a="1"/>
  <c r="K2" i="4" s="1"/>
  <c r="K151" i="4" a="1"/>
  <c r="K151" i="4" s="1"/>
  <c r="K141" i="4" a="1"/>
  <c r="K141" i="4" s="1"/>
  <c r="K232" i="4" a="1"/>
  <c r="K232" i="4" s="1"/>
  <c r="K186" i="4" a="1"/>
  <c r="K186" i="4" s="1"/>
  <c r="K255" i="4" a="1"/>
  <c r="K255" i="4" s="1"/>
  <c r="K166" i="4" a="1"/>
  <c r="K166" i="4" s="1"/>
  <c r="K177" i="4" a="1"/>
  <c r="K177" i="4" s="1"/>
  <c r="K163" i="4" a="1"/>
  <c r="K163" i="4" s="1"/>
  <c r="K202" i="4" a="1"/>
  <c r="K202" i="4" s="1"/>
  <c r="K224" i="4" a="1"/>
  <c r="K224" i="4" s="1"/>
  <c r="K161" i="4" a="1"/>
  <c r="K161" i="4" s="1"/>
  <c r="K145" i="4" a="1"/>
  <c r="K145" i="4" s="1"/>
  <c r="K55" i="4" a="1"/>
  <c r="K55" i="4" s="1"/>
  <c r="K254" i="4" a="1"/>
  <c r="K254" i="4" s="1"/>
  <c r="K197" i="4" a="1"/>
  <c r="K197" i="4" s="1"/>
  <c r="K157" i="4" a="1"/>
  <c r="K157" i="4" s="1"/>
  <c r="K86" i="4" a="1"/>
  <c r="K86" i="4" s="1"/>
  <c r="K98" i="4" a="1"/>
  <c r="K98" i="4" s="1"/>
  <c r="K20" i="4" a="1"/>
  <c r="K20" i="4" s="1"/>
  <c r="K246" i="4" a="1"/>
  <c r="K246" i="4" s="1"/>
  <c r="K250" i="4" a="1"/>
  <c r="K250" i="4" s="1"/>
  <c r="K218" i="4" a="1"/>
  <c r="K218" i="4" s="1"/>
  <c r="K220" i="4" a="1"/>
  <c r="K220" i="4" s="1"/>
  <c r="K9" i="4" a="1"/>
  <c r="K9" i="4" s="1"/>
  <c r="K85" i="4" a="1"/>
  <c r="K85" i="4" s="1"/>
  <c r="K136" i="4" a="1"/>
  <c r="K136" i="4" s="1"/>
  <c r="K189" i="4" a="1"/>
  <c r="K189" i="4" s="1"/>
  <c r="AM427" i="6" a="1"/>
  <c r="AM427" i="6" s="1"/>
  <c r="AP427" i="6" s="1"/>
  <c r="BG427" i="6" s="1"/>
  <c r="BG695" i="6"/>
  <c r="BG402" i="6"/>
  <c r="BI402" i="6" s="1"/>
  <c r="BG224" i="6"/>
  <c r="BH224" i="6" s="1"/>
  <c r="K175" i="4" a="1"/>
  <c r="K175" i="4" s="1"/>
  <c r="BG75" i="6"/>
  <c r="BI75" i="6" s="1"/>
  <c r="BG693" i="6"/>
  <c r="BH693" i="6" s="1"/>
  <c r="BF753" i="6"/>
  <c r="BG753" i="6" s="1"/>
  <c r="BH753" i="6" s="1"/>
  <c r="BM951" i="6"/>
  <c r="BF423" i="6"/>
  <c r="BF198" i="6"/>
  <c r="BF411" i="6"/>
  <c r="BN340" i="6"/>
  <c r="AS998" i="6"/>
  <c r="AT998" i="6" s="1"/>
  <c r="AN716" i="6" a="1"/>
  <c r="AN716" i="6" s="1"/>
  <c r="BF364" i="6"/>
  <c r="BF191" i="6"/>
  <c r="AP43" i="6"/>
  <c r="AT43" i="6" s="1"/>
  <c r="AP210" i="6"/>
  <c r="AT210" i="6" s="1"/>
  <c r="AN733" i="6" a="1"/>
  <c r="AN733" i="6" s="1"/>
  <c r="AN744" i="6" a="1"/>
  <c r="AN744" i="6" s="1"/>
  <c r="AP17" i="6"/>
  <c r="AN175" i="6" a="1"/>
  <c r="AN175" i="6" s="1"/>
  <c r="AN451" i="6" a="1"/>
  <c r="AN451" i="6" s="1"/>
  <c r="AN509" i="6" a="1"/>
  <c r="AN509" i="6" s="1"/>
  <c r="AN953" i="6" a="1"/>
  <c r="AN953" i="6" s="1"/>
  <c r="AP639" i="6"/>
  <c r="AT639" i="6" s="1"/>
  <c r="AP600" i="6"/>
  <c r="AT600" i="6" s="1"/>
  <c r="AN696" i="6" a="1"/>
  <c r="AN696" i="6" s="1"/>
  <c r="AP419" i="6"/>
  <c r="BN419" i="6" s="1"/>
  <c r="BM784" i="6"/>
  <c r="BF22" i="6"/>
  <c r="BM596" i="6"/>
  <c r="BF64" i="6"/>
  <c r="BN655" i="6"/>
  <c r="BM9" i="6"/>
  <c r="BM104" i="6"/>
  <c r="AN219" i="6" a="1"/>
  <c r="AN219" i="6" s="1"/>
  <c r="AN144" i="6" a="1"/>
  <c r="AN144" i="6" s="1"/>
  <c r="BZ823" i="6"/>
  <c r="AN677" i="6" a="1"/>
  <c r="AN677" i="6" s="1"/>
  <c r="AN255" i="6" a="1"/>
  <c r="AN255" i="6" s="1"/>
  <c r="AN376" i="6" a="1"/>
  <c r="AN376" i="6" s="1"/>
  <c r="AN11" i="6" a="1"/>
  <c r="AN11" i="6" s="1"/>
  <c r="AN860" i="6" a="1"/>
  <c r="AN860" i="6" s="1"/>
  <c r="AN564" i="6" a="1"/>
  <c r="AN564" i="6" s="1"/>
  <c r="AN472" i="6" a="1"/>
  <c r="AN472" i="6" s="1"/>
  <c r="AP544" i="6"/>
  <c r="AT544" i="6" s="1"/>
  <c r="BF419" i="6"/>
  <c r="AN381" i="6" a="1"/>
  <c r="AN381" i="6" s="1"/>
  <c r="AN496" i="6" a="1"/>
  <c r="AN496" i="6" s="1"/>
  <c r="BM321" i="6"/>
  <c r="BZ139" i="6"/>
  <c r="AN955" i="6" a="1"/>
  <c r="AN955" i="6" s="1"/>
  <c r="AN31" i="6" a="1"/>
  <c r="AN31" i="6" s="1"/>
  <c r="AP985" i="6"/>
  <c r="BM148" i="6"/>
  <c r="BN148" i="6" s="1"/>
  <c r="BO148" i="6" s="1"/>
  <c r="AP292" i="6"/>
  <c r="AT292" i="6" s="1"/>
  <c r="BM901" i="6"/>
  <c r="AN916" i="6" a="1"/>
  <c r="AN916" i="6" s="1"/>
  <c r="AP433" i="6"/>
  <c r="AT433" i="6" s="1"/>
  <c r="AN436" i="6" a="1"/>
  <c r="AN436" i="6" s="1"/>
  <c r="AN243" i="6" a="1"/>
  <c r="AN243" i="6" s="1"/>
  <c r="AN507" i="6" a="1"/>
  <c r="AN507" i="6" s="1"/>
  <c r="AN823" i="6" a="1"/>
  <c r="AN823" i="6" s="1"/>
  <c r="AP501" i="6"/>
  <c r="AT501" i="6" s="1"/>
  <c r="AN110" i="6" a="1"/>
  <c r="AN110" i="6" s="1"/>
  <c r="AN563" i="6" a="1"/>
  <c r="AN563" i="6" s="1"/>
  <c r="AN363" i="6" a="1"/>
  <c r="AN363" i="6" s="1"/>
  <c r="AN195" i="6" a="1"/>
  <c r="AN195" i="6" s="1"/>
  <c r="AN531" i="6" a="1"/>
  <c r="AN531" i="6" s="1"/>
  <c r="BF722" i="6"/>
  <c r="AN347" i="6" a="1"/>
  <c r="AN347" i="6" s="1"/>
  <c r="AP944" i="6"/>
  <c r="AT944" i="6" s="1"/>
  <c r="BM931" i="6"/>
  <c r="BM545" i="6"/>
  <c r="BN545" i="6" s="1"/>
  <c r="BP545" i="6" s="1"/>
  <c r="BT15" i="6"/>
  <c r="BZ749" i="6"/>
  <c r="BM985" i="6"/>
  <c r="BN985" i="6" s="1"/>
  <c r="BZ991" i="6"/>
  <c r="BG251" i="6"/>
  <c r="BH251" i="6" s="1"/>
  <c r="BF622" i="6"/>
  <c r="AN753" i="6" a="1"/>
  <c r="AN753" i="6" s="1"/>
  <c r="BG154" i="6"/>
  <c r="BH154" i="6" s="1"/>
  <c r="BF396" i="6"/>
  <c r="BG396" i="6" s="1"/>
  <c r="BI396" i="6" s="1"/>
  <c r="BM693" i="6"/>
  <c r="BN693" i="6" s="1"/>
  <c r="AN845" i="6" a="1"/>
  <c r="AN845" i="6" s="1"/>
  <c r="BM839" i="6"/>
  <c r="AN704" i="6" a="1"/>
  <c r="AN704" i="6" s="1"/>
  <c r="AN461" i="6" a="1"/>
  <c r="AN461" i="6" s="1"/>
  <c r="AN562" i="6" a="1"/>
  <c r="AN562" i="6" s="1"/>
  <c r="BM138" i="6"/>
  <c r="BF757" i="6"/>
  <c r="BM407" i="6"/>
  <c r="BN407" i="6" s="1"/>
  <c r="BO407" i="6" s="1"/>
  <c r="BF407" i="6"/>
  <c r="BG407" i="6" s="1"/>
  <c r="BH407" i="6" s="1"/>
  <c r="BM945" i="6"/>
  <c r="BG1013" i="6"/>
  <c r="BH1013" i="6" s="1"/>
  <c r="AN715" i="6" a="1"/>
  <c r="AN715" i="6" s="1"/>
  <c r="BM738" i="6"/>
  <c r="AU994" i="6"/>
  <c r="AX994" i="6" s="1"/>
  <c r="BA994" i="6" s="1"/>
  <c r="BB994" i="6" s="1"/>
  <c r="AP559" i="6"/>
  <c r="AT559" i="6" s="1"/>
  <c r="AP444" i="6"/>
  <c r="AT444" i="6" s="1"/>
  <c r="BM95" i="6"/>
  <c r="AN492" i="6" a="1"/>
  <c r="AN492" i="6" s="1"/>
  <c r="AP101" i="6"/>
  <c r="AT101" i="6" s="1"/>
  <c r="AP858" i="6"/>
  <c r="BG858" i="6" s="1"/>
  <c r="BI858" i="6" s="1"/>
  <c r="AN781" i="6" a="1"/>
  <c r="AN781" i="6" s="1"/>
  <c r="AP658" i="6"/>
  <c r="AT658" i="6" s="1"/>
  <c r="AN135" i="6" a="1"/>
  <c r="AN135" i="6" s="1"/>
  <c r="BM487" i="6"/>
  <c r="BF417" i="6"/>
  <c r="BM70" i="6"/>
  <c r="BN70" i="6" s="1"/>
  <c r="BO70" i="6" s="1"/>
  <c r="AN925" i="6" a="1"/>
  <c r="AN925" i="6" s="1"/>
  <c r="BT348" i="6"/>
  <c r="BM878" i="6"/>
  <c r="AN881" i="6" a="1"/>
  <c r="AN881" i="6" s="1"/>
  <c r="BM31" i="6"/>
  <c r="BN31" i="6" s="1"/>
  <c r="BO31" i="6" s="1"/>
  <c r="BM285" i="6"/>
  <c r="BZ174" i="6"/>
  <c r="BF232" i="6"/>
  <c r="BM828" i="6"/>
  <c r="BM180" i="6"/>
  <c r="BF727" i="6"/>
  <c r="AN358" i="6" a="1"/>
  <c r="AN358" i="6" s="1"/>
  <c r="AP679" i="6"/>
  <c r="AT679" i="6" s="1"/>
  <c r="BF316" i="6"/>
  <c r="BF297" i="6"/>
  <c r="BT169" i="6"/>
  <c r="AP790" i="6"/>
  <c r="AT790" i="6" s="1"/>
  <c r="BM592" i="6"/>
  <c r="BZ696" i="6"/>
  <c r="BF147" i="6"/>
  <c r="BM975" i="6"/>
  <c r="AP771" i="6"/>
  <c r="AT771" i="6" s="1"/>
  <c r="AN605" i="6" a="1"/>
  <c r="AN605" i="6" s="1"/>
  <c r="BM959" i="6"/>
  <c r="BN959" i="6" s="1"/>
  <c r="BM682" i="6"/>
  <c r="AN237" i="6" a="1"/>
  <c r="AN237" i="6" s="1"/>
  <c r="BM409" i="6"/>
  <c r="BN409" i="6" s="1"/>
  <c r="BM625" i="6"/>
  <c r="BM402" i="6"/>
  <c r="BN402" i="6" s="1"/>
  <c r="BO402" i="6" s="1"/>
  <c r="BM224" i="6"/>
  <c r="BN224" i="6" s="1"/>
  <c r="BO224" i="6" s="1"/>
  <c r="AN20" i="6" a="1"/>
  <c r="AN20" i="6" s="1"/>
  <c r="AN107" i="6" a="1"/>
  <c r="AN107" i="6" s="1"/>
  <c r="AN233" i="6" a="1"/>
  <c r="AN233" i="6" s="1"/>
  <c r="AN460" i="6" a="1"/>
  <c r="AN460" i="6" s="1"/>
  <c r="AN173" i="6" a="1"/>
  <c r="AN173" i="6" s="1"/>
  <c r="AN149" i="6" a="1"/>
  <c r="AN149" i="6" s="1"/>
  <c r="AN855" i="6" a="1"/>
  <c r="AN855" i="6" s="1"/>
  <c r="AN283" i="6" a="1"/>
  <c r="AN283" i="6" s="1"/>
  <c r="BM706" i="6"/>
  <c r="BF168" i="6"/>
  <c r="BM960" i="6"/>
  <c r="AN678" i="6" a="1"/>
  <c r="AN678" i="6" s="1"/>
  <c r="AN877" i="6" a="1"/>
  <c r="AN877" i="6" s="1"/>
  <c r="BZ420" i="6"/>
  <c r="BZ146" i="6"/>
  <c r="BF603" i="6"/>
  <c r="BZ945" i="6"/>
  <c r="BF569" i="6"/>
  <c r="BF327" i="6"/>
  <c r="BF803" i="6"/>
  <c r="BG803" i="6" s="1"/>
  <c r="BI803" i="6" s="1"/>
  <c r="AP792" i="6"/>
  <c r="AT792" i="6" s="1"/>
  <c r="BT971" i="6"/>
  <c r="BM290" i="6"/>
  <c r="AN655" i="6" a="1"/>
  <c r="AN655" i="6" s="1"/>
  <c r="AP202" i="6"/>
  <c r="AT202" i="6" s="1"/>
  <c r="AP872" i="6"/>
  <c r="AT872" i="6" s="1"/>
  <c r="BF433" i="6"/>
  <c r="BG433" i="6" s="1"/>
  <c r="BH433" i="6" s="1"/>
  <c r="BF153" i="6"/>
  <c r="BM591" i="6"/>
  <c r="BM966" i="6"/>
  <c r="BF568" i="6"/>
  <c r="BF699" i="6"/>
  <c r="AP87" i="6"/>
  <c r="AT87" i="6" s="1"/>
  <c r="AN260" i="6" a="1"/>
  <c r="AN260" i="6" s="1"/>
  <c r="BF40" i="6"/>
  <c r="BG40" i="6" s="1"/>
  <c r="BT806" i="6"/>
  <c r="BF825" i="6"/>
  <c r="AN982" i="6" a="1"/>
  <c r="AN982" i="6" s="1"/>
  <c r="BT988" i="6"/>
  <c r="BM344" i="6"/>
  <c r="BF44" i="6"/>
  <c r="BG44" i="6" s="1"/>
  <c r="BI44" i="6" s="1"/>
  <c r="BF317" i="6"/>
  <c r="BG317" i="6" s="1"/>
  <c r="BI317" i="6" s="1"/>
  <c r="BM856" i="6"/>
  <c r="BM850" i="6"/>
  <c r="BF850" i="6"/>
  <c r="AP882" i="6"/>
  <c r="AT882" i="6" s="1"/>
  <c r="BF566" i="6"/>
  <c r="BM566" i="6"/>
  <c r="BF6" i="6"/>
  <c r="BT602" i="6"/>
  <c r="AP199" i="6"/>
  <c r="AT199" i="6" s="1"/>
  <c r="AN199" i="6" a="1"/>
  <c r="AN199" i="6" s="1"/>
  <c r="BM690" i="6"/>
  <c r="BN690" i="6" s="1"/>
  <c r="BF690" i="6"/>
  <c r="BG690" i="6" s="1"/>
  <c r="BF86" i="6"/>
  <c r="BM86" i="6"/>
  <c r="AP522" i="6"/>
  <c r="AT522" i="6" s="1"/>
  <c r="AN522" i="6" a="1"/>
  <c r="AN522" i="6" s="1"/>
  <c r="BM280" i="6"/>
  <c r="BN280" i="6" s="1"/>
  <c r="BO280" i="6" s="1"/>
  <c r="BM612" i="6"/>
  <c r="BF612" i="6"/>
  <c r="AN429" i="6" a="1"/>
  <c r="AN429" i="6" s="1"/>
  <c r="AP429" i="6"/>
  <c r="AT429" i="6" s="1"/>
  <c r="BM919" i="6"/>
  <c r="BF387" i="6"/>
  <c r="BF410" i="6"/>
  <c r="BZ713" i="6"/>
  <c r="BF920" i="6"/>
  <c r="BF746" i="6"/>
  <c r="BM121" i="6"/>
  <c r="BM78" i="6"/>
  <c r="BN78" i="6" s="1"/>
  <c r="BP78" i="6" s="1"/>
  <c r="BF657" i="6"/>
  <c r="BM748" i="6"/>
  <c r="BN748" i="6" s="1"/>
  <c r="BO748" i="6" s="1"/>
  <c r="BF997" i="6"/>
  <c r="BT102" i="6"/>
  <c r="BM120" i="6"/>
  <c r="BF651" i="6"/>
  <c r="BM902" i="6"/>
  <c r="BZ719" i="6"/>
  <c r="BF854" i="6"/>
  <c r="BG854" i="6" s="1"/>
  <c r="BI854" i="6" s="1"/>
  <c r="BM672" i="6"/>
  <c r="BF106" i="6"/>
  <c r="AP555" i="6"/>
  <c r="AT555" i="6" s="1"/>
  <c r="BM493" i="6"/>
  <c r="BF142" i="6"/>
  <c r="BM653" i="6"/>
  <c r="BZ241" i="6"/>
  <c r="BM639" i="6"/>
  <c r="BZ442" i="6"/>
  <c r="AP593" i="6"/>
  <c r="AT593" i="6" s="1"/>
  <c r="BF587" i="6"/>
  <c r="BM713" i="6"/>
  <c r="BZ948" i="6"/>
  <c r="BM362" i="6"/>
  <c r="BM695" i="6"/>
  <c r="BN695" i="6" s="1"/>
  <c r="BO695" i="6" s="1"/>
  <c r="BZ611" i="6"/>
  <c r="BT611" i="6"/>
  <c r="BM783" i="6"/>
  <c r="BM93" i="6"/>
  <c r="BF505" i="6"/>
  <c r="BF32" i="6"/>
  <c r="AN606" i="6" a="1"/>
  <c r="AN606" i="6" s="1"/>
  <c r="AN293" i="6" a="1"/>
  <c r="AN293" i="6" s="1"/>
  <c r="BF762" i="6"/>
  <c r="AP406" i="6"/>
  <c r="AT406" i="6" s="1"/>
  <c r="BF309" i="6"/>
  <c r="BM953" i="6"/>
  <c r="BN953" i="6" s="1"/>
  <c r="BO953" i="6" s="1"/>
  <c r="BM215" i="6"/>
  <c r="AN159" i="6" a="1"/>
  <c r="AN159" i="6" s="1"/>
  <c r="BF717" i="6"/>
  <c r="BG717" i="6" s="1"/>
  <c r="BF288" i="6"/>
  <c r="BG288" i="6" s="1"/>
  <c r="BH288" i="6" s="1"/>
  <c r="BT584" i="6"/>
  <c r="BZ584" i="6"/>
  <c r="BM17" i="6"/>
  <c r="BM420" i="6"/>
  <c r="BF325" i="6"/>
  <c r="BM325" i="6"/>
  <c r="AP191" i="6"/>
  <c r="BN191" i="6" s="1"/>
  <c r="BP191" i="6" s="1"/>
  <c r="AN191" i="6" a="1"/>
  <c r="AN191" i="6" s="1"/>
  <c r="BZ543" i="6"/>
  <c r="AN571" i="6" a="1"/>
  <c r="AN571" i="6" s="1"/>
  <c r="AP571" i="6"/>
  <c r="AT571" i="6" s="1"/>
  <c r="AP584" i="6"/>
  <c r="AT584" i="6" s="1"/>
  <c r="AN584" i="6" a="1"/>
  <c r="AN584" i="6" s="1"/>
  <c r="AN662" i="6" a="1"/>
  <c r="AN662" i="6" s="1"/>
  <c r="BM522" i="6"/>
  <c r="BF766" i="6"/>
  <c r="BF98" i="6"/>
  <c r="BG98" i="6" s="1"/>
  <c r="BH98" i="6" s="1"/>
  <c r="BM688" i="6"/>
  <c r="BF303" i="6"/>
  <c r="BG303" i="6" s="1"/>
  <c r="BM482" i="6"/>
  <c r="BF595" i="6"/>
  <c r="BZ107" i="6"/>
  <c r="BF627" i="6"/>
  <c r="BT290" i="6"/>
  <c r="BM8" i="6"/>
  <c r="AP41" i="6"/>
  <c r="AT41" i="6" s="1"/>
  <c r="AN281" i="6" a="1"/>
  <c r="AN281" i="6" s="1"/>
  <c r="AP798" i="6"/>
  <c r="AT798" i="6" s="1"/>
  <c r="BM813" i="6"/>
  <c r="BM467" i="6"/>
  <c r="BM873" i="6"/>
  <c r="BF851" i="6"/>
  <c r="BM542" i="6"/>
  <c r="BM173" i="6"/>
  <c r="BN173" i="6" s="1"/>
  <c r="BO173" i="6" s="1"/>
  <c r="BM197" i="6"/>
  <c r="BF265" i="6"/>
  <c r="BF281" i="6"/>
  <c r="BG281" i="6" s="1"/>
  <c r="AN425" i="6" a="1"/>
  <c r="AN425" i="6" s="1"/>
  <c r="AP160" i="6"/>
  <c r="AN415" i="6" a="1"/>
  <c r="AN415" i="6" s="1"/>
  <c r="AN322" i="6" a="1"/>
  <c r="AN322" i="6" s="1"/>
  <c r="BF556" i="6"/>
  <c r="BM277" i="6"/>
  <c r="AN44" i="6" a="1"/>
  <c r="AN44" i="6" s="1"/>
  <c r="BM589" i="6"/>
  <c r="BN589" i="6" s="1"/>
  <c r="BO589" i="6" s="1"/>
  <c r="BT121" i="6"/>
  <c r="BM256" i="6"/>
  <c r="BF994" i="6"/>
  <c r="AP147" i="6"/>
  <c r="AN147" i="6" a="1"/>
  <c r="AN147" i="6" s="1"/>
  <c r="AP10" i="6"/>
  <c r="AT10" i="6" s="1"/>
  <c r="AN10" i="6" a="1"/>
  <c r="AN10" i="6" s="1"/>
  <c r="AP950" i="6"/>
  <c r="AT950" i="6" s="1"/>
  <c r="AN950" i="6" a="1"/>
  <c r="AN950" i="6" s="1"/>
  <c r="BT860" i="6"/>
  <c r="AP740" i="6"/>
  <c r="AT740" i="6" s="1"/>
  <c r="AN740" i="6" a="1"/>
  <c r="AN740" i="6" s="1"/>
  <c r="BM498" i="6"/>
  <c r="BF548" i="6"/>
  <c r="BG548" i="6" s="1"/>
  <c r="BI548" i="6" s="1"/>
  <c r="BM855" i="6"/>
  <c r="BN855" i="6" s="1"/>
  <c r="BM463" i="6"/>
  <c r="AN751" i="6" a="1"/>
  <c r="AN751" i="6" s="1"/>
  <c r="AN70" i="6" a="1"/>
  <c r="AN70" i="6" s="1"/>
  <c r="BT403" i="6"/>
  <c r="AP157" i="6"/>
  <c r="AT157" i="6" s="1"/>
  <c r="BT64" i="6"/>
  <c r="AP638" i="6"/>
  <c r="AT638" i="6" s="1"/>
  <c r="AP229" i="6"/>
  <c r="AT229" i="6" s="1"/>
  <c r="AN565" i="6" a="1"/>
  <c r="AN565" i="6" s="1"/>
  <c r="AP773" i="6"/>
  <c r="BT531" i="6"/>
  <c r="BF538" i="6"/>
  <c r="AN654" i="6" a="1"/>
  <c r="AN654" i="6" s="1"/>
  <c r="AP749" i="6"/>
  <c r="AT749" i="6" s="1"/>
  <c r="AN939" i="6" a="1"/>
  <c r="AN939" i="6" s="1"/>
  <c r="AN228" i="6" a="1"/>
  <c r="AN228" i="6" s="1"/>
  <c r="AN308" i="6" a="1"/>
  <c r="AN308" i="6" s="1"/>
  <c r="BF755" i="6"/>
  <c r="BG755" i="6" s="1"/>
  <c r="BI755" i="6" s="1"/>
  <c r="AN186" i="6" a="1"/>
  <c r="AN186" i="6" s="1"/>
  <c r="AN303" i="6" a="1"/>
  <c r="AN303" i="6" s="1"/>
  <c r="AP595" i="6"/>
  <c r="AT595" i="6" s="1"/>
  <c r="AN407" i="6" a="1"/>
  <c r="AN407" i="6" s="1"/>
  <c r="AP486" i="6"/>
  <c r="AT486" i="6" s="1"/>
  <c r="AU1001" i="6"/>
  <c r="AX1001" i="6" s="1"/>
  <c r="CA1001" i="6" s="1"/>
  <c r="BF923" i="6"/>
  <c r="BF754" i="6"/>
  <c r="BG754" i="6" s="1"/>
  <c r="BF145" i="6"/>
  <c r="BF918" i="6"/>
  <c r="AP211" i="6"/>
  <c r="AT211" i="6" s="1"/>
  <c r="AN684" i="6" a="1"/>
  <c r="AN684" i="6" s="1"/>
  <c r="BF684" i="6"/>
  <c r="BG684" i="6" s="1"/>
  <c r="AN701" i="6" a="1"/>
  <c r="AN701" i="6" s="1"/>
  <c r="AN105" i="6" a="1"/>
  <c r="AN105" i="6" s="1"/>
  <c r="AP488" i="6"/>
  <c r="J186" i="4" a="1"/>
  <c r="J186" i="4" s="1"/>
  <c r="AV1021" i="6" s="1"/>
  <c r="AP702" i="6"/>
  <c r="AT702" i="6" s="1"/>
  <c r="AN158" i="6" a="1"/>
  <c r="AN158" i="6" s="1"/>
  <c r="AN748" i="6" a="1"/>
  <c r="AN748" i="6" s="1"/>
  <c r="BF336" i="6"/>
  <c r="AP835" i="6"/>
  <c r="AN835" i="6" a="1"/>
  <c r="AN835" i="6" s="1"/>
  <c r="BF516" i="6"/>
  <c r="BG516" i="6" s="1"/>
  <c r="BH516" i="6" s="1"/>
  <c r="AN676" i="6" a="1"/>
  <c r="AN676" i="6" s="1"/>
  <c r="BF320" i="6"/>
  <c r="BM320" i="6"/>
  <c r="BF58" i="6"/>
  <c r="BM58" i="6"/>
  <c r="AP960" i="6"/>
  <c r="BG960" i="6" s="1"/>
  <c r="BI960" i="6" s="1"/>
  <c r="AN960" i="6" a="1"/>
  <c r="AN960" i="6" s="1"/>
  <c r="AP84" i="6"/>
  <c r="AT84" i="6" s="1"/>
  <c r="AN84" i="6" a="1"/>
  <c r="AN84" i="6" s="1"/>
  <c r="J39" i="4" a="1"/>
  <c r="J39" i="4" s="1"/>
  <c r="K39" i="4" a="1"/>
  <c r="K39" i="4" s="1"/>
  <c r="J3" i="4" a="1"/>
  <c r="J3" i="4" s="1"/>
  <c r="K3" i="4" a="1"/>
  <c r="K3" i="4" s="1"/>
  <c r="BF541" i="6"/>
  <c r="BM541" i="6"/>
  <c r="BZ448" i="6"/>
  <c r="BT448" i="6"/>
  <c r="AP768" i="6"/>
  <c r="AT768" i="6" s="1"/>
  <c r="AN768" i="6" a="1"/>
  <c r="AN768" i="6" s="1"/>
  <c r="BF456" i="6"/>
  <c r="AP431" i="6"/>
  <c r="AT431" i="6" s="1"/>
  <c r="AN431" i="6" a="1"/>
  <c r="AN431" i="6" s="1"/>
  <c r="AP301" i="6"/>
  <c r="BG301" i="6" s="1"/>
  <c r="BI301" i="6" s="1"/>
  <c r="AN301" i="6" a="1"/>
  <c r="AN301" i="6" s="1"/>
  <c r="AN359" i="6" a="1"/>
  <c r="AN359" i="6" s="1"/>
  <c r="AP359" i="6"/>
  <c r="AT359" i="6" s="1"/>
  <c r="AP192" i="6"/>
  <c r="AN192" i="6" a="1"/>
  <c r="AN192" i="6" s="1"/>
  <c r="BF708" i="6"/>
  <c r="BM708" i="6"/>
  <c r="AN275" i="6" a="1"/>
  <c r="AN275" i="6" s="1"/>
  <c r="BT736" i="6"/>
  <c r="BM167" i="6"/>
  <c r="BF167" i="6"/>
  <c r="BM623" i="6"/>
  <c r="BF623" i="6"/>
  <c r="BZ538" i="6"/>
  <c r="BF915" i="6"/>
  <c r="BG915" i="6" s="1"/>
  <c r="BH915" i="6" s="1"/>
  <c r="AN915" i="6" a="1"/>
  <c r="AN915" i="6" s="1"/>
  <c r="BM687" i="6"/>
  <c r="BF257" i="6"/>
  <c r="BF340" i="6"/>
  <c r="BG340" i="6" s="1"/>
  <c r="BI340" i="6" s="1"/>
  <c r="BM880" i="6"/>
  <c r="BF880" i="6"/>
  <c r="BT713" i="6"/>
  <c r="BF117" i="6"/>
  <c r="BZ808" i="6"/>
  <c r="BM799" i="6"/>
  <c r="BF799" i="6"/>
  <c r="BF830" i="6"/>
  <c r="BM830" i="6"/>
  <c r="BF646" i="6"/>
  <c r="BM646" i="6"/>
  <c r="BF600" i="6"/>
  <c r="BM600" i="6"/>
  <c r="BM203" i="6"/>
  <c r="BN203" i="6" s="1"/>
  <c r="BO203" i="6" s="1"/>
  <c r="BF203" i="6"/>
  <c r="BG203" i="6" s="1"/>
  <c r="BM752" i="6"/>
  <c r="BN752" i="6" s="1"/>
  <c r="BP752" i="6" s="1"/>
  <c r="BF752" i="6"/>
  <c r="BG752" i="6" s="1"/>
  <c r="BF928" i="6"/>
  <c r="BM928" i="6"/>
  <c r="BF268" i="6"/>
  <c r="BM268" i="6"/>
  <c r="BM313" i="6"/>
  <c r="BF313" i="6"/>
  <c r="BF790" i="6"/>
  <c r="BM790" i="6"/>
  <c r="BM322" i="6"/>
  <c r="BN322" i="6" s="1"/>
  <c r="BP322" i="6" s="1"/>
  <c r="BF322" i="6"/>
  <c r="BG322" i="6" s="1"/>
  <c r="BH322" i="6" s="1"/>
  <c r="BF326" i="6"/>
  <c r="BM326" i="6"/>
  <c r="BM861" i="6"/>
  <c r="BF861" i="6"/>
  <c r="BM1023" i="6"/>
  <c r="BN1023" i="6" s="1"/>
  <c r="BP1023" i="6" s="1"/>
  <c r="AS1023" i="6"/>
  <c r="AT1023" i="6" s="1"/>
  <c r="BF1023" i="6"/>
  <c r="BG1023" i="6" s="1"/>
  <c r="BI1023" i="6" s="1"/>
  <c r="BM382" i="6"/>
  <c r="BF382" i="6"/>
  <c r="BM30" i="6"/>
  <c r="BN30" i="6" s="1"/>
  <c r="BP30" i="6" s="1"/>
  <c r="BF30" i="6"/>
  <c r="BG30" i="6" s="1"/>
  <c r="BF749" i="6"/>
  <c r="BM749" i="6"/>
  <c r="BF546" i="6"/>
  <c r="BM546" i="6"/>
  <c r="AP1018" i="6"/>
  <c r="BG1018" i="6" s="1"/>
  <c r="BI1018" i="6" s="1"/>
  <c r="AN1018" i="6" a="1"/>
  <c r="AN1018" i="6" s="1"/>
  <c r="BM236" i="6"/>
  <c r="BF842" i="6"/>
  <c r="BM779" i="6"/>
  <c r="BM508" i="6"/>
  <c r="BN508" i="6" s="1"/>
  <c r="BP508" i="6" s="1"/>
  <c r="AN396" i="6" a="1"/>
  <c r="AN396" i="6" s="1"/>
  <c r="BM504" i="6"/>
  <c r="BM772" i="6"/>
  <c r="BM26" i="6"/>
  <c r="BM581" i="6"/>
  <c r="AN500" i="6" a="1"/>
  <c r="AN500" i="6" s="1"/>
  <c r="BF225" i="6"/>
  <c r="BM137" i="6"/>
  <c r="BM797" i="6"/>
  <c r="BN797" i="6" s="1"/>
  <c r="BO797" i="6" s="1"/>
  <c r="AN714" i="6" a="1"/>
  <c r="AN714" i="6" s="1"/>
  <c r="AN802" i="6" a="1"/>
  <c r="AN802" i="6" s="1"/>
  <c r="AP576" i="6"/>
  <c r="AT576" i="6" s="1"/>
  <c r="BM887" i="6"/>
  <c r="BN887" i="6" s="1"/>
  <c r="AP69" i="6"/>
  <c r="AT69" i="6" s="1"/>
  <c r="AN859" i="6" a="1"/>
  <c r="AN859" i="6" s="1"/>
  <c r="BF143" i="6"/>
  <c r="BG143" i="6" s="1"/>
  <c r="AN78" i="6" a="1"/>
  <c r="AN78" i="6" s="1"/>
  <c r="AP470" i="6"/>
  <c r="AT470" i="6" s="1"/>
  <c r="BF499" i="6"/>
  <c r="AN986" i="6" a="1"/>
  <c r="AN986" i="6" s="1"/>
  <c r="AN935" i="6" a="1"/>
  <c r="AN935" i="6" s="1"/>
  <c r="BM743" i="6"/>
  <c r="BM577" i="6"/>
  <c r="BM427" i="6"/>
  <c r="BZ842" i="6"/>
  <c r="BF287" i="6"/>
  <c r="AU1016" i="6"/>
  <c r="AX1016" i="6" s="1"/>
  <c r="BA1016" i="6" s="1"/>
  <c r="BB1016" i="6" s="1"/>
  <c r="J86" i="4" a="1"/>
  <c r="J86" i="4" s="1"/>
  <c r="AV1016" i="6" s="1"/>
  <c r="BM724" i="6"/>
  <c r="BF484" i="6"/>
  <c r="BZ977" i="6"/>
  <c r="BF23" i="6"/>
  <c r="BM23" i="6"/>
  <c r="BT669" i="6"/>
  <c r="BF228" i="6"/>
  <c r="BG228" i="6" s="1"/>
  <c r="BI228" i="6" s="1"/>
  <c r="BM228" i="6"/>
  <c r="BN228" i="6" s="1"/>
  <c r="BZ904" i="6"/>
  <c r="BM570" i="6"/>
  <c r="BF570" i="6"/>
  <c r="BM895" i="6"/>
  <c r="BF895" i="6"/>
  <c r="AP927" i="6"/>
  <c r="BG927" i="6" s="1"/>
  <c r="AN927" i="6" a="1"/>
  <c r="AN927" i="6" s="1"/>
  <c r="BM158" i="6"/>
  <c r="BF158" i="6"/>
  <c r="BM1012" i="6"/>
  <c r="BF862" i="6"/>
  <c r="BM862" i="6"/>
  <c r="BT339" i="6"/>
  <c r="BM170" i="6"/>
  <c r="BF170" i="6"/>
  <c r="BF444" i="6"/>
  <c r="BM444" i="6"/>
  <c r="BF496" i="6"/>
  <c r="BG496" i="6" s="1"/>
  <c r="BM496" i="6"/>
  <c r="BN496" i="6" s="1"/>
  <c r="BO496" i="6" s="1"/>
  <c r="AN330" i="6" a="1"/>
  <c r="AN330" i="6" s="1"/>
  <c r="AP330" i="6"/>
  <c r="AT330" i="6" s="1"/>
  <c r="BT991" i="6"/>
  <c r="BM231" i="6"/>
  <c r="AN963" i="6" a="1"/>
  <c r="AN963" i="6" s="1"/>
  <c r="BF697" i="6"/>
  <c r="BG697" i="6" s="1"/>
  <c r="BH697" i="6" s="1"/>
  <c r="BT766" i="6"/>
  <c r="BM220" i="6"/>
  <c r="BZ315" i="6"/>
  <c r="AN348" i="6" a="1"/>
  <c r="AN348" i="6" s="1"/>
  <c r="BM732" i="6"/>
  <c r="AN280" i="6" a="1"/>
  <c r="AN280" i="6" s="1"/>
  <c r="BF366" i="6"/>
  <c r="AN251" i="6" a="1"/>
  <c r="AN251" i="6" s="1"/>
  <c r="BT357" i="6"/>
  <c r="BZ349" i="6"/>
  <c r="AN332" i="6" a="1"/>
  <c r="AN332" i="6" s="1"/>
  <c r="AN261" i="6" a="1"/>
  <c r="AN261" i="6" s="1"/>
  <c r="BM15" i="6"/>
  <c r="BN15" i="6" s="1"/>
  <c r="BO15" i="6" s="1"/>
  <c r="BM475" i="6"/>
  <c r="BT141" i="6"/>
  <c r="BZ967" i="6"/>
  <c r="BF82" i="6"/>
  <c r="BF769" i="6"/>
  <c r="AP596" i="6"/>
  <c r="BG596" i="6" s="1"/>
  <c r="BI596" i="6" s="1"/>
  <c r="BF459" i="6"/>
  <c r="BF300" i="6"/>
  <c r="BG300" i="6" s="1"/>
  <c r="BH300" i="6" s="1"/>
  <c r="BF389" i="6"/>
  <c r="BM245" i="6"/>
  <c r="AP928" i="6"/>
  <c r="AT928" i="6" s="1"/>
  <c r="BM927" i="6"/>
  <c r="BF458" i="6"/>
  <c r="BF457" i="6"/>
  <c r="AP166" i="6"/>
  <c r="AT166" i="6" s="1"/>
  <c r="BM41" i="6"/>
  <c r="AN808" i="6" a="1"/>
  <c r="AN808" i="6" s="1"/>
  <c r="BF380" i="6"/>
  <c r="BM341" i="6"/>
  <c r="BN341" i="6" s="1"/>
  <c r="BO341" i="6" s="1"/>
  <c r="BM820" i="6"/>
  <c r="AN545" i="6" a="1"/>
  <c r="AN545" i="6" s="1"/>
  <c r="AP643" i="6"/>
  <c r="AT643" i="6" s="1"/>
  <c r="AN643" i="6" a="1"/>
  <c r="AN643" i="6" s="1"/>
  <c r="BM715" i="6"/>
  <c r="BN715" i="6" s="1"/>
  <c r="BO715" i="6" s="1"/>
  <c r="BF715" i="6"/>
  <c r="BG715" i="6" s="1"/>
  <c r="BI715" i="6" s="1"/>
  <c r="AN99" i="6" a="1"/>
  <c r="AN99" i="6" s="1"/>
  <c r="AP99" i="6"/>
  <c r="AT99" i="6" s="1"/>
  <c r="BM838" i="6"/>
  <c r="BF838" i="6"/>
  <c r="BZ316" i="6"/>
  <c r="BT316" i="6"/>
  <c r="BZ141" i="6"/>
  <c r="AN599" i="6" a="1"/>
  <c r="AN599" i="6" s="1"/>
  <c r="AP599" i="6"/>
  <c r="AT599" i="6" s="1"/>
  <c r="BM819" i="6"/>
  <c r="BF819" i="6"/>
  <c r="BF12" i="6"/>
  <c r="BM12" i="6"/>
  <c r="BM261" i="6"/>
  <c r="BN261" i="6" s="1"/>
  <c r="BO261" i="6" s="1"/>
  <c r="BF261" i="6"/>
  <c r="BG261" i="6" s="1"/>
  <c r="BN98" i="6"/>
  <c r="BP98" i="6" s="1"/>
  <c r="AN998" i="6" a="1"/>
  <c r="AN998" i="6" s="1"/>
  <c r="AP9" i="6"/>
  <c r="AN252" i="6" a="1"/>
  <c r="AN252" i="6" s="1"/>
  <c r="BF34" i="6"/>
  <c r="BG34" i="6" s="1"/>
  <c r="BH34" i="6" s="1"/>
  <c r="BM56" i="6"/>
  <c r="AP352" i="6"/>
  <c r="AT352" i="6" s="1"/>
  <c r="AN352" i="6" a="1"/>
  <c r="AN352" i="6" s="1"/>
  <c r="BM630" i="6"/>
  <c r="BN630" i="6" s="1"/>
  <c r="BF630" i="6"/>
  <c r="BF736" i="6"/>
  <c r="BG736" i="6" s="1"/>
  <c r="BH736" i="6" s="1"/>
  <c r="BM736" i="6"/>
  <c r="BN736" i="6" s="1"/>
  <c r="BF506" i="6"/>
  <c r="BG506" i="6" s="1"/>
  <c r="BM506" i="6"/>
  <c r="BN506" i="6" s="1"/>
  <c r="BT752" i="6"/>
  <c r="AP1017" i="6"/>
  <c r="AN1017" i="6" a="1"/>
  <c r="AN1017" i="6" s="1"/>
  <c r="BZ682" i="6"/>
  <c r="AN30" i="6" a="1"/>
  <c r="AN30" i="6" s="1"/>
  <c r="BF775" i="6"/>
  <c r="BT452" i="6"/>
  <c r="BF811" i="6"/>
  <c r="BG811" i="6" s="1"/>
  <c r="BF179" i="6"/>
  <c r="AN154" i="6" a="1"/>
  <c r="AN154" i="6" s="1"/>
  <c r="AP567" i="6"/>
  <c r="AT567" i="6" s="1"/>
  <c r="BT227" i="6"/>
  <c r="AN695" i="6" a="1"/>
  <c r="AN695" i="6" s="1"/>
  <c r="AN979" i="6" a="1"/>
  <c r="AN979" i="6" s="1"/>
  <c r="AP465" i="6"/>
  <c r="AT465" i="6" s="1"/>
  <c r="AP422" i="6"/>
  <c r="AT422" i="6" s="1"/>
  <c r="BG578" i="6"/>
  <c r="BI578" i="6" s="1"/>
  <c r="BM744" i="6"/>
  <c r="AN689" i="6" a="1"/>
  <c r="AN689" i="6" s="1"/>
  <c r="BM610" i="6"/>
  <c r="BF59" i="6"/>
  <c r="BZ619" i="6"/>
  <c r="AN731" i="6" a="1"/>
  <c r="AN731" i="6" s="1"/>
  <c r="AN619" i="6" a="1"/>
  <c r="AN619" i="6" s="1"/>
  <c r="AP463" i="6"/>
  <c r="AN479" i="6" a="1"/>
  <c r="AN479" i="6" s="1"/>
  <c r="AP325" i="6"/>
  <c r="BG325" i="6" s="1"/>
  <c r="BH325" i="6" s="1"/>
  <c r="BT29" i="6"/>
  <c r="AP142" i="6"/>
  <c r="BG142" i="6" s="1"/>
  <c r="BI142" i="6" s="1"/>
  <c r="BM519" i="6"/>
  <c r="BM339" i="6"/>
  <c r="BF339" i="6"/>
  <c r="BM608" i="6"/>
  <c r="BF608" i="6"/>
  <c r="AP437" i="6"/>
  <c r="AN437" i="6" a="1"/>
  <c r="AN437" i="6" s="1"/>
  <c r="AP97" i="6"/>
  <c r="AT97" i="6" s="1"/>
  <c r="AN97" i="6" a="1"/>
  <c r="AN97" i="6" s="1"/>
  <c r="BM254" i="6"/>
  <c r="BN254" i="6" s="1"/>
  <c r="BF254" i="6"/>
  <c r="BG254" i="6" s="1"/>
  <c r="BI254" i="6" s="1"/>
  <c r="AP387" i="6"/>
  <c r="BN387" i="6" s="1"/>
  <c r="BO387" i="6" s="1"/>
  <c r="AN387" i="6" a="1"/>
  <c r="AN387" i="6" s="1"/>
  <c r="BZ90" i="6"/>
  <c r="BT90" i="6"/>
  <c r="BM428" i="6"/>
  <c r="BF428" i="6"/>
  <c r="BM188" i="6"/>
  <c r="BF188" i="6"/>
  <c r="AP865" i="6"/>
  <c r="AT865" i="6" s="1"/>
  <c r="AN865" i="6" a="1"/>
  <c r="AN865" i="6" s="1"/>
  <c r="BM609" i="6"/>
  <c r="BF609" i="6"/>
  <c r="AN553" i="6" a="1"/>
  <c r="AN553" i="6" s="1"/>
  <c r="AP553" i="6"/>
  <c r="AT553" i="6" s="1"/>
  <c r="AP455" i="6"/>
  <c r="AT455" i="6" s="1"/>
  <c r="AN455" i="6" a="1"/>
  <c r="AN455" i="6" s="1"/>
  <c r="AP145" i="6"/>
  <c r="BN145" i="6" s="1"/>
  <c r="BO145" i="6" s="1"/>
  <c r="AN145" i="6" a="1"/>
  <c r="AN145" i="6" s="1"/>
  <c r="AP1009" i="6"/>
  <c r="AN1009" i="6" a="1"/>
  <c r="AN1009" i="6" s="1"/>
  <c r="BM621" i="6"/>
  <c r="BN621" i="6" s="1"/>
  <c r="BO621" i="6" s="1"/>
  <c r="BF621" i="6"/>
  <c r="BF454" i="6"/>
  <c r="BG647" i="6"/>
  <c r="BI647" i="6" s="1"/>
  <c r="BZ221" i="6"/>
  <c r="BZ511" i="6"/>
  <c r="BM154" i="6"/>
  <c r="BN154" i="6" s="1"/>
  <c r="BO154" i="6" s="1"/>
  <c r="BM633" i="6"/>
  <c r="BM233" i="6"/>
  <c r="BN233" i="6" s="1"/>
  <c r="BM730" i="6"/>
  <c r="BM246" i="6"/>
  <c r="BZ522" i="6"/>
  <c r="BF604" i="6"/>
  <c r="BF835" i="6"/>
  <c r="BM578" i="6"/>
  <c r="BN578" i="6" s="1"/>
  <c r="AP388" i="6"/>
  <c r="AT388" i="6" s="1"/>
  <c r="BM691" i="6"/>
  <c r="BF176" i="6"/>
  <c r="BG176" i="6" s="1"/>
  <c r="BI176" i="6" s="1"/>
  <c r="AN582" i="6" a="1"/>
  <c r="AN582" i="6" s="1"/>
  <c r="AN161" i="6" a="1"/>
  <c r="AN161" i="6" s="1"/>
  <c r="AP857" i="6"/>
  <c r="BF441" i="6"/>
  <c r="BM834" i="6"/>
  <c r="BM301" i="6"/>
  <c r="BN301" i="6" s="1"/>
  <c r="BO301" i="6" s="1"/>
  <c r="AP536" i="6"/>
  <c r="AP334" i="6"/>
  <c r="AT334" i="6" s="1"/>
  <c r="AP213" i="6"/>
  <c r="BM893" i="6"/>
  <c r="AP324" i="6"/>
  <c r="AT324" i="6" s="1"/>
  <c r="AN409" i="6" a="1"/>
  <c r="AN409" i="6" s="1"/>
  <c r="AN818" i="6" a="1"/>
  <c r="AN818" i="6" s="1"/>
  <c r="BM871" i="6"/>
  <c r="BF737" i="6"/>
  <c r="BF468" i="6"/>
  <c r="BF453" i="6"/>
  <c r="BM453" i="6"/>
  <c r="BM789" i="6"/>
  <c r="BM643" i="6"/>
  <c r="BF643" i="6"/>
  <c r="BM206" i="6"/>
  <c r="BF206" i="6"/>
  <c r="AN841" i="6" a="1"/>
  <c r="AN841" i="6" s="1"/>
  <c r="AP841" i="6"/>
  <c r="AT841" i="6" s="1"/>
  <c r="AN263" i="6" a="1"/>
  <c r="AN263" i="6" s="1"/>
  <c r="AP263" i="6"/>
  <c r="BN263" i="6" s="1"/>
  <c r="BO263" i="6" s="1"/>
  <c r="AP788" i="6"/>
  <c r="BM73" i="6"/>
  <c r="AN709" i="6" a="1"/>
  <c r="AN709" i="6" s="1"/>
  <c r="AP774" i="6"/>
  <c r="AT774" i="6" s="1"/>
  <c r="AN693" i="6" a="1"/>
  <c r="AN693" i="6" s="1"/>
  <c r="AP480" i="6"/>
  <c r="AT480" i="6" s="1"/>
  <c r="AN601" i="6" a="1"/>
  <c r="AN601" i="6" s="1"/>
  <c r="BF665" i="6"/>
  <c r="AN755" i="6" a="1"/>
  <c r="AN755" i="6" s="1"/>
  <c r="BT874" i="6"/>
  <c r="AP116" i="6"/>
  <c r="AT116" i="6" s="1"/>
  <c r="AP435" i="6"/>
  <c r="AT435" i="6" s="1"/>
  <c r="AP298" i="6"/>
  <c r="AT298" i="6" s="1"/>
  <c r="AN810" i="6" a="1"/>
  <c r="AN810" i="6" s="1"/>
  <c r="BF962" i="6"/>
  <c r="BZ792" i="6"/>
  <c r="BF477" i="6"/>
  <c r="AN958" i="6" a="1"/>
  <c r="AN958" i="6" s="1"/>
  <c r="AP384" i="6"/>
  <c r="AT384" i="6" s="1"/>
  <c r="AN208" i="6" a="1"/>
  <c r="AN208" i="6" s="1"/>
  <c r="AN305" i="6" a="1"/>
  <c r="AN305" i="6" s="1"/>
  <c r="AP305" i="6"/>
  <c r="AT305" i="6" s="1"/>
  <c r="AP750" i="6"/>
  <c r="AT750" i="6" s="1"/>
  <c r="AP923" i="6"/>
  <c r="BN923" i="6" s="1"/>
  <c r="BP923" i="6" s="1"/>
  <c r="AN923" i="6" a="1"/>
  <c r="AN923" i="6" s="1"/>
  <c r="AN607" i="6" a="1"/>
  <c r="AN607" i="6" s="1"/>
  <c r="AP607" i="6"/>
  <c r="BN607" i="6" s="1"/>
  <c r="AP598" i="6"/>
  <c r="AN598" i="6" a="1"/>
  <c r="AN598" i="6" s="1"/>
  <c r="AN410" i="6" a="1"/>
  <c r="AN410" i="6" s="1"/>
  <c r="AP410" i="6"/>
  <c r="AT410" i="6" s="1"/>
  <c r="BT815" i="6"/>
  <c r="BT928" i="6"/>
  <c r="BT460" i="6"/>
  <c r="AP612" i="6"/>
  <c r="BG612" i="6" s="1"/>
  <c r="BI612" i="6" s="1"/>
  <c r="AP577" i="6"/>
  <c r="AN577" i="6" a="1"/>
  <c r="AN577" i="6" s="1"/>
  <c r="AN899" i="6" a="1"/>
  <c r="AN899" i="6" s="1"/>
  <c r="AP899" i="6"/>
  <c r="AT899" i="6" s="1"/>
  <c r="AP780" i="6"/>
  <c r="BN780" i="6" s="1"/>
  <c r="AN780" i="6" a="1"/>
  <c r="AN780" i="6" s="1"/>
  <c r="AN917" i="6" a="1"/>
  <c r="AN917" i="6" s="1"/>
  <c r="AP917" i="6"/>
  <c r="AN875" i="6" a="1"/>
  <c r="AN875" i="6" s="1"/>
  <c r="AP875" i="6"/>
  <c r="AT875" i="6" s="1"/>
  <c r="AN371" i="6" a="1"/>
  <c r="AN371" i="6" s="1"/>
  <c r="AP371" i="6"/>
  <c r="AP466" i="6"/>
  <c r="AT466" i="6" s="1"/>
  <c r="AN466" i="6" a="1"/>
  <c r="AN466" i="6" s="1"/>
  <c r="BF780" i="6"/>
  <c r="AP398" i="6"/>
  <c r="AT398" i="6" s="1"/>
  <c r="BM756" i="6"/>
  <c r="AP994" i="6"/>
  <c r="BN994" i="6" s="1"/>
  <c r="AP1000" i="6"/>
  <c r="AS1000" i="6" s="1"/>
  <c r="AT1000" i="6" s="1"/>
  <c r="AN350" i="6" a="1"/>
  <c r="AN350" i="6" s="1"/>
  <c r="AP350" i="6"/>
  <c r="AT350" i="6" s="1"/>
  <c r="AP343" i="6"/>
  <c r="AT343" i="6" s="1"/>
  <c r="AN343" i="6" a="1"/>
  <c r="AN343" i="6" s="1"/>
  <c r="AP784" i="6"/>
  <c r="AN784" i="6" a="1"/>
  <c r="AN784" i="6" s="1"/>
  <c r="AN247" i="6" a="1"/>
  <c r="AN247" i="6" s="1"/>
  <c r="AN524" i="6" a="1"/>
  <c r="AN524" i="6" s="1"/>
  <c r="AP524" i="6"/>
  <c r="AT524" i="6" s="1"/>
  <c r="AP49" i="6"/>
  <c r="AN49" i="6" a="1"/>
  <c r="AN49" i="6" s="1"/>
  <c r="AN724" i="6" a="1"/>
  <c r="AN724" i="6" s="1"/>
  <c r="AP724" i="6"/>
  <c r="AT724" i="6" s="1"/>
  <c r="AP214" i="6"/>
  <c r="AT214" i="6" s="1"/>
  <c r="AN214" i="6" a="1"/>
  <c r="AN214" i="6" s="1"/>
  <c r="AN1013" i="6" a="1"/>
  <c r="AN1013" i="6" s="1"/>
  <c r="AN503" i="6" a="1"/>
  <c r="AN503" i="6" s="1"/>
  <c r="BM924" i="6"/>
  <c r="BM447" i="6"/>
  <c r="BM689" i="6"/>
  <c r="BN689" i="6" s="1"/>
  <c r="BO689" i="6" s="1"/>
  <c r="BF921" i="6"/>
  <c r="AP258" i="6"/>
  <c r="BG258" i="6" s="1"/>
  <c r="AP603" i="6"/>
  <c r="BF857" i="6"/>
  <c r="BM501" i="6"/>
  <c r="AP659" i="6"/>
  <c r="AT659" i="6" s="1"/>
  <c r="AN624" i="6" a="1"/>
  <c r="AN624" i="6" s="1"/>
  <c r="AP646" i="6"/>
  <c r="AT646" i="6" s="1"/>
  <c r="BN684" i="6"/>
  <c r="AN973" i="6" a="1"/>
  <c r="AN973" i="6" s="1"/>
  <c r="AP146" i="6"/>
  <c r="AT146" i="6" s="1"/>
  <c r="AN224" i="6" a="1"/>
  <c r="AN224" i="6" s="1"/>
  <c r="AP413" i="6"/>
  <c r="AT413" i="6" s="1"/>
  <c r="AU1020" i="6"/>
  <c r="AX1020" i="6" s="1"/>
  <c r="BA1020" i="6" s="1"/>
  <c r="BB1020" i="6" s="1"/>
  <c r="AN109" i="6" a="1"/>
  <c r="AN109" i="6" s="1"/>
  <c r="AP266" i="6"/>
  <c r="AT266" i="6" s="1"/>
  <c r="AN579" i="6" a="1"/>
  <c r="AN579" i="6" s="1"/>
  <c r="AP801" i="6"/>
  <c r="BG801" i="6" s="1"/>
  <c r="BH801" i="6" s="1"/>
  <c r="AP566" i="6"/>
  <c r="AT566" i="6" s="1"/>
  <c r="AP602" i="6"/>
  <c r="AP809" i="6"/>
  <c r="AT809" i="6" s="1"/>
  <c r="AP7" i="6"/>
  <c r="BG7" i="6" s="1"/>
  <c r="AP485" i="6"/>
  <c r="AT485" i="6" s="1"/>
  <c r="AN585" i="6" a="1"/>
  <c r="AN585" i="6" s="1"/>
  <c r="BM572" i="6"/>
  <c r="AN853" i="6" a="1"/>
  <c r="AN853" i="6" s="1"/>
  <c r="BF808" i="6"/>
  <c r="BG808" i="6" s="1"/>
  <c r="AP234" i="6"/>
  <c r="AT234" i="6" s="1"/>
  <c r="AP795" i="6"/>
  <c r="AT795" i="6" s="1"/>
  <c r="BF273" i="6"/>
  <c r="AN34" i="6" a="1"/>
  <c r="AN34" i="6" s="1"/>
  <c r="BF557" i="6"/>
  <c r="BM184" i="6"/>
  <c r="BF558" i="6"/>
  <c r="BF877" i="6"/>
  <c r="BG877" i="6" s="1"/>
  <c r="BI877" i="6" s="1"/>
  <c r="AP80" i="6"/>
  <c r="AP978" i="6"/>
  <c r="AT978" i="6" s="1"/>
  <c r="AP905" i="6"/>
  <c r="AT905" i="6" s="1"/>
  <c r="BF333" i="6"/>
  <c r="J42" i="4" a="1"/>
  <c r="J42" i="4" s="1"/>
  <c r="K42" i="4" a="1"/>
  <c r="K42" i="4" s="1"/>
  <c r="BM876" i="6"/>
  <c r="BF371" i="6"/>
  <c r="BT614" i="6"/>
  <c r="AN328" i="6" a="1"/>
  <c r="AN328" i="6" s="1"/>
  <c r="BT1004" i="6"/>
  <c r="AP73" i="6"/>
  <c r="BZ456" i="6"/>
  <c r="AN52" i="6" a="1"/>
  <c r="AN52" i="6" s="1"/>
  <c r="BF62" i="6"/>
  <c r="BT35" i="6"/>
  <c r="BM897" i="6"/>
  <c r="J104" i="4" a="1"/>
  <c r="J104" i="4" s="1"/>
  <c r="K104" i="4" a="1"/>
  <c r="K104" i="4" s="1"/>
  <c r="J4" i="4" a="1"/>
  <c r="J4" i="4" s="1"/>
  <c r="AV1022" i="6" s="1"/>
  <c r="AU1022" i="6"/>
  <c r="AX1022" i="6" s="1"/>
  <c r="BA1022" i="6" s="1"/>
  <c r="BB1022" i="6" s="1"/>
  <c r="K4" i="4" a="1"/>
  <c r="K4" i="4" s="1"/>
  <c r="J226" i="4" a="1"/>
  <c r="J226" i="4" s="1"/>
  <c r="K226" i="4" a="1"/>
  <c r="K226" i="4" s="1"/>
  <c r="AN583" i="6" a="1"/>
  <c r="AN583" i="6" s="1"/>
  <c r="J83" i="4" a="1"/>
  <c r="J83" i="4" s="1"/>
  <c r="K83" i="4" a="1"/>
  <c r="K83" i="4" s="1"/>
  <c r="AP664" i="6"/>
  <c r="AT664" i="6" s="1"/>
  <c r="AN664" i="6" a="1"/>
  <c r="AN664" i="6" s="1"/>
  <c r="AP911" i="6"/>
  <c r="AT911" i="6" s="1"/>
  <c r="AN911" i="6" a="1"/>
  <c r="AN911" i="6" s="1"/>
  <c r="BM383" i="6"/>
  <c r="BF383" i="6"/>
  <c r="BM848" i="6"/>
  <c r="BF848" i="6"/>
  <c r="BF765" i="6"/>
  <c r="BM765" i="6"/>
  <c r="BF634" i="6"/>
  <c r="BM634" i="6"/>
  <c r="BF175" i="6"/>
  <c r="BG175" i="6" s="1"/>
  <c r="BM175" i="6"/>
  <c r="BN175" i="6" s="1"/>
  <c r="BF635" i="6"/>
  <c r="BG635" i="6" s="1"/>
  <c r="BI635" i="6" s="1"/>
  <c r="BM635" i="6"/>
  <c r="BN635" i="6" s="1"/>
  <c r="BP635" i="6" s="1"/>
  <c r="BF502" i="6"/>
  <c r="BM502" i="6"/>
  <c r="AN892" i="6" a="1"/>
  <c r="AN892" i="6" s="1"/>
  <c r="AP892" i="6"/>
  <c r="AT892" i="6" s="1"/>
  <c r="AP397" i="6"/>
  <c r="AT397" i="6" s="1"/>
  <c r="AN397" i="6" a="1"/>
  <c r="AN397" i="6" s="1"/>
  <c r="BM33" i="6"/>
  <c r="BF33" i="6"/>
  <c r="BF221" i="6"/>
  <c r="BM221" i="6"/>
  <c r="BF400" i="6"/>
  <c r="BM400" i="6"/>
  <c r="BZ248" i="6"/>
  <c r="BT248" i="6"/>
  <c r="AP926" i="6"/>
  <c r="AT926" i="6" s="1"/>
  <c r="AN926" i="6" a="1"/>
  <c r="AN926" i="6" s="1"/>
  <c r="AN519" i="6" a="1"/>
  <c r="AN519" i="6" s="1"/>
  <c r="AP519" i="6"/>
  <c r="BM740" i="6"/>
  <c r="BN740" i="6" s="1"/>
  <c r="BP740" i="6" s="1"/>
  <c r="BF740" i="6"/>
  <c r="J100" i="4" a="1"/>
  <c r="J100" i="4" s="1"/>
  <c r="K100" i="4" a="1"/>
  <c r="K100" i="4" s="1"/>
  <c r="BZ314" i="6"/>
  <c r="BT314" i="6"/>
  <c r="BZ994" i="6"/>
  <c r="BT994" i="6"/>
  <c r="BU994" i="6" s="1"/>
  <c r="AP131" i="6"/>
  <c r="AT131" i="6" s="1"/>
  <c r="AN131" i="6" a="1"/>
  <c r="AN131" i="6" s="1"/>
  <c r="J184" i="4" a="1"/>
  <c r="J184" i="4" s="1"/>
  <c r="K213" i="4" a="1"/>
  <c r="K213" i="4" s="1"/>
  <c r="J75" i="4" a="1"/>
  <c r="J75" i="4" s="1"/>
  <c r="K75" i="4" a="1"/>
  <c r="K75" i="4" s="1"/>
  <c r="J237" i="4" a="1"/>
  <c r="J237" i="4" s="1"/>
  <c r="K237" i="4" a="1"/>
  <c r="K237" i="4" s="1"/>
  <c r="BF781" i="6"/>
  <c r="BG781" i="6" s="1"/>
  <c r="J41" i="4" a="1"/>
  <c r="J41" i="4" s="1"/>
  <c r="BF731" i="6"/>
  <c r="BG731" i="6" s="1"/>
  <c r="BH731" i="6" s="1"/>
  <c r="BF888" i="6"/>
  <c r="J244" i="4" a="1"/>
  <c r="J244" i="4" s="1"/>
  <c r="K244" i="4" a="1"/>
  <c r="K244" i="4" s="1"/>
  <c r="K80" i="4" a="1"/>
  <c r="K80" i="4" s="1"/>
  <c r="BT273" i="6"/>
  <c r="BZ273" i="6"/>
  <c r="BM889" i="6"/>
  <c r="BF889" i="6"/>
  <c r="BT305" i="6"/>
  <c r="BM549" i="6"/>
  <c r="BM562" i="6"/>
  <c r="BN562" i="6" s="1"/>
  <c r="BP562" i="6" s="1"/>
  <c r="BT302" i="6"/>
  <c r="J77" i="4" a="1"/>
  <c r="J77" i="4" s="1"/>
  <c r="K77" i="4" a="1"/>
  <c r="K77" i="4" s="1"/>
  <c r="K102" i="4" a="1"/>
  <c r="K102" i="4" s="1"/>
  <c r="AP680" i="6"/>
  <c r="AN26" i="6" a="1"/>
  <c r="AN26" i="6" s="1"/>
  <c r="AP900" i="6"/>
  <c r="AT900" i="6" s="1"/>
  <c r="AN459" i="6" a="1"/>
  <c r="AN459" i="6" s="1"/>
  <c r="AP459" i="6"/>
  <c r="AT459" i="6" s="1"/>
  <c r="BF771" i="6"/>
  <c r="BM161" i="6"/>
  <c r="BN161" i="6" s="1"/>
  <c r="BT402" i="6"/>
  <c r="BZ402" i="6"/>
  <c r="BM559" i="6"/>
  <c r="BN559" i="6" s="1"/>
  <c r="BF128" i="6"/>
  <c r="BG128" i="6" s="1"/>
  <c r="BI128" i="6" s="1"/>
  <c r="BM128" i="6"/>
  <c r="BN128" i="6" s="1"/>
  <c r="BP128" i="6" s="1"/>
  <c r="AN310" i="6" a="1"/>
  <c r="AN310" i="6" s="1"/>
  <c r="AP310" i="6"/>
  <c r="BM734" i="6"/>
  <c r="BF543" i="6"/>
  <c r="BM543" i="6"/>
  <c r="BF253" i="6"/>
  <c r="BM253" i="6"/>
  <c r="AN181" i="6" a="1"/>
  <c r="AN181" i="6" s="1"/>
  <c r="BM53" i="6"/>
  <c r="BZ327" i="6"/>
  <c r="BT327" i="6"/>
  <c r="J162" i="4" a="1"/>
  <c r="J162" i="4" s="1"/>
  <c r="K162" i="4" a="1"/>
  <c r="K162" i="4" s="1"/>
  <c r="BT1003" i="6"/>
  <c r="BZ1003" i="6"/>
  <c r="BF785" i="6"/>
  <c r="BM785" i="6"/>
  <c r="J63" i="4" a="1"/>
  <c r="J63" i="4" s="1"/>
  <c r="K63" i="4" a="1"/>
  <c r="K63" i="4" s="1"/>
  <c r="AP783" i="6"/>
  <c r="AT783" i="6" s="1"/>
  <c r="AN783" i="6" a="1"/>
  <c r="AN783" i="6" s="1"/>
  <c r="J66" i="4" a="1"/>
  <c r="J66" i="4" s="1"/>
  <c r="K66" i="4" a="1"/>
  <c r="K66" i="4" s="1"/>
  <c r="AN448" i="6" a="1"/>
  <c r="AN448" i="6" s="1"/>
  <c r="AP448" i="6"/>
  <c r="BF804" i="6"/>
  <c r="BM804" i="6"/>
  <c r="AN737" i="6" a="1"/>
  <c r="AN737" i="6" s="1"/>
  <c r="AP737" i="6"/>
  <c r="BN737" i="6" s="1"/>
  <c r="BM718" i="6"/>
  <c r="BN718" i="6" s="1"/>
  <c r="BO718" i="6" s="1"/>
  <c r="BF718" i="6"/>
  <c r="BG718" i="6" s="1"/>
  <c r="BH718" i="6" s="1"/>
  <c r="BF967" i="6"/>
  <c r="BM967" i="6"/>
  <c r="BT197" i="6"/>
  <c r="BZ197" i="6"/>
  <c r="AP609" i="6"/>
  <c r="AN609" i="6" a="1"/>
  <c r="AN609" i="6" s="1"/>
  <c r="AP554" i="6"/>
  <c r="AT554" i="6" s="1"/>
  <c r="AN554" i="6" a="1"/>
  <c r="AN554" i="6" s="1"/>
  <c r="BZ49" i="6"/>
  <c r="BT49" i="6"/>
  <c r="AP231" i="6"/>
  <c r="AT231" i="6" s="1"/>
  <c r="AN231" i="6" a="1"/>
  <c r="AN231" i="6" s="1"/>
  <c r="AP897" i="6"/>
  <c r="AN897" i="6" a="1"/>
  <c r="AN897" i="6" s="1"/>
  <c r="J160" i="4" a="1"/>
  <c r="J160" i="4" s="1"/>
  <c r="K160" i="4" a="1"/>
  <c r="K160" i="4" s="1"/>
  <c r="BZ151" i="6"/>
  <c r="BT151" i="6"/>
  <c r="J180" i="4" a="1"/>
  <c r="J180" i="4" s="1"/>
  <c r="K180" i="4" a="1"/>
  <c r="K180" i="4" s="1"/>
  <c r="AP908" i="6"/>
  <c r="AT908" i="6" s="1"/>
  <c r="AN908" i="6" a="1"/>
  <c r="AN908" i="6" s="1"/>
  <c r="J15" i="4" a="1"/>
  <c r="J15" i="4" s="1"/>
  <c r="K15" i="4" a="1"/>
  <c r="K15" i="4" s="1"/>
  <c r="BF434" i="6"/>
  <c r="BM434" i="6"/>
  <c r="BN434" i="6" s="1"/>
  <c r="BO434" i="6" s="1"/>
  <c r="AN902" i="6" a="1"/>
  <c r="AN902" i="6" s="1"/>
  <c r="AP902" i="6"/>
  <c r="AP663" i="6"/>
  <c r="AT663" i="6" s="1"/>
  <c r="K116" i="4" a="1"/>
  <c r="K116" i="4" s="1"/>
  <c r="J37" i="4" a="1"/>
  <c r="J37" i="4" s="1"/>
  <c r="K37" i="4" a="1"/>
  <c r="K37" i="4" s="1"/>
  <c r="J148" i="4" a="1"/>
  <c r="J148" i="4" s="1"/>
  <c r="K148" i="4" a="1"/>
  <c r="K148" i="4" s="1"/>
  <c r="J38" i="4" a="1"/>
  <c r="J38" i="4" s="1"/>
  <c r="K38" i="4" a="1"/>
  <c r="K38" i="4" s="1"/>
  <c r="BT822" i="6"/>
  <c r="BZ858" i="6"/>
  <c r="BT774" i="6"/>
  <c r="BF560" i="6"/>
  <c r="BZ951" i="6"/>
  <c r="BM404" i="6"/>
  <c r="AP757" i="6"/>
  <c r="BN757" i="6" s="1"/>
  <c r="BO757" i="6" s="1"/>
  <c r="BZ1015" i="6"/>
  <c r="CA1015" i="6" s="1"/>
  <c r="CB1015" i="6" s="1"/>
  <c r="BM970" i="6"/>
  <c r="BZ198" i="6"/>
  <c r="BT198" i="6"/>
  <c r="BF666" i="6"/>
  <c r="BG666" i="6" s="1"/>
  <c r="BH666" i="6" s="1"/>
  <c r="BF867" i="6"/>
  <c r="BM398" i="6"/>
  <c r="BN398" i="6" s="1"/>
  <c r="BO398" i="6" s="1"/>
  <c r="BF398" i="6"/>
  <c r="AN977" i="6" a="1"/>
  <c r="AN977" i="6" s="1"/>
  <c r="AP977" i="6"/>
  <c r="BG977" i="6" s="1"/>
  <c r="J110" i="4" a="1"/>
  <c r="J110" i="4" s="1"/>
  <c r="K110" i="4" a="1"/>
  <c r="K110" i="4" s="1"/>
  <c r="AP163" i="6"/>
  <c r="AT163" i="6" s="1"/>
  <c r="AN316" i="6" a="1"/>
  <c r="AN316" i="6" s="1"/>
  <c r="AP316" i="6"/>
  <c r="AT316" i="6" s="1"/>
  <c r="BM565" i="6"/>
  <c r="BN565" i="6" s="1"/>
  <c r="BF565" i="6"/>
  <c r="BG565" i="6" s="1"/>
  <c r="BH565" i="6" s="1"/>
  <c r="AP493" i="6"/>
  <c r="AT493" i="6" s="1"/>
  <c r="AN493" i="6" a="1"/>
  <c r="AN493" i="6" s="1"/>
  <c r="AP634" i="6"/>
  <c r="AT634" i="6" s="1"/>
  <c r="AN634" i="6" a="1"/>
  <c r="AN634" i="6" s="1"/>
  <c r="BZ391" i="6"/>
  <c r="BT391" i="6"/>
  <c r="AP21" i="6"/>
  <c r="AN21" i="6" a="1"/>
  <c r="AN21" i="6" s="1"/>
  <c r="AP766" i="6"/>
  <c r="BF1024" i="6"/>
  <c r="BM79" i="6"/>
  <c r="BN79" i="6" s="1"/>
  <c r="BF79" i="6"/>
  <c r="BG79" i="6" s="1"/>
  <c r="BH79" i="6" s="1"/>
  <c r="BF616" i="6"/>
  <c r="BM616" i="6"/>
  <c r="BM898" i="6"/>
  <c r="BF898" i="6"/>
  <c r="AP786" i="6"/>
  <c r="AT786" i="6" s="1"/>
  <c r="AN786" i="6" a="1"/>
  <c r="AN786" i="6" s="1"/>
  <c r="BT447" i="6"/>
  <c r="BZ447" i="6"/>
  <c r="J217" i="4" a="1"/>
  <c r="J217" i="4" s="1"/>
  <c r="K217" i="4" a="1"/>
  <c r="K217" i="4" s="1"/>
  <c r="BM392" i="6"/>
  <c r="BF392" i="6"/>
  <c r="BZ978" i="6"/>
  <c r="BT978" i="6"/>
  <c r="AN840" i="6" a="1"/>
  <c r="AN840" i="6" s="1"/>
  <c r="AP840" i="6"/>
  <c r="AT840" i="6" s="1"/>
  <c r="BT908" i="6"/>
  <c r="BZ908" i="6"/>
  <c r="BM1003" i="6"/>
  <c r="BF1003" i="6"/>
  <c r="BF965" i="6"/>
  <c r="BM965" i="6"/>
  <c r="BZ799" i="6"/>
  <c r="BT799" i="6"/>
  <c r="AP1016" i="6"/>
  <c r="AN1016" i="6" a="1"/>
  <c r="AN1016" i="6" s="1"/>
  <c r="AU1013" i="6"/>
  <c r="AX1013" i="6" s="1"/>
  <c r="BZ909" i="6"/>
  <c r="BT6" i="6"/>
  <c r="BZ902" i="6"/>
  <c r="BT464" i="6"/>
  <c r="BZ103" i="6"/>
  <c r="BT287" i="6"/>
  <c r="AN311" i="6" a="1"/>
  <c r="AN311" i="6" s="1"/>
  <c r="BT20" i="6"/>
  <c r="BZ20" i="6"/>
  <c r="BZ976" i="6"/>
  <c r="BT976" i="6"/>
  <c r="AN89" i="6" a="1"/>
  <c r="AN89" i="6" s="1"/>
  <c r="AP919" i="6"/>
  <c r="BG919" i="6" s="1"/>
  <c r="BI919" i="6" s="1"/>
  <c r="BZ186" i="6"/>
  <c r="BT71" i="6"/>
  <c r="BZ71" i="6"/>
  <c r="BF113" i="6"/>
  <c r="BM323" i="6"/>
  <c r="BZ993" i="6"/>
  <c r="BZ257" i="6"/>
  <c r="BH508" i="6"/>
  <c r="BI508" i="6"/>
  <c r="BZ743" i="6"/>
  <c r="BT743" i="6"/>
  <c r="AP1021" i="6"/>
  <c r="BG1021" i="6" s="1"/>
  <c r="BH1021" i="6" s="1"/>
  <c r="BT384" i="6"/>
  <c r="BZ366" i="6"/>
  <c r="BT366" i="6"/>
  <c r="BZ367" i="6"/>
  <c r="BT367" i="6"/>
  <c r="BT863" i="6"/>
  <c r="BZ158" i="6"/>
  <c r="AP805" i="6"/>
  <c r="BZ220" i="6"/>
  <c r="BT220" i="6"/>
  <c r="BZ364" i="6"/>
  <c r="BT230" i="6"/>
  <c r="BM553" i="6"/>
  <c r="BN553" i="6" s="1"/>
  <c r="BF553" i="6"/>
  <c r="BZ275" i="6"/>
  <c r="BT275" i="6"/>
  <c r="BF186" i="6"/>
  <c r="BG186" i="6" s="1"/>
  <c r="BH186" i="6" s="1"/>
  <c r="BM186" i="6"/>
  <c r="BN186" i="6" s="1"/>
  <c r="BM1007" i="6"/>
  <c r="BZ635" i="6"/>
  <c r="BT635" i="6"/>
  <c r="BT232" i="6"/>
  <c r="BZ232" i="6"/>
  <c r="BF119" i="6"/>
  <c r="BM119" i="6"/>
  <c r="BZ168" i="6"/>
  <c r="BT168" i="6"/>
  <c r="BT538" i="6"/>
  <c r="BM976" i="6"/>
  <c r="BF976" i="6"/>
  <c r="AP591" i="6"/>
  <c r="BG591" i="6" s="1"/>
  <c r="BH591" i="6" s="1"/>
  <c r="AN591" i="6" a="1"/>
  <c r="AN591" i="6" s="1"/>
  <c r="BZ646" i="6"/>
  <c r="BT646" i="6"/>
  <c r="BZ555" i="6"/>
  <c r="BT555" i="6"/>
  <c r="BM624" i="6"/>
  <c r="BN624" i="6" s="1"/>
  <c r="BF624" i="6"/>
  <c r="BG624" i="6" s="1"/>
  <c r="BI624" i="6" s="1"/>
  <c r="BM166" i="6"/>
  <c r="BF166" i="6"/>
  <c r="BF882" i="6"/>
  <c r="BM882" i="6"/>
  <c r="BM439" i="6"/>
  <c r="BF439" i="6"/>
  <c r="BF330" i="6"/>
  <c r="BM330" i="6"/>
  <c r="BF1010" i="6"/>
  <c r="BM1010" i="6"/>
  <c r="BF993" i="6"/>
  <c r="BM993" i="6"/>
  <c r="BM406" i="6"/>
  <c r="BF406" i="6"/>
  <c r="BM480" i="6"/>
  <c r="BF480" i="6"/>
  <c r="BF244" i="6"/>
  <c r="BM244" i="6"/>
  <c r="BM585" i="6"/>
  <c r="BN585" i="6" s="1"/>
  <c r="BO585" i="6" s="1"/>
  <c r="BF585" i="6"/>
  <c r="BG585" i="6" s="1"/>
  <c r="BI585" i="6" s="1"/>
  <c r="AN177" i="6" a="1"/>
  <c r="AN177" i="6" s="1"/>
  <c r="AP177" i="6"/>
  <c r="BN177" i="6" s="1"/>
  <c r="BF237" i="6"/>
  <c r="BG237" i="6" s="1"/>
  <c r="BM237" i="6"/>
  <c r="BN237" i="6" s="1"/>
  <c r="BO237" i="6" s="1"/>
  <c r="BF611" i="6"/>
  <c r="BM611" i="6"/>
  <c r="BM528" i="6"/>
  <c r="BF528" i="6"/>
  <c r="BM719" i="6"/>
  <c r="BF719" i="6"/>
  <c r="BF278" i="6"/>
  <c r="BM278" i="6"/>
  <c r="BF360" i="6"/>
  <c r="BM360" i="6"/>
  <c r="BM338" i="6"/>
  <c r="BF338" i="6"/>
  <c r="BM94" i="6"/>
  <c r="BN94" i="6" s="1"/>
  <c r="BO94" i="6" s="1"/>
  <c r="BF94" i="6"/>
  <c r="BG94" i="6" s="1"/>
  <c r="BH94" i="6" s="1"/>
  <c r="AN719" i="6" a="1"/>
  <c r="AN719" i="6" s="1"/>
  <c r="AP719" i="6"/>
  <c r="BF271" i="6"/>
  <c r="BM271" i="6"/>
  <c r="BM350" i="6"/>
  <c r="BN350" i="6" s="1"/>
  <c r="BF350" i="6"/>
  <c r="BM853" i="6"/>
  <c r="BN853" i="6" s="1"/>
  <c r="BO853" i="6" s="1"/>
  <c r="BF853" i="6"/>
  <c r="BG853" i="6" s="1"/>
  <c r="BI853" i="6" s="1"/>
  <c r="BM399" i="6"/>
  <c r="BN399" i="6" s="1"/>
  <c r="BF399" i="6"/>
  <c r="BG399" i="6" s="1"/>
  <c r="BH399" i="6" s="1"/>
  <c r="BF774" i="6"/>
  <c r="BM774" i="6"/>
  <c r="BT1006" i="6"/>
  <c r="BZ1006" i="6"/>
  <c r="BF97" i="6"/>
  <c r="BM97" i="6"/>
  <c r="BN97" i="6" s="1"/>
  <c r="BZ453" i="6"/>
  <c r="BT453" i="6"/>
  <c r="BM807" i="6"/>
  <c r="BF807" i="6"/>
  <c r="AN770" i="6" a="1"/>
  <c r="AN770" i="6" s="1"/>
  <c r="AP770" i="6"/>
  <c r="AT770" i="6" s="1"/>
  <c r="BM276" i="6"/>
  <c r="BF276" i="6"/>
  <c r="BM363" i="6"/>
  <c r="BN363" i="6" s="1"/>
  <c r="BP363" i="6" s="1"/>
  <c r="BF363" i="6"/>
  <c r="BG363" i="6" s="1"/>
  <c r="BM988" i="6"/>
  <c r="BF988" i="6"/>
  <c r="BF906" i="6"/>
  <c r="BG906" i="6" s="1"/>
  <c r="BM906" i="6"/>
  <c r="BN906" i="6" s="1"/>
  <c r="BP906" i="6" s="1"/>
  <c r="BM279" i="6"/>
  <c r="BF279" i="6"/>
  <c r="BF391" i="6"/>
  <c r="BM391" i="6"/>
  <c r="AN681" i="6" a="1"/>
  <c r="AN681" i="6" s="1"/>
  <c r="AP681" i="6"/>
  <c r="AT681" i="6" s="1"/>
  <c r="BT1018" i="6"/>
  <c r="BZ1018" i="6"/>
  <c r="BF171" i="6"/>
  <c r="BM171" i="6"/>
  <c r="BF355" i="6"/>
  <c r="BM355" i="6"/>
  <c r="BM669" i="6"/>
  <c r="BN669" i="6" s="1"/>
  <c r="BP669" i="6" s="1"/>
  <c r="BM356" i="6"/>
  <c r="BN356" i="6" s="1"/>
  <c r="BF356" i="6"/>
  <c r="BG356" i="6" s="1"/>
  <c r="BM435" i="6"/>
  <c r="BF435" i="6"/>
  <c r="BM449" i="6"/>
  <c r="BF449" i="6"/>
  <c r="BF725" i="6"/>
  <c r="BM725" i="6"/>
  <c r="BM847" i="6"/>
  <c r="BF847" i="6"/>
  <c r="BF397" i="6"/>
  <c r="BM397" i="6"/>
  <c r="BN397" i="6" s="1"/>
  <c r="BP397" i="6" s="1"/>
  <c r="BT526" i="6"/>
  <c r="BZ526" i="6"/>
  <c r="BF886" i="6"/>
  <c r="BM886" i="6"/>
  <c r="BF795" i="6"/>
  <c r="BM795" i="6"/>
  <c r="BN795" i="6" s="1"/>
  <c r="BP795" i="6" s="1"/>
  <c r="BF37" i="6"/>
  <c r="BG37" i="6" s="1"/>
  <c r="BH37" i="6" s="1"/>
  <c r="BM37" i="6"/>
  <c r="BN37" i="6" s="1"/>
  <c r="BM118" i="6"/>
  <c r="BF118" i="6"/>
  <c r="BN697" i="6"/>
  <c r="BO697" i="6" s="1"/>
  <c r="BT99" i="6"/>
  <c r="BH709" i="6"/>
  <c r="BT419" i="6"/>
  <c r="BZ919" i="6"/>
  <c r="BZ802" i="6"/>
  <c r="BZ528" i="6"/>
  <c r="BF249" i="6"/>
  <c r="BG249" i="6" s="1"/>
  <c r="BT853" i="6"/>
  <c r="BT5" i="6"/>
  <c r="BF421" i="6"/>
  <c r="BZ373" i="6"/>
  <c r="BT373" i="6"/>
  <c r="BZ862" i="6"/>
  <c r="BF1000" i="6"/>
  <c r="BM1000" i="6"/>
  <c r="BN1000" i="6" s="1"/>
  <c r="BP1000" i="6" s="1"/>
  <c r="BT666" i="6"/>
  <c r="BZ666" i="6"/>
  <c r="BM1014" i="6"/>
  <c r="BZ365" i="6"/>
  <c r="BZ311" i="6"/>
  <c r="BZ245" i="6"/>
  <c r="BZ437" i="6"/>
  <c r="BZ798" i="6"/>
  <c r="BF571" i="6"/>
  <c r="BG571" i="6" s="1"/>
  <c r="BH571" i="6" s="1"/>
  <c r="BF488" i="6"/>
  <c r="BG488" i="6" s="1"/>
  <c r="BH488" i="6" s="1"/>
  <c r="BT613" i="6"/>
  <c r="BZ935" i="6"/>
  <c r="AN394" i="6" a="1"/>
  <c r="AN394" i="6" s="1"/>
  <c r="BM532" i="6"/>
  <c r="BF353" i="6"/>
  <c r="BT559" i="6"/>
  <c r="BT876" i="6"/>
  <c r="BT47" i="6"/>
  <c r="BZ47" i="6"/>
  <c r="AN357" i="6" a="1"/>
  <c r="AN357" i="6" s="1"/>
  <c r="BZ92" i="6"/>
  <c r="BM1018" i="6"/>
  <c r="BZ338" i="6"/>
  <c r="BZ467" i="6"/>
  <c r="BM455" i="6"/>
  <c r="BN455" i="6" s="1"/>
  <c r="BZ959" i="6"/>
  <c r="AN723" i="6" a="1"/>
  <c r="AN723" i="6" s="1"/>
  <c r="BI545" i="6"/>
  <c r="BH545" i="6"/>
  <c r="BF219" i="6"/>
  <c r="BG219" i="6" s="1"/>
  <c r="BZ854" i="6"/>
  <c r="BM673" i="6"/>
  <c r="BI70" i="6"/>
  <c r="BH70" i="6"/>
  <c r="BF674" i="6"/>
  <c r="BF65" i="6"/>
  <c r="BT422" i="6"/>
  <c r="BZ422" i="6"/>
  <c r="BZ171" i="6"/>
  <c r="BZ843" i="6"/>
  <c r="BT843" i="6"/>
  <c r="AN40" i="6" a="1"/>
  <c r="AN40" i="6" s="1"/>
  <c r="BZ753" i="6"/>
  <c r="BM349" i="6"/>
  <c r="BF349" i="6"/>
  <c r="BG349" i="6" s="1"/>
  <c r="BH349" i="6" s="1"/>
  <c r="AP856" i="6"/>
  <c r="AT856" i="6" s="1"/>
  <c r="BT837" i="6"/>
  <c r="BZ837" i="6"/>
  <c r="BT397" i="6"/>
  <c r="BZ397" i="6"/>
  <c r="AN597" i="6" a="1"/>
  <c r="AN597" i="6" s="1"/>
  <c r="AP785" i="6"/>
  <c r="AT785" i="6" s="1"/>
  <c r="BZ524" i="6"/>
  <c r="BF48" i="6"/>
  <c r="BM418" i="6"/>
  <c r="BF925" i="6"/>
  <c r="BG925" i="6" s="1"/>
  <c r="BM925" i="6"/>
  <c r="BN925" i="6" s="1"/>
  <c r="AP239" i="6"/>
  <c r="AT239" i="6" s="1"/>
  <c r="AN401" i="6" a="1"/>
  <c r="AN401" i="6" s="1"/>
  <c r="BF54" i="6"/>
  <c r="AN752" i="6" a="1"/>
  <c r="AN752" i="6" s="1"/>
  <c r="BM87" i="6"/>
  <c r="AP965" i="6"/>
  <c r="AT965" i="6" s="1"/>
  <c r="AN869" i="6" a="1"/>
  <c r="AN869" i="6" s="1"/>
  <c r="AP869" i="6"/>
  <c r="BT674" i="6"/>
  <c r="BZ674" i="6"/>
  <c r="BT524" i="6"/>
  <c r="BZ1024" i="6"/>
  <c r="BT1024" i="6"/>
  <c r="BM114" i="6"/>
  <c r="BF114" i="6"/>
  <c r="AP742" i="6"/>
  <c r="AT742" i="6" s="1"/>
  <c r="AN742" i="6" a="1"/>
  <c r="AN742" i="6" s="1"/>
  <c r="BF432" i="6"/>
  <c r="BM151" i="6"/>
  <c r="BF151" i="6"/>
  <c r="BF778" i="6"/>
  <c r="AN552" i="6" a="1"/>
  <c r="AN552" i="6" s="1"/>
  <c r="BF914" i="6"/>
  <c r="BM914" i="6"/>
  <c r="BZ656" i="6"/>
  <c r="BT656" i="6"/>
  <c r="BO143" i="6"/>
  <c r="BP143" i="6"/>
  <c r="BF668" i="6"/>
  <c r="BM668" i="6"/>
  <c r="BM38" i="6"/>
  <c r="BF38" i="6"/>
  <c r="BM29" i="6"/>
  <c r="BN29" i="6" s="1"/>
  <c r="BO29" i="6" s="1"/>
  <c r="BF29" i="6"/>
  <c r="BG29" i="6" s="1"/>
  <c r="BI29" i="6" s="1"/>
  <c r="AN666" i="6" a="1"/>
  <c r="AN666" i="6" s="1"/>
  <c r="AN707" i="6" a="1"/>
  <c r="AN707" i="6" s="1"/>
  <c r="AP707" i="6"/>
  <c r="AT707" i="6" s="1"/>
  <c r="BF201" i="6"/>
  <c r="BM201" i="6"/>
  <c r="BZ217" i="6"/>
  <c r="BM707" i="6"/>
  <c r="BF707" i="6"/>
  <c r="AP895" i="6"/>
  <c r="AT895" i="6" s="1"/>
  <c r="AN895" i="6" a="1"/>
  <c r="AN895" i="6" s="1"/>
  <c r="BF531" i="6"/>
  <c r="BG531" i="6" s="1"/>
  <c r="BH531" i="6" s="1"/>
  <c r="BM531" i="6"/>
  <c r="BN531" i="6" s="1"/>
  <c r="BF74" i="6"/>
  <c r="BM74" i="6"/>
  <c r="BF899" i="6"/>
  <c r="BM899" i="6"/>
  <c r="BM102" i="6"/>
  <c r="BF102" i="6"/>
  <c r="BM511" i="6"/>
  <c r="BF511" i="6"/>
  <c r="AP155" i="6"/>
  <c r="BG155" i="6" s="1"/>
  <c r="BH155" i="6" s="1"/>
  <c r="AN155" i="6" a="1"/>
  <c r="AN155" i="6" s="1"/>
  <c r="BF14" i="6"/>
  <c r="BM14" i="6"/>
  <c r="BM628" i="6"/>
  <c r="BF628" i="6"/>
  <c r="AP171" i="6"/>
  <c r="AN171" i="6" a="1"/>
  <c r="AN171" i="6" s="1"/>
  <c r="BM4" i="6"/>
  <c r="BN4" i="6" s="1"/>
  <c r="BO4" i="6" s="1"/>
  <c r="BF4" i="6"/>
  <c r="BG4" i="6" s="1"/>
  <c r="BI4" i="6" s="1"/>
  <c r="BF105" i="6"/>
  <c r="BG105" i="6" s="1"/>
  <c r="BH105" i="6" s="1"/>
  <c r="BM105" i="6"/>
  <c r="BN105" i="6" s="1"/>
  <c r="BP105" i="6" s="1"/>
  <c r="BF185" i="6"/>
  <c r="BM185" i="6"/>
  <c r="BM683" i="6"/>
  <c r="BF683" i="6"/>
  <c r="BF1016" i="6"/>
  <c r="BG1016" i="6" s="1"/>
  <c r="BH1016" i="6" s="1"/>
  <c r="BM1016" i="6"/>
  <c r="BF272" i="6"/>
  <c r="BM272" i="6"/>
  <c r="BN272" i="6" s="1"/>
  <c r="BP272" i="6" s="1"/>
  <c r="BM260" i="6"/>
  <c r="BN260" i="6" s="1"/>
  <c r="BP260" i="6" s="1"/>
  <c r="BF260" i="6"/>
  <c r="BG260" i="6" s="1"/>
  <c r="BI260" i="6" s="1"/>
  <c r="BM497" i="6"/>
  <c r="BF497" i="6"/>
  <c r="BM552" i="6"/>
  <c r="BN552" i="6" s="1"/>
  <c r="BP552" i="6" s="1"/>
  <c r="BF552" i="6"/>
  <c r="BG552" i="6" s="1"/>
  <c r="BI748" i="6"/>
  <c r="BH748" i="6"/>
  <c r="BM312" i="6"/>
  <c r="BM466" i="6"/>
  <c r="BF466" i="6"/>
  <c r="BF157" i="6"/>
  <c r="BM157" i="6"/>
  <c r="BN157" i="6" s="1"/>
  <c r="BO157" i="6" s="1"/>
  <c r="BM60" i="6"/>
  <c r="BN60" i="6" s="1"/>
  <c r="BF60" i="6"/>
  <c r="BG60" i="6" s="1"/>
  <c r="BH60" i="6" s="1"/>
  <c r="BZ24" i="6"/>
  <c r="BT24" i="6"/>
  <c r="BM661" i="6"/>
  <c r="BF661" i="6"/>
  <c r="AN804" i="6" a="1"/>
  <c r="AN804" i="6" s="1"/>
  <c r="AP804" i="6"/>
  <c r="BM905" i="6"/>
  <c r="BF905" i="6"/>
  <c r="BG905" i="6" s="1"/>
  <c r="BI905" i="6" s="1"/>
  <c r="BF1022" i="6"/>
  <c r="BG1022" i="6" s="1"/>
  <c r="BH1022" i="6" s="1"/>
  <c r="BM1022" i="6"/>
  <c r="BN1022" i="6" s="1"/>
  <c r="BP1022" i="6" s="1"/>
  <c r="BM163" i="6"/>
  <c r="BF163" i="6"/>
  <c r="BF45" i="6"/>
  <c r="BM45" i="6"/>
  <c r="BM92" i="6"/>
  <c r="BF92" i="6"/>
  <c r="BM694" i="6"/>
  <c r="BN694" i="6" s="1"/>
  <c r="BO694" i="6" s="1"/>
  <c r="BF694" i="6"/>
  <c r="BG694" i="6" s="1"/>
  <c r="BH694" i="6" s="1"/>
  <c r="BM77" i="6"/>
  <c r="BF77" i="6"/>
  <c r="BZ238" i="6"/>
  <c r="BT238" i="6"/>
  <c r="BI619" i="6"/>
  <c r="BH619" i="6"/>
  <c r="BM863" i="6"/>
  <c r="BF863" i="6"/>
  <c r="BF368" i="6"/>
  <c r="BG368" i="6" s="1"/>
  <c r="BM368" i="6"/>
  <c r="BT825" i="6"/>
  <c r="BZ828" i="6"/>
  <c r="BZ413" i="6"/>
  <c r="BZ857" i="6"/>
  <c r="BZ660" i="6"/>
  <c r="BT897" i="6"/>
  <c r="BZ897" i="6"/>
  <c r="BZ573" i="6"/>
  <c r="BZ39" i="6"/>
  <c r="BT39" i="6"/>
  <c r="BT922" i="6"/>
  <c r="BT306" i="6"/>
  <c r="BZ283" i="6"/>
  <c r="BZ861" i="6"/>
  <c r="BT812" i="6"/>
  <c r="BZ896" i="6"/>
  <c r="BZ649" i="6"/>
  <c r="BT649" i="6"/>
  <c r="BT676" i="6"/>
  <c r="BZ379" i="6"/>
  <c r="BT810" i="6"/>
  <c r="BZ810" i="6"/>
  <c r="BO219" i="6"/>
  <c r="BP219" i="6"/>
  <c r="BZ83" i="6"/>
  <c r="BT83" i="6"/>
  <c r="BZ430" i="6"/>
  <c r="BZ170" i="6"/>
  <c r="BT913" i="6"/>
  <c r="BZ292" i="6"/>
  <c r="BT738" i="6"/>
  <c r="BZ567" i="6"/>
  <c r="AN794" i="6" a="1"/>
  <c r="AN794" i="6" s="1"/>
  <c r="AP794" i="6"/>
  <c r="BT567" i="6"/>
  <c r="BT698" i="6"/>
  <c r="BZ698" i="6"/>
  <c r="AP969" i="6"/>
  <c r="AN969" i="6" a="1"/>
  <c r="AN969" i="6" s="1"/>
  <c r="BZ74" i="6"/>
  <c r="BT74" i="6"/>
  <c r="AN667" i="6" a="1"/>
  <c r="AN667" i="6" s="1"/>
  <c r="AP667" i="6"/>
  <c r="BT753" i="6"/>
  <c r="AP338" i="6"/>
  <c r="AN338" i="6" a="1"/>
  <c r="AN338" i="6" s="1"/>
  <c r="BT202" i="6"/>
  <c r="BM1002" i="6"/>
  <c r="BF1002" i="6"/>
  <c r="BM347" i="6"/>
  <c r="BN347" i="6" s="1"/>
  <c r="BF347" i="6"/>
  <c r="BG347" i="6" s="1"/>
  <c r="BH347" i="6" s="1"/>
  <c r="AP354" i="6"/>
  <c r="AT354" i="6" s="1"/>
  <c r="AN354" i="6" a="1"/>
  <c r="AN354" i="6" s="1"/>
  <c r="BM686" i="6"/>
  <c r="BF686" i="6"/>
  <c r="BM681" i="6"/>
  <c r="BF681" i="6"/>
  <c r="BG681" i="6" s="1"/>
  <c r="AP586" i="6"/>
  <c r="AT586" i="6" s="1"/>
  <c r="AN586" i="6" a="1"/>
  <c r="AN586" i="6" s="1"/>
  <c r="BM711" i="6"/>
  <c r="BF711" i="6"/>
  <c r="AP608" i="6"/>
  <c r="AT608" i="6" s="1"/>
  <c r="AN608" i="6" a="1"/>
  <c r="AN608" i="6" s="1"/>
  <c r="AN441" i="6" a="1"/>
  <c r="AN441" i="6" s="1"/>
  <c r="AP441" i="6"/>
  <c r="AT441" i="6" s="1"/>
  <c r="BT768" i="6"/>
  <c r="BZ768" i="6"/>
  <c r="BT903" i="6"/>
  <c r="BZ903" i="6"/>
  <c r="BT849" i="6"/>
  <c r="BZ849" i="6"/>
  <c r="BF521" i="6"/>
  <c r="BG521" i="6" s="1"/>
  <c r="BM521" i="6"/>
  <c r="BN521" i="6" s="1"/>
  <c r="BO521" i="6" s="1"/>
  <c r="BZ678" i="6"/>
  <c r="BT678" i="6"/>
  <c r="BM43" i="6"/>
  <c r="BF43" i="6"/>
  <c r="BM810" i="6"/>
  <c r="BN810" i="6" s="1"/>
  <c r="BF810" i="6"/>
  <c r="BG810" i="6" s="1"/>
  <c r="BH810" i="6" s="1"/>
  <c r="BM227" i="6"/>
  <c r="BF640" i="6"/>
  <c r="BM640" i="6"/>
  <c r="AP946" i="6"/>
  <c r="AN946" i="6" a="1"/>
  <c r="AN946" i="6" s="1"/>
  <c r="AP457" i="6"/>
  <c r="AT457" i="6" s="1"/>
  <c r="AN829" i="6" a="1"/>
  <c r="AN829" i="6" s="1"/>
  <c r="AP829" i="6"/>
  <c r="AT829" i="6" s="1"/>
  <c r="AP55" i="6"/>
  <c r="AT55" i="6" s="1"/>
  <c r="AN55" i="6" a="1"/>
  <c r="AN55" i="6" s="1"/>
  <c r="AP782" i="6"/>
  <c r="AT782" i="6" s="1"/>
  <c r="AN782" i="6" a="1"/>
  <c r="AN782" i="6" s="1"/>
  <c r="BM641" i="6"/>
  <c r="BF641" i="6"/>
  <c r="BG641" i="6" s="1"/>
  <c r="BI641" i="6" s="1"/>
  <c r="BM512" i="6"/>
  <c r="BF512" i="6"/>
  <c r="AP346" i="6"/>
  <c r="AT346" i="6" s="1"/>
  <c r="AN346" i="6" a="1"/>
  <c r="AN346" i="6" s="1"/>
  <c r="AP3" i="6"/>
  <c r="AS3" i="6" s="1"/>
  <c r="AN3" i="6" a="1"/>
  <c r="AN3" i="6" s="1"/>
  <c r="BF262" i="6"/>
  <c r="BM262" i="6"/>
  <c r="BF576" i="6"/>
  <c r="BM576" i="6"/>
  <c r="BM1008" i="6"/>
  <c r="BN1008" i="6" s="1"/>
  <c r="BO1008" i="6" s="1"/>
  <c r="BF1008" i="6"/>
  <c r="BG1008" i="6" s="1"/>
  <c r="BH1008" i="6" s="1"/>
  <c r="BF935" i="6"/>
  <c r="BG935" i="6" s="1"/>
  <c r="BM935" i="6"/>
  <c r="BN935" i="6" s="1"/>
  <c r="BP935" i="6" s="1"/>
  <c r="AP366" i="6"/>
  <c r="BG366" i="6" s="1"/>
  <c r="BH366" i="6" s="1"/>
  <c r="AN366" i="6" a="1"/>
  <c r="AN366" i="6" s="1"/>
  <c r="BM319" i="6"/>
  <c r="BF319" i="6"/>
  <c r="BM190" i="6"/>
  <c r="BF190" i="6"/>
  <c r="BZ745" i="6"/>
  <c r="BT745" i="6"/>
  <c r="BF582" i="6"/>
  <c r="BG582" i="6" s="1"/>
  <c r="BI582" i="6" s="1"/>
  <c r="BM582" i="6"/>
  <c r="BN582" i="6" s="1"/>
  <c r="BF412" i="6"/>
  <c r="BM412" i="6"/>
  <c r="BM46" i="6"/>
  <c r="BF46" i="6"/>
  <c r="BM204" i="6"/>
  <c r="BF204" i="6"/>
  <c r="AP1010" i="6"/>
  <c r="AN1010" i="6" a="1"/>
  <c r="AN1010" i="6" s="1"/>
  <c r="BT321" i="6"/>
  <c r="BZ321" i="6"/>
  <c r="BF500" i="6"/>
  <c r="BG500" i="6" s="1"/>
  <c r="BH500" i="6" s="1"/>
  <c r="BM500" i="6"/>
  <c r="BN500" i="6" s="1"/>
  <c r="BZ998" i="6"/>
  <c r="BT998" i="6"/>
  <c r="BM739" i="6"/>
  <c r="BF739" i="6"/>
  <c r="BM837" i="6"/>
  <c r="BN837" i="6" s="1"/>
  <c r="BP837" i="6" s="1"/>
  <c r="BF837" i="6"/>
  <c r="BG837" i="6" s="1"/>
  <c r="BF890" i="6"/>
  <c r="BM890" i="6"/>
  <c r="BT382" i="6"/>
  <c r="BZ382" i="6"/>
  <c r="BM446" i="6"/>
  <c r="BN446" i="6" s="1"/>
  <c r="BP446" i="6" s="1"/>
  <c r="BF446" i="6"/>
  <c r="BG446" i="6" s="1"/>
  <c r="BH446" i="6" s="1"/>
  <c r="AN256" i="6" a="1"/>
  <c r="AN256" i="6" s="1"/>
  <c r="AP256" i="6"/>
  <c r="AT256" i="6" s="1"/>
  <c r="BM593" i="6"/>
  <c r="BF593" i="6"/>
  <c r="AN991" i="6" a="1"/>
  <c r="AN991" i="6" s="1"/>
  <c r="AP991" i="6"/>
  <c r="BN991" i="6" s="1"/>
  <c r="BF663" i="6"/>
  <c r="BM663" i="6"/>
  <c r="BZ706" i="6"/>
  <c r="BT706" i="6"/>
  <c r="BF448" i="6"/>
  <c r="BM448" i="6"/>
  <c r="BM139" i="6"/>
  <c r="BF139" i="6"/>
  <c r="BM71" i="6"/>
  <c r="BF71" i="6"/>
  <c r="BM583" i="6"/>
  <c r="BF583" i="6"/>
  <c r="BG583" i="6" s="1"/>
  <c r="BI583" i="6" s="1"/>
  <c r="BF42" i="6"/>
  <c r="BM42" i="6"/>
  <c r="BF68" i="6"/>
  <c r="BM68" i="6"/>
  <c r="BT386" i="6"/>
  <c r="BZ386" i="6"/>
  <c r="BT882" i="6"/>
  <c r="BZ882" i="6"/>
  <c r="BZ576" i="6"/>
  <c r="BT576" i="6"/>
  <c r="BF884" i="6"/>
  <c r="BM884" i="6"/>
  <c r="BZ535" i="6"/>
  <c r="BT535" i="6"/>
  <c r="AN847" i="6" a="1"/>
  <c r="AN847" i="6" s="1"/>
  <c r="AP847" i="6"/>
  <c r="BN847" i="6" s="1"/>
  <c r="BO847" i="6" s="1"/>
  <c r="BF13" i="6"/>
  <c r="BM13" i="6"/>
  <c r="BF178" i="6"/>
  <c r="BM178" i="6"/>
  <c r="BF242" i="6"/>
  <c r="BM242" i="6"/>
  <c r="BF83" i="6"/>
  <c r="BM83" i="6"/>
  <c r="BT45" i="6"/>
  <c r="BZ45" i="6"/>
  <c r="AN722" i="6" a="1"/>
  <c r="AN722" i="6" s="1"/>
  <c r="AP722" i="6"/>
  <c r="BF491" i="6"/>
  <c r="BG491" i="6" s="1"/>
  <c r="BI491" i="6" s="1"/>
  <c r="BM491" i="6"/>
  <c r="BN491" i="6" s="1"/>
  <c r="BT952" i="6"/>
  <c r="BZ952" i="6"/>
  <c r="BF47" i="6"/>
  <c r="BF615" i="6"/>
  <c r="BM615" i="6"/>
  <c r="BT444" i="6"/>
  <c r="BZ444" i="6"/>
  <c r="BZ562" i="6"/>
  <c r="BI31" i="6"/>
  <c r="BH31" i="6"/>
  <c r="BZ450" i="6"/>
  <c r="BZ910" i="6"/>
  <c r="BT542" i="6"/>
  <c r="BZ542" i="6"/>
  <c r="BZ755" i="6"/>
  <c r="BZ348" i="6"/>
  <c r="BT104" i="6"/>
  <c r="BM786" i="6"/>
  <c r="BN786" i="6" s="1"/>
  <c r="BZ630" i="6"/>
  <c r="BT326" i="6"/>
  <c r="BT256" i="6"/>
  <c r="BT901" i="6"/>
  <c r="BT115" i="6"/>
  <c r="BT842" i="6"/>
  <c r="BT932" i="6"/>
  <c r="BZ820" i="6"/>
  <c r="BZ205" i="6"/>
  <c r="BT499" i="6"/>
  <c r="BT814" i="6"/>
  <c r="BZ533" i="6"/>
  <c r="BT301" i="6"/>
  <c r="BZ469" i="6"/>
  <c r="BT347" i="6"/>
  <c r="BZ16" i="6"/>
  <c r="BT757" i="6"/>
  <c r="BZ187" i="6"/>
  <c r="BZ594" i="6"/>
  <c r="BT363" i="6"/>
  <c r="BT977" i="6"/>
  <c r="BZ179" i="6"/>
  <c r="BM760" i="6"/>
  <c r="BZ277" i="6"/>
  <c r="BZ394" i="6"/>
  <c r="BG78" i="6"/>
  <c r="BT659" i="6"/>
  <c r="BT378" i="6"/>
  <c r="AP528" i="6"/>
  <c r="AT528" i="6" s="1"/>
  <c r="BT436" i="6"/>
  <c r="BT93" i="6"/>
  <c r="BT704" i="6"/>
  <c r="BZ809" i="6"/>
  <c r="BZ975" i="6"/>
  <c r="BT264" i="6"/>
  <c r="BT537" i="6"/>
  <c r="BZ7" i="6"/>
  <c r="BT927" i="6"/>
  <c r="BZ234" i="6"/>
  <c r="BT298" i="6"/>
  <c r="BZ15" i="6"/>
  <c r="BT146" i="6"/>
  <c r="BT856" i="6"/>
  <c r="BM305" i="6"/>
  <c r="AN827" i="6" a="1"/>
  <c r="AN827" i="6" s="1"/>
  <c r="AP827" i="6"/>
  <c r="AT827" i="6" s="1"/>
  <c r="J82" i="4" a="1"/>
  <c r="J82" i="4" s="1"/>
  <c r="AV1006" i="6" s="1"/>
  <c r="AU1006" i="6"/>
  <c r="AX1006" i="6" s="1"/>
  <c r="BA1006" i="6" s="1"/>
  <c r="BB1006" i="6" s="1"/>
  <c r="BT399" i="6"/>
  <c r="BZ399" i="6"/>
  <c r="BP509" i="6"/>
  <c r="BO509" i="6"/>
  <c r="BT140" i="6"/>
  <c r="BZ140" i="6"/>
  <c r="BT432" i="6"/>
  <c r="BF28" i="6"/>
  <c r="BM28" i="6"/>
  <c r="BN28" i="6" s="1"/>
  <c r="BO28" i="6" s="1"/>
  <c r="BZ960" i="6"/>
  <c r="BZ152" i="6"/>
  <c r="BT152" i="6"/>
  <c r="BZ10" i="6"/>
  <c r="BT10" i="6"/>
  <c r="BF193" i="6"/>
  <c r="BM193" i="6"/>
  <c r="BT493" i="6"/>
  <c r="AN54" i="6" a="1"/>
  <c r="AN54" i="6" s="1"/>
  <c r="AP54" i="6"/>
  <c r="BZ77" i="6"/>
  <c r="BT77" i="6"/>
  <c r="BT728" i="6"/>
  <c r="BZ728" i="6"/>
  <c r="BZ893" i="6"/>
  <c r="BT893" i="6"/>
  <c r="BZ729" i="6"/>
  <c r="BT729" i="6"/>
  <c r="BT293" i="6"/>
  <c r="BZ293" i="6"/>
  <c r="BT737" i="6"/>
  <c r="BZ737" i="6"/>
  <c r="BF606" i="6"/>
  <c r="BG606" i="6" s="1"/>
  <c r="BH606" i="6" s="1"/>
  <c r="BM606" i="6"/>
  <c r="BN606" i="6" s="1"/>
  <c r="BP606" i="6" s="1"/>
  <c r="BO854" i="6"/>
  <c r="BT578" i="6"/>
  <c r="BZ578" i="6"/>
  <c r="AP920" i="6"/>
  <c r="AN920" i="6" a="1"/>
  <c r="AN920" i="6" s="1"/>
  <c r="AN124" i="6" a="1"/>
  <c r="AN124" i="6" s="1"/>
  <c r="AP124" i="6"/>
  <c r="AT124" i="6" s="1"/>
  <c r="BM805" i="6"/>
  <c r="BZ144" i="6"/>
  <c r="BT144" i="6"/>
  <c r="AP47" i="6"/>
  <c r="AT47" i="6" s="1"/>
  <c r="AN47" i="6" a="1"/>
  <c r="AN47" i="6" s="1"/>
  <c r="BM761" i="6"/>
  <c r="BF761" i="6"/>
  <c r="BF264" i="6"/>
  <c r="BG264" i="6" s="1"/>
  <c r="BM264" i="6"/>
  <c r="BN264" i="6" s="1"/>
  <c r="BO264" i="6" s="1"/>
  <c r="BT691" i="6"/>
  <c r="BF607" i="6"/>
  <c r="AP115" i="6"/>
  <c r="AN115" i="6" a="1"/>
  <c r="AN115" i="6" s="1"/>
  <c r="BT749" i="6"/>
  <c r="BF658" i="6"/>
  <c r="BM658" i="6"/>
  <c r="BZ708" i="6"/>
  <c r="BT708" i="6"/>
  <c r="AP631" i="6"/>
  <c r="AT631" i="6" s="1"/>
  <c r="AN631" i="6" a="1"/>
  <c r="AN631" i="6" s="1"/>
  <c r="BM937" i="6"/>
  <c r="BF937" i="6"/>
  <c r="BM662" i="6"/>
  <c r="BN662" i="6" s="1"/>
  <c r="AP512" i="6"/>
  <c r="AT512" i="6" s="1"/>
  <c r="AN512" i="6" a="1"/>
  <c r="AN512" i="6" s="1"/>
  <c r="BZ31" i="6"/>
  <c r="BT31" i="6"/>
  <c r="AN411" i="6" a="1"/>
  <c r="AN411" i="6" s="1"/>
  <c r="AP411" i="6"/>
  <c r="AN868" i="6" a="1"/>
  <c r="AN868" i="6" s="1"/>
  <c r="AP868" i="6"/>
  <c r="BN868" i="6" s="1"/>
  <c r="BO868" i="6" s="1"/>
  <c r="BF660" i="6"/>
  <c r="BM660" i="6"/>
  <c r="BM932" i="6"/>
  <c r="BN932" i="6" s="1"/>
  <c r="BF932" i="6"/>
  <c r="AN315" i="6" a="1"/>
  <c r="AN315" i="6" s="1"/>
  <c r="AP315" i="6"/>
  <c r="BM733" i="6"/>
  <c r="BN733" i="6" s="1"/>
  <c r="BO733" i="6" s="1"/>
  <c r="BF733" i="6"/>
  <c r="BG733" i="6" s="1"/>
  <c r="BM809" i="6"/>
  <c r="BN809" i="6" s="1"/>
  <c r="BP809" i="6" s="1"/>
  <c r="BF809" i="6"/>
  <c r="BT724" i="6"/>
  <c r="BZ724" i="6"/>
  <c r="BF946" i="6"/>
  <c r="BM946" i="6"/>
  <c r="BF385" i="6"/>
  <c r="BM385" i="6"/>
  <c r="AP623" i="6"/>
  <c r="AT623" i="6" s="1"/>
  <c r="AN623" i="6" a="1"/>
  <c r="AN623" i="6" s="1"/>
  <c r="AN661" i="6" a="1"/>
  <c r="AN661" i="6" s="1"/>
  <c r="AP661" i="6"/>
  <c r="AT661" i="6" s="1"/>
  <c r="AN201" i="6" a="1"/>
  <c r="AN201" i="6" s="1"/>
  <c r="AP201" i="6"/>
  <c r="AT201" i="6" s="1"/>
  <c r="AN718" i="6" a="1"/>
  <c r="AN718" i="6" s="1"/>
  <c r="AP878" i="6"/>
  <c r="BG878" i="6" s="1"/>
  <c r="BH878" i="6" s="1"/>
  <c r="AN878" i="6" a="1"/>
  <c r="AN878" i="6" s="1"/>
  <c r="BM721" i="6"/>
  <c r="BF721" i="6"/>
  <c r="BT667" i="6"/>
  <c r="BZ667" i="6"/>
  <c r="BM465" i="6"/>
  <c r="BF465" i="6"/>
  <c r="BG465" i="6" s="1"/>
  <c r="BH465" i="6" s="1"/>
  <c r="AP626" i="6"/>
  <c r="AT626" i="6" s="1"/>
  <c r="AN626" i="6" a="1"/>
  <c r="AN626" i="6" s="1"/>
  <c r="AP386" i="6"/>
  <c r="AT386" i="6" s="1"/>
  <c r="AN386" i="6" a="1"/>
  <c r="AN386" i="6" s="1"/>
  <c r="BM269" i="6"/>
  <c r="BN269" i="6" s="1"/>
  <c r="BO269" i="6" s="1"/>
  <c r="BF269" i="6"/>
  <c r="BG269" i="6" s="1"/>
  <c r="BH269" i="6" s="1"/>
  <c r="AP703" i="6"/>
  <c r="BN703" i="6" s="1"/>
  <c r="BO703" i="6" s="1"/>
  <c r="AN703" i="6" a="1"/>
  <c r="AN703" i="6" s="1"/>
  <c r="BF751" i="6"/>
  <c r="BG751" i="6" s="1"/>
  <c r="BM751" i="6"/>
  <c r="BN751" i="6" s="1"/>
  <c r="AN126" i="6" a="1"/>
  <c r="AN126" i="6" s="1"/>
  <c r="AP126" i="6"/>
  <c r="BM348" i="6"/>
  <c r="BN348" i="6" s="1"/>
  <c r="BO348" i="6" s="1"/>
  <c r="BF348" i="6"/>
  <c r="BG348" i="6" s="1"/>
  <c r="BI348" i="6" s="1"/>
  <c r="BT777" i="6"/>
  <c r="BZ78" i="6"/>
  <c r="BH887" i="6"/>
  <c r="BI887" i="6"/>
  <c r="BN915" i="6"/>
  <c r="BP915" i="6" s="1"/>
  <c r="BZ242" i="6"/>
  <c r="BT574" i="6"/>
  <c r="BM1001" i="6"/>
  <c r="BM515" i="6"/>
  <c r="BF629" i="6"/>
  <c r="BM20" i="6"/>
  <c r="BN20" i="6" s="1"/>
  <c r="BO20" i="6" s="1"/>
  <c r="BZ569" i="6"/>
  <c r="BZ846" i="6"/>
  <c r="BT539" i="6"/>
  <c r="BM196" i="6"/>
  <c r="BN196" i="6" s="1"/>
  <c r="BM601" i="6"/>
  <c r="BN601" i="6" s="1"/>
  <c r="BO601" i="6" s="1"/>
  <c r="BZ261" i="6"/>
  <c r="BT888" i="6"/>
  <c r="BM758" i="6"/>
  <c r="BF495" i="6"/>
  <c r="AN589" i="6" a="1"/>
  <c r="AN589" i="6" s="1"/>
  <c r="BZ659" i="6"/>
  <c r="BM352" i="6"/>
  <c r="BN352" i="6" s="1"/>
  <c r="BM415" i="6"/>
  <c r="BN415" i="6" s="1"/>
  <c r="BZ848" i="6"/>
  <c r="BT591" i="6"/>
  <c r="BT300" i="6"/>
  <c r="BZ252" i="6"/>
  <c r="BF729" i="6"/>
  <c r="BG729" i="6" s="1"/>
  <c r="BT534" i="6"/>
  <c r="BZ178" i="6"/>
  <c r="BT178" i="6"/>
  <c r="BP753" i="6"/>
  <c r="BO753" i="6"/>
  <c r="BZ557" i="6"/>
  <c r="BT50" i="6"/>
  <c r="BZ593" i="6"/>
  <c r="BZ564" i="6"/>
  <c r="BT179" i="6"/>
  <c r="BF947" i="6"/>
  <c r="BT249" i="6"/>
  <c r="BF986" i="6"/>
  <c r="BG986" i="6" s="1"/>
  <c r="BM210" i="6"/>
  <c r="BT504" i="6"/>
  <c r="BM980" i="6"/>
  <c r="BT623" i="6"/>
  <c r="BM788" i="6"/>
  <c r="BF626" i="6"/>
  <c r="BT57" i="6"/>
  <c r="BT733" i="6"/>
  <c r="BT933" i="6"/>
  <c r="BM909" i="6"/>
  <c r="BZ688" i="6"/>
  <c r="BZ195" i="6"/>
  <c r="BT779" i="6"/>
  <c r="BZ899" i="6"/>
  <c r="BZ201" i="6"/>
  <c r="BM817" i="6"/>
  <c r="BT608" i="6"/>
  <c r="BM156" i="6"/>
  <c r="BF969" i="6"/>
  <c r="BM930" i="6"/>
  <c r="BM476" i="6"/>
  <c r="BM25" i="6"/>
  <c r="BF866" i="6"/>
  <c r="BZ3" i="6"/>
  <c r="BF618" i="6"/>
  <c r="BT37" i="6"/>
  <c r="BF213" i="6"/>
  <c r="BF798" i="6"/>
  <c r="BZ506" i="6"/>
  <c r="BT719" i="6"/>
  <c r="BM533" i="6"/>
  <c r="BT318" i="6"/>
  <c r="BZ318" i="6"/>
  <c r="BM5" i="6"/>
  <c r="BN5" i="6" s="1"/>
  <c r="BP303" i="6"/>
  <c r="BO303" i="6"/>
  <c r="BZ736" i="6"/>
  <c r="BT597" i="6"/>
  <c r="BZ597" i="6"/>
  <c r="AP813" i="6"/>
  <c r="AT813" i="6" s="1"/>
  <c r="BZ856" i="6"/>
  <c r="BZ102" i="6"/>
  <c r="BM251" i="6"/>
  <c r="BN251" i="6" s="1"/>
  <c r="BO251" i="6" s="1"/>
  <c r="BF941" i="6"/>
  <c r="BT174" i="6"/>
  <c r="BM619" i="6"/>
  <c r="BN619" i="6" s="1"/>
  <c r="BT598" i="6"/>
  <c r="BM226" i="6"/>
  <c r="BZ432" i="6"/>
  <c r="AN68" i="6" a="1"/>
  <c r="AN68" i="6" s="1"/>
  <c r="AP68" i="6"/>
  <c r="AT68" i="6" s="1"/>
  <c r="AP727" i="6"/>
  <c r="AN727" i="6" a="1"/>
  <c r="AN727" i="6" s="1"/>
  <c r="BZ714" i="6"/>
  <c r="BZ803" i="6"/>
  <c r="BT803" i="6"/>
  <c r="BZ880" i="6"/>
  <c r="BT880" i="6"/>
  <c r="BF270" i="6"/>
  <c r="BF987" i="6"/>
  <c r="BZ971" i="6"/>
  <c r="BT808" i="6"/>
  <c r="BZ957" i="6"/>
  <c r="BF211" i="6"/>
  <c r="BG211" i="6" s="1"/>
  <c r="BI211" i="6" s="1"/>
  <c r="BM115" i="6"/>
  <c r="BN115" i="6" s="1"/>
  <c r="BO115" i="6" s="1"/>
  <c r="AU1011" i="6"/>
  <c r="AX1011" i="6" s="1"/>
  <c r="BA1011" i="6" s="1"/>
  <c r="BB1011" i="6" s="1"/>
  <c r="J167" i="4" a="1"/>
  <c r="J167" i="4" s="1"/>
  <c r="AV1011" i="6" s="1"/>
  <c r="BZ525" i="6"/>
  <c r="BT525" i="6"/>
  <c r="BT360" i="6"/>
  <c r="BZ360" i="6"/>
  <c r="BZ669" i="6"/>
  <c r="AP104" i="6"/>
  <c r="AT104" i="6" s="1"/>
  <c r="AN104" i="6" a="1"/>
  <c r="AN104" i="6" s="1"/>
  <c r="BM123" i="6"/>
  <c r="AP375" i="6"/>
  <c r="AT375" i="6" s="1"/>
  <c r="BT235" i="6"/>
  <c r="BZ235" i="6"/>
  <c r="BM677" i="6"/>
  <c r="BN677" i="6" s="1"/>
  <c r="BM971" i="6"/>
  <c r="BN971" i="6" s="1"/>
  <c r="BP971" i="6" s="1"/>
  <c r="BF971" i="6"/>
  <c r="BG971" i="6" s="1"/>
  <c r="BH971" i="6" s="1"/>
  <c r="BF164" i="6"/>
  <c r="BG164" i="6" s="1"/>
  <c r="BH164" i="6" s="1"/>
  <c r="BM164" i="6"/>
  <c r="BN164" i="6" s="1"/>
  <c r="BZ983" i="6"/>
  <c r="BT983" i="6"/>
  <c r="AP153" i="6"/>
  <c r="BM461" i="6"/>
  <c r="BN461" i="6" s="1"/>
  <c r="BO461" i="6" s="1"/>
  <c r="AT281" i="6"/>
  <c r="AP287" i="6"/>
  <c r="BN287" i="6" s="1"/>
  <c r="BP287" i="6" s="1"/>
  <c r="AN287" i="6" a="1"/>
  <c r="AN287" i="6" s="1"/>
  <c r="BF452" i="6"/>
  <c r="BG452" i="6" s="1"/>
  <c r="BI452" i="6" s="1"/>
  <c r="AN849" i="6" a="1"/>
  <c r="AN849" i="6" s="1"/>
  <c r="AP849" i="6"/>
  <c r="BG849" i="6" s="1"/>
  <c r="BH849" i="6" s="1"/>
  <c r="BT545" i="6"/>
  <c r="BZ545" i="6"/>
  <c r="BZ353" i="6"/>
  <c r="BT353" i="6"/>
  <c r="BZ145" i="6"/>
  <c r="BT145" i="6"/>
  <c r="BF51" i="6"/>
  <c r="BM51" i="6"/>
  <c r="BF655" i="6"/>
  <c r="BG655" i="6" s="1"/>
  <c r="BI655" i="6" s="1"/>
  <c r="BF649" i="6"/>
  <c r="BG649" i="6" s="1"/>
  <c r="BH649" i="6" s="1"/>
  <c r="BM649" i="6"/>
  <c r="BN649" i="6" s="1"/>
  <c r="BM659" i="6"/>
  <c r="BN659" i="6" s="1"/>
  <c r="BF659" i="6"/>
  <c r="AP651" i="6"/>
  <c r="BN651" i="6" s="1"/>
  <c r="BP651" i="6" s="1"/>
  <c r="AN651" i="6" a="1"/>
  <c r="AN651" i="6" s="1"/>
  <c r="BZ868" i="6"/>
  <c r="BT868" i="6"/>
  <c r="BM286" i="6"/>
  <c r="BF286" i="6"/>
  <c r="BM564" i="6"/>
  <c r="BN564" i="6" s="1"/>
  <c r="BP564" i="6" s="1"/>
  <c r="BF564" i="6"/>
  <c r="BG564" i="6" s="1"/>
  <c r="BF818" i="6"/>
  <c r="BG818" i="6" s="1"/>
  <c r="BM146" i="6"/>
  <c r="BN146" i="6" s="1"/>
  <c r="AP215" i="6"/>
  <c r="AN215" i="6" a="1"/>
  <c r="AN215" i="6" s="1"/>
  <c r="BF567" i="6"/>
  <c r="BM567" i="6"/>
  <c r="BN567" i="6" s="1"/>
  <c r="BO567" i="6" s="1"/>
  <c r="BF796" i="6"/>
  <c r="BM796" i="6"/>
  <c r="BZ579" i="6"/>
  <c r="BT579" i="6"/>
  <c r="BM900" i="6"/>
  <c r="BF900" i="6"/>
  <c r="AN478" i="6" a="1"/>
  <c r="AN478" i="6" s="1"/>
  <c r="AP478" i="6"/>
  <c r="AP77" i="6"/>
  <c r="AT77" i="6" s="1"/>
  <c r="AN77" i="6" a="1"/>
  <c r="AN77" i="6" s="1"/>
  <c r="BF664" i="6"/>
  <c r="BM664" i="6"/>
  <c r="BM943" i="6"/>
  <c r="BN943" i="6" s="1"/>
  <c r="BP943" i="6" s="1"/>
  <c r="BF943" i="6"/>
  <c r="BG943" i="6" s="1"/>
  <c r="AN90" i="6" a="1"/>
  <c r="AN90" i="6" s="1"/>
  <c r="AP90" i="6"/>
  <c r="BT1016" i="6"/>
  <c r="BU1016" i="6" s="1"/>
  <c r="BV1016" i="6" s="1"/>
  <c r="BZ1016" i="6"/>
  <c r="AP93" i="6"/>
  <c r="AT93" i="6" s="1"/>
  <c r="AN93" i="6" a="1"/>
  <c r="AN93" i="6" s="1"/>
  <c r="BT1023" i="6"/>
  <c r="BZ1023" i="6"/>
  <c r="BM575" i="6"/>
  <c r="BN575" i="6" s="1"/>
  <c r="BP575" i="6" s="1"/>
  <c r="BF575" i="6"/>
  <c r="BG575" i="6" s="1"/>
  <c r="BM870" i="6"/>
  <c r="BF870" i="6"/>
  <c r="AN673" i="6" a="1"/>
  <c r="AN673" i="6" s="1"/>
  <c r="AP673" i="6"/>
  <c r="BG673" i="6" s="1"/>
  <c r="BO342" i="6"/>
  <c r="BP342" i="6"/>
  <c r="AP764" i="6"/>
  <c r="AT764" i="6" s="1"/>
  <c r="AN764" i="6" a="1"/>
  <c r="AN764" i="6" s="1"/>
  <c r="AN225" i="6" a="1"/>
  <c r="AN225" i="6" s="1"/>
  <c r="AP225" i="6"/>
  <c r="AT225" i="6" s="1"/>
  <c r="BT770" i="6"/>
  <c r="BZ770" i="6"/>
  <c r="AN182" i="6" a="1"/>
  <c r="AN182" i="6" s="1"/>
  <c r="AP182" i="6"/>
  <c r="AT182" i="6" s="1"/>
  <c r="AN806" i="6" a="1"/>
  <c r="AN806" i="6" s="1"/>
  <c r="AP806" i="6"/>
  <c r="AT806" i="6" s="1"/>
  <c r="AP762" i="6"/>
  <c r="AN762" i="6" a="1"/>
  <c r="AN762" i="6" s="1"/>
  <c r="BN281" i="6"/>
  <c r="BO281" i="6" s="1"/>
  <c r="BM843" i="6"/>
  <c r="BF843" i="6"/>
  <c r="AN686" i="6" a="1"/>
  <c r="AN686" i="6" s="1"/>
  <c r="AP686" i="6"/>
  <c r="AT686" i="6" s="1"/>
  <c r="BM917" i="6"/>
  <c r="BF917" i="6"/>
  <c r="BF821" i="6"/>
  <c r="BM821" i="6"/>
  <c r="BT746" i="6"/>
  <c r="BZ746" i="6"/>
  <c r="BF815" i="6"/>
  <c r="BM815" i="6"/>
  <c r="AP499" i="6"/>
  <c r="BN499" i="6" s="1"/>
  <c r="AN499" i="6" a="1"/>
  <c r="AN499" i="6" s="1"/>
  <c r="AP931" i="6"/>
  <c r="BG931" i="6" s="1"/>
  <c r="AN931" i="6" a="1"/>
  <c r="AN931" i="6" s="1"/>
  <c r="AP130" i="6"/>
  <c r="AT130" i="6" s="1"/>
  <c r="AN130" i="6" a="1"/>
  <c r="AN130" i="6" s="1"/>
  <c r="AP708" i="6"/>
  <c r="AN708" i="6" a="1"/>
  <c r="AN708" i="6" s="1"/>
  <c r="AP185" i="6"/>
  <c r="AN185" i="6" a="1"/>
  <c r="AN185" i="6" s="1"/>
  <c r="BT571" i="6"/>
  <c r="BI601" i="6"/>
  <c r="BH601" i="6"/>
  <c r="BZ335" i="6"/>
  <c r="BT625" i="6"/>
  <c r="BZ859" i="6"/>
  <c r="AT589" i="6"/>
  <c r="BZ374" i="6"/>
  <c r="BZ426" i="6"/>
  <c r="BT286" i="6"/>
  <c r="BT415" i="6"/>
  <c r="BZ492" i="6"/>
  <c r="BZ693" i="6"/>
  <c r="BZ582" i="6"/>
  <c r="BZ188" i="6"/>
  <c r="BZ973" i="6"/>
  <c r="BZ568" i="6"/>
  <c r="BN986" i="6"/>
  <c r="BO986" i="6" s="1"/>
  <c r="BZ226" i="6"/>
  <c r="BZ870" i="6"/>
  <c r="BZ772" i="6"/>
  <c r="BZ985" i="6"/>
  <c r="BZ388" i="6"/>
  <c r="BZ150" i="6"/>
  <c r="BT420" i="6"/>
  <c r="BZ627" i="6"/>
  <c r="BT945" i="6"/>
  <c r="BZ211" i="6"/>
  <c r="BZ106" i="6"/>
  <c r="BM1006" i="6"/>
  <c r="BZ900" i="6"/>
  <c r="BZ132" i="6"/>
  <c r="BT132" i="6"/>
  <c r="BZ474" i="6"/>
  <c r="BT474" i="6"/>
  <c r="AP765" i="6"/>
  <c r="BG765" i="6" s="1"/>
  <c r="AN60" i="6" a="1"/>
  <c r="AN60" i="6" s="1"/>
  <c r="BF922" i="6"/>
  <c r="BT7" i="6"/>
  <c r="BT989" i="6"/>
  <c r="BZ577" i="6"/>
  <c r="BT869" i="6"/>
  <c r="BZ263" i="6"/>
  <c r="BT167" i="6"/>
  <c r="BZ765" i="6"/>
  <c r="BT765" i="6"/>
  <c r="BZ888" i="6"/>
  <c r="BZ1017" i="6"/>
  <c r="AP850" i="6"/>
  <c r="AT850" i="6" s="1"/>
  <c r="BF509" i="6"/>
  <c r="BG509" i="6" s="1"/>
  <c r="BM478" i="6"/>
  <c r="BN478" i="6" s="1"/>
  <c r="BO478" i="6" s="1"/>
  <c r="BT960" i="6"/>
  <c r="BZ493" i="6"/>
  <c r="BM238" i="6"/>
  <c r="BN238" i="6" s="1"/>
  <c r="BF238" i="6"/>
  <c r="BG238" i="6" s="1"/>
  <c r="BH238" i="6" s="1"/>
  <c r="BT904" i="6"/>
  <c r="AP728" i="6"/>
  <c r="AN728" i="6" a="1"/>
  <c r="AN728" i="6" s="1"/>
  <c r="BZ486" i="6"/>
  <c r="BT486" i="6"/>
  <c r="AP523" i="6"/>
  <c r="AT523" i="6" s="1"/>
  <c r="AN523" i="6" a="1"/>
  <c r="AN523" i="6" s="1"/>
  <c r="BZ21" i="6"/>
  <c r="BM160" i="6"/>
  <c r="BF881" i="6"/>
  <c r="BG881" i="6" s="1"/>
  <c r="BM881" i="6"/>
  <c r="BN881" i="6" s="1"/>
  <c r="BI677" i="6"/>
  <c r="BH677" i="6"/>
  <c r="BM370" i="6"/>
  <c r="BF370" i="6"/>
  <c r="BM451" i="6"/>
  <c r="BN451" i="6" s="1"/>
  <c r="BF451" i="6"/>
  <c r="BG451" i="6" s="1"/>
  <c r="BM218" i="6"/>
  <c r="BF218" i="6"/>
  <c r="BH461" i="6"/>
  <c r="BI461" i="6"/>
  <c r="BM243" i="6"/>
  <c r="BN243" i="6" s="1"/>
  <c r="BO243" i="6" s="1"/>
  <c r="BF243" i="6"/>
  <c r="BG243" i="6" s="1"/>
  <c r="BH243" i="6" s="1"/>
  <c r="AP477" i="6"/>
  <c r="BG477" i="6" s="1"/>
  <c r="AN477" i="6" a="1"/>
  <c r="AN477" i="6" s="1"/>
  <c r="BZ866" i="6"/>
  <c r="BZ445" i="6"/>
  <c r="BT445" i="6"/>
  <c r="BZ691" i="6"/>
  <c r="BF200" i="6"/>
  <c r="BM200" i="6"/>
  <c r="BF239" i="6"/>
  <c r="BG239" i="6" s="1"/>
  <c r="BI239" i="6" s="1"/>
  <c r="BM239" i="6"/>
  <c r="BF36" i="6"/>
  <c r="BM36" i="6"/>
  <c r="BM1015" i="6"/>
  <c r="BF1015" i="6"/>
  <c r="BZ839" i="6"/>
  <c r="BT839" i="6"/>
  <c r="AN223" i="6" a="1"/>
  <c r="AN223" i="6" s="1"/>
  <c r="BF792" i="6"/>
  <c r="BG792" i="6" s="1"/>
  <c r="AN331" i="6" a="1"/>
  <c r="AN331" i="6" s="1"/>
  <c r="AP510" i="6"/>
  <c r="AT510" i="6" s="1"/>
  <c r="BM235" i="6"/>
  <c r="BN235" i="6" s="1"/>
  <c r="BF235" i="6"/>
  <c r="BG235" i="6" s="1"/>
  <c r="BF638" i="6"/>
  <c r="BM638" i="6"/>
  <c r="BT334" i="6"/>
  <c r="BZ334" i="6"/>
  <c r="AP378" i="6"/>
  <c r="AT378" i="6" s="1"/>
  <c r="AN378" i="6" a="1"/>
  <c r="AN378" i="6" s="1"/>
  <c r="BZ565" i="6"/>
  <c r="BT565" i="6"/>
  <c r="BM720" i="6"/>
  <c r="BF720" i="6"/>
  <c r="BZ916" i="6"/>
  <c r="BT916" i="6"/>
  <c r="BF507" i="6"/>
  <c r="BG507" i="6" s="1"/>
  <c r="BH507" i="6" s="1"/>
  <c r="BM507" i="6"/>
  <c r="BN507" i="6" s="1"/>
  <c r="AN390" i="6" a="1"/>
  <c r="AN390" i="6" s="1"/>
  <c r="AP390" i="6"/>
  <c r="AT390" i="6" s="1"/>
  <c r="AP296" i="6"/>
  <c r="AT296" i="6" s="1"/>
  <c r="AN296" i="6" a="1"/>
  <c r="AN296" i="6" s="1"/>
  <c r="BM883" i="6"/>
  <c r="BF883" i="6"/>
  <c r="AP627" i="6"/>
  <c r="AN365" i="6" a="1"/>
  <c r="AN365" i="6" s="1"/>
  <c r="AP365" i="6"/>
  <c r="BF852" i="6"/>
  <c r="BM852" i="6"/>
  <c r="AP918" i="6"/>
  <c r="BN918" i="6" s="1"/>
  <c r="BO918" i="6" s="1"/>
  <c r="AN918" i="6" a="1"/>
  <c r="AN918" i="6" s="1"/>
  <c r="BM388" i="6"/>
  <c r="BF388" i="6"/>
  <c r="BG388" i="6" s="1"/>
  <c r="AP632" i="6"/>
  <c r="AN632" i="6" a="1"/>
  <c r="AN632" i="6" s="1"/>
  <c r="BF67" i="6"/>
  <c r="BM67" i="6"/>
  <c r="BF141" i="6"/>
  <c r="BG141" i="6" s="1"/>
  <c r="BM141" i="6"/>
  <c r="BN141" i="6" s="1"/>
  <c r="BO141" i="6" s="1"/>
  <c r="BF865" i="6"/>
  <c r="BM865" i="6"/>
  <c r="AP248" i="6"/>
  <c r="AT248" i="6" s="1"/>
  <c r="AN248" i="6" a="1"/>
  <c r="AN248" i="6" s="1"/>
  <c r="BF700" i="6"/>
  <c r="BM700" i="6"/>
  <c r="BM328" i="6"/>
  <c r="BN328" i="6" s="1"/>
  <c r="BO328" i="6" s="1"/>
  <c r="BF328" i="6"/>
  <c r="BG328" i="6" s="1"/>
  <c r="AN106" i="6" a="1"/>
  <c r="AN106" i="6" s="1"/>
  <c r="AP106" i="6"/>
  <c r="AP453" i="6"/>
  <c r="AT453" i="6" s="1"/>
  <c r="AN453" i="6" a="1"/>
  <c r="AN453" i="6" s="1"/>
  <c r="AP274" i="6"/>
  <c r="AT274" i="6" s="1"/>
  <c r="AN274" i="6" a="1"/>
  <c r="AN274" i="6" s="1"/>
  <c r="AP62" i="6"/>
  <c r="AN62" i="6" a="1"/>
  <c r="AN62" i="6" s="1"/>
  <c r="BF470" i="6"/>
  <c r="BM470" i="6"/>
  <c r="BF891" i="6"/>
  <c r="BG891" i="6" s="1"/>
  <c r="BM891" i="6"/>
  <c r="BN891" i="6" s="1"/>
  <c r="BM471" i="6"/>
  <c r="BF471" i="6"/>
  <c r="BF181" i="6"/>
  <c r="BG181" i="6" s="1"/>
  <c r="BI181" i="6" s="1"/>
  <c r="BM181" i="6"/>
  <c r="BN181" i="6" s="1"/>
  <c r="BO181" i="6" s="1"/>
  <c r="AN151" i="6" a="1"/>
  <c r="AN151" i="6" s="1"/>
  <c r="AP151" i="6"/>
  <c r="AT151" i="6" s="1"/>
  <c r="BF670" i="6"/>
  <c r="BM670" i="6"/>
  <c r="BF767" i="6"/>
  <c r="BM767" i="6"/>
  <c r="BF298" i="6"/>
  <c r="BM298" i="6"/>
  <c r="AT44" i="6"/>
  <c r="BM91" i="6"/>
  <c r="BF91" i="6"/>
  <c r="AN734" i="6" a="1"/>
  <c r="AN734" i="6" s="1"/>
  <c r="AP734" i="6"/>
  <c r="AT734" i="6" s="1"/>
  <c r="AN778" i="6" a="1"/>
  <c r="AN778" i="6" s="1"/>
  <c r="AP778" i="6"/>
  <c r="AN382" i="6" a="1"/>
  <c r="AN382" i="6" s="1"/>
  <c r="AP382" i="6"/>
  <c r="BN382" i="6" s="1"/>
  <c r="BT962" i="6"/>
  <c r="AN340" i="6" a="1"/>
  <c r="AN340" i="6" s="1"/>
  <c r="AN650" i="6" a="1"/>
  <c r="AN650" i="6" s="1"/>
  <c r="BT17" i="6"/>
  <c r="BM258" i="6"/>
  <c r="BT315" i="6"/>
  <c r="BZ923" i="6"/>
  <c r="BT355" i="6"/>
  <c r="BZ355" i="6"/>
  <c r="BZ166" i="6"/>
  <c r="BT166" i="6"/>
  <c r="BZ875" i="6"/>
  <c r="BT875" i="6"/>
  <c r="BT330" i="6"/>
  <c r="AN98" i="6" a="1"/>
  <c r="AN98" i="6" s="1"/>
  <c r="BZ97" i="6"/>
  <c r="BT142" i="6"/>
  <c r="BZ766" i="6"/>
  <c r="BZ620" i="6"/>
  <c r="BF112" i="6"/>
  <c r="BF1019" i="6"/>
  <c r="BM1019" i="6"/>
  <c r="BZ290" i="6"/>
  <c r="BF823" i="6"/>
  <c r="BG823" i="6" s="1"/>
  <c r="BH823" i="6" s="1"/>
  <c r="BT796" i="6"/>
  <c r="BT864" i="6"/>
  <c r="BZ864" i="6"/>
  <c r="BZ40" i="6"/>
  <c r="BT40" i="6"/>
  <c r="BZ65" i="6"/>
  <c r="BT65" i="6"/>
  <c r="AN891" i="6" a="1"/>
  <c r="AN891" i="6" s="1"/>
  <c r="BZ380" i="6"/>
  <c r="BT380" i="6"/>
  <c r="BP34" i="6"/>
  <c r="BO34" i="6"/>
  <c r="BT200" i="6"/>
  <c r="BZ830" i="6"/>
  <c r="BT830" i="6"/>
  <c r="BT46" i="6"/>
  <c r="BZ424" i="6"/>
  <c r="BH341" i="6"/>
  <c r="BI341" i="6"/>
  <c r="BZ546" i="6"/>
  <c r="BT546" i="6"/>
  <c r="BT509" i="6"/>
  <c r="BZ262" i="6"/>
  <c r="BT48" i="6"/>
  <c r="AN76" i="6" a="1"/>
  <c r="AN76" i="6" s="1"/>
  <c r="BZ297" i="6"/>
  <c r="BT297" i="6"/>
  <c r="BM424" i="6"/>
  <c r="BF424" i="6"/>
  <c r="BT720" i="6"/>
  <c r="BM642" i="6"/>
  <c r="AN289" i="6" a="1"/>
  <c r="AN289" i="6" s="1"/>
  <c r="AN108" i="6" a="1"/>
  <c r="AN108" i="6" s="1"/>
  <c r="AP108" i="6"/>
  <c r="BF989" i="6"/>
  <c r="BM240" i="6"/>
  <c r="BF240" i="6"/>
  <c r="BZ357" i="6"/>
  <c r="AN1023" i="6" a="1"/>
  <c r="AN1023" i="6" s="1"/>
  <c r="BF958" i="6"/>
  <c r="BG958" i="6" s="1"/>
  <c r="BH958" i="6" s="1"/>
  <c r="BM958" i="6"/>
  <c r="BN958" i="6" s="1"/>
  <c r="BT794" i="6"/>
  <c r="BM369" i="6"/>
  <c r="BF369" i="6"/>
  <c r="BF202" i="6"/>
  <c r="BM202" i="6"/>
  <c r="BZ370" i="6"/>
  <c r="BT1019" i="6"/>
  <c r="BZ1019" i="6"/>
  <c r="BH233" i="6"/>
  <c r="BI233" i="6"/>
  <c r="BM126" i="6"/>
  <c r="BF126" i="6"/>
  <c r="AP351" i="6"/>
  <c r="AT351" i="6" s="1"/>
  <c r="AN351" i="6" a="1"/>
  <c r="AN351" i="6" s="1"/>
  <c r="BM24" i="6"/>
  <c r="BF24" i="6"/>
  <c r="BZ516" i="6"/>
  <c r="BT516" i="6"/>
  <c r="AT578" i="6"/>
  <c r="BM124" i="6"/>
  <c r="BN124" i="6" s="1"/>
  <c r="BF124" i="6"/>
  <c r="BF791" i="6"/>
  <c r="BM791" i="6"/>
  <c r="BF107" i="6"/>
  <c r="BG107" i="6" s="1"/>
  <c r="BH107" i="6" s="1"/>
  <c r="BM107" i="6"/>
  <c r="BN107" i="6" s="1"/>
  <c r="BZ898" i="6"/>
  <c r="BT898" i="6"/>
  <c r="BM367" i="6"/>
  <c r="BF367" i="6"/>
  <c r="BG367" i="6" s="1"/>
  <c r="BI367" i="6" s="1"/>
  <c r="AP262" i="6"/>
  <c r="AT262" i="6" s="1"/>
  <c r="AN262" i="6" a="1"/>
  <c r="AN262" i="6" s="1"/>
  <c r="AP471" i="6"/>
  <c r="AT471" i="6" s="1"/>
  <c r="AN471" i="6" a="1"/>
  <c r="AN471" i="6" s="1"/>
  <c r="BF892" i="6"/>
  <c r="BG892" i="6" s="1"/>
  <c r="BH892" i="6" s="1"/>
  <c r="BM892" i="6"/>
  <c r="AP218" i="6"/>
  <c r="AT218" i="6" s="1"/>
  <c r="AN218" i="6" a="1"/>
  <c r="AN218" i="6" s="1"/>
  <c r="AP111" i="6"/>
  <c r="AT111" i="6" s="1"/>
  <c r="AN111" i="6" a="1"/>
  <c r="AN111" i="6" s="1"/>
  <c r="AP1014" i="6"/>
  <c r="BG1014" i="6" s="1"/>
  <c r="BH1014" i="6" s="1"/>
  <c r="AN1014" i="6" a="1"/>
  <c r="AN1014" i="6" s="1"/>
  <c r="AP344" i="6"/>
  <c r="AT344" i="6" s="1"/>
  <c r="AN344" i="6" a="1"/>
  <c r="AN344" i="6" s="1"/>
  <c r="AN294" i="6" a="1"/>
  <c r="AN294" i="6" s="1"/>
  <c r="AP294" i="6"/>
  <c r="AT294" i="6" s="1"/>
  <c r="AN580" i="6" a="1"/>
  <c r="AN580" i="6" s="1"/>
  <c r="AP580" i="6"/>
  <c r="AT580" i="6" s="1"/>
  <c r="AP1019" i="6"/>
  <c r="AS1019" i="6" s="1"/>
  <c r="AT1019" i="6" s="1"/>
  <c r="AN1019" i="6" a="1"/>
  <c r="AN1019" i="6" s="1"/>
  <c r="AN408" i="6" a="1"/>
  <c r="AN408" i="6" s="1"/>
  <c r="AP408" i="6"/>
  <c r="AT408" i="6" s="1"/>
  <c r="BF241" i="6"/>
  <c r="BG241" i="6" s="1"/>
  <c r="BM241" i="6"/>
  <c r="BN241" i="6" s="1"/>
  <c r="AN121" i="6" a="1"/>
  <c r="AN121" i="6" s="1"/>
  <c r="AP121" i="6"/>
  <c r="BF896" i="6"/>
  <c r="BM896" i="6"/>
  <c r="AP957" i="6"/>
  <c r="AT957" i="6" s="1"/>
  <c r="AN957" i="6" a="1"/>
  <c r="AN957" i="6" s="1"/>
  <c r="BT251" i="6"/>
  <c r="BZ251" i="6"/>
  <c r="BT88" i="6"/>
  <c r="BZ918" i="6"/>
  <c r="BT948" i="6"/>
  <c r="BZ604" i="6"/>
  <c r="BT829" i="6"/>
  <c r="BZ829" i="6"/>
  <c r="BT101" i="6"/>
  <c r="BF284" i="6"/>
  <c r="BG284" i="6" s="1"/>
  <c r="BZ91" i="6"/>
  <c r="BT91" i="6"/>
  <c r="BT478" i="6"/>
  <c r="BZ233" i="6"/>
  <c r="BF229" i="6"/>
  <c r="BT824" i="6"/>
  <c r="BZ207" i="6"/>
  <c r="AN588" i="6" a="1"/>
  <c r="AN588" i="6" s="1"/>
  <c r="BM814" i="6"/>
  <c r="AP644" i="6"/>
  <c r="BZ288" i="6"/>
  <c r="BT671" i="6"/>
  <c r="BT502" i="6"/>
  <c r="BF342" i="6"/>
  <c r="BG342" i="6" s="1"/>
  <c r="BM776" i="6"/>
  <c r="BZ137" i="6"/>
  <c r="AN837" i="6" a="1"/>
  <c r="AN837" i="6" s="1"/>
  <c r="BT370" i="6"/>
  <c r="BO300" i="6"/>
  <c r="BP300" i="6"/>
  <c r="BF868" i="6"/>
  <c r="BG868" i="6" s="1"/>
  <c r="AP383" i="6"/>
  <c r="AT383" i="6" s="1"/>
  <c r="BZ502" i="6"/>
  <c r="BT371" i="6"/>
  <c r="BT711" i="6"/>
  <c r="BF39" i="6"/>
  <c r="AN176" i="6" a="1"/>
  <c r="AN176" i="6" s="1"/>
  <c r="BZ278" i="6"/>
  <c r="BZ1022" i="6"/>
  <c r="BF250" i="6"/>
  <c r="BM588" i="6"/>
  <c r="BN588" i="6" s="1"/>
  <c r="BO588" i="6" s="1"/>
  <c r="BT162" i="6"/>
  <c r="BZ85" i="6"/>
  <c r="BT85" i="6"/>
  <c r="BM289" i="6"/>
  <c r="BN289" i="6" s="1"/>
  <c r="BF489" i="6"/>
  <c r="BT304" i="6"/>
  <c r="BZ304" i="6"/>
  <c r="AN575" i="6" a="1"/>
  <c r="AN575" i="6" s="1"/>
  <c r="BZ223" i="6"/>
  <c r="AN269" i="6" a="1"/>
  <c r="AN269" i="6" s="1"/>
  <c r="AP672" i="6"/>
  <c r="BG672" i="6" s="1"/>
  <c r="AN943" i="6" a="1"/>
  <c r="AN943" i="6" s="1"/>
  <c r="BM704" i="6"/>
  <c r="BN704" i="6" s="1"/>
  <c r="BF597" i="6"/>
  <c r="BG597" i="6" s="1"/>
  <c r="BH597" i="6" s="1"/>
  <c r="BT958" i="6"/>
  <c r="BZ371" i="6"/>
  <c r="BM801" i="6"/>
  <c r="BN801" i="6" s="1"/>
  <c r="BP801" i="6" s="1"/>
  <c r="BT817" i="6"/>
  <c r="BT223" i="6"/>
  <c r="BF469" i="6"/>
  <c r="BF652" i="6"/>
  <c r="BM573" i="6"/>
  <c r="BM647" i="6"/>
  <c r="BN647" i="6" s="1"/>
  <c r="BP647" i="6" s="1"/>
  <c r="BG589" i="6"/>
  <c r="BI589" i="6" s="1"/>
  <c r="BZ339" i="6"/>
  <c r="BT207" i="6"/>
  <c r="BT442" i="6"/>
  <c r="BT136" i="6"/>
  <c r="BF698" i="6"/>
  <c r="BZ530" i="6"/>
  <c r="BT530" i="6"/>
  <c r="BM547" i="6"/>
  <c r="BM952" i="6"/>
  <c r="BF952" i="6"/>
  <c r="AN235" i="6" a="1"/>
  <c r="AN235" i="6" s="1"/>
  <c r="BM216" i="6"/>
  <c r="BF216" i="6"/>
  <c r="BG953" i="6"/>
  <c r="BM926" i="6"/>
  <c r="BF1009" i="6"/>
  <c r="BM948" i="6"/>
  <c r="BF948" i="6"/>
  <c r="BT889" i="6"/>
  <c r="BZ889" i="6"/>
  <c r="BF10" i="6"/>
  <c r="BM10" i="6"/>
  <c r="BM836" i="6"/>
  <c r="BM794" i="6"/>
  <c r="BF794" i="6"/>
  <c r="BG794" i="6" s="1"/>
  <c r="BF436" i="6"/>
  <c r="BG436" i="6" s="1"/>
  <c r="BM436" i="6"/>
  <c r="BN436" i="6" s="1"/>
  <c r="BP436" i="6" s="1"/>
  <c r="BM69" i="6"/>
  <c r="BF69" i="6"/>
  <c r="BM520" i="6"/>
  <c r="BF520" i="6"/>
  <c r="BM860" i="6"/>
  <c r="BN860" i="6" s="1"/>
  <c r="BF127" i="6"/>
  <c r="BM127" i="6"/>
  <c r="BZ892" i="6"/>
  <c r="BT892" i="6"/>
  <c r="BF72" i="6"/>
  <c r="BM72" i="6"/>
  <c r="AN8" i="6" a="1"/>
  <c r="AN8" i="6" s="1"/>
  <c r="AP8" i="6"/>
  <c r="AP713" i="6"/>
  <c r="AN713" i="6" a="1"/>
  <c r="AN713" i="6" s="1"/>
  <c r="AP1002" i="6"/>
  <c r="AS1002" i="6" s="1"/>
  <c r="AT1002" i="6" s="1"/>
  <c r="AN1002" i="6" a="1"/>
  <c r="AN1002" i="6" s="1"/>
  <c r="AP526" i="6"/>
  <c r="AN526" i="6" a="1"/>
  <c r="AN526" i="6" s="1"/>
  <c r="AP462" i="6"/>
  <c r="BG462" i="6" s="1"/>
  <c r="BI462" i="6" s="1"/>
  <c r="AN462" i="6" a="1"/>
  <c r="AN462" i="6" s="1"/>
  <c r="BZ416" i="6"/>
  <c r="BT416" i="6"/>
  <c r="BG293" i="6"/>
  <c r="AP150" i="6"/>
  <c r="AN150" i="6" a="1"/>
  <c r="AN150" i="6" s="1"/>
  <c r="BN396" i="6"/>
  <c r="BF741" i="6"/>
  <c r="BM741" i="6"/>
  <c r="BN741" i="6" s="1"/>
  <c r="AN525" i="6" a="1"/>
  <c r="AN525" i="6" s="1"/>
  <c r="AP525" i="6"/>
  <c r="BN525" i="6" s="1"/>
  <c r="AN511" i="6" a="1"/>
  <c r="AN511" i="6" s="1"/>
  <c r="AP511" i="6"/>
  <c r="AT511" i="6" s="1"/>
  <c r="AP112" i="6"/>
  <c r="BN112" i="6" s="1"/>
  <c r="AN112" i="6" a="1"/>
  <c r="AN112" i="6" s="1"/>
  <c r="AN65" i="6" a="1"/>
  <c r="AN65" i="6" s="1"/>
  <c r="AP65" i="6"/>
  <c r="BN65" i="6" s="1"/>
  <c r="AP645" i="6"/>
  <c r="AT645" i="6" s="1"/>
  <c r="AN645" i="6" a="1"/>
  <c r="AN645" i="6" s="1"/>
  <c r="AP494" i="6"/>
  <c r="AN494" i="6" a="1"/>
  <c r="AN494" i="6" s="1"/>
  <c r="AP373" i="6"/>
  <c r="AT373" i="6" s="1"/>
  <c r="AN373" i="6" a="1"/>
  <c r="AN373" i="6" s="1"/>
  <c r="BF324" i="6"/>
  <c r="BM324" i="6"/>
  <c r="AN203" i="6" a="1"/>
  <c r="AN203" i="6" s="1"/>
  <c r="BT707" i="6"/>
  <c r="BZ638" i="6"/>
  <c r="BT638" i="6"/>
  <c r="BZ655" i="6"/>
  <c r="BZ558" i="6"/>
  <c r="BT558" i="6"/>
  <c r="BZ105" i="6"/>
  <c r="BZ443" i="6"/>
  <c r="BZ475" i="6"/>
  <c r="BT408" i="6"/>
  <c r="BZ173" i="6"/>
  <c r="BT154" i="6"/>
  <c r="BT58" i="6"/>
  <c r="BZ58" i="6"/>
  <c r="BZ259" i="6"/>
  <c r="BT259" i="6"/>
  <c r="AT176" i="6"/>
  <c r="BZ389" i="6"/>
  <c r="BT389" i="6"/>
  <c r="BT654" i="6"/>
  <c r="BG588" i="6"/>
  <c r="BG289" i="6"/>
  <c r="BI289" i="6" s="1"/>
  <c r="BF991" i="6"/>
  <c r="BG991" i="6" s="1"/>
  <c r="BT980" i="6"/>
  <c r="BT521" i="6"/>
  <c r="BZ521" i="6"/>
  <c r="BN597" i="6"/>
  <c r="BM1021" i="6"/>
  <c r="BZ873" i="6"/>
  <c r="BT955" i="6"/>
  <c r="BZ55" i="6"/>
  <c r="BT55" i="6"/>
  <c r="BT778" i="6"/>
  <c r="BZ665" i="6"/>
  <c r="BT665" i="6"/>
  <c r="BT851" i="6"/>
  <c r="BF1017" i="6"/>
  <c r="BM189" i="6"/>
  <c r="BF189" i="6"/>
  <c r="BT972" i="6"/>
  <c r="BZ289" i="6"/>
  <c r="BT289" i="6"/>
  <c r="BF650" i="6"/>
  <c r="BG650" i="6" s="1"/>
  <c r="BM650" i="6"/>
  <c r="BN650" i="6" s="1"/>
  <c r="BZ36" i="6"/>
  <c r="BT36" i="6"/>
  <c r="BT241" i="6"/>
  <c r="BF174" i="6"/>
  <c r="BM174" i="6"/>
  <c r="BT805" i="6"/>
  <c r="BZ805" i="6"/>
  <c r="BF826" i="6"/>
  <c r="BG826" i="6" s="1"/>
  <c r="BM826" i="6"/>
  <c r="BN826" i="6" s="1"/>
  <c r="BO826" i="6" s="1"/>
  <c r="AP581" i="6"/>
  <c r="BG581" i="6" s="1"/>
  <c r="BI581" i="6" s="1"/>
  <c r="AN581" i="6" a="1"/>
  <c r="AN581" i="6" s="1"/>
  <c r="BZ581" i="6"/>
  <c r="BI860" i="6"/>
  <c r="BH860" i="6"/>
  <c r="J202" i="4" a="1"/>
  <c r="J202" i="4" s="1"/>
  <c r="AV1005" i="6" s="1"/>
  <c r="AU1005" i="6"/>
  <c r="AX1005" i="6" s="1"/>
  <c r="BU1005" i="6" s="1"/>
  <c r="BN357" i="6"/>
  <c r="BP357" i="6" s="1"/>
  <c r="BZ369" i="6"/>
  <c r="BT369" i="6"/>
  <c r="BT841" i="6"/>
  <c r="BZ841" i="6"/>
  <c r="BM631" i="6"/>
  <c r="BF631" i="6"/>
  <c r="BG631" i="6" s="1"/>
  <c r="BF764" i="6"/>
  <c r="BG764" i="6" s="1"/>
  <c r="BH764" i="6" s="1"/>
  <c r="BM764" i="6"/>
  <c r="BT999" i="6"/>
  <c r="BZ999" i="6"/>
  <c r="BT342" i="6"/>
  <c r="BZ342" i="6"/>
  <c r="BN381" i="6"/>
  <c r="AP58" i="6"/>
  <c r="AN58" i="6" a="1"/>
  <c r="AN58" i="6" s="1"/>
  <c r="BF208" i="6"/>
  <c r="BG208" i="6" s="1"/>
  <c r="BM208" i="6"/>
  <c r="BN208" i="6" s="1"/>
  <c r="BP208" i="6" s="1"/>
  <c r="BF598" i="6"/>
  <c r="BM598" i="6"/>
  <c r="AP913" i="6"/>
  <c r="BN913" i="6" s="1"/>
  <c r="BP913" i="6" s="1"/>
  <c r="AN913" i="6" a="1"/>
  <c r="AN913" i="6" s="1"/>
  <c r="BM18" i="6"/>
  <c r="BF18" i="6"/>
  <c r="BF217" i="6"/>
  <c r="BG217" i="6" s="1"/>
  <c r="BH217" i="6" s="1"/>
  <c r="BM217" i="6"/>
  <c r="BN217" i="6" s="1"/>
  <c r="AP230" i="6"/>
  <c r="AT230" i="6" s="1"/>
  <c r="AN230" i="6" a="1"/>
  <c r="AN230" i="6" s="1"/>
  <c r="AP12" i="6"/>
  <c r="AT12" i="6" s="1"/>
  <c r="AN12" i="6" a="1"/>
  <c r="AN12" i="6" s="1"/>
  <c r="AP314" i="6"/>
  <c r="AT314" i="6" s="1"/>
  <c r="AN314" i="6" a="1"/>
  <c r="AN314" i="6" s="1"/>
  <c r="BN176" i="6"/>
  <c r="AP495" i="6"/>
  <c r="AT495" i="6" s="1"/>
  <c r="AN495" i="6" a="1"/>
  <c r="AN495" i="6" s="1"/>
  <c r="BM248" i="6"/>
  <c r="BN248" i="6" s="1"/>
  <c r="BO248" i="6" s="1"/>
  <c r="BF248" i="6"/>
  <c r="AP836" i="6"/>
  <c r="AN836" i="6" a="1"/>
  <c r="AN836" i="6" s="1"/>
  <c r="BM329" i="6"/>
  <c r="BF329" i="6"/>
  <c r="AP999" i="6"/>
  <c r="AS999" i="6" s="1"/>
  <c r="AT999" i="6" s="1"/>
  <c r="AN999" i="6" a="1"/>
  <c r="AN999" i="6" s="1"/>
  <c r="BT786" i="6"/>
  <c r="BT540" i="6"/>
  <c r="BZ662" i="6"/>
  <c r="BT221" i="6"/>
  <c r="AN345" i="6" a="1"/>
  <c r="AN345" i="6" s="1"/>
  <c r="AN578" i="6" a="1"/>
  <c r="AN578" i="6" s="1"/>
  <c r="BT219" i="6"/>
  <c r="BZ219" i="6"/>
  <c r="AN647" i="6" a="1"/>
  <c r="AN647" i="6" s="1"/>
  <c r="BP288" i="6"/>
  <c r="BO288" i="6"/>
  <c r="BT797" i="6"/>
  <c r="BF998" i="6"/>
  <c r="BG998" i="6" s="1"/>
  <c r="BM998" i="6"/>
  <c r="BN998" i="6" s="1"/>
  <c r="BT626" i="6"/>
  <c r="BM57" i="6"/>
  <c r="BZ458" i="6"/>
  <c r="BT596" i="6"/>
  <c r="BZ596" i="6"/>
  <c r="BT629" i="6"/>
  <c r="BT700" i="6"/>
  <c r="BZ700" i="6"/>
  <c r="BT703" i="6"/>
  <c r="BZ703" i="6"/>
  <c r="BZ440" i="6"/>
  <c r="BT543" i="6"/>
  <c r="AT409" i="6"/>
  <c r="AN934" i="6" a="1"/>
  <c r="AN934" i="6" s="1"/>
  <c r="BM602" i="6"/>
  <c r="BZ791" i="6"/>
  <c r="BT791" i="6"/>
  <c r="AP996" i="6"/>
  <c r="AS996" i="6" s="1"/>
  <c r="AT996" i="6" s="1"/>
  <c r="AN966" i="6" a="1"/>
  <c r="AN966" i="6" s="1"/>
  <c r="AN803" i="6" a="1"/>
  <c r="AN803" i="6" s="1"/>
  <c r="BZ291" i="6"/>
  <c r="AN812" i="6" a="1"/>
  <c r="AN812" i="6" s="1"/>
  <c r="BT390" i="6"/>
  <c r="BM195" i="6"/>
  <c r="BN195" i="6" s="1"/>
  <c r="BP195" i="6" s="1"/>
  <c r="BM535" i="6"/>
  <c r="AP975" i="6"/>
  <c r="BG975" i="6" s="1"/>
  <c r="BN40" i="6"/>
  <c r="AP535" i="6"/>
  <c r="AT535" i="6" s="1"/>
  <c r="BM96" i="6"/>
  <c r="BT498" i="6"/>
  <c r="BZ498" i="6"/>
  <c r="BM586" i="6"/>
  <c r="BF586" i="6"/>
  <c r="BF63" i="6"/>
  <c r="BM63" i="6"/>
  <c r="BM859" i="6"/>
  <c r="BN859" i="6" s="1"/>
  <c r="BF859" i="6"/>
  <c r="BG859" i="6" s="1"/>
  <c r="BI859" i="6" s="1"/>
  <c r="AP374" i="6"/>
  <c r="AT374" i="6" s="1"/>
  <c r="AN374" i="6" a="1"/>
  <c r="AN374" i="6" s="1"/>
  <c r="AN815" i="6" a="1"/>
  <c r="AN815" i="6" s="1"/>
  <c r="AP815" i="6"/>
  <c r="AP259" i="6"/>
  <c r="AT259" i="6" s="1"/>
  <c r="AN259" i="6" a="1"/>
  <c r="AN259" i="6" s="1"/>
  <c r="BZ789" i="6"/>
  <c r="BT789" i="6"/>
  <c r="AP629" i="6"/>
  <c r="BN629" i="6" s="1"/>
  <c r="AN629" i="6" a="1"/>
  <c r="AN629" i="6" s="1"/>
  <c r="AN122" i="6" a="1"/>
  <c r="AN122" i="6" s="1"/>
  <c r="AP122" i="6"/>
  <c r="BF332" i="6"/>
  <c r="BG332" i="6" s="1"/>
  <c r="BI332" i="6" s="1"/>
  <c r="BM332" i="6"/>
  <c r="BN332" i="6" s="1"/>
  <c r="BP332" i="6" s="1"/>
  <c r="AN568" i="6" a="1"/>
  <c r="AN568" i="6" s="1"/>
  <c r="AP568" i="6"/>
  <c r="AT568" i="6" s="1"/>
  <c r="BF429" i="6"/>
  <c r="AT148" i="6"/>
  <c r="AP48" i="6"/>
  <c r="BN48" i="6" s="1"/>
  <c r="BP48" i="6" s="1"/>
  <c r="AN48" i="6" a="1"/>
  <c r="AN48" i="6" s="1"/>
  <c r="AN799" i="6" a="1"/>
  <c r="AN799" i="6" s="1"/>
  <c r="AP799" i="6"/>
  <c r="AP245" i="6"/>
  <c r="AT245" i="6" s="1"/>
  <c r="AN245" i="6" a="1"/>
  <c r="AN245" i="6" s="1"/>
  <c r="BZ541" i="6"/>
  <c r="BT541" i="6"/>
  <c r="BZ407" i="6"/>
  <c r="BT407" i="6"/>
  <c r="BT483" i="6"/>
  <c r="BZ483" i="6"/>
  <c r="BZ62" i="6"/>
  <c r="BT62" i="6"/>
  <c r="BZ731" i="6"/>
  <c r="BT731" i="6"/>
  <c r="BF357" i="6"/>
  <c r="BG357" i="6" s="1"/>
  <c r="BI357" i="6" s="1"/>
  <c r="BM636" i="6"/>
  <c r="BF685" i="6"/>
  <c r="BM90" i="6"/>
  <c r="BM910" i="6"/>
  <c r="BF381" i="6"/>
  <c r="BG381" i="6" s="1"/>
  <c r="BT911" i="6"/>
  <c r="BZ417" i="6"/>
  <c r="BF222" i="6"/>
  <c r="BF1011" i="6"/>
  <c r="BG1011" i="6" s="1"/>
  <c r="BT624" i="6"/>
  <c r="BM536" i="6"/>
  <c r="BM1004" i="6"/>
  <c r="BF1004" i="6"/>
  <c r="AN648" i="6" a="1"/>
  <c r="AN648" i="6" s="1"/>
  <c r="BF378" i="6"/>
  <c r="BG378" i="6" s="1"/>
  <c r="BT852" i="6"/>
  <c r="AN318" i="6" a="1"/>
  <c r="AN318" i="6" s="1"/>
  <c r="BM293" i="6"/>
  <c r="BN293" i="6" s="1"/>
  <c r="AP432" i="6"/>
  <c r="AT432" i="6" s="1"/>
  <c r="AP268" i="6"/>
  <c r="AN971" i="6" a="1"/>
  <c r="AN971" i="6" s="1"/>
  <c r="BF162" i="6"/>
  <c r="BM705" i="6"/>
  <c r="BM442" i="6"/>
  <c r="BZ621" i="6"/>
  <c r="BT621" i="6"/>
  <c r="BT441" i="6"/>
  <c r="BZ441" i="6"/>
  <c r="BM209" i="6"/>
  <c r="BT473" i="6"/>
  <c r="BZ473" i="6"/>
  <c r="AN349" i="6" a="1"/>
  <c r="AN349" i="6" s="1"/>
  <c r="BZ482" i="6"/>
  <c r="BZ462" i="6"/>
  <c r="BT462" i="6"/>
  <c r="BZ19" i="6"/>
  <c r="AP19" i="6"/>
  <c r="BZ906" i="6"/>
  <c r="AP886" i="6"/>
  <c r="AT886" i="6" s="1"/>
  <c r="AN307" i="6" a="1"/>
  <c r="AN307" i="6" s="1"/>
  <c r="AP974" i="6"/>
  <c r="AT974" i="6" s="1"/>
  <c r="BZ752" i="6"/>
  <c r="BZ111" i="6"/>
  <c r="AP945" i="6"/>
  <c r="AN238" i="6" a="1"/>
  <c r="AN238" i="6" s="1"/>
  <c r="BZ331" i="6"/>
  <c r="BZ885" i="6"/>
  <c r="BT885" i="6"/>
  <c r="BM827" i="6"/>
  <c r="AN16" i="6" a="1"/>
  <c r="AN16" i="6" s="1"/>
  <c r="BT465" i="6"/>
  <c r="BM431" i="6"/>
  <c r="BT185" i="6"/>
  <c r="BZ169" i="6"/>
  <c r="BZ121" i="6"/>
  <c r="AP24" i="6"/>
  <c r="AT24" i="6" s="1"/>
  <c r="AU998" i="6"/>
  <c r="AX998" i="6" s="1"/>
  <c r="BA998" i="6" s="1"/>
  <c r="BB998" i="6" s="1"/>
  <c r="BZ953" i="6"/>
  <c r="AP824" i="6"/>
  <c r="AT824" i="6" s="1"/>
  <c r="AP25" i="6"/>
  <c r="BG25" i="6" s="1"/>
  <c r="BI25" i="6" s="1"/>
  <c r="BT294" i="6"/>
  <c r="BT446" i="6"/>
  <c r="AN370" i="6" a="1"/>
  <c r="AN370" i="6" s="1"/>
  <c r="AP370" i="6"/>
  <c r="AP572" i="6"/>
  <c r="BG572" i="6" s="1"/>
  <c r="BI572" i="6" s="1"/>
  <c r="BM295" i="6"/>
  <c r="BN295" i="6" s="1"/>
  <c r="BF295" i="6"/>
  <c r="BG295" i="6" s="1"/>
  <c r="BZ860" i="6"/>
  <c r="AP414" i="6"/>
  <c r="AT414" i="6" s="1"/>
  <c r="AN414" i="6" a="1"/>
  <c r="AN414" i="6" s="1"/>
  <c r="BZ227" i="6"/>
  <c r="AP863" i="6"/>
  <c r="AN863" i="6" a="1"/>
  <c r="AN863" i="6" s="1"/>
  <c r="BT482" i="6"/>
  <c r="BM88" i="6"/>
  <c r="BF88" i="6"/>
  <c r="BM513" i="6"/>
  <c r="BM131" i="6"/>
  <c r="BF131" i="6"/>
  <c r="BG131" i="6" s="1"/>
  <c r="AN193" i="6" a="1"/>
  <c r="AN193" i="6" s="1"/>
  <c r="AP193" i="6"/>
  <c r="AT193" i="6" s="1"/>
  <c r="BF334" i="6"/>
  <c r="BM334" i="6"/>
  <c r="BZ1007" i="6"/>
  <c r="BT1007" i="6"/>
  <c r="AP417" i="6"/>
  <c r="BN417" i="6" s="1"/>
  <c r="BP417" i="6" s="1"/>
  <c r="AN417" i="6" a="1"/>
  <c r="AN417" i="6" s="1"/>
  <c r="AP851" i="6"/>
  <c r="AN851" i="6" a="1"/>
  <c r="AN851" i="6" s="1"/>
  <c r="BZ182" i="6"/>
  <c r="BT182" i="6"/>
  <c r="AP683" i="6"/>
  <c r="BN683" i="6" s="1"/>
  <c r="AN683" i="6" a="1"/>
  <c r="AN683" i="6" s="1"/>
  <c r="AP947" i="6"/>
  <c r="AT947" i="6" s="1"/>
  <c r="AN947" i="6" a="1"/>
  <c r="AN947" i="6" s="1"/>
  <c r="AP972" i="6"/>
  <c r="AN972" i="6" a="1"/>
  <c r="AN972" i="6" s="1"/>
  <c r="AP449" i="6"/>
  <c r="AN449" i="6" a="1"/>
  <c r="AN449" i="6" s="1"/>
  <c r="BT1009" i="6"/>
  <c r="BZ1009" i="6"/>
  <c r="BT216" i="6"/>
  <c r="BZ69" i="6"/>
  <c r="BZ947" i="6"/>
  <c r="BT907" i="6"/>
  <c r="BZ258" i="6"/>
  <c r="BT258" i="6"/>
  <c r="BZ968" i="6"/>
  <c r="BZ418" i="6"/>
  <c r="BT32" i="6"/>
  <c r="BT133" i="6"/>
  <c r="BZ285" i="6"/>
  <c r="BT63" i="6"/>
  <c r="BZ63" i="6"/>
  <c r="BT109" i="6"/>
  <c r="BZ109" i="6"/>
  <c r="BT8" i="6"/>
  <c r="BZ8" i="6"/>
  <c r="BT906" i="6"/>
  <c r="BZ465" i="6"/>
  <c r="BZ185" i="6"/>
  <c r="BT372" i="6"/>
  <c r="BT756" i="6"/>
  <c r="BF723" i="6"/>
  <c r="BG723" i="6" s="1"/>
  <c r="BI723" i="6" s="1"/>
  <c r="BM723" i="6"/>
  <c r="BN723" i="6" s="1"/>
  <c r="BT86" i="6"/>
  <c r="BZ86" i="6"/>
  <c r="AN81" i="6" a="1"/>
  <c r="AN81" i="6" s="1"/>
  <c r="AP81" i="6"/>
  <c r="AT81" i="6" s="1"/>
  <c r="AN636" i="6" a="1"/>
  <c r="AN636" i="6" s="1"/>
  <c r="AP636" i="6"/>
  <c r="BZ14" i="6"/>
  <c r="BT14" i="6"/>
  <c r="BM267" i="6"/>
  <c r="BF544" i="6"/>
  <c r="BM544" i="6"/>
  <c r="BT818" i="6"/>
  <c r="BZ818" i="6"/>
  <c r="AP699" i="6"/>
  <c r="AT699" i="6" s="1"/>
  <c r="AN699" i="6" a="1"/>
  <c r="AN699" i="6" s="1"/>
  <c r="BF252" i="6"/>
  <c r="BG252" i="6" s="1"/>
  <c r="BM252" i="6"/>
  <c r="BN252" i="6" s="1"/>
  <c r="BO252" i="6" s="1"/>
  <c r="BZ847" i="6"/>
  <c r="BT847" i="6"/>
  <c r="AN113" i="6" a="1"/>
  <c r="AN113" i="6" s="1"/>
  <c r="AP113" i="6"/>
  <c r="AN450" i="6" a="1"/>
  <c r="AN450" i="6" s="1"/>
  <c r="AP450" i="6"/>
  <c r="BG450" i="6" s="1"/>
  <c r="BI450" i="6" s="1"/>
  <c r="BZ1013" i="6"/>
  <c r="BT1013" i="6"/>
  <c r="BU1013" i="6" s="1"/>
  <c r="BV1013" i="6" s="1"/>
  <c r="AP893" i="6"/>
  <c r="AT893" i="6" s="1"/>
  <c r="AN893" i="6" a="1"/>
  <c r="AN893" i="6" s="1"/>
  <c r="BG345" i="6"/>
  <c r="BF111" i="6"/>
  <c r="BM111" i="6"/>
  <c r="BT1010" i="6"/>
  <c r="BZ1010" i="6"/>
  <c r="BT612" i="6"/>
  <c r="BZ788" i="6"/>
  <c r="BT924" i="6"/>
  <c r="BT926" i="6"/>
  <c r="BZ966" i="6"/>
  <c r="BF972" i="6"/>
  <c r="BZ412" i="6"/>
  <c r="BT236" i="6"/>
  <c r="BT954" i="6"/>
  <c r="BT510" i="6"/>
  <c r="AP988" i="6"/>
  <c r="AT988" i="6" s="1"/>
  <c r="AN620" i="6" a="1"/>
  <c r="AN620" i="6" s="1"/>
  <c r="BM474" i="6"/>
  <c r="BT410" i="6"/>
  <c r="BZ410" i="6"/>
  <c r="BF983" i="6"/>
  <c r="AN539" i="6" a="1"/>
  <c r="AN539" i="6" s="1"/>
  <c r="BZ640" i="6"/>
  <c r="AN295" i="6" a="1"/>
  <c r="AN295" i="6" s="1"/>
  <c r="BF335" i="6"/>
  <c r="AP930" i="6"/>
  <c r="AT930" i="6" s="1"/>
  <c r="BZ260" i="6"/>
  <c r="AN506" i="6" a="1"/>
  <c r="AN506" i="6" s="1"/>
  <c r="AP92" i="6"/>
  <c r="AP533" i="6"/>
  <c r="BT361" i="6"/>
  <c r="BF464" i="6"/>
  <c r="BG464" i="6" s="1"/>
  <c r="BH464" i="6" s="1"/>
  <c r="BZ795" i="6"/>
  <c r="BF982" i="6"/>
  <c r="BG982" i="6" s="1"/>
  <c r="BI982" i="6" s="1"/>
  <c r="AN443" i="6" a="1"/>
  <c r="AN443" i="6" s="1"/>
  <c r="BF703" i="6"/>
  <c r="AN148" i="6" a="1"/>
  <c r="AN148" i="6" s="1"/>
  <c r="BT344" i="6"/>
  <c r="BZ344" i="6"/>
  <c r="AP428" i="6"/>
  <c r="BG428" i="6" s="1"/>
  <c r="AP866" i="6"/>
  <c r="AN866" i="6" a="1"/>
  <c r="AN866" i="6" s="1"/>
  <c r="AP476" i="6"/>
  <c r="AN476" i="6" a="1"/>
  <c r="AN476" i="6" s="1"/>
  <c r="AP532" i="6"/>
  <c r="BT336" i="6"/>
  <c r="BZ336" i="6"/>
  <c r="AP814" i="6"/>
  <c r="AN814" i="6" a="1"/>
  <c r="AN814" i="6" s="1"/>
  <c r="BZ781" i="6"/>
  <c r="BT781" i="6"/>
  <c r="AP53" i="6"/>
  <c r="AT53" i="6" s="1"/>
  <c r="AN53" i="6" a="1"/>
  <c r="AN53" i="6" s="1"/>
  <c r="BZ52" i="6"/>
  <c r="BT52" i="6"/>
  <c r="AP710" i="6"/>
  <c r="BN710" i="6" s="1"/>
  <c r="BP710" i="6" s="1"/>
  <c r="BT438" i="6"/>
  <c r="BZ438" i="6"/>
  <c r="AT755" i="6"/>
  <c r="BN934" i="6"/>
  <c r="BO934" i="6" s="1"/>
  <c r="AN656" i="6" a="1"/>
  <c r="AN656" i="6" s="1"/>
  <c r="AP656" i="6"/>
  <c r="AT656" i="6" s="1"/>
  <c r="AN32" i="6" a="1"/>
  <c r="AN32" i="6" s="1"/>
  <c r="AP32" i="6"/>
  <c r="BM401" i="6"/>
  <c r="BN401" i="6" s="1"/>
  <c r="BP401" i="6" s="1"/>
  <c r="BF401" i="6"/>
  <c r="BG401" i="6" s="1"/>
  <c r="BI401" i="6" s="1"/>
  <c r="BM742" i="6"/>
  <c r="BN742" i="6" s="1"/>
  <c r="AP758" i="6"/>
  <c r="BG758" i="6" s="1"/>
  <c r="BI758" i="6" s="1"/>
  <c r="AN758" i="6" a="1"/>
  <c r="AN758" i="6" s="1"/>
  <c r="BT79" i="6"/>
  <c r="BZ79" i="6"/>
  <c r="BM872" i="6"/>
  <c r="BN872" i="6" s="1"/>
  <c r="BF872" i="6"/>
  <c r="BT67" i="6"/>
  <c r="BZ67" i="6"/>
  <c r="AP874" i="6"/>
  <c r="AT874" i="6" s="1"/>
  <c r="AN483" i="6" a="1"/>
  <c r="AN483" i="6" s="1"/>
  <c r="AS1013" i="6"/>
  <c r="AT1013" i="6" s="1"/>
  <c r="BM1013" i="6"/>
  <c r="BN1013" i="6" s="1"/>
  <c r="BO1013" i="6" s="1"/>
  <c r="BT832" i="6"/>
  <c r="BF169" i="6"/>
  <c r="BG169" i="6" s="1"/>
  <c r="BZ398" i="6"/>
  <c r="BT840" i="6"/>
  <c r="BZ840" i="6"/>
  <c r="BZ236" i="6"/>
  <c r="BZ806" i="6"/>
  <c r="AN140" i="6" a="1"/>
  <c r="AN140" i="6" s="1"/>
  <c r="BT664" i="6"/>
  <c r="BZ42" i="6"/>
  <c r="BT459" i="6"/>
  <c r="BT544" i="6"/>
  <c r="BT160" i="6"/>
  <c r="AN342" i="6" a="1"/>
  <c r="AN342" i="6" s="1"/>
  <c r="AP51" i="6"/>
  <c r="AT51" i="6" s="1"/>
  <c r="BZ845" i="6"/>
  <c r="BG148" i="6"/>
  <c r="BH148" i="6" s="1"/>
  <c r="BF393" i="6"/>
  <c r="BN44" i="6"/>
  <c r="BO44" i="6" s="1"/>
  <c r="AP265" i="6"/>
  <c r="AP14" i="6"/>
  <c r="BN14" i="6" s="1"/>
  <c r="BP14" i="6" s="1"/>
  <c r="BT114" i="6"/>
  <c r="BZ114" i="6"/>
  <c r="AN879" i="6" a="1"/>
  <c r="AN879" i="6" s="1"/>
  <c r="BT260" i="6"/>
  <c r="BF773" i="6"/>
  <c r="AP633" i="6"/>
  <c r="AN217" i="6" a="1"/>
  <c r="AN217" i="6" s="1"/>
  <c r="AN717" i="6" a="1"/>
  <c r="AN717" i="6" s="1"/>
  <c r="AN399" i="6" a="1"/>
  <c r="AN399" i="6" s="1"/>
  <c r="BZ681" i="6"/>
  <c r="BN982" i="6"/>
  <c r="BP982" i="6" s="1"/>
  <c r="BF524" i="6"/>
  <c r="BT696" i="6"/>
  <c r="AP355" i="6"/>
  <c r="BN355" i="6" s="1"/>
  <c r="BO355" i="6" s="1"/>
  <c r="AP174" i="6"/>
  <c r="AP353" i="6"/>
  <c r="AT353" i="6" s="1"/>
  <c r="AN353" i="6" a="1"/>
  <c r="AN353" i="6" s="1"/>
  <c r="BM110" i="6"/>
  <c r="BN110" i="6" s="1"/>
  <c r="AN592" i="6" a="1"/>
  <c r="AN592" i="6" s="1"/>
  <c r="BM345" i="6"/>
  <c r="BN345" i="6" s="1"/>
  <c r="BO345" i="6" s="1"/>
  <c r="AN761" i="6" a="1"/>
  <c r="AN761" i="6" s="1"/>
  <c r="AP761" i="6"/>
  <c r="AT761" i="6" s="1"/>
  <c r="BT138" i="6"/>
  <c r="BZ138" i="6"/>
  <c r="BZ650" i="6"/>
  <c r="BT650" i="6"/>
  <c r="AN114" i="6" a="1"/>
  <c r="AN114" i="6" s="1"/>
  <c r="AP114" i="6"/>
  <c r="AT114" i="6" s="1"/>
  <c r="BZ204" i="6"/>
  <c r="BT204" i="6"/>
  <c r="AP127" i="6"/>
  <c r="AN127" i="6" a="1"/>
  <c r="AN127" i="6" s="1"/>
  <c r="AN862" i="6" a="1"/>
  <c r="AN862" i="6" s="1"/>
  <c r="AP862" i="6"/>
  <c r="AN72" i="6" a="1"/>
  <c r="AN72" i="6" s="1"/>
  <c r="AP72" i="6"/>
  <c r="AN871" i="6" a="1"/>
  <c r="AN871" i="6" s="1"/>
  <c r="AP871" i="6"/>
  <c r="BG871" i="6" s="1"/>
  <c r="BI871" i="6" s="1"/>
  <c r="BF331" i="6"/>
  <c r="BG331" i="6" s="1"/>
  <c r="BM331" i="6"/>
  <c r="BN331" i="6" s="1"/>
  <c r="BP331" i="6" s="1"/>
  <c r="AN625" i="6" a="1"/>
  <c r="AN625" i="6" s="1"/>
  <c r="AP625" i="6"/>
  <c r="BF318" i="6"/>
  <c r="BG318" i="6" s="1"/>
  <c r="BM318" i="6"/>
  <c r="BN318" i="6" s="1"/>
  <c r="AN807" i="6" a="1"/>
  <c r="AN807" i="6" s="1"/>
  <c r="AP807" i="6"/>
  <c r="BG807" i="6" s="1"/>
  <c r="BZ64" i="6"/>
  <c r="AP822" i="6"/>
  <c r="AT822" i="6" s="1"/>
  <c r="AN822" i="6" a="1"/>
  <c r="AN822" i="6" s="1"/>
  <c r="AN254" i="6" a="1"/>
  <c r="AN254" i="6" s="1"/>
  <c r="AN924" i="6" a="1"/>
  <c r="AN924" i="6" s="1"/>
  <c r="AP924" i="6"/>
  <c r="AT924" i="6" s="1"/>
  <c r="BZ954" i="6"/>
  <c r="BM361" i="6"/>
  <c r="BF361" i="6"/>
  <c r="BT165" i="6"/>
  <c r="BT42" i="6"/>
  <c r="BZ780" i="6"/>
  <c r="BT780" i="6"/>
  <c r="BZ81" i="6"/>
  <c r="BZ926" i="6"/>
  <c r="BF574" i="6"/>
  <c r="BM574" i="6"/>
  <c r="BT76" i="6"/>
  <c r="BZ76" i="6"/>
  <c r="BZ664" i="6"/>
  <c r="J44" i="4" a="1"/>
  <c r="J44" i="4" s="1"/>
  <c r="AV1000" i="6" s="1"/>
  <c r="AU1000" i="6"/>
  <c r="AX1000" i="6" s="1"/>
  <c r="BM223" i="6"/>
  <c r="BN223" i="6" s="1"/>
  <c r="BO223" i="6" s="1"/>
  <c r="BF223" i="6"/>
  <c r="BG223" i="6" s="1"/>
  <c r="BI223" i="6" s="1"/>
  <c r="BZ61" i="6"/>
  <c r="BT61" i="6"/>
  <c r="AN839" i="6" a="1"/>
  <c r="AN839" i="6" s="1"/>
  <c r="AP839" i="6"/>
  <c r="AN956" i="6" a="1"/>
  <c r="AN956" i="6" s="1"/>
  <c r="AP956" i="6"/>
  <c r="AT956" i="6" s="1"/>
  <c r="AN27" i="6" a="1"/>
  <c r="AN27" i="6" s="1"/>
  <c r="AP27" i="6"/>
  <c r="BG27" i="6" s="1"/>
  <c r="BM472" i="6"/>
  <c r="BN472" i="6" s="1"/>
  <c r="BO472" i="6" s="1"/>
  <c r="BF472" i="6"/>
  <c r="BG472" i="6" s="1"/>
  <c r="BH472" i="6" s="1"/>
  <c r="AP369" i="6"/>
  <c r="AT369" i="6" s="1"/>
  <c r="AN369" i="6" a="1"/>
  <c r="AN369" i="6" s="1"/>
  <c r="AN692" i="6" a="1"/>
  <c r="AN692" i="6" s="1"/>
  <c r="AP692" i="6"/>
  <c r="BZ610" i="6"/>
  <c r="BT610" i="6"/>
  <c r="AP13" i="6"/>
  <c r="AN13" i="6" a="1"/>
  <c r="AN13" i="6" s="1"/>
  <c r="BT412" i="6"/>
  <c r="AN880" i="6" a="1"/>
  <c r="AN880" i="6" s="1"/>
  <c r="AP880" i="6"/>
  <c r="AT880" i="6" s="1"/>
  <c r="AP732" i="6"/>
  <c r="BG732" i="6" s="1"/>
  <c r="BH732" i="6" s="1"/>
  <c r="AN732" i="6" a="1"/>
  <c r="AN732" i="6" s="1"/>
  <c r="BF130" i="6"/>
  <c r="BG130" i="6" s="1"/>
  <c r="BI130" i="6" s="1"/>
  <c r="BM130" i="6"/>
  <c r="BZ250" i="6"/>
  <c r="BT250" i="6"/>
  <c r="AP705" i="6"/>
  <c r="AT705" i="6" s="1"/>
  <c r="AN94" i="6" a="1"/>
  <c r="AN94" i="6" s="1"/>
  <c r="AN469" i="6" a="1"/>
  <c r="AN469" i="6" s="1"/>
  <c r="AP469" i="6"/>
  <c r="AT469" i="6" s="1"/>
  <c r="BF934" i="6"/>
  <c r="BG934" i="6" s="1"/>
  <c r="BH934" i="6" s="1"/>
  <c r="AN527" i="6" a="1"/>
  <c r="AN527" i="6" s="1"/>
  <c r="AP527" i="6"/>
  <c r="AP212" i="6"/>
  <c r="AT212" i="6" s="1"/>
  <c r="AN212" i="6" a="1"/>
  <c r="AN212" i="6" s="1"/>
  <c r="AN197" i="6" a="1"/>
  <c r="AN197" i="6" s="1"/>
  <c r="AP197" i="6"/>
  <c r="BF770" i="6"/>
  <c r="BT622" i="6"/>
  <c r="BZ622" i="6"/>
  <c r="BF793" i="6"/>
  <c r="AP816" i="6"/>
  <c r="AT816" i="6" s="1"/>
  <c r="BT844" i="6"/>
  <c r="BZ844" i="6"/>
  <c r="BT819" i="6"/>
  <c r="BZ819" i="6"/>
  <c r="AP660" i="6"/>
  <c r="BZ702" i="6"/>
  <c r="BT702" i="6"/>
  <c r="BZ387" i="6"/>
  <c r="BT387" i="6"/>
  <c r="AN317" i="6" a="1"/>
  <c r="AN317" i="6" s="1"/>
  <c r="BZ282" i="6"/>
  <c r="BZ984" i="6"/>
  <c r="BT984" i="6"/>
  <c r="BM879" i="6"/>
  <c r="BN879" i="6" s="1"/>
  <c r="BZ468" i="6"/>
  <c r="AP389" i="6"/>
  <c r="BM75" i="6"/>
  <c r="BN75" i="6" s="1"/>
  <c r="BP75" i="6" s="1"/>
  <c r="BM403" i="6"/>
  <c r="BF403" i="6"/>
  <c r="BT468" i="6"/>
  <c r="AP136" i="6"/>
  <c r="AT136" i="6" s="1"/>
  <c r="BF551" i="6"/>
  <c r="BM551" i="6"/>
  <c r="BF802" i="6"/>
  <c r="BG802" i="6" s="1"/>
  <c r="BH802" i="6" s="1"/>
  <c r="BM802" i="6"/>
  <c r="BN802" i="6" s="1"/>
  <c r="BP802" i="6" s="1"/>
  <c r="AN520" i="6" a="1"/>
  <c r="AN520" i="6" s="1"/>
  <c r="AP520" i="6"/>
  <c r="AT520" i="6" s="1"/>
  <c r="AP890" i="6"/>
  <c r="AT890" i="6" s="1"/>
  <c r="AN890" i="6" a="1"/>
  <c r="AN890" i="6" s="1"/>
  <c r="BZ603" i="6"/>
  <c r="BT603" i="6"/>
  <c r="BZ887" i="6"/>
  <c r="BT34" i="6"/>
  <c r="BZ34" i="6"/>
  <c r="BT356" i="6"/>
  <c r="BT723" i="6"/>
  <c r="BZ723" i="6"/>
  <c r="BG879" i="6"/>
  <c r="BI879" i="6" s="1"/>
  <c r="BT228" i="6"/>
  <c r="AP682" i="6"/>
  <c r="BG682" i="6" s="1"/>
  <c r="BH682" i="6" s="1"/>
  <c r="AP830" i="6"/>
  <c r="AT830" i="6" s="1"/>
  <c r="AP767" i="6"/>
  <c r="AN767" i="6" a="1"/>
  <c r="AN767" i="6" s="1"/>
  <c r="BM373" i="6"/>
  <c r="BF373" i="6"/>
  <c r="BG373" i="6" s="1"/>
  <c r="BZ303" i="6"/>
  <c r="BM503" i="6"/>
  <c r="BN503" i="6" s="1"/>
  <c r="BP503" i="6" s="1"/>
  <c r="BF503" i="6"/>
  <c r="BG503" i="6" s="1"/>
  <c r="BT680" i="6"/>
  <c r="BZ680" i="6"/>
  <c r="BT308" i="6"/>
  <c r="BZ308" i="6"/>
  <c r="BZ618" i="6"/>
  <c r="BT618" i="6"/>
  <c r="BZ995" i="6"/>
  <c r="BT995" i="6"/>
  <c r="AN1020" i="6" a="1"/>
  <c r="AN1020" i="6" s="1"/>
  <c r="AP1020" i="6"/>
  <c r="BM292" i="6"/>
  <c r="BF292" i="6"/>
  <c r="BZ615" i="6"/>
  <c r="BT615" i="6"/>
  <c r="BT878" i="6"/>
  <c r="BZ51" i="6"/>
  <c r="BT51" i="6"/>
  <c r="BM973" i="6"/>
  <c r="BN973" i="6" s="1"/>
  <c r="BO973" i="6" s="1"/>
  <c r="BF973" i="6"/>
  <c r="BG973" i="6" s="1"/>
  <c r="BH973" i="6" s="1"/>
  <c r="AP513" i="6"/>
  <c r="BG513" i="6" s="1"/>
  <c r="AN513" i="6" a="1"/>
  <c r="AN513" i="6" s="1"/>
  <c r="BM518" i="6"/>
  <c r="BN518" i="6" s="1"/>
  <c r="BF518" i="6"/>
  <c r="BG518" i="6" s="1"/>
  <c r="BH518" i="6" s="1"/>
  <c r="AP721" i="6"/>
  <c r="AN721" i="6" a="1"/>
  <c r="AN721" i="6" s="1"/>
  <c r="AN652" i="6" a="1"/>
  <c r="AN652" i="6" s="1"/>
  <c r="AP652" i="6"/>
  <c r="AT652" i="6" s="1"/>
  <c r="AP1015" i="6"/>
  <c r="AS1015" i="6" s="1"/>
  <c r="AT1015" i="6" s="1"/>
  <c r="AN1015" i="6" a="1"/>
  <c r="AN1015" i="6" s="1"/>
  <c r="BT505" i="6"/>
  <c r="BT792" i="6"/>
  <c r="BZ427" i="6"/>
  <c r="BF992" i="6"/>
  <c r="AP952" i="6"/>
  <c r="AT952" i="6" s="1"/>
  <c r="BT609" i="6"/>
  <c r="BZ609" i="6"/>
  <c r="BZ329" i="6"/>
  <c r="BM768" i="6"/>
  <c r="BF768" i="6"/>
  <c r="AN540" i="6" a="1"/>
  <c r="AN540" i="6" s="1"/>
  <c r="AP540" i="6"/>
  <c r="AT540" i="6" s="1"/>
  <c r="AN669" i="6" a="1"/>
  <c r="AN669" i="6" s="1"/>
  <c r="AP190" i="6"/>
  <c r="AT190" i="6" s="1"/>
  <c r="AN190" i="6" a="1"/>
  <c r="AN190" i="6" s="1"/>
  <c r="AN984" i="6" a="1"/>
  <c r="AN984" i="6" s="1"/>
  <c r="AP984" i="6"/>
  <c r="BN984" i="6" s="1"/>
  <c r="BO984" i="6" s="1"/>
  <c r="BT639" i="6"/>
  <c r="BZ639" i="6"/>
  <c r="AP71" i="6"/>
  <c r="AT71" i="6" s="1"/>
  <c r="AN71" i="6" a="1"/>
  <c r="AN71" i="6" s="1"/>
  <c r="AP421" i="6"/>
  <c r="BN421" i="6" s="1"/>
  <c r="BO421" i="6" s="1"/>
  <c r="AN421" i="6" a="1"/>
  <c r="AN421" i="6" s="1"/>
  <c r="BZ742" i="6"/>
  <c r="BT742" i="6"/>
  <c r="BT12" i="6"/>
  <c r="BZ762" i="6"/>
  <c r="BT964" i="6"/>
  <c r="BG409" i="6"/>
  <c r="AP611" i="6"/>
  <c r="AT611" i="6" s="1"/>
  <c r="AP179" i="6"/>
  <c r="AT179" i="6" s="1"/>
  <c r="BF525" i="6"/>
  <c r="BG525" i="6" s="1"/>
  <c r="BH525" i="6" s="1"/>
  <c r="BN755" i="6"/>
  <c r="BP755" i="6" s="1"/>
  <c r="AP941" i="6"/>
  <c r="BN941" i="6" s="1"/>
  <c r="BP941" i="6" s="1"/>
  <c r="AP990" i="6"/>
  <c r="AT990" i="6" s="1"/>
  <c r="AN690" i="6" a="1"/>
  <c r="AN690" i="6" s="1"/>
  <c r="BF372" i="6"/>
  <c r="AP901" i="6"/>
  <c r="AT901" i="6" s="1"/>
  <c r="BF942" i="6"/>
  <c r="BM426" i="6"/>
  <c r="AN4" i="6" a="1"/>
  <c r="AN4" i="6" s="1"/>
  <c r="BF306" i="6"/>
  <c r="AP909" i="6"/>
  <c r="BG909" i="6" s="1"/>
  <c r="BF903" i="6"/>
  <c r="BG903" i="6" s="1"/>
  <c r="BI903" i="6" s="1"/>
  <c r="BT155" i="6"/>
  <c r="AN518" i="6" a="1"/>
  <c r="AN518" i="6" s="1"/>
  <c r="AN439" i="6" a="1"/>
  <c r="AN439" i="6" s="1"/>
  <c r="AP439" i="6"/>
  <c r="AP821" i="6"/>
  <c r="AT821" i="6" s="1"/>
  <c r="AN821" i="6" a="1"/>
  <c r="AN821" i="6" s="1"/>
  <c r="AP725" i="6"/>
  <c r="AN725" i="6" a="1"/>
  <c r="AN725" i="6" s="1"/>
  <c r="AP405" i="6"/>
  <c r="AT405" i="6" s="1"/>
  <c r="AN405" i="6" a="1"/>
  <c r="AN405" i="6" s="1"/>
  <c r="BN831" i="6"/>
  <c r="AN1024" i="6" a="1"/>
  <c r="AN1024" i="6" s="1"/>
  <c r="AP1024" i="6"/>
  <c r="BN1024" i="6" s="1"/>
  <c r="BT96" i="6"/>
  <c r="AP119" i="6"/>
  <c r="AN119" i="6" a="1"/>
  <c r="AN119" i="6" s="1"/>
  <c r="AP541" i="6"/>
  <c r="AT541" i="6" s="1"/>
  <c r="AN541" i="6" a="1"/>
  <c r="AN541" i="6" s="1"/>
  <c r="AN473" i="6" a="1"/>
  <c r="AN473" i="6" s="1"/>
  <c r="AP473" i="6"/>
  <c r="BN473" i="6" s="1"/>
  <c r="AN393" i="6" a="1"/>
  <c r="AN393" i="6" s="1"/>
  <c r="AP393" i="6"/>
  <c r="AT393" i="6" s="1"/>
  <c r="AP948" i="6"/>
  <c r="AT948" i="6" s="1"/>
  <c r="AN948" i="6" a="1"/>
  <c r="AN948" i="6" s="1"/>
  <c r="AP418" i="6"/>
  <c r="AT418" i="6" s="1"/>
  <c r="AN418" i="6" a="1"/>
  <c r="AN418" i="6" s="1"/>
  <c r="AP194" i="6"/>
  <c r="AT194" i="6" s="1"/>
  <c r="AP777" i="6"/>
  <c r="BN777" i="6" s="1"/>
  <c r="AP167" i="6"/>
  <c r="BG167" i="6" s="1"/>
  <c r="AP82" i="6"/>
  <c r="AN282" i="6" a="1"/>
  <c r="AN282" i="6" s="1"/>
  <c r="AN29" i="6" a="1"/>
  <c r="AN29" i="6" s="1"/>
  <c r="AN954" i="6" a="1"/>
  <c r="AN954" i="6" s="1"/>
  <c r="BN754" i="6"/>
  <c r="BP754" i="6" s="1"/>
  <c r="AP137" i="6"/>
  <c r="BG137" i="6" s="1"/>
  <c r="AN491" i="6" a="1"/>
  <c r="AN491" i="6" s="1"/>
  <c r="BM304" i="6"/>
  <c r="AP335" i="6"/>
  <c r="AP56" i="6"/>
  <c r="BG56" i="6" s="1"/>
  <c r="BH56" i="6" s="1"/>
  <c r="BM759" i="6"/>
  <c r="AP888" i="6"/>
  <c r="BN888" i="6" s="1"/>
  <c r="BF979" i="6"/>
  <c r="BG979" i="6" s="1"/>
  <c r="AN548" i="6" a="1"/>
  <c r="AN548" i="6" s="1"/>
  <c r="AN75" i="6" a="1"/>
  <c r="AN75" i="6" s="1"/>
  <c r="BF343" i="6"/>
  <c r="AN377" i="6" a="1"/>
  <c r="AN377" i="6" s="1"/>
  <c r="AP942" i="6"/>
  <c r="AN264" i="6" a="1"/>
  <c r="AN264" i="6" s="1"/>
  <c r="AP420" i="6"/>
  <c r="BN420" i="6" s="1"/>
  <c r="AN445" i="6" a="1"/>
  <c r="AN445" i="6" s="1"/>
  <c r="AN91" i="6" a="1"/>
  <c r="AN91" i="6" s="1"/>
  <c r="AP91" i="6"/>
  <c r="BN91" i="6" s="1"/>
  <c r="AN649" i="6" a="1"/>
  <c r="AN649" i="6" s="1"/>
  <c r="AN279" i="6" a="1"/>
  <c r="AN279" i="6" s="1"/>
  <c r="AP279" i="6"/>
  <c r="BZ855" i="6"/>
  <c r="BT855" i="6"/>
  <c r="AP309" i="6"/>
  <c r="BG309" i="6" s="1"/>
  <c r="AN309" i="6" a="1"/>
  <c r="AN309" i="6" s="1"/>
  <c r="AN278" i="6" a="1"/>
  <c r="AN278" i="6" s="1"/>
  <c r="AP278" i="6"/>
  <c r="AN551" i="6" a="1"/>
  <c r="AN551" i="6" s="1"/>
  <c r="AP551" i="6"/>
  <c r="AT551" i="6" s="1"/>
  <c r="BM667" i="6"/>
  <c r="AP628" i="6"/>
  <c r="AN628" i="6" a="1"/>
  <c r="AN628" i="6" s="1"/>
  <c r="AP614" i="6"/>
  <c r="BG614" i="6" s="1"/>
  <c r="AN614" i="6" a="1"/>
  <c r="AN614" i="6" s="1"/>
  <c r="AN129" i="6" a="1"/>
  <c r="AN129" i="6" s="1"/>
  <c r="AP129" i="6"/>
  <c r="AT129" i="6" s="1"/>
  <c r="BM486" i="6"/>
  <c r="BN486" i="6" s="1"/>
  <c r="BP486" i="6" s="1"/>
  <c r="BF486" i="6"/>
  <c r="AP134" i="6"/>
  <c r="AT134" i="6" s="1"/>
  <c r="AP505" i="6"/>
  <c r="BN505" i="6" s="1"/>
  <c r="BP505" i="6" s="1"/>
  <c r="AP772" i="6"/>
  <c r="BG772" i="6" s="1"/>
  <c r="AP184" i="6"/>
  <c r="AT184" i="6" s="1"/>
  <c r="AP745" i="6"/>
  <c r="AT745" i="6" s="1"/>
  <c r="AP497" i="6"/>
  <c r="AN379" i="6" a="1"/>
  <c r="AN379" i="6" s="1"/>
  <c r="BT95" i="6"/>
  <c r="BN979" i="6"/>
  <c r="BP979" i="6" s="1"/>
  <c r="BM680" i="6"/>
  <c r="AN141" i="6" a="1"/>
  <c r="AN141" i="6" s="1"/>
  <c r="BF831" i="6"/>
  <c r="BG831" i="6" s="1"/>
  <c r="BH831" i="6" s="1"/>
  <c r="AN811" i="6" a="1"/>
  <c r="AN811" i="6" s="1"/>
  <c r="AN906" i="6" a="1"/>
  <c r="AN906" i="6" s="1"/>
  <c r="AN854" i="6" a="1"/>
  <c r="AN854" i="6" s="1"/>
  <c r="AN356" i="6" a="1"/>
  <c r="AN356" i="6" s="1"/>
  <c r="AN288" i="6" a="1"/>
  <c r="AN288" i="6" s="1"/>
  <c r="AP791" i="6"/>
  <c r="AT791" i="6" s="1"/>
  <c r="AP787" i="6"/>
  <c r="AT787" i="6" s="1"/>
  <c r="AP951" i="6"/>
  <c r="BF129" i="6"/>
  <c r="AN736" i="6" a="1"/>
  <c r="AN736" i="6" s="1"/>
  <c r="AP133" i="6"/>
  <c r="BG133" i="6" s="1"/>
  <c r="AN826" i="6" a="1"/>
  <c r="AN826" i="6" s="1"/>
  <c r="AP873" i="6"/>
  <c r="AT873" i="6" s="1"/>
  <c r="AP817" i="6"/>
  <c r="AT817" i="6" s="1"/>
  <c r="AP970" i="6"/>
  <c r="BG970" i="6" s="1"/>
  <c r="AN970" i="6" a="1"/>
  <c r="AN970" i="6" s="1"/>
  <c r="BZ695" i="6"/>
  <c r="BT695" i="6"/>
  <c r="AN842" i="6" a="1"/>
  <c r="AN842" i="6" s="1"/>
  <c r="AP842" i="6"/>
  <c r="AN402" i="6" a="1"/>
  <c r="AN402" i="6" s="1"/>
  <c r="AP360" i="6"/>
  <c r="AN360" i="6" a="1"/>
  <c r="AN360" i="6" s="1"/>
  <c r="AN516" i="6" a="1"/>
  <c r="AN516" i="6" s="1"/>
  <c r="AN489" i="6" a="1"/>
  <c r="AN489" i="6" s="1"/>
  <c r="AP489" i="6"/>
  <c r="BZ883" i="6"/>
  <c r="BT883" i="6"/>
  <c r="AP843" i="6"/>
  <c r="AT843" i="6" s="1"/>
  <c r="AN843" i="6" a="1"/>
  <c r="AN843" i="6" s="1"/>
  <c r="AP933" i="6"/>
  <c r="AN143" i="6" a="1"/>
  <c r="AN143" i="6" s="1"/>
  <c r="AP50" i="6"/>
  <c r="AT50" i="6" s="1"/>
  <c r="AN50" i="6" a="1"/>
  <c r="AN50" i="6" s="1"/>
  <c r="AN574" i="6" a="1"/>
  <c r="AN574" i="6" s="1"/>
  <c r="AP574" i="6"/>
  <c r="AT574" i="6" s="1"/>
  <c r="AP291" i="6"/>
  <c r="AN291" i="6" a="1"/>
  <c r="AN291" i="6" s="1"/>
  <c r="AN46" i="6" a="1"/>
  <c r="AN46" i="6" s="1"/>
  <c r="AP46" i="6"/>
  <c r="AT46" i="6" s="1"/>
  <c r="AU993" i="6"/>
  <c r="AX993" i="6" s="1"/>
  <c r="J19" i="4" a="1"/>
  <c r="J19" i="4" s="1"/>
  <c r="AV993" i="6" s="1"/>
  <c r="BT831" i="6"/>
  <c r="BZ831" i="6"/>
  <c r="BZ265" i="6"/>
  <c r="BT265" i="6"/>
  <c r="AN760" i="6" a="1"/>
  <c r="AN760" i="6" s="1"/>
  <c r="AP760" i="6"/>
  <c r="BG760" i="6" s="1"/>
  <c r="BI760" i="6" s="1"/>
  <c r="AN277" i="6" a="1"/>
  <c r="AN277" i="6" s="1"/>
  <c r="AP277" i="6"/>
  <c r="BM907" i="6"/>
  <c r="BN907" i="6" s="1"/>
  <c r="BO907" i="6" s="1"/>
  <c r="BF907" i="6"/>
  <c r="BG907" i="6" s="1"/>
  <c r="AN861" i="6" a="1"/>
  <c r="AN861" i="6" s="1"/>
  <c r="AP861" i="6"/>
  <c r="AT861" i="6" s="1"/>
  <c r="AP59" i="6"/>
  <c r="AP989" i="6"/>
  <c r="AT989" i="6" s="1"/>
  <c r="AN989" i="6" a="1"/>
  <c r="AN989" i="6" s="1"/>
  <c r="AP204" i="6"/>
  <c r="AT204" i="6" s="1"/>
  <c r="AN800" i="6" a="1"/>
  <c r="AN800" i="6" s="1"/>
  <c r="AP800" i="6"/>
  <c r="AP102" i="6"/>
  <c r="AT102" i="6" s="1"/>
  <c r="AN102" i="6" a="1"/>
  <c r="AN102" i="6" s="1"/>
  <c r="AP685" i="6"/>
  <c r="BN685" i="6" s="1"/>
  <c r="BO685" i="6" s="1"/>
  <c r="BM337" i="6"/>
  <c r="BN337" i="6" s="1"/>
  <c r="BF337" i="6"/>
  <c r="BG337" i="6" s="1"/>
  <c r="AP912" i="6"/>
  <c r="AT912" i="6" s="1"/>
  <c r="J218" i="4" a="1"/>
  <c r="J218" i="4" s="1"/>
  <c r="AV996" i="6" s="1"/>
  <c r="BN808" i="6"/>
  <c r="BP808" i="6" s="1"/>
  <c r="AN867" i="6" a="1"/>
  <c r="AN867" i="6" s="1"/>
  <c r="AP385" i="6"/>
  <c r="AT385" i="6" s="1"/>
  <c r="AP665" i="6"/>
  <c r="BN665" i="6" s="1"/>
  <c r="AP474" i="6"/>
  <c r="BT38" i="6"/>
  <c r="BZ38" i="6"/>
  <c r="BF473" i="6"/>
  <c r="AN641" i="6" a="1"/>
  <c r="AN641" i="6" s="1"/>
  <c r="AP711" i="6"/>
  <c r="AN508" i="6" a="1"/>
  <c r="AN508" i="6" s="1"/>
  <c r="BF314" i="6"/>
  <c r="AN438" i="6" a="1"/>
  <c r="AN438" i="6" s="1"/>
  <c r="AP83" i="6"/>
  <c r="AT83" i="6" s="1"/>
  <c r="AN300" i="6" a="1"/>
  <c r="AN300" i="6" s="1"/>
  <c r="AU997" i="6"/>
  <c r="AX997" i="6" s="1"/>
  <c r="CA997" i="6" s="1"/>
  <c r="CC997" i="6" s="1"/>
  <c r="AP458" i="6"/>
  <c r="AP883" i="6"/>
  <c r="AP852" i="6"/>
  <c r="AP487" i="6"/>
  <c r="BG487" i="6" s="1"/>
  <c r="BH487" i="6" s="1"/>
  <c r="AN630" i="6" a="1"/>
  <c r="AN630" i="6" s="1"/>
  <c r="AP440" i="6"/>
  <c r="AT440" i="6" s="1"/>
  <c r="AP616" i="6"/>
  <c r="AP442" i="6"/>
  <c r="AT442" i="6" s="1"/>
  <c r="AN284" i="6" a="1"/>
  <c r="AN284" i="6" s="1"/>
  <c r="AN887" i="6" a="1"/>
  <c r="AN887" i="6" s="1"/>
  <c r="AN395" i="6" a="1"/>
  <c r="AN395" i="6" s="1"/>
  <c r="BF440" i="6"/>
  <c r="BG440" i="6" s="1"/>
  <c r="BH440" i="6" s="1"/>
  <c r="AN932" i="6" a="1"/>
  <c r="AN932" i="6" s="1"/>
  <c r="BF696" i="6"/>
  <c r="BG696" i="6" s="1"/>
  <c r="BZ180" i="6"/>
  <c r="BF485" i="6"/>
  <c r="BM485" i="6"/>
  <c r="BF527" i="6"/>
  <c r="BM527" i="6"/>
  <c r="AU1023" i="6"/>
  <c r="AX1023" i="6" s="1"/>
  <c r="BA1023" i="6" s="1"/>
  <c r="J159" i="4" a="1"/>
  <c r="J159" i="4" s="1"/>
  <c r="AV1023" i="6" s="1"/>
  <c r="BT476" i="6"/>
  <c r="AP236" i="6"/>
  <c r="BG236" i="6" s="1"/>
  <c r="BI236" i="6" s="1"/>
  <c r="AN904" i="6" a="1"/>
  <c r="AN904" i="6" s="1"/>
  <c r="AP85" i="6"/>
  <c r="BN85" i="6" s="1"/>
  <c r="BO85" i="6" s="1"/>
  <c r="AN613" i="6" a="1"/>
  <c r="AN613" i="6" s="1"/>
  <c r="AN341" i="6" a="1"/>
  <c r="AN341" i="6" s="1"/>
  <c r="AP542" i="6"/>
  <c r="BG542" i="6" s="1"/>
  <c r="BH542" i="6" s="1"/>
  <c r="AN907" i="6" a="1"/>
  <c r="AN907" i="6" s="1"/>
  <c r="AP864" i="6"/>
  <c r="BF710" i="6"/>
  <c r="BZ815" i="6"/>
  <c r="AN37" i="6" a="1"/>
  <c r="AN37" i="6" s="1"/>
  <c r="BF149" i="6"/>
  <c r="BG149" i="6" s="1"/>
  <c r="BH149" i="6" s="1"/>
  <c r="BF824" i="6"/>
  <c r="BF259" i="6"/>
  <c r="BN696" i="6"/>
  <c r="BO696" i="6" s="1"/>
  <c r="AP618" i="6"/>
  <c r="AT618" i="6" s="1"/>
  <c r="BM282" i="6"/>
  <c r="BN282" i="6" s="1"/>
  <c r="BO282" i="6" s="1"/>
  <c r="BF787" i="6"/>
  <c r="BF679" i="6"/>
  <c r="BF438" i="6"/>
  <c r="BG438" i="6" s="1"/>
  <c r="BH438" i="6" s="1"/>
  <c r="BM438" i="6"/>
  <c r="BN438" i="6" s="1"/>
  <c r="BF963" i="6"/>
  <c r="BG963" i="6" s="1"/>
  <c r="BH963" i="6" s="1"/>
  <c r="BM963" i="6"/>
  <c r="BN963" i="6" s="1"/>
  <c r="AN1008" i="6" a="1"/>
  <c r="AN1008" i="6" s="1"/>
  <c r="BN149" i="6"/>
  <c r="BO149" i="6" s="1"/>
  <c r="BG282" i="6"/>
  <c r="BI282" i="6" s="1"/>
  <c r="BM944" i="6"/>
  <c r="BF944" i="6"/>
  <c r="BM359" i="6"/>
  <c r="BF359" i="6"/>
  <c r="BM822" i="6"/>
  <c r="BF822" i="6"/>
  <c r="BN877" i="6"/>
  <c r="BG689" i="6"/>
  <c r="BH689" i="6" s="1"/>
  <c r="BF125" i="6"/>
  <c r="AP668" i="6"/>
  <c r="AT668" i="6" s="1"/>
  <c r="AP759" i="6"/>
  <c r="AT759" i="6" s="1"/>
  <c r="BF255" i="6"/>
  <c r="BG255" i="6" s="1"/>
  <c r="AP276" i="6"/>
  <c r="BZ346" i="6"/>
  <c r="AP39" i="6"/>
  <c r="AP558" i="6"/>
  <c r="BN255" i="6"/>
  <c r="BM845" i="6"/>
  <c r="BN845" i="6" s="1"/>
  <c r="BO845" i="6" s="1"/>
  <c r="BM977" i="6"/>
  <c r="AP1004" i="6"/>
  <c r="BG845" i="6"/>
  <c r="BI845" i="6" s="1"/>
  <c r="AN720" i="6" a="1"/>
  <c r="AN720" i="6" s="1"/>
  <c r="AP720" i="6"/>
  <c r="AP336" i="6"/>
  <c r="AN482" i="6" a="1"/>
  <c r="AN482" i="6" s="1"/>
  <c r="AP482" i="6"/>
  <c r="BG482" i="6" s="1"/>
  <c r="BI482" i="6" s="1"/>
  <c r="AN515" i="6" a="1"/>
  <c r="AN515" i="6" s="1"/>
  <c r="BM968" i="6"/>
  <c r="BF523" i="6"/>
  <c r="BM523" i="6"/>
  <c r="BF386" i="6"/>
  <c r="BM386" i="6"/>
  <c r="AN694" i="6" a="1"/>
  <c r="AN694" i="6" s="1"/>
  <c r="AP253" i="6"/>
  <c r="AP763" i="6"/>
  <c r="AT763" i="6" s="1"/>
  <c r="AP36" i="6"/>
  <c r="BF656" i="6"/>
  <c r="BM656" i="6"/>
  <c r="AP746" i="6"/>
  <c r="BN746" i="6" s="1"/>
  <c r="BO746" i="6" s="1"/>
  <c r="AN894" i="6" a="1"/>
  <c r="AN894" i="6" s="1"/>
  <c r="AP894" i="6"/>
  <c r="AT894" i="6" s="1"/>
  <c r="BF728" i="6"/>
  <c r="BM50" i="6"/>
  <c r="J58" i="4" a="1"/>
  <c r="J58" i="4" s="1"/>
  <c r="AV1003" i="6" s="1"/>
  <c r="BF974" i="6"/>
  <c r="BF100" i="6"/>
  <c r="BF999" i="6"/>
  <c r="BG5" i="6"/>
  <c r="AT833" i="6"/>
  <c r="AT687" i="6"/>
  <c r="BM481" i="6"/>
  <c r="J251" i="4" a="1"/>
  <c r="J251" i="4" s="1"/>
  <c r="K251" i="4" a="1"/>
  <c r="K251" i="4" s="1"/>
  <c r="BM648" i="6"/>
  <c r="BN648" i="6" s="1"/>
  <c r="BO648" i="6" s="1"/>
  <c r="BF648" i="6"/>
  <c r="BG648" i="6" s="1"/>
  <c r="AP547" i="6"/>
  <c r="AT547" i="6" s="1"/>
  <c r="AN547" i="6" a="1"/>
  <c r="AN547" i="6" s="1"/>
  <c r="BF584" i="6"/>
  <c r="BM584" i="6"/>
  <c r="AP187" i="6"/>
  <c r="BG187" i="6" s="1"/>
  <c r="BH187" i="6" s="1"/>
  <c r="AN187" i="6" a="1"/>
  <c r="AN187" i="6" s="1"/>
  <c r="AP327" i="6"/>
  <c r="BN327" i="6" s="1"/>
  <c r="AN327" i="6" a="1"/>
  <c r="AN327" i="6" s="1"/>
  <c r="J6" i="4" a="1"/>
  <c r="J6" i="4" s="1"/>
  <c r="K6" i="4" a="1"/>
  <c r="K6" i="4" s="1"/>
  <c r="BF443" i="6"/>
  <c r="BG443" i="6" s="1"/>
  <c r="AP967" i="6"/>
  <c r="AT967" i="6" s="1"/>
  <c r="AN967" i="6" a="1"/>
  <c r="AN967" i="6" s="1"/>
  <c r="AP426" i="6"/>
  <c r="AN426" i="6" a="1"/>
  <c r="AN426" i="6" s="1"/>
  <c r="BF954" i="6"/>
  <c r="BG954" i="6" s="1"/>
  <c r="BF182" i="6"/>
  <c r="BM182" i="6"/>
  <c r="AP992" i="6"/>
  <c r="AN992" i="6" a="1"/>
  <c r="AN992" i="6" s="1"/>
  <c r="BF599" i="6"/>
  <c r="BM599" i="6"/>
  <c r="BF613" i="6"/>
  <c r="BG613" i="6" s="1"/>
  <c r="BI613" i="6" s="1"/>
  <c r="BM613" i="6"/>
  <c r="BN613" i="6" s="1"/>
  <c r="BP613" i="6" s="1"/>
  <c r="BF346" i="6"/>
  <c r="BM346" i="6"/>
  <c r="BM534" i="6"/>
  <c r="BF534" i="6"/>
  <c r="AN922" i="6" a="1"/>
  <c r="AN922" i="6" s="1"/>
  <c r="AP922" i="6"/>
  <c r="AT922" i="6" s="1"/>
  <c r="AP671" i="6"/>
  <c r="BN671" i="6" s="1"/>
  <c r="BO671" i="6" s="1"/>
  <c r="AN671" i="6" a="1"/>
  <c r="AN671" i="6" s="1"/>
  <c r="BM874" i="6"/>
  <c r="AN987" i="6" a="1"/>
  <c r="AN987" i="6" s="1"/>
  <c r="AP987" i="6"/>
  <c r="AP776" i="6"/>
  <c r="AN776" i="6" a="1"/>
  <c r="AN776" i="6" s="1"/>
  <c r="AP424" i="6"/>
  <c r="AN424" i="6" a="1"/>
  <c r="AN424" i="6" s="1"/>
  <c r="BN284" i="6"/>
  <c r="BP284" i="6" s="1"/>
  <c r="BN579" i="6"/>
  <c r="BP579" i="6" s="1"/>
  <c r="BN548" i="6"/>
  <c r="BP548" i="6" s="1"/>
  <c r="BG173" i="6"/>
  <c r="BH173" i="6" s="1"/>
  <c r="BG195" i="6"/>
  <c r="BI195" i="6" s="1"/>
  <c r="BN717" i="6"/>
  <c r="BP717" i="6" s="1"/>
  <c r="BG592" i="6"/>
  <c r="BG110" i="6"/>
  <c r="BI110" i="6" s="1"/>
  <c r="BN803" i="6"/>
  <c r="BO803" i="6" s="1"/>
  <c r="BN818" i="6"/>
  <c r="BP818" i="6" s="1"/>
  <c r="K81" i="4" a="1"/>
  <c r="K81" i="4" s="1"/>
  <c r="BT18" i="6"/>
  <c r="AN337" i="6" a="1"/>
  <c r="AN337" i="6" s="1"/>
  <c r="K191" i="4" a="1"/>
  <c r="K191" i="4" s="1"/>
  <c r="K29" i="4" a="1"/>
  <c r="K29" i="4" s="1"/>
  <c r="J182" i="4" a="1"/>
  <c r="J182" i="4" s="1"/>
  <c r="N351" i="6"/>
  <c r="N555" i="6"/>
  <c r="N955" i="6"/>
  <c r="X473" i="6"/>
  <c r="N378" i="6"/>
  <c r="N846" i="6"/>
  <c r="N423" i="6"/>
  <c r="X19" i="6"/>
  <c r="N395" i="6"/>
  <c r="N9" i="6"/>
  <c r="N980" i="6"/>
  <c r="N942" i="6"/>
  <c r="N252" i="6"/>
  <c r="N780" i="6"/>
  <c r="N467" i="6"/>
  <c r="N741" i="6"/>
  <c r="S394" i="6"/>
  <c r="N803" i="6"/>
  <c r="N46" i="6"/>
  <c r="S180" i="6"/>
  <c r="N180" i="6"/>
  <c r="N697" i="6"/>
  <c r="S270" i="6"/>
  <c r="N270" i="6"/>
  <c r="X272" i="6"/>
  <c r="N412" i="6"/>
  <c r="N489" i="6"/>
  <c r="S289" i="6"/>
  <c r="N289" i="6"/>
  <c r="N291" i="6"/>
  <c r="X917" i="6"/>
  <c r="S916" i="6"/>
  <c r="S975" i="6"/>
  <c r="N975" i="6"/>
  <c r="N774" i="6"/>
  <c r="X464" i="6"/>
  <c r="S464" i="6"/>
  <c r="X4" i="6"/>
  <c r="S4" i="6"/>
  <c r="S5" i="6"/>
  <c r="N5" i="6"/>
  <c r="N20" i="6"/>
  <c r="X169" i="6"/>
  <c r="S169" i="6"/>
  <c r="S171" i="6"/>
  <c r="N171" i="6"/>
  <c r="N170" i="6"/>
  <c r="X422" i="6"/>
  <c r="S422" i="6"/>
  <c r="S706" i="6"/>
  <c r="N706" i="6"/>
  <c r="N737" i="6"/>
  <c r="S555" i="6"/>
  <c r="X389" i="6"/>
  <c r="S955" i="6"/>
  <c r="N318" i="6"/>
  <c r="S320" i="6"/>
  <c r="S894" i="6"/>
  <c r="S191" i="6"/>
  <c r="X438" i="6"/>
  <c r="N926" i="6"/>
  <c r="S939" i="6"/>
  <c r="S909" i="6"/>
  <c r="N466" i="6"/>
  <c r="X956" i="6"/>
  <c r="S367" i="6"/>
  <c r="S567" i="6"/>
  <c r="N21" i="6"/>
  <c r="N744" i="6"/>
  <c r="N347" i="6"/>
  <c r="S147" i="6"/>
  <c r="N147" i="6"/>
  <c r="N474" i="6"/>
  <c r="X937" i="6"/>
  <c r="X938" i="6"/>
  <c r="S938" i="6"/>
  <c r="S221" i="6"/>
  <c r="N221" i="6"/>
  <c r="N810" i="6"/>
  <c r="N628" i="6"/>
  <c r="X379" i="6"/>
  <c r="N208" i="6"/>
  <c r="S211" i="6"/>
  <c r="N999" i="6"/>
  <c r="S106" i="6"/>
  <c r="S796" i="6"/>
  <c r="S946" i="6"/>
  <c r="N1005" i="6"/>
  <c r="N47" i="6"/>
  <c r="X50" i="6"/>
  <c r="X159" i="6"/>
  <c r="S154" i="6"/>
  <c r="S237" i="6"/>
  <c r="N317" i="6"/>
  <c r="S253" i="6"/>
  <c r="X195" i="6"/>
  <c r="X408" i="6"/>
  <c r="S408" i="6"/>
  <c r="S366" i="6"/>
  <c r="N366" i="6"/>
  <c r="X773" i="6"/>
  <c r="X772" i="6"/>
  <c r="S772" i="6"/>
  <c r="S771" i="6"/>
  <c r="N771" i="6"/>
  <c r="X540" i="6"/>
  <c r="S540" i="6"/>
  <c r="S175" i="6"/>
  <c r="N175" i="6"/>
  <c r="N541" i="6"/>
  <c r="S780" i="6"/>
  <c r="N385" i="6"/>
  <c r="X604" i="6"/>
  <c r="S657" i="6"/>
  <c r="N657" i="6"/>
  <c r="N226" i="6"/>
  <c r="N117" i="6"/>
  <c r="X741" i="6"/>
  <c r="S925" i="6"/>
  <c r="N939" i="6"/>
  <c r="X951" i="6"/>
  <c r="N896" i="6"/>
  <c r="X520" i="6"/>
  <c r="X966" i="6"/>
  <c r="S835" i="6"/>
  <c r="N835" i="6"/>
  <c r="X699" i="6"/>
  <c r="N908" i="6"/>
  <c r="X393" i="6"/>
  <c r="N113" i="6"/>
  <c r="S1013" i="6"/>
  <c r="N1013" i="6"/>
  <c r="X121" i="6"/>
  <c r="N444" i="6"/>
  <c r="N510" i="6"/>
  <c r="N93" i="6"/>
  <c r="X312" i="6"/>
  <c r="N859" i="6"/>
  <c r="N704" i="6"/>
  <c r="N795" i="6"/>
  <c r="X705" i="6"/>
  <c r="S705" i="6"/>
  <c r="S747" i="6"/>
  <c r="N747" i="6"/>
  <c r="S463" i="6"/>
  <c r="N463" i="6"/>
  <c r="N22" i="6"/>
  <c r="X995" i="6"/>
  <c r="X18" i="6"/>
  <c r="S351" i="6"/>
  <c r="BZ586" i="6"/>
  <c r="BT281" i="6"/>
  <c r="BZ406" i="6"/>
  <c r="AP63" i="6"/>
  <c r="BT679" i="6"/>
  <c r="BM529" i="6"/>
  <c r="BM692" i="6"/>
  <c r="BM413" i="6"/>
  <c r="BF132" i="6"/>
  <c r="BM620" i="6"/>
  <c r="BN620" i="6" s="1"/>
  <c r="BP76" i="6"/>
  <c r="BT112" i="6"/>
  <c r="BT400" i="6"/>
  <c r="BZ272" i="6"/>
  <c r="BT481" i="6"/>
  <c r="AP299" i="6"/>
  <c r="AT299" i="6" s="1"/>
  <c r="BT764" i="6"/>
  <c r="BZ127" i="6"/>
  <c r="BZ987" i="6"/>
  <c r="AP242" i="6"/>
  <c r="AN741" i="6" a="1"/>
  <c r="AN741" i="6" s="1"/>
  <c r="BT790" i="6"/>
  <c r="AN452" i="6" a="1"/>
  <c r="AN452" i="6" s="1"/>
  <c r="BM155" i="6"/>
  <c r="BM712" i="6"/>
  <c r="BM849" i="6"/>
  <c r="BM514" i="6"/>
  <c r="BT123" i="6"/>
  <c r="BI687" i="6"/>
  <c r="BI425" i="6"/>
  <c r="BH308" i="6"/>
  <c r="BG797" i="6"/>
  <c r="BI797" i="6" s="1"/>
  <c r="BZ414" i="6"/>
  <c r="AN797" i="6" a="1"/>
  <c r="AN797" i="6" s="1"/>
  <c r="BM308" i="6"/>
  <c r="BN308" i="6" s="1"/>
  <c r="BO308" i="6" s="1"/>
  <c r="AN241" i="6" a="1"/>
  <c r="AN241" i="6" s="1"/>
  <c r="BZ497" i="6"/>
  <c r="BZ25" i="6"/>
  <c r="BM908" i="6"/>
  <c r="BZ934" i="6"/>
  <c r="AP993" i="6"/>
  <c r="BM135" i="6"/>
  <c r="BN135" i="6" s="1"/>
  <c r="BO135" i="6" s="1"/>
  <c r="N485" i="6"/>
  <c r="S744" i="6"/>
  <c r="X745" i="6"/>
  <c r="N352" i="6"/>
  <c r="X733" i="6"/>
  <c r="X344" i="6"/>
  <c r="N263" i="6"/>
  <c r="S485" i="6"/>
  <c r="X144" i="6"/>
  <c r="X645" i="6"/>
  <c r="X860" i="6"/>
  <c r="X904" i="6"/>
  <c r="X947" i="6"/>
  <c r="X126" i="6"/>
  <c r="X308" i="6"/>
  <c r="X918" i="6"/>
  <c r="K201" i="4" a="1"/>
  <c r="K201" i="4" s="1"/>
  <c r="J118" i="4" a="1"/>
  <c r="J118" i="4" s="1"/>
  <c r="J61" i="4" a="1"/>
  <c r="J61" i="4" s="1"/>
  <c r="J69" i="4" a="1"/>
  <c r="J69" i="4" s="1"/>
  <c r="K146" i="4" a="1"/>
  <c r="K146" i="4" s="1"/>
  <c r="BM701" i="6"/>
  <c r="BN701" i="6" s="1"/>
  <c r="BO701" i="6" s="1"/>
  <c r="BT1008" i="6"/>
  <c r="BZ605" i="6"/>
  <c r="BZ350" i="6"/>
  <c r="BZ683" i="6"/>
  <c r="S347" i="6"/>
  <c r="S349" i="6"/>
  <c r="N349" i="6"/>
  <c r="S179" i="6"/>
  <c r="N179" i="6"/>
  <c r="N144" i="6"/>
  <c r="N894" i="6"/>
  <c r="N746" i="6"/>
  <c r="X350" i="6"/>
  <c r="N348" i="6"/>
  <c r="X123" i="6"/>
  <c r="N486" i="6"/>
  <c r="S735" i="6"/>
  <c r="N734" i="6"/>
  <c r="S920" i="6"/>
  <c r="N849" i="6"/>
  <c r="S874" i="6"/>
  <c r="N890" i="6"/>
  <c r="S919" i="6"/>
  <c r="N936" i="6"/>
  <c r="S146" i="6"/>
  <c r="N66" i="6"/>
  <c r="S192" i="6"/>
  <c r="N262" i="6"/>
  <c r="S677" i="6"/>
  <c r="N707" i="6"/>
  <c r="S140" i="6"/>
  <c r="X346" i="6"/>
  <c r="N345" i="6"/>
  <c r="X54" i="6"/>
  <c r="N335" i="6"/>
  <c r="N1001" i="6"/>
  <c r="S141" i="6"/>
  <c r="X142" i="6"/>
  <c r="BZ827" i="6"/>
  <c r="BZ914" i="6"/>
  <c r="BT670" i="6"/>
  <c r="BM996" i="6"/>
  <c r="BM614" i="6"/>
  <c r="BF777" i="6"/>
  <c r="BT60" i="6"/>
  <c r="BZ813" i="6"/>
  <c r="BZ982" i="6"/>
  <c r="AN35" i="6" a="1"/>
  <c r="AN35" i="6" s="1"/>
  <c r="BM460" i="6"/>
  <c r="BN460" i="6" s="1"/>
  <c r="BO460" i="6" s="1"/>
  <c r="AP546" i="6"/>
  <c r="BT942" i="6"/>
  <c r="BM445" i="6"/>
  <c r="BN445" i="6" s="1"/>
  <c r="BO445" i="6" s="1"/>
  <c r="BF913" i="6"/>
  <c r="BM291" i="6"/>
  <c r="BZ936" i="6"/>
  <c r="AN621" i="6" a="1"/>
  <c r="AN621" i="6" s="1"/>
  <c r="AP743" i="6"/>
  <c r="AT743" i="6" s="1"/>
  <c r="BF938" i="6"/>
  <c r="AP290" i="6"/>
  <c r="BT183" i="6"/>
  <c r="BZ513" i="6"/>
  <c r="BZ686" i="6"/>
  <c r="BT296" i="6"/>
  <c r="BZ771" i="6"/>
  <c r="BZ181" i="6"/>
  <c r="BZ518" i="6"/>
  <c r="BN666" i="6"/>
  <c r="BN1011" i="6"/>
  <c r="BP1011" i="6" s="1"/>
  <c r="BZ500" i="6"/>
  <c r="BZ572" i="6"/>
  <c r="BT981" i="6"/>
  <c r="BZ147" i="6"/>
  <c r="BZ773" i="6"/>
  <c r="BZ956" i="6"/>
  <c r="BZ454" i="6"/>
  <c r="BF76" i="6"/>
  <c r="BG76" i="6" s="1"/>
  <c r="BT715" i="6"/>
  <c r="BT601" i="6"/>
  <c r="BZ617" i="6"/>
  <c r="BZ687" i="6"/>
  <c r="BZ56" i="6"/>
  <c r="BZ939" i="6"/>
  <c r="AP604" i="6"/>
  <c r="AT604" i="6" s="1"/>
  <c r="BF984" i="6"/>
  <c r="BZ206" i="6"/>
  <c r="BF247" i="6"/>
  <c r="BG247" i="6" s="1"/>
  <c r="BI247" i="6" s="1"/>
  <c r="BT53" i="6"/>
  <c r="AP183" i="6"/>
  <c r="AP189" i="6"/>
  <c r="AP657" i="6"/>
  <c r="BM21" i="6"/>
  <c r="BT969" i="6"/>
  <c r="BM530" i="6"/>
  <c r="BF230" i="6"/>
  <c r="AN169" i="6" a="1"/>
  <c r="AN169" i="6" s="1"/>
  <c r="BF16" i="6"/>
  <c r="BG16" i="6" s="1"/>
  <c r="BI16" i="6" s="1"/>
  <c r="BF816" i="6"/>
  <c r="BF550" i="6"/>
  <c r="BT643" i="6"/>
  <c r="BF84" i="6"/>
  <c r="BG84" i="6" s="1"/>
  <c r="AP769" i="6"/>
  <c r="AN697" i="6" a="1"/>
  <c r="AN697" i="6" s="1"/>
  <c r="BZ838" i="6"/>
  <c r="BZ421" i="6"/>
  <c r="BZ87" i="6"/>
  <c r="BF177" i="6"/>
  <c r="AP270" i="6"/>
  <c r="AT270" i="6" s="1"/>
  <c r="BZ833" i="6"/>
  <c r="BT43" i="6"/>
  <c r="BM266" i="6"/>
  <c r="BT836" i="6"/>
  <c r="BZ836" i="6"/>
  <c r="BT396" i="6"/>
  <c r="BZ396" i="6"/>
  <c r="BT1020" i="6"/>
  <c r="BZ1020" i="6"/>
  <c r="BM540" i="6"/>
  <c r="BF540" i="6"/>
  <c r="BZ392" i="6"/>
  <c r="BT392" i="6"/>
  <c r="BZ455" i="6"/>
  <c r="BT455" i="6"/>
  <c r="BT637" i="6"/>
  <c r="BZ637" i="6"/>
  <c r="BF414" i="6"/>
  <c r="BM414" i="6"/>
  <c r="BF978" i="6"/>
  <c r="BM978" i="6"/>
  <c r="BT550" i="6"/>
  <c r="BZ550" i="6"/>
  <c r="BF605" i="6"/>
  <c r="BG605" i="6" s="1"/>
  <c r="BI605" i="6" s="1"/>
  <c r="BM605" i="6"/>
  <c r="BN605" i="6" s="1"/>
  <c r="BZ143" i="6"/>
  <c r="BZ712" i="6"/>
  <c r="BF671" i="6"/>
  <c r="BF894" i="6"/>
  <c r="BZ172" i="6"/>
  <c r="BM964" i="6"/>
  <c r="BT758" i="6"/>
  <c r="BT312" i="6"/>
  <c r="BT600" i="6"/>
  <c r="BT393" i="6"/>
  <c r="BF955" i="6"/>
  <c r="BG955" i="6" s="1"/>
  <c r="AP88" i="6"/>
  <c r="BT125" i="6"/>
  <c r="BT800" i="6"/>
  <c r="BM637" i="6"/>
  <c r="BM844" i="6"/>
  <c r="AN959" i="6" a="1"/>
  <c r="AN959" i="6" s="1"/>
  <c r="BF52" i="6"/>
  <c r="BG52" i="6" s="1"/>
  <c r="BI52" i="6" s="1"/>
  <c r="BM274" i="6"/>
  <c r="BF19" i="6"/>
  <c r="BF833" i="6"/>
  <c r="BG833" i="6" s="1"/>
  <c r="BF263" i="6"/>
  <c r="BT585" i="6"/>
  <c r="BZ585" i="6"/>
  <c r="BZ739" i="6"/>
  <c r="BT739" i="6"/>
  <c r="BT642" i="6"/>
  <c r="BZ642" i="6"/>
  <c r="BM351" i="6"/>
  <c r="BF351" i="6"/>
  <c r="BZ358" i="6"/>
  <c r="BT358" i="6"/>
  <c r="BZ266" i="6"/>
  <c r="BT266" i="6"/>
  <c r="BZ435" i="6"/>
  <c r="BT435" i="6"/>
  <c r="BT912" i="6"/>
  <c r="BZ912" i="6"/>
  <c r="BT767" i="6"/>
  <c r="BZ767" i="6"/>
  <c r="BT159" i="6"/>
  <c r="BZ159" i="6"/>
  <c r="BT672" i="6"/>
  <c r="BZ672" i="6"/>
  <c r="BZ532" i="6"/>
  <c r="BT532" i="6"/>
  <c r="BM405" i="6"/>
  <c r="BF405" i="6"/>
  <c r="BZ651" i="6"/>
  <c r="BT651" i="6"/>
  <c r="BZ496" i="6"/>
  <c r="BT496" i="6"/>
  <c r="BZ295" i="6"/>
  <c r="BT295" i="6"/>
  <c r="BF645" i="6"/>
  <c r="BM645" i="6"/>
  <c r="BM1005" i="6"/>
  <c r="BF1005" i="6"/>
  <c r="BZ479" i="6"/>
  <c r="BT479" i="6"/>
  <c r="BT632" i="6"/>
  <c r="BZ632" i="6"/>
  <c r="BZ587" i="6"/>
  <c r="BT587" i="6"/>
  <c r="BZ4" i="6"/>
  <c r="AN754" i="6" a="1"/>
  <c r="AN754" i="6" s="1"/>
  <c r="BN84" i="6"/>
  <c r="BP84" i="6" s="1"/>
  <c r="BM152" i="6"/>
  <c r="BF1020" i="6"/>
  <c r="BZ376" i="6"/>
  <c r="BT122" i="6"/>
  <c r="BZ208" i="6"/>
  <c r="BT616" i="6"/>
  <c r="BZ254" i="6"/>
  <c r="BZ551" i="6"/>
  <c r="BT512" i="6"/>
  <c r="AP33" i="6"/>
  <c r="BT761" i="6"/>
  <c r="BZ190" i="6"/>
  <c r="BT395" i="6"/>
  <c r="AN464" i="6" a="1"/>
  <c r="AN464" i="6" s="1"/>
  <c r="BZ44" i="6"/>
  <c r="BM450" i="6"/>
  <c r="BZ163" i="6"/>
  <c r="BM103" i="6"/>
  <c r="BF101" i="6"/>
  <c r="BM709" i="6"/>
  <c r="BN709" i="6" s="1"/>
  <c r="BP709" i="6" s="1"/>
  <c r="BM377" i="6"/>
  <c r="BN377" i="6" s="1"/>
  <c r="BP377" i="6" s="1"/>
  <c r="AT622" i="6"/>
  <c r="BT193" i="6"/>
  <c r="BF579" i="6"/>
  <c r="BG579" i="6" s="1"/>
  <c r="BZ735" i="6"/>
  <c r="BM7" i="6"/>
  <c r="BZ214" i="6"/>
  <c r="BT68" i="6"/>
  <c r="BT527" i="6"/>
  <c r="BZ556" i="6"/>
  <c r="BZ224" i="6"/>
  <c r="AP1001" i="6"/>
  <c r="BZ580" i="6"/>
  <c r="AP938" i="6"/>
  <c r="BM365" i="6"/>
  <c r="BM89" i="6"/>
  <c r="BN89" i="6" s="1"/>
  <c r="BP89" i="6" s="1"/>
  <c r="BF800" i="6"/>
  <c r="AP834" i="6"/>
  <c r="AT834" i="6" s="1"/>
  <c r="BZ309" i="6"/>
  <c r="I207" i="4" a="1"/>
  <c r="I207" i="4" s="1"/>
  <c r="J207" i="4" s="1" a="1"/>
  <c r="J207" i="4" s="1"/>
  <c r="I205" i="4" a="1"/>
  <c r="I205" i="4" s="1"/>
  <c r="J205" i="4" s="1" a="1"/>
  <c r="J205" i="4" s="1"/>
  <c r="I208" i="4" a="1"/>
  <c r="I208" i="4" s="1"/>
  <c r="J208" i="4" s="1" a="1"/>
  <c r="J208" i="4" s="1"/>
  <c r="I206" i="4" a="1"/>
  <c r="I206" i="4" s="1"/>
  <c r="AN367" i="6" a="1"/>
  <c r="AN367" i="6" s="1"/>
  <c r="BT645" i="6"/>
  <c r="BZ785" i="6"/>
  <c r="BF747" i="6"/>
  <c r="BT548" i="6"/>
  <c r="BZ212" i="6"/>
  <c r="I124" i="4" a="1"/>
  <c r="I124" i="4" s="1"/>
  <c r="J124" i="4" s="1" a="1"/>
  <c r="J124" i="4" s="1"/>
  <c r="I130" i="4" a="1"/>
  <c r="I130" i="4" s="1"/>
  <c r="I128" i="4" a="1"/>
  <c r="I128" i="4" s="1"/>
  <c r="I125" i="4" a="1"/>
  <c r="I125" i="4" s="1"/>
  <c r="J125" i="4" s="1" a="1"/>
  <c r="J125" i="4" s="1"/>
  <c r="I131" i="4" a="1"/>
  <c r="I131" i="4" s="1"/>
  <c r="J131" i="4" s="1" a="1"/>
  <c r="J131" i="4" s="1"/>
  <c r="I129" i="4" a="1"/>
  <c r="I129" i="4" s="1"/>
  <c r="I134" i="4" a="1"/>
  <c r="I134" i="4" s="1"/>
  <c r="J134" i="4" s="1" a="1"/>
  <c r="J134" i="4" s="1"/>
  <c r="I132" i="4" a="1"/>
  <c r="I132" i="4" s="1"/>
  <c r="J132" i="4" s="1" a="1"/>
  <c r="J132" i="4" s="1"/>
  <c r="I126" i="4" a="1"/>
  <c r="I126" i="4" s="1"/>
  <c r="J126" i="4" s="1" a="1"/>
  <c r="J126" i="4" s="1"/>
  <c r="I122" i="4" a="1"/>
  <c r="I122" i="4" s="1"/>
  <c r="I135" i="4" a="1"/>
  <c r="I135" i="4" s="1"/>
  <c r="J135" i="4" s="1" a="1"/>
  <c r="J135" i="4" s="1"/>
  <c r="I133" i="4" a="1"/>
  <c r="I133" i="4" s="1"/>
  <c r="J133" i="4" s="1" a="1"/>
  <c r="J133" i="4" s="1"/>
  <c r="I127" i="4" a="1"/>
  <c r="I127" i="4" s="1"/>
  <c r="J127" i="4" s="1" a="1"/>
  <c r="J127" i="4" s="1"/>
  <c r="I123" i="4" a="1"/>
  <c r="I123" i="4" s="1"/>
  <c r="J123" i="4" s="1" a="1"/>
  <c r="J123" i="4" s="1"/>
  <c r="AP313" i="6"/>
  <c r="BT244" i="6"/>
  <c r="J149" i="4" a="1"/>
  <c r="J149" i="4" s="1"/>
  <c r="BT1021" i="6"/>
  <c r="BU1021" i="6" s="1"/>
  <c r="BW1021" i="6" s="1"/>
  <c r="BM745" i="6"/>
  <c r="BF933" i="6"/>
  <c r="BM275" i="6"/>
  <c r="BN275" i="6" s="1"/>
  <c r="BP275" i="6" s="1"/>
  <c r="BG569" i="6"/>
  <c r="BH939" i="6"/>
  <c r="BI479" i="6"/>
  <c r="AN903" i="6" a="1"/>
  <c r="AN903" i="6" s="1"/>
  <c r="K113" i="4" a="1"/>
  <c r="K113" i="4" s="1"/>
  <c r="J56" i="4" a="1"/>
  <c r="J56" i="4" s="1"/>
  <c r="AN961" i="6" a="1"/>
  <c r="AN961" i="6" s="1"/>
  <c r="AP610" i="6"/>
  <c r="AT610" i="6" s="1"/>
  <c r="AN446" i="6" a="1"/>
  <c r="AN446" i="6" s="1"/>
  <c r="BM311" i="6"/>
  <c r="BN311" i="6" s="1"/>
  <c r="BP311" i="6" s="1"/>
  <c r="BM858" i="6"/>
  <c r="X744" i="6"/>
  <c r="X746" i="6"/>
  <c r="S746" i="6"/>
  <c r="S344" i="6"/>
  <c r="N344" i="6"/>
  <c r="X347" i="6"/>
  <c r="S352" i="6"/>
  <c r="S346" i="6"/>
  <c r="N346" i="6"/>
  <c r="X349" i="6"/>
  <c r="X345" i="6"/>
  <c r="S345" i="6"/>
  <c r="N350" i="6"/>
  <c r="X351" i="6"/>
  <c r="X348" i="6"/>
  <c r="S348" i="6"/>
  <c r="S745" i="6"/>
  <c r="N745" i="6"/>
  <c r="X555" i="6"/>
  <c r="S263" i="6"/>
  <c r="N54" i="6"/>
  <c r="X179" i="6"/>
  <c r="X335" i="6"/>
  <c r="S335" i="6"/>
  <c r="N123" i="6"/>
  <c r="X485" i="6"/>
  <c r="X486" i="6"/>
  <c r="S486" i="6"/>
  <c r="S733" i="6"/>
  <c r="N733" i="6"/>
  <c r="X735" i="6"/>
  <c r="X734" i="6"/>
  <c r="S734" i="6"/>
  <c r="S645" i="6"/>
  <c r="N645" i="6"/>
  <c r="X920" i="6"/>
  <c r="X849" i="6"/>
  <c r="S849" i="6"/>
  <c r="N860" i="6"/>
  <c r="X874" i="6"/>
  <c r="X890" i="6"/>
  <c r="S890" i="6"/>
  <c r="S904" i="6"/>
  <c r="N904" i="6"/>
  <c r="X919" i="6"/>
  <c r="X936" i="6"/>
  <c r="S936" i="6"/>
  <c r="S947" i="6"/>
  <c r="N947" i="6"/>
  <c r="X146" i="6"/>
  <c r="X66" i="6"/>
  <c r="S66" i="6"/>
  <c r="S126" i="6"/>
  <c r="N126" i="6"/>
  <c r="X192" i="6"/>
  <c r="X262" i="6"/>
  <c r="S262" i="6"/>
  <c r="S308" i="6"/>
  <c r="N308" i="6"/>
  <c r="X677" i="6"/>
  <c r="X707" i="6"/>
  <c r="S707" i="6"/>
  <c r="S918" i="6"/>
  <c r="N918" i="6"/>
  <c r="X140" i="6"/>
  <c r="X1001" i="6"/>
  <c r="S1001" i="6"/>
  <c r="S142" i="6"/>
  <c r="N142" i="6"/>
  <c r="X141" i="6"/>
  <c r="N141" i="6"/>
  <c r="X352" i="6"/>
  <c r="S350" i="6"/>
  <c r="X263" i="6"/>
  <c r="N735" i="6"/>
  <c r="N192" i="6"/>
  <c r="N140" i="6"/>
  <c r="BF379" i="6"/>
  <c r="BG379" i="6" s="1"/>
  <c r="BF315" i="6"/>
  <c r="AN232" i="6" a="1"/>
  <c r="AN232" i="6" s="1"/>
  <c r="BN522" i="6"/>
  <c r="AM995" i="6" a="1"/>
  <c r="AM995" i="6" s="1"/>
  <c r="AP995" i="6" s="1"/>
  <c r="BT517" i="6"/>
  <c r="BG15" i="6"/>
  <c r="BT804" i="6"/>
  <c r="BM494" i="6"/>
  <c r="BT313" i="6"/>
  <c r="BT404" i="6"/>
  <c r="BZ560" i="6"/>
  <c r="BZ135" i="6"/>
  <c r="BZ709" i="6"/>
  <c r="BT641" i="6"/>
  <c r="BZ804" i="6"/>
  <c r="K47" i="4" a="1"/>
  <c r="K47" i="4" s="1"/>
  <c r="BM307" i="6"/>
  <c r="BN307" i="6" s="1"/>
  <c r="BP307" i="6" s="1"/>
  <c r="BZ517" i="6"/>
  <c r="AP502" i="6"/>
  <c r="AT502" i="6" s="1"/>
  <c r="BZ299" i="6"/>
  <c r="BZ554" i="6"/>
  <c r="BZ641" i="6"/>
  <c r="BZ529" i="6"/>
  <c r="AP304" i="6"/>
  <c r="AT304" i="6" s="1"/>
  <c r="BF416" i="6"/>
  <c r="BF108" i="6"/>
  <c r="BZ80" i="6"/>
  <c r="BM165" i="6"/>
  <c r="BZ11" i="6"/>
  <c r="BZ191" i="6"/>
  <c r="BT471" i="6"/>
  <c r="BT784" i="6"/>
  <c r="AP615" i="6"/>
  <c r="BM869" i="6"/>
  <c r="AP246" i="6"/>
  <c r="AT246" i="6" s="1"/>
  <c r="BT28" i="6"/>
  <c r="AN5" i="6" a="1"/>
  <c r="AN5" i="6" s="1"/>
  <c r="BN950" i="6"/>
  <c r="BO950" i="6" s="1"/>
  <c r="BZ268" i="6"/>
  <c r="BZ131" i="6"/>
  <c r="BZ963" i="6"/>
  <c r="BT554" i="6"/>
  <c r="BT725" i="6"/>
  <c r="BZ697" i="6"/>
  <c r="BT961" i="6"/>
  <c r="BZ890" i="6"/>
  <c r="BZ644" i="6"/>
  <c r="BZ477" i="6"/>
  <c r="BZ563" i="6"/>
  <c r="BZ520" i="6"/>
  <c r="BT82" i="6"/>
  <c r="BM136" i="6"/>
  <c r="BT184" i="6"/>
  <c r="J78" i="4" a="1"/>
  <c r="J78" i="4" s="1"/>
  <c r="BZ775" i="6"/>
  <c r="BZ547" i="6"/>
  <c r="BZ690" i="6"/>
  <c r="K33" i="4" a="1"/>
  <c r="K33" i="4" s="1"/>
  <c r="BT129" i="6"/>
  <c r="BT494" i="6"/>
  <c r="AN569" i="6" a="1"/>
  <c r="AN569" i="6" s="1"/>
  <c r="BM99" i="6"/>
  <c r="BN99" i="6" s="1"/>
  <c r="BO99" i="6" s="1"/>
  <c r="AN831" i="6" a="1"/>
  <c r="AN831" i="6" s="1"/>
  <c r="BN798" i="6"/>
  <c r="BP798" i="6" s="1"/>
  <c r="J169" i="4" a="1"/>
  <c r="J169" i="4" s="1"/>
  <c r="AP534" i="6"/>
  <c r="AN196" i="6" a="1"/>
  <c r="AN196" i="6" s="1"/>
  <c r="BZ405" i="6"/>
  <c r="BZ98" i="6"/>
  <c r="BZ965" i="6"/>
  <c r="BZ949" i="6"/>
  <c r="J105" i="4" a="1"/>
  <c r="J105" i="4" s="1"/>
  <c r="AV1008" i="6" s="1"/>
  <c r="BM183" i="6"/>
  <c r="BF183" i="6"/>
  <c r="AN164" i="6" a="1"/>
  <c r="AN164" i="6" s="1"/>
  <c r="BT218" i="6"/>
  <c r="BZ354" i="6"/>
  <c r="BF122" i="6"/>
  <c r="BH620" i="6"/>
  <c r="AN549" i="6" a="1"/>
  <c r="AN549" i="6" s="1"/>
  <c r="AN434" i="6" a="1"/>
  <c r="AN434" i="6" s="1"/>
  <c r="BZ381" i="6"/>
  <c r="AP412" i="6"/>
  <c r="J96" i="4" a="1"/>
  <c r="J96" i="4" s="1"/>
  <c r="BT457" i="6"/>
  <c r="K214" i="4" a="1"/>
  <c r="K214" i="4" s="1"/>
  <c r="BN52" i="6"/>
  <c r="BO52" i="6" s="1"/>
  <c r="BH562" i="6"/>
  <c r="AN427" i="6" a="1"/>
  <c r="AN427" i="6" s="1"/>
  <c r="BT937" i="6"/>
  <c r="BT717" i="6"/>
  <c r="BN571" i="6"/>
  <c r="BO571" i="6" s="1"/>
  <c r="BZ920" i="6"/>
  <c r="BZ471" i="6"/>
  <c r="BF950" i="6"/>
  <c r="BT488" i="6"/>
  <c r="BT1001" i="6"/>
  <c r="BM159" i="6"/>
  <c r="BN159" i="6" s="1"/>
  <c r="BZ485" i="6"/>
  <c r="BM617" i="6"/>
  <c r="BT108" i="6"/>
  <c r="BM594" i="6"/>
  <c r="BZ307" i="6"/>
  <c r="AN1011" i="6" a="1"/>
  <c r="AN1011" i="6" s="1"/>
  <c r="BZ404" i="6"/>
  <c r="AN79" i="6" a="1"/>
  <c r="AN79" i="6" s="1"/>
  <c r="AN1022" i="6" a="1"/>
  <c r="AN1022" i="6" s="1"/>
  <c r="BF61" i="6"/>
  <c r="J36" i="4" a="1"/>
  <c r="J36" i="4" s="1"/>
  <c r="BP731" i="6"/>
  <c r="BI701" i="6"/>
  <c r="BH75" i="6"/>
  <c r="BT653" i="6"/>
  <c r="BT148" i="6"/>
  <c r="BT222" i="6"/>
  <c r="BZ41" i="6"/>
  <c r="BT243" i="6"/>
  <c r="AP306" i="6"/>
  <c r="AT306" i="6" s="1"/>
  <c r="BT514" i="6"/>
  <c r="K94" i="4" a="1"/>
  <c r="K94" i="4" s="1"/>
  <c r="BM462" i="6"/>
  <c r="BT466" i="6"/>
  <c r="BF150" i="6"/>
  <c r="K195" i="4" a="1"/>
  <c r="K195" i="4" s="1"/>
  <c r="BZ575" i="6"/>
  <c r="BZ652" i="6"/>
  <c r="BT515" i="6"/>
  <c r="BZ515" i="6"/>
  <c r="BT463" i="6"/>
  <c r="BZ501" i="6"/>
  <c r="J27" i="4" a="1"/>
  <c r="J27" i="4" s="1"/>
  <c r="K27" i="4" a="1"/>
  <c r="K27" i="4" s="1"/>
  <c r="BT271" i="6"/>
  <c r="BZ929" i="6"/>
  <c r="BT929" i="6"/>
  <c r="BZ647" i="6"/>
  <c r="BZ409" i="6"/>
  <c r="BT921" i="6"/>
  <c r="BT658" i="6"/>
  <c r="BT120" i="6"/>
  <c r="BZ718" i="6"/>
  <c r="BZ925" i="6"/>
  <c r="BT925" i="6"/>
  <c r="BT196" i="6"/>
  <c r="BZ213" i="6"/>
  <c r="BZ523" i="6"/>
  <c r="BZ153" i="6"/>
  <c r="BZ689" i="6"/>
  <c r="BZ209" i="6"/>
  <c r="BZ484" i="6"/>
  <c r="BT484" i="6"/>
  <c r="BT807" i="6"/>
  <c r="BT13" i="6"/>
  <c r="BZ13" i="6"/>
  <c r="AP42" i="6"/>
  <c r="BN42" i="6" s="1"/>
  <c r="AN42" i="6" a="1"/>
  <c r="AN42" i="6" s="1"/>
  <c r="BZ451" i="6"/>
  <c r="BZ1011" i="6"/>
  <c r="BT1011" i="6"/>
  <c r="AP222" i="6"/>
  <c r="BN222" i="6" s="1"/>
  <c r="AN222" i="6" a="1"/>
  <c r="AN222" i="6" s="1"/>
  <c r="AP498" i="6"/>
  <c r="AT498" i="6" s="1"/>
  <c r="BT606" i="6"/>
  <c r="BT117" i="6"/>
  <c r="BT491" i="6"/>
  <c r="BT1012" i="6"/>
  <c r="BM375" i="6"/>
  <c r="BT560" i="6"/>
  <c r="BF526" i="6"/>
  <c r="BZ1021" i="6"/>
  <c r="CA1021" i="6" s="1"/>
  <c r="CB1021" i="6" s="1"/>
  <c r="BT946" i="6"/>
  <c r="BZ716" i="6"/>
  <c r="BF912" i="6"/>
  <c r="BM133" i="6"/>
  <c r="BM310" i="6"/>
  <c r="BH402" i="6"/>
  <c r="BH340" i="6"/>
  <c r="BP16" i="6"/>
  <c r="BO16" i="6"/>
  <c r="AT275" i="6"/>
  <c r="BG275" i="6"/>
  <c r="BZ834" i="6"/>
  <c r="J216" i="4" a="1"/>
  <c r="J216" i="4" s="1"/>
  <c r="BT320" i="6"/>
  <c r="BT821" i="6"/>
  <c r="BM492" i="6"/>
  <c r="BN492" i="6" s="1"/>
  <c r="K121" i="4" a="1"/>
  <c r="K121" i="4" s="1"/>
  <c r="J60" i="4" a="1"/>
  <c r="J60" i="4" s="1"/>
  <c r="BT727" i="6"/>
  <c r="BM936" i="6"/>
  <c r="BT433" i="6"/>
  <c r="BT740" i="6"/>
  <c r="BT835" i="6"/>
  <c r="BM395" i="6"/>
  <c r="BZ126" i="6"/>
  <c r="BT734" i="6"/>
  <c r="BZ710" i="6"/>
  <c r="BZ113" i="6"/>
  <c r="BZ872" i="6"/>
  <c r="BZ108" i="6"/>
  <c r="AN687" i="6" a="1"/>
  <c r="AN687" i="6" s="1"/>
  <c r="BT673" i="6"/>
  <c r="BZ401" i="6"/>
  <c r="AN205" i="6" a="1"/>
  <c r="AN205" i="6" s="1"/>
  <c r="BZ359" i="6"/>
  <c r="BZ740" i="6"/>
  <c r="BM134" i="6"/>
  <c r="BI695" i="6"/>
  <c r="BH695" i="6"/>
  <c r="AN391" i="6" a="1"/>
  <c r="AN391" i="6" s="1"/>
  <c r="AP391" i="6"/>
  <c r="BT116" i="6"/>
  <c r="BT748" i="6"/>
  <c r="BI161" i="6"/>
  <c r="BN169" i="6"/>
  <c r="BO169" i="6" s="1"/>
  <c r="AS994" i="6"/>
  <c r="AT994" i="6" s="1"/>
  <c r="BO30" i="6"/>
  <c r="BZ636" i="6"/>
  <c r="BZ324" i="6"/>
  <c r="BT705" i="6"/>
  <c r="BZ489" i="6"/>
  <c r="BZ148" i="6"/>
  <c r="BT607" i="6"/>
  <c r="BZ734" i="6"/>
  <c r="BT834" i="6"/>
  <c r="BT710" i="6"/>
  <c r="BT501" i="6"/>
  <c r="AP209" i="6"/>
  <c r="BN560" i="6"/>
  <c r="BM430" i="6"/>
  <c r="J59" i="4" a="1"/>
  <c r="J59" i="4" s="1"/>
  <c r="BM939" i="6"/>
  <c r="BN939" i="6" s="1"/>
  <c r="BZ673" i="6"/>
  <c r="BT54" i="6"/>
  <c r="BT721" i="6"/>
  <c r="BZ457" i="6"/>
  <c r="K204" i="4" a="1"/>
  <c r="K204" i="4" s="1"/>
  <c r="BF85" i="6"/>
  <c r="AN833" i="6" a="1"/>
  <c r="AN833" i="6" s="1"/>
  <c r="BT225" i="6"/>
  <c r="BZ592" i="6"/>
  <c r="BZ694" i="6"/>
  <c r="BT529" i="6"/>
  <c r="BM864" i="6"/>
  <c r="BM644" i="6"/>
  <c r="BA1015" i="6"/>
  <c r="BB1015" i="6" s="1"/>
  <c r="BG857" i="6"/>
  <c r="BO781" i="6"/>
  <c r="BP781" i="6"/>
  <c r="BN524" i="6"/>
  <c r="BG501" i="6"/>
  <c r="AP846" i="6"/>
  <c r="AT846" i="6" s="1"/>
  <c r="AN846" i="6" a="1"/>
  <c r="AN846" i="6" s="1"/>
  <c r="BI288" i="6"/>
  <c r="BH445" i="6"/>
  <c r="BG603" i="6"/>
  <c r="BZ246" i="6"/>
  <c r="BZ653" i="6"/>
  <c r="BT130" i="6"/>
  <c r="BT377" i="6"/>
  <c r="BT599" i="6"/>
  <c r="AP1007" i="6"/>
  <c r="BT552" i="6"/>
  <c r="BZ514" i="6"/>
  <c r="BZ886" i="6"/>
  <c r="J94" i="4" a="1"/>
  <c r="J94" i="4" s="1"/>
  <c r="AV1015" i="6" s="1"/>
  <c r="K57" i="4" a="1"/>
  <c r="K57" i="4" s="1"/>
  <c r="AN128" i="6" a="1"/>
  <c r="AN128" i="6" s="1"/>
  <c r="AN635" i="6" a="1"/>
  <c r="AN635" i="6" s="1"/>
  <c r="BM829" i="6"/>
  <c r="BT787" i="6"/>
  <c r="AN622" i="6" a="1"/>
  <c r="AN622" i="6" s="1"/>
  <c r="BF812" i="6"/>
  <c r="BG812" i="6" s="1"/>
  <c r="BM904" i="6"/>
  <c r="BN904" i="6" s="1"/>
  <c r="BO904" i="6" s="1"/>
  <c r="AT897" i="6"/>
  <c r="AT26" i="6"/>
  <c r="BG26" i="6"/>
  <c r="BH492" i="6"/>
  <c r="BI492" i="6"/>
  <c r="BT895" i="6"/>
  <c r="BZ895" i="6"/>
  <c r="BP247" i="6"/>
  <c r="BO247" i="6"/>
  <c r="BP341" i="6"/>
  <c r="BI154" i="6"/>
  <c r="AT985" i="6"/>
  <c r="BG985" i="6"/>
  <c r="BG419" i="6"/>
  <c r="AT249" i="6"/>
  <c r="BN249" i="6"/>
  <c r="J231" i="4" a="1"/>
  <c r="J231" i="4" s="1"/>
  <c r="K231" i="4" a="1"/>
  <c r="K231" i="4" s="1"/>
  <c r="BT722" i="6"/>
  <c r="BZ722" i="6"/>
  <c r="BT237" i="6"/>
  <c r="BT231" i="6"/>
  <c r="BZ231" i="6"/>
  <c r="BT631" i="6"/>
  <c r="BZ631" i="6"/>
  <c r="BT480" i="6"/>
  <c r="BZ677" i="6"/>
  <c r="BZ941" i="6"/>
  <c r="BT941" i="6"/>
  <c r="BT322" i="6"/>
  <c r="BM354" i="6"/>
  <c r="BF354" i="6"/>
  <c r="K23" i="4" a="1"/>
  <c r="K23" i="4" s="1"/>
  <c r="J23" i="4"/>
  <c r="K103" i="4" a="1"/>
  <c r="K103" i="4" s="1"/>
  <c r="J103" i="4" a="1"/>
  <c r="J103" i="4" s="1"/>
  <c r="BT891" i="6"/>
  <c r="BZ891" i="6"/>
  <c r="BT428" i="6"/>
  <c r="BT793" i="6"/>
  <c r="BZ461" i="6"/>
  <c r="BT783" i="6"/>
  <c r="BZ726" i="6"/>
  <c r="BT345" i="6"/>
  <c r="BT149" i="6"/>
  <c r="BZ149" i="6"/>
  <c r="K211" i="4" a="1"/>
  <c r="K211" i="4" s="1"/>
  <c r="BF299" i="6"/>
  <c r="BM299" i="6"/>
  <c r="BN729" i="6"/>
  <c r="BP729" i="6" s="1"/>
  <c r="BT246" i="6"/>
  <c r="BZ310" i="6"/>
  <c r="BT692" i="6"/>
  <c r="BZ255" i="6"/>
  <c r="BT439" i="6"/>
  <c r="BZ247" i="6"/>
  <c r="BZ599" i="6"/>
  <c r="BT636" i="6"/>
  <c r="BZ196" i="6"/>
  <c r="BZ552" i="6"/>
  <c r="BZ218" i="6"/>
  <c r="BT333" i="6"/>
  <c r="BT677" i="6"/>
  <c r="K17" i="4" a="1"/>
  <c r="K17" i="4" s="1"/>
  <c r="BT997" i="6"/>
  <c r="BZ431" i="6"/>
  <c r="BT595" i="6"/>
  <c r="J229" i="4" a="1"/>
  <c r="J229" i="4" s="1"/>
  <c r="K111" i="4" a="1"/>
  <c r="K111" i="4" s="1"/>
  <c r="BZ930" i="6"/>
  <c r="BZ341" i="6"/>
  <c r="BZ428" i="6"/>
  <c r="AN729" i="6" a="1"/>
  <c r="AN729" i="6" s="1"/>
  <c r="J71" i="4" a="1"/>
  <c r="J71" i="4" s="1"/>
  <c r="K109" i="4" a="1"/>
  <c r="K109" i="4" s="1"/>
  <c r="BF80" i="6"/>
  <c r="BT359" i="6"/>
  <c r="BM517" i="6"/>
  <c r="K154" i="4" a="1"/>
  <c r="K154" i="4" s="1"/>
  <c r="BT94" i="6"/>
  <c r="BM187" i="6"/>
  <c r="BN371" i="6"/>
  <c r="BP261" i="6"/>
  <c r="BH715" i="6"/>
  <c r="AT960" i="6"/>
  <c r="BN410" i="6"/>
  <c r="BP410" i="6" s="1"/>
  <c r="BI159" i="6"/>
  <c r="BH159" i="6"/>
  <c r="BN687" i="6"/>
  <c r="BN792" i="6"/>
  <c r="BO792" i="6" s="1"/>
  <c r="BI753" i="6"/>
  <c r="BO98" i="6"/>
  <c r="BO545" i="6"/>
  <c r="K24" i="4" a="1"/>
  <c r="K24" i="4" s="1"/>
  <c r="AT612" i="6"/>
  <c r="BH578" i="6"/>
  <c r="BN429" i="6"/>
  <c r="BP429" i="6" s="1"/>
  <c r="BN835" i="6"/>
  <c r="BN416" i="6"/>
  <c r="BO416" i="6" s="1"/>
  <c r="BF205" i="6"/>
  <c r="BG205" i="6" s="1"/>
  <c r="BH205" i="6" s="1"/>
  <c r="BH669" i="6"/>
  <c r="BG232" i="6"/>
  <c r="BN232" i="6"/>
  <c r="BO232" i="6" s="1"/>
  <c r="BG191" i="6"/>
  <c r="BI191" i="6" s="1"/>
  <c r="BP173" i="6"/>
  <c r="BZ332" i="6"/>
  <c r="BZ362" i="6"/>
  <c r="BZ222" i="6"/>
  <c r="BZ588" i="6"/>
  <c r="AP18" i="6"/>
  <c r="AT18" i="6" s="1"/>
  <c r="BZ118" i="6"/>
  <c r="K238" i="4" a="1"/>
  <c r="K238" i="4" s="1"/>
  <c r="AP326" i="6"/>
  <c r="J45" i="4" a="1"/>
  <c r="J45" i="4" s="1"/>
  <c r="AP221" i="6"/>
  <c r="AN221" i="6" a="1"/>
  <c r="AN221" i="6" s="1"/>
  <c r="AP730" i="6"/>
  <c r="BG730" i="6" s="1"/>
  <c r="BI730" i="6" s="1"/>
  <c r="AN730" i="6" a="1"/>
  <c r="AN730" i="6" s="1"/>
  <c r="J155" i="4" a="1"/>
  <c r="J155" i="4" s="1"/>
  <c r="K155" i="4" a="1"/>
  <c r="K155" i="4" s="1"/>
  <c r="BT996" i="6"/>
  <c r="BU996" i="6" s="1"/>
  <c r="BV996" i="6" s="1"/>
  <c r="BZ996" i="6"/>
  <c r="CA996" i="6" s="1"/>
  <c r="CC996" i="6" s="1"/>
  <c r="BZ561" i="6"/>
  <c r="BT950" i="6"/>
  <c r="BZ950" i="6"/>
  <c r="BT284" i="6"/>
  <c r="BZ744" i="6"/>
  <c r="BT894" i="6"/>
  <c r="BT239" i="6"/>
  <c r="BF144" i="6"/>
  <c r="BG144" i="6" s="1"/>
  <c r="BH144" i="6" s="1"/>
  <c r="BM144" i="6"/>
  <c r="BN144" i="6" s="1"/>
  <c r="BP144" i="6" s="1"/>
  <c r="BZ84" i="6"/>
  <c r="BZ490" i="6"/>
  <c r="BT490" i="6"/>
  <c r="J252" i="4" a="1"/>
  <c r="J252" i="4" s="1"/>
  <c r="K252" i="4" a="1"/>
  <c r="K252" i="4" s="1"/>
  <c r="BT470" i="6"/>
  <c r="BZ470" i="6"/>
  <c r="BT269" i="6"/>
  <c r="BZ269" i="6"/>
  <c r="BT668" i="6"/>
  <c r="BZ668" i="6"/>
  <c r="BT583" i="6"/>
  <c r="BZ782" i="6"/>
  <c r="BT33" i="6"/>
  <c r="BT871" i="6"/>
  <c r="BT648" i="6"/>
  <c r="BZ760" i="6"/>
  <c r="BT760" i="6"/>
  <c r="BZ134" i="6"/>
  <c r="BT280" i="6"/>
  <c r="BT429" i="6"/>
  <c r="BF384" i="6"/>
  <c r="BZ763" i="6"/>
  <c r="BG394" i="6"/>
  <c r="BI394" i="6" s="1"/>
  <c r="AT959" i="6"/>
  <c r="BG959" i="6"/>
  <c r="BH959" i="6" s="1"/>
  <c r="BI135" i="6"/>
  <c r="BI300" i="6"/>
  <c r="BT472" i="6"/>
  <c r="BO655" i="6"/>
  <c r="BP655" i="6"/>
  <c r="BZ675" i="6"/>
  <c r="BG41" i="6"/>
  <c r="BH41" i="6" s="1"/>
  <c r="BZ536" i="6"/>
  <c r="BT536" i="6"/>
  <c r="AN779" i="6" a="1"/>
  <c r="AN779" i="6" s="1"/>
  <c r="AP779" i="6"/>
  <c r="AN100" i="6" a="1"/>
  <c r="AN100" i="6" s="1"/>
  <c r="AP100" i="6"/>
  <c r="AT100" i="6" s="1"/>
  <c r="BZ699" i="6"/>
  <c r="AP530" i="6"/>
  <c r="BZ748" i="6"/>
  <c r="BT965" i="6"/>
  <c r="BZ894" i="6"/>
  <c r="AP517" i="6"/>
  <c r="AT517" i="6" s="1"/>
  <c r="BT59" i="6"/>
  <c r="BT84" i="6"/>
  <c r="BT575" i="6"/>
  <c r="AU1008" i="6"/>
  <c r="AX1008" i="6" s="1"/>
  <c r="BT1000" i="6"/>
  <c r="BZ210" i="6"/>
  <c r="BT647" i="6"/>
  <c r="K243" i="4" a="1"/>
  <c r="K243" i="4" s="1"/>
  <c r="AN560" i="6" a="1"/>
  <c r="AN560" i="6" s="1"/>
  <c r="BZ826" i="6"/>
  <c r="BZ463" i="6"/>
  <c r="AP38" i="6"/>
  <c r="BZ434" i="6"/>
  <c r="BT732" i="6"/>
  <c r="BF590" i="6"/>
  <c r="BP317" i="6"/>
  <c r="AN896" i="6" a="1"/>
  <c r="AN896" i="6" s="1"/>
  <c r="J152" i="4" a="1"/>
  <c r="J152" i="4" s="1"/>
  <c r="J171" i="4" a="1"/>
  <c r="J171" i="4" s="1"/>
  <c r="AP271" i="6"/>
  <c r="BG271" i="6" s="1"/>
  <c r="BI271" i="6" s="1"/>
  <c r="AN271" i="6" a="1"/>
  <c r="AN271" i="6" s="1"/>
  <c r="BP461" i="6"/>
  <c r="BO752" i="6"/>
  <c r="AT801" i="6"/>
  <c r="AT258" i="6"/>
  <c r="BH647" i="6"/>
  <c r="BH811" i="6"/>
  <c r="BI811" i="6"/>
  <c r="BO508" i="6"/>
  <c r="AT621" i="6"/>
  <c r="BG621" i="6"/>
  <c r="BI621" i="6" s="1"/>
  <c r="BG431" i="6"/>
  <c r="BH431" i="6" s="1"/>
  <c r="BI407" i="6"/>
  <c r="BT675" i="6"/>
  <c r="BT940" i="6"/>
  <c r="BZ175" i="6"/>
  <c r="AP561" i="6"/>
  <c r="AT561" i="6" s="1"/>
  <c r="BT66" i="6"/>
  <c r="BT317" i="6"/>
  <c r="AN789" i="6" a="1"/>
  <c r="AN789" i="6" s="1"/>
  <c r="BT279" i="6"/>
  <c r="BF483" i="6"/>
  <c r="BG483" i="6" s="1"/>
  <c r="BH483" i="6" s="1"/>
  <c r="BZ661" i="6"/>
  <c r="AN898" i="6" a="1"/>
  <c r="AN898" i="6" s="1"/>
  <c r="BT199" i="6"/>
  <c r="AN162" i="6" a="1"/>
  <c r="AN162" i="6" s="1"/>
  <c r="AN28" i="6" a="1"/>
  <c r="AN28" i="6" s="1"/>
  <c r="J115" i="4" a="1"/>
  <c r="J115" i="4" s="1"/>
  <c r="AU1010" i="6"/>
  <c r="AX1010" i="6" s="1"/>
  <c r="BA1010" i="6" s="1"/>
  <c r="BB1010" i="6" s="1"/>
  <c r="K90" i="4" a="1"/>
  <c r="K90" i="4" s="1"/>
  <c r="J90" i="4" a="1"/>
  <c r="J90" i="4" s="1"/>
  <c r="AV1010" i="6" s="1"/>
  <c r="BI531" i="6"/>
  <c r="BH460" i="6"/>
  <c r="AP739" i="6"/>
  <c r="BN739" i="6" s="1"/>
  <c r="BO739" i="6" s="1"/>
  <c r="AN739" i="6" a="1"/>
  <c r="AN739" i="6" s="1"/>
  <c r="AP617" i="6"/>
  <c r="AT617" i="6" s="1"/>
  <c r="AN617" i="6" a="1"/>
  <c r="AN617" i="6" s="1"/>
  <c r="AP23" i="6"/>
  <c r="AN23" i="6" a="1"/>
  <c r="AN23" i="6" s="1"/>
  <c r="AP1012" i="6"/>
  <c r="BN1012" i="6" s="1"/>
  <c r="BO1012" i="6" s="1"/>
  <c r="AN1012" i="6" a="1"/>
  <c r="AN1012" i="6" s="1"/>
  <c r="BI606" i="6"/>
  <c r="BH655" i="6"/>
  <c r="BN724" i="6"/>
  <c r="BO724" i="6" s="1"/>
  <c r="BG994" i="6"/>
  <c r="BG147" i="6"/>
  <c r="BH147" i="6" s="1"/>
  <c r="BH960" i="6"/>
  <c r="AT868" i="6"/>
  <c r="BO837" i="6"/>
  <c r="BH396" i="6"/>
  <c r="BP589" i="6"/>
  <c r="AT946" i="6"/>
  <c r="BH176" i="6"/>
  <c r="BI78" i="6"/>
  <c r="BH78" i="6"/>
  <c r="BI500" i="6"/>
  <c r="AT804" i="6"/>
  <c r="BH853" i="6"/>
  <c r="BO622" i="6"/>
  <c r="BP622" i="6"/>
  <c r="BI238" i="6"/>
  <c r="AS1016" i="6"/>
  <c r="AT1016" i="6" s="1"/>
  <c r="BG493" i="6"/>
  <c r="BN26" i="6"/>
  <c r="BO26" i="6" s="1"/>
  <c r="BO409" i="6"/>
  <c r="BP409" i="6"/>
  <c r="BP496" i="6"/>
  <c r="BP203" i="6"/>
  <c r="AT155" i="6"/>
  <c r="AT177" i="6"/>
  <c r="BH203" i="6"/>
  <c r="BI203" i="6"/>
  <c r="BN495" i="6"/>
  <c r="AT718" i="6"/>
  <c r="BH40" i="6"/>
  <c r="BI40" i="6"/>
  <c r="BP94" i="6"/>
  <c r="AT7" i="6"/>
  <c r="BN1009" i="6"/>
  <c r="BP1009" i="6" s="1"/>
  <c r="AS1009" i="6"/>
  <c r="AT1009" i="6" s="1"/>
  <c r="AT387" i="6"/>
  <c r="AT437" i="6"/>
  <c r="AT142" i="6"/>
  <c r="BN142" i="6"/>
  <c r="BN928" i="6"/>
  <c r="BO928" i="6" s="1"/>
  <c r="BG646" i="6"/>
  <c r="BI646" i="6" s="1"/>
  <c r="AT160" i="6"/>
  <c r="BG160" i="6"/>
  <c r="BG522" i="6"/>
  <c r="BH522" i="6" s="1"/>
  <c r="J14" i="4" a="1"/>
  <c r="J14" i="4" s="1"/>
  <c r="AV1004" i="6" s="1"/>
  <c r="AU1004" i="6"/>
  <c r="AX1004" i="6" s="1"/>
  <c r="K14" i="4" a="1"/>
  <c r="K14" i="4" s="1"/>
  <c r="AP691" i="6"/>
  <c r="AN691" i="6" a="1"/>
  <c r="AN691" i="6" s="1"/>
  <c r="AT464" i="6"/>
  <c r="BN464" i="6"/>
  <c r="BI516" i="6"/>
  <c r="AU1007" i="6"/>
  <c r="AX1007" i="6" s="1"/>
  <c r="K137" i="4" a="1"/>
  <c r="K137" i="4" s="1"/>
  <c r="J137" i="4" a="1"/>
  <c r="J137" i="4" s="1"/>
  <c r="AV1007" i="6" s="1"/>
  <c r="J119" i="4" a="1"/>
  <c r="J119" i="4" s="1"/>
  <c r="AV995" i="6" s="1"/>
  <c r="AU995" i="6"/>
  <c r="AX995" i="6" s="1"/>
  <c r="BA995" i="6" s="1"/>
  <c r="BB995" i="6" s="1"/>
  <c r="K119" i="4" a="1"/>
  <c r="K119" i="4" s="1"/>
  <c r="AP590" i="6"/>
  <c r="AN590" i="6" a="1"/>
  <c r="AN590" i="6" s="1"/>
  <c r="AP819" i="6"/>
  <c r="BG819" i="6" s="1"/>
  <c r="BH819" i="6" s="1"/>
  <c r="AN819" i="6" a="1"/>
  <c r="AN819" i="6" s="1"/>
  <c r="AP188" i="6"/>
  <c r="AT188" i="6" s="1"/>
  <c r="AN188" i="6" a="1"/>
  <c r="AN188" i="6" s="1"/>
  <c r="AT757" i="6"/>
  <c r="AT310" i="6"/>
  <c r="BG310" i="6"/>
  <c r="BI310" i="6" s="1"/>
  <c r="AT452" i="6"/>
  <c r="BN452" i="6"/>
  <c r="BO452" i="6" s="1"/>
  <c r="AT569" i="6"/>
  <c r="BN569" i="6"/>
  <c r="BO569" i="6" s="1"/>
  <c r="AT192" i="6"/>
  <c r="J112" i="4" a="1"/>
  <c r="J112" i="4" s="1"/>
  <c r="K112" i="4" a="1"/>
  <c r="K112" i="4" s="1"/>
  <c r="AP674" i="6"/>
  <c r="BN674" i="6" s="1"/>
  <c r="BO674" i="6" s="1"/>
  <c r="AN674" i="6" a="1"/>
  <c r="AN674" i="6" s="1"/>
  <c r="AP103" i="6"/>
  <c r="AN103" i="6" a="1"/>
  <c r="AN103" i="6" s="1"/>
  <c r="AP456" i="6"/>
  <c r="AN456" i="6" a="1"/>
  <c r="AN456" i="6" s="1"/>
  <c r="BN470" i="6"/>
  <c r="BP470" i="6" s="1"/>
  <c r="BP748" i="6"/>
  <c r="BG576" i="6"/>
  <c r="BT240" i="6"/>
  <c r="BI98" i="6"/>
  <c r="BN435" i="6"/>
  <c r="BP435" i="6" s="1"/>
  <c r="BN882" i="6"/>
  <c r="BN166" i="6"/>
  <c r="BO166" i="6" s="1"/>
  <c r="BT343" i="6"/>
  <c r="J16" i="4" a="1"/>
  <c r="J16" i="4" s="1"/>
  <c r="BI280" i="6"/>
  <c r="BT590" i="6"/>
  <c r="J239" i="4" a="1"/>
  <c r="J239" i="4" s="1"/>
  <c r="BT175" i="6"/>
  <c r="BZ1005" i="6"/>
  <c r="BT119" i="6"/>
  <c r="AN521" i="6" a="1"/>
  <c r="AN521" i="6" s="1"/>
  <c r="K199" i="4" a="1"/>
  <c r="K199" i="4" s="1"/>
  <c r="AN249" i="6" a="1"/>
  <c r="AN249" i="6" s="1"/>
  <c r="J74" i="4" a="1"/>
  <c r="J74" i="4" s="1"/>
  <c r="BT27" i="6"/>
  <c r="BZ157" i="6"/>
  <c r="BZ128" i="6"/>
  <c r="K101" i="4" a="1"/>
  <c r="K101" i="4" s="1"/>
  <c r="K242" i="4" a="1"/>
  <c r="K242" i="4" s="1"/>
  <c r="BT70" i="6"/>
  <c r="K164" i="4" a="1"/>
  <c r="K164" i="4" s="1"/>
  <c r="BM394" i="6"/>
  <c r="BN394" i="6" s="1"/>
  <c r="AT694" i="6"/>
  <c r="BH808" i="6"/>
  <c r="BI808" i="6"/>
  <c r="BG741" i="6"/>
  <c r="BO322" i="6"/>
  <c r="BP70" i="6"/>
  <c r="BH228" i="6"/>
  <c r="BP280" i="6"/>
  <c r="BN771" i="6"/>
  <c r="BZ685" i="6"/>
  <c r="BM716" i="6"/>
  <c r="BN716" i="6" s="1"/>
  <c r="BZ961" i="6"/>
  <c r="K97" i="4" a="1"/>
  <c r="K97" i="4" s="1"/>
  <c r="BT41" i="6"/>
  <c r="BO647" i="6"/>
  <c r="AT382" i="6"/>
  <c r="BN956" i="6"/>
  <c r="AT126" i="6"/>
  <c r="BN878" i="6"/>
  <c r="BP878" i="6" s="1"/>
  <c r="AN64" i="6" a="1"/>
  <c r="AN64" i="6" s="1"/>
  <c r="AP64" i="6"/>
  <c r="AT64" i="6" s="1"/>
  <c r="K153" i="4" a="1"/>
  <c r="K153" i="4" s="1"/>
  <c r="BH635" i="6"/>
  <c r="BG215" i="6"/>
  <c r="BI215" i="6" s="1"/>
  <c r="AT719" i="6"/>
  <c r="AS1021" i="6"/>
  <c r="AT1021" i="6" s="1"/>
  <c r="BN515" i="6"/>
  <c r="BP515" i="6" s="1"/>
  <c r="J221" i="4" a="1"/>
  <c r="J221" i="4" s="1"/>
  <c r="BT30" i="6"/>
  <c r="AP95" i="6"/>
  <c r="BG95" i="6" s="1"/>
  <c r="BG600" i="6"/>
  <c r="BH600" i="6" s="1"/>
  <c r="AP504" i="6"/>
  <c r="AN139" i="6" a="1"/>
  <c r="AN139" i="6" s="1"/>
  <c r="K194" i="4" a="1"/>
  <c r="K194" i="4" s="1"/>
  <c r="AU1017" i="6"/>
  <c r="AX1017" i="6" s="1"/>
  <c r="BA1017" i="6" s="1"/>
  <c r="BB1017" i="6" s="1"/>
  <c r="AT236" i="6"/>
  <c r="BP387" i="6"/>
  <c r="BO954" i="6"/>
  <c r="BP148" i="6"/>
  <c r="BH662" i="6"/>
  <c r="BI662" i="6"/>
  <c r="BN894" i="6"/>
  <c r="BO894" i="6" s="1"/>
  <c r="BN799" i="6"/>
  <c r="BP799" i="6" s="1"/>
  <c r="BN581" i="6"/>
  <c r="BO581" i="6" s="1"/>
  <c r="BN862" i="6"/>
  <c r="BO862" i="6" s="1"/>
  <c r="AN74" i="6" a="1"/>
  <c r="AN74" i="6" s="1"/>
  <c r="AP74" i="6"/>
  <c r="AT74" i="6" s="1"/>
  <c r="BH803" i="6"/>
  <c r="BP31" i="6"/>
  <c r="BM678" i="6"/>
  <c r="BN678" i="6" s="1"/>
  <c r="BO678" i="6" s="1"/>
  <c r="BF678" i="6"/>
  <c r="BG678" i="6" s="1"/>
  <c r="BH678" i="6" s="1"/>
  <c r="AN870" i="6" a="1"/>
  <c r="AN870" i="6" s="1"/>
  <c r="AP870" i="6"/>
  <c r="AT870" i="6" s="1"/>
  <c r="AS1018" i="6"/>
  <c r="AT1018" i="6" s="1"/>
  <c r="J174" i="4" a="1"/>
  <c r="J174" i="4" s="1"/>
  <c r="K174" i="4" a="1"/>
  <c r="K174" i="4" s="1"/>
  <c r="BG904" i="6"/>
  <c r="BI904" i="6" s="1"/>
  <c r="BG559" i="6"/>
  <c r="BH559" i="6" s="1"/>
  <c r="BZ33" i="6"/>
  <c r="BZ549" i="6"/>
  <c r="BT867" i="6"/>
  <c r="BZ583" i="6"/>
  <c r="BT274" i="6"/>
  <c r="BZ75" i="6"/>
  <c r="BZ466" i="6"/>
  <c r="BN833" i="6"/>
  <c r="BZ648" i="6"/>
  <c r="BT9" i="6"/>
  <c r="BZ871" i="6"/>
  <c r="BZ270" i="6"/>
  <c r="K95" i="4" a="1"/>
  <c r="K95" i="4" s="1"/>
  <c r="AN272" i="6" a="1"/>
  <c r="AN272" i="6" s="1"/>
  <c r="AN368" i="6" a="1"/>
  <c r="AN368" i="6" s="1"/>
  <c r="AP735" i="6"/>
  <c r="AT735" i="6" s="1"/>
  <c r="BT255" i="6"/>
  <c r="BF283" i="6"/>
  <c r="BG283" i="6" s="1"/>
  <c r="BI283" i="6" s="1"/>
  <c r="BZ70" i="6"/>
  <c r="BF956" i="6"/>
  <c r="BT588" i="6"/>
  <c r="BM726" i="6"/>
  <c r="AN15" i="6" a="1"/>
  <c r="AN15" i="6" s="1"/>
  <c r="BN406" i="6"/>
  <c r="BP406" i="6" s="1"/>
  <c r="BZ411" i="6"/>
  <c r="BU1015" i="6"/>
  <c r="BZ375" i="6"/>
  <c r="BM479" i="6"/>
  <c r="BN479" i="6" s="1"/>
  <c r="BT213" i="6"/>
  <c r="BN639" i="6"/>
  <c r="BZ606" i="6"/>
  <c r="AP594" i="6"/>
  <c r="AT594" i="6" s="1"/>
  <c r="BA1002" i="6"/>
  <c r="BB1002" i="6" s="1"/>
  <c r="AT649" i="6"/>
  <c r="AT549" i="6"/>
  <c r="AT370" i="6"/>
  <c r="BG370" i="6"/>
  <c r="BG458" i="6"/>
  <c r="BI458" i="6" s="1"/>
  <c r="BN129" i="6"/>
  <c r="BO129" i="6" s="1"/>
  <c r="BG523" i="6"/>
  <c r="BI523" i="6" s="1"/>
  <c r="BI690" i="6"/>
  <c r="BH690" i="6"/>
  <c r="AN653" i="6" a="1"/>
  <c r="AN653" i="6" s="1"/>
  <c r="BF995" i="6"/>
  <c r="AP587" i="6"/>
  <c r="AT587" i="6" s="1"/>
  <c r="AN587" i="6" a="1"/>
  <c r="AN587" i="6" s="1"/>
  <c r="AP940" i="6"/>
  <c r="BT943" i="6"/>
  <c r="BZ938" i="6"/>
  <c r="BT495" i="6"/>
  <c r="AP226" i="6"/>
  <c r="BG226" i="6" s="1"/>
  <c r="AN921" i="6" a="1"/>
  <c r="AN921" i="6" s="1"/>
  <c r="BZ487" i="6"/>
  <c r="BT192" i="6"/>
  <c r="J183" i="4" a="1"/>
  <c r="J183" i="4" s="1"/>
  <c r="K183" i="4" a="1"/>
  <c r="K183" i="4" s="1"/>
  <c r="BZ865" i="6"/>
  <c r="AN117" i="6" a="1"/>
  <c r="AN117" i="6" s="1"/>
  <c r="AP117" i="6"/>
  <c r="BN117" i="6" s="1"/>
  <c r="BN583" i="6"/>
  <c r="BO583" i="6" s="1"/>
  <c r="BN43" i="6"/>
  <c r="BO43" i="6" s="1"/>
  <c r="BT98" i="6"/>
  <c r="BT759" i="6"/>
  <c r="BG480" i="6"/>
  <c r="BI480" i="6" s="1"/>
  <c r="BZ26" i="6"/>
  <c r="J43" i="4" a="1"/>
  <c r="J43" i="4" s="1"/>
  <c r="AP320" i="6"/>
  <c r="BG320" i="6" s="1"/>
  <c r="BI320" i="6" s="1"/>
  <c r="K228" i="4" a="1"/>
  <c r="K228" i="4" s="1"/>
  <c r="BT879" i="6"/>
  <c r="BZ553" i="6"/>
  <c r="J245" i="4" a="1"/>
  <c r="J245" i="4" s="1"/>
  <c r="K158" i="4" a="1"/>
  <c r="K158" i="4" s="1"/>
  <c r="BT801" i="6"/>
  <c r="BZ23" i="6"/>
  <c r="K13" i="4" a="1"/>
  <c r="K13" i="4" s="1"/>
  <c r="J223" i="4" a="1"/>
  <c r="J223" i="4" s="1"/>
  <c r="BZ30" i="6"/>
  <c r="J114" i="4" a="1"/>
  <c r="J114" i="4" s="1"/>
  <c r="AV1017" i="6" s="1"/>
  <c r="BM109" i="6"/>
  <c r="BN109" i="6" s="1"/>
  <c r="BP109" i="6" s="1"/>
  <c r="J187" i="4" a="1"/>
  <c r="J187" i="4" s="1"/>
  <c r="BM425" i="6"/>
  <c r="BN425" i="6" s="1"/>
  <c r="K91" i="4" a="1"/>
  <c r="K91" i="4" s="1"/>
  <c r="J236" i="4" a="1"/>
  <c r="J236" i="4" s="1"/>
  <c r="K236" i="4" a="1"/>
  <c r="K236" i="4" s="1"/>
  <c r="BT383" i="6"/>
  <c r="BZ383" i="6"/>
  <c r="J173" i="4" a="1"/>
  <c r="J173" i="4" s="1"/>
  <c r="AV1002" i="6" s="1"/>
  <c r="K173" i="4" a="1"/>
  <c r="K173" i="4" s="1"/>
  <c r="BT944" i="6"/>
  <c r="BZ944" i="6"/>
  <c r="BZ730" i="6"/>
  <c r="BF140" i="6"/>
  <c r="BG140" i="6" s="1"/>
  <c r="BH140" i="6" s="1"/>
  <c r="BM140" i="6"/>
  <c r="BN140" i="6" s="1"/>
  <c r="BP140" i="6" s="1"/>
  <c r="BZ751" i="6"/>
  <c r="BZ73" i="6"/>
  <c r="BF212" i="6"/>
  <c r="BM212" i="6"/>
  <c r="BF875" i="6"/>
  <c r="BG875" i="6" s="1"/>
  <c r="BI875" i="6" s="1"/>
  <c r="BM875" i="6"/>
  <c r="AP172" i="6"/>
  <c r="BG790" i="6"/>
  <c r="BI790" i="6" s="1"/>
  <c r="K62" i="4" a="1"/>
  <c r="K62" i="4" s="1"/>
  <c r="BF49" i="6"/>
  <c r="BG49" i="6" s="1"/>
  <c r="BI49" i="6" s="1"/>
  <c r="BN283" i="6"/>
  <c r="BO283" i="6" s="1"/>
  <c r="BN679" i="6"/>
  <c r="BP679" i="6" s="1"/>
  <c r="BP419" i="6"/>
  <c r="BO419" i="6"/>
  <c r="BM929" i="6"/>
  <c r="BF929" i="6"/>
  <c r="BF422" i="6"/>
  <c r="BG422" i="6" s="1"/>
  <c r="BI422" i="6" s="1"/>
  <c r="BM422" i="6"/>
  <c r="K67" i="4" a="1"/>
  <c r="K67" i="4" s="1"/>
  <c r="J67" i="4" a="1"/>
  <c r="J67" i="4" s="1"/>
  <c r="J144" i="4" a="1"/>
  <c r="J144" i="4" s="1"/>
  <c r="AV997" i="6" s="1"/>
  <c r="K144" i="4" a="1"/>
  <c r="K144" i="4" s="1"/>
  <c r="AP968" i="6"/>
  <c r="BG968" i="6" s="1"/>
  <c r="BH968" i="6" s="1"/>
  <c r="AN968" i="6" a="1"/>
  <c r="AN968" i="6" s="1"/>
  <c r="AN6" i="6" a="1"/>
  <c r="AN6" i="6" s="1"/>
  <c r="AP6" i="6"/>
  <c r="BN6" i="6" s="1"/>
  <c r="BP6" i="6" s="1"/>
  <c r="AP118" i="6"/>
  <c r="AT118" i="6" s="1"/>
  <c r="AN118" i="6" a="1"/>
  <c r="AN118" i="6" s="1"/>
  <c r="BG158" i="6"/>
  <c r="BN158" i="6"/>
  <c r="BP158" i="6" s="1"/>
  <c r="BG395" i="6"/>
  <c r="BI395" i="6" s="1"/>
  <c r="AT427" i="6"/>
  <c r="BG515" i="6"/>
  <c r="BH515" i="6" s="1"/>
  <c r="AT515" i="6"/>
  <c r="BN893" i="6"/>
  <c r="BP893" i="6" s="1"/>
  <c r="BN903" i="6"/>
  <c r="BO903" i="6" s="1"/>
  <c r="AS1008" i="6"/>
  <c r="AT1008" i="6" s="1"/>
  <c r="BH877" i="6"/>
  <c r="BN999" i="6"/>
  <c r="BP999" i="6" s="1"/>
  <c r="BN316" i="6"/>
  <c r="BO316" i="6" s="1"/>
  <c r="J225" i="4" a="1"/>
  <c r="J225" i="4" s="1"/>
  <c r="K225" i="4" a="1"/>
  <c r="K225" i="4" s="1"/>
  <c r="BT351" i="6"/>
  <c r="BZ202" i="6"/>
  <c r="BZ537" i="6"/>
  <c r="BM296" i="6"/>
  <c r="BF296" i="6"/>
  <c r="BN259" i="6"/>
  <c r="BO259" i="6" s="1"/>
  <c r="J212" i="4" a="1"/>
  <c r="J212" i="4" s="1"/>
  <c r="K212" i="4" a="1"/>
  <c r="K212" i="4" s="1"/>
  <c r="AP688" i="6"/>
  <c r="AN688" i="6" a="1"/>
  <c r="AN688" i="6" s="1"/>
  <c r="K176" i="4" a="1"/>
  <c r="K176" i="4" s="1"/>
  <c r="J176" i="4" a="1"/>
  <c r="J176" i="4" s="1"/>
  <c r="K138" i="4" a="1"/>
  <c r="K138" i="4" s="1"/>
  <c r="J138" i="4" a="1"/>
  <c r="J138" i="4" s="1"/>
  <c r="AN962" i="6" a="1"/>
  <c r="AN962" i="6" s="1"/>
  <c r="AP962" i="6"/>
  <c r="BG962" i="6" s="1"/>
  <c r="BT276" i="6"/>
  <c r="BZ276" i="6"/>
  <c r="BG442" i="6"/>
  <c r="BI442" i="6" s="1"/>
  <c r="AU1018" i="6"/>
  <c r="AX1018" i="6" s="1"/>
  <c r="BA1018" i="6" s="1"/>
  <c r="BB1018" i="6" s="1"/>
  <c r="K193" i="4" a="1"/>
  <c r="K193" i="4" s="1"/>
  <c r="J193" i="4" a="1"/>
  <c r="J193" i="4" s="1"/>
  <c r="AV1018" i="6" s="1"/>
  <c r="J35" i="4" a="1"/>
  <c r="J35" i="4" s="1"/>
  <c r="K35" i="4" a="1"/>
  <c r="K35" i="4" s="1"/>
  <c r="K99" i="4" a="1"/>
  <c r="K99" i="4" s="1"/>
  <c r="AU1019" i="6"/>
  <c r="AX1019" i="6" s="1"/>
  <c r="J99" i="4" a="1"/>
  <c r="J99" i="4" s="1"/>
  <c r="AV1019" i="6" s="1"/>
  <c r="AP475" i="6"/>
  <c r="AN475" i="6" a="1"/>
  <c r="AN475" i="6" s="1"/>
  <c r="AN712" i="6" a="1"/>
  <c r="AN712" i="6" s="1"/>
  <c r="AP712" i="6"/>
  <c r="AP976" i="6"/>
  <c r="AT976" i="6" s="1"/>
  <c r="AN976" i="6" a="1"/>
  <c r="AN976" i="6" s="1"/>
  <c r="AN983" i="6" a="1"/>
  <c r="AN983" i="6" s="1"/>
  <c r="AP983" i="6"/>
  <c r="AT983" i="6" s="1"/>
  <c r="BN444" i="6"/>
  <c r="BP444" i="6" s="1"/>
  <c r="BN790" i="6"/>
  <c r="BO790" i="6" s="1"/>
  <c r="BN600" i="6"/>
  <c r="BO600" i="6" s="1"/>
  <c r="BN17" i="6"/>
  <c r="BO17" i="6" s="1"/>
  <c r="AT367" i="6"/>
  <c r="BI878" i="6"/>
  <c r="BH317" i="6"/>
  <c r="BM654" i="6"/>
  <c r="BN654" i="6" s="1"/>
  <c r="BO654" i="6" s="1"/>
  <c r="BF654" i="6"/>
  <c r="BG654" i="6" s="1"/>
  <c r="BI654" i="6" s="1"/>
  <c r="BF358" i="6"/>
  <c r="BG358" i="6" s="1"/>
  <c r="BH358" i="6" s="1"/>
  <c r="BM358" i="6"/>
  <c r="BN358" i="6" s="1"/>
  <c r="BP358" i="6" s="1"/>
  <c r="BM735" i="6"/>
  <c r="BF735" i="6"/>
  <c r="AN844" i="6" a="1"/>
  <c r="AN844" i="6" s="1"/>
  <c r="AP844" i="6"/>
  <c r="BG844" i="6" s="1"/>
  <c r="AP490" i="6"/>
  <c r="AT490" i="6" s="1"/>
  <c r="AN490" i="6" a="1"/>
  <c r="AN490" i="6" s="1"/>
  <c r="AN538" i="6" a="1"/>
  <c r="AN538" i="6" s="1"/>
  <c r="AP538" i="6"/>
  <c r="BN538" i="6" s="1"/>
  <c r="BP538" i="6" s="1"/>
  <c r="BF580" i="6"/>
  <c r="BM580" i="6"/>
  <c r="BM885" i="6"/>
  <c r="BF885" i="6"/>
  <c r="AN1003" i="6" a="1"/>
  <c r="AN1003" i="6" s="1"/>
  <c r="AP1003" i="6"/>
  <c r="AS1003" i="6" s="1"/>
  <c r="AT1003" i="6" s="1"/>
  <c r="AN700" i="6" a="1"/>
  <c r="AN700" i="6" s="1"/>
  <c r="AP700" i="6"/>
  <c r="AT700" i="6" s="1"/>
  <c r="BF66" i="6"/>
  <c r="BM66" i="6"/>
  <c r="AN67" i="6" a="1"/>
  <c r="AN67" i="6" s="1"/>
  <c r="AP67" i="6"/>
  <c r="BN67" i="6" s="1"/>
  <c r="BO67" i="6" s="1"/>
  <c r="K76" i="4" a="1"/>
  <c r="K76" i="4" s="1"/>
  <c r="J76" i="4" a="1"/>
  <c r="J76" i="4" s="1"/>
  <c r="AV1014" i="6" s="1"/>
  <c r="AU1014" i="6"/>
  <c r="AX1014" i="6" s="1"/>
  <c r="BA1014" i="6" s="1"/>
  <c r="BB1014" i="6" s="1"/>
  <c r="AP642" i="6"/>
  <c r="AT642" i="6" s="1"/>
  <c r="AN642" i="6" a="1"/>
  <c r="AN642" i="6" s="1"/>
  <c r="J234" i="4" a="1"/>
  <c r="J234" i="4" s="1"/>
  <c r="AV1009" i="6" s="1"/>
  <c r="K234" i="4" a="1"/>
  <c r="K234" i="4" s="1"/>
  <c r="AU1009" i="6"/>
  <c r="AX1009" i="6" s="1"/>
  <c r="BA1009" i="6" s="1"/>
  <c r="BB1009" i="6" s="1"/>
  <c r="AN430" i="6" a="1"/>
  <c r="AN430" i="6" s="1"/>
  <c r="AP430" i="6"/>
  <c r="AP286" i="6"/>
  <c r="AT286" i="6" s="1"/>
  <c r="AN286" i="6" a="1"/>
  <c r="AN286" i="6" s="1"/>
  <c r="AP573" i="6"/>
  <c r="AN573" i="6" a="1"/>
  <c r="AN573" i="6" s="1"/>
  <c r="AP380" i="6"/>
  <c r="AT380" i="6" s="1"/>
  <c r="AN380" i="6" a="1"/>
  <c r="AN380" i="6" s="1"/>
  <c r="AP675" i="6"/>
  <c r="AT675" i="6" s="1"/>
  <c r="AN675" i="6" a="1"/>
  <c r="AN675" i="6" s="1"/>
  <c r="AP257" i="6"/>
  <c r="AN257" i="6" a="1"/>
  <c r="AN257" i="6" s="1"/>
  <c r="AN96" i="6" a="1"/>
  <c r="AN96" i="6" s="1"/>
  <c r="AP96" i="6"/>
  <c r="AP152" i="6"/>
  <c r="BG152" i="6" s="1"/>
  <c r="AN152" i="6" a="1"/>
  <c r="AN152" i="6" s="1"/>
  <c r="AN706" i="6" a="1"/>
  <c r="AN706" i="6" s="1"/>
  <c r="AP706" i="6"/>
  <c r="AN400" i="6" a="1"/>
  <c r="AN400" i="6" s="1"/>
  <c r="AP400" i="6"/>
  <c r="BZ72" i="6"/>
  <c r="BT72" i="6"/>
  <c r="AN240" i="6" a="1"/>
  <c r="AN240" i="6" s="1"/>
  <c r="AP240" i="6"/>
  <c r="BG240" i="6" s="1"/>
  <c r="J222" i="4" a="1"/>
  <c r="J222" i="4" s="1"/>
  <c r="K222" i="4" a="1"/>
  <c r="K222" i="4" s="1"/>
  <c r="BT22" i="6"/>
  <c r="BZ22" i="6"/>
  <c r="BT508" i="6"/>
  <c r="BZ508" i="6"/>
  <c r="BF782" i="6"/>
  <c r="BM782" i="6"/>
  <c r="AP964" i="6"/>
  <c r="AT964" i="6" s="1"/>
  <c r="AN964" i="6" a="1"/>
  <c r="AN964" i="6" s="1"/>
  <c r="BZ133" i="6"/>
  <c r="AP216" i="6"/>
  <c r="AN216" i="6" a="1"/>
  <c r="AN216" i="6" s="1"/>
  <c r="BT905" i="6"/>
  <c r="BZ905" i="6"/>
  <c r="AN640" i="6" a="1"/>
  <c r="AN640" i="6" s="1"/>
  <c r="AP640" i="6"/>
  <c r="AT640" i="6" s="1"/>
  <c r="J240" i="4" a="1"/>
  <c r="J240" i="4" s="1"/>
  <c r="K240" i="4" a="1"/>
  <c r="K240" i="4" s="1"/>
  <c r="AN250" i="6" a="1"/>
  <c r="AN250" i="6" s="1"/>
  <c r="AP250" i="6"/>
  <c r="BN250" i="6" s="1"/>
  <c r="AN333" i="6" a="1"/>
  <c r="AN333" i="6" s="1"/>
  <c r="AP333" i="6"/>
  <c r="AN738" i="6" a="1"/>
  <c r="AN738" i="6" s="1"/>
  <c r="AP738" i="6"/>
  <c r="BG738" i="6" s="1"/>
  <c r="BI738" i="6" s="1"/>
  <c r="BF35" i="6"/>
  <c r="BG35" i="6" s="1"/>
  <c r="BH35" i="6" s="1"/>
  <c r="BM35" i="6"/>
  <c r="BN35" i="6" s="1"/>
  <c r="BP35" i="6" s="1"/>
  <c r="AP726" i="6"/>
  <c r="BG726" i="6" s="1"/>
  <c r="AN726" i="6" a="1"/>
  <c r="AN726" i="6" s="1"/>
  <c r="AN319" i="6" a="1"/>
  <c r="AN319" i="6" s="1"/>
  <c r="AP319" i="6"/>
  <c r="AT319" i="6" s="1"/>
  <c r="AP57" i="6"/>
  <c r="AT57" i="6" s="1"/>
  <c r="AN57" i="6" a="1"/>
  <c r="AN57" i="6" s="1"/>
  <c r="AN312" i="6" a="1"/>
  <c r="AN312" i="6" s="1"/>
  <c r="AP312" i="6"/>
  <c r="AP362" i="6"/>
  <c r="BG362" i="6" s="1"/>
  <c r="BI362" i="6" s="1"/>
  <c r="AN362" i="6" a="1"/>
  <c r="AN362" i="6" s="1"/>
  <c r="AP529" i="6"/>
  <c r="AT529" i="6" s="1"/>
  <c r="AN529" i="6" a="1"/>
  <c r="AN529" i="6" s="1"/>
  <c r="AP423" i="6"/>
  <c r="AT423" i="6" s="1"/>
  <c r="AN423" i="6" a="1"/>
  <c r="AN423" i="6" s="1"/>
  <c r="AN698" i="6" a="1"/>
  <c r="AN698" i="6" s="1"/>
  <c r="AP698" i="6"/>
  <c r="AT698" i="6" s="1"/>
  <c r="AP132" i="6"/>
  <c r="AN132" i="6" a="1"/>
  <c r="AN132" i="6" s="1"/>
  <c r="AP1005" i="6"/>
  <c r="AS1005" i="6" s="1"/>
  <c r="AT1005" i="6" s="1"/>
  <c r="AN1005" i="6" a="1"/>
  <c r="AN1005" i="6" s="1"/>
  <c r="AP756" i="6"/>
  <c r="BG756" i="6" s="1"/>
  <c r="AN756" i="6" a="1"/>
  <c r="AN756" i="6" s="1"/>
  <c r="K107" i="4" a="1"/>
  <c r="K107" i="4" s="1"/>
  <c r="J107" i="4" a="1"/>
  <c r="J107" i="4" s="1"/>
  <c r="BM194" i="6"/>
  <c r="BF194" i="6"/>
  <c r="BT628" i="6"/>
  <c r="BZ628" i="6"/>
  <c r="K253" i="4" a="1"/>
  <c r="K253" i="4" s="1"/>
  <c r="J253" i="4" a="1"/>
  <c r="J253" i="4" s="1"/>
  <c r="J106" i="4" a="1"/>
  <c r="J106" i="4" s="1"/>
  <c r="K106" i="4" a="1"/>
  <c r="K106" i="4" s="1"/>
  <c r="J196" i="4" a="1"/>
  <c r="J196" i="4" s="1"/>
  <c r="K196" i="4" a="1"/>
  <c r="K196" i="4" s="1"/>
  <c r="AP220" i="6"/>
  <c r="BG220" i="6" s="1"/>
  <c r="AN220" i="6" a="1"/>
  <c r="AN220" i="6" s="1"/>
  <c r="BM116" i="6"/>
  <c r="BN116" i="6" s="1"/>
  <c r="BO116" i="6" s="1"/>
  <c r="BF116" i="6"/>
  <c r="BG116" i="6" s="1"/>
  <c r="BM374" i="6"/>
  <c r="BF374" i="6"/>
  <c r="AP323" i="6"/>
  <c r="AT323" i="6" s="1"/>
  <c r="AN323" i="6" a="1"/>
  <c r="AN323" i="6" s="1"/>
  <c r="J235" i="4" a="1"/>
  <c r="J235" i="4" s="1"/>
  <c r="K235" i="4" a="1"/>
  <c r="K235" i="4" s="1"/>
  <c r="AP364" i="6"/>
  <c r="AT364" i="6" s="1"/>
  <c r="AN364" i="6" a="1"/>
  <c r="AN364" i="6" s="1"/>
  <c r="AP168" i="6"/>
  <c r="AT168" i="6" s="1"/>
  <c r="AN168" i="6" a="1"/>
  <c r="AN168" i="6" s="1"/>
  <c r="BM940" i="6"/>
  <c r="BF940" i="6"/>
  <c r="AP207" i="6"/>
  <c r="AT207" i="6" s="1"/>
  <c r="AN207" i="6" a="1"/>
  <c r="AN207" i="6" s="1"/>
  <c r="AP227" i="6"/>
  <c r="BG227" i="6" s="1"/>
  <c r="BI227" i="6" s="1"/>
  <c r="AN227" i="6" a="1"/>
  <c r="AN227" i="6" s="1"/>
  <c r="AP832" i="6"/>
  <c r="AT832" i="6" s="1"/>
  <c r="AN832" i="6" a="1"/>
  <c r="AN832" i="6" s="1"/>
  <c r="AP884" i="6"/>
  <c r="AT884" i="6" s="1"/>
  <c r="AN884" i="6" a="1"/>
  <c r="AN884" i="6" s="1"/>
  <c r="BF911" i="6"/>
  <c r="BG911" i="6" s="1"/>
  <c r="BH911" i="6" s="1"/>
  <c r="BM911" i="6"/>
  <c r="BN911" i="6" s="1"/>
  <c r="BP911" i="6" s="1"/>
  <c r="J139" i="4" a="1"/>
  <c r="J139" i="4" s="1"/>
  <c r="K139" i="4" a="1"/>
  <c r="K139" i="4" s="1"/>
  <c r="AN1006" i="6" a="1"/>
  <c r="AN1006" i="6" s="1"/>
  <c r="AP1006" i="6"/>
  <c r="AP329" i="6"/>
  <c r="AN329" i="6" a="1"/>
  <c r="AN329" i="6" s="1"/>
  <c r="AP820" i="6"/>
  <c r="AN820" i="6" a="1"/>
  <c r="AN820" i="6" s="1"/>
  <c r="AN138" i="6" a="1"/>
  <c r="AN138" i="6" s="1"/>
  <c r="AP138" i="6"/>
  <c r="BN138" i="6" s="1"/>
  <c r="BO138" i="6" s="1"/>
  <c r="AP372" i="6"/>
  <c r="AN372" i="6" a="1"/>
  <c r="AN372" i="6" s="1"/>
  <c r="AN556" i="6" a="1"/>
  <c r="AN556" i="6" s="1"/>
  <c r="AP556" i="6"/>
  <c r="AT556" i="6" s="1"/>
  <c r="AP61" i="6"/>
  <c r="AN61" i="6" a="1"/>
  <c r="AN61" i="6" s="1"/>
  <c r="AN244" i="6" a="1"/>
  <c r="AN244" i="6" s="1"/>
  <c r="AP244" i="6"/>
  <c r="AP981" i="6"/>
  <c r="AT981" i="6" s="1"/>
  <c r="AN981" i="6" a="1"/>
  <c r="AN981" i="6" s="1"/>
  <c r="AN828" i="6" a="1"/>
  <c r="AN828" i="6" s="1"/>
  <c r="AP828" i="6"/>
  <c r="BG867" i="6"/>
  <c r="BI867" i="6" s="1"/>
  <c r="BN641" i="6"/>
  <c r="BP641" i="6" s="1"/>
  <c r="BN349" i="6"/>
  <c r="BO349" i="6" s="1"/>
  <c r="BN744" i="6"/>
  <c r="BG630" i="6"/>
  <c r="BH630" i="6" s="1"/>
  <c r="BG109" i="6"/>
  <c r="BI109" i="6" s="1"/>
  <c r="BN592" i="6"/>
  <c r="BN867" i="6"/>
  <c r="BP867" i="6" s="1"/>
  <c r="BP472" i="6"/>
  <c r="BN427" i="6"/>
  <c r="BO427" i="6" s="1"/>
  <c r="BG196" i="6"/>
  <c r="BH196" i="6" s="1"/>
  <c r="BH506" i="6"/>
  <c r="BI506" i="6"/>
  <c r="J40" i="4" a="1"/>
  <c r="J40" i="4" s="1"/>
  <c r="K40" i="4" a="1"/>
  <c r="K40" i="4" s="1"/>
  <c r="K172" i="4" a="1"/>
  <c r="K172" i="4" s="1"/>
  <c r="J172" i="4" a="1"/>
  <c r="J172" i="4" s="1"/>
  <c r="J179" i="4" a="1"/>
  <c r="J179" i="4" s="1"/>
  <c r="K179" i="4" a="1"/>
  <c r="K179" i="4" s="1"/>
  <c r="BF555" i="6"/>
  <c r="BG555" i="6" s="1"/>
  <c r="BI555" i="6" s="1"/>
  <c r="BM555" i="6"/>
  <c r="BN555" i="6" s="1"/>
  <c r="BP555" i="6" s="1"/>
  <c r="J5" i="4" a="1"/>
  <c r="J5" i="4" s="1"/>
  <c r="K5" i="4" a="1"/>
  <c r="K5" i="4" s="1"/>
  <c r="BM563" i="6"/>
  <c r="BN563" i="6" s="1"/>
  <c r="BO563" i="6" s="1"/>
  <c r="BF563" i="6"/>
  <c r="BG563" i="6" s="1"/>
  <c r="BI563" i="6" s="1"/>
  <c r="J178" i="4" a="1"/>
  <c r="J178" i="4" s="1"/>
  <c r="K178" i="4" a="1"/>
  <c r="K178" i="4" s="1"/>
  <c r="J8" i="4" a="1"/>
  <c r="J8" i="4" s="1"/>
  <c r="K8" i="4" a="1"/>
  <c r="K8" i="4" s="1"/>
  <c r="BM199" i="6"/>
  <c r="BN199" i="6" s="1"/>
  <c r="BP199" i="6" s="1"/>
  <c r="BF199" i="6"/>
  <c r="BG199" i="6" s="1"/>
  <c r="AP796" i="6"/>
  <c r="AN796" i="6" a="1"/>
  <c r="AN796" i="6" s="1"/>
  <c r="J32" i="4" a="1"/>
  <c r="J32" i="4" s="1"/>
  <c r="K32" i="4" a="1"/>
  <c r="K32" i="4" s="1"/>
  <c r="J190" i="4" a="1"/>
  <c r="J190" i="4" s="1"/>
  <c r="K190" i="4" a="1"/>
  <c r="K190" i="4" s="1"/>
  <c r="J49" i="4" a="1"/>
  <c r="J49" i="4" s="1"/>
  <c r="K49" i="4" a="1"/>
  <c r="K49" i="4" s="1"/>
  <c r="BF510" i="6"/>
  <c r="BM510" i="6"/>
  <c r="BF561" i="6"/>
  <c r="BM561" i="6"/>
  <c r="J28" i="4" a="1"/>
  <c r="J28" i="4" s="1"/>
  <c r="K28" i="4" a="1"/>
  <c r="K28" i="4" s="1"/>
  <c r="J209" i="4" a="1"/>
  <c r="J209" i="4" s="1"/>
  <c r="K209" i="4" a="1"/>
  <c r="K209" i="4" s="1"/>
  <c r="BM840" i="6"/>
  <c r="BN840" i="6" s="1"/>
  <c r="BF840" i="6"/>
  <c r="BG840" i="6" s="1"/>
  <c r="J88" i="4" a="1"/>
  <c r="J88" i="4" s="1"/>
  <c r="K88" i="4" a="1"/>
  <c r="K88" i="4" s="1"/>
  <c r="K48" i="4" a="1"/>
  <c r="K48" i="4" s="1"/>
  <c r="J48" i="4" a="1"/>
  <c r="J48" i="4" s="1"/>
  <c r="J22" i="4" a="1"/>
  <c r="J22" i="4" s="1"/>
  <c r="K22" i="4" a="1"/>
  <c r="K22" i="4" s="1"/>
  <c r="J25" i="4" a="1"/>
  <c r="J25" i="4" s="1"/>
  <c r="K25" i="4" a="1"/>
  <c r="K25" i="4" s="1"/>
  <c r="BF390" i="6"/>
  <c r="BM390" i="6"/>
  <c r="AP670" i="6"/>
  <c r="BG670" i="6" s="1"/>
  <c r="AN670" i="6" a="1"/>
  <c r="AN670" i="6" s="1"/>
  <c r="BM11" i="6"/>
  <c r="BN11" i="6" s="1"/>
  <c r="BF11" i="6"/>
  <c r="BG11" i="6" s="1"/>
  <c r="BH11" i="6" s="1"/>
  <c r="AN267" i="6" a="1"/>
  <c r="AN267" i="6" s="1"/>
  <c r="AP267" i="6"/>
  <c r="AT267" i="6" s="1"/>
  <c r="J18" i="4" a="1"/>
  <c r="J18" i="4" s="1"/>
  <c r="K18" i="4" a="1"/>
  <c r="K18" i="4" s="1"/>
  <c r="AT966" i="6"/>
  <c r="BG966" i="6"/>
  <c r="BH966" i="6" s="1"/>
  <c r="BN966" i="6"/>
  <c r="BO966" i="6" s="1"/>
  <c r="BN812" i="6"/>
  <c r="BH223" i="6"/>
  <c r="BH905" i="6"/>
  <c r="J108" i="4" a="1"/>
  <c r="J108" i="4" s="1"/>
  <c r="K108" i="4" a="1"/>
  <c r="K108" i="4" s="1"/>
  <c r="J203" i="4" a="1"/>
  <c r="J203" i="4" s="1"/>
  <c r="K203" i="4" a="1"/>
  <c r="K203" i="4" s="1"/>
  <c r="J256" i="4" a="1"/>
  <c r="J256" i="4" s="1"/>
  <c r="K256" i="4" a="1"/>
  <c r="K256" i="4" s="1"/>
  <c r="K87" i="4" a="1"/>
  <c r="K87" i="4" s="1"/>
  <c r="J87" i="4" a="1"/>
  <c r="J87" i="4" s="1"/>
  <c r="BZ881" i="6"/>
  <c r="BF172" i="6"/>
  <c r="BM172" i="6"/>
  <c r="BZ319" i="6"/>
  <c r="BT319" i="6"/>
  <c r="J12" i="4" a="1"/>
  <c r="J12" i="4" s="1"/>
  <c r="AV1024" i="6" s="1"/>
  <c r="K12" i="4" a="1"/>
  <c r="K12" i="4" s="1"/>
  <c r="AU1024" i="6"/>
  <c r="AX1024" i="6" s="1"/>
  <c r="J46" i="4" a="1"/>
  <c r="J46" i="4" s="1"/>
  <c r="K46" i="4" a="1"/>
  <c r="K46" i="4" s="1"/>
  <c r="BM957" i="6"/>
  <c r="BF957" i="6"/>
  <c r="BP135" i="6"/>
  <c r="AN392" i="6" a="1"/>
  <c r="AN392" i="6" s="1"/>
  <c r="AP392" i="6"/>
  <c r="AT392" i="6" s="1"/>
  <c r="BZ203" i="6"/>
  <c r="BT203" i="6"/>
  <c r="BZ325" i="6"/>
  <c r="K11" i="4" a="1"/>
  <c r="K11" i="4" s="1"/>
  <c r="J11" i="4" a="1"/>
  <c r="J11" i="4" s="1"/>
  <c r="BZ194" i="6"/>
  <c r="BT267" i="6"/>
  <c r="K156" i="4" a="1"/>
  <c r="K156" i="4" s="1"/>
  <c r="J156" i="4" a="1"/>
  <c r="J156" i="4" s="1"/>
  <c r="BT974" i="6"/>
  <c r="BF408" i="6"/>
  <c r="BG408" i="6" s="1"/>
  <c r="BM408" i="6"/>
  <c r="J79" i="4" a="1"/>
  <c r="J79" i="4" s="1"/>
  <c r="K79" i="4" a="1"/>
  <c r="K79" i="4" s="1"/>
  <c r="BZ507" i="6"/>
  <c r="BT507" i="6"/>
  <c r="AN361" i="6" a="1"/>
  <c r="AN361" i="6" s="1"/>
  <c r="AP361" i="6"/>
  <c r="AU999" i="6"/>
  <c r="AX999" i="6" s="1"/>
  <c r="K210" i="4" a="1"/>
  <c r="K210" i="4" s="1"/>
  <c r="J210" i="4" a="1"/>
  <c r="J210" i="4" s="1"/>
  <c r="AV999" i="6" s="1"/>
  <c r="BT986" i="6"/>
  <c r="BZ986" i="6"/>
  <c r="J219" i="4" a="1"/>
  <c r="J219" i="4" s="1"/>
  <c r="K219" i="4" a="1"/>
  <c r="K219" i="4" s="1"/>
  <c r="BM214" i="6"/>
  <c r="BN214" i="6" s="1"/>
  <c r="BO214" i="6" s="1"/>
  <c r="BF214" i="6"/>
  <c r="BG214" i="6" s="1"/>
  <c r="BI214" i="6" s="1"/>
  <c r="J73" i="4" a="1"/>
  <c r="J73" i="4" s="1"/>
  <c r="K73" i="4" a="1"/>
  <c r="K73" i="4" s="1"/>
  <c r="BM81" i="6"/>
  <c r="BF81" i="6"/>
  <c r="BG81" i="6" s="1"/>
  <c r="K248" i="4" a="1"/>
  <c r="K248" i="4" s="1"/>
  <c r="J248" i="4" a="1"/>
  <c r="J248" i="4" s="1"/>
  <c r="AN570" i="6" a="1"/>
  <c r="AN570" i="6" s="1"/>
  <c r="AP570" i="6"/>
  <c r="BN823" i="6"/>
  <c r="BO823" i="6" s="1"/>
  <c r="BG704" i="6"/>
  <c r="BG20" i="6"/>
  <c r="BI20" i="6" s="1"/>
  <c r="BN811" i="6"/>
  <c r="BP811" i="6" s="1"/>
  <c r="BH427" i="6"/>
  <c r="BI427" i="6"/>
  <c r="BG549" i="6"/>
  <c r="AT883" i="6"/>
  <c r="BP696" i="6"/>
  <c r="BG759" i="6"/>
  <c r="BH759" i="6" s="1"/>
  <c r="BI689" i="6"/>
  <c r="BG912" i="6"/>
  <c r="AT420" i="6"/>
  <c r="AT137" i="6"/>
  <c r="J31" i="4" a="1"/>
  <c r="J31" i="4" s="1"/>
  <c r="K31" i="4" a="1"/>
  <c r="K31" i="4" s="1"/>
  <c r="K147" i="4" a="1"/>
  <c r="K147" i="4" s="1"/>
  <c r="J147" i="4" a="1"/>
  <c r="J147" i="4" s="1"/>
  <c r="J150" i="4" a="1"/>
  <c r="J150" i="4" s="1"/>
  <c r="AV1013" i="6" s="1"/>
  <c r="K150" i="4" a="1"/>
  <c r="K150" i="4" s="1"/>
  <c r="J70" i="4" a="1"/>
  <c r="J70" i="4" s="1"/>
  <c r="K70" i="4" a="1"/>
  <c r="K70" i="4" s="1"/>
  <c r="J192" i="4" a="1"/>
  <c r="J192" i="4" s="1"/>
  <c r="K192" i="4" a="1"/>
  <c r="K192" i="4" s="1"/>
  <c r="BG415" i="6"/>
  <c r="BG434" i="6"/>
  <c r="BO443" i="6"/>
  <c r="BP703" i="6"/>
  <c r="BP689" i="6"/>
  <c r="AS1004" i="6"/>
  <c r="AT1004" i="6" s="1"/>
  <c r="BN1004" i="6"/>
  <c r="BO1004" i="6" s="1"/>
  <c r="BI56" i="6"/>
  <c r="BO205" i="6"/>
  <c r="AT720" i="6"/>
  <c r="BO401" i="6"/>
  <c r="BO486" i="6"/>
  <c r="BU1022" i="6"/>
  <c r="BW1022" i="6" s="1"/>
  <c r="BG360" i="6"/>
  <c r="BI360" i="6" s="1"/>
  <c r="BN385" i="6"/>
  <c r="AT487" i="6"/>
  <c r="BN743" i="6"/>
  <c r="BO818" i="6"/>
  <c r="BH907" i="6"/>
  <c r="BI907" i="6"/>
  <c r="BO503" i="6"/>
  <c r="BP345" i="6"/>
  <c r="BO650" i="6"/>
  <c r="BP650" i="6"/>
  <c r="BH284" i="6"/>
  <c r="BI284" i="6"/>
  <c r="BO241" i="6"/>
  <c r="BP241" i="6"/>
  <c r="BI751" i="6"/>
  <c r="BH751" i="6"/>
  <c r="BP733" i="6"/>
  <c r="BO552" i="6"/>
  <c r="BP110" i="6"/>
  <c r="BO110" i="6"/>
  <c r="BO332" i="6"/>
  <c r="BI436" i="6"/>
  <c r="BH436" i="6"/>
  <c r="BO801" i="6"/>
  <c r="BP958" i="6"/>
  <c r="BO958" i="6"/>
  <c r="BH141" i="6"/>
  <c r="BI141" i="6"/>
  <c r="BO451" i="6"/>
  <c r="BP451" i="6"/>
  <c r="BI881" i="6"/>
  <c r="BH881" i="6"/>
  <c r="BP662" i="6"/>
  <c r="BO662" i="6"/>
  <c r="BP582" i="6"/>
  <c r="BO582" i="6"/>
  <c r="BO260" i="6"/>
  <c r="BI925" i="6"/>
  <c r="BH925" i="6"/>
  <c r="BI696" i="6"/>
  <c r="BH696" i="6"/>
  <c r="BU993" i="6"/>
  <c r="BW993" i="6" s="1"/>
  <c r="BI503" i="6"/>
  <c r="BH503" i="6"/>
  <c r="BP223" i="6"/>
  <c r="BI318" i="6"/>
  <c r="BH318" i="6"/>
  <c r="BO723" i="6"/>
  <c r="BP723" i="6"/>
  <c r="BH332" i="6"/>
  <c r="BO208" i="6"/>
  <c r="BH826" i="6"/>
  <c r="BI826" i="6"/>
  <c r="BH575" i="6"/>
  <c r="BI575" i="6"/>
  <c r="BP619" i="6"/>
  <c r="BO619" i="6"/>
  <c r="BI729" i="6"/>
  <c r="BH729" i="6"/>
  <c r="BP932" i="6"/>
  <c r="BO932" i="6"/>
  <c r="BH4" i="6"/>
  <c r="AP302" i="6"/>
  <c r="AN302" i="6" a="1"/>
  <c r="AN302" i="6" s="1"/>
  <c r="AP206" i="6"/>
  <c r="BG206" i="6" s="1"/>
  <c r="AN206" i="6" a="1"/>
  <c r="AN206" i="6" s="1"/>
  <c r="BT503" i="6"/>
  <c r="BZ337" i="6"/>
  <c r="BH716" i="6"/>
  <c r="BI716" i="6"/>
  <c r="BZ811" i="6"/>
  <c r="BT811" i="6"/>
  <c r="BH303" i="6"/>
  <c r="BI303" i="6"/>
  <c r="AN86" i="6" a="1"/>
  <c r="AN86" i="6" s="1"/>
  <c r="AP86" i="6"/>
  <c r="BG86" i="6" s="1"/>
  <c r="BZ633" i="6"/>
  <c r="BT657" i="6"/>
  <c r="BZ657" i="6"/>
  <c r="BH919" i="6"/>
  <c r="BP115" i="6"/>
  <c r="CA1004" i="6"/>
  <c r="CC1004" i="6" s="1"/>
  <c r="AT938" i="6"/>
  <c r="BG834" i="6"/>
  <c r="BI697" i="6"/>
  <c r="BN546" i="6"/>
  <c r="BN63" i="6"/>
  <c r="AT657" i="6"/>
  <c r="BH797" i="6"/>
  <c r="BO446" i="6"/>
  <c r="BI487" i="6"/>
  <c r="BG270" i="6"/>
  <c r="BN610" i="6"/>
  <c r="BP610" i="6" s="1"/>
  <c r="BP452" i="6"/>
  <c r="BP868" i="6"/>
  <c r="BI446" i="6"/>
  <c r="BO798" i="6"/>
  <c r="BG88" i="6"/>
  <c r="BO191" i="6"/>
  <c r="BG246" i="6"/>
  <c r="BI718" i="6"/>
  <c r="BO923" i="6"/>
  <c r="BO162" i="6"/>
  <c r="BP398" i="6"/>
  <c r="BO272" i="6"/>
  <c r="BP521" i="6"/>
  <c r="BH16" i="6"/>
  <c r="BH52" i="6"/>
  <c r="BH462" i="6"/>
  <c r="BH605" i="6"/>
  <c r="BI1022" i="6"/>
  <c r="BH858" i="6"/>
  <c r="BP797" i="6"/>
  <c r="BP145" i="6"/>
  <c r="BP571" i="6"/>
  <c r="BN209" i="6"/>
  <c r="CC1015" i="6"/>
  <c r="BP621" i="6"/>
  <c r="BI849" i="6"/>
  <c r="BN18" i="6"/>
  <c r="BH572" i="6"/>
  <c r="BH128" i="6"/>
  <c r="BH239" i="6"/>
  <c r="K124" i="4" a="1"/>
  <c r="K124" i="4" s="1"/>
  <c r="K125" i="4" a="1"/>
  <c r="K125" i="4" s="1"/>
  <c r="BO429" i="6"/>
  <c r="AU3" i="6"/>
  <c r="AX3" i="6" s="1"/>
  <c r="AU992" i="6"/>
  <c r="AX992" i="6" s="1"/>
  <c r="AU782" i="6"/>
  <c r="AX782" i="6" s="1"/>
  <c r="BU782" i="6" s="1"/>
  <c r="BW782" i="6" s="1"/>
  <c r="AU488" i="6"/>
  <c r="AX488" i="6" s="1"/>
  <c r="CA488" i="6" s="1"/>
  <c r="CC488" i="6" s="1"/>
  <c r="AU481" i="6"/>
  <c r="AX481" i="6" s="1"/>
  <c r="AU439" i="6"/>
  <c r="AX439" i="6" s="1"/>
  <c r="BA439" i="6" s="1"/>
  <c r="BB439" i="6" s="1"/>
  <c r="AU402" i="6"/>
  <c r="AX402" i="6" s="1"/>
  <c r="BA402" i="6" s="1"/>
  <c r="BB402" i="6" s="1"/>
  <c r="AU359" i="6"/>
  <c r="AX359" i="6" s="1"/>
  <c r="AU296" i="6"/>
  <c r="AX296" i="6" s="1"/>
  <c r="AU238" i="6"/>
  <c r="AX238" i="6" s="1"/>
  <c r="AU150" i="6"/>
  <c r="AX150" i="6" s="1"/>
  <c r="BA150" i="6" s="1"/>
  <c r="BB150" i="6" s="1"/>
  <c r="AU27" i="6"/>
  <c r="AX27" i="6" s="1"/>
  <c r="CA27" i="6" s="1"/>
  <c r="CB27" i="6" s="1"/>
  <c r="AU202" i="6"/>
  <c r="AX202" i="6" s="1"/>
  <c r="AU199" i="6"/>
  <c r="AX199" i="6" s="1"/>
  <c r="CA199" i="6" s="1"/>
  <c r="CB199" i="6" s="1"/>
  <c r="AU203" i="6"/>
  <c r="AX203" i="6" s="1"/>
  <c r="AU204" i="6"/>
  <c r="AX204" i="6" s="1"/>
  <c r="AU200" i="6"/>
  <c r="AX200" i="6" s="1"/>
  <c r="AU201" i="6"/>
  <c r="AX201" i="6" s="1"/>
  <c r="CA201" i="6" s="1"/>
  <c r="CB201" i="6" s="1"/>
  <c r="AU297" i="6"/>
  <c r="AX297" i="6" s="1"/>
  <c r="BA297" i="6" s="1"/>
  <c r="BB297" i="6" s="1"/>
  <c r="AU301" i="6"/>
  <c r="AX301" i="6" s="1"/>
  <c r="BA301" i="6" s="1"/>
  <c r="BB301" i="6" s="1"/>
  <c r="AU305" i="6"/>
  <c r="AX305" i="6" s="1"/>
  <c r="BA305" i="6" s="1"/>
  <c r="BB305" i="6" s="1"/>
  <c r="AU298" i="6"/>
  <c r="AX298" i="6" s="1"/>
  <c r="AU299" i="6"/>
  <c r="AX299" i="6" s="1"/>
  <c r="BU299" i="6" s="1"/>
  <c r="BV299" i="6" s="1"/>
  <c r="AU512" i="6"/>
  <c r="AX512" i="6" s="1"/>
  <c r="AU513" i="6"/>
  <c r="AX513" i="6" s="1"/>
  <c r="AU514" i="6"/>
  <c r="AX514" i="6" s="1"/>
  <c r="AU58" i="6"/>
  <c r="AX58" i="6" s="1"/>
  <c r="BU58" i="6" s="1"/>
  <c r="BV58" i="6" s="1"/>
  <c r="AU59" i="6"/>
  <c r="AX59" i="6" s="1"/>
  <c r="BA59" i="6" s="1"/>
  <c r="BB59" i="6" s="1"/>
  <c r="AU60" i="6"/>
  <c r="AX60" i="6" s="1"/>
  <c r="AU55" i="6"/>
  <c r="AX55" i="6" s="1"/>
  <c r="AU56" i="6"/>
  <c r="AX56" i="6" s="1"/>
  <c r="CA56" i="6" s="1"/>
  <c r="CB56" i="6" s="1"/>
  <c r="AU755" i="6"/>
  <c r="AX755" i="6" s="1"/>
  <c r="AU756" i="6"/>
  <c r="AX756" i="6" s="1"/>
  <c r="CA756" i="6" s="1"/>
  <c r="CB756" i="6" s="1"/>
  <c r="AU757" i="6"/>
  <c r="AX757" i="6" s="1"/>
  <c r="BU757" i="6" s="1"/>
  <c r="BW757" i="6" s="1"/>
  <c r="AU244" i="6"/>
  <c r="AX244" i="6" s="1"/>
  <c r="AU57" i="6"/>
  <c r="AX57" i="6" s="1"/>
  <c r="AU85" i="6"/>
  <c r="AX85" i="6" s="1"/>
  <c r="CA85" i="6" s="1"/>
  <c r="CB85" i="6" s="1"/>
  <c r="AU229" i="6"/>
  <c r="AX229" i="6" s="1"/>
  <c r="AU77" i="6"/>
  <c r="AX77" i="6" s="1"/>
  <c r="CA77" i="6" s="1"/>
  <c r="CC77" i="6" s="1"/>
  <c r="AU33" i="6"/>
  <c r="AX33" i="6" s="1"/>
  <c r="AU276" i="6"/>
  <c r="AX276" i="6" s="1"/>
  <c r="AU130" i="6"/>
  <c r="AX130" i="6" s="1"/>
  <c r="CA130" i="6" s="1"/>
  <c r="CC130" i="6" s="1"/>
  <c r="AU266" i="6"/>
  <c r="AX266" i="6" s="1"/>
  <c r="AU115" i="6"/>
  <c r="AX115" i="6" s="1"/>
  <c r="BA115" i="6" s="1"/>
  <c r="AU255" i="6"/>
  <c r="AX255" i="6" s="1"/>
  <c r="AU104" i="6"/>
  <c r="AX104" i="6" s="1"/>
  <c r="AU182" i="6"/>
  <c r="AX182" i="6" s="1"/>
  <c r="BA182" i="6" s="1"/>
  <c r="BB182" i="6" s="1"/>
  <c r="AU49" i="6"/>
  <c r="AX49" i="6" s="1"/>
  <c r="BU49" i="6" s="1"/>
  <c r="BW49" i="6" s="1"/>
  <c r="AU209" i="6"/>
  <c r="AX209" i="6" s="1"/>
  <c r="AU143" i="6"/>
  <c r="AX143" i="6" s="1"/>
  <c r="AU964" i="6"/>
  <c r="AX964" i="6" s="1"/>
  <c r="AU502" i="6"/>
  <c r="AX502" i="6" s="1"/>
  <c r="AU503" i="6"/>
  <c r="AX503" i="6" s="1"/>
  <c r="CA503" i="6" s="1"/>
  <c r="CC503" i="6" s="1"/>
  <c r="AU504" i="6"/>
  <c r="AX504" i="6" s="1"/>
  <c r="CA504" i="6" s="1"/>
  <c r="CC504" i="6" s="1"/>
  <c r="AU355" i="6"/>
  <c r="AX355" i="6" s="1"/>
  <c r="BU355" i="6" s="1"/>
  <c r="BV355" i="6" s="1"/>
  <c r="AU505" i="6"/>
  <c r="AX505" i="6" s="1"/>
  <c r="AU932" i="6"/>
  <c r="AX932" i="6" s="1"/>
  <c r="AU984" i="6"/>
  <c r="AX984" i="6" s="1"/>
  <c r="BA984" i="6" s="1"/>
  <c r="BB984" i="6" s="1"/>
  <c r="AU892" i="6"/>
  <c r="AX892" i="6" s="1"/>
  <c r="BU892" i="6" s="1"/>
  <c r="BW892" i="6" s="1"/>
  <c r="AU893" i="6"/>
  <c r="AX893" i="6" s="1"/>
  <c r="BA893" i="6" s="1"/>
  <c r="AU985" i="6"/>
  <c r="AX985" i="6" s="1"/>
  <c r="BA985" i="6" s="1"/>
  <c r="BB985" i="6" s="1"/>
  <c r="AU725" i="6"/>
  <c r="AX725" i="6" s="1"/>
  <c r="AU726" i="6"/>
  <c r="AX726" i="6" s="1"/>
  <c r="AU497" i="6"/>
  <c r="AX497" i="6" s="1"/>
  <c r="AU499" i="6"/>
  <c r="AX499" i="6" s="1"/>
  <c r="BU499" i="6" s="1"/>
  <c r="AU498" i="6"/>
  <c r="AX498" i="6" s="1"/>
  <c r="BU498" i="6" s="1"/>
  <c r="BW498" i="6" s="1"/>
  <c r="AU29" i="6"/>
  <c r="AX29" i="6" s="1"/>
  <c r="AU28" i="6"/>
  <c r="AX28" i="6" s="1"/>
  <c r="AU26" i="6"/>
  <c r="AX26" i="6" s="1"/>
  <c r="BA26" i="6" s="1"/>
  <c r="BB26" i="6" s="1"/>
  <c r="AU25" i="6"/>
  <c r="AX25" i="6" s="1"/>
  <c r="CA25" i="6" s="1"/>
  <c r="CB25" i="6" s="1"/>
  <c r="AU356" i="6"/>
  <c r="AX356" i="6" s="1"/>
  <c r="CA356" i="6" s="1"/>
  <c r="CC356" i="6" s="1"/>
  <c r="AU961" i="6"/>
  <c r="AX961" i="6" s="1"/>
  <c r="AU930" i="6"/>
  <c r="AX930" i="6" s="1"/>
  <c r="AU911" i="6"/>
  <c r="AX911" i="6" s="1"/>
  <c r="AU897" i="6"/>
  <c r="AX897" i="6" s="1"/>
  <c r="BA897" i="6" s="1"/>
  <c r="BB897" i="6" s="1"/>
  <c r="AU883" i="6"/>
  <c r="AX883" i="6" s="1"/>
  <c r="AU869" i="6"/>
  <c r="AX869" i="6" s="1"/>
  <c r="BU869" i="6" s="1"/>
  <c r="BV869" i="6" s="1"/>
  <c r="AU854" i="6"/>
  <c r="AX854" i="6" s="1"/>
  <c r="AU840" i="6"/>
  <c r="AX840" i="6" s="1"/>
  <c r="BU840" i="6" s="1"/>
  <c r="BW840" i="6" s="1"/>
  <c r="AU822" i="6"/>
  <c r="AX822" i="6" s="1"/>
  <c r="BU822" i="6" s="1"/>
  <c r="AU441" i="6"/>
  <c r="AX441" i="6" s="1"/>
  <c r="BA441" i="6" s="1"/>
  <c r="BB441" i="6" s="1"/>
  <c r="AU443" i="6"/>
  <c r="AX443" i="6" s="1"/>
  <c r="CA443" i="6" s="1"/>
  <c r="CB443" i="6" s="1"/>
  <c r="AU442" i="6"/>
  <c r="AX442" i="6" s="1"/>
  <c r="BU442" i="6" s="1"/>
  <c r="BV442" i="6" s="1"/>
  <c r="AU17" i="6"/>
  <c r="AX17" i="6" s="1"/>
  <c r="BU17" i="6" s="1"/>
  <c r="BV17" i="6" s="1"/>
  <c r="AU935" i="6"/>
  <c r="AX935" i="6" s="1"/>
  <c r="BA935" i="6" s="1"/>
  <c r="BB935" i="6" s="1"/>
  <c r="AU92" i="6"/>
  <c r="AX92" i="6" s="1"/>
  <c r="AU91" i="6"/>
  <c r="AX91" i="6" s="1"/>
  <c r="BU91" i="6" s="1"/>
  <c r="AU90" i="6"/>
  <c r="AX90" i="6" s="1"/>
  <c r="AU952" i="6"/>
  <c r="AX952" i="6" s="1"/>
  <c r="BA952" i="6" s="1"/>
  <c r="BB952" i="6" s="1"/>
  <c r="AU668" i="6"/>
  <c r="AX668" i="6" s="1"/>
  <c r="AU669" i="6"/>
  <c r="AX669" i="6" s="1"/>
  <c r="BU669" i="6" s="1"/>
  <c r="BV669" i="6" s="1"/>
  <c r="AU670" i="6"/>
  <c r="AX670" i="6" s="1"/>
  <c r="CA670" i="6" s="1"/>
  <c r="CC670" i="6" s="1"/>
  <c r="AU13" i="6"/>
  <c r="AX13" i="6" s="1"/>
  <c r="AU15" i="6"/>
  <c r="AX15" i="6" s="1"/>
  <c r="BA15" i="6" s="1"/>
  <c r="BB15" i="6" s="1"/>
  <c r="AU16" i="6"/>
  <c r="AX16" i="6" s="1"/>
  <c r="BA16" i="6" s="1"/>
  <c r="BB16" i="6" s="1"/>
  <c r="AU14" i="6"/>
  <c r="AX14" i="6" s="1"/>
  <c r="AU12" i="6"/>
  <c r="AX12" i="6" s="1"/>
  <c r="BA12" i="6" s="1"/>
  <c r="BB12" i="6" s="1"/>
  <c r="AU251" i="6"/>
  <c r="AX251" i="6" s="1"/>
  <c r="AU250" i="6"/>
  <c r="AX250" i="6" s="1"/>
  <c r="AU247" i="6"/>
  <c r="AX247" i="6" s="1"/>
  <c r="BA247" i="6" s="1"/>
  <c r="BB247" i="6" s="1"/>
  <c r="AU248" i="6"/>
  <c r="AX248" i="6" s="1"/>
  <c r="BA248" i="6" s="1"/>
  <c r="BB248" i="6" s="1"/>
  <c r="AU554" i="6"/>
  <c r="AX554" i="6" s="1"/>
  <c r="AU556" i="6"/>
  <c r="AX556" i="6" s="1"/>
  <c r="AU557" i="6"/>
  <c r="AX557" i="6" s="1"/>
  <c r="BU557" i="6" s="1"/>
  <c r="BW557" i="6" s="1"/>
  <c r="AU915" i="6"/>
  <c r="AX915" i="6" s="1"/>
  <c r="AU621" i="6"/>
  <c r="AX621" i="6" s="1"/>
  <c r="BA621" i="6" s="1"/>
  <c r="BB621" i="6" s="1"/>
  <c r="AU455" i="6"/>
  <c r="AX455" i="6" s="1"/>
  <c r="BA455" i="6" s="1"/>
  <c r="BB455" i="6" s="1"/>
  <c r="AU456" i="6"/>
  <c r="AX456" i="6" s="1"/>
  <c r="BU456" i="6" s="1"/>
  <c r="AU457" i="6"/>
  <c r="AX457" i="6" s="1"/>
  <c r="AU903" i="6"/>
  <c r="AX903" i="6" s="1"/>
  <c r="AU838" i="6"/>
  <c r="AX838" i="6" s="1"/>
  <c r="AU839" i="6"/>
  <c r="AX839" i="6" s="1"/>
  <c r="AU558" i="6"/>
  <c r="AX558" i="6" s="1"/>
  <c r="AU178" i="6"/>
  <c r="AX178" i="6" s="1"/>
  <c r="BA178" i="6" s="1"/>
  <c r="BB178" i="6" s="1"/>
  <c r="AU86" i="6"/>
  <c r="AX86" i="6" s="1"/>
  <c r="AU87" i="6"/>
  <c r="AX87" i="6" s="1"/>
  <c r="CA87" i="6" s="1"/>
  <c r="AU88" i="6"/>
  <c r="AX88" i="6" s="1"/>
  <c r="BA88" i="6" s="1"/>
  <c r="BB88" i="6" s="1"/>
  <c r="AU83" i="6"/>
  <c r="AX83" i="6" s="1"/>
  <c r="BU83" i="6" s="1"/>
  <c r="BW83" i="6" s="1"/>
  <c r="AU84" i="6"/>
  <c r="AX84" i="6" s="1"/>
  <c r="BU84" i="6" s="1"/>
  <c r="AU618" i="6"/>
  <c r="AX618" i="6" s="1"/>
  <c r="AU622" i="6"/>
  <c r="AX622" i="6" s="1"/>
  <c r="AU619" i="6"/>
  <c r="AX619" i="6" s="1"/>
  <c r="BA619" i="6" s="1"/>
  <c r="BB619" i="6" s="1"/>
  <c r="AU620" i="6"/>
  <c r="AX620" i="6" s="1"/>
  <c r="BA620" i="6" s="1"/>
  <c r="BB620" i="6" s="1"/>
  <c r="AU100" i="6"/>
  <c r="AX100" i="6" s="1"/>
  <c r="AU101" i="6"/>
  <c r="AX101" i="6" s="1"/>
  <c r="BA101" i="6" s="1"/>
  <c r="BB101" i="6" s="1"/>
  <c r="AU960" i="6"/>
  <c r="AX960" i="6" s="1"/>
  <c r="CA960" i="6" s="1"/>
  <c r="CB960" i="6" s="1"/>
  <c r="AU261" i="6"/>
  <c r="AX261" i="6" s="1"/>
  <c r="BA261" i="6" s="1"/>
  <c r="BB261" i="6" s="1"/>
  <c r="AU847" i="6"/>
  <c r="AX847" i="6" s="1"/>
  <c r="AU848" i="6"/>
  <c r="AX848" i="6" s="1"/>
  <c r="BU848" i="6" s="1"/>
  <c r="AU818" i="6"/>
  <c r="AX818" i="6" s="1"/>
  <c r="AU306" i="6"/>
  <c r="AX306" i="6" s="1"/>
  <c r="CA306" i="6" s="1"/>
  <c r="AU970" i="6"/>
  <c r="AX970" i="6" s="1"/>
  <c r="AU971" i="6"/>
  <c r="AX971" i="6" s="1"/>
  <c r="BU971" i="6" s="1"/>
  <c r="BW971" i="6" s="1"/>
  <c r="AU927" i="6"/>
  <c r="AX927" i="6" s="1"/>
  <c r="BU927" i="6" s="1"/>
  <c r="BW927" i="6" s="1"/>
  <c r="AU813" i="6"/>
  <c r="AX813" i="6" s="1"/>
  <c r="BU813" i="6" s="1"/>
  <c r="BW813" i="6" s="1"/>
  <c r="AU814" i="6"/>
  <c r="AX814" i="6" s="1"/>
  <c r="BA814" i="6" s="1"/>
  <c r="BB814" i="6" s="1"/>
  <c r="AU815" i="6"/>
  <c r="AX815" i="6" s="1"/>
  <c r="BA815" i="6" s="1"/>
  <c r="BB815" i="6" s="1"/>
  <c r="AU987" i="6"/>
  <c r="AX987" i="6" s="1"/>
  <c r="AU693" i="6"/>
  <c r="AX693" i="6" s="1"/>
  <c r="CA693" i="6" s="1"/>
  <c r="AU694" i="6"/>
  <c r="AX694" i="6" s="1"/>
  <c r="BU694" i="6" s="1"/>
  <c r="BW694" i="6" s="1"/>
  <c r="AU695" i="6"/>
  <c r="AX695" i="6" s="1"/>
  <c r="AU626" i="6"/>
  <c r="AX626" i="6" s="1"/>
  <c r="BU626" i="6" s="1"/>
  <c r="BW626" i="6" s="1"/>
  <c r="AU627" i="6"/>
  <c r="AX627" i="6" s="1"/>
  <c r="BU627" i="6" s="1"/>
  <c r="BV627" i="6" s="1"/>
  <c r="AU590" i="6"/>
  <c r="AX590" i="6" s="1"/>
  <c r="BA590" i="6" s="1"/>
  <c r="BB590" i="6" s="1"/>
  <c r="AU592" i="6"/>
  <c r="AX592" i="6" s="1"/>
  <c r="AU591" i="6"/>
  <c r="AX591" i="6" s="1"/>
  <c r="BA591" i="6" s="1"/>
  <c r="BB591" i="6" s="1"/>
  <c r="AU551" i="6"/>
  <c r="AX551" i="6" s="1"/>
  <c r="BA551" i="6" s="1"/>
  <c r="AU553" i="6"/>
  <c r="AX553" i="6" s="1"/>
  <c r="AU552" i="6"/>
  <c r="AX552" i="6" s="1"/>
  <c r="AU523" i="6"/>
  <c r="AX523" i="6" s="1"/>
  <c r="AU525" i="6"/>
  <c r="AX525" i="6" s="1"/>
  <c r="AU524" i="6"/>
  <c r="AX524" i="6" s="1"/>
  <c r="BA524" i="6" s="1"/>
  <c r="BB524" i="6" s="1"/>
  <c r="AU490" i="6"/>
  <c r="AX490" i="6" s="1"/>
  <c r="AU492" i="6"/>
  <c r="AX492" i="6" s="1"/>
  <c r="AU491" i="6"/>
  <c r="AX491" i="6" s="1"/>
  <c r="CA491" i="6" s="1"/>
  <c r="CB491" i="6" s="1"/>
  <c r="AU435" i="6"/>
  <c r="AX435" i="6" s="1"/>
  <c r="AU437" i="6"/>
  <c r="AX437" i="6" s="1"/>
  <c r="AU436" i="6"/>
  <c r="AX436" i="6" s="1"/>
  <c r="BA436" i="6" s="1"/>
  <c r="BB436" i="6" s="1"/>
  <c r="AU399" i="6"/>
  <c r="AX399" i="6" s="1"/>
  <c r="AU401" i="6"/>
  <c r="AX401" i="6" s="1"/>
  <c r="AU400" i="6"/>
  <c r="AX400" i="6" s="1"/>
  <c r="BA400" i="6" s="1"/>
  <c r="BB400" i="6" s="1"/>
  <c r="AU373" i="6"/>
  <c r="AX373" i="6" s="1"/>
  <c r="BU373" i="6" s="1"/>
  <c r="AU375" i="6"/>
  <c r="AX375" i="6" s="1"/>
  <c r="AU374" i="6"/>
  <c r="AX374" i="6" s="1"/>
  <c r="AU321" i="6"/>
  <c r="AX321" i="6" s="1"/>
  <c r="BU321" i="6" s="1"/>
  <c r="BV321" i="6" s="1"/>
  <c r="AU323" i="6"/>
  <c r="AX323" i="6" s="1"/>
  <c r="AU322" i="6"/>
  <c r="AX322" i="6" s="1"/>
  <c r="BA322" i="6" s="1"/>
  <c r="BB322" i="6" s="1"/>
  <c r="AU500" i="6"/>
  <c r="AX500" i="6" s="1"/>
  <c r="AU501" i="6"/>
  <c r="AX501" i="6" s="1"/>
  <c r="AU453" i="6"/>
  <c r="AX453" i="6" s="1"/>
  <c r="BA453" i="6" s="1"/>
  <c r="BB453" i="6" s="1"/>
  <c r="AU454" i="6"/>
  <c r="AX454" i="6" s="1"/>
  <c r="AU273" i="6"/>
  <c r="AX273" i="6" s="1"/>
  <c r="CA273" i="6" s="1"/>
  <c r="AU337" i="6"/>
  <c r="AX337" i="6" s="1"/>
  <c r="BU337" i="6" s="1"/>
  <c r="BW337" i="6" s="1"/>
  <c r="AU338" i="6"/>
  <c r="AX338" i="6" s="1"/>
  <c r="BA338" i="6" s="1"/>
  <c r="BB338" i="6" s="1"/>
  <c r="AU339" i="6"/>
  <c r="AX339" i="6" s="1"/>
  <c r="BU339" i="6" s="1"/>
  <c r="BV339" i="6" s="1"/>
  <c r="AU340" i="6"/>
  <c r="AX340" i="6" s="1"/>
  <c r="AU246" i="6"/>
  <c r="AX246" i="6" s="1"/>
  <c r="AU249" i="6"/>
  <c r="AX249" i="6" s="1"/>
  <c r="AU149" i="6"/>
  <c r="AX149" i="6" s="1"/>
  <c r="BA149" i="6" s="1"/>
  <c r="BB149" i="6" s="1"/>
  <c r="AU148" i="6"/>
  <c r="AX148" i="6" s="1"/>
  <c r="AU655" i="6"/>
  <c r="AX655" i="6" s="1"/>
  <c r="BU655" i="6" s="1"/>
  <c r="BW655" i="6" s="1"/>
  <c r="AU656" i="6"/>
  <c r="AX656" i="6" s="1"/>
  <c r="BU656" i="6" s="1"/>
  <c r="BV656" i="6" s="1"/>
  <c r="AU761" i="6"/>
  <c r="AX761" i="6" s="1"/>
  <c r="AU762" i="6"/>
  <c r="AX762" i="6" s="1"/>
  <c r="AU763" i="6"/>
  <c r="AX763" i="6" s="1"/>
  <c r="BU763" i="6" s="1"/>
  <c r="BV763" i="6" s="1"/>
  <c r="AU606" i="6"/>
  <c r="AX606" i="6" s="1"/>
  <c r="AU607" i="6"/>
  <c r="AX607" i="6" s="1"/>
  <c r="BU607" i="6" s="1"/>
  <c r="AU608" i="6"/>
  <c r="AX608" i="6" s="1"/>
  <c r="BA608" i="6" s="1"/>
  <c r="BB608" i="6" s="1"/>
  <c r="AU532" i="6"/>
  <c r="AX532" i="6" s="1"/>
  <c r="AU533" i="6"/>
  <c r="AX533" i="6" s="1"/>
  <c r="AU445" i="6"/>
  <c r="AX445" i="6" s="1"/>
  <c r="BA445" i="6" s="1"/>
  <c r="BB445" i="6" s="1"/>
  <c r="AU446" i="6"/>
  <c r="AX446" i="6" s="1"/>
  <c r="BA446" i="6" s="1"/>
  <c r="BB446" i="6" s="1"/>
  <c r="AU447" i="6"/>
  <c r="AX447" i="6" s="1"/>
  <c r="BA447" i="6" s="1"/>
  <c r="BB447" i="6" s="1"/>
  <c r="AU404" i="6"/>
  <c r="AX404" i="6" s="1"/>
  <c r="BA404" i="6" s="1"/>
  <c r="BB404" i="6" s="1"/>
  <c r="AU405" i="6"/>
  <c r="AX405" i="6" s="1"/>
  <c r="AU406" i="6"/>
  <c r="AX406" i="6" s="1"/>
  <c r="CA406" i="6" s="1"/>
  <c r="CC406" i="6" s="1"/>
  <c r="AU363" i="6"/>
  <c r="AX363" i="6" s="1"/>
  <c r="AU364" i="6"/>
  <c r="AX364" i="6" s="1"/>
  <c r="BA364" i="6" s="1"/>
  <c r="AU365" i="6"/>
  <c r="AX365" i="6" s="1"/>
  <c r="AU89" i="6"/>
  <c r="AX89" i="6" s="1"/>
  <c r="AU281" i="6"/>
  <c r="AX281" i="6" s="1"/>
  <c r="AU284" i="6"/>
  <c r="AX284" i="6" s="1"/>
  <c r="CA284" i="6" s="1"/>
  <c r="AU283" i="6"/>
  <c r="AX283" i="6" s="1"/>
  <c r="BA283" i="6" s="1"/>
  <c r="BB283" i="6" s="1"/>
  <c r="AU282" i="6"/>
  <c r="AX282" i="6" s="1"/>
  <c r="AU674" i="6"/>
  <c r="AX674" i="6" s="1"/>
  <c r="AU675" i="6"/>
  <c r="AX675" i="6" s="1"/>
  <c r="AU676" i="6"/>
  <c r="AX676" i="6" s="1"/>
  <c r="BA676" i="6" s="1"/>
  <c r="BB676" i="6" s="1"/>
  <c r="AU852" i="6"/>
  <c r="AX852" i="6" s="1"/>
  <c r="BA852" i="6" s="1"/>
  <c r="BB852" i="6" s="1"/>
  <c r="AU853" i="6"/>
  <c r="AX853" i="6" s="1"/>
  <c r="BA853" i="6" s="1"/>
  <c r="BB853" i="6" s="1"/>
  <c r="AU962" i="6"/>
  <c r="AX962" i="6" s="1"/>
  <c r="AU827" i="6"/>
  <c r="AX827" i="6" s="1"/>
  <c r="BA827" i="6" s="1"/>
  <c r="BB827" i="6" s="1"/>
  <c r="AU887" i="6"/>
  <c r="AX887" i="6" s="1"/>
  <c r="AU614" i="6"/>
  <c r="AX614" i="6" s="1"/>
  <c r="AU816" i="6"/>
  <c r="AX816" i="6" s="1"/>
  <c r="AU817" i="6"/>
  <c r="AX817" i="6" s="1"/>
  <c r="BU817" i="6" s="1"/>
  <c r="AU232" i="6"/>
  <c r="AX232" i="6" s="1"/>
  <c r="AU138" i="6"/>
  <c r="AX138" i="6" s="1"/>
  <c r="AU137" i="6"/>
  <c r="AX137" i="6" s="1"/>
  <c r="AU459" i="6"/>
  <c r="AX459" i="6" s="1"/>
  <c r="CA459" i="6" s="1"/>
  <c r="CB459" i="6" s="1"/>
  <c r="AU189" i="6"/>
  <c r="AX189" i="6" s="1"/>
  <c r="AU190" i="6"/>
  <c r="AX190" i="6" s="1"/>
  <c r="BU190" i="6" s="1"/>
  <c r="BV190" i="6" s="1"/>
  <c r="AU460" i="6"/>
  <c r="AX460" i="6" s="1"/>
  <c r="BU460" i="6" s="1"/>
  <c r="BV460" i="6" s="1"/>
  <c r="AU233" i="6"/>
  <c r="AX233" i="6" s="1"/>
  <c r="BA233" i="6" s="1"/>
  <c r="BB233" i="6" s="1"/>
  <c r="AU234" i="6"/>
  <c r="AX234" i="6" s="1"/>
  <c r="CA234" i="6" s="1"/>
  <c r="CB234" i="6" s="1"/>
  <c r="AU235" i="6"/>
  <c r="AX235" i="6" s="1"/>
  <c r="AU231" i="6"/>
  <c r="AX231" i="6" s="1"/>
  <c r="BA231" i="6" s="1"/>
  <c r="BB231" i="6" s="1"/>
  <c r="AU236" i="6"/>
  <c r="AX236" i="6" s="1"/>
  <c r="BA236" i="6" s="1"/>
  <c r="BB236" i="6" s="1"/>
  <c r="AU227" i="6"/>
  <c r="AX227" i="6" s="1"/>
  <c r="AU230" i="6"/>
  <c r="AX230" i="6" s="1"/>
  <c r="CA230" i="6" s="1"/>
  <c r="CC230" i="6" s="1"/>
  <c r="AU228" i="6"/>
  <c r="AX228" i="6" s="1"/>
  <c r="BU228" i="6" s="1"/>
  <c r="BW228" i="6" s="1"/>
  <c r="AU242" i="6"/>
  <c r="AX242" i="6" s="1"/>
  <c r="BU242" i="6" s="1"/>
  <c r="AU243" i="6"/>
  <c r="AX243" i="6" s="1"/>
  <c r="BA243" i="6" s="1"/>
  <c r="BB243" i="6" s="1"/>
  <c r="AU357" i="6"/>
  <c r="AX357" i="6" s="1"/>
  <c r="AU358" i="6"/>
  <c r="AX358" i="6" s="1"/>
  <c r="BA358" i="6" s="1"/>
  <c r="BB358" i="6" s="1"/>
  <c r="AU979" i="6"/>
  <c r="AX979" i="6" s="1"/>
  <c r="AU642" i="6"/>
  <c r="AX642" i="6" s="1"/>
  <c r="BA642" i="6" s="1"/>
  <c r="AU643" i="6"/>
  <c r="AX643" i="6" s="1"/>
  <c r="AU644" i="6"/>
  <c r="AX644" i="6" s="1"/>
  <c r="AU569" i="6"/>
  <c r="AX569" i="6" s="1"/>
  <c r="CA569" i="6" s="1"/>
  <c r="CB569" i="6" s="1"/>
  <c r="AU570" i="6"/>
  <c r="AX570" i="6" s="1"/>
  <c r="AU571" i="6"/>
  <c r="AX571" i="6" s="1"/>
  <c r="BU571" i="6" s="1"/>
  <c r="BW571" i="6" s="1"/>
  <c r="AU588" i="6"/>
  <c r="AX588" i="6" s="1"/>
  <c r="AU589" i="6"/>
  <c r="AX589" i="6" s="1"/>
  <c r="BA589" i="6" s="1"/>
  <c r="BB589" i="6" s="1"/>
  <c r="AU582" i="6"/>
  <c r="AX582" i="6" s="1"/>
  <c r="AU583" i="6"/>
  <c r="AX583" i="6" s="1"/>
  <c r="AU584" i="6"/>
  <c r="AX584" i="6" s="1"/>
  <c r="BU584" i="6" s="1"/>
  <c r="BV584" i="6" s="1"/>
  <c r="AU585" i="6"/>
  <c r="AX585" i="6" s="1"/>
  <c r="BA585" i="6" s="1"/>
  <c r="AU586" i="6"/>
  <c r="AX586" i="6" s="1"/>
  <c r="BA586" i="6" s="1"/>
  <c r="BB586" i="6" s="1"/>
  <c r="AU587" i="6"/>
  <c r="AX587" i="6" s="1"/>
  <c r="BA587" i="6" s="1"/>
  <c r="BB587" i="6" s="1"/>
  <c r="AU687" i="6"/>
  <c r="AX687" i="6" s="1"/>
  <c r="CA687" i="6" s="1"/>
  <c r="CB687" i="6" s="1"/>
  <c r="AU688" i="6"/>
  <c r="AX688" i="6" s="1"/>
  <c r="CA688" i="6" s="1"/>
  <c r="CC688" i="6" s="1"/>
  <c r="AU544" i="6"/>
  <c r="AX544" i="6" s="1"/>
  <c r="BU544" i="6" s="1"/>
  <c r="BV544" i="6" s="1"/>
  <c r="AU758" i="6"/>
  <c r="AX758" i="6" s="1"/>
  <c r="CA758" i="6" s="1"/>
  <c r="CC758" i="6" s="1"/>
  <c r="AU759" i="6"/>
  <c r="AX759" i="6" s="1"/>
  <c r="AU573" i="6"/>
  <c r="AX573" i="6" s="1"/>
  <c r="CA573" i="6" s="1"/>
  <c r="CB573" i="6" s="1"/>
  <c r="AU719" i="6"/>
  <c r="AX719" i="6" s="1"/>
  <c r="AU720" i="6"/>
  <c r="AX720" i="6" s="1"/>
  <c r="AU790" i="6"/>
  <c r="AX790" i="6" s="1"/>
  <c r="BU790" i="6" s="1"/>
  <c r="BW790" i="6" s="1"/>
  <c r="AU791" i="6"/>
  <c r="AX791" i="6" s="1"/>
  <c r="BA791" i="6" s="1"/>
  <c r="BB791" i="6" s="1"/>
  <c r="AU461" i="6"/>
  <c r="AX461" i="6" s="1"/>
  <c r="BA461" i="6" s="1"/>
  <c r="BB461" i="6" s="1"/>
  <c r="AU462" i="6"/>
  <c r="AX462" i="6" s="1"/>
  <c r="AU742" i="6"/>
  <c r="AX742" i="6" s="1"/>
  <c r="CA742" i="6" s="1"/>
  <c r="CB742" i="6" s="1"/>
  <c r="AU743" i="6"/>
  <c r="AX743" i="6" s="1"/>
  <c r="BA743" i="6" s="1"/>
  <c r="BB743" i="6" s="1"/>
  <c r="AU633" i="6"/>
  <c r="AX633" i="6" s="1"/>
  <c r="AU634" i="6"/>
  <c r="AX634" i="6" s="1"/>
  <c r="AU660" i="6"/>
  <c r="AX660" i="6" s="1"/>
  <c r="BU660" i="6" s="1"/>
  <c r="AU661" i="6"/>
  <c r="AX661" i="6" s="1"/>
  <c r="BA661" i="6" s="1"/>
  <c r="BB661" i="6" s="1"/>
  <c r="AU769" i="6"/>
  <c r="AX769" i="6" s="1"/>
  <c r="AU770" i="6"/>
  <c r="AX770" i="6" s="1"/>
  <c r="BU770" i="6" s="1"/>
  <c r="BV770" i="6" s="1"/>
  <c r="AU616" i="6"/>
  <c r="AX616" i="6" s="1"/>
  <c r="AU617" i="6"/>
  <c r="AX617" i="6" s="1"/>
  <c r="AU700" i="6"/>
  <c r="AX700" i="6" s="1"/>
  <c r="BU700" i="6" s="1"/>
  <c r="BV700" i="6" s="1"/>
  <c r="AU701" i="6"/>
  <c r="AX701" i="6" s="1"/>
  <c r="CA701" i="6" s="1"/>
  <c r="CC701" i="6" s="1"/>
  <c r="AU479" i="6"/>
  <c r="AX479" i="6" s="1"/>
  <c r="AU480" i="6"/>
  <c r="AX480" i="6" s="1"/>
  <c r="AU508" i="6"/>
  <c r="AX508" i="6" s="1"/>
  <c r="AU509" i="6"/>
  <c r="AX509" i="6" s="1"/>
  <c r="AU696" i="6"/>
  <c r="AX696" i="6" s="1"/>
  <c r="AU531" i="6"/>
  <c r="AX531" i="6" s="1"/>
  <c r="BU531" i="6" s="1"/>
  <c r="AU731" i="6"/>
  <c r="AX731" i="6" s="1"/>
  <c r="AU732" i="6"/>
  <c r="AX732" i="6" s="1"/>
  <c r="AU646" i="6"/>
  <c r="AX646" i="6" s="1"/>
  <c r="CA646" i="6" s="1"/>
  <c r="CB646" i="6" s="1"/>
  <c r="AU647" i="6"/>
  <c r="AX647" i="6" s="1"/>
  <c r="BA647" i="6" s="1"/>
  <c r="BB647" i="6" s="1"/>
  <c r="AU596" i="6"/>
  <c r="AX596" i="6" s="1"/>
  <c r="CA596" i="6" s="1"/>
  <c r="CB596" i="6" s="1"/>
  <c r="AU672" i="6"/>
  <c r="AX672" i="6" s="1"/>
  <c r="BA672" i="6" s="1"/>
  <c r="BB672" i="6" s="1"/>
  <c r="AU673" i="6"/>
  <c r="AX673" i="6" s="1"/>
  <c r="AU559" i="6"/>
  <c r="AX559" i="6" s="1"/>
  <c r="BU559" i="6" s="1"/>
  <c r="BV559" i="6" s="1"/>
  <c r="AU764" i="6"/>
  <c r="AX764" i="6" s="1"/>
  <c r="AU736" i="6"/>
  <c r="AX736" i="6" s="1"/>
  <c r="AU708" i="6"/>
  <c r="AX708" i="6" s="1"/>
  <c r="AU678" i="6"/>
  <c r="AX678" i="6" s="1"/>
  <c r="AU651" i="6"/>
  <c r="AX651" i="6" s="1"/>
  <c r="AU603" i="6"/>
  <c r="AX603" i="6" s="1"/>
  <c r="CA603" i="6" s="1"/>
  <c r="CC603" i="6" s="1"/>
  <c r="AU727" i="6"/>
  <c r="AX727" i="6" s="1"/>
  <c r="AU79" i="6"/>
  <c r="AX79" i="6" s="1"/>
  <c r="BA79" i="6" s="1"/>
  <c r="BB79" i="6" s="1"/>
  <c r="AU80" i="6"/>
  <c r="AX80" i="6" s="1"/>
  <c r="AU78" i="6"/>
  <c r="AX78" i="6" s="1"/>
  <c r="BU78" i="6" s="1"/>
  <c r="BW78" i="6" s="1"/>
  <c r="AU75" i="6"/>
  <c r="AX75" i="6" s="1"/>
  <c r="AU76" i="6"/>
  <c r="AX76" i="6" s="1"/>
  <c r="BA76" i="6" s="1"/>
  <c r="BB76" i="6" s="1"/>
  <c r="AU34" i="6"/>
  <c r="AX34" i="6" s="1"/>
  <c r="BA34" i="6" s="1"/>
  <c r="BB34" i="6" s="1"/>
  <c r="AU35" i="6"/>
  <c r="AX35" i="6" s="1"/>
  <c r="BA35" i="6" s="1"/>
  <c r="BB35" i="6" s="1"/>
  <c r="AU36" i="6"/>
  <c r="AX36" i="6" s="1"/>
  <c r="BU36" i="6" s="1"/>
  <c r="AU31" i="6"/>
  <c r="AX31" i="6" s="1"/>
  <c r="BA31" i="6" s="1"/>
  <c r="BB31" i="6" s="1"/>
  <c r="AU32" i="6"/>
  <c r="AX32" i="6" s="1"/>
  <c r="AU30" i="6"/>
  <c r="AX30" i="6" s="1"/>
  <c r="AU861" i="6"/>
  <c r="AX861" i="6" s="1"/>
  <c r="AU862" i="6"/>
  <c r="AX862" i="6" s="1"/>
  <c r="AU535" i="6"/>
  <c r="AX535" i="6" s="1"/>
  <c r="AU536" i="6"/>
  <c r="AX536" i="6" s="1"/>
  <c r="AU537" i="6"/>
  <c r="AX537" i="6" s="1"/>
  <c r="AU538" i="6"/>
  <c r="AX538" i="6" s="1"/>
  <c r="BU538" i="6" s="1"/>
  <c r="AU539" i="6"/>
  <c r="AX539" i="6" s="1"/>
  <c r="BU539" i="6" s="1"/>
  <c r="AU205" i="6"/>
  <c r="AX205" i="6" s="1"/>
  <c r="AU910" i="6"/>
  <c r="AX910" i="6" s="1"/>
  <c r="AU776" i="6"/>
  <c r="AX776" i="6" s="1"/>
  <c r="BA776" i="6" s="1"/>
  <c r="BB776" i="6" s="1"/>
  <c r="AU777" i="6"/>
  <c r="AX777" i="6" s="1"/>
  <c r="AU778" i="6"/>
  <c r="AX778" i="6" s="1"/>
  <c r="BA778" i="6" s="1"/>
  <c r="BB778" i="6" s="1"/>
  <c r="AU940" i="6"/>
  <c r="AX940" i="6" s="1"/>
  <c r="BU940" i="6" s="1"/>
  <c r="AU941" i="6"/>
  <c r="AX941" i="6" s="1"/>
  <c r="AU239" i="6"/>
  <c r="AX239" i="6" s="1"/>
  <c r="BA239" i="6" s="1"/>
  <c r="BB239" i="6" s="1"/>
  <c r="AU194" i="6"/>
  <c r="AX194" i="6" s="1"/>
  <c r="AU151" i="6"/>
  <c r="AX151" i="6" s="1"/>
  <c r="BA151" i="6" s="1"/>
  <c r="BB151" i="6" s="1"/>
  <c r="AU476" i="6"/>
  <c r="AX476" i="6" s="1"/>
  <c r="AU631" i="6"/>
  <c r="AX631" i="6" s="1"/>
  <c r="AU976" i="6"/>
  <c r="AX976" i="6" s="1"/>
  <c r="BA976" i="6" s="1"/>
  <c r="BB976" i="6" s="1"/>
  <c r="AU111" i="6"/>
  <c r="AX111" i="6" s="1"/>
  <c r="BA111" i="6" s="1"/>
  <c r="BB111" i="6" s="1"/>
  <c r="AU112" i="6"/>
  <c r="AX112" i="6" s="1"/>
  <c r="AU577" i="6"/>
  <c r="AX577" i="6" s="1"/>
  <c r="AU574" i="6"/>
  <c r="AX574" i="6" s="1"/>
  <c r="BA574" i="6" s="1"/>
  <c r="BB574" i="6" s="1"/>
  <c r="AU575" i="6"/>
  <c r="AX575" i="6" s="1"/>
  <c r="BA575" i="6" s="1"/>
  <c r="BB575" i="6" s="1"/>
  <c r="AU576" i="6"/>
  <c r="AX576" i="6" s="1"/>
  <c r="AU850" i="6"/>
  <c r="AX850" i="6" s="1"/>
  <c r="AU851" i="6"/>
  <c r="AX851" i="6" s="1"/>
  <c r="AU954" i="6"/>
  <c r="AX954" i="6" s="1"/>
  <c r="AU44" i="6"/>
  <c r="AX44" i="6" s="1"/>
  <c r="BA44" i="6" s="1"/>
  <c r="BB44" i="6" s="1"/>
  <c r="AU45" i="6"/>
  <c r="AX45" i="6" s="1"/>
  <c r="CA45" i="6" s="1"/>
  <c r="AU41" i="6"/>
  <c r="AX41" i="6" s="1"/>
  <c r="AU42" i="6"/>
  <c r="AX42" i="6" s="1"/>
  <c r="AU43" i="6"/>
  <c r="AX43" i="6" s="1"/>
  <c r="AU38" i="6"/>
  <c r="AX38" i="6" s="1"/>
  <c r="BA38" i="6" s="1"/>
  <c r="BB38" i="6" s="1"/>
  <c r="AU40" i="6"/>
  <c r="AX40" i="6" s="1"/>
  <c r="CA40" i="6" s="1"/>
  <c r="AU39" i="6"/>
  <c r="AX39" i="6" s="1"/>
  <c r="BU39" i="6" s="1"/>
  <c r="BW39" i="6" s="1"/>
  <c r="AU37" i="6"/>
  <c r="AX37" i="6" s="1"/>
  <c r="AU983" i="6"/>
  <c r="AX983" i="6" s="1"/>
  <c r="AU302" i="6"/>
  <c r="AX302" i="6" s="1"/>
  <c r="AU304" i="6"/>
  <c r="AX304" i="6" s="1"/>
  <c r="AU303" i="6"/>
  <c r="AX303" i="6" s="1"/>
  <c r="BU303" i="6" s="1"/>
  <c r="BW303" i="6" s="1"/>
  <c r="AU300" i="6"/>
  <c r="AX300" i="6" s="1"/>
  <c r="BA300" i="6" s="1"/>
  <c r="BB300" i="6" s="1"/>
  <c r="AU70" i="6"/>
  <c r="AX70" i="6" s="1"/>
  <c r="AU71" i="6"/>
  <c r="AX71" i="6" s="1"/>
  <c r="BA71" i="6" s="1"/>
  <c r="BB71" i="6" s="1"/>
  <c r="AU74" i="6"/>
  <c r="AX74" i="6" s="1"/>
  <c r="CA74" i="6" s="1"/>
  <c r="CB74" i="6" s="1"/>
  <c r="AU73" i="6"/>
  <c r="AX73" i="6" s="1"/>
  <c r="BU73" i="6" s="1"/>
  <c r="BV73" i="6" s="1"/>
  <c r="AU72" i="6"/>
  <c r="AX72" i="6" s="1"/>
  <c r="AU68" i="6"/>
  <c r="AX68" i="6" s="1"/>
  <c r="AU69" i="6"/>
  <c r="AX69" i="6" s="1"/>
  <c r="CA69" i="6" s="1"/>
  <c r="CB69" i="6" s="1"/>
  <c r="AU973" i="6"/>
  <c r="AX973" i="6" s="1"/>
  <c r="BU973" i="6" s="1"/>
  <c r="AU974" i="6"/>
  <c r="AX974" i="6" s="1"/>
  <c r="BA974" i="6" s="1"/>
  <c r="BB974" i="6" s="1"/>
  <c r="AU913" i="6"/>
  <c r="AX913" i="6" s="1"/>
  <c r="AU900" i="6"/>
  <c r="AX900" i="6" s="1"/>
  <c r="AU886" i="6"/>
  <c r="AX886" i="6" s="1"/>
  <c r="BA886" i="6" s="1"/>
  <c r="BB886" i="6" s="1"/>
  <c r="AU872" i="6"/>
  <c r="AX872" i="6" s="1"/>
  <c r="BA872" i="6" s="1"/>
  <c r="BB872" i="6" s="1"/>
  <c r="AU857" i="6"/>
  <c r="AX857" i="6" s="1"/>
  <c r="AU842" i="6"/>
  <c r="AX842" i="6" s="1"/>
  <c r="BA842" i="6" s="1"/>
  <c r="BB842" i="6" s="1"/>
  <c r="AU824" i="6"/>
  <c r="AX824" i="6" s="1"/>
  <c r="BA824" i="6" s="1"/>
  <c r="BB824" i="6" s="1"/>
  <c r="AU808" i="6"/>
  <c r="AX808" i="6" s="1"/>
  <c r="BA808" i="6" s="1"/>
  <c r="BB808" i="6" s="1"/>
  <c r="AU788" i="6"/>
  <c r="AX788" i="6" s="1"/>
  <c r="BA788" i="6" s="1"/>
  <c r="BB788" i="6" s="1"/>
  <c r="AU766" i="6"/>
  <c r="AX766" i="6" s="1"/>
  <c r="CA766" i="6" s="1"/>
  <c r="AU740" i="6"/>
  <c r="AX740" i="6" s="1"/>
  <c r="BA740" i="6" s="1"/>
  <c r="AU713" i="6"/>
  <c r="AX713" i="6" s="1"/>
  <c r="CA713" i="6" s="1"/>
  <c r="CC713" i="6" s="1"/>
  <c r="AU682" i="6"/>
  <c r="AX682" i="6" s="1"/>
  <c r="AU654" i="6"/>
  <c r="AX654" i="6" s="1"/>
  <c r="CA654" i="6" s="1"/>
  <c r="AU625" i="6"/>
  <c r="AX625" i="6" s="1"/>
  <c r="BA625" i="6" s="1"/>
  <c r="AU580" i="6"/>
  <c r="AX580" i="6" s="1"/>
  <c r="BA580" i="6" s="1"/>
  <c r="BB580" i="6" s="1"/>
  <c r="AU549" i="6"/>
  <c r="AX549" i="6" s="1"/>
  <c r="BA549" i="6" s="1"/>
  <c r="BB549" i="6" s="1"/>
  <c r="AU516" i="6"/>
  <c r="AX516" i="6" s="1"/>
  <c r="BA516" i="6" s="1"/>
  <c r="BB516" i="6" s="1"/>
  <c r="AU471" i="6"/>
  <c r="AX471" i="6" s="1"/>
  <c r="AU560" i="6"/>
  <c r="AX560" i="6" s="1"/>
  <c r="AU597" i="6"/>
  <c r="AX597" i="6" s="1"/>
  <c r="CA597" i="6" s="1"/>
  <c r="CC597" i="6" s="1"/>
  <c r="AU775" i="6"/>
  <c r="AX775" i="6" s="1"/>
  <c r="BA775" i="6" s="1"/>
  <c r="BB775" i="6" s="1"/>
  <c r="AU751" i="6"/>
  <c r="AX751" i="6" s="1"/>
  <c r="AU689" i="6"/>
  <c r="AX689" i="6" s="1"/>
  <c r="AU534" i="6"/>
  <c r="AX534" i="6" s="1"/>
  <c r="BU534" i="6" s="1"/>
  <c r="BV534" i="6" s="1"/>
  <c r="AU662" i="6"/>
  <c r="AX662" i="6" s="1"/>
  <c r="AU721" i="6"/>
  <c r="AX721" i="6" s="1"/>
  <c r="BA721" i="6" s="1"/>
  <c r="BB721" i="6" s="1"/>
  <c r="AU475" i="6"/>
  <c r="AX475" i="6" s="1"/>
  <c r="AU635" i="6"/>
  <c r="AX635" i="6" s="1"/>
  <c r="BA635" i="6" s="1"/>
  <c r="BB635" i="6" s="1"/>
  <c r="AU799" i="6"/>
  <c r="AX799" i="6" s="1"/>
  <c r="BA799" i="6" s="1"/>
  <c r="BB799" i="6" s="1"/>
  <c r="AU800" i="6"/>
  <c r="AX800" i="6" s="1"/>
  <c r="AU260" i="6"/>
  <c r="AX260" i="6" s="1"/>
  <c r="CA260" i="6" s="1"/>
  <c r="AU391" i="6"/>
  <c r="AX391" i="6" s="1"/>
  <c r="BU391" i="6" s="1"/>
  <c r="BW391" i="6" s="1"/>
  <c r="AU392" i="6"/>
  <c r="AX392" i="6" s="1"/>
  <c r="AU426" i="6"/>
  <c r="AX426" i="6" s="1"/>
  <c r="AU219" i="6"/>
  <c r="AX219" i="6" s="1"/>
  <c r="BA219" i="6" s="1"/>
  <c r="BB219" i="6" s="1"/>
  <c r="AU220" i="6"/>
  <c r="AX220" i="6" s="1"/>
  <c r="BU220" i="6" s="1"/>
  <c r="BV220" i="6" s="1"/>
  <c r="AU648" i="6"/>
  <c r="AX648" i="6" s="1"/>
  <c r="AU649" i="6"/>
  <c r="AX649" i="6" s="1"/>
  <c r="CA649" i="6" s="1"/>
  <c r="AU650" i="6"/>
  <c r="AX650" i="6" s="1"/>
  <c r="AU450" i="6"/>
  <c r="AX450" i="6" s="1"/>
  <c r="AU801" i="6"/>
  <c r="AX801" i="6" s="1"/>
  <c r="AU398" i="6"/>
  <c r="AX398" i="6" s="1"/>
  <c r="AU427" i="6"/>
  <c r="AX427" i="6" s="1"/>
  <c r="BA427" i="6" s="1"/>
  <c r="BB427" i="6" s="1"/>
  <c r="AU428" i="6"/>
  <c r="AX428" i="6" s="1"/>
  <c r="AU432" i="6"/>
  <c r="AX432" i="6" s="1"/>
  <c r="BA432" i="6" s="1"/>
  <c r="BB432" i="6" s="1"/>
  <c r="AU819" i="6"/>
  <c r="AX819" i="6" s="1"/>
  <c r="AU820" i="6"/>
  <c r="AX820" i="6" s="1"/>
  <c r="BU820" i="6" s="1"/>
  <c r="BV820" i="6" s="1"/>
  <c r="AU429" i="6"/>
  <c r="AX429" i="6" s="1"/>
  <c r="AU430" i="6"/>
  <c r="AX430" i="6" s="1"/>
  <c r="AU431" i="6"/>
  <c r="AX431" i="6" s="1"/>
  <c r="BA431" i="6" s="1"/>
  <c r="BB431" i="6" s="1"/>
  <c r="AU921" i="6"/>
  <c r="AX921" i="6" s="1"/>
  <c r="BA921" i="6" s="1"/>
  <c r="BB921" i="6" s="1"/>
  <c r="AU825" i="6"/>
  <c r="AX825" i="6" s="1"/>
  <c r="BU825" i="6" s="1"/>
  <c r="BV825" i="6" s="1"/>
  <c r="AU809" i="6"/>
  <c r="AX809" i="6" s="1"/>
  <c r="CA809" i="6" s="1"/>
  <c r="CB809" i="6" s="1"/>
  <c r="AU977" i="6"/>
  <c r="AX977" i="6" s="1"/>
  <c r="BA977" i="6" s="1"/>
  <c r="BB977" i="6" s="1"/>
  <c r="AU487" i="6"/>
  <c r="AX487" i="6" s="1"/>
  <c r="AU390" i="6"/>
  <c r="AX390" i="6" s="1"/>
  <c r="AU376" i="6"/>
  <c r="AX376" i="6" s="1"/>
  <c r="AU368" i="6"/>
  <c r="AX368" i="6" s="1"/>
  <c r="AU327" i="6"/>
  <c r="AX327" i="6" s="1"/>
  <c r="CA327" i="6" s="1"/>
  <c r="CB327" i="6" s="1"/>
  <c r="AU314" i="6"/>
  <c r="AX314" i="6" s="1"/>
  <c r="AU240" i="6"/>
  <c r="AX240" i="6" s="1"/>
  <c r="AU152" i="6"/>
  <c r="AX152" i="6" s="1"/>
  <c r="AU877" i="6"/>
  <c r="AX877" i="6" s="1"/>
  <c r="AU967" i="6"/>
  <c r="AX967" i="6" s="1"/>
  <c r="BA967" i="6" s="1"/>
  <c r="BB967" i="6" s="1"/>
  <c r="AU494" i="6"/>
  <c r="AX494" i="6" s="1"/>
  <c r="AU495" i="6"/>
  <c r="AX495" i="6" s="1"/>
  <c r="CA495" i="6" s="1"/>
  <c r="AU496" i="6"/>
  <c r="AX496" i="6" s="1"/>
  <c r="CA496" i="6" s="1"/>
  <c r="AU972" i="6"/>
  <c r="AX972" i="6" s="1"/>
  <c r="BU972" i="6" s="1"/>
  <c r="BW972" i="6" s="1"/>
  <c r="AU477" i="6"/>
  <c r="AX477" i="6" s="1"/>
  <c r="AU478" i="6"/>
  <c r="AX478" i="6" s="1"/>
  <c r="CA478" i="6" s="1"/>
  <c r="CC478" i="6" s="1"/>
  <c r="AU679" i="6"/>
  <c r="AX679" i="6" s="1"/>
  <c r="AU370" i="6"/>
  <c r="AX370" i="6" s="1"/>
  <c r="CA370" i="6" s="1"/>
  <c r="CC370" i="6" s="1"/>
  <c r="AU371" i="6"/>
  <c r="AX371" i="6" s="1"/>
  <c r="BU371" i="6" s="1"/>
  <c r="BV371" i="6" s="1"/>
  <c r="AU372" i="6"/>
  <c r="AX372" i="6" s="1"/>
  <c r="AU684" i="6"/>
  <c r="AX684" i="6" s="1"/>
  <c r="AU685" i="6"/>
  <c r="AX685" i="6" s="1"/>
  <c r="BU685" i="6" s="1"/>
  <c r="AU63" i="6"/>
  <c r="AX63" i="6" s="1"/>
  <c r="CA63" i="6" s="1"/>
  <c r="CC63" i="6" s="1"/>
  <c r="AU62" i="6"/>
  <c r="AX62" i="6" s="1"/>
  <c r="AU686" i="6"/>
  <c r="AX686" i="6" s="1"/>
  <c r="BA686" i="6" s="1"/>
  <c r="BB686" i="6" s="1"/>
  <c r="AU279" i="6"/>
  <c r="AX279" i="6" s="1"/>
  <c r="AU277" i="6"/>
  <c r="AX277" i="6" s="1"/>
  <c r="AU280" i="6"/>
  <c r="AX280" i="6" s="1"/>
  <c r="BA280" i="6" s="1"/>
  <c r="BB280" i="6" s="1"/>
  <c r="AU278" i="6"/>
  <c r="AX278" i="6" s="1"/>
  <c r="BA278" i="6" s="1"/>
  <c r="BB278" i="6" s="1"/>
  <c r="AU274" i="6"/>
  <c r="AX274" i="6" s="1"/>
  <c r="AU293" i="6"/>
  <c r="AX293" i="6" s="1"/>
  <c r="BA293" i="6" s="1"/>
  <c r="BB293" i="6" s="1"/>
  <c r="AU286" i="6"/>
  <c r="AX286" i="6" s="1"/>
  <c r="CA286" i="6" s="1"/>
  <c r="AU288" i="6"/>
  <c r="AX288" i="6" s="1"/>
  <c r="AU287" i="6"/>
  <c r="AX287" i="6" s="1"/>
  <c r="CA287" i="6" s="1"/>
  <c r="AU986" i="6"/>
  <c r="AX986" i="6" s="1"/>
  <c r="AU957" i="6"/>
  <c r="AX957" i="6" s="1"/>
  <c r="AU901" i="6"/>
  <c r="AX901" i="6" s="1"/>
  <c r="CA901" i="6" s="1"/>
  <c r="AU902" i="6"/>
  <c r="AX902" i="6" s="1"/>
  <c r="AU483" i="6"/>
  <c r="AX483" i="6" s="1"/>
  <c r="BA483" i="6" s="1"/>
  <c r="BB483" i="6" s="1"/>
  <c r="AU484" i="6"/>
  <c r="AX484" i="6" s="1"/>
  <c r="AU482" i="6"/>
  <c r="AX482" i="6" s="1"/>
  <c r="CA482" i="6" s="1"/>
  <c r="CB482" i="6" s="1"/>
  <c r="AU868" i="6"/>
  <c r="AX868" i="6" s="1"/>
  <c r="CA868" i="6" s="1"/>
  <c r="CC868" i="6" s="1"/>
  <c r="AU61" i="6"/>
  <c r="AX61" i="6" s="1"/>
  <c r="BU61" i="6" s="1"/>
  <c r="BW61" i="6" s="1"/>
  <c r="AU615" i="6"/>
  <c r="AX615" i="6" s="1"/>
  <c r="AU611" i="6"/>
  <c r="AX611" i="6" s="1"/>
  <c r="AU612" i="6"/>
  <c r="AX612" i="6" s="1"/>
  <c r="BU612" i="6" s="1"/>
  <c r="BW612" i="6" s="1"/>
  <c r="AU613" i="6"/>
  <c r="AX613" i="6" s="1"/>
  <c r="BA613" i="6" s="1"/>
  <c r="BB613" i="6" s="1"/>
  <c r="AU944" i="6"/>
  <c r="AX944" i="6" s="1"/>
  <c r="BA944" i="6" s="1"/>
  <c r="BB944" i="6" s="1"/>
  <c r="AU931" i="6"/>
  <c r="AX931" i="6" s="1"/>
  <c r="AU912" i="6"/>
  <c r="AX912" i="6" s="1"/>
  <c r="AU899" i="6"/>
  <c r="AX899" i="6" s="1"/>
  <c r="AU885" i="6"/>
  <c r="AX885" i="6" s="1"/>
  <c r="BA885" i="6" s="1"/>
  <c r="BB885" i="6" s="1"/>
  <c r="AU870" i="6"/>
  <c r="AX870" i="6" s="1"/>
  <c r="BU870" i="6" s="1"/>
  <c r="AU855" i="6"/>
  <c r="AX855" i="6" s="1"/>
  <c r="AU844" i="6"/>
  <c r="AX844" i="6" s="1"/>
  <c r="AU826" i="6"/>
  <c r="AX826" i="6" s="1"/>
  <c r="BU826" i="6" s="1"/>
  <c r="AU806" i="6"/>
  <c r="AX806" i="6" s="1"/>
  <c r="BA806" i="6" s="1"/>
  <c r="AU789" i="6"/>
  <c r="AX789" i="6" s="1"/>
  <c r="AU768" i="6"/>
  <c r="AX768" i="6" s="1"/>
  <c r="CA768" i="6" s="1"/>
  <c r="CC768" i="6" s="1"/>
  <c r="AU739" i="6"/>
  <c r="AX739" i="6" s="1"/>
  <c r="AU711" i="6"/>
  <c r="AX711" i="6" s="1"/>
  <c r="BU711" i="6" s="1"/>
  <c r="BV711" i="6" s="1"/>
  <c r="AU681" i="6"/>
  <c r="AX681" i="6" s="1"/>
  <c r="CA681" i="6" s="1"/>
  <c r="AU653" i="6"/>
  <c r="AX653" i="6" s="1"/>
  <c r="BA653" i="6" s="1"/>
  <c r="BB653" i="6" s="1"/>
  <c r="AU624" i="6"/>
  <c r="AX624" i="6" s="1"/>
  <c r="BA624" i="6" s="1"/>
  <c r="BB624" i="6" s="1"/>
  <c r="AU581" i="6"/>
  <c r="AX581" i="6" s="1"/>
  <c r="AU548" i="6"/>
  <c r="AX548" i="6" s="1"/>
  <c r="AU517" i="6"/>
  <c r="AX517" i="6" s="1"/>
  <c r="AU470" i="6"/>
  <c r="AX470" i="6" s="1"/>
  <c r="AU415" i="6"/>
  <c r="AX415" i="6" s="1"/>
  <c r="BU415" i="6" s="1"/>
  <c r="BV415" i="6" s="1"/>
  <c r="AU383" i="6"/>
  <c r="AX383" i="6" s="1"/>
  <c r="AU336" i="6"/>
  <c r="AX336" i="6" s="1"/>
  <c r="AU275" i="6"/>
  <c r="AX275" i="6" s="1"/>
  <c r="CA275" i="6" s="1"/>
  <c r="CB275" i="6" s="1"/>
  <c r="AU193" i="6"/>
  <c r="AX193" i="6" s="1"/>
  <c r="BU193" i="6" s="1"/>
  <c r="BV193" i="6" s="1"/>
  <c r="AU879" i="6"/>
  <c r="AX879" i="6" s="1"/>
  <c r="CA879" i="6" s="1"/>
  <c r="AU880" i="6"/>
  <c r="AX880" i="6" s="1"/>
  <c r="BA880" i="6" s="1"/>
  <c r="AU198" i="6"/>
  <c r="AX198" i="6" s="1"/>
  <c r="AU197" i="6"/>
  <c r="AX197" i="6" s="1"/>
  <c r="CA197" i="6" s="1"/>
  <c r="CC197" i="6" s="1"/>
  <c r="AU361" i="6"/>
  <c r="AX361" i="6" s="1"/>
  <c r="AU362" i="6"/>
  <c r="AX362" i="6" s="1"/>
  <c r="BA362" i="6" s="1"/>
  <c r="BB362" i="6" s="1"/>
  <c r="AU360" i="6"/>
  <c r="AX360" i="6" s="1"/>
  <c r="BU360" i="6" s="1"/>
  <c r="BV360" i="6" s="1"/>
  <c r="AU294" i="6"/>
  <c r="AX294" i="6" s="1"/>
  <c r="BA294" i="6" s="1"/>
  <c r="BB294" i="6" s="1"/>
  <c r="AU823" i="6"/>
  <c r="AX823" i="6" s="1"/>
  <c r="CA823" i="6" s="1"/>
  <c r="CB823" i="6" s="1"/>
  <c r="AU841" i="6"/>
  <c r="AX841" i="6" s="1"/>
  <c r="AU914" i="6"/>
  <c r="AX914" i="6" s="1"/>
  <c r="BU914" i="6" s="1"/>
  <c r="BV914" i="6" s="1"/>
  <c r="AU133" i="6"/>
  <c r="AX133" i="6" s="1"/>
  <c r="AU134" i="6"/>
  <c r="AX134" i="6" s="1"/>
  <c r="AU528" i="6"/>
  <c r="AX528" i="6" s="1"/>
  <c r="CA528" i="6" s="1"/>
  <c r="AU527" i="6"/>
  <c r="AX527" i="6" s="1"/>
  <c r="BU527" i="6" s="1"/>
  <c r="BV527" i="6" s="1"/>
  <c r="AU529" i="6"/>
  <c r="AX529" i="6" s="1"/>
  <c r="AU341" i="6"/>
  <c r="AX341" i="6" s="1"/>
  <c r="AU530" i="6"/>
  <c r="AX530" i="6" s="1"/>
  <c r="BU530" i="6" s="1"/>
  <c r="BV530" i="6" s="1"/>
  <c r="AU334" i="6"/>
  <c r="AX334" i="6" s="1"/>
  <c r="AU332" i="6"/>
  <c r="AX332" i="6" s="1"/>
  <c r="BU332" i="6" s="1"/>
  <c r="AU333" i="6"/>
  <c r="AX333" i="6" s="1"/>
  <c r="AU330" i="6"/>
  <c r="AX330" i="6" s="1"/>
  <c r="BU330" i="6" s="1"/>
  <c r="BW330" i="6" s="1"/>
  <c r="AU328" i="6"/>
  <c r="AX328" i="6" s="1"/>
  <c r="AU331" i="6"/>
  <c r="AX331" i="6" s="1"/>
  <c r="CA331" i="6" s="1"/>
  <c r="CC331" i="6" s="1"/>
  <c r="AU329" i="6"/>
  <c r="AX329" i="6" s="1"/>
  <c r="AU267" i="6"/>
  <c r="AX267" i="6" s="1"/>
  <c r="BA267" i="6" s="1"/>
  <c r="BB267" i="6" s="1"/>
  <c r="AU264" i="6"/>
  <c r="AX264" i="6" s="1"/>
  <c r="AU268" i="6"/>
  <c r="AX268" i="6" s="1"/>
  <c r="BU268" i="6" s="1"/>
  <c r="AU265" i="6"/>
  <c r="AX265" i="6" s="1"/>
  <c r="BA265" i="6" s="1"/>
  <c r="BB265" i="6" s="1"/>
  <c r="AU593" i="6"/>
  <c r="AX593" i="6" s="1"/>
  <c r="BA593" i="6" s="1"/>
  <c r="BB593" i="6" s="1"/>
  <c r="AU594" i="6"/>
  <c r="AX594" i="6" s="1"/>
  <c r="BU594" i="6" s="1"/>
  <c r="AU595" i="6"/>
  <c r="AX595" i="6" s="1"/>
  <c r="BA595" i="6" s="1"/>
  <c r="BB595" i="6" s="1"/>
  <c r="AU680" i="6"/>
  <c r="AX680" i="6" s="1"/>
  <c r="BU680" i="6" s="1"/>
  <c r="BV680" i="6" s="1"/>
  <c r="AU652" i="6"/>
  <c r="AX652" i="6" s="1"/>
  <c r="AU623" i="6"/>
  <c r="AX623" i="6" s="1"/>
  <c r="BA623" i="6" s="1"/>
  <c r="BB623" i="6" s="1"/>
  <c r="AU579" i="6"/>
  <c r="AX579" i="6" s="1"/>
  <c r="BA579" i="6" s="1"/>
  <c r="BB579" i="6" s="1"/>
  <c r="AU547" i="6"/>
  <c r="AX547" i="6" s="1"/>
  <c r="AU515" i="6"/>
  <c r="AX515" i="6" s="1"/>
  <c r="AU710" i="6"/>
  <c r="AX710" i="6" s="1"/>
  <c r="AU507" i="6"/>
  <c r="AX507" i="6" s="1"/>
  <c r="AU550" i="6"/>
  <c r="AX550" i="6" s="1"/>
  <c r="BA550" i="6" s="1"/>
  <c r="BB550" i="6" s="1"/>
  <c r="AU981" i="6"/>
  <c r="AX981" i="6" s="1"/>
  <c r="AU865" i="6"/>
  <c r="AX865" i="6" s="1"/>
  <c r="AU866" i="6"/>
  <c r="AX866" i="6" s="1"/>
  <c r="AU990" i="6"/>
  <c r="AX990" i="6" s="1"/>
  <c r="BA990" i="6" s="1"/>
  <c r="BB990" i="6" s="1"/>
  <c r="AU989" i="6"/>
  <c r="AX989" i="6" s="1"/>
  <c r="BA989" i="6" s="1"/>
  <c r="BB989" i="6" s="1"/>
  <c r="AU353" i="6"/>
  <c r="AX353" i="6" s="1"/>
  <c r="AU792" i="6"/>
  <c r="AX792" i="6" s="1"/>
  <c r="CA792" i="6" s="1"/>
  <c r="CC792" i="6" s="1"/>
  <c r="AU793" i="6"/>
  <c r="AX793" i="6" s="1"/>
  <c r="AU794" i="6"/>
  <c r="AX794" i="6" s="1"/>
  <c r="BA794" i="6" s="1"/>
  <c r="BB794" i="6" s="1"/>
  <c r="AU369" i="6"/>
  <c r="AX369" i="6" s="1"/>
  <c r="CA369" i="6" s="1"/>
  <c r="CC369" i="6" s="1"/>
  <c r="AU307" i="6"/>
  <c r="AX307" i="6" s="1"/>
  <c r="BU307" i="6" s="1"/>
  <c r="BV307" i="6" s="1"/>
  <c r="AU245" i="6"/>
  <c r="AX245" i="6" s="1"/>
  <c r="CA245" i="6" s="1"/>
  <c r="CB245" i="6" s="1"/>
  <c r="AU81" i="6"/>
  <c r="AX81" i="6" s="1"/>
  <c r="BA81" i="6" s="1"/>
  <c r="BB81" i="6" s="1"/>
  <c r="AU53" i="6"/>
  <c r="AX53" i="6" s="1"/>
  <c r="BA53" i="6" s="1"/>
  <c r="BB53" i="6" s="1"/>
  <c r="AU465" i="6"/>
  <c r="AX465" i="6" s="1"/>
  <c r="AU602" i="6"/>
  <c r="AX602" i="6" s="1"/>
  <c r="AU448" i="6"/>
  <c r="AX448" i="6" s="1"/>
  <c r="BU448" i="6" s="1"/>
  <c r="BV448" i="6" s="1"/>
  <c r="AU449" i="6"/>
  <c r="AX449" i="6" s="1"/>
  <c r="BA449" i="6" s="1"/>
  <c r="BB449" i="6" s="1"/>
  <c r="AU407" i="6"/>
  <c r="AX407" i="6" s="1"/>
  <c r="CA407" i="6" s="1"/>
  <c r="CC407" i="6" s="1"/>
  <c r="AU139" i="6"/>
  <c r="AX139" i="6" s="1"/>
  <c r="CA139" i="6" s="1"/>
  <c r="CB139" i="6" s="1"/>
  <c r="AU752" i="6"/>
  <c r="AX752" i="6" s="1"/>
  <c r="AU753" i="6"/>
  <c r="AX753" i="6" s="1"/>
  <c r="BU753" i="6" s="1"/>
  <c r="BW753" i="6" s="1"/>
  <c r="AU754" i="6"/>
  <c r="AX754" i="6" s="1"/>
  <c r="AU722" i="6"/>
  <c r="AX722" i="6" s="1"/>
  <c r="AU723" i="6"/>
  <c r="AX723" i="6" s="1"/>
  <c r="BU723" i="6" s="1"/>
  <c r="BV723" i="6" s="1"/>
  <c r="AU724" i="6"/>
  <c r="AX724" i="6" s="1"/>
  <c r="AU690" i="6"/>
  <c r="AX690" i="6" s="1"/>
  <c r="BA690" i="6" s="1"/>
  <c r="BB690" i="6" s="1"/>
  <c r="AU691" i="6"/>
  <c r="AX691" i="6" s="1"/>
  <c r="BU691" i="6" s="1"/>
  <c r="BV691" i="6" s="1"/>
  <c r="AU692" i="6"/>
  <c r="AX692" i="6" s="1"/>
  <c r="BA692" i="6" s="1"/>
  <c r="BB692" i="6" s="1"/>
  <c r="AU663" i="6"/>
  <c r="AX663" i="6" s="1"/>
  <c r="CA663" i="6" s="1"/>
  <c r="CC663" i="6" s="1"/>
  <c r="AU664" i="6"/>
  <c r="AX664" i="6" s="1"/>
  <c r="AU665" i="6"/>
  <c r="AX665" i="6" s="1"/>
  <c r="BA665" i="6" s="1"/>
  <c r="BB665" i="6" s="1"/>
  <c r="AU636" i="6"/>
  <c r="AX636" i="6" s="1"/>
  <c r="AU637" i="6"/>
  <c r="AX637" i="6" s="1"/>
  <c r="BU637" i="6" s="1"/>
  <c r="AU638" i="6"/>
  <c r="AX638" i="6" s="1"/>
  <c r="BU638" i="6" s="1"/>
  <c r="AU601" i="6"/>
  <c r="AX601" i="6" s="1"/>
  <c r="CA601" i="6" s="1"/>
  <c r="AU598" i="6"/>
  <c r="AX598" i="6" s="1"/>
  <c r="BU598" i="6" s="1"/>
  <c r="BW598" i="6" s="1"/>
  <c r="AU599" i="6"/>
  <c r="AX599" i="6" s="1"/>
  <c r="AU600" i="6"/>
  <c r="AX600" i="6" s="1"/>
  <c r="BA600" i="6" s="1"/>
  <c r="BB600" i="6" s="1"/>
  <c r="AU867" i="6"/>
  <c r="AX867" i="6" s="1"/>
  <c r="AU878" i="6"/>
  <c r="AX878" i="6" s="1"/>
  <c r="BA878" i="6" s="1"/>
  <c r="BB878" i="6" s="1"/>
  <c r="AU715" i="6"/>
  <c r="AX715" i="6" s="1"/>
  <c r="CA715" i="6" s="1"/>
  <c r="CC715" i="6" s="1"/>
  <c r="AU564" i="6"/>
  <c r="AX564" i="6" s="1"/>
  <c r="AU561" i="6"/>
  <c r="AX561" i="6" s="1"/>
  <c r="BA561" i="6" s="1"/>
  <c r="BB561" i="6" s="1"/>
  <c r="AU562" i="6"/>
  <c r="AX562" i="6" s="1"/>
  <c r="CA562" i="6" s="1"/>
  <c r="AU563" i="6"/>
  <c r="AX563" i="6" s="1"/>
  <c r="BU563" i="6" s="1"/>
  <c r="BW563" i="6" s="1"/>
  <c r="AU898" i="6"/>
  <c r="AX898" i="6" s="1"/>
  <c r="BA898" i="6" s="1"/>
  <c r="BB898" i="6" s="1"/>
  <c r="AU884" i="6"/>
  <c r="AX884" i="6" s="1"/>
  <c r="BA884" i="6" s="1"/>
  <c r="BB884" i="6" s="1"/>
  <c r="AU871" i="6"/>
  <c r="AX871" i="6" s="1"/>
  <c r="BA871" i="6" s="1"/>
  <c r="BB871" i="6" s="1"/>
  <c r="AU856" i="6"/>
  <c r="AX856" i="6" s="1"/>
  <c r="AU843" i="6"/>
  <c r="AX843" i="6" s="1"/>
  <c r="AU828" i="6"/>
  <c r="AX828" i="6" s="1"/>
  <c r="AU807" i="6"/>
  <c r="AX807" i="6" s="1"/>
  <c r="CA807" i="6" s="1"/>
  <c r="CB807" i="6" s="1"/>
  <c r="AU787" i="6"/>
  <c r="AX787" i="6" s="1"/>
  <c r="AU767" i="6"/>
  <c r="AX767" i="6" s="1"/>
  <c r="AU738" i="6"/>
  <c r="AX738" i="6" s="1"/>
  <c r="AU712" i="6"/>
  <c r="AX712" i="6" s="1"/>
  <c r="BA712" i="6" s="1"/>
  <c r="BB712" i="6" s="1"/>
  <c r="AU830" i="6"/>
  <c r="AX830" i="6" s="1"/>
  <c r="CA830" i="6" s="1"/>
  <c r="CC830" i="6" s="1"/>
  <c r="AU821" i="6"/>
  <c r="AX821" i="6" s="1"/>
  <c r="AU805" i="6"/>
  <c r="AX805" i="6" s="1"/>
  <c r="AU786" i="6"/>
  <c r="AX786" i="6" s="1"/>
  <c r="AU765" i="6"/>
  <c r="AX765" i="6" s="1"/>
  <c r="AU737" i="6"/>
  <c r="AX737" i="6" s="1"/>
  <c r="AU706" i="6"/>
  <c r="AX706" i="6" s="1"/>
  <c r="AU422" i="6"/>
  <c r="AX422" i="6" s="1"/>
  <c r="AU382" i="6"/>
  <c r="AX382" i="6" s="1"/>
  <c r="AU153" i="6"/>
  <c r="AX153" i="6" s="1"/>
  <c r="BA153" i="6" s="1"/>
  <c r="BB153" i="6" s="1"/>
  <c r="AU125" i="6"/>
  <c r="AX125" i="6" s="1"/>
  <c r="AU65" i="6"/>
  <c r="AX65" i="6" s="1"/>
  <c r="CA65" i="6" s="1"/>
  <c r="AU11" i="6"/>
  <c r="AX11" i="6" s="1"/>
  <c r="BU11" i="6" s="1"/>
  <c r="BV11" i="6" s="1"/>
  <c r="AU173" i="6"/>
  <c r="AX173" i="6" s="1"/>
  <c r="AU170" i="6"/>
  <c r="AX170" i="6" s="1"/>
  <c r="AU171" i="6"/>
  <c r="AX171" i="6" s="1"/>
  <c r="AU169" i="6"/>
  <c r="AX169" i="6" s="1"/>
  <c r="AU167" i="6"/>
  <c r="AX167" i="6" s="1"/>
  <c r="BU167" i="6" s="1"/>
  <c r="BW167" i="6" s="1"/>
  <c r="AU174" i="6"/>
  <c r="AX174" i="6" s="1"/>
  <c r="CA174" i="6" s="1"/>
  <c r="CB174" i="6" s="1"/>
  <c r="AU168" i="6"/>
  <c r="AX168" i="6" s="1"/>
  <c r="BA168" i="6" s="1"/>
  <c r="BB168" i="6" s="1"/>
  <c r="AU163" i="6"/>
  <c r="AX163" i="6" s="1"/>
  <c r="CA163" i="6" s="1"/>
  <c r="CB163" i="6" s="1"/>
  <c r="AU164" i="6"/>
  <c r="AX164" i="6" s="1"/>
  <c r="AU20" i="6"/>
  <c r="AX20" i="6" s="1"/>
  <c r="AU5" i="6"/>
  <c r="AX5" i="6" s="1"/>
  <c r="BU5" i="6" s="1"/>
  <c r="BV5" i="6" s="1"/>
  <c r="AU4" i="6"/>
  <c r="AX4" i="6" s="1"/>
  <c r="BU4" i="6" s="1"/>
  <c r="BW4" i="6" s="1"/>
  <c r="AU18" i="6"/>
  <c r="AX18" i="6" s="1"/>
  <c r="CA18" i="6" s="1"/>
  <c r="AU23" i="6"/>
  <c r="AX23" i="6" s="1"/>
  <c r="AU21" i="6"/>
  <c r="AX21" i="6" s="1"/>
  <c r="CA21" i="6" s="1"/>
  <c r="AU22" i="6"/>
  <c r="AX22" i="6" s="1"/>
  <c r="AU463" i="6"/>
  <c r="AX463" i="6" s="1"/>
  <c r="BA463" i="6" s="1"/>
  <c r="AU464" i="6"/>
  <c r="AX464" i="6" s="1"/>
  <c r="CA464" i="6" s="1"/>
  <c r="CC464" i="6" s="1"/>
  <c r="AU774" i="6"/>
  <c r="AX774" i="6" s="1"/>
  <c r="AU747" i="6"/>
  <c r="AX747" i="6" s="1"/>
  <c r="AU705" i="6"/>
  <c r="AX705" i="6" s="1"/>
  <c r="AU795" i="6"/>
  <c r="AX795" i="6" s="1"/>
  <c r="BA795" i="6" s="1"/>
  <c r="BB795" i="6" s="1"/>
  <c r="AU975" i="6"/>
  <c r="AX975" i="6" s="1"/>
  <c r="AU916" i="6"/>
  <c r="AX916" i="6" s="1"/>
  <c r="BU916" i="6" s="1"/>
  <c r="BW916" i="6" s="1"/>
  <c r="AU917" i="6"/>
  <c r="AX917" i="6" s="1"/>
  <c r="AU953" i="6"/>
  <c r="AX953" i="6" s="1"/>
  <c r="AU292" i="6"/>
  <c r="AX292" i="6" s="1"/>
  <c r="BA292" i="6" s="1"/>
  <c r="BB292" i="6" s="1"/>
  <c r="AU291" i="6"/>
  <c r="AX291" i="6" s="1"/>
  <c r="BA291" i="6" s="1"/>
  <c r="BB291" i="6" s="1"/>
  <c r="AU289" i="6"/>
  <c r="AX289" i="6" s="1"/>
  <c r="AU290" i="6"/>
  <c r="AX290" i="6" s="1"/>
  <c r="AU958" i="6"/>
  <c r="AX958" i="6" s="1"/>
  <c r="BA958" i="6" s="1"/>
  <c r="BB958" i="6" s="1"/>
  <c r="AU702" i="6"/>
  <c r="AX702" i="6" s="1"/>
  <c r="AU703" i="6"/>
  <c r="AX703" i="6" s="1"/>
  <c r="BA703" i="6" s="1"/>
  <c r="BB703" i="6" s="1"/>
  <c r="AU704" i="6"/>
  <c r="AX704" i="6" s="1"/>
  <c r="BU704" i="6" s="1"/>
  <c r="BV704" i="6" s="1"/>
  <c r="AU858" i="6"/>
  <c r="AX858" i="6" s="1"/>
  <c r="BA858" i="6" s="1"/>
  <c r="BB858" i="6" s="1"/>
  <c r="AU859" i="6"/>
  <c r="AX859" i="6" s="1"/>
  <c r="BU859" i="6" s="1"/>
  <c r="BV859" i="6" s="1"/>
  <c r="AU120" i="6"/>
  <c r="AX120" i="6" s="1"/>
  <c r="BU120" i="6" s="1"/>
  <c r="AU118" i="6"/>
  <c r="AX118" i="6" s="1"/>
  <c r="AU489" i="6"/>
  <c r="AX489" i="6" s="1"/>
  <c r="AU609" i="6"/>
  <c r="AX609" i="6" s="1"/>
  <c r="BA609" i="6" s="1"/>
  <c r="BB609" i="6" s="1"/>
  <c r="AU610" i="6"/>
  <c r="AX610" i="6" s="1"/>
  <c r="AU313" i="6"/>
  <c r="AX313" i="6" s="1"/>
  <c r="CA313" i="6" s="1"/>
  <c r="CB313" i="6" s="1"/>
  <c r="AU311" i="6"/>
  <c r="AX311" i="6" s="1"/>
  <c r="BU311" i="6" s="1"/>
  <c r="BW311" i="6" s="1"/>
  <c r="AU312" i="6"/>
  <c r="AX312" i="6" s="1"/>
  <c r="BA312" i="6" s="1"/>
  <c r="AU309" i="6"/>
  <c r="AX309" i="6" s="1"/>
  <c r="AU99" i="6"/>
  <c r="AX99" i="6" s="1"/>
  <c r="BU99" i="6" s="1"/>
  <c r="BW99" i="6" s="1"/>
  <c r="AU310" i="6"/>
  <c r="AX310" i="6" s="1"/>
  <c r="BU310" i="6" s="1"/>
  <c r="BV310" i="6" s="1"/>
  <c r="AU98" i="6"/>
  <c r="AX98" i="6" s="1"/>
  <c r="AU96" i="6"/>
  <c r="AX96" i="6" s="1"/>
  <c r="AU97" i="6"/>
  <c r="AX97" i="6" s="1"/>
  <c r="AU93" i="6"/>
  <c r="AX93" i="6" s="1"/>
  <c r="BA93" i="6" s="1"/>
  <c r="BB93" i="6" s="1"/>
  <c r="AU95" i="6"/>
  <c r="AX95" i="6" s="1"/>
  <c r="AU94" i="6"/>
  <c r="AX94" i="6" s="1"/>
  <c r="AU412" i="6"/>
  <c r="AX412" i="6" s="1"/>
  <c r="CA412" i="6" s="1"/>
  <c r="CC412" i="6" s="1"/>
  <c r="AU409" i="6"/>
  <c r="AX409" i="6" s="1"/>
  <c r="BU409" i="6" s="1"/>
  <c r="BW409" i="6" s="1"/>
  <c r="AU410" i="6"/>
  <c r="AX410" i="6" s="1"/>
  <c r="AU411" i="6"/>
  <c r="AX411" i="6" s="1"/>
  <c r="AU566" i="6"/>
  <c r="AX566" i="6" s="1"/>
  <c r="AU567" i="6"/>
  <c r="AX567" i="6" s="1"/>
  <c r="BA567" i="6" s="1"/>
  <c r="BB567" i="6" s="1"/>
  <c r="AU510" i="6"/>
  <c r="AX510" i="6" s="1"/>
  <c r="BA510" i="6" s="1"/>
  <c r="BB510" i="6" s="1"/>
  <c r="AU511" i="6"/>
  <c r="AX511" i="6" s="1"/>
  <c r="CA511" i="6" s="1"/>
  <c r="CC511" i="6" s="1"/>
  <c r="AU640" i="6"/>
  <c r="AX640" i="6" s="1"/>
  <c r="BU640" i="6" s="1"/>
  <c r="AU641" i="6"/>
  <c r="AX641" i="6" s="1"/>
  <c r="BA641" i="6" s="1"/>
  <c r="BB641" i="6" s="1"/>
  <c r="AU172" i="6"/>
  <c r="AX172" i="6" s="1"/>
  <c r="AU783" i="6"/>
  <c r="AX783" i="6" s="1"/>
  <c r="AU784" i="6"/>
  <c r="AX784" i="6" s="1"/>
  <c r="AU785" i="6"/>
  <c r="AX785" i="6" s="1"/>
  <c r="AU367" i="6"/>
  <c r="AX367" i="6" s="1"/>
  <c r="AU444" i="6"/>
  <c r="AX444" i="6" s="1"/>
  <c r="BU444" i="6" s="1"/>
  <c r="AU956" i="6"/>
  <c r="AX956" i="6" s="1"/>
  <c r="AU165" i="6"/>
  <c r="AX165" i="6" s="1"/>
  <c r="AU166" i="6"/>
  <c r="AX166" i="6" s="1"/>
  <c r="AU119" i="6"/>
  <c r="AX119" i="6" s="1"/>
  <c r="CA119" i="6" s="1"/>
  <c r="CC119" i="6" s="1"/>
  <c r="AU121" i="6"/>
  <c r="AX121" i="6" s="1"/>
  <c r="AU122" i="6"/>
  <c r="AX122" i="6" s="1"/>
  <c r="BA122" i="6" s="1"/>
  <c r="BB122" i="6" s="1"/>
  <c r="AU113" i="6"/>
  <c r="AX113" i="6" s="1"/>
  <c r="BU113" i="6" s="1"/>
  <c r="AU114" i="6"/>
  <c r="AX114" i="6" s="1"/>
  <c r="AU82" i="6"/>
  <c r="AX82" i="6" s="1"/>
  <c r="AU393" i="6"/>
  <c r="AX393" i="6" s="1"/>
  <c r="AU295" i="6"/>
  <c r="AX295" i="6" s="1"/>
  <c r="CA295" i="6" s="1"/>
  <c r="AU433" i="6"/>
  <c r="AX433" i="6" s="1"/>
  <c r="AU434" i="6"/>
  <c r="AX434" i="6" s="1"/>
  <c r="BA434" i="6" s="1"/>
  <c r="BB434" i="6" s="1"/>
  <c r="AU466" i="6"/>
  <c r="AX466" i="6" s="1"/>
  <c r="AU908" i="6"/>
  <c r="AX908" i="6" s="1"/>
  <c r="AU909" i="6"/>
  <c r="AX909" i="6" s="1"/>
  <c r="CA909" i="6" s="1"/>
  <c r="CB909" i="6" s="1"/>
  <c r="AU272" i="6"/>
  <c r="AX272" i="6" s="1"/>
  <c r="AU269" i="6"/>
  <c r="AX269" i="6" s="1"/>
  <c r="AU270" i="6"/>
  <c r="AX270" i="6" s="1"/>
  <c r="BU270" i="6" s="1"/>
  <c r="AU271" i="6"/>
  <c r="AX271" i="6" s="1"/>
  <c r="BA271" i="6" s="1"/>
  <c r="BB271" i="6" s="1"/>
  <c r="AU256" i="6"/>
  <c r="AX256" i="6" s="1"/>
  <c r="BU256" i="6" s="1"/>
  <c r="AU257" i="6"/>
  <c r="AX257" i="6" s="1"/>
  <c r="CA257" i="6" s="1"/>
  <c r="AU258" i="6"/>
  <c r="AX258" i="6" s="1"/>
  <c r="AU697" i="6"/>
  <c r="AX697" i="6" s="1"/>
  <c r="AU698" i="6"/>
  <c r="AX698" i="6" s="1"/>
  <c r="CA698" i="6" s="1"/>
  <c r="CC698" i="6" s="1"/>
  <c r="AU699" i="6"/>
  <c r="AX699" i="6" s="1"/>
  <c r="AU834" i="6"/>
  <c r="AX834" i="6" s="1"/>
  <c r="BA834" i="6" s="1"/>
  <c r="BB834" i="6" s="1"/>
  <c r="AU835" i="6"/>
  <c r="AX835" i="6" s="1"/>
  <c r="BA835" i="6" s="1"/>
  <c r="BB835" i="6" s="1"/>
  <c r="AU545" i="6"/>
  <c r="AX545" i="6" s="1"/>
  <c r="BA545" i="6" s="1"/>
  <c r="BB545" i="6" s="1"/>
  <c r="AU546" i="6"/>
  <c r="AX546" i="6" s="1"/>
  <c r="AU888" i="6"/>
  <c r="AX888" i="6" s="1"/>
  <c r="AU889" i="6"/>
  <c r="AX889" i="6" s="1"/>
  <c r="AU188" i="6"/>
  <c r="AX188" i="6" s="1"/>
  <c r="CA188" i="6" s="1"/>
  <c r="CB188" i="6" s="1"/>
  <c r="AU875" i="6"/>
  <c r="AX875" i="6" s="1"/>
  <c r="BA875" i="6" s="1"/>
  <c r="BB875" i="6" s="1"/>
  <c r="AU876" i="6"/>
  <c r="AX876" i="6" s="1"/>
  <c r="BU876" i="6" s="1"/>
  <c r="BV876" i="6" s="1"/>
  <c r="AU671" i="6"/>
  <c r="AX671" i="6" s="1"/>
  <c r="AU105" i="6"/>
  <c r="AX105" i="6" s="1"/>
  <c r="BU105" i="6" s="1"/>
  <c r="AU109" i="6"/>
  <c r="AX109" i="6" s="1"/>
  <c r="AU110" i="6"/>
  <c r="AX110" i="6" s="1"/>
  <c r="BA110" i="6" s="1"/>
  <c r="BB110" i="6" s="1"/>
  <c r="AU102" i="6"/>
  <c r="AX102" i="6" s="1"/>
  <c r="CA102" i="6" s="1"/>
  <c r="AU103" i="6"/>
  <c r="AX103" i="6" s="1"/>
  <c r="CA103" i="6" s="1"/>
  <c r="CB103" i="6" s="1"/>
  <c r="AU966" i="6"/>
  <c r="AX966" i="6" s="1"/>
  <c r="BA966" i="6" s="1"/>
  <c r="AU949" i="6"/>
  <c r="AX949" i="6" s="1"/>
  <c r="CA949" i="6" s="1"/>
  <c r="CC949" i="6" s="1"/>
  <c r="AU186" i="6"/>
  <c r="AX186" i="6" s="1"/>
  <c r="AU183" i="6"/>
  <c r="AX183" i="6" s="1"/>
  <c r="BA183" i="6" s="1"/>
  <c r="BB183" i="6" s="1"/>
  <c r="AU184" i="6"/>
  <c r="AX184" i="6" s="1"/>
  <c r="AU187" i="6"/>
  <c r="AX187" i="6" s="1"/>
  <c r="BU187" i="6" s="1"/>
  <c r="BV187" i="6" s="1"/>
  <c r="AU185" i="6"/>
  <c r="AX185" i="6" s="1"/>
  <c r="BU185" i="6" s="1"/>
  <c r="BV185" i="6" s="1"/>
  <c r="AU180" i="6"/>
  <c r="AX180" i="6" s="1"/>
  <c r="AU181" i="6"/>
  <c r="AX181" i="6" s="1"/>
  <c r="BU181" i="6" s="1"/>
  <c r="BV181" i="6" s="1"/>
  <c r="AU46" i="6"/>
  <c r="AX46" i="6" s="1"/>
  <c r="BU46" i="6" s="1"/>
  <c r="BV46" i="6" s="1"/>
  <c r="AU285" i="6"/>
  <c r="AX285" i="6" s="1"/>
  <c r="CA285" i="6" s="1"/>
  <c r="AU67" i="6"/>
  <c r="AX67" i="6" s="1"/>
  <c r="BU67" i="6" s="1"/>
  <c r="AU803" i="6"/>
  <c r="AX803" i="6" s="1"/>
  <c r="AU804" i="6"/>
  <c r="AX804" i="6" s="1"/>
  <c r="AU666" i="6"/>
  <c r="AX666" i="6" s="1"/>
  <c r="AU667" i="6"/>
  <c r="AX667" i="6" s="1"/>
  <c r="AU518" i="6"/>
  <c r="AX518" i="6" s="1"/>
  <c r="CA518" i="6" s="1"/>
  <c r="CC518" i="6" s="1"/>
  <c r="AU520" i="6"/>
  <c r="AX520" i="6" s="1"/>
  <c r="AU519" i="6"/>
  <c r="AX519" i="6" s="1"/>
  <c r="BU519" i="6" s="1"/>
  <c r="BV519" i="6" s="1"/>
  <c r="AU748" i="6"/>
  <c r="AX748" i="6" s="1"/>
  <c r="BU748" i="6" s="1"/>
  <c r="AU750" i="6"/>
  <c r="AX750" i="6" s="1"/>
  <c r="AU749" i="6"/>
  <c r="AX749" i="6" s="1"/>
  <c r="BA749" i="6" s="1"/>
  <c r="BB749" i="6" s="1"/>
  <c r="AU895" i="6"/>
  <c r="AX895" i="6" s="1"/>
  <c r="AU896" i="6"/>
  <c r="AX896" i="6" s="1"/>
  <c r="AU397" i="6"/>
  <c r="AX397" i="6" s="1"/>
  <c r="CA397" i="6" s="1"/>
  <c r="CB397" i="6" s="1"/>
  <c r="AU394" i="6"/>
  <c r="AX394" i="6" s="1"/>
  <c r="AU951" i="6"/>
  <c r="AX951" i="6" s="1"/>
  <c r="AU939" i="6"/>
  <c r="AX939" i="6" s="1"/>
  <c r="AU925" i="6"/>
  <c r="AX925" i="6" s="1"/>
  <c r="AU926" i="6"/>
  <c r="AX926" i="6" s="1"/>
  <c r="BA926" i="6" s="1"/>
  <c r="BB926" i="6" s="1"/>
  <c r="AU714" i="6"/>
  <c r="AX714" i="6" s="1"/>
  <c r="AU683" i="6"/>
  <c r="AX683" i="6" s="1"/>
  <c r="AU741" i="6"/>
  <c r="AX741" i="6" s="1"/>
  <c r="BU741" i="6" s="1"/>
  <c r="BV741" i="6" s="1"/>
  <c r="AU965" i="6"/>
  <c r="AX965" i="6" s="1"/>
  <c r="CA965" i="6" s="1"/>
  <c r="CB965" i="6" s="1"/>
  <c r="AU438" i="6"/>
  <c r="AX438" i="6" s="1"/>
  <c r="AU802" i="6"/>
  <c r="AX802" i="6" s="1"/>
  <c r="AU905" i="6"/>
  <c r="AX905" i="6" s="1"/>
  <c r="AU906" i="6"/>
  <c r="AX906" i="6" s="1"/>
  <c r="AU419" i="6"/>
  <c r="AX419" i="6" s="1"/>
  <c r="BU419" i="6" s="1"/>
  <c r="AU418" i="6"/>
  <c r="AX418" i="6" s="1"/>
  <c r="CA418" i="6" s="1"/>
  <c r="CB418" i="6" s="1"/>
  <c r="AU420" i="6"/>
  <c r="AX420" i="6" s="1"/>
  <c r="BU420" i="6" s="1"/>
  <c r="AU124" i="6"/>
  <c r="AX124" i="6" s="1"/>
  <c r="BA124" i="6" s="1"/>
  <c r="BB124" i="6" s="1"/>
  <c r="AU832" i="6"/>
  <c r="AX832" i="6" s="1"/>
  <c r="CA832" i="6" s="1"/>
  <c r="CC832" i="6" s="1"/>
  <c r="AU831" i="6"/>
  <c r="AX831" i="6" s="1"/>
  <c r="AU116" i="6"/>
  <c r="AX116" i="6" s="1"/>
  <c r="AU117" i="6"/>
  <c r="AX117" i="6" s="1"/>
  <c r="AU959" i="6"/>
  <c r="AX959" i="6" s="1"/>
  <c r="AU226" i="6"/>
  <c r="AX226" i="6" s="1"/>
  <c r="AU191" i="6"/>
  <c r="AX191" i="6" s="1"/>
  <c r="BA191" i="6" s="1"/>
  <c r="BB191" i="6" s="1"/>
  <c r="AU968" i="6"/>
  <c r="AX968" i="6" s="1"/>
  <c r="AU658" i="6"/>
  <c r="AX658" i="6" s="1"/>
  <c r="BA658" i="6" s="1"/>
  <c r="BB658" i="6" s="1"/>
  <c r="AU657" i="6"/>
  <c r="AX657" i="6" s="1"/>
  <c r="BA657" i="6" s="1"/>
  <c r="BB657" i="6" s="1"/>
  <c r="AU659" i="6"/>
  <c r="AX659" i="6" s="1"/>
  <c r="AU982" i="6"/>
  <c r="AX982" i="6" s="1"/>
  <c r="AU969" i="6"/>
  <c r="AX969" i="6" s="1"/>
  <c r="CA969" i="6" s="1"/>
  <c r="AU729" i="6"/>
  <c r="AX729" i="6" s="1"/>
  <c r="BU729" i="6" s="1"/>
  <c r="BV729" i="6" s="1"/>
  <c r="AU728" i="6"/>
  <c r="AX728" i="6" s="1"/>
  <c r="CA728" i="6" s="1"/>
  <c r="CC728" i="6" s="1"/>
  <c r="AU730" i="6"/>
  <c r="AX730" i="6" s="1"/>
  <c r="BU730" i="6" s="1"/>
  <c r="AU468" i="6"/>
  <c r="AX468" i="6" s="1"/>
  <c r="AU467" i="6"/>
  <c r="AX467" i="6" s="1"/>
  <c r="AU469" i="6"/>
  <c r="AX469" i="6" s="1"/>
  <c r="BU469" i="6" s="1"/>
  <c r="AU963" i="6"/>
  <c r="AX963" i="6" s="1"/>
  <c r="BU963" i="6" s="1"/>
  <c r="BV963" i="6" s="1"/>
  <c r="AU416" i="6"/>
  <c r="AX416" i="6" s="1"/>
  <c r="AU417" i="6"/>
  <c r="AX417" i="6" s="1"/>
  <c r="CA417" i="6" s="1"/>
  <c r="CB417" i="6" s="1"/>
  <c r="AU421" i="6"/>
  <c r="AX421" i="6" s="1"/>
  <c r="AU833" i="6"/>
  <c r="AX833" i="6" s="1"/>
  <c r="BU833" i="6" s="1"/>
  <c r="BW833" i="6" s="1"/>
  <c r="AU709" i="6"/>
  <c r="AX709" i="6" s="1"/>
  <c r="AU639" i="6"/>
  <c r="AX639" i="6" s="1"/>
  <c r="AU604" i="6"/>
  <c r="AX604" i="6" s="1"/>
  <c r="AU565" i="6"/>
  <c r="AX565" i="6" s="1"/>
  <c r="AU526" i="6"/>
  <c r="AX526" i="6" s="1"/>
  <c r="CA526" i="6" s="1"/>
  <c r="CB526" i="6" s="1"/>
  <c r="AU493" i="6"/>
  <c r="AX493" i="6" s="1"/>
  <c r="BU493" i="6" s="1"/>
  <c r="BW493" i="6" s="1"/>
  <c r="AU440" i="6"/>
  <c r="AX440" i="6" s="1"/>
  <c r="BU440" i="6" s="1"/>
  <c r="AU403" i="6"/>
  <c r="AX403" i="6" s="1"/>
  <c r="AU837" i="6"/>
  <c r="AX837" i="6" s="1"/>
  <c r="AU836" i="6"/>
  <c r="AX836" i="6" s="1"/>
  <c r="AU717" i="6"/>
  <c r="AX717" i="6" s="1"/>
  <c r="BU717" i="6" s="1"/>
  <c r="AU716" i="6"/>
  <c r="AX716" i="6" s="1"/>
  <c r="AU718" i="6"/>
  <c r="AX718" i="6" s="1"/>
  <c r="AU864" i="6"/>
  <c r="AX864" i="6" s="1"/>
  <c r="CA864" i="6" s="1"/>
  <c r="CC864" i="6" s="1"/>
  <c r="AU863" i="6"/>
  <c r="AX863" i="6" s="1"/>
  <c r="AU387" i="6"/>
  <c r="AX387" i="6" s="1"/>
  <c r="AU384" i="6"/>
  <c r="AX384" i="6" s="1"/>
  <c r="CA384" i="6" s="1"/>
  <c r="AU386" i="6"/>
  <c r="AX386" i="6" s="1"/>
  <c r="BU386" i="6" s="1"/>
  <c r="BW386" i="6" s="1"/>
  <c r="AU385" i="6"/>
  <c r="AX385" i="6" s="1"/>
  <c r="BA385" i="6" s="1"/>
  <c r="BB385" i="6" s="1"/>
  <c r="AU389" i="6"/>
  <c r="AX389" i="6" s="1"/>
  <c r="AU891" i="6"/>
  <c r="AX891" i="6" s="1"/>
  <c r="AU894" i="6"/>
  <c r="AX894" i="6" s="1"/>
  <c r="AU780" i="6"/>
  <c r="AX780" i="6" s="1"/>
  <c r="BU780" i="6" s="1"/>
  <c r="BW780" i="6" s="1"/>
  <c r="AU779" i="6"/>
  <c r="AX779" i="6" s="1"/>
  <c r="AU781" i="6"/>
  <c r="AX781" i="6" s="1"/>
  <c r="AU176" i="6"/>
  <c r="AX176" i="6" s="1"/>
  <c r="AU541" i="6"/>
  <c r="AX541" i="6" s="1"/>
  <c r="AU175" i="6"/>
  <c r="AX175" i="6" s="1"/>
  <c r="BA175" i="6" s="1"/>
  <c r="AU540" i="6"/>
  <c r="AX540" i="6" s="1"/>
  <c r="BU540" i="6" s="1"/>
  <c r="BW540" i="6" s="1"/>
  <c r="AU542" i="6"/>
  <c r="AX542" i="6" s="1"/>
  <c r="BA542" i="6" s="1"/>
  <c r="BB542" i="6" s="1"/>
  <c r="AU771" i="6"/>
  <c r="AX771" i="6" s="1"/>
  <c r="AU772" i="6"/>
  <c r="AX772" i="6" s="1"/>
  <c r="CA772" i="6" s="1"/>
  <c r="CC772" i="6" s="1"/>
  <c r="AU773" i="6"/>
  <c r="AX773" i="6" s="1"/>
  <c r="AU366" i="6"/>
  <c r="AX366" i="6" s="1"/>
  <c r="BA366" i="6" s="1"/>
  <c r="BB366" i="6" s="1"/>
  <c r="AU408" i="6"/>
  <c r="AX408" i="6" s="1"/>
  <c r="AU451" i="6"/>
  <c r="AX451" i="6" s="1"/>
  <c r="AU127" i="6"/>
  <c r="AX127" i="6" s="1"/>
  <c r="CA127" i="6" s="1"/>
  <c r="CB127" i="6" s="1"/>
  <c r="AU64" i="6"/>
  <c r="AX64" i="6" s="1"/>
  <c r="AU922" i="6"/>
  <c r="AX922" i="6" s="1"/>
  <c r="AU907" i="6"/>
  <c r="AX907" i="6" s="1"/>
  <c r="AU196" i="6"/>
  <c r="AX196" i="6" s="1"/>
  <c r="AU195" i="6"/>
  <c r="AX195" i="6" s="1"/>
  <c r="CA195" i="6" s="1"/>
  <c r="CB195" i="6" s="1"/>
  <c r="AU241" i="6"/>
  <c r="AX241" i="6" s="1"/>
  <c r="BU241" i="6" s="1"/>
  <c r="AU259" i="6"/>
  <c r="AX259" i="6" s="1"/>
  <c r="AU252" i="6"/>
  <c r="AX252" i="6" s="1"/>
  <c r="BU252" i="6" s="1"/>
  <c r="BV252" i="6" s="1"/>
  <c r="AU253" i="6"/>
  <c r="AX253" i="6" s="1"/>
  <c r="BA253" i="6" s="1"/>
  <c r="BB253" i="6" s="1"/>
  <c r="AU254" i="6"/>
  <c r="AX254" i="6" s="1"/>
  <c r="AU320" i="6"/>
  <c r="AX320" i="6" s="1"/>
  <c r="BA320" i="6" s="1"/>
  <c r="BB320" i="6" s="1"/>
  <c r="AU315" i="6"/>
  <c r="AX315" i="6" s="1"/>
  <c r="BU315" i="6" s="1"/>
  <c r="AU319" i="6"/>
  <c r="AX319" i="6" s="1"/>
  <c r="AU316" i="6"/>
  <c r="AX316" i="6" s="1"/>
  <c r="AU318" i="6"/>
  <c r="AX318" i="6" s="1"/>
  <c r="BA318" i="6" s="1"/>
  <c r="BB318" i="6" s="1"/>
  <c r="AU317" i="6"/>
  <c r="AX317" i="6" s="1"/>
  <c r="AU943" i="6"/>
  <c r="AX943" i="6" s="1"/>
  <c r="AU942" i="6"/>
  <c r="AX942" i="6" s="1"/>
  <c r="BA942" i="6" s="1"/>
  <c r="BB942" i="6" s="1"/>
  <c r="AU980" i="6"/>
  <c r="AX980" i="6" s="1"/>
  <c r="AU237" i="6"/>
  <c r="AX237" i="6" s="1"/>
  <c r="BA237" i="6" s="1"/>
  <c r="BB237" i="6" s="1"/>
  <c r="AU160" i="6"/>
  <c r="AX160" i="6" s="1"/>
  <c r="AU157" i="6"/>
  <c r="AX157" i="6" s="1"/>
  <c r="BA157" i="6" s="1"/>
  <c r="BB157" i="6" s="1"/>
  <c r="AU158" i="6"/>
  <c r="AX158" i="6" s="1"/>
  <c r="AU156" i="6"/>
  <c r="AX156" i="6" s="1"/>
  <c r="BA156" i="6" s="1"/>
  <c r="BB156" i="6" s="1"/>
  <c r="AU161" i="6"/>
  <c r="AX161" i="6" s="1"/>
  <c r="AU154" i="6"/>
  <c r="AX154" i="6" s="1"/>
  <c r="AU159" i="6"/>
  <c r="AX159" i="6" s="1"/>
  <c r="AU155" i="6"/>
  <c r="AX155" i="6" s="1"/>
  <c r="BU155" i="6" s="1"/>
  <c r="BW155" i="6" s="1"/>
  <c r="AU572" i="6"/>
  <c r="AX572" i="6" s="1"/>
  <c r="AU50" i="6"/>
  <c r="AX50" i="6" s="1"/>
  <c r="BU50" i="6" s="1"/>
  <c r="AU51" i="6"/>
  <c r="AX51" i="6" s="1"/>
  <c r="CA51" i="6" s="1"/>
  <c r="CB51" i="6" s="1"/>
  <c r="AU52" i="6"/>
  <c r="AX52" i="6" s="1"/>
  <c r="AU47" i="6"/>
  <c r="AX47" i="6" s="1"/>
  <c r="CA47" i="6" s="1"/>
  <c r="AU48" i="6"/>
  <c r="AX48" i="6" s="1"/>
  <c r="AU9" i="6"/>
  <c r="AX9" i="6" s="1"/>
  <c r="BA9" i="6" s="1"/>
  <c r="BB9" i="6" s="1"/>
  <c r="AU10" i="6"/>
  <c r="AX10" i="6" s="1"/>
  <c r="BU10" i="6" s="1"/>
  <c r="BV10" i="6" s="1"/>
  <c r="AU7" i="6"/>
  <c r="AX7" i="6" s="1"/>
  <c r="CA7" i="6" s="1"/>
  <c r="CB7" i="6" s="1"/>
  <c r="AU6" i="6"/>
  <c r="AX6" i="6" s="1"/>
  <c r="AU8" i="6"/>
  <c r="AX8" i="6" s="1"/>
  <c r="BU8" i="6" s="1"/>
  <c r="AU946" i="6"/>
  <c r="AX946" i="6" s="1"/>
  <c r="CA946" i="6" s="1"/>
  <c r="CB946" i="6" s="1"/>
  <c r="AU568" i="6"/>
  <c r="AX568" i="6" s="1"/>
  <c r="AU945" i="6"/>
  <c r="AX945" i="6" s="1"/>
  <c r="AU796" i="6"/>
  <c r="AX796" i="6" s="1"/>
  <c r="AU797" i="6"/>
  <c r="AX797" i="6" s="1"/>
  <c r="AU798" i="6"/>
  <c r="AX798" i="6" s="1"/>
  <c r="CA798" i="6" s="1"/>
  <c r="AU106" i="6"/>
  <c r="AX106" i="6" s="1"/>
  <c r="AU107" i="6"/>
  <c r="AX107" i="6" s="1"/>
  <c r="AU108" i="6"/>
  <c r="AX108" i="6" s="1"/>
  <c r="AU216" i="6"/>
  <c r="AX216" i="6" s="1"/>
  <c r="CA216" i="6" s="1"/>
  <c r="CC216" i="6" s="1"/>
  <c r="AU210" i="6"/>
  <c r="AX210" i="6" s="1"/>
  <c r="BU210" i="6" s="1"/>
  <c r="BW210" i="6" s="1"/>
  <c r="AU211" i="6"/>
  <c r="AX211" i="6" s="1"/>
  <c r="BU211" i="6" s="1"/>
  <c r="BW211" i="6" s="1"/>
  <c r="AU218" i="6"/>
  <c r="AX218" i="6" s="1"/>
  <c r="BA218" i="6" s="1"/>
  <c r="BB218" i="6" s="1"/>
  <c r="AU217" i="6"/>
  <c r="AX217" i="6" s="1"/>
  <c r="AU207" i="6"/>
  <c r="AX207" i="6" s="1"/>
  <c r="BU207" i="6" s="1"/>
  <c r="AU206" i="6"/>
  <c r="AX206" i="6" s="1"/>
  <c r="BA206" i="6" s="1"/>
  <c r="BB206" i="6" s="1"/>
  <c r="AU214" i="6"/>
  <c r="AX214" i="6" s="1"/>
  <c r="AU215" i="6"/>
  <c r="AX215" i="6" s="1"/>
  <c r="AU208" i="6"/>
  <c r="AX208" i="6" s="1"/>
  <c r="AU978" i="6"/>
  <c r="AX978" i="6" s="1"/>
  <c r="AU343" i="6"/>
  <c r="AX343" i="6" s="1"/>
  <c r="BA343" i="6" s="1"/>
  <c r="BB343" i="6" s="1"/>
  <c r="AU342" i="6"/>
  <c r="AX342" i="6" s="1"/>
  <c r="BU342" i="6" s="1"/>
  <c r="BW342" i="6" s="1"/>
  <c r="AU162" i="6"/>
  <c r="AX162" i="6" s="1"/>
  <c r="AU131" i="6"/>
  <c r="AX131" i="6" s="1"/>
  <c r="AU135" i="6"/>
  <c r="AX135" i="6" s="1"/>
  <c r="BA135" i="6" s="1"/>
  <c r="BB135" i="6" s="1"/>
  <c r="AU136" i="6"/>
  <c r="AX136" i="6" s="1"/>
  <c r="AU128" i="6"/>
  <c r="AX128" i="6" s="1"/>
  <c r="AU132" i="6"/>
  <c r="AX132" i="6" s="1"/>
  <c r="BU132" i="6" s="1"/>
  <c r="BV132" i="6" s="1"/>
  <c r="AU129" i="6"/>
  <c r="AX129" i="6" s="1"/>
  <c r="AU380" i="6"/>
  <c r="AX380" i="6" s="1"/>
  <c r="BU380" i="6" s="1"/>
  <c r="BV380" i="6" s="1"/>
  <c r="AU379" i="6"/>
  <c r="AX379" i="6" s="1"/>
  <c r="BU379" i="6" s="1"/>
  <c r="BV379" i="6" s="1"/>
  <c r="AU381" i="6"/>
  <c r="AX381" i="6" s="1"/>
  <c r="AU632" i="6"/>
  <c r="AX632" i="6" s="1"/>
  <c r="AU629" i="6"/>
  <c r="AX629" i="6" s="1"/>
  <c r="AU628" i="6"/>
  <c r="AX628" i="6" s="1"/>
  <c r="BA628" i="6" s="1"/>
  <c r="BB628" i="6" s="1"/>
  <c r="AU630" i="6"/>
  <c r="AX630" i="6" s="1"/>
  <c r="BA630" i="6" s="1"/>
  <c r="BB630" i="6" s="1"/>
  <c r="AU395" i="6"/>
  <c r="AX395" i="6" s="1"/>
  <c r="AU396" i="6"/>
  <c r="AX396" i="6" s="1"/>
  <c r="CA396" i="6" s="1"/>
  <c r="AU19" i="6"/>
  <c r="AX19" i="6" s="1"/>
  <c r="AU24" i="6"/>
  <c r="AX24" i="6" s="1"/>
  <c r="BU24" i="6" s="1"/>
  <c r="BV24" i="6" s="1"/>
  <c r="AU811" i="6"/>
  <c r="AX811" i="6" s="1"/>
  <c r="AU325" i="6"/>
  <c r="AX325" i="6" s="1"/>
  <c r="AU326" i="6"/>
  <c r="AX326" i="6" s="1"/>
  <c r="AU324" i="6"/>
  <c r="AX324" i="6" s="1"/>
  <c r="BU324" i="6" s="1"/>
  <c r="BW324" i="6" s="1"/>
  <c r="AU812" i="6"/>
  <c r="AX812" i="6" s="1"/>
  <c r="AU810" i="6"/>
  <c r="AX810" i="6" s="1"/>
  <c r="BA810" i="6" s="1"/>
  <c r="BB810" i="6" s="1"/>
  <c r="AU354" i="6"/>
  <c r="AX354" i="6" s="1"/>
  <c r="AU882" i="6"/>
  <c r="AX882" i="6" s="1"/>
  <c r="BU882" i="6" s="1"/>
  <c r="BW882" i="6" s="1"/>
  <c r="AU881" i="6"/>
  <c r="AX881" i="6" s="1"/>
  <c r="AU212" i="6"/>
  <c r="AX212" i="6" s="1"/>
  <c r="CA212" i="6" s="1"/>
  <c r="CC212" i="6" s="1"/>
  <c r="AU213" i="6"/>
  <c r="AX213" i="6" s="1"/>
  <c r="AU521" i="6"/>
  <c r="AX521" i="6" s="1"/>
  <c r="AU522" i="6"/>
  <c r="AX522" i="6" s="1"/>
  <c r="BU522" i="6" s="1"/>
  <c r="BW522" i="6" s="1"/>
  <c r="AU829" i="6"/>
  <c r="AX829" i="6" s="1"/>
  <c r="AU578" i="6"/>
  <c r="AX578" i="6" s="1"/>
  <c r="AU424" i="6"/>
  <c r="AX424" i="6" s="1"/>
  <c r="AU425" i="6"/>
  <c r="AX425" i="6" s="1"/>
  <c r="AU423" i="6"/>
  <c r="AX423" i="6" s="1"/>
  <c r="AU458" i="6"/>
  <c r="AX458" i="6" s="1"/>
  <c r="AU223" i="6"/>
  <c r="AX223" i="6" s="1"/>
  <c r="AU222" i="6"/>
  <c r="AX222" i="6" s="1"/>
  <c r="AU221" i="6"/>
  <c r="AX221" i="6" s="1"/>
  <c r="BU221" i="6" s="1"/>
  <c r="AU938" i="6"/>
  <c r="AX938" i="6" s="1"/>
  <c r="AU937" i="6"/>
  <c r="AX937" i="6" s="1"/>
  <c r="AU846" i="6"/>
  <c r="AX846" i="6" s="1"/>
  <c r="BU846" i="6" s="1"/>
  <c r="BW846" i="6" s="1"/>
  <c r="AU845" i="6"/>
  <c r="AX845" i="6" s="1"/>
  <c r="AU388" i="6"/>
  <c r="AX388" i="6" s="1"/>
  <c r="AU177" i="6"/>
  <c r="AX177" i="6" s="1"/>
  <c r="AU988" i="6"/>
  <c r="AX988" i="6" s="1"/>
  <c r="AU378" i="6"/>
  <c r="AX378" i="6" s="1"/>
  <c r="BU378" i="6" s="1"/>
  <c r="BV378" i="6" s="1"/>
  <c r="AU377" i="6"/>
  <c r="AX377" i="6" s="1"/>
  <c r="CA377" i="6" s="1"/>
  <c r="CB377" i="6" s="1"/>
  <c r="AU473" i="6"/>
  <c r="AX473" i="6" s="1"/>
  <c r="AU474" i="6"/>
  <c r="AX474" i="6" s="1"/>
  <c r="BU474" i="6" s="1"/>
  <c r="BW474" i="6" s="1"/>
  <c r="AU472" i="6"/>
  <c r="AX472" i="6" s="1"/>
  <c r="AU760" i="6"/>
  <c r="AX760" i="6" s="1"/>
  <c r="AU924" i="6"/>
  <c r="AX924" i="6" s="1"/>
  <c r="AU923" i="6"/>
  <c r="AX923" i="6" s="1"/>
  <c r="AU929" i="6"/>
  <c r="AX929" i="6" s="1"/>
  <c r="AU928" i="6"/>
  <c r="AX928" i="6" s="1"/>
  <c r="AU934" i="6"/>
  <c r="AX934" i="6" s="1"/>
  <c r="BA934" i="6" s="1"/>
  <c r="AU933" i="6"/>
  <c r="AX933" i="6" s="1"/>
  <c r="BU933" i="6" s="1"/>
  <c r="AU950" i="6"/>
  <c r="AX950" i="6" s="1"/>
  <c r="BA950" i="6" s="1"/>
  <c r="BB950" i="6" s="1"/>
  <c r="AU873" i="6"/>
  <c r="AX873" i="6" s="1"/>
  <c r="AU452" i="6"/>
  <c r="AX452" i="6" s="1"/>
  <c r="AU605" i="6"/>
  <c r="AX605" i="6" s="1"/>
  <c r="AU955" i="6"/>
  <c r="AX955" i="6" s="1"/>
  <c r="AU413" i="6"/>
  <c r="AX413" i="6" s="1"/>
  <c r="AU414" i="6"/>
  <c r="AX414" i="6" s="1"/>
  <c r="AU224" i="6"/>
  <c r="AX224" i="6" s="1"/>
  <c r="CA224" i="6" s="1"/>
  <c r="CB224" i="6" s="1"/>
  <c r="AU225" i="6"/>
  <c r="AX225" i="6" s="1"/>
  <c r="CA225" i="6" s="1"/>
  <c r="CC225" i="6" s="1"/>
  <c r="AU948" i="6"/>
  <c r="AX948" i="6" s="1"/>
  <c r="AU543" i="6"/>
  <c r="AX543" i="6" s="1"/>
  <c r="AU506" i="6"/>
  <c r="AX506" i="6" s="1"/>
  <c r="AU147" i="6"/>
  <c r="AX147" i="6" s="1"/>
  <c r="BA147" i="6" s="1"/>
  <c r="BB147" i="6" s="1"/>
  <c r="AU145" i="6"/>
  <c r="AX145" i="6" s="1"/>
  <c r="AU144" i="6"/>
  <c r="AX144" i="6" s="1"/>
  <c r="BA144" i="6" s="1"/>
  <c r="BB144" i="6" s="1"/>
  <c r="AU141" i="6"/>
  <c r="AX141" i="6" s="1"/>
  <c r="BA141" i="6" s="1"/>
  <c r="BB141" i="6" s="1"/>
  <c r="AU142" i="6"/>
  <c r="AX142" i="6" s="1"/>
  <c r="BU142" i="6" s="1"/>
  <c r="BV142" i="6" s="1"/>
  <c r="AU140" i="6"/>
  <c r="AX140" i="6" s="1"/>
  <c r="AU918" i="6"/>
  <c r="AX918" i="6" s="1"/>
  <c r="CA918" i="6" s="1"/>
  <c r="CB918" i="6" s="1"/>
  <c r="AU707" i="6"/>
  <c r="AX707" i="6" s="1"/>
  <c r="AU677" i="6"/>
  <c r="AX677" i="6" s="1"/>
  <c r="AU308" i="6"/>
  <c r="AX308" i="6" s="1"/>
  <c r="AU262" i="6"/>
  <c r="AX262" i="6" s="1"/>
  <c r="BU262" i="6" s="1"/>
  <c r="BW262" i="6" s="1"/>
  <c r="AU192" i="6"/>
  <c r="AX192" i="6" s="1"/>
  <c r="AU126" i="6"/>
  <c r="AX126" i="6" s="1"/>
  <c r="BA126" i="6" s="1"/>
  <c r="BB126" i="6" s="1"/>
  <c r="AU66" i="6"/>
  <c r="AX66" i="6" s="1"/>
  <c r="BA66" i="6" s="1"/>
  <c r="BB66" i="6" s="1"/>
  <c r="AU146" i="6"/>
  <c r="AX146" i="6" s="1"/>
  <c r="AU947" i="6"/>
  <c r="AX947" i="6" s="1"/>
  <c r="CA947" i="6" s="1"/>
  <c r="AU936" i="6"/>
  <c r="AX936" i="6" s="1"/>
  <c r="AU919" i="6"/>
  <c r="AX919" i="6" s="1"/>
  <c r="BA919" i="6" s="1"/>
  <c r="BB919" i="6" s="1"/>
  <c r="AU904" i="6"/>
  <c r="AX904" i="6" s="1"/>
  <c r="AU890" i="6"/>
  <c r="AX890" i="6" s="1"/>
  <c r="BA890" i="6" s="1"/>
  <c r="BB890" i="6" s="1"/>
  <c r="AU874" i="6"/>
  <c r="AX874" i="6" s="1"/>
  <c r="BU874" i="6" s="1"/>
  <c r="AU860" i="6"/>
  <c r="AX860" i="6" s="1"/>
  <c r="BA860" i="6" s="1"/>
  <c r="BB860" i="6" s="1"/>
  <c r="AU849" i="6"/>
  <c r="AX849" i="6" s="1"/>
  <c r="AU920" i="6"/>
  <c r="AX920" i="6" s="1"/>
  <c r="AU645" i="6"/>
  <c r="AX645" i="6" s="1"/>
  <c r="AU734" i="6"/>
  <c r="AX734" i="6" s="1"/>
  <c r="AU735" i="6"/>
  <c r="AX735" i="6" s="1"/>
  <c r="AU733" i="6"/>
  <c r="AX733" i="6" s="1"/>
  <c r="AU486" i="6"/>
  <c r="AX486" i="6" s="1"/>
  <c r="AU485" i="6"/>
  <c r="AX485" i="6" s="1"/>
  <c r="AU123" i="6"/>
  <c r="AX123" i="6" s="1"/>
  <c r="AU335" i="6"/>
  <c r="AX335" i="6" s="1"/>
  <c r="CA335" i="6" s="1"/>
  <c r="CC335" i="6" s="1"/>
  <c r="AU179" i="6"/>
  <c r="AX179" i="6" s="1"/>
  <c r="CA179" i="6" s="1"/>
  <c r="CB179" i="6" s="1"/>
  <c r="AU54" i="6"/>
  <c r="AX54" i="6" s="1"/>
  <c r="AU263" i="6"/>
  <c r="AX263" i="6" s="1"/>
  <c r="AU555" i="6"/>
  <c r="AX555" i="6" s="1"/>
  <c r="BA555" i="6" s="1"/>
  <c r="BB555" i="6" s="1"/>
  <c r="AU745" i="6"/>
  <c r="AX745" i="6" s="1"/>
  <c r="CA745" i="6" s="1"/>
  <c r="AU348" i="6"/>
  <c r="AX348" i="6" s="1"/>
  <c r="AU351" i="6"/>
  <c r="AX351" i="6" s="1"/>
  <c r="AU350" i="6"/>
  <c r="AX350" i="6" s="1"/>
  <c r="BU350" i="6" s="1"/>
  <c r="BV350" i="6" s="1"/>
  <c r="AU345" i="6"/>
  <c r="AX345" i="6" s="1"/>
  <c r="AU349" i="6"/>
  <c r="AX349" i="6" s="1"/>
  <c r="CA349" i="6" s="1"/>
  <c r="CB349" i="6" s="1"/>
  <c r="AU346" i="6"/>
  <c r="AX346" i="6" s="1"/>
  <c r="AU352" i="6"/>
  <c r="AX352" i="6" s="1"/>
  <c r="AU347" i="6"/>
  <c r="AX347" i="6" s="1"/>
  <c r="AU344" i="6"/>
  <c r="AX344" i="6" s="1"/>
  <c r="BU344" i="6" s="1"/>
  <c r="BW344" i="6" s="1"/>
  <c r="AU746" i="6"/>
  <c r="AX746" i="6" s="1"/>
  <c r="AU744" i="6"/>
  <c r="AX744" i="6" s="1"/>
  <c r="BU744" i="6" s="1"/>
  <c r="BV744" i="6" s="1"/>
  <c r="AU991" i="6"/>
  <c r="AX991" i="6" s="1"/>
  <c r="BA991" i="6" s="1"/>
  <c r="BB991" i="6" s="1"/>
  <c r="BI325" i="6"/>
  <c r="BP28" i="6"/>
  <c r="BI1016" i="6"/>
  <c r="BH583" i="6"/>
  <c r="BI431" i="6"/>
  <c r="BP355" i="6"/>
  <c r="BH646" i="6"/>
  <c r="BH211" i="6"/>
  <c r="BI465" i="6"/>
  <c r="BI366" i="6"/>
  <c r="AT222" i="6"/>
  <c r="CC1021" i="6"/>
  <c r="BI1014" i="6"/>
  <c r="BO492" i="6"/>
  <c r="BP492" i="6"/>
  <c r="BI801" i="6"/>
  <c r="BP918" i="6"/>
  <c r="BP129" i="6"/>
  <c r="BI144" i="6"/>
  <c r="CB996" i="6"/>
  <c r="AT730" i="6"/>
  <c r="BG326" i="6"/>
  <c r="BI326" i="6" s="1"/>
  <c r="BO144" i="6"/>
  <c r="BI79" i="6"/>
  <c r="BP718" i="6"/>
  <c r="BH452" i="6"/>
  <c r="BH612" i="6"/>
  <c r="BO809" i="6"/>
  <c r="BO1022" i="6"/>
  <c r="BG517" i="6"/>
  <c r="BI517" i="6" s="1"/>
  <c r="BI41" i="6"/>
  <c r="CC1001" i="6"/>
  <c r="CB1001" i="6"/>
  <c r="BA1008" i="6"/>
  <c r="BB1008" i="6" s="1"/>
  <c r="CA1008" i="6"/>
  <c r="BG38" i="6"/>
  <c r="BH38" i="6" s="1"/>
  <c r="CA1010" i="6"/>
  <c r="BP263" i="6"/>
  <c r="BU1010" i="6"/>
  <c r="BH181" i="6"/>
  <c r="BP567" i="6"/>
  <c r="BI694" i="6"/>
  <c r="BP928" i="6"/>
  <c r="BH871" i="6"/>
  <c r="BI522" i="6"/>
  <c r="BI147" i="6"/>
  <c r="BI464" i="6"/>
  <c r="BH807" i="6"/>
  <c r="BI807" i="6"/>
  <c r="BH450" i="6"/>
  <c r="AT3" i="6"/>
  <c r="BO913" i="6"/>
  <c r="BP847" i="6"/>
  <c r="CB997" i="6"/>
  <c r="BP181" i="6"/>
  <c r="BP301" i="6"/>
  <c r="BH931" i="6"/>
  <c r="BI931" i="6"/>
  <c r="BP741" i="6"/>
  <c r="BO741" i="6"/>
  <c r="BU995" i="6"/>
  <c r="BV995" i="6" s="1"/>
  <c r="BP328" i="6"/>
  <c r="BP166" i="6"/>
  <c r="BI328" i="6"/>
  <c r="BH328" i="6"/>
  <c r="BO1009" i="6"/>
  <c r="BP694" i="6"/>
  <c r="BO651" i="6"/>
  <c r="BO795" i="6"/>
  <c r="BH758" i="6"/>
  <c r="BI164" i="6"/>
  <c r="BO740" i="6"/>
  <c r="BO659" i="6"/>
  <c r="BP659" i="6"/>
  <c r="BI672" i="6"/>
  <c r="BH672" i="6"/>
  <c r="BO397" i="6"/>
  <c r="BH868" i="6"/>
  <c r="BI868" i="6"/>
  <c r="BI525" i="6"/>
  <c r="BI187" i="6"/>
  <c r="BU1017" i="6"/>
  <c r="BW1017" i="6" s="1"/>
  <c r="BG504" i="6"/>
  <c r="BI504" i="6" s="1"/>
  <c r="BI1021" i="6"/>
  <c r="BO991" i="6"/>
  <c r="BP991" i="6"/>
  <c r="BG870" i="6"/>
  <c r="BO777" i="6"/>
  <c r="BP777" i="6"/>
  <c r="BP15" i="6"/>
  <c r="BH25" i="6"/>
  <c r="BP420" i="6"/>
  <c r="BO420" i="6"/>
  <c r="BG642" i="6"/>
  <c r="BI991" i="6"/>
  <c r="BH991" i="6"/>
  <c r="BW1013" i="6"/>
  <c r="BP862" i="6"/>
  <c r="BI732" i="6"/>
  <c r="BP904" i="6"/>
  <c r="BO48" i="6"/>
  <c r="BP984" i="6"/>
  <c r="BI513" i="6"/>
  <c r="BH513" i="6"/>
  <c r="BP164" i="6"/>
  <c r="BO164" i="6"/>
  <c r="BH581" i="6"/>
  <c r="BI909" i="6"/>
  <c r="BH909" i="6"/>
  <c r="BP91" i="6"/>
  <c r="BO91" i="6"/>
  <c r="BG117" i="6"/>
  <c r="BO350" i="6"/>
  <c r="BP350" i="6"/>
  <c r="BH428" i="6"/>
  <c r="BI428" i="6"/>
  <c r="BI614" i="6"/>
  <c r="BH614" i="6"/>
  <c r="BO665" i="6"/>
  <c r="BP665" i="6"/>
  <c r="BP97" i="6"/>
  <c r="BO97" i="6"/>
  <c r="BH370" i="6"/>
  <c r="BI370" i="6"/>
  <c r="BP157" i="6"/>
  <c r="BN921" i="6"/>
  <c r="BO683" i="6"/>
  <c r="BP683" i="6"/>
  <c r="BP649" i="6"/>
  <c r="BO649" i="6"/>
  <c r="BO505" i="6"/>
  <c r="BO158" i="6"/>
  <c r="BH395" i="6"/>
  <c r="BN556" i="6"/>
  <c r="BI137" i="6"/>
  <c r="BH137" i="6"/>
  <c r="BO473" i="6"/>
  <c r="BP473" i="6"/>
  <c r="BN475" i="6"/>
  <c r="BO475" i="6" s="1"/>
  <c r="BH442" i="6"/>
  <c r="BP1008" i="6"/>
  <c r="BP316" i="6"/>
  <c r="BI819" i="6"/>
  <c r="BH641" i="6"/>
  <c r="BG964" i="6"/>
  <c r="BI964" i="6" s="1"/>
  <c r="AT96" i="6"/>
  <c r="AV992" i="6"/>
  <c r="AV481" i="6"/>
  <c r="AV359" i="6"/>
  <c r="AV150" i="6"/>
  <c r="AV199" i="6"/>
  <c r="AV200" i="6"/>
  <c r="AV301" i="6"/>
  <c r="AV299" i="6"/>
  <c r="AV514" i="6"/>
  <c r="AV60" i="6"/>
  <c r="AV755" i="6"/>
  <c r="AV244" i="6"/>
  <c r="AV229" i="6"/>
  <c r="AV276" i="6"/>
  <c r="AV115" i="6"/>
  <c r="AV182" i="6"/>
  <c r="AV143" i="6"/>
  <c r="AV503" i="6"/>
  <c r="AV505" i="6"/>
  <c r="AV892" i="6"/>
  <c r="AV725" i="6"/>
  <c r="AV499" i="6"/>
  <c r="AV28" i="6"/>
  <c r="AV356" i="6"/>
  <c r="AV911" i="6"/>
  <c r="AV869" i="6"/>
  <c r="AV822" i="6"/>
  <c r="AV442" i="6"/>
  <c r="AV92" i="6"/>
  <c r="AV952" i="6"/>
  <c r="AV670" i="6"/>
  <c r="AV16" i="6"/>
  <c r="AV251" i="6"/>
  <c r="AV248" i="6"/>
  <c r="AV557" i="6"/>
  <c r="AV455" i="6"/>
  <c r="AV903" i="6"/>
  <c r="AV558" i="6"/>
  <c r="AV87" i="6"/>
  <c r="AV84" i="6"/>
  <c r="AV619" i="6"/>
  <c r="AV101" i="6"/>
  <c r="AV847" i="6"/>
  <c r="AV306" i="6"/>
  <c r="AV927" i="6"/>
  <c r="AV815" i="6"/>
  <c r="AV694" i="6"/>
  <c r="AV627" i="6"/>
  <c r="AV591" i="6"/>
  <c r="AV552" i="6"/>
  <c r="AV524" i="6"/>
  <c r="AV491" i="6"/>
  <c r="AV436" i="6"/>
  <c r="AV400" i="6"/>
  <c r="AV374" i="6"/>
  <c r="AV322" i="6"/>
  <c r="AV453" i="6"/>
  <c r="AV337" i="6"/>
  <c r="AV340" i="6"/>
  <c r="AV149" i="6"/>
  <c r="AV656" i="6"/>
  <c r="AV763" i="6"/>
  <c r="AV608" i="6"/>
  <c r="AV445" i="6"/>
  <c r="AV404" i="6"/>
  <c r="AV363" i="6"/>
  <c r="AV89" i="6"/>
  <c r="AV283" i="6"/>
  <c r="AV675" i="6"/>
  <c r="AV853" i="6"/>
  <c r="AV887" i="6"/>
  <c r="AV817" i="6"/>
  <c r="AV137" i="6"/>
  <c r="AV190" i="6"/>
  <c r="AV234" i="6"/>
  <c r="AV236" i="6"/>
  <c r="AV228" i="6"/>
  <c r="AV357" i="6"/>
  <c r="AV642" i="6"/>
  <c r="AV569" i="6"/>
  <c r="AV588" i="6"/>
  <c r="AV583" i="6"/>
  <c r="AV586" i="6"/>
  <c r="AV688" i="6"/>
  <c r="AV759" i="6"/>
  <c r="AV782" i="6"/>
  <c r="AV402" i="6"/>
  <c r="AV27" i="6"/>
  <c r="AV204" i="6"/>
  <c r="AV305" i="6"/>
  <c r="AV513" i="6"/>
  <c r="AV55" i="6"/>
  <c r="AV757" i="6"/>
  <c r="AV77" i="6"/>
  <c r="AV266" i="6"/>
  <c r="AV49" i="6"/>
  <c r="AV502" i="6"/>
  <c r="AV932" i="6"/>
  <c r="AV985" i="6"/>
  <c r="AV498" i="6"/>
  <c r="AV25" i="6"/>
  <c r="AV897" i="6"/>
  <c r="AV840" i="6"/>
  <c r="AV17" i="6"/>
  <c r="AV90" i="6"/>
  <c r="AV13" i="6"/>
  <c r="AV12" i="6"/>
  <c r="AV554" i="6"/>
  <c r="AV621" i="6"/>
  <c r="AV838" i="6"/>
  <c r="AV86" i="6"/>
  <c r="AV618" i="6"/>
  <c r="AV100" i="6"/>
  <c r="AV848" i="6"/>
  <c r="AV971" i="6"/>
  <c r="AV987" i="6"/>
  <c r="AV626" i="6"/>
  <c r="AV551" i="6"/>
  <c r="AV525" i="6"/>
  <c r="AV435" i="6"/>
  <c r="AV401" i="6"/>
  <c r="AV321" i="6"/>
  <c r="AV501" i="6"/>
  <c r="AV338" i="6"/>
  <c r="AV249" i="6"/>
  <c r="AV761" i="6"/>
  <c r="AV607" i="6"/>
  <c r="AV446" i="6"/>
  <c r="AV406" i="6"/>
  <c r="AV281" i="6"/>
  <c r="AV674" i="6"/>
  <c r="AV962" i="6"/>
  <c r="AV816" i="6"/>
  <c r="AV459" i="6"/>
  <c r="AV233" i="6"/>
  <c r="AV227" i="6"/>
  <c r="AV243" i="6"/>
  <c r="AV643" i="6"/>
  <c r="AV571" i="6"/>
  <c r="AV584" i="6"/>
  <c r="AV687" i="6"/>
  <c r="AV573" i="6"/>
  <c r="AV790" i="6"/>
  <c r="AV462" i="6"/>
  <c r="AV633" i="6"/>
  <c r="AV661" i="6"/>
  <c r="AV616" i="6"/>
  <c r="AV701" i="6"/>
  <c r="AV508" i="6"/>
  <c r="AV531" i="6"/>
  <c r="AV646" i="6"/>
  <c r="AV672" i="6"/>
  <c r="AV764" i="6"/>
  <c r="AV678" i="6"/>
  <c r="AV727" i="6"/>
  <c r="AV78" i="6"/>
  <c r="AV34" i="6"/>
  <c r="AV31" i="6"/>
  <c r="AV861" i="6"/>
  <c r="AV536" i="6"/>
  <c r="AV539" i="6"/>
  <c r="AV776" i="6"/>
  <c r="AV940" i="6"/>
  <c r="AV194" i="6"/>
  <c r="AV631" i="6"/>
  <c r="AV112" i="6"/>
  <c r="AV575" i="6"/>
  <c r="AV851" i="6"/>
  <c r="AV45" i="6"/>
  <c r="AV43" i="6"/>
  <c r="AV39" i="6"/>
  <c r="AV302" i="6"/>
  <c r="AV300" i="6"/>
  <c r="AV74" i="6"/>
  <c r="AV68" i="6"/>
  <c r="AV974" i="6"/>
  <c r="AV886" i="6"/>
  <c r="AV842" i="6"/>
  <c r="AV788" i="6"/>
  <c r="AV713" i="6"/>
  <c r="AV625" i="6"/>
  <c r="AV516" i="6"/>
  <c r="AV597" i="6"/>
  <c r="AV689" i="6"/>
  <c r="AV721" i="6"/>
  <c r="AV799" i="6"/>
  <c r="AV391" i="6"/>
  <c r="AV219" i="6"/>
  <c r="AV649" i="6"/>
  <c r="AV801" i="6"/>
  <c r="AV428" i="6"/>
  <c r="AV820" i="6"/>
  <c r="AV431" i="6"/>
  <c r="AV809" i="6"/>
  <c r="AV390" i="6"/>
  <c r="AV327" i="6"/>
  <c r="AV152" i="6"/>
  <c r="AV494" i="6"/>
  <c r="AV972" i="6"/>
  <c r="AV679" i="6"/>
  <c r="AV372" i="6"/>
  <c r="AV63" i="6"/>
  <c r="AV279" i="6"/>
  <c r="AV278" i="6"/>
  <c r="AV286" i="6"/>
  <c r="AV986" i="6"/>
  <c r="AV902" i="6"/>
  <c r="AV482" i="6"/>
  <c r="AV615" i="6"/>
  <c r="AV613" i="6"/>
  <c r="AV912" i="6"/>
  <c r="AV870" i="6"/>
  <c r="AV826" i="6"/>
  <c r="AV768" i="6"/>
  <c r="AV681" i="6"/>
  <c r="AV581" i="6"/>
  <c r="AV470" i="6"/>
  <c r="AV336" i="6"/>
  <c r="AV879" i="6"/>
  <c r="AV197" i="6"/>
  <c r="AV360" i="6"/>
  <c r="AV841" i="6"/>
  <c r="AV134" i="6"/>
  <c r="AV529" i="6"/>
  <c r="AV334" i="6"/>
  <c r="AV330" i="6"/>
  <c r="AV329" i="6"/>
  <c r="AV268" i="6"/>
  <c r="AV594" i="6"/>
  <c r="AV652" i="6"/>
  <c r="AV547" i="6"/>
  <c r="AV507" i="6"/>
  <c r="AV865" i="6"/>
  <c r="AV989" i="6"/>
  <c r="AV793" i="6"/>
  <c r="AV307" i="6"/>
  <c r="AV53" i="6"/>
  <c r="AV448" i="6"/>
  <c r="AV139" i="6"/>
  <c r="AV754" i="6"/>
  <c r="AV724" i="6"/>
  <c r="AV692" i="6"/>
  <c r="AV665" i="6"/>
  <c r="AV638" i="6"/>
  <c r="AV599" i="6"/>
  <c r="AV878" i="6"/>
  <c r="AV561" i="6"/>
  <c r="AV898" i="6"/>
  <c r="AV856" i="6"/>
  <c r="AV807" i="6"/>
  <c r="AV738" i="6"/>
  <c r="AV821" i="6"/>
  <c r="AV765" i="6"/>
  <c r="AV422" i="6"/>
  <c r="AV125" i="6"/>
  <c r="AV3" i="6"/>
  <c r="AV296" i="6"/>
  <c r="AV203" i="6"/>
  <c r="AV298" i="6"/>
  <c r="AV59" i="6"/>
  <c r="AV57" i="6"/>
  <c r="AV130" i="6"/>
  <c r="AV209" i="6"/>
  <c r="AV355" i="6"/>
  <c r="AV726" i="6"/>
  <c r="AV26" i="6"/>
  <c r="AV883" i="6"/>
  <c r="AV443" i="6"/>
  <c r="AV668" i="6"/>
  <c r="AV14" i="6"/>
  <c r="AV556" i="6"/>
  <c r="AV457" i="6"/>
  <c r="AV88" i="6"/>
  <c r="AV620" i="6"/>
  <c r="AV818" i="6"/>
  <c r="AV814" i="6"/>
  <c r="AV590" i="6"/>
  <c r="AV523" i="6"/>
  <c r="AV437" i="6"/>
  <c r="AV375" i="6"/>
  <c r="AV454" i="6"/>
  <c r="AV246" i="6"/>
  <c r="AV762" i="6"/>
  <c r="AV533" i="6"/>
  <c r="AV364" i="6"/>
  <c r="AV282" i="6"/>
  <c r="AV827" i="6"/>
  <c r="AV138" i="6"/>
  <c r="AV235" i="6"/>
  <c r="AV242" i="6"/>
  <c r="AV644" i="6"/>
  <c r="AV582" i="6"/>
  <c r="AV544" i="6"/>
  <c r="AV720" i="6"/>
  <c r="AV742" i="6"/>
  <c r="AV660" i="6"/>
  <c r="AV617" i="6"/>
  <c r="AV480" i="6"/>
  <c r="AV731" i="6"/>
  <c r="AV596" i="6"/>
  <c r="AV736" i="6"/>
  <c r="AV603" i="6"/>
  <c r="AV75" i="6"/>
  <c r="AV36" i="6"/>
  <c r="AV862" i="6"/>
  <c r="AV538" i="6"/>
  <c r="AV777" i="6"/>
  <c r="AV239" i="6"/>
  <c r="AV976" i="6"/>
  <c r="AV574" i="6"/>
  <c r="AV954" i="6"/>
  <c r="AV42" i="6"/>
  <c r="AV37" i="6"/>
  <c r="AV303" i="6"/>
  <c r="AV73" i="6"/>
  <c r="AV973" i="6"/>
  <c r="AV872" i="6"/>
  <c r="AV808" i="6"/>
  <c r="AV682" i="6"/>
  <c r="AV549" i="6"/>
  <c r="AV775" i="6"/>
  <c r="AV662" i="6"/>
  <c r="AV800" i="6"/>
  <c r="AV426" i="6"/>
  <c r="AV650" i="6"/>
  <c r="AV427" i="6"/>
  <c r="AV429" i="6"/>
  <c r="AV825" i="6"/>
  <c r="AV376" i="6"/>
  <c r="AV240" i="6"/>
  <c r="AV495" i="6"/>
  <c r="AV478" i="6"/>
  <c r="AV684" i="6"/>
  <c r="AV686" i="6"/>
  <c r="AV274" i="6"/>
  <c r="AV287" i="6"/>
  <c r="AV483" i="6"/>
  <c r="AV61" i="6"/>
  <c r="AV944" i="6"/>
  <c r="AV885" i="6"/>
  <c r="AV488" i="6"/>
  <c r="AV238" i="6"/>
  <c r="AV201" i="6"/>
  <c r="AV512" i="6"/>
  <c r="AV56" i="6"/>
  <c r="AV85" i="6"/>
  <c r="AV255" i="6"/>
  <c r="AV964" i="6"/>
  <c r="AV984" i="6"/>
  <c r="AV497" i="6"/>
  <c r="AV961" i="6"/>
  <c r="AV854" i="6"/>
  <c r="AV935" i="6"/>
  <c r="AV669" i="6"/>
  <c r="AV250" i="6"/>
  <c r="AV915" i="6"/>
  <c r="AV839" i="6"/>
  <c r="AV83" i="6"/>
  <c r="AV960" i="6"/>
  <c r="AV970" i="6"/>
  <c r="AV693" i="6"/>
  <c r="AV592" i="6"/>
  <c r="AV490" i="6"/>
  <c r="AV399" i="6"/>
  <c r="AV323" i="6"/>
  <c r="AV273" i="6"/>
  <c r="AV148" i="6"/>
  <c r="AV606" i="6"/>
  <c r="AV447" i="6"/>
  <c r="AV365" i="6"/>
  <c r="AV676" i="6"/>
  <c r="AV614" i="6"/>
  <c r="AV189" i="6"/>
  <c r="AV231" i="6"/>
  <c r="AV358" i="6"/>
  <c r="AV570" i="6"/>
  <c r="AV585" i="6"/>
  <c r="AV758" i="6"/>
  <c r="AV791" i="6"/>
  <c r="AV743" i="6"/>
  <c r="AV769" i="6"/>
  <c r="AV700" i="6"/>
  <c r="AV509" i="6"/>
  <c r="AV732" i="6"/>
  <c r="AV673" i="6"/>
  <c r="AV708" i="6"/>
  <c r="AV79" i="6"/>
  <c r="AV76" i="6"/>
  <c r="AV32" i="6"/>
  <c r="AV535" i="6"/>
  <c r="AV205" i="6"/>
  <c r="AV778" i="6"/>
  <c r="AV151" i="6"/>
  <c r="AV111" i="6"/>
  <c r="AV576" i="6"/>
  <c r="AV44" i="6"/>
  <c r="AV38" i="6"/>
  <c r="AV983" i="6"/>
  <c r="AV70" i="6"/>
  <c r="AV72" i="6"/>
  <c r="AV913" i="6"/>
  <c r="AV857" i="6"/>
  <c r="AV766" i="6"/>
  <c r="AV654" i="6"/>
  <c r="AV471" i="6"/>
  <c r="AV751" i="6"/>
  <c r="AV475" i="6"/>
  <c r="AV260" i="6"/>
  <c r="AV220" i="6"/>
  <c r="AV450" i="6"/>
  <c r="AV432" i="6"/>
  <c r="AV430" i="6"/>
  <c r="AV977" i="6"/>
  <c r="AV368" i="6"/>
  <c r="AV877" i="6"/>
  <c r="AV496" i="6"/>
  <c r="AV370" i="6"/>
  <c r="AV685" i="6"/>
  <c r="AV277" i="6"/>
  <c r="AV293" i="6"/>
  <c r="AV957" i="6"/>
  <c r="AV484" i="6"/>
  <c r="AV611" i="6"/>
  <c r="AV931" i="6"/>
  <c r="AV855" i="6"/>
  <c r="AV789" i="6"/>
  <c r="AV653" i="6"/>
  <c r="AV517" i="6"/>
  <c r="AV275" i="6"/>
  <c r="AV198" i="6"/>
  <c r="AV294" i="6"/>
  <c r="AV133" i="6"/>
  <c r="AV341" i="6"/>
  <c r="AV333" i="6"/>
  <c r="AV267" i="6"/>
  <c r="AV593" i="6"/>
  <c r="AV623" i="6"/>
  <c r="AV710" i="6"/>
  <c r="AV866" i="6"/>
  <c r="AV792" i="6"/>
  <c r="AV245" i="6"/>
  <c r="AV602" i="6"/>
  <c r="AV752" i="6"/>
  <c r="AV723" i="6"/>
  <c r="AV663" i="6"/>
  <c r="AV637" i="6"/>
  <c r="AV600" i="6"/>
  <c r="AV564" i="6"/>
  <c r="AV884" i="6"/>
  <c r="AV828" i="6"/>
  <c r="AV712" i="6"/>
  <c r="AV786" i="6"/>
  <c r="AV382" i="6"/>
  <c r="AV11" i="6"/>
  <c r="AV171" i="6"/>
  <c r="AV174" i="6"/>
  <c r="AV164" i="6"/>
  <c r="AV4" i="6"/>
  <c r="AV21" i="6"/>
  <c r="AV464" i="6"/>
  <c r="AV705" i="6"/>
  <c r="AV916" i="6"/>
  <c r="AV292" i="6"/>
  <c r="AV290" i="6"/>
  <c r="AV703" i="6"/>
  <c r="AV859" i="6"/>
  <c r="AV489" i="6"/>
  <c r="AV313" i="6"/>
  <c r="AV309" i="6"/>
  <c r="AV98" i="6"/>
  <c r="AV93" i="6"/>
  <c r="AV412" i="6"/>
  <c r="AV411" i="6"/>
  <c r="AV510" i="6"/>
  <c r="AV641" i="6"/>
  <c r="AV784" i="6"/>
  <c r="AV444" i="6"/>
  <c r="AV166" i="6"/>
  <c r="AV122" i="6"/>
  <c r="AV82" i="6"/>
  <c r="AV433" i="6"/>
  <c r="AV908" i="6"/>
  <c r="AV269" i="6"/>
  <c r="AV256" i="6"/>
  <c r="AV697" i="6"/>
  <c r="AV834" i="6"/>
  <c r="AV439" i="6"/>
  <c r="AV58" i="6"/>
  <c r="AV104" i="6"/>
  <c r="AV29" i="6"/>
  <c r="AV91" i="6"/>
  <c r="AV456" i="6"/>
  <c r="AV261" i="6"/>
  <c r="AV553" i="6"/>
  <c r="AV500" i="6"/>
  <c r="AV532" i="6"/>
  <c r="AV852" i="6"/>
  <c r="AV230" i="6"/>
  <c r="AV587" i="6"/>
  <c r="AV634" i="6"/>
  <c r="AV696" i="6"/>
  <c r="AV651" i="6"/>
  <c r="AV30" i="6"/>
  <c r="AV941" i="6"/>
  <c r="AV850" i="6"/>
  <c r="AV304" i="6"/>
  <c r="AV900" i="6"/>
  <c r="AV580" i="6"/>
  <c r="AV635" i="6"/>
  <c r="AV398" i="6"/>
  <c r="AV487" i="6"/>
  <c r="AV477" i="6"/>
  <c r="AV280" i="6"/>
  <c r="AV868" i="6"/>
  <c r="AV844" i="6"/>
  <c r="AV711" i="6"/>
  <c r="AV415" i="6"/>
  <c r="AV880" i="6"/>
  <c r="AV823" i="6"/>
  <c r="AV527" i="6"/>
  <c r="AV328" i="6"/>
  <c r="AV265" i="6"/>
  <c r="AV579" i="6"/>
  <c r="AV981" i="6"/>
  <c r="AV794" i="6"/>
  <c r="AV465" i="6"/>
  <c r="AV753" i="6"/>
  <c r="AV691" i="6"/>
  <c r="AV601" i="6"/>
  <c r="AV715" i="6"/>
  <c r="AV871" i="6"/>
  <c r="AV767" i="6"/>
  <c r="AV737" i="6"/>
  <c r="AV65" i="6"/>
  <c r="AV169" i="6"/>
  <c r="AV163" i="6"/>
  <c r="AV18" i="6"/>
  <c r="AV463" i="6"/>
  <c r="AV795" i="6"/>
  <c r="AV953" i="6"/>
  <c r="AV958" i="6"/>
  <c r="AV858" i="6"/>
  <c r="AV609" i="6"/>
  <c r="AV312" i="6"/>
  <c r="AV96" i="6"/>
  <c r="AV94" i="6"/>
  <c r="AV566" i="6"/>
  <c r="AV640" i="6"/>
  <c r="AV785" i="6"/>
  <c r="AV165" i="6"/>
  <c r="AV113" i="6"/>
  <c r="AV295" i="6"/>
  <c r="AV909" i="6"/>
  <c r="AV271" i="6"/>
  <c r="AV698" i="6"/>
  <c r="AV545" i="6"/>
  <c r="AV889" i="6"/>
  <c r="AV876" i="6"/>
  <c r="AV109" i="6"/>
  <c r="AV103" i="6"/>
  <c r="AV186" i="6"/>
  <c r="AV187" i="6"/>
  <c r="AV181" i="6"/>
  <c r="AV67" i="6"/>
  <c r="AV666" i="6"/>
  <c r="AV520" i="6"/>
  <c r="AV750" i="6"/>
  <c r="AV896" i="6"/>
  <c r="AV951" i="6"/>
  <c r="AV926" i="6"/>
  <c r="AV741" i="6"/>
  <c r="AV802" i="6"/>
  <c r="AV419" i="6"/>
  <c r="AV124" i="6"/>
  <c r="AV116" i="6"/>
  <c r="AV226" i="6"/>
  <c r="AV658" i="6"/>
  <c r="AV982" i="6"/>
  <c r="AV728" i="6"/>
  <c r="AV467" i="6"/>
  <c r="AV416" i="6"/>
  <c r="AV833" i="6"/>
  <c r="AV604" i="6"/>
  <c r="AV493" i="6"/>
  <c r="AV837" i="6"/>
  <c r="AV716" i="6"/>
  <c r="AV863" i="6"/>
  <c r="AV386" i="6"/>
  <c r="AV891" i="6"/>
  <c r="AV779" i="6"/>
  <c r="AV541" i="6"/>
  <c r="AV542" i="6"/>
  <c r="AV773" i="6"/>
  <c r="AV451" i="6"/>
  <c r="AV922" i="6"/>
  <c r="AV195" i="6"/>
  <c r="AV252" i="6"/>
  <c r="AV320" i="6"/>
  <c r="AV316" i="6"/>
  <c r="AV943" i="6"/>
  <c r="AV237" i="6"/>
  <c r="AV158" i="6"/>
  <c r="AV154" i="6"/>
  <c r="AV572" i="6"/>
  <c r="AV52" i="6"/>
  <c r="AV9" i="6"/>
  <c r="AV6" i="6"/>
  <c r="AV568" i="6"/>
  <c r="AV797" i="6"/>
  <c r="AV107" i="6"/>
  <c r="AV210" i="6"/>
  <c r="AV217" i="6"/>
  <c r="AV214" i="6"/>
  <c r="AV978" i="6"/>
  <c r="AV162" i="6"/>
  <c r="AV136" i="6"/>
  <c r="AV129" i="6"/>
  <c r="AV381" i="6"/>
  <c r="AV628" i="6"/>
  <c r="AV396" i="6"/>
  <c r="AV811" i="6"/>
  <c r="AV324" i="6"/>
  <c r="AV354" i="6"/>
  <c r="AV212" i="6"/>
  <c r="AV522" i="6"/>
  <c r="AV424" i="6"/>
  <c r="AV458" i="6"/>
  <c r="AV221" i="6"/>
  <c r="AV846" i="6"/>
  <c r="AV177" i="6"/>
  <c r="AV377" i="6"/>
  <c r="AV472" i="6"/>
  <c r="AV923" i="6"/>
  <c r="AV934" i="6"/>
  <c r="AV873" i="6"/>
  <c r="AV955" i="6"/>
  <c r="AV224" i="6"/>
  <c r="AV543" i="6"/>
  <c r="AV145" i="6"/>
  <c r="AV142" i="6"/>
  <c r="AV707" i="6"/>
  <c r="AV262" i="6"/>
  <c r="AV66" i="6"/>
  <c r="AV936" i="6"/>
  <c r="AV890" i="6"/>
  <c r="AV849" i="6"/>
  <c r="AV734" i="6"/>
  <c r="AV486" i="6"/>
  <c r="AV335" i="6"/>
  <c r="AV263" i="6"/>
  <c r="AV348" i="6"/>
  <c r="AV345" i="6"/>
  <c r="AV352" i="6"/>
  <c r="AV746" i="6"/>
  <c r="AV202" i="6"/>
  <c r="AV756" i="6"/>
  <c r="AV504" i="6"/>
  <c r="AV930" i="6"/>
  <c r="AV15" i="6"/>
  <c r="AV178" i="6"/>
  <c r="AV813" i="6"/>
  <c r="AV492" i="6"/>
  <c r="AV339" i="6"/>
  <c r="AV405" i="6"/>
  <c r="AV232" i="6"/>
  <c r="AV979" i="6"/>
  <c r="AV719" i="6"/>
  <c r="AV770" i="6"/>
  <c r="AV647" i="6"/>
  <c r="AV80" i="6"/>
  <c r="AV537" i="6"/>
  <c r="AV476" i="6"/>
  <c r="AV41" i="6"/>
  <c r="AV71" i="6"/>
  <c r="AV824" i="6"/>
  <c r="AV560" i="6"/>
  <c r="AV392" i="6"/>
  <c r="AV819" i="6"/>
  <c r="AV314" i="6"/>
  <c r="AV371" i="6"/>
  <c r="AV288" i="6"/>
  <c r="AV612" i="6"/>
  <c r="AV806" i="6"/>
  <c r="AV624" i="6"/>
  <c r="AV383" i="6"/>
  <c r="AV361" i="6"/>
  <c r="AV914" i="6"/>
  <c r="AV530" i="6"/>
  <c r="AV331" i="6"/>
  <c r="AV595" i="6"/>
  <c r="AV515" i="6"/>
  <c r="AV990" i="6"/>
  <c r="AV369" i="6"/>
  <c r="AV449" i="6"/>
  <c r="AV722" i="6"/>
  <c r="AV664" i="6"/>
  <c r="AV598" i="6"/>
  <c r="AV562" i="6"/>
  <c r="AV843" i="6"/>
  <c r="AV830" i="6"/>
  <c r="AV706" i="6"/>
  <c r="AV173" i="6"/>
  <c r="AV167" i="6"/>
  <c r="AV20" i="6"/>
  <c r="AV23" i="6"/>
  <c r="AV774" i="6"/>
  <c r="AV975" i="6"/>
  <c r="AV291" i="6"/>
  <c r="AV702" i="6"/>
  <c r="AV120" i="6"/>
  <c r="AV610" i="6"/>
  <c r="AV99" i="6"/>
  <c r="AV97" i="6"/>
  <c r="AV409" i="6"/>
  <c r="AV567" i="6"/>
  <c r="AV172" i="6"/>
  <c r="AV367" i="6"/>
  <c r="AV119" i="6"/>
  <c r="AV114" i="6"/>
  <c r="AV434" i="6"/>
  <c r="AV272" i="6"/>
  <c r="AV257" i="6"/>
  <c r="AV699" i="6"/>
  <c r="AV546" i="6"/>
  <c r="AV188" i="6"/>
  <c r="AV671" i="6"/>
  <c r="AV110" i="6"/>
  <c r="AV966" i="6"/>
  <c r="AV183" i="6"/>
  <c r="AV185" i="6"/>
  <c r="AV46" i="6"/>
  <c r="AV803" i="6"/>
  <c r="AV667" i="6"/>
  <c r="AV519" i="6"/>
  <c r="AV749" i="6"/>
  <c r="AV397" i="6"/>
  <c r="AV939" i="6"/>
  <c r="AV714" i="6"/>
  <c r="AV965" i="6"/>
  <c r="AV905" i="6"/>
  <c r="AV418" i="6"/>
  <c r="AV832" i="6"/>
  <c r="AV117" i="6"/>
  <c r="AV191" i="6"/>
  <c r="AV657" i="6"/>
  <c r="AV969" i="6"/>
  <c r="AV730" i="6"/>
  <c r="AV469" i="6"/>
  <c r="AV417" i="6"/>
  <c r="AV709" i="6"/>
  <c r="AV565" i="6"/>
  <c r="AV440" i="6"/>
  <c r="AV836" i="6"/>
  <c r="AV718" i="6"/>
  <c r="AV387" i="6"/>
  <c r="AV385" i="6"/>
  <c r="AV894" i="6"/>
  <c r="AV781" i="6"/>
  <c r="AV175" i="6"/>
  <c r="AV771" i="6"/>
  <c r="AV366" i="6"/>
  <c r="AV127" i="6"/>
  <c r="AV907" i="6"/>
  <c r="AV241" i="6"/>
  <c r="AV253" i="6"/>
  <c r="AV315" i="6"/>
  <c r="AV318" i="6"/>
  <c r="AV942" i="6"/>
  <c r="AV160" i="6"/>
  <c r="AV156" i="6"/>
  <c r="AV159" i="6"/>
  <c r="AV50" i="6"/>
  <c r="AV47" i="6"/>
  <c r="AV10" i="6"/>
  <c r="AV8" i="6"/>
  <c r="AV945" i="6"/>
  <c r="AV798" i="6"/>
  <c r="AV108" i="6"/>
  <c r="AV211" i="6"/>
  <c r="AV207" i="6"/>
  <c r="AV215" i="6"/>
  <c r="AV343" i="6"/>
  <c r="AV131" i="6"/>
  <c r="AV128" i="6"/>
  <c r="AV380" i="6"/>
  <c r="AV632" i="6"/>
  <c r="AV630" i="6"/>
  <c r="AV19" i="6"/>
  <c r="AV325" i="6"/>
  <c r="AV812" i="6"/>
  <c r="AV882" i="6"/>
  <c r="AV213" i="6"/>
  <c r="AV829" i="6"/>
  <c r="AV425" i="6"/>
  <c r="AV223" i="6"/>
  <c r="AV938" i="6"/>
  <c r="AV845" i="6"/>
  <c r="AV988" i="6"/>
  <c r="AV473" i="6"/>
  <c r="AV760" i="6"/>
  <c r="AV929" i="6"/>
  <c r="AV933" i="6"/>
  <c r="AV452" i="6"/>
  <c r="AV413" i="6"/>
  <c r="AV225" i="6"/>
  <c r="AV506" i="6"/>
  <c r="AV144" i="6"/>
  <c r="AV140" i="6"/>
  <c r="AV677" i="6"/>
  <c r="AV192" i="6"/>
  <c r="AV146" i="6"/>
  <c r="AV919" i="6"/>
  <c r="AV874" i="6"/>
  <c r="AV920" i="6"/>
  <c r="AV735" i="6"/>
  <c r="AV485" i="6"/>
  <c r="AV179" i="6"/>
  <c r="AV555" i="6"/>
  <c r="AV351" i="6"/>
  <c r="AV349" i="6"/>
  <c r="AV347" i="6"/>
  <c r="AV744" i="6"/>
  <c r="AV297" i="6"/>
  <c r="AV33" i="6"/>
  <c r="AV893" i="6"/>
  <c r="AV441" i="6"/>
  <c r="AV247" i="6"/>
  <c r="AV622" i="6"/>
  <c r="AV695" i="6"/>
  <c r="AV373" i="6"/>
  <c r="AV655" i="6"/>
  <c r="AV284" i="6"/>
  <c r="AV460" i="6"/>
  <c r="AV589" i="6"/>
  <c r="AV461" i="6"/>
  <c r="AV479" i="6"/>
  <c r="AV559" i="6"/>
  <c r="AV35" i="6"/>
  <c r="AV910" i="6"/>
  <c r="AV577" i="6"/>
  <c r="AV40" i="6"/>
  <c r="AV69" i="6"/>
  <c r="AV740" i="6"/>
  <c r="AV534" i="6"/>
  <c r="AV648" i="6"/>
  <c r="AV921" i="6"/>
  <c r="AV967" i="6"/>
  <c r="AV62" i="6"/>
  <c r="AV901" i="6"/>
  <c r="AV899" i="6"/>
  <c r="AV739" i="6"/>
  <c r="AV548" i="6"/>
  <c r="AV193" i="6"/>
  <c r="AV362" i="6"/>
  <c r="AV528" i="6"/>
  <c r="AV332" i="6"/>
  <c r="AV264" i="6"/>
  <c r="AV680" i="6"/>
  <c r="AV550" i="6"/>
  <c r="AV353" i="6"/>
  <c r="AV81" i="6"/>
  <c r="AV407" i="6"/>
  <c r="AV690" i="6"/>
  <c r="AV636" i="6"/>
  <c r="AV867" i="6"/>
  <c r="AV563" i="6"/>
  <c r="AV787" i="6"/>
  <c r="AV805" i="6"/>
  <c r="AV153" i="6"/>
  <c r="AV170" i="6"/>
  <c r="AV168" i="6"/>
  <c r="AV5" i="6"/>
  <c r="AV22" i="6"/>
  <c r="AV747" i="6"/>
  <c r="AV917" i="6"/>
  <c r="AV289" i="6"/>
  <c r="AV704" i="6"/>
  <c r="AV118" i="6"/>
  <c r="AV311" i="6"/>
  <c r="AV310" i="6"/>
  <c r="AV95" i="6"/>
  <c r="AV410" i="6"/>
  <c r="AV511" i="6"/>
  <c r="AV783" i="6"/>
  <c r="AV956" i="6"/>
  <c r="AV121" i="6"/>
  <c r="AV393" i="6"/>
  <c r="AV466" i="6"/>
  <c r="AV270" i="6"/>
  <c r="AV258" i="6"/>
  <c r="AV835" i="6"/>
  <c r="AV888" i="6"/>
  <c r="AV875" i="6"/>
  <c r="AV105" i="6"/>
  <c r="AV102" i="6"/>
  <c r="AV949" i="6"/>
  <c r="AV184" i="6"/>
  <c r="AV180" i="6"/>
  <c r="AV285" i="6"/>
  <c r="AV804" i="6"/>
  <c r="AV518" i="6"/>
  <c r="AV748" i="6"/>
  <c r="AV895" i="6"/>
  <c r="AV394" i="6"/>
  <c r="AV925" i="6"/>
  <c r="AV683" i="6"/>
  <c r="AV438" i="6"/>
  <c r="AV906" i="6"/>
  <c r="AV959" i="6"/>
  <c r="AV729" i="6"/>
  <c r="AV421" i="6"/>
  <c r="AV403" i="6"/>
  <c r="AV384" i="6"/>
  <c r="AV176" i="6"/>
  <c r="AV408" i="6"/>
  <c r="AV259" i="6"/>
  <c r="AV317" i="6"/>
  <c r="AV161" i="6"/>
  <c r="AV48" i="6"/>
  <c r="AV796" i="6"/>
  <c r="AV218" i="6"/>
  <c r="AV342" i="6"/>
  <c r="AV379" i="6"/>
  <c r="AV24" i="6"/>
  <c r="AV881" i="6"/>
  <c r="AV423" i="6"/>
  <c r="AV388" i="6"/>
  <c r="AV924" i="6"/>
  <c r="AV605" i="6"/>
  <c r="AV147" i="6"/>
  <c r="AV308" i="6"/>
  <c r="AV904" i="6"/>
  <c r="AV733" i="6"/>
  <c r="AV745" i="6"/>
  <c r="AV344" i="6"/>
  <c r="AV420" i="6"/>
  <c r="AV968" i="6"/>
  <c r="AV468" i="6"/>
  <c r="AV639" i="6"/>
  <c r="AV717" i="6"/>
  <c r="AV389" i="6"/>
  <c r="AV540" i="6"/>
  <c r="AV64" i="6"/>
  <c r="AV254" i="6"/>
  <c r="AV980" i="6"/>
  <c r="AV155" i="6"/>
  <c r="AV7" i="6"/>
  <c r="AV106" i="6"/>
  <c r="AV206" i="6"/>
  <c r="AV135" i="6"/>
  <c r="AV629" i="6"/>
  <c r="AV326" i="6"/>
  <c r="AV521" i="6"/>
  <c r="AV222" i="6"/>
  <c r="AV378" i="6"/>
  <c r="AV928" i="6"/>
  <c r="AV414" i="6"/>
  <c r="AV141" i="6"/>
  <c r="AV126" i="6"/>
  <c r="AV860" i="6"/>
  <c r="AV123" i="6"/>
  <c r="AV350" i="6"/>
  <c r="AV991" i="6"/>
  <c r="AV831" i="6"/>
  <c r="AV659" i="6"/>
  <c r="AV963" i="6"/>
  <c r="AV526" i="6"/>
  <c r="AV864" i="6"/>
  <c r="AV780" i="6"/>
  <c r="AV772" i="6"/>
  <c r="AV196" i="6"/>
  <c r="AV319" i="6"/>
  <c r="AV157" i="6"/>
  <c r="AV51" i="6"/>
  <c r="AV946" i="6"/>
  <c r="AV216" i="6"/>
  <c r="AV208" i="6"/>
  <c r="AV132" i="6"/>
  <c r="AV395" i="6"/>
  <c r="AV810" i="6"/>
  <c r="AV578" i="6"/>
  <c r="AV937" i="6"/>
  <c r="AV474" i="6"/>
  <c r="AV950" i="6"/>
  <c r="AV948" i="6"/>
  <c r="AV918" i="6"/>
  <c r="AV947" i="6"/>
  <c r="AV645" i="6"/>
  <c r="AV54" i="6"/>
  <c r="AV346" i="6"/>
  <c r="C1135" i="5" a="1"/>
  <c r="E1068" i="5" a="1"/>
  <c r="B1151" i="5" a="1"/>
  <c r="E1108" i="5" a="1"/>
  <c r="E1051" i="5" a="1"/>
  <c r="B1039" i="5" a="1"/>
  <c r="E1071" i="5" a="1"/>
  <c r="C1162" i="5" a="1"/>
  <c r="B1035" i="5" a="1"/>
  <c r="B1139" i="5" a="1"/>
  <c r="A1154" i="5" a="1"/>
  <c r="E1092" i="5" a="1"/>
  <c r="E2" i="5" a="1"/>
  <c r="E1170" i="5" a="1"/>
  <c r="C1062" i="5" a="1"/>
  <c r="B1045" i="5" a="1"/>
  <c r="C1087" i="5" a="1"/>
  <c r="B1053" i="5" a="1"/>
  <c r="C1080" i="5" a="1"/>
  <c r="E1136" i="5" a="1"/>
  <c r="A1089" i="5" a="1"/>
  <c r="B1103" i="5" a="1"/>
  <c r="B1115" i="5" a="1"/>
  <c r="E1070" i="5" a="1"/>
  <c r="E1098" i="5" a="1"/>
  <c r="E1156" i="5" a="1"/>
  <c r="C1092" i="5" a="1"/>
  <c r="E1093" i="5" a="1"/>
  <c r="A1151" i="5" a="1"/>
  <c r="E1135" i="5" a="1"/>
  <c r="B1158" i="5" a="1"/>
  <c r="E1045" i="5" a="1"/>
  <c r="E1063" i="5" a="1"/>
  <c r="A1170" i="5" a="1"/>
  <c r="A1033" i="5" a="1"/>
  <c r="C1154" i="5" a="1"/>
  <c r="A1087" i="5" a="1"/>
  <c r="B1055" i="5" a="1"/>
  <c r="C1100" i="5" a="1"/>
  <c r="B1161" i="5" a="1"/>
  <c r="B1122" i="5" a="1"/>
  <c r="B1026" i="5" a="1"/>
  <c r="C1156" i="5" a="1"/>
  <c r="A1038" i="5" a="1"/>
  <c r="E1118" i="5" a="1"/>
  <c r="A1122" i="5" a="1"/>
  <c r="A1068" i="5" a="1"/>
  <c r="A1137" i="5" a="1"/>
  <c r="B1113" i="5" a="1"/>
  <c r="E1162" i="5" a="1"/>
  <c r="B1101" i="5" a="1"/>
  <c r="B1054" i="5" a="1"/>
  <c r="C1093" i="5" a="1"/>
  <c r="A1134" i="5" a="1"/>
  <c r="A1034" i="5" a="1"/>
  <c r="A1098" i="5" a="1"/>
  <c r="E1102" i="5" a="1"/>
  <c r="B1046" i="5" a="1"/>
  <c r="C1088" i="5" a="1"/>
  <c r="C1056" i="5" a="1"/>
  <c r="C1110" i="5" a="1"/>
  <c r="B1082" i="5" a="1"/>
  <c r="E1075" i="5" a="1"/>
  <c r="C1121" i="5" a="1"/>
  <c r="A1108" i="5" a="1"/>
  <c r="B1025" i="5" a="1"/>
  <c r="E1080" i="5" a="1"/>
  <c r="E1126" i="5" a="1"/>
  <c r="B1089" i="5" a="1"/>
  <c r="E1141" i="5" a="1"/>
  <c r="B1040" i="5" a="1"/>
  <c r="B1047" i="5" a="1"/>
  <c r="C1032" i="5" a="1"/>
  <c r="B1029" i="5" a="1"/>
  <c r="C1163" i="5" a="1"/>
  <c r="A1114" i="5" a="1"/>
  <c r="B1119" i="5" a="1"/>
  <c r="E1101" i="5" a="1"/>
  <c r="B1154" i="5" a="1"/>
  <c r="A1115" i="5" a="1"/>
  <c r="E1037" i="5" a="1"/>
  <c r="E1035" i="5" a="1"/>
  <c r="C1075" i="5" a="1"/>
  <c r="C1165" i="5" a="1"/>
  <c r="E1138" i="5" a="1"/>
  <c r="A1044" i="5" a="1"/>
  <c r="E1128" i="5" a="1"/>
  <c r="A1072" i="5" a="1"/>
  <c r="A1147" i="5" a="1"/>
  <c r="C1145" i="5" a="1"/>
  <c r="C1026" i="5" a="1"/>
  <c r="A1050" i="5" a="1"/>
  <c r="A1035" i="5" a="1"/>
  <c r="B1034" i="5" a="1"/>
  <c r="E1105" i="5" a="1"/>
  <c r="A1136" i="5" a="1"/>
  <c r="B1090" i="5" a="1"/>
  <c r="B1150" i="5" a="1"/>
  <c r="A1102" i="5" a="1"/>
  <c r="A1070" i="5" a="1"/>
  <c r="C1031" i="5" a="1"/>
  <c r="C1071" i="5" a="1"/>
  <c r="A1167" i="5" a="1"/>
  <c r="E1123" i="5" a="1"/>
  <c r="B1160" i="5" a="1"/>
  <c r="C1096" i="5" a="1"/>
  <c r="A1097" i="5" a="1"/>
  <c r="B1048" i="5" a="1"/>
  <c r="A1105" i="5" a="1"/>
  <c r="A1146" i="5" a="1"/>
  <c r="B1037" i="5" a="1"/>
  <c r="A1046" i="5" a="1"/>
  <c r="E1046" i="5" a="1"/>
  <c r="E1039" i="5" a="1"/>
  <c r="A1066" i="5" a="1"/>
  <c r="E1106" i="5" a="1"/>
  <c r="A1119" i="5" a="1"/>
  <c r="A1125" i="5" a="1"/>
  <c r="E1150" i="5" a="1"/>
  <c r="A1135" i="5" a="1"/>
  <c r="E1062" i="5" a="1"/>
  <c r="C1106" i="5" a="1"/>
  <c r="B1109" i="5" a="1"/>
  <c r="B1079" i="5" a="1"/>
  <c r="A1112" i="5" a="1"/>
  <c r="B1104" i="5" a="1"/>
  <c r="A1047" i="5" a="1"/>
  <c r="A1036" i="5" a="1"/>
  <c r="C1090" i="5" a="1"/>
  <c r="A1165" i="5" a="1"/>
  <c r="C1038" i="5" a="1"/>
  <c r="A1166" i="5" a="1"/>
  <c r="A1041" i="5" a="1"/>
  <c r="B1118" i="5" a="1"/>
  <c r="B1171" i="5" a="1"/>
  <c r="A1107" i="5" a="1"/>
  <c r="E1025" i="5" a="1"/>
  <c r="B1097" i="5" a="1"/>
  <c r="B1074" i="5" a="1"/>
  <c r="B1088" i="5" a="1"/>
  <c r="C1128" i="5" a="1"/>
  <c r="C1025" i="5" a="1"/>
  <c r="E1111" i="5" a="1"/>
  <c r="C1053" i="5" a="1"/>
  <c r="C1034" i="5" a="1"/>
  <c r="B1083" i="5" a="1"/>
  <c r="A1062" i="5" a="1"/>
  <c r="C1064" i="5" a="1"/>
  <c r="E1114" i="5" a="1"/>
  <c r="C1083" i="5" a="1"/>
  <c r="B1147" i="5" a="1"/>
  <c r="C1041" i="5" a="1"/>
  <c r="B1130" i="5" a="1"/>
  <c r="C1068" i="5" a="1"/>
  <c r="C1149" i="5" a="1"/>
  <c r="B1102" i="5" a="1"/>
  <c r="E1047" i="5" a="1"/>
  <c r="C1113" i="5" a="1"/>
  <c r="B1157" i="5" a="1"/>
  <c r="E1131" i="5" a="1"/>
  <c r="A1100" i="5" a="1"/>
  <c r="B1084" i="5" a="1"/>
  <c r="E1028" i="5" a="1"/>
  <c r="C1076" i="5" a="1"/>
  <c r="C1055" i="5" a="1"/>
  <c r="A1029" i="5" a="1"/>
  <c r="A1076" i="5" a="1"/>
  <c r="B1166" i="5" a="1"/>
  <c r="B1112" i="5" a="1"/>
  <c r="E1129" i="5" a="1"/>
  <c r="C1082" i="5" a="1"/>
  <c r="A1171" i="5" a="1"/>
  <c r="B1132" i="5" a="1"/>
  <c r="E1099" i="5" a="1"/>
  <c r="B1058" i="5" a="1"/>
  <c r="E1153" i="5" a="1"/>
  <c r="B1041" i="5" a="1"/>
  <c r="B1027" i="5" a="1"/>
  <c r="C1101" i="5" a="1"/>
  <c r="E1078" i="5" a="1"/>
  <c r="B1042" i="5" a="1"/>
  <c r="C1077" i="5" a="1"/>
  <c r="B1156" i="5" a="1"/>
  <c r="B1134" i="5" a="1"/>
  <c r="A1056" i="5" a="1"/>
  <c r="C1045" i="5" a="1"/>
  <c r="C1139" i="5" a="1"/>
  <c r="A1152" i="5" a="1"/>
  <c r="E1100" i="5" a="1"/>
  <c r="B1086" i="5" a="1"/>
  <c r="E1132" i="5" a="1"/>
  <c r="E1049" i="5" a="1"/>
  <c r="E1143" i="5" a="1"/>
  <c r="A1075" i="5" a="1"/>
  <c r="B1120" i="5" a="1"/>
  <c r="E1151" i="5" a="1"/>
  <c r="C1132" i="5" a="1"/>
  <c r="A1160" i="5" a="1"/>
  <c r="E1146" i="5" a="1"/>
  <c r="B1056" i="5" a="1"/>
  <c r="E1036" i="5" a="1"/>
  <c r="B1162" i="5" a="1"/>
  <c r="A1150" i="5" a="1"/>
  <c r="C1144" i="5" a="1"/>
  <c r="A1069" i="5" a="1"/>
  <c r="E1161" i="5" a="1"/>
  <c r="E1124" i="5" a="1"/>
  <c r="C1171" i="5" a="1"/>
  <c r="C1089" i="5" a="1"/>
  <c r="B1135" i="5" a="1"/>
  <c r="A1088" i="5" a="1"/>
  <c r="C1081" i="5" a="1"/>
  <c r="E1034" i="5" a="1"/>
  <c r="B1098" i="5" a="1"/>
  <c r="E1155" i="5" a="1"/>
  <c r="E1137" i="5" a="1"/>
  <c r="A1103" i="5" a="1"/>
  <c r="E1083" i="5" a="1"/>
  <c r="A1048" i="5" a="1"/>
  <c r="B1169" i="5" a="1"/>
  <c r="C1151" i="5" a="1"/>
  <c r="B1093" i="5" a="1"/>
  <c r="A1031" i="5" a="1"/>
  <c r="E1026" i="5" a="1"/>
  <c r="C1052" i="5" a="1"/>
  <c r="A1113" i="5" a="1"/>
  <c r="C1095" i="5" a="1"/>
  <c r="E1157" i="5" a="1"/>
  <c r="A1143" i="5" a="1"/>
  <c r="A1052" i="5" a="1"/>
  <c r="C1120" i="5" a="1"/>
  <c r="C1108" i="5" a="1"/>
  <c r="E1061" i="5" a="1"/>
  <c r="C1054" i="5" a="1"/>
  <c r="C1164" i="5" a="1"/>
  <c r="E1058" i="5" a="1"/>
  <c r="E1029" i="5" a="1"/>
  <c r="E1116" i="5" a="1"/>
  <c r="A1067" i="5" a="1"/>
  <c r="A1163" i="5" a="1"/>
  <c r="E1031" i="5" a="1"/>
  <c r="A1079" i="5" a="1"/>
  <c r="C1091" i="5" a="1"/>
  <c r="B1141" i="5" a="1"/>
  <c r="B1063" i="5" a="1"/>
  <c r="A1138" i="5" a="1"/>
  <c r="C1138" i="5" a="1"/>
  <c r="B1030" i="5" a="1"/>
  <c r="A1148" i="5" a="1"/>
  <c r="C1094" i="5" a="1"/>
  <c r="A1106" i="5" a="1"/>
  <c r="C1067" i="5" a="1"/>
  <c r="B1100" i="5" a="1"/>
  <c r="E1077" i="5" a="1"/>
  <c r="E1149" i="5" a="1"/>
  <c r="A1026" i="5" a="1"/>
  <c r="C1079" i="5" a="1"/>
  <c r="E1056" i="5" a="1"/>
  <c r="E1094" i="5" a="1"/>
  <c r="C1124" i="5" a="1"/>
  <c r="A1040" i="5" a="1"/>
  <c r="E1050" i="5" a="1"/>
  <c r="A1063" i="5" a="1"/>
  <c r="E1148" i="5" a="1"/>
  <c r="E1040" i="5" a="1"/>
  <c r="B1146" i="5" a="1"/>
  <c r="B1152" i="5" a="1"/>
  <c r="B1070" i="5" a="1"/>
  <c r="E1043" i="5" a="1"/>
  <c r="B1059" i="5" a="1"/>
  <c r="C1166" i="5" a="1"/>
  <c r="C1158" i="5" a="1"/>
  <c r="A1145" i="5" a="1"/>
  <c r="C1078" i="5" a="1"/>
  <c r="C1109" i="5" a="1"/>
  <c r="C1028" i="5" a="1"/>
  <c r="A1081" i="5" a="1"/>
  <c r="B1092" i="5" a="1"/>
  <c r="E1052" i="5" a="1"/>
  <c r="C1129" i="5" a="1"/>
  <c r="E1147" i="5" a="1"/>
  <c r="C1146" i="5" a="1"/>
  <c r="B1099" i="5" a="1"/>
  <c r="A1057" i="5" a="1"/>
  <c r="B1110" i="5" a="1"/>
  <c r="A1064" i="5" a="1"/>
  <c r="B1124" i="5" a="1"/>
  <c r="E1055" i="5" a="1"/>
  <c r="C1168" i="5" a="1"/>
  <c r="B1117" i="5" a="1"/>
  <c r="C1111" i="5" a="1"/>
  <c r="E1110" i="5" a="1"/>
  <c r="E1053" i="5" a="1"/>
  <c r="B1163" i="5" a="1"/>
  <c r="A1078" i="5" a="1"/>
  <c r="B1078" i="5" a="1"/>
  <c r="A1032" i="5" a="1"/>
  <c r="C1072" i="5" a="1"/>
  <c r="C1057" i="5" a="1"/>
  <c r="B1062" i="5" a="1"/>
  <c r="E1139" i="5" a="1"/>
  <c r="C1112" i="5" a="1"/>
  <c r="E1065" i="5" a="1"/>
  <c r="A1095" i="5" a="1"/>
  <c r="E1117" i="5" a="1"/>
  <c r="B1123" i="5" a="1"/>
  <c r="E1152" i="5" a="1"/>
  <c r="B1168" i="5" a="1"/>
  <c r="E1060" i="5" a="1"/>
  <c r="A1156" i="5" a="1"/>
  <c r="C1125" i="5" a="1"/>
  <c r="E1171" i="5" a="1"/>
  <c r="C1030" i="5" a="1"/>
  <c r="E1082" i="5" a="1"/>
  <c r="B1106" i="5" a="1"/>
  <c r="A1082" i="5" a="1"/>
  <c r="A1116" i="5" a="1"/>
  <c r="B1140" i="5" a="1"/>
  <c r="C1065" i="5" a="1"/>
  <c r="A1162" i="5" a="1"/>
  <c r="E1169" i="5" a="1"/>
  <c r="E1103" i="5" a="1"/>
  <c r="C1119" i="5" a="1"/>
  <c r="A1123" i="5" a="1"/>
  <c r="B1131" i="5" a="1"/>
  <c r="A1140" i="5" a="1"/>
  <c r="B1111" i="5" a="1"/>
  <c r="C1157" i="5" a="1"/>
  <c r="E1059" i="5" a="1"/>
  <c r="E1091" i="5" a="1"/>
  <c r="A1065" i="5" a="1"/>
  <c r="E1087" i="5" a="1"/>
  <c r="E1030" i="5" a="1"/>
  <c r="A1090" i="5" a="1"/>
  <c r="E1120" i="5" a="1"/>
  <c r="E1086" i="5" a="1"/>
  <c r="C1141" i="5" a="1"/>
  <c r="B1138" i="5" a="1"/>
  <c r="A1094" i="5" a="1"/>
  <c r="A2" i="5" a="1"/>
  <c r="B1105" i="5" a="1"/>
  <c r="A1141" i="5" a="1"/>
  <c r="B1143" i="5" a="1"/>
  <c r="E1119" i="5" a="1"/>
  <c r="A1139" i="5" a="1"/>
  <c r="B1144" i="5" a="1"/>
  <c r="E1048" i="5" a="1"/>
  <c r="E1164" i="5" a="1"/>
  <c r="B1095" i="5" a="1"/>
  <c r="C1105" i="5" a="1"/>
  <c r="B1087" i="5" a="1"/>
  <c r="C1169" i="5" a="1"/>
  <c r="C1063" i="5" a="1"/>
  <c r="C1142" i="5" a="1"/>
  <c r="B1127" i="5" a="1"/>
  <c r="E1064" i="5" a="1"/>
  <c r="A1049" i="5" a="1"/>
  <c r="C1152" i="5" a="1"/>
  <c r="E1038" i="5" a="1"/>
  <c r="E1044" i="5" a="1"/>
  <c r="E1069" i="5" a="1"/>
  <c r="A1077" i="5" a="1"/>
  <c r="A1054" i="5" a="1"/>
  <c r="A1028" i="5" a="1"/>
  <c r="E1027" i="5" a="1"/>
  <c r="B1133" i="5" a="1"/>
  <c r="A1101" i="5" a="1"/>
  <c r="E1109" i="5" a="1"/>
  <c r="C1134" i="5" a="1"/>
  <c r="A1161" i="5" a="1"/>
  <c r="A1027" i="5" a="1"/>
  <c r="B1066" i="5" a="1"/>
  <c r="E1032" i="5" a="1"/>
  <c r="A1051" i="5" a="1"/>
  <c r="E1160" i="5" a="1"/>
  <c r="B2" i="5" a="1"/>
  <c r="C1037" i="5" a="1"/>
  <c r="E1041" i="5" a="1"/>
  <c r="E1127" i="5" a="1"/>
  <c r="E1168" i="5" a="1"/>
  <c r="B1067" i="5" a="1"/>
  <c r="A1091" i="5" a="1"/>
  <c r="B1050" i="5" a="1"/>
  <c r="B1081" i="5" a="1"/>
  <c r="B1149" i="5" a="1"/>
  <c r="A1164" i="5" a="1"/>
  <c r="C1133" i="5" a="1"/>
  <c r="B1091" i="5" a="1"/>
  <c r="B1068" i="5" a="1"/>
  <c r="B1155" i="5" a="1"/>
  <c r="A1042" i="5" a="1"/>
  <c r="A1092" i="5" a="1"/>
  <c r="E1121" i="5" a="1"/>
  <c r="C1060" i="5" a="1"/>
  <c r="C1159" i="5" a="1"/>
  <c r="A1129" i="5" a="1"/>
  <c r="A1099" i="5" a="1"/>
  <c r="B1116" i="5" a="1"/>
  <c r="E1159" i="5" a="1"/>
  <c r="C1099" i="5" a="1"/>
  <c r="E1163" i="5" a="1"/>
  <c r="A1053" i="5" a="1"/>
  <c r="E1166" i="5" a="1"/>
  <c r="A1111" i="5" a="1"/>
  <c r="B1031" i="5" a="1"/>
  <c r="C1118" i="5" a="1"/>
  <c r="E1158" i="5" a="1"/>
  <c r="C1148" i="5" a="1"/>
  <c r="B1126" i="5" a="1"/>
  <c r="C1116" i="5" a="1"/>
  <c r="C1161" i="5" a="1"/>
  <c r="F3" i="5" a="1"/>
  <c r="C2" i="5" a="1"/>
  <c r="C1070" i="5" a="1"/>
  <c r="B1165" i="5" a="1"/>
  <c r="B1032" i="5" a="1"/>
  <c r="E1145" i="5" a="1"/>
  <c r="E1073" i="5" a="1"/>
  <c r="E1125" i="5" a="1"/>
  <c r="E1115" i="5" a="1"/>
  <c r="A1132" i="5" a="1"/>
  <c r="C1048" i="5" a="1"/>
  <c r="B1069" i="5" a="1"/>
  <c r="C1143" i="5" a="1"/>
  <c r="A1117" i="5" a="1"/>
  <c r="E1090" i="5" a="1"/>
  <c r="B1080" i="5" a="1"/>
  <c r="C1107" i="5" a="1"/>
  <c r="A1043" i="5" a="1"/>
  <c r="E1133" i="5" a="1"/>
  <c r="C1153" i="5" a="1"/>
  <c r="A1060" i="5" a="1"/>
  <c r="A1093" i="5" a="1"/>
  <c r="E1130" i="5" a="1"/>
  <c r="E1074" i="5" a="1"/>
  <c r="B1137" i="5" a="1"/>
  <c r="C1033" i="5" a="1"/>
  <c r="C1044" i="5" a="1"/>
  <c r="E1167" i="5" a="1"/>
  <c r="C1140" i="5" a="1"/>
  <c r="E1088" i="5" a="1"/>
  <c r="B1038" i="5" a="1"/>
  <c r="E1112" i="5" a="1"/>
  <c r="C1098" i="5" a="1"/>
  <c r="A1030" i="5" a="1"/>
  <c r="A1061" i="5" a="1"/>
  <c r="C1155" i="5" a="1"/>
  <c r="C1147" i="5" a="1"/>
  <c r="E1140" i="5" a="1"/>
  <c r="E1054" i="5" a="1"/>
  <c r="C1122" i="5" a="1"/>
  <c r="A1124" i="5" a="1"/>
  <c r="C1036" i="5" a="1"/>
  <c r="E1096" i="5" a="1"/>
  <c r="C1131" i="5" a="1"/>
  <c r="E1104" i="5" a="1"/>
  <c r="E1113" i="5" a="1"/>
  <c r="B1073" i="5" a="1"/>
  <c r="B1061" i="5" a="1"/>
  <c r="C1104" i="5" a="1"/>
  <c r="C1066" i="5" a="1"/>
  <c r="A1059" i="5" a="1"/>
  <c r="B1028" i="5" a="1"/>
  <c r="A1159" i="5" a="1"/>
  <c r="C1085" i="5" a="1"/>
  <c r="A1155" i="5" a="1"/>
  <c r="A1096" i="5" a="1"/>
  <c r="A1168" i="5" a="1"/>
  <c r="B1128" i="5" a="1"/>
  <c r="A1127" i="5" a="1"/>
  <c r="C1102" i="5" a="1"/>
  <c r="E1165" i="5" a="1"/>
  <c r="C1035" i="5" a="1"/>
  <c r="C1040" i="5" a="1"/>
  <c r="C1117" i="5" a="1"/>
  <c r="E1142" i="5" a="1"/>
  <c r="E1089" i="5" a="1"/>
  <c r="C1150" i="5" a="1"/>
  <c r="E1144" i="5" a="1"/>
  <c r="E1084" i="5" a="1"/>
  <c r="A1133" i="5" a="1"/>
  <c r="C1170" i="5" a="1"/>
  <c r="B1043" i="5" a="1"/>
  <c r="C1061" i="5" a="1"/>
  <c r="E1079" i="5" a="1"/>
  <c r="B1148" i="5" a="1"/>
  <c r="C1027" i="5" a="1"/>
  <c r="A1120" i="5" a="1"/>
  <c r="A1149" i="5" a="1"/>
  <c r="C1051" i="5" a="1"/>
  <c r="C1115" i="5" a="1"/>
  <c r="C1137" i="5" a="1"/>
  <c r="C1029" i="5" a="1"/>
  <c r="B1094" i="5" a="1"/>
  <c r="E1072" i="5" a="1"/>
  <c r="B1036" i="5" a="1"/>
  <c r="A1118" i="5" a="1"/>
  <c r="B1159" i="5" a="1"/>
  <c r="E1042" i="5" a="1"/>
  <c r="C1046" i="5" a="1"/>
  <c r="B1052" i="5" a="1"/>
  <c r="A1157" i="5" a="1"/>
  <c r="A1131" i="5" a="1"/>
  <c r="A1104" i="5" a="1"/>
  <c r="C1059" i="5" a="1"/>
  <c r="A1039" i="5" a="1"/>
  <c r="C1049" i="5" a="1"/>
  <c r="C1058" i="5" a="1"/>
  <c r="A1142" i="5" a="1"/>
  <c r="B1060" i="5" a="1"/>
  <c r="E1081" i="5" a="1"/>
  <c r="A1126" i="5" a="1"/>
  <c r="C1136" i="5" a="1"/>
  <c r="B1033" i="5" a="1"/>
  <c r="E1097" i="5" a="1"/>
  <c r="B1136" i="5" a="1"/>
  <c r="B1044" i="5" a="1"/>
  <c r="B1164" i="5" a="1"/>
  <c r="C1086" i="5" a="1"/>
  <c r="A1158" i="5" a="1"/>
  <c r="C1074" i="5" a="1"/>
  <c r="A1037" i="5" a="1"/>
  <c r="A1084" i="5" a="1"/>
  <c r="B1065" i="5" a="1"/>
  <c r="B1049" i="5" a="1"/>
  <c r="A1071" i="5" a="1"/>
  <c r="A1073" i="5" a="1"/>
  <c r="B1129" i="5" a="1"/>
  <c r="C1073" i="5" a="1"/>
  <c r="B1114" i="5" a="1"/>
  <c r="B1075" i="5" a="1"/>
  <c r="A1080" i="5" a="1"/>
  <c r="C1043" i="5" a="1"/>
  <c r="A1153" i="5" a="1"/>
  <c r="C1127" i="5" a="1"/>
  <c r="C1069" i="5" a="1"/>
  <c r="A1045" i="5" a="1"/>
  <c r="B1077" i="5" a="1"/>
  <c r="A1169" i="5" a="1"/>
  <c r="E1066" i="5" a="1"/>
  <c r="B1170" i="5" a="1"/>
  <c r="B1142" i="5" a="1"/>
  <c r="A1121" i="5" a="1"/>
  <c r="C1047" i="5" a="1"/>
  <c r="B1076" i="5" a="1"/>
  <c r="C1114" i="5" a="1"/>
  <c r="B1085" i="5" a="1"/>
  <c r="C1130" i="5" a="1"/>
  <c r="C1039" i="5" a="1"/>
  <c r="C1103" i="5" a="1"/>
  <c r="B1121" i="5" a="1"/>
  <c r="C1084" i="5" a="1"/>
  <c r="C1126" i="5" a="1"/>
  <c r="B1167" i="5" a="1"/>
  <c r="B1108" i="5" a="1"/>
  <c r="B1153" i="5" a="1"/>
  <c r="E1067" i="5" a="1"/>
  <c r="E1107" i="5" a="1"/>
  <c r="B1057" i="5" a="1"/>
  <c r="C1167" i="5" a="1"/>
  <c r="E1085" i="5" a="1"/>
  <c r="C1097" i="5" a="1"/>
  <c r="B1107" i="5" a="1"/>
  <c r="E1057" i="5" a="1"/>
  <c r="A1074" i="5" a="1"/>
  <c r="E1033" i="5" a="1"/>
  <c r="A1083" i="5" a="1"/>
  <c r="E1076" i="5" a="1"/>
  <c r="A1109" i="5" a="1"/>
  <c r="B1051" i="5" a="1"/>
  <c r="C1123" i="5" a="1"/>
  <c r="A1144" i="5" a="1"/>
  <c r="C1050" i="5" a="1"/>
  <c r="B1072" i="5" a="1"/>
  <c r="A1058" i="5" a="1"/>
  <c r="E1154" i="5" a="1"/>
  <c r="E1095" i="5" a="1"/>
  <c r="A1110" i="5" a="1"/>
  <c r="B1064" i="5" a="1"/>
  <c r="A1128" i="5" a="1"/>
  <c r="A1055" i="5" a="1"/>
  <c r="E1134" i="5" a="1"/>
  <c r="B1096" i="5" a="1"/>
  <c r="C1160" i="5" a="1"/>
  <c r="A1025" i="5" a="1"/>
  <c r="E1122" i="5" a="1"/>
  <c r="B1071" i="5" a="1"/>
  <c r="B1125" i="5" a="1"/>
  <c r="A1130" i="5" a="1"/>
  <c r="B1145" i="5" a="1"/>
  <c r="C1042" i="5" a="1"/>
  <c r="A1086" i="5" a="1"/>
  <c r="A1085" i="5" a="1"/>
  <c r="AT844" i="6" l="1"/>
  <c r="BH904" i="6"/>
  <c r="BO515" i="6"/>
  <c r="BW996" i="6"/>
  <c r="BU891" i="6"/>
  <c r="CA941" i="6"/>
  <c r="CB941" i="6" s="1"/>
  <c r="BU501" i="6"/>
  <c r="BW501" i="6" s="1"/>
  <c r="K134" i="4" a="1"/>
  <c r="K134" i="4" s="1"/>
  <c r="BG188" i="6"/>
  <c r="BH20" i="6"/>
  <c r="BO641" i="6"/>
  <c r="BN594" i="6"/>
  <c r="BG978" i="6"/>
  <c r="BI978" i="6" s="1"/>
  <c r="CA1017" i="6"/>
  <c r="BG740" i="6"/>
  <c r="BH740" i="6" s="1"/>
  <c r="BN41" i="6"/>
  <c r="BP41" i="6" s="1"/>
  <c r="BO559" i="6"/>
  <c r="BP559" i="6"/>
  <c r="BP352" i="6"/>
  <c r="BO352" i="6"/>
  <c r="BP771" i="6"/>
  <c r="BO771" i="6"/>
  <c r="BH579" i="6"/>
  <c r="BI579" i="6"/>
  <c r="AT183" i="6"/>
  <c r="BN183" i="6"/>
  <c r="BN800" i="6"/>
  <c r="BO800" i="6" s="1"/>
  <c r="AT800" i="6"/>
  <c r="BH970" i="6"/>
  <c r="BI970" i="6"/>
  <c r="BG551" i="6"/>
  <c r="BI551" i="6" s="1"/>
  <c r="BG863" i="6"/>
  <c r="AT863" i="6"/>
  <c r="BH1011" i="6"/>
  <c r="BI1011" i="6"/>
  <c r="BP65" i="6"/>
  <c r="BO65" i="6"/>
  <c r="BH388" i="6"/>
  <c r="BI388" i="6"/>
  <c r="AT728" i="6"/>
  <c r="BN728" i="6"/>
  <c r="BP728" i="6" s="1"/>
  <c r="BH765" i="6"/>
  <c r="BI765" i="6"/>
  <c r="AT762" i="6"/>
  <c r="BN762" i="6"/>
  <c r="BP146" i="6"/>
  <c r="BO146" i="6"/>
  <c r="BI249" i="6"/>
  <c r="BH249" i="6"/>
  <c r="AT602" i="6"/>
  <c r="BG602" i="6"/>
  <c r="BI602" i="6" s="1"/>
  <c r="BG536" i="6"/>
  <c r="AT536" i="6"/>
  <c r="BO736" i="6"/>
  <c r="BP736" i="6"/>
  <c r="BG9" i="6"/>
  <c r="BI9" i="6" s="1"/>
  <c r="AT9" i="6"/>
  <c r="BH261" i="6"/>
  <c r="BI261" i="6"/>
  <c r="BO639" i="6"/>
  <c r="BP639" i="6"/>
  <c r="BI501" i="6"/>
  <c r="BH501" i="6"/>
  <c r="J130" i="4" a="1"/>
  <c r="J130" i="4" s="1"/>
  <c r="K130" i="4" a="1"/>
  <c r="K130" i="4" s="1"/>
  <c r="BP674" i="6"/>
  <c r="BP581" i="6"/>
  <c r="BP685" i="6"/>
  <c r="BU476" i="6"/>
  <c r="K135" i="4" a="1"/>
  <c r="K135" i="4" s="1"/>
  <c r="BP52" i="6"/>
  <c r="AT525" i="6"/>
  <c r="BN886" i="6"/>
  <c r="BO833" i="6"/>
  <c r="BP833" i="6"/>
  <c r="CA1007" i="6"/>
  <c r="BH133" i="6"/>
  <c r="BI133" i="6"/>
  <c r="BP888" i="6"/>
  <c r="BO888" i="6"/>
  <c r="BP872" i="6"/>
  <c r="BO872" i="6"/>
  <c r="BN774" i="6"/>
  <c r="BO774" i="6" s="1"/>
  <c r="CA939" i="6"/>
  <c r="CC939" i="6" s="1"/>
  <c r="BI831" i="6"/>
  <c r="AT542" i="6"/>
  <c r="BI630" i="6"/>
  <c r="BH760" i="6"/>
  <c r="BO406" i="6"/>
  <c r="BO89" i="6"/>
  <c r="BH903" i="6"/>
  <c r="BI149" i="6"/>
  <c r="BN56" i="6"/>
  <c r="BO56" i="6" s="1"/>
  <c r="BG668" i="6"/>
  <c r="BN912" i="6"/>
  <c r="BP912" i="6" s="1"/>
  <c r="BN81" i="6"/>
  <c r="BP81" i="6" s="1"/>
  <c r="BP479" i="6"/>
  <c r="BO479" i="6"/>
  <c r="BG895" i="6"/>
  <c r="BN230" i="6"/>
  <c r="BN504" i="6"/>
  <c r="AT504" i="6"/>
  <c r="BN707" i="6"/>
  <c r="BO707" i="6" s="1"/>
  <c r="BG856" i="6"/>
  <c r="BI856" i="6" s="1"/>
  <c r="BH260" i="6"/>
  <c r="BG146" i="6"/>
  <c r="BH857" i="6"/>
  <c r="BI857" i="6"/>
  <c r="BH927" i="6"/>
  <c r="BI927" i="6"/>
  <c r="BG595" i="6"/>
  <c r="AT17" i="6"/>
  <c r="BG17" i="6"/>
  <c r="BP340" i="6"/>
  <c r="BO340" i="6"/>
  <c r="AP120" i="6"/>
  <c r="AN120" i="6" a="1"/>
  <c r="AN120" i="6" s="1"/>
  <c r="AN403" i="6" a="1"/>
  <c r="AN403" i="6" s="1"/>
  <c r="AP403" i="6"/>
  <c r="AT403" i="6" s="1"/>
  <c r="BG789" i="6"/>
  <c r="AT789" i="6"/>
  <c r="BZ990" i="6"/>
  <c r="BT990" i="6"/>
  <c r="AN481" i="6" a="1"/>
  <c r="AN481" i="6" s="1"/>
  <c r="AP481" i="6"/>
  <c r="AN200" i="6" a="1"/>
  <c r="AN200" i="6" s="1"/>
  <c r="AP200" i="6"/>
  <c r="AT200" i="6" s="1"/>
  <c r="BZ164" i="6"/>
  <c r="BT164" i="6"/>
  <c r="BT754" i="6"/>
  <c r="BZ754" i="6"/>
  <c r="BT253" i="6"/>
  <c r="BZ253" i="6"/>
  <c r="BZ589" i="6"/>
  <c r="BT589" i="6"/>
  <c r="K185" i="4" a="1"/>
  <c r="K185" i="4" s="1"/>
  <c r="J185" i="4" a="1"/>
  <c r="J185" i="4" s="1"/>
  <c r="J53" i="4" a="1"/>
  <c r="J53" i="4" s="1"/>
  <c r="K53" i="4" a="1"/>
  <c r="K53" i="4" s="1"/>
  <c r="BT368" i="6"/>
  <c r="BZ368" i="6"/>
  <c r="BT215" i="6"/>
  <c r="BZ215" i="6"/>
  <c r="BZ1002" i="6"/>
  <c r="CA1002" i="6" s="1"/>
  <c r="BT1002" i="6"/>
  <c r="BU1002" i="6" s="1"/>
  <c r="BP483" i="6"/>
  <c r="BO483" i="6"/>
  <c r="K34" i="4" a="1"/>
  <c r="K34" i="4" s="1"/>
  <c r="J34" i="4" a="1"/>
  <c r="J34" i="4" s="1"/>
  <c r="BZ229" i="6"/>
  <c r="BT229" i="6"/>
  <c r="J52" i="4" a="1"/>
  <c r="J52" i="4" s="1"/>
  <c r="K52" i="4" a="1"/>
  <c r="K52" i="4" s="1"/>
  <c r="AP45" i="6"/>
  <c r="AT45" i="6" s="1"/>
  <c r="AN45" i="6" a="1"/>
  <c r="AN45" i="6" s="1"/>
  <c r="BZ850" i="6"/>
  <c r="BT850" i="6"/>
  <c r="BZ340" i="6"/>
  <c r="BT340" i="6"/>
  <c r="AP125" i="6"/>
  <c r="AN125" i="6" a="1"/>
  <c r="AN125" i="6" s="1"/>
  <c r="BT176" i="6"/>
  <c r="BZ176" i="6"/>
  <c r="CA176" i="6" s="1"/>
  <c r="BO491" i="6"/>
  <c r="BP491" i="6"/>
  <c r="BG45" i="6"/>
  <c r="BP506" i="6"/>
  <c r="BO506" i="6"/>
  <c r="BI30" i="6"/>
  <c r="BH30" i="6"/>
  <c r="BO690" i="6"/>
  <c r="BP690" i="6"/>
  <c r="BN9" i="6"/>
  <c r="AP285" i="6"/>
  <c r="AN285" i="6" a="1"/>
  <c r="AN285" i="6" s="1"/>
  <c r="AN180" i="6" a="1"/>
  <c r="AN180" i="6" s="1"/>
  <c r="AP180" i="6"/>
  <c r="BG180" i="6" s="1"/>
  <c r="BH180" i="6" s="1"/>
  <c r="BZ161" i="6"/>
  <c r="CA161" i="6" s="1"/>
  <c r="BT161" i="6"/>
  <c r="BT1014" i="6"/>
  <c r="BZ1014" i="6"/>
  <c r="BU486" i="6"/>
  <c r="BW486" i="6" s="1"/>
  <c r="BU734" i="6"/>
  <c r="BV734" i="6" s="1"/>
  <c r="BU955" i="6"/>
  <c r="BW955" i="6" s="1"/>
  <c r="CA458" i="6"/>
  <c r="CC458" i="6" s="1"/>
  <c r="CA354" i="6"/>
  <c r="BU129" i="6"/>
  <c r="BW129" i="6" s="1"/>
  <c r="BU52" i="6"/>
  <c r="BW52" i="6" s="1"/>
  <c r="CA572" i="6"/>
  <c r="CC572" i="6" s="1"/>
  <c r="CA896" i="6"/>
  <c r="CB896" i="6" s="1"/>
  <c r="BU889" i="6"/>
  <c r="BW889" i="6" s="1"/>
  <c r="CA114" i="6"/>
  <c r="CB114" i="6" s="1"/>
  <c r="BU410" i="6"/>
  <c r="BW410" i="6" s="1"/>
  <c r="CA97" i="6"/>
  <c r="CC97" i="6" s="1"/>
  <c r="BU289" i="6"/>
  <c r="BV289" i="6" s="1"/>
  <c r="CA382" i="6"/>
  <c r="CB382" i="6" s="1"/>
  <c r="CA737" i="6"/>
  <c r="CB737" i="6" s="1"/>
  <c r="CA805" i="6"/>
  <c r="CC805" i="6" s="1"/>
  <c r="CA843" i="6"/>
  <c r="CA636" i="6"/>
  <c r="CA465" i="6"/>
  <c r="CC465" i="6" s="1"/>
  <c r="CA866" i="6"/>
  <c r="CB866" i="6" s="1"/>
  <c r="BU548" i="6"/>
  <c r="BV548" i="6" s="1"/>
  <c r="CA739" i="6"/>
  <c r="CC739" i="6" s="1"/>
  <c r="CA855" i="6"/>
  <c r="CC855" i="6" s="1"/>
  <c r="CA899" i="6"/>
  <c r="CB899" i="6" s="1"/>
  <c r="CA314" i="6"/>
  <c r="CB314" i="6" s="1"/>
  <c r="CA376" i="6"/>
  <c r="CC376" i="6" s="1"/>
  <c r="CA398" i="6"/>
  <c r="CC398" i="6" s="1"/>
  <c r="CA304" i="6"/>
  <c r="CC304" i="6" s="1"/>
  <c r="CA862" i="6"/>
  <c r="CA651" i="6"/>
  <c r="CC651" i="6" s="1"/>
  <c r="BU509" i="6"/>
  <c r="BV509" i="6" s="1"/>
  <c r="CA617" i="6"/>
  <c r="CB617" i="6" s="1"/>
  <c r="CA437" i="6"/>
  <c r="CB437" i="6" s="1"/>
  <c r="BU818" i="6"/>
  <c r="BW818" i="6" s="1"/>
  <c r="CA839" i="6"/>
  <c r="CC839" i="6" s="1"/>
  <c r="CA556" i="6"/>
  <c r="CB556" i="6" s="1"/>
  <c r="CA930" i="6"/>
  <c r="CC930" i="6" s="1"/>
  <c r="BU29" i="6"/>
  <c r="CA209" i="6"/>
  <c r="BU266" i="6"/>
  <c r="BV266" i="6" s="1"/>
  <c r="BN957" i="6"/>
  <c r="BN390" i="6"/>
  <c r="BN1006" i="6"/>
  <c r="BG374" i="6"/>
  <c r="BG782" i="6"/>
  <c r="BG735" i="6"/>
  <c r="BI735" i="6" s="1"/>
  <c r="BG296" i="6"/>
  <c r="BN422" i="6"/>
  <c r="BO422" i="6" s="1"/>
  <c r="BN875" i="6"/>
  <c r="BO875" i="6" s="1"/>
  <c r="BZ156" i="6"/>
  <c r="BT663" i="6"/>
  <c r="J64" i="4" a="1"/>
  <c r="J64" i="4" s="1"/>
  <c r="BG330" i="6"/>
  <c r="BI330" i="6" s="1"/>
  <c r="BN568" i="6"/>
  <c r="BO568" i="6" s="1"/>
  <c r="AP66" i="6"/>
  <c r="AT66" i="6" s="1"/>
  <c r="AN416" i="6" a="1"/>
  <c r="AN416" i="6" s="1"/>
  <c r="BT100" i="6"/>
  <c r="K241" i="4" a="1"/>
  <c r="K241" i="4" s="1"/>
  <c r="BG413" i="6"/>
  <c r="BH413" i="6" s="1"/>
  <c r="BP601" i="6"/>
  <c r="BG898" i="6"/>
  <c r="BZ776" i="6"/>
  <c r="BG266" i="6"/>
  <c r="BT684" i="6"/>
  <c r="BT747" i="6"/>
  <c r="J170" i="4" a="1"/>
  <c r="J170" i="4" s="1"/>
  <c r="BN326" i="6"/>
  <c r="AT325" i="6"/>
  <c r="AT301" i="6"/>
  <c r="BZ741" i="6"/>
  <c r="BG210" i="6"/>
  <c r="BP224" i="6"/>
  <c r="BZ519" i="6"/>
  <c r="AT162" i="6"/>
  <c r="AP468" i="6"/>
  <c r="BZ634" i="6"/>
  <c r="BI693" i="6"/>
  <c r="BI731" i="6"/>
  <c r="AS995" i="6"/>
  <c r="AT995" i="6" s="1"/>
  <c r="BG800" i="6"/>
  <c r="BG33" i="6"/>
  <c r="CA1020" i="6"/>
  <c r="CC1020" i="6" s="1"/>
  <c r="BU1008" i="6"/>
  <c r="BT701" i="6"/>
  <c r="J181" i="4" a="1"/>
  <c r="J181" i="4" s="1"/>
  <c r="BZ425" i="6"/>
  <c r="BF537" i="6"/>
  <c r="AP937" i="6"/>
  <c r="BZ915" i="6"/>
  <c r="BU1001" i="6"/>
  <c r="BT423" i="6"/>
  <c r="BU423" i="6" s="1"/>
  <c r="AP297" i="6"/>
  <c r="AT297" i="6" s="1"/>
  <c r="BM27" i="6"/>
  <c r="BG242" i="6"/>
  <c r="BI307" i="6"/>
  <c r="BN122" i="6"/>
  <c r="BP122" i="6" s="1"/>
  <c r="BG28" i="6"/>
  <c r="BG869" i="6"/>
  <c r="BN80" i="6"/>
  <c r="BO742" i="6"/>
  <c r="BP742" i="6"/>
  <c r="AT221" i="6"/>
  <c r="BN221" i="6"/>
  <c r="BO985" i="6"/>
  <c r="BP985" i="6"/>
  <c r="J122" i="4" a="1"/>
  <c r="J122" i="4" s="1"/>
  <c r="K122" i="4" a="1"/>
  <c r="K122" i="4" s="1"/>
  <c r="BG67" i="6"/>
  <c r="BI67" i="6" s="1"/>
  <c r="BO716" i="6"/>
  <c r="BP716" i="6"/>
  <c r="BI812" i="6"/>
  <c r="BH812" i="6"/>
  <c r="BP560" i="6"/>
  <c r="BO560" i="6"/>
  <c r="BG391" i="6"/>
  <c r="BH391" i="6" s="1"/>
  <c r="AT391" i="6"/>
  <c r="J129" i="4" a="1"/>
  <c r="J129" i="4" s="1"/>
  <c r="K129" i="4" a="1"/>
  <c r="K129" i="4" s="1"/>
  <c r="BN64" i="6"/>
  <c r="BG64" i="6"/>
  <c r="BH576" i="6"/>
  <c r="BI576" i="6"/>
  <c r="BU937" i="6"/>
  <c r="BU679" i="6"/>
  <c r="BV679" i="6" s="1"/>
  <c r="CA801" i="6"/>
  <c r="CB801" i="6" s="1"/>
  <c r="BU643" i="6"/>
  <c r="BW643" i="6" s="1"/>
  <c r="BU281" i="6"/>
  <c r="BW281" i="6" s="1"/>
  <c r="CA454" i="6"/>
  <c r="CA500" i="6"/>
  <c r="CB500" i="6" s="1"/>
  <c r="CA435" i="6"/>
  <c r="CB435" i="6" s="1"/>
  <c r="K205" i="4" a="1"/>
  <c r="K205" i="4" s="1"/>
  <c r="BH247" i="6"/>
  <c r="BO709" i="6"/>
  <c r="AT482" i="6"/>
  <c r="BP803" i="6"/>
  <c r="BN561" i="6"/>
  <c r="BG216" i="6"/>
  <c r="BH216" i="6" s="1"/>
  <c r="BN700" i="6"/>
  <c r="BN580" i="6"/>
  <c r="BN102" i="6"/>
  <c r="BP102" i="6" s="1"/>
  <c r="BG924" i="6"/>
  <c r="BG499" i="6"/>
  <c r="BN393" i="6"/>
  <c r="BG611" i="6"/>
  <c r="BH611" i="6" s="1"/>
  <c r="AT918" i="6"/>
  <c r="AT807" i="6"/>
  <c r="BP1013" i="6"/>
  <c r="BG742" i="6"/>
  <c r="BI742" i="6" s="1"/>
  <c r="BP348" i="6"/>
  <c r="BN378" i="6"/>
  <c r="BO378" i="6" s="1"/>
  <c r="BN615" i="6"/>
  <c r="BU1020" i="6"/>
  <c r="BN36" i="6"/>
  <c r="BN628" i="6"/>
  <c r="BG335" i="6"/>
  <c r="BN865" i="6"/>
  <c r="BP865" i="6" s="1"/>
  <c r="BG720" i="6"/>
  <c r="BH720" i="6" s="1"/>
  <c r="BN905" i="6"/>
  <c r="BG54" i="6"/>
  <c r="BH54" i="6" s="1"/>
  <c r="BG397" i="6"/>
  <c r="BG97" i="6"/>
  <c r="BG350" i="6"/>
  <c r="BG213" i="6"/>
  <c r="BN927" i="6"/>
  <c r="BG762" i="6"/>
  <c r="BI762" i="6" s="1"/>
  <c r="BG387" i="6"/>
  <c r="BI387" i="6" s="1"/>
  <c r="BN850" i="6"/>
  <c r="BI167" i="6"/>
  <c r="BH167" i="6"/>
  <c r="BH394" i="6"/>
  <c r="BP724" i="6"/>
  <c r="CA143" i="6"/>
  <c r="CB143" i="6" s="1"/>
  <c r="BU481" i="6"/>
  <c r="BV481" i="6" s="1"/>
  <c r="K132" i="4" a="1"/>
  <c r="K132" i="4" s="1"/>
  <c r="K208" i="4" a="1"/>
  <c r="K208" i="4" s="1"/>
  <c r="BP445" i="6"/>
  <c r="BO84" i="6"/>
  <c r="BP845" i="6"/>
  <c r="AT327" i="6"/>
  <c r="AT671" i="6"/>
  <c r="BP826" i="6"/>
  <c r="AT505" i="6"/>
  <c r="BO284" i="6"/>
  <c r="AT942" i="6"/>
  <c r="BN942" i="6"/>
  <c r="BP942" i="6" s="1"/>
  <c r="AT527" i="6"/>
  <c r="BN527" i="6"/>
  <c r="BP527" i="6" s="1"/>
  <c r="BP318" i="6"/>
  <c r="BO318" i="6"/>
  <c r="AT533" i="6"/>
  <c r="BG533" i="6"/>
  <c r="BG113" i="6"/>
  <c r="BN113" i="6"/>
  <c r="BG636" i="6"/>
  <c r="AT636" i="6"/>
  <c r="AT945" i="6"/>
  <c r="BG945" i="6"/>
  <c r="BG268" i="6"/>
  <c r="BI268" i="6" s="1"/>
  <c r="BN268" i="6"/>
  <c r="BH998" i="6"/>
  <c r="BI998" i="6"/>
  <c r="BP217" i="6"/>
  <c r="BO217" i="6"/>
  <c r="BH208" i="6"/>
  <c r="BI208" i="6"/>
  <c r="BO381" i="6"/>
  <c r="BP381" i="6"/>
  <c r="BH293" i="6"/>
  <c r="BI293" i="6"/>
  <c r="BG644" i="6"/>
  <c r="AT644" i="6"/>
  <c r="BI241" i="6"/>
  <c r="BH241" i="6"/>
  <c r="BP891" i="6"/>
  <c r="BO891" i="6"/>
  <c r="AT185" i="6"/>
  <c r="BG185" i="6"/>
  <c r="BN815" i="6"/>
  <c r="BO815" i="6" s="1"/>
  <c r="BI673" i="6"/>
  <c r="BH673" i="6"/>
  <c r="BG727" i="6"/>
  <c r="BN727" i="6"/>
  <c r="BO727" i="6" s="1"/>
  <c r="BN909" i="6"/>
  <c r="BP909" i="6" s="1"/>
  <c r="BI264" i="6"/>
  <c r="BH264" i="6"/>
  <c r="BN137" i="6"/>
  <c r="BH5" i="6"/>
  <c r="BI5" i="6"/>
  <c r="BN39" i="6"/>
  <c r="AT39" i="6"/>
  <c r="BW770" i="6"/>
  <c r="BO109" i="6"/>
  <c r="BI440" i="6"/>
  <c r="BI959" i="6"/>
  <c r="AT326" i="6"/>
  <c r="CA222" i="6"/>
  <c r="BU184" i="6"/>
  <c r="BW184" i="6" s="1"/>
  <c r="BU125" i="6"/>
  <c r="CA547" i="6"/>
  <c r="CA529" i="6"/>
  <c r="CC529" i="6" s="1"/>
  <c r="BU112" i="6"/>
  <c r="BU532" i="6"/>
  <c r="BV532" i="6" s="1"/>
  <c r="CA838" i="6"/>
  <c r="CC838" i="6" s="1"/>
  <c r="BU964" i="6"/>
  <c r="BW964" i="6" s="1"/>
  <c r="BU512" i="6"/>
  <c r="BH978" i="6"/>
  <c r="K131" i="4" a="1"/>
  <c r="K131" i="4" s="1"/>
  <c r="BO311" i="6"/>
  <c r="BP416" i="6"/>
  <c r="BI802" i="6"/>
  <c r="BP282" i="6"/>
  <c r="BP973" i="6"/>
  <c r="BG745" i="6"/>
  <c r="AT683" i="6"/>
  <c r="BH401" i="6"/>
  <c r="BP588" i="6"/>
  <c r="BN511" i="6"/>
  <c r="BP9" i="6"/>
  <c r="BO9" i="6"/>
  <c r="BG957" i="6"/>
  <c r="BG390" i="6"/>
  <c r="BG510" i="6"/>
  <c r="BH510" i="6" s="1"/>
  <c r="BG329" i="6"/>
  <c r="BN782" i="6"/>
  <c r="BO782" i="6" s="1"/>
  <c r="BN96" i="6"/>
  <c r="BP96" i="6" s="1"/>
  <c r="AT977" i="6"/>
  <c r="BG566" i="6"/>
  <c r="BI566" i="6" s="1"/>
  <c r="BP953" i="6"/>
  <c r="BH854" i="6"/>
  <c r="BG456" i="6"/>
  <c r="BI34" i="6"/>
  <c r="AT263" i="6"/>
  <c r="BN779" i="6"/>
  <c r="BO779" i="6" s="1"/>
  <c r="BI251" i="6"/>
  <c r="BO1023" i="6"/>
  <c r="BO906" i="6"/>
  <c r="BN325" i="6"/>
  <c r="AT419" i="6"/>
  <c r="BN211" i="6"/>
  <c r="BP211" i="6" s="1"/>
  <c r="BP695" i="6"/>
  <c r="BN343" i="6"/>
  <c r="BN229" i="6"/>
  <c r="BH44" i="6"/>
  <c r="BG558" i="6"/>
  <c r="BG359" i="6"/>
  <c r="BG389" i="6"/>
  <c r="BI389" i="6" s="1"/>
  <c r="BN197" i="6"/>
  <c r="BG872" i="6"/>
  <c r="BG32" i="6"/>
  <c r="BI32" i="6" s="1"/>
  <c r="BN510" i="6"/>
  <c r="BG796" i="6"/>
  <c r="BH796" i="6" s="1"/>
  <c r="BG244" i="6"/>
  <c r="BH244" i="6" s="1"/>
  <c r="BG61" i="6"/>
  <c r="BN374" i="6"/>
  <c r="BP374" i="6" s="1"/>
  <c r="BG921" i="6"/>
  <c r="AS991" i="6"/>
  <c r="AT991" i="6" s="1"/>
  <c r="BN366" i="6"/>
  <c r="BO366" i="6" s="1"/>
  <c r="BH585" i="6"/>
  <c r="BG965" i="6"/>
  <c r="BP697" i="6"/>
  <c r="BG786" i="6"/>
  <c r="BI786" i="6" s="1"/>
  <c r="BP29" i="6"/>
  <c r="AT145" i="6"/>
  <c r="BP715" i="6"/>
  <c r="BG639" i="6"/>
  <c r="BN101" i="6"/>
  <c r="BP101" i="6" s="1"/>
  <c r="BG950" i="6"/>
  <c r="BO78" i="6"/>
  <c r="BN413" i="6"/>
  <c r="BN544" i="6"/>
  <c r="BG560" i="6"/>
  <c r="BI966" i="6"/>
  <c r="BG983" i="6"/>
  <c r="BH983" i="6" s="1"/>
  <c r="BN962" i="6"/>
  <c r="BP962" i="6" s="1"/>
  <c r="BN319" i="6"/>
  <c r="BN705" i="6"/>
  <c r="BO705" i="6" s="1"/>
  <c r="BI373" i="6"/>
  <c r="BH373" i="6"/>
  <c r="BP705" i="6"/>
  <c r="BI358" i="6"/>
  <c r="AT968" i="6"/>
  <c r="BG6" i="6"/>
  <c r="BI649" i="6"/>
  <c r="BH790" i="6"/>
  <c r="BI600" i="6"/>
  <c r="BN74" i="6"/>
  <c r="BP678" i="6"/>
  <c r="BP434" i="6"/>
  <c r="BN735" i="6"/>
  <c r="BN732" i="6"/>
  <c r="BP732" i="6" s="1"/>
  <c r="BG652" i="6"/>
  <c r="BN469" i="6"/>
  <c r="AT909" i="6"/>
  <c r="BN535" i="6"/>
  <c r="BO535" i="6" s="1"/>
  <c r="BV927" i="6"/>
  <c r="CA375" i="6"/>
  <c r="BN320" i="6"/>
  <c r="BP320" i="6" s="1"/>
  <c r="AT226" i="6"/>
  <c r="BN870" i="6"/>
  <c r="BO870" i="6" s="1"/>
  <c r="BP727" i="6"/>
  <c r="BN100" i="6"/>
  <c r="BI892" i="6"/>
  <c r="BI173" i="6"/>
  <c r="BP421" i="6"/>
  <c r="BG942" i="6"/>
  <c r="BH942" i="6" s="1"/>
  <c r="BN974" i="6"/>
  <c r="BG520" i="6"/>
  <c r="BH520" i="6" s="1"/>
  <c r="BG843" i="6"/>
  <c r="BH843" i="6" s="1"/>
  <c r="BO982" i="6"/>
  <c r="AT732" i="6"/>
  <c r="BN520" i="6"/>
  <c r="BO417" i="6"/>
  <c r="BG253" i="6"/>
  <c r="BI253" i="6" s="1"/>
  <c r="BN977" i="6"/>
  <c r="BG276" i="6"/>
  <c r="BN668" i="6"/>
  <c r="BN58" i="6"/>
  <c r="BN69" i="6"/>
  <c r="BG229" i="6"/>
  <c r="BG722" i="6"/>
  <c r="BN501" i="6"/>
  <c r="BU1009" i="6"/>
  <c r="BV1009" i="6" s="1"/>
  <c r="BN286" i="6"/>
  <c r="BP286" i="6" s="1"/>
  <c r="BH654" i="6"/>
  <c r="BG364" i="6"/>
  <c r="BN323" i="6"/>
  <c r="AT962" i="6"/>
  <c r="BO893" i="6"/>
  <c r="BO1000" i="6"/>
  <c r="BI488" i="6"/>
  <c r="BN118" i="6"/>
  <c r="BP118" i="6" s="1"/>
  <c r="BI54" i="6"/>
  <c r="BG481" i="6"/>
  <c r="BO128" i="6"/>
  <c r="BO729" i="6"/>
  <c r="BI483" i="6"/>
  <c r="BG561" i="6"/>
  <c r="BH561" i="6" s="1"/>
  <c r="BP149" i="6"/>
  <c r="BN618" i="6"/>
  <c r="BP618" i="6" s="1"/>
  <c r="BN699" i="6"/>
  <c r="BG218" i="6"/>
  <c r="BI217" i="6"/>
  <c r="BG256" i="6"/>
  <c r="BI971" i="6"/>
  <c r="BI37" i="6"/>
  <c r="BG222" i="6"/>
  <c r="BH222" i="6" s="1"/>
  <c r="BN313" i="6"/>
  <c r="BG987" i="6"/>
  <c r="BG861" i="6"/>
  <c r="BG119" i="6"/>
  <c r="BN625" i="6"/>
  <c r="BN633" i="6"/>
  <c r="BN131" i="6"/>
  <c r="BN442" i="6"/>
  <c r="BO442" i="6" s="1"/>
  <c r="BA1005" i="6"/>
  <c r="BB1005" i="6" s="1"/>
  <c r="BG1009" i="6"/>
  <c r="BG778" i="6"/>
  <c r="BN638" i="6"/>
  <c r="BG567" i="6"/>
  <c r="BN51" i="6"/>
  <c r="BG153" i="6"/>
  <c r="BN721" i="6"/>
  <c r="BN660" i="6"/>
  <c r="BG663" i="6"/>
  <c r="BH663" i="6" s="1"/>
  <c r="BN1018" i="6"/>
  <c r="BG882" i="6"/>
  <c r="BG928" i="6"/>
  <c r="BN834" i="6"/>
  <c r="BP834" i="6" s="1"/>
  <c r="BN523" i="6"/>
  <c r="AT312" i="6"/>
  <c r="BG312" i="6"/>
  <c r="BH312" i="6" s="1"/>
  <c r="BO96" i="6"/>
  <c r="BO495" i="6"/>
  <c r="BP495" i="6"/>
  <c r="BO812" i="6"/>
  <c r="BP812" i="6"/>
  <c r="AT132" i="6"/>
  <c r="BG132" i="6"/>
  <c r="BG333" i="6"/>
  <c r="BN333" i="6"/>
  <c r="BO333" i="6" s="1"/>
  <c r="BG400" i="6"/>
  <c r="BN400" i="6"/>
  <c r="AT257" i="6"/>
  <c r="BN257" i="6"/>
  <c r="BO257" i="6" s="1"/>
  <c r="BG712" i="6"/>
  <c r="AT712" i="6"/>
  <c r="AT475" i="6"/>
  <c r="BG475" i="6"/>
  <c r="BI475" i="6" s="1"/>
  <c r="BN57" i="6"/>
  <c r="BO57" i="6" s="1"/>
  <c r="AT333" i="6"/>
  <c r="BP600" i="6"/>
  <c r="BN712" i="6"/>
  <c r="BP712" i="6" s="1"/>
  <c r="BP43" i="6"/>
  <c r="BG587" i="6"/>
  <c r="BI587" i="6" s="1"/>
  <c r="BV419" i="6"/>
  <c r="BW419" i="6"/>
  <c r="CB601" i="6"/>
  <c r="CC601" i="6"/>
  <c r="BV29" i="6"/>
  <c r="BW29" i="6"/>
  <c r="CB663" i="6"/>
  <c r="BV324" i="6"/>
  <c r="BO199" i="6"/>
  <c r="AT400" i="6"/>
  <c r="BI35" i="6"/>
  <c r="BN642" i="6"/>
  <c r="BO642" i="6" s="1"/>
  <c r="BO728" i="6"/>
  <c r="BH422" i="6"/>
  <c r="AT320" i="6"/>
  <c r="BP283" i="6"/>
  <c r="BN587" i="6"/>
  <c r="BP587" i="6" s="1"/>
  <c r="BP875" i="6"/>
  <c r="BG640" i="6"/>
  <c r="BN640" i="6"/>
  <c r="BG257" i="6"/>
  <c r="BN200" i="6"/>
  <c r="AT779" i="6"/>
  <c r="BW1015" i="6"/>
  <c r="BV1015" i="6"/>
  <c r="BP230" i="6"/>
  <c r="BO230" i="6"/>
  <c r="BO956" i="6"/>
  <c r="BP956" i="6"/>
  <c r="BO511" i="6"/>
  <c r="BP511" i="6"/>
  <c r="BO882" i="6"/>
  <c r="BP882" i="6"/>
  <c r="BN691" i="6"/>
  <c r="AT691" i="6"/>
  <c r="BG691" i="6"/>
  <c r="BI691" i="6" s="1"/>
  <c r="BP142" i="6"/>
  <c r="BO142" i="6"/>
  <c r="BH387" i="6"/>
  <c r="BH7" i="6"/>
  <c r="BI7" i="6"/>
  <c r="BP592" i="6"/>
  <c r="BO592" i="6"/>
  <c r="AT430" i="6"/>
  <c r="BG430" i="6"/>
  <c r="BI430" i="6" s="1"/>
  <c r="BG688" i="6"/>
  <c r="BN688" i="6"/>
  <c r="BO688" i="6" s="1"/>
  <c r="BI977" i="6"/>
  <c r="BH977" i="6"/>
  <c r="BH158" i="6"/>
  <c r="BI158" i="6"/>
  <c r="BI26" i="6"/>
  <c r="BH26" i="6"/>
  <c r="BG1007" i="6"/>
  <c r="BN1007" i="6"/>
  <c r="AS1007" i="6"/>
  <c r="AT1007" i="6" s="1"/>
  <c r="BI595" i="6"/>
  <c r="BH595" i="6"/>
  <c r="BP939" i="6"/>
  <c r="BO939" i="6"/>
  <c r="CA134" i="6"/>
  <c r="BN995" i="6"/>
  <c r="BP995" i="6" s="1"/>
  <c r="AT538" i="6"/>
  <c r="BO911" i="6"/>
  <c r="BI1008" i="6"/>
  <c r="BP790" i="6"/>
  <c r="BI515" i="6"/>
  <c r="AT653" i="6"/>
  <c r="BI678" i="6"/>
  <c r="BH330" i="6"/>
  <c r="BN423" i="6"/>
  <c r="BG617" i="6"/>
  <c r="BI617" i="6" s="1"/>
  <c r="BN270" i="6"/>
  <c r="BP270" i="6" s="1"/>
  <c r="BH613" i="6"/>
  <c r="BG83" i="6"/>
  <c r="BG403" i="6"/>
  <c r="BI403" i="6" s="1"/>
  <c r="BG791" i="6"/>
  <c r="AT581" i="6"/>
  <c r="AT27" i="6"/>
  <c r="BG58" i="6"/>
  <c r="BH58" i="6" s="1"/>
  <c r="BN1002" i="6"/>
  <c r="BP1002" i="6" s="1"/>
  <c r="BP20" i="6"/>
  <c r="BN471" i="6"/>
  <c r="BP471" i="6" s="1"/>
  <c r="BG890" i="6"/>
  <c r="BH890" i="6" s="1"/>
  <c r="CA998" i="6"/>
  <c r="BP525" i="6"/>
  <c r="BO525" i="6"/>
  <c r="CC199" i="6"/>
  <c r="AT688" i="6"/>
  <c r="BP583" i="6"/>
  <c r="BG1003" i="6"/>
  <c r="BI764" i="6"/>
  <c r="BP478" i="6"/>
  <c r="BW1016" i="6"/>
  <c r="AT67" i="6"/>
  <c r="BO799" i="6"/>
  <c r="BN1003" i="6"/>
  <c r="BO1003" i="6" s="1"/>
  <c r="BG779" i="6"/>
  <c r="BI571" i="6"/>
  <c r="BI155" i="6"/>
  <c r="BI682" i="6"/>
  <c r="CA699" i="6"/>
  <c r="CC699" i="6" s="1"/>
  <c r="CA100" i="6"/>
  <c r="CB100" i="6" s="1"/>
  <c r="BP26" i="6"/>
  <c r="BW519" i="6"/>
  <c r="CB331" i="6"/>
  <c r="CB478" i="6"/>
  <c r="BW534" i="6"/>
  <c r="BW371" i="6"/>
  <c r="CB369" i="6"/>
  <c r="BA163" i="6"/>
  <c r="BB163" i="6" s="1"/>
  <c r="BN738" i="6"/>
  <c r="BG698" i="6"/>
  <c r="BP259" i="6"/>
  <c r="BG118" i="6"/>
  <c r="BI118" i="6" s="1"/>
  <c r="AT921" i="6"/>
  <c r="BH49" i="6"/>
  <c r="BH875" i="6"/>
  <c r="BH551" i="6"/>
  <c r="BH458" i="6"/>
  <c r="BI740" i="6"/>
  <c r="BN653" i="6"/>
  <c r="BP653" i="6" s="1"/>
  <c r="BH480" i="6"/>
  <c r="BI559" i="6"/>
  <c r="BU1014" i="6"/>
  <c r="BV1014" i="6" s="1"/>
  <c r="BN95" i="6"/>
  <c r="BH283" i="6"/>
  <c r="BN1005" i="6"/>
  <c r="BH215" i="6"/>
  <c r="BG423" i="6"/>
  <c r="BH621" i="6"/>
  <c r="CA1014" i="6"/>
  <c r="CA925" i="6"/>
  <c r="CA895" i="6"/>
  <c r="CB895" i="6" s="1"/>
  <c r="CA754" i="6"/>
  <c r="CB754" i="6" s="1"/>
  <c r="CA428" i="6"/>
  <c r="CB428" i="6" s="1"/>
  <c r="CA405" i="6"/>
  <c r="BU554" i="6"/>
  <c r="BW554" i="6" s="1"/>
  <c r="AN995" i="6" a="1"/>
  <c r="AN995" i="6" s="1"/>
  <c r="BH301" i="6"/>
  <c r="BN304" i="6"/>
  <c r="BP304" i="6" s="1"/>
  <c r="BN194" i="6"/>
  <c r="BP194" i="6" s="1"/>
  <c r="BG685" i="6"/>
  <c r="AT772" i="6"/>
  <c r="BN1015" i="6"/>
  <c r="BO1015" i="6" s="1"/>
  <c r="AT14" i="6"/>
  <c r="AT25" i="6"/>
  <c r="BG918" i="6"/>
  <c r="BG245" i="6"/>
  <c r="AT58" i="6"/>
  <c r="BN770" i="6"/>
  <c r="BG193" i="6"/>
  <c r="CA1005" i="6"/>
  <c r="BO971" i="6"/>
  <c r="BI810" i="6"/>
  <c r="BN895" i="6"/>
  <c r="BO895" i="6" s="1"/>
  <c r="BP264" i="6"/>
  <c r="AT703" i="6"/>
  <c r="BO363" i="6"/>
  <c r="BG412" i="6"/>
  <c r="BI412" i="6" s="1"/>
  <c r="BN616" i="6"/>
  <c r="AT616" i="6"/>
  <c r="AT389" i="6"/>
  <c r="BN389" i="6"/>
  <c r="BO389" i="6" s="1"/>
  <c r="AT13" i="6"/>
  <c r="BG13" i="6"/>
  <c r="BH13" i="6" s="1"/>
  <c r="AT692" i="6"/>
  <c r="BG692" i="6"/>
  <c r="BG625" i="6"/>
  <c r="AT625" i="6"/>
  <c r="BG476" i="6"/>
  <c r="AT476" i="6"/>
  <c r="BH252" i="6"/>
  <c r="BI252" i="6"/>
  <c r="BN972" i="6"/>
  <c r="AT972" i="6"/>
  <c r="BP40" i="6"/>
  <c r="BO40" i="6"/>
  <c r="BO176" i="6"/>
  <c r="BP176" i="6"/>
  <c r="BP597" i="6"/>
  <c r="BO597" i="6"/>
  <c r="BH588" i="6"/>
  <c r="BI588" i="6"/>
  <c r="BG494" i="6"/>
  <c r="AT494" i="6"/>
  <c r="BG8" i="6"/>
  <c r="BN8" i="6"/>
  <c r="BP8" i="6" s="1"/>
  <c r="BO704" i="6"/>
  <c r="BP704" i="6"/>
  <c r="BP289" i="6"/>
  <c r="BO289" i="6"/>
  <c r="BN62" i="6"/>
  <c r="AT62" i="6"/>
  <c r="AT365" i="6"/>
  <c r="BG365" i="6"/>
  <c r="BO499" i="6"/>
  <c r="BP499" i="6"/>
  <c r="BG478" i="6"/>
  <c r="AT478" i="6"/>
  <c r="BN626" i="6"/>
  <c r="BG626" i="6"/>
  <c r="BG623" i="6"/>
  <c r="BI623" i="6" s="1"/>
  <c r="BN623" i="6"/>
  <c r="AT115" i="6"/>
  <c r="BG115" i="6"/>
  <c r="AT920" i="6"/>
  <c r="BN920" i="6"/>
  <c r="BN54" i="6"/>
  <c r="AT54" i="6"/>
  <c r="BG686" i="6"/>
  <c r="AT794" i="6"/>
  <c r="BN794" i="6"/>
  <c r="BP794" i="6" s="1"/>
  <c r="BN171" i="6"/>
  <c r="BA1013" i="6"/>
  <c r="CA1013" i="6"/>
  <c r="CB1013" i="6" s="1"/>
  <c r="AT766" i="6"/>
  <c r="BN766" i="6"/>
  <c r="AT448" i="6"/>
  <c r="BN448" i="6"/>
  <c r="AT680" i="6"/>
  <c r="BG680" i="6"/>
  <c r="BI680" i="6" s="1"/>
  <c r="AT49" i="6"/>
  <c r="BN49" i="6"/>
  <c r="AT917" i="6"/>
  <c r="BN917" i="6"/>
  <c r="BP917" i="6" s="1"/>
  <c r="AT598" i="6"/>
  <c r="BG598" i="6"/>
  <c r="CB464" i="6"/>
  <c r="BW680" i="6"/>
  <c r="BG538" i="6"/>
  <c r="BI140" i="6"/>
  <c r="BP894" i="6"/>
  <c r="BG594" i="6"/>
  <c r="BP774" i="6"/>
  <c r="CA75" i="6"/>
  <c r="CC75" i="6" s="1"/>
  <c r="BG995" i="6"/>
  <c r="AT119" i="6"/>
  <c r="AT428" i="6"/>
  <c r="BI934" i="6"/>
  <c r="BH982" i="6"/>
  <c r="BG874" i="6"/>
  <c r="BI874" i="6" s="1"/>
  <c r="BN908" i="6"/>
  <c r="BG728" i="6"/>
  <c r="BI728" i="6" s="1"/>
  <c r="BG822" i="6"/>
  <c r="BH822" i="6" s="1"/>
  <c r="AT927" i="6"/>
  <c r="BP154" i="6"/>
  <c r="BI322" i="6"/>
  <c r="BH254" i="6"/>
  <c r="BP407" i="6"/>
  <c r="AT858" i="6"/>
  <c r="BG150" i="6"/>
  <c r="BI224" i="6"/>
  <c r="BN595" i="6"/>
  <c r="BG87" i="6"/>
  <c r="BN822" i="6"/>
  <c r="BP822" i="6" s="1"/>
  <c r="BG883" i="6"/>
  <c r="BG248" i="6"/>
  <c r="BG124" i="6"/>
  <c r="CA1016" i="6"/>
  <c r="CB1016" i="6" s="1"/>
  <c r="BN658" i="6"/>
  <c r="BN805" i="6"/>
  <c r="BO805" i="6" s="1"/>
  <c r="BG43" i="6"/>
  <c r="BI43" i="6" s="1"/>
  <c r="BG157" i="6"/>
  <c r="BG435" i="6"/>
  <c r="BG774" i="6"/>
  <c r="BI774" i="6" s="1"/>
  <c r="BN902" i="6"/>
  <c r="BN643" i="6"/>
  <c r="BN210" i="6"/>
  <c r="BF234" i="6"/>
  <c r="BM234" i="6"/>
  <c r="BN234" i="6" s="1"/>
  <c r="J7" i="4" a="1"/>
  <c r="J7" i="4" s="1"/>
  <c r="K7" i="4" a="1"/>
  <c r="K7" i="4" s="1"/>
  <c r="CB572" i="6"/>
  <c r="CB212" i="6"/>
  <c r="CB458" i="6"/>
  <c r="BP823" i="6"/>
  <c r="BV522" i="6"/>
  <c r="CB230" i="6"/>
  <c r="BV99" i="6"/>
  <c r="CB728" i="6"/>
  <c r="BW741" i="6"/>
  <c r="CC103" i="6"/>
  <c r="BW876" i="6"/>
  <c r="BV840" i="6"/>
  <c r="BH326" i="6"/>
  <c r="BU758" i="6"/>
  <c r="BW758" i="6" s="1"/>
  <c r="BG392" i="6"/>
  <c r="BP966" i="6"/>
  <c r="CA30" i="6"/>
  <c r="CC30" i="6" s="1"/>
  <c r="CC74" i="6"/>
  <c r="BN759" i="6"/>
  <c r="BG1004" i="6"/>
  <c r="BI1004" i="6" s="1"/>
  <c r="BO811" i="6"/>
  <c r="BN392" i="6"/>
  <c r="CB407" i="6"/>
  <c r="BW530" i="6"/>
  <c r="BW185" i="6"/>
  <c r="BW711" i="6"/>
  <c r="BV694" i="6"/>
  <c r="BH964" i="6"/>
  <c r="BA442" i="6"/>
  <c r="BB442" i="6" s="1"/>
  <c r="BU115" i="6"/>
  <c r="BW115" i="6" s="1"/>
  <c r="CA101" i="6"/>
  <c r="CB101" i="6" s="1"/>
  <c r="BI542" i="6"/>
  <c r="BO81" i="6"/>
  <c r="BN844" i="6"/>
  <c r="BP844" i="6" s="1"/>
  <c r="BG976" i="6"/>
  <c r="BH976" i="6" s="1"/>
  <c r="BG556" i="6"/>
  <c r="BN103" i="6"/>
  <c r="BG100" i="6"/>
  <c r="BG386" i="6"/>
  <c r="BG473" i="6"/>
  <c r="BN789" i="6"/>
  <c r="AN321" i="6" a="1"/>
  <c r="AN321" i="6" s="1"/>
  <c r="AP321" i="6"/>
  <c r="BN321" i="6" s="1"/>
  <c r="AP997" i="6"/>
  <c r="BG997" i="6" s="1"/>
  <c r="BI997" i="6" s="1"/>
  <c r="AN997" i="6" a="1"/>
  <c r="AN997" i="6" s="1"/>
  <c r="J188" i="4" a="1"/>
  <c r="J188" i="4" s="1"/>
  <c r="K188" i="4" a="1"/>
  <c r="K188" i="4" s="1"/>
  <c r="AN910" i="6" a="1"/>
  <c r="AN910" i="6" s="1"/>
  <c r="AP910" i="6"/>
  <c r="CB406" i="6"/>
  <c r="CB370" i="6"/>
  <c r="CC163" i="6"/>
  <c r="CB376" i="6"/>
  <c r="BV83" i="6"/>
  <c r="CB715" i="6"/>
  <c r="BV184" i="6"/>
  <c r="CC314" i="6"/>
  <c r="CC437" i="6"/>
  <c r="BW914" i="6"/>
  <c r="BA862" i="6"/>
  <c r="BB862" i="6" s="1"/>
  <c r="BU247" i="6"/>
  <c r="BW247" i="6" s="1"/>
  <c r="BU935" i="6"/>
  <c r="BW935" i="6" s="1"/>
  <c r="BH563" i="6"/>
  <c r="BG319" i="6"/>
  <c r="BI319" i="6" s="1"/>
  <c r="AT738" i="6"/>
  <c r="BO867" i="6"/>
  <c r="BN364" i="6"/>
  <c r="BU1018" i="6"/>
  <c r="BO710" i="6"/>
  <c r="BH253" i="6"/>
  <c r="BO942" i="6"/>
  <c r="BN380" i="6"/>
  <c r="BP903" i="6"/>
  <c r="BN66" i="6"/>
  <c r="BO66" i="6" s="1"/>
  <c r="BN517" i="6"/>
  <c r="BP517" i="6" s="1"/>
  <c r="BN988" i="6"/>
  <c r="BO988" i="6" s="1"/>
  <c r="BG174" i="6"/>
  <c r="BG952" i="6"/>
  <c r="BI952" i="6" s="1"/>
  <c r="BN163" i="6"/>
  <c r="BN948" i="6"/>
  <c r="BG190" i="6"/>
  <c r="BN804" i="6"/>
  <c r="BG355" i="6"/>
  <c r="BG371" i="6"/>
  <c r="BG923" i="6"/>
  <c r="BN120" i="6"/>
  <c r="BA964" i="6"/>
  <c r="BP563" i="6"/>
  <c r="BH867" i="6"/>
  <c r="AT573" i="6"/>
  <c r="BG573" i="6"/>
  <c r="BG66" i="6"/>
  <c r="BP553" i="6"/>
  <c r="BO553" i="6"/>
  <c r="BH792" i="6"/>
  <c r="BI792" i="6"/>
  <c r="BP524" i="6"/>
  <c r="BO524" i="6"/>
  <c r="AT42" i="6"/>
  <c r="BG42" i="6"/>
  <c r="BV281" i="6"/>
  <c r="BV554" i="6"/>
  <c r="BN670" i="6"/>
  <c r="BP670" i="6" s="1"/>
  <c r="BI911" i="6"/>
  <c r="BN976" i="6"/>
  <c r="BP976" i="6" s="1"/>
  <c r="BN983" i="6"/>
  <c r="BO983" i="6" s="1"/>
  <c r="BO444" i="6"/>
  <c r="CB197" i="6"/>
  <c r="BO286" i="6"/>
  <c r="BH362" i="6"/>
  <c r="BI759" i="6"/>
  <c r="BP214" i="6"/>
  <c r="AT670" i="6"/>
  <c r="BO555" i="6"/>
  <c r="BI561" i="6"/>
  <c r="BO358" i="6"/>
  <c r="BG138" i="6"/>
  <c r="BI138" i="6" s="1"/>
  <c r="BP654" i="6"/>
  <c r="BP138" i="6"/>
  <c r="CA1018" i="6"/>
  <c r="CC1018" i="6" s="1"/>
  <c r="BP17" i="6"/>
  <c r="CA1009" i="6"/>
  <c r="BI13" i="6"/>
  <c r="AT117" i="6"/>
  <c r="BO794" i="6"/>
  <c r="BO1002" i="6"/>
  <c r="BH523" i="6"/>
  <c r="BH602" i="6"/>
  <c r="BH310" i="6"/>
  <c r="BG286" i="6"/>
  <c r="BP707" i="6"/>
  <c r="BO999" i="6"/>
  <c r="K126" i="4" a="1"/>
  <c r="K126" i="4" s="1"/>
  <c r="BH191" i="6"/>
  <c r="K207" i="4" a="1"/>
  <c r="K207" i="4" s="1"/>
  <c r="BG610" i="6"/>
  <c r="BO275" i="6"/>
  <c r="BP389" i="6"/>
  <c r="BG304" i="6"/>
  <c r="BO287" i="6"/>
  <c r="BP746" i="6"/>
  <c r="BO464" i="6"/>
  <c r="BP464" i="6"/>
  <c r="BH762" i="6"/>
  <c r="BG1012" i="6"/>
  <c r="BH1012" i="6" s="1"/>
  <c r="AS1012" i="6"/>
  <c r="BH874" i="6"/>
  <c r="BH477" i="6"/>
  <c r="BI477" i="6"/>
  <c r="BO835" i="6"/>
  <c r="BP835" i="6"/>
  <c r="BG209" i="6"/>
  <c r="AT209" i="6"/>
  <c r="BP721" i="6"/>
  <c r="BO721" i="6"/>
  <c r="BI213" i="6"/>
  <c r="BH213" i="6"/>
  <c r="CB998" i="6"/>
  <c r="CC998" i="6"/>
  <c r="BO865" i="6"/>
  <c r="BO371" i="6"/>
  <c r="BP371" i="6"/>
  <c r="J128" i="4" a="1"/>
  <c r="J128" i="4" s="1"/>
  <c r="K128" i="4" a="1"/>
  <c r="K128" i="4" s="1"/>
  <c r="J206" i="4" a="1"/>
  <c r="J206" i="4" s="1"/>
  <c r="K206" i="4" a="1"/>
  <c r="K206" i="4" s="1"/>
  <c r="BN938" i="6"/>
  <c r="BG938" i="6"/>
  <c r="BH938" i="6" s="1"/>
  <c r="AT189" i="6"/>
  <c r="BN189" i="6"/>
  <c r="AT290" i="6"/>
  <c r="BN290" i="6"/>
  <c r="AT36" i="6"/>
  <c r="BG36" i="6"/>
  <c r="BI36" i="6" s="1"/>
  <c r="AT711" i="6"/>
  <c r="BN711" i="6"/>
  <c r="CA993" i="6"/>
  <c r="BA993" i="6"/>
  <c r="BB993" i="6" s="1"/>
  <c r="BN933" i="6"/>
  <c r="AT933" i="6"/>
  <c r="AT360" i="6"/>
  <c r="BN360" i="6"/>
  <c r="BO1024" i="6"/>
  <c r="BP1024" i="6"/>
  <c r="BN656" i="6"/>
  <c r="BO656" i="6" s="1"/>
  <c r="BG53" i="6"/>
  <c r="BN53" i="6"/>
  <c r="BO53" i="6" s="1"/>
  <c r="BG112" i="6"/>
  <c r="BI342" i="6"/>
  <c r="BH342" i="6"/>
  <c r="BG471" i="6"/>
  <c r="BN778" i="6"/>
  <c r="AT778" i="6"/>
  <c r="AT708" i="6"/>
  <c r="BG708" i="6"/>
  <c r="BG664" i="6"/>
  <c r="BG495" i="6"/>
  <c r="BH733" i="6"/>
  <c r="BI733" i="6"/>
  <c r="AS1010" i="6"/>
  <c r="AT1010" i="6" s="1"/>
  <c r="BG1010" i="6"/>
  <c r="BH1010" i="6" s="1"/>
  <c r="CA677" i="6"/>
  <c r="CC677" i="6" s="1"/>
  <c r="BU213" i="6"/>
  <c r="BW213" i="6" s="1"/>
  <c r="CA387" i="6"/>
  <c r="BU784" i="6"/>
  <c r="CA489" i="6"/>
  <c r="CB489" i="6" s="1"/>
  <c r="BU981" i="6"/>
  <c r="BW981" i="6" s="1"/>
  <c r="BU648" i="6"/>
  <c r="BV648" i="6" s="1"/>
  <c r="CA42" i="6"/>
  <c r="CB42" i="6" s="1"/>
  <c r="CA850" i="6"/>
  <c r="BU696" i="6"/>
  <c r="BU552" i="6"/>
  <c r="BW552" i="6" s="1"/>
  <c r="BU28" i="6"/>
  <c r="BW28" i="6" s="1"/>
  <c r="BO307" i="6"/>
  <c r="BO122" i="6"/>
  <c r="BN408" i="6"/>
  <c r="BG50" i="6"/>
  <c r="BO802" i="6"/>
  <c r="AT56" i="6"/>
  <c r="BN212" i="6"/>
  <c r="BN226" i="6"/>
  <c r="BG344" i="6"/>
  <c r="BH723" i="6"/>
  <c r="BI973" i="6"/>
  <c r="BN428" i="6"/>
  <c r="BP428" i="6" s="1"/>
  <c r="BN791" i="6"/>
  <c r="AT984" i="6"/>
  <c r="AT970" i="6"/>
  <c r="BN901" i="6"/>
  <c r="AT8" i="6"/>
  <c r="AT112" i="6"/>
  <c r="BN314" i="6"/>
  <c r="BH357" i="6"/>
  <c r="BN245" i="6"/>
  <c r="AT878" i="6"/>
  <c r="BN734" i="6"/>
  <c r="BH289" i="6"/>
  <c r="AT65" i="6"/>
  <c r="AT672" i="6"/>
  <c r="BG930" i="6"/>
  <c r="BI930" i="6" s="1"/>
  <c r="BN119" i="6"/>
  <c r="BP119" i="6" s="1"/>
  <c r="AT869" i="6"/>
  <c r="AT849" i="6"/>
  <c r="BP141" i="6"/>
  <c r="BN256" i="6"/>
  <c r="BO935" i="6"/>
  <c r="BG850" i="6"/>
  <c r="BI850" i="6" s="1"/>
  <c r="BI105" i="6"/>
  <c r="BH348" i="6"/>
  <c r="BI243" i="6"/>
  <c r="BO195" i="6"/>
  <c r="BG926" i="6"/>
  <c r="AT80" i="6"/>
  <c r="BO562" i="6"/>
  <c r="AT371" i="6"/>
  <c r="BH235" i="6"/>
  <c r="BI235" i="6"/>
  <c r="BN315" i="6"/>
  <c r="AT315" i="6"/>
  <c r="BG528" i="6"/>
  <c r="AT737" i="6"/>
  <c r="BG737" i="6"/>
  <c r="AT603" i="6"/>
  <c r="BN603" i="6"/>
  <c r="BP603" i="6" s="1"/>
  <c r="AT784" i="6"/>
  <c r="BN784" i="6"/>
  <c r="BP784" i="6" s="1"/>
  <c r="BP994" i="6"/>
  <c r="BO994" i="6"/>
  <c r="BG719" i="6"/>
  <c r="BH719" i="6" s="1"/>
  <c r="BN463" i="6"/>
  <c r="BP237" i="6"/>
  <c r="BP853" i="6"/>
  <c r="BG221" i="6"/>
  <c r="BI221" i="6" s="1"/>
  <c r="BH1023" i="6"/>
  <c r="AT191" i="6"/>
  <c r="BG352" i="6"/>
  <c r="BN494" i="6"/>
  <c r="BN996" i="6"/>
  <c r="BG599" i="6"/>
  <c r="BN182" i="6"/>
  <c r="BG584" i="6"/>
  <c r="BG999" i="6"/>
  <c r="BI999" i="6" s="1"/>
  <c r="BG656" i="6"/>
  <c r="BN253" i="6"/>
  <c r="BN944" i="6"/>
  <c r="BO944" i="6" s="1"/>
  <c r="BN542" i="6"/>
  <c r="BG485" i="6"/>
  <c r="BH485" i="6" s="1"/>
  <c r="BN861" i="6"/>
  <c r="BG842" i="6"/>
  <c r="BN167" i="6"/>
  <c r="BN541" i="6"/>
  <c r="BG821" i="6"/>
  <c r="BG768" i="6"/>
  <c r="BN767" i="6"/>
  <c r="BN130" i="6"/>
  <c r="BG773" i="6"/>
  <c r="BG703" i="6"/>
  <c r="BN111" i="6"/>
  <c r="BG449" i="6"/>
  <c r="BN334" i="6"/>
  <c r="BG799" i="6"/>
  <c r="BG815" i="6"/>
  <c r="BN598" i="6"/>
  <c r="BN324" i="6"/>
  <c r="BN926" i="6"/>
  <c r="BN367" i="6"/>
  <c r="BG202" i="6"/>
  <c r="BG382" i="6"/>
  <c r="BN298" i="6"/>
  <c r="BG470" i="6"/>
  <c r="BH470" i="6" s="1"/>
  <c r="BG453" i="6"/>
  <c r="BN388" i="6"/>
  <c r="BN931" i="6"/>
  <c r="BG917" i="6"/>
  <c r="BN93" i="6"/>
  <c r="BN758" i="6"/>
  <c r="BP758" i="6" s="1"/>
  <c r="BG809" i="6"/>
  <c r="BN593" i="6"/>
  <c r="BN368" i="6"/>
  <c r="BG707" i="6"/>
  <c r="BG65" i="6"/>
  <c r="BI65" i="6" s="1"/>
  <c r="BG795" i="6"/>
  <c r="BH795" i="6" s="1"/>
  <c r="BG406" i="6"/>
  <c r="BN330" i="6"/>
  <c r="BG609" i="6"/>
  <c r="BG771" i="6"/>
  <c r="CA994" i="6"/>
  <c r="BG622" i="6"/>
  <c r="BI622" i="6" s="1"/>
  <c r="CC313" i="6"/>
  <c r="BV612" i="6"/>
  <c r="CB792" i="6"/>
  <c r="BW763" i="6"/>
  <c r="BV557" i="6"/>
  <c r="BV61" i="6"/>
  <c r="CB939" i="6"/>
  <c r="CC482" i="6"/>
  <c r="BV753" i="6"/>
  <c r="BW700" i="6"/>
  <c r="BW691" i="6"/>
  <c r="BW193" i="6"/>
  <c r="CB503" i="6"/>
  <c r="BV892" i="6"/>
  <c r="BW679" i="6"/>
  <c r="BI983" i="6"/>
  <c r="BI38" i="6"/>
  <c r="BI222" i="6"/>
  <c r="CA404" i="6"/>
  <c r="CC404" i="6" s="1"/>
  <c r="CA455" i="6"/>
  <c r="CC455" i="6" s="1"/>
  <c r="CA28" i="6"/>
  <c r="CC28" i="6" s="1"/>
  <c r="BU524" i="6"/>
  <c r="BW524" i="6" s="1"/>
  <c r="BU815" i="6"/>
  <c r="CA974" i="6"/>
  <c r="CC974" i="6" s="1"/>
  <c r="BN267" i="6"/>
  <c r="BO267" i="6" s="1"/>
  <c r="BP1012" i="6"/>
  <c r="BN530" i="6"/>
  <c r="CB603" i="6"/>
  <c r="CB412" i="6"/>
  <c r="BV4" i="6"/>
  <c r="CC596" i="6"/>
  <c r="BW723" i="6"/>
  <c r="CA115" i="6"/>
  <c r="CB115" i="6" s="1"/>
  <c r="BA503" i="6"/>
  <c r="BB503" i="6" s="1"/>
  <c r="BO270" i="6"/>
  <c r="BN71" i="6"/>
  <c r="BP71" i="6" s="1"/>
  <c r="BN13" i="6"/>
  <c r="BN863" i="6"/>
  <c r="BN764" i="6"/>
  <c r="BG1002" i="6"/>
  <c r="BG899" i="6"/>
  <c r="BG886" i="6"/>
  <c r="BN480" i="6"/>
  <c r="BG553" i="6"/>
  <c r="BH61" i="6"/>
  <c r="BI61" i="6"/>
  <c r="BV817" i="6"/>
  <c r="BW817" i="6"/>
  <c r="BH772" i="6"/>
  <c r="BI772" i="6"/>
  <c r="BV964" i="6"/>
  <c r="BH504" i="6"/>
  <c r="BU838" i="6"/>
  <c r="BW838" i="6" s="1"/>
  <c r="BO912" i="6"/>
  <c r="BH555" i="6"/>
  <c r="BI349" i="6"/>
  <c r="BN458" i="6"/>
  <c r="AT458" i="6"/>
  <c r="AT474" i="6"/>
  <c r="BG474" i="6"/>
  <c r="AT489" i="6"/>
  <c r="BG489" i="6"/>
  <c r="BG951" i="6"/>
  <c r="BN951" i="6"/>
  <c r="BG628" i="6"/>
  <c r="BH628" i="6" s="1"/>
  <c r="AT628" i="6"/>
  <c r="AT335" i="6"/>
  <c r="BN335" i="6"/>
  <c r="BP831" i="6"/>
  <c r="BO831" i="6"/>
  <c r="BG992" i="6"/>
  <c r="AT721" i="6"/>
  <c r="BG721" i="6"/>
  <c r="AT839" i="6"/>
  <c r="BG839" i="6"/>
  <c r="BH839" i="6" s="1"/>
  <c r="BA1000" i="6"/>
  <c r="BB1000" i="6" s="1"/>
  <c r="CA1000" i="6"/>
  <c r="CC1000" i="6" s="1"/>
  <c r="BG265" i="6"/>
  <c r="AT265" i="6"/>
  <c r="AT814" i="6"/>
  <c r="BN814" i="6"/>
  <c r="BN532" i="6"/>
  <c r="BG532" i="6"/>
  <c r="BN474" i="6"/>
  <c r="BG767" i="6"/>
  <c r="BN883" i="6"/>
  <c r="BG51" i="6"/>
  <c r="BN25" i="6"/>
  <c r="BN817" i="6"/>
  <c r="BG14" i="6"/>
  <c r="BV391" i="6"/>
  <c r="CC960" i="6"/>
  <c r="BV474" i="6"/>
  <c r="CC895" i="6"/>
  <c r="BV813" i="6"/>
  <c r="BG267" i="6"/>
  <c r="BI196" i="6"/>
  <c r="CC418" i="6"/>
  <c r="CC526" i="6"/>
  <c r="BW820" i="6"/>
  <c r="CC500" i="6"/>
  <c r="CB130" i="6"/>
  <c r="CB511" i="6"/>
  <c r="BW532" i="6"/>
  <c r="BW527" i="6"/>
  <c r="CC801" i="6"/>
  <c r="CB77" i="6"/>
  <c r="BW544" i="6"/>
  <c r="CB216" i="6"/>
  <c r="BW656" i="6"/>
  <c r="CC946" i="6"/>
  <c r="BW11" i="6"/>
  <c r="BW360" i="6"/>
  <c r="BH118" i="6"/>
  <c r="CA16" i="6"/>
  <c r="CC16" i="6" s="1"/>
  <c r="BA28" i="6"/>
  <c r="BB28" i="6" s="1"/>
  <c r="BA700" i="6"/>
  <c r="BA756" i="6"/>
  <c r="BB756" i="6" s="1"/>
  <c r="BU101" i="6"/>
  <c r="BW101" i="6" s="1"/>
  <c r="BV993" i="6"/>
  <c r="BH360" i="6"/>
  <c r="BH214" i="6"/>
  <c r="BI433" i="6"/>
  <c r="BG96" i="6"/>
  <c r="BP349" i="6"/>
  <c r="BO374" i="6"/>
  <c r="BO194" i="6"/>
  <c r="BH271" i="6"/>
  <c r="BP116" i="6"/>
  <c r="BH109" i="6"/>
  <c r="BG380" i="6"/>
  <c r="BI380" i="6" s="1"/>
  <c r="AT6" i="6"/>
  <c r="BI520" i="6"/>
  <c r="BP1015" i="6"/>
  <c r="BP422" i="6"/>
  <c r="BG700" i="6"/>
  <c r="BH700" i="6" s="1"/>
  <c r="BN529" i="6"/>
  <c r="BP529" i="6" s="1"/>
  <c r="AT95" i="6"/>
  <c r="BG1005" i="6"/>
  <c r="BI1005" i="6" s="1"/>
  <c r="BI413" i="6"/>
  <c r="BH43" i="6"/>
  <c r="BI591" i="6"/>
  <c r="BH856" i="6"/>
  <c r="BG74" i="6"/>
  <c r="BH74" i="6" s="1"/>
  <c r="BG529" i="6"/>
  <c r="BH529" i="6" s="1"/>
  <c r="BO878" i="6"/>
  <c r="BN430" i="6"/>
  <c r="BN312" i="6"/>
  <c r="BP312" i="6" s="1"/>
  <c r="BP782" i="6"/>
  <c r="BN132" i="6"/>
  <c r="BO132" i="6" s="1"/>
  <c r="BN698" i="6"/>
  <c r="CA995" i="6"/>
  <c r="CC995" i="6" s="1"/>
  <c r="BI663" i="6"/>
  <c r="BP757" i="6"/>
  <c r="BG57" i="6"/>
  <c r="BO435" i="6"/>
  <c r="BG200" i="6"/>
  <c r="BN573" i="6"/>
  <c r="BO41" i="6"/>
  <c r="BP378" i="6"/>
  <c r="BH680" i="6"/>
  <c r="BP248" i="6"/>
  <c r="BU472" i="6"/>
  <c r="BU787" i="6"/>
  <c r="BV787" i="6" s="1"/>
  <c r="CA70" i="6"/>
  <c r="CB70" i="6" s="1"/>
  <c r="CA644" i="6"/>
  <c r="CC644" i="6" s="1"/>
  <c r="BU457" i="6"/>
  <c r="BW457" i="6" s="1"/>
  <c r="CA33" i="6"/>
  <c r="CC33" i="6" s="1"/>
  <c r="BG498" i="6"/>
  <c r="BH498" i="6" s="1"/>
  <c r="BP792" i="6"/>
  <c r="K123" i="4" a="1"/>
  <c r="K123" i="4" s="1"/>
  <c r="BP99" i="6"/>
  <c r="BO679" i="6"/>
  <c r="BO410" i="6"/>
  <c r="BN498" i="6"/>
  <c r="BN246" i="6"/>
  <c r="BP246" i="6" s="1"/>
  <c r="BI822" i="6"/>
  <c r="BN297" i="6"/>
  <c r="BP950" i="6"/>
  <c r="BH786" i="6"/>
  <c r="BO917" i="6"/>
  <c r="BG385" i="6"/>
  <c r="BO717" i="6"/>
  <c r="BO979" i="6"/>
  <c r="AT133" i="6"/>
  <c r="BN760" i="6"/>
  <c r="AT167" i="6"/>
  <c r="BN489" i="6"/>
  <c r="BG901" i="6"/>
  <c r="BG948" i="6"/>
  <c r="BN405" i="6"/>
  <c r="BH592" i="6"/>
  <c r="BI592" i="6"/>
  <c r="BI954" i="6"/>
  <c r="BH954" i="6"/>
  <c r="BO255" i="6"/>
  <c r="BP255" i="6"/>
  <c r="AT59" i="6"/>
  <c r="BG59" i="6"/>
  <c r="BN59" i="6"/>
  <c r="BH409" i="6"/>
  <c r="BI409" i="6"/>
  <c r="BO518" i="6"/>
  <c r="BP518" i="6"/>
  <c r="BN1020" i="6"/>
  <c r="BP1020" i="6" s="1"/>
  <c r="AS1020" i="6"/>
  <c r="AT1020" i="6" s="1"/>
  <c r="AT682" i="6"/>
  <c r="BN682" i="6"/>
  <c r="BP682" i="6" s="1"/>
  <c r="BG197" i="6"/>
  <c r="AT197" i="6"/>
  <c r="BI331" i="6"/>
  <c r="BH331" i="6"/>
  <c r="AT174" i="6"/>
  <c r="BN174" i="6"/>
  <c r="BG633" i="6"/>
  <c r="AT633" i="6"/>
  <c r="BN32" i="6"/>
  <c r="AT32" i="6"/>
  <c r="BH345" i="6"/>
  <c r="BI345" i="6"/>
  <c r="BO295" i="6"/>
  <c r="BP295" i="6"/>
  <c r="BN369" i="6"/>
  <c r="BN843" i="6"/>
  <c r="BG941" i="6"/>
  <c r="BN193" i="6"/>
  <c r="BG71" i="6"/>
  <c r="BG102" i="6"/>
  <c r="BN952" i="6"/>
  <c r="BG24" i="6"/>
  <c r="BN90" i="6"/>
  <c r="AT411" i="6"/>
  <c r="BG411" i="6"/>
  <c r="BO925" i="6"/>
  <c r="BP925" i="6"/>
  <c r="BP399" i="6"/>
  <c r="BO399" i="6"/>
  <c r="BG194" i="6"/>
  <c r="BG580" i="6"/>
  <c r="BN824" i="6"/>
  <c r="BN296" i="6"/>
  <c r="BG212" i="6"/>
  <c r="AT499" i="6"/>
  <c r="BN1014" i="6"/>
  <c r="AT799" i="6"/>
  <c r="BO436" i="6"/>
  <c r="AT815" i="6"/>
  <c r="AT366" i="6"/>
  <c r="BP281" i="6"/>
  <c r="BN453" i="6"/>
  <c r="BI507" i="6"/>
  <c r="BN24" i="6"/>
  <c r="BG996" i="6"/>
  <c r="AT572" i="6"/>
  <c r="BG827" i="6"/>
  <c r="BN411" i="6"/>
  <c r="BO915" i="6"/>
  <c r="BN856" i="6"/>
  <c r="BP986" i="6"/>
  <c r="AT913" i="6"/>
  <c r="BI666" i="6"/>
  <c r="BN708" i="6"/>
  <c r="BI347" i="6"/>
  <c r="BO575" i="6"/>
  <c r="BN965" i="6"/>
  <c r="BO606" i="6"/>
  <c r="BH624" i="6"/>
  <c r="BG829" i="6"/>
  <c r="BI829" i="6" s="1"/>
  <c r="BG766" i="6"/>
  <c r="BN937" i="6"/>
  <c r="BG410" i="6"/>
  <c r="BG305" i="6"/>
  <c r="BP293" i="6"/>
  <c r="BO293" i="6"/>
  <c r="AT108" i="6"/>
  <c r="BN108" i="6"/>
  <c r="BO108" i="6" s="1"/>
  <c r="AT651" i="6"/>
  <c r="BG651" i="6"/>
  <c r="BP531" i="6"/>
  <c r="BO531" i="6"/>
  <c r="AT805" i="6"/>
  <c r="BG805" i="6"/>
  <c r="BG62" i="6"/>
  <c r="AT73" i="6"/>
  <c r="BG73" i="6"/>
  <c r="AT780" i="6"/>
  <c r="BG780" i="6"/>
  <c r="AT788" i="6"/>
  <c r="BG788" i="6"/>
  <c r="BG643" i="6"/>
  <c r="BN646" i="6"/>
  <c r="BO646" i="6" s="1"/>
  <c r="BG749" i="6"/>
  <c r="BG384" i="6"/>
  <c r="BN730" i="6"/>
  <c r="BG145" i="6"/>
  <c r="BN960" i="6"/>
  <c r="BA1001" i="6"/>
  <c r="BB1001" i="6" s="1"/>
  <c r="BN749" i="6"/>
  <c r="AT923" i="6"/>
  <c r="BN596" i="6"/>
  <c r="BI1013" i="6"/>
  <c r="BP402" i="6"/>
  <c r="BH755" i="6"/>
  <c r="BN858" i="6"/>
  <c r="BG101" i="6"/>
  <c r="BG414" i="6"/>
  <c r="BH414" i="6" s="1"/>
  <c r="BG546" i="6"/>
  <c r="BN346" i="6"/>
  <c r="BN359" i="6"/>
  <c r="BN278" i="6"/>
  <c r="BN725" i="6"/>
  <c r="BN439" i="6"/>
  <c r="BN768" i="6"/>
  <c r="BN292" i="6"/>
  <c r="BO292" i="6" s="1"/>
  <c r="BN830" i="6"/>
  <c r="BP830" i="6" s="1"/>
  <c r="BG660" i="6"/>
  <c r="BG862" i="6"/>
  <c r="BG353" i="6"/>
  <c r="BG92" i="6"/>
  <c r="BG111" i="6"/>
  <c r="BG851" i="6"/>
  <c r="BN431" i="6"/>
  <c r="BG162" i="6"/>
  <c r="BN713" i="6"/>
  <c r="BG69" i="6"/>
  <c r="BN896" i="6"/>
  <c r="BG126" i="6"/>
  <c r="BN258" i="6"/>
  <c r="BG298" i="6"/>
  <c r="BG865" i="6"/>
  <c r="BG852" i="6"/>
  <c r="BG627" i="6"/>
  <c r="BN239" i="6"/>
  <c r="BN218" i="6"/>
  <c r="BN821" i="6"/>
  <c r="BN215" i="6"/>
  <c r="BN476" i="6"/>
  <c r="BN465" i="6"/>
  <c r="BN631" i="6"/>
  <c r="BN305" i="6"/>
  <c r="BN528" i="6"/>
  <c r="BG139" i="6"/>
  <c r="BG448" i="6"/>
  <c r="BN663" i="6"/>
  <c r="BN262" i="6"/>
  <c r="BN946" i="6"/>
  <c r="BN87" i="6"/>
  <c r="CA1006" i="6"/>
  <c r="BN1016" i="6"/>
  <c r="BN493" i="6"/>
  <c r="CC896" i="6"/>
  <c r="CB805" i="6"/>
  <c r="BV846" i="6"/>
  <c r="CB398" i="6"/>
  <c r="BW310" i="6"/>
  <c r="BV52" i="6"/>
  <c r="BV889" i="6"/>
  <c r="BW415" i="6"/>
  <c r="CB758" i="6"/>
  <c r="BV833" i="6"/>
  <c r="CC275" i="6"/>
  <c r="BV386" i="6"/>
  <c r="CB855" i="6"/>
  <c r="BW73" i="6"/>
  <c r="BW142" i="6"/>
  <c r="CC195" i="6"/>
  <c r="BV655" i="6"/>
  <c r="BI244" i="6"/>
  <c r="BW995" i="6"/>
  <c r="BW509" i="6"/>
  <c r="BW5" i="6"/>
  <c r="CC69" i="6"/>
  <c r="CC56" i="6"/>
  <c r="BV486" i="6"/>
  <c r="BV818" i="6"/>
  <c r="CC224" i="6"/>
  <c r="BV129" i="6"/>
  <c r="CB868" i="6"/>
  <c r="BV757" i="6"/>
  <c r="CC737" i="6"/>
  <c r="CC382" i="6"/>
  <c r="CC617" i="6"/>
  <c r="CC100" i="6"/>
  <c r="BV493" i="6"/>
  <c r="BV501" i="6"/>
  <c r="CC866" i="6"/>
  <c r="BW187" i="6"/>
  <c r="BV410" i="6"/>
  <c r="CC377" i="6"/>
  <c r="CA840" i="6"/>
  <c r="CB840" i="6" s="1"/>
  <c r="BU354" i="6"/>
  <c r="BA715" i="6"/>
  <c r="BB715" i="6" s="1"/>
  <c r="BH741" i="6"/>
  <c r="BI741" i="6"/>
  <c r="BO687" i="6"/>
  <c r="BP687" i="6"/>
  <c r="BP382" i="6"/>
  <c r="BO382" i="6"/>
  <c r="BI872" i="6"/>
  <c r="BH872" i="6"/>
  <c r="AT819" i="6"/>
  <c r="BN819" i="6"/>
  <c r="BP819" i="6" s="1"/>
  <c r="BI494" i="6"/>
  <c r="BH494" i="6"/>
  <c r="AT180" i="6"/>
  <c r="BN180" i="6"/>
  <c r="CC85" i="6"/>
  <c r="BW181" i="6"/>
  <c r="BW289" i="6"/>
  <c r="CC941" i="6"/>
  <c r="CC899" i="6"/>
  <c r="CC687" i="6"/>
  <c r="CC114" i="6"/>
  <c r="BO320" i="6"/>
  <c r="CA237" i="6"/>
  <c r="CA267" i="6"/>
  <c r="CB267" i="6" s="1"/>
  <c r="BU398" i="6"/>
  <c r="BV398" i="6" s="1"/>
  <c r="BU653" i="6"/>
  <c r="BW653" i="6" s="1"/>
  <c r="CA1019" i="6"/>
  <c r="BU1019" i="6"/>
  <c r="BW1019" i="6" s="1"/>
  <c r="BO822" i="6"/>
  <c r="BH626" i="6"/>
  <c r="BI626" i="6"/>
  <c r="BH258" i="6"/>
  <c r="BI258" i="6"/>
  <c r="CC1016" i="6"/>
  <c r="BP325" i="6"/>
  <c r="BO325" i="6"/>
  <c r="BP69" i="6"/>
  <c r="BO69" i="6"/>
  <c r="BO780" i="6"/>
  <c r="BP780" i="6"/>
  <c r="BH131" i="6"/>
  <c r="BI131" i="6"/>
  <c r="CA938" i="6"/>
  <c r="CB938" i="6" s="1"/>
  <c r="CA425" i="6"/>
  <c r="CB425" i="6" s="1"/>
  <c r="CA128" i="6"/>
  <c r="CA131" i="6"/>
  <c r="CC131" i="6" s="1"/>
  <c r="BU894" i="6"/>
  <c r="CA411" i="6"/>
  <c r="BU867" i="6"/>
  <c r="BU240" i="6"/>
  <c r="BV240" i="6" s="1"/>
  <c r="BU560" i="6"/>
  <c r="BU588" i="6"/>
  <c r="BU340" i="6"/>
  <c r="BW340" i="6" s="1"/>
  <c r="BU491" i="6"/>
  <c r="CA514" i="6"/>
  <c r="CC514" i="6" s="1"/>
  <c r="K127" i="4" a="1"/>
  <c r="K127" i="4" s="1"/>
  <c r="K133" i="4" a="1"/>
  <c r="K133" i="4" s="1"/>
  <c r="BV1021" i="6"/>
  <c r="BN403" i="6"/>
  <c r="BN910" i="6"/>
  <c r="BP910" i="6" s="1"/>
  <c r="BN922" i="6"/>
  <c r="BG314" i="6"/>
  <c r="BH314" i="6" s="1"/>
  <c r="BG604" i="6"/>
  <c r="BN83" i="6"/>
  <c r="BH268" i="6"/>
  <c r="AT473" i="6"/>
  <c r="BO808" i="6"/>
  <c r="BG616" i="6"/>
  <c r="BG39" i="6"/>
  <c r="AT629" i="6"/>
  <c r="BG705" i="6"/>
  <c r="AT767" i="6"/>
  <c r="BN265" i="6"/>
  <c r="BN179" i="6"/>
  <c r="AS1014" i="6"/>
  <c r="AT1014" i="6" s="1"/>
  <c r="AT276" i="6"/>
  <c r="BN987" i="6"/>
  <c r="BO987" i="6" s="1"/>
  <c r="AT951" i="6"/>
  <c r="BG46" i="6"/>
  <c r="BH589" i="6"/>
  <c r="AT48" i="6"/>
  <c r="BI472" i="6"/>
  <c r="BN652" i="6"/>
  <c r="BG725" i="6"/>
  <c r="BG817" i="6"/>
  <c r="BI148" i="6"/>
  <c r="AT439" i="6"/>
  <c r="BN839" i="6"/>
  <c r="BN975" i="6"/>
  <c r="BP907" i="6"/>
  <c r="BN572" i="6"/>
  <c r="BG814" i="6"/>
  <c r="BG816" i="6"/>
  <c r="BH816" i="6" s="1"/>
  <c r="AT462" i="6"/>
  <c r="BG535" i="6"/>
  <c r="AT417" i="6"/>
  <c r="AT941" i="6"/>
  <c r="BG136" i="6"/>
  <c r="BN871" i="6"/>
  <c r="AT215" i="6"/>
  <c r="BI107" i="6"/>
  <c r="BO357" i="6"/>
  <c r="BG734" i="6"/>
  <c r="BN672" i="6"/>
  <c r="AT113" i="6"/>
  <c r="AT449" i="6"/>
  <c r="BO941" i="6"/>
  <c r="AT888" i="6"/>
  <c r="BN47" i="6"/>
  <c r="BP47" i="6" s="1"/>
  <c r="BG77" i="6"/>
  <c r="BI823" i="6"/>
  <c r="BP585" i="6"/>
  <c r="BG48" i="6"/>
  <c r="BG274" i="6"/>
  <c r="BP243" i="6"/>
  <c r="BH491" i="6"/>
  <c r="BI60" i="6"/>
  <c r="BG683" i="6"/>
  <c r="BG568" i="6"/>
  <c r="BI269" i="6"/>
  <c r="BH582" i="6"/>
  <c r="CA1011" i="6"/>
  <c r="CC1011" i="6" s="1"/>
  <c r="AN156" i="6" a="1"/>
  <c r="AN156" i="6" s="1"/>
  <c r="AP156" i="6"/>
  <c r="BI818" i="6"/>
  <c r="BH818" i="6"/>
  <c r="BN719" i="6"/>
  <c r="AT609" i="6"/>
  <c r="BN609" i="6"/>
  <c r="BZ352" i="6"/>
  <c r="CA352" i="6" s="1"/>
  <c r="BT352" i="6"/>
  <c r="BN477" i="6"/>
  <c r="AT477" i="6"/>
  <c r="BI986" i="6"/>
  <c r="BH986" i="6"/>
  <c r="BP415" i="6"/>
  <c r="BO415" i="6"/>
  <c r="BG151" i="6"/>
  <c r="BH363" i="6"/>
  <c r="BI363" i="6"/>
  <c r="BP186" i="6"/>
  <c r="BO186" i="6"/>
  <c r="BG21" i="6"/>
  <c r="AT21" i="6"/>
  <c r="BG902" i="6"/>
  <c r="AT902" i="6"/>
  <c r="BG804" i="6"/>
  <c r="BG519" i="6"/>
  <c r="AT519" i="6"/>
  <c r="BI175" i="6"/>
  <c r="BH175" i="6"/>
  <c r="BG80" i="6"/>
  <c r="BG99" i="6"/>
  <c r="BN566" i="6"/>
  <c r="AT607" i="6"/>
  <c r="BG724" i="6"/>
  <c r="BI736" i="6"/>
  <c r="BN384" i="6"/>
  <c r="BO384" i="6" s="1"/>
  <c r="BH548" i="6"/>
  <c r="AT596" i="6"/>
  <c r="BH596" i="6"/>
  <c r="BI915" i="6"/>
  <c r="BH9" i="6"/>
  <c r="BG455" i="6"/>
  <c r="BH455" i="6" s="1"/>
  <c r="BN7" i="6"/>
  <c r="BN599" i="6"/>
  <c r="BN584" i="6"/>
  <c r="BN482" i="6"/>
  <c r="BU1023" i="6"/>
  <c r="BW1023" i="6" s="1"/>
  <c r="BN772" i="6"/>
  <c r="BG429" i="6"/>
  <c r="BN10" i="6"/>
  <c r="BN900" i="6"/>
  <c r="BN788" i="6"/>
  <c r="BN661" i="6"/>
  <c r="BG658" i="6"/>
  <c r="BG920" i="6"/>
  <c r="BN139" i="6"/>
  <c r="BG593" i="6"/>
  <c r="BN576" i="6"/>
  <c r="BG466" i="6"/>
  <c r="BG272" i="6"/>
  <c r="BG398" i="6"/>
  <c r="BN549" i="6"/>
  <c r="BN612" i="6"/>
  <c r="BO612" i="6" s="1"/>
  <c r="BG444" i="6"/>
  <c r="BV456" i="6"/>
  <c r="BW456" i="6"/>
  <c r="BO425" i="6"/>
  <c r="BP425" i="6"/>
  <c r="BH27" i="6"/>
  <c r="BI27" i="6"/>
  <c r="BN706" i="6"/>
  <c r="BG706" i="6"/>
  <c r="BH706" i="6" s="1"/>
  <c r="BW378" i="6"/>
  <c r="BW704" i="6"/>
  <c r="CB597" i="6"/>
  <c r="CB304" i="6"/>
  <c r="BV790" i="6"/>
  <c r="BV155" i="6"/>
  <c r="BW669" i="6"/>
  <c r="CB949" i="6"/>
  <c r="CB864" i="6"/>
  <c r="BV972" i="6"/>
  <c r="CC443" i="6"/>
  <c r="CB335" i="6"/>
  <c r="CB119" i="6"/>
  <c r="CC327" i="6"/>
  <c r="CB713" i="6"/>
  <c r="BV971" i="6"/>
  <c r="BV210" i="6"/>
  <c r="CB739" i="6"/>
  <c r="CB839" i="6"/>
  <c r="BW339" i="6"/>
  <c r="BW58" i="6"/>
  <c r="CB97" i="6"/>
  <c r="CC245" i="6"/>
  <c r="BW548" i="6"/>
  <c r="BW220" i="6"/>
  <c r="CC646" i="6"/>
  <c r="CC25" i="6"/>
  <c r="CB488" i="6"/>
  <c r="CB772" i="6"/>
  <c r="BW379" i="6"/>
  <c r="CC556" i="6"/>
  <c r="BV955" i="6"/>
  <c r="CC7" i="6"/>
  <c r="BW729" i="6"/>
  <c r="BV39" i="6"/>
  <c r="BW460" i="6"/>
  <c r="BW350" i="6"/>
  <c r="BV540" i="6"/>
  <c r="BV780" i="6"/>
  <c r="CC573" i="6"/>
  <c r="BW266" i="6"/>
  <c r="BP688" i="6"/>
  <c r="BI312" i="6"/>
  <c r="CA402" i="6"/>
  <c r="CA355" i="6"/>
  <c r="CA261" i="6"/>
  <c r="CB261" i="6" s="1"/>
  <c r="CA842" i="6"/>
  <c r="BU34" i="6"/>
  <c r="BV34" i="6" s="1"/>
  <c r="BA275" i="6"/>
  <c r="BB275" i="6" s="1"/>
  <c r="BU219" i="6"/>
  <c r="BV219" i="6" s="1"/>
  <c r="BP1004" i="6"/>
  <c r="BI11" i="6"/>
  <c r="AT138" i="6"/>
  <c r="BO35" i="6"/>
  <c r="BH403" i="6"/>
  <c r="BH367" i="6"/>
  <c r="BI391" i="6"/>
  <c r="BG323" i="6"/>
  <c r="BH130" i="6"/>
  <c r="AT706" i="6"/>
  <c r="BO527" i="6"/>
  <c r="BI378" i="6"/>
  <c r="BH378" i="6"/>
  <c r="BW963" i="6"/>
  <c r="BV311" i="6"/>
  <c r="BV498" i="6"/>
  <c r="CC201" i="6"/>
  <c r="BV643" i="6"/>
  <c r="CC756" i="6"/>
  <c r="CC918" i="6"/>
  <c r="CC435" i="6"/>
  <c r="BW584" i="6"/>
  <c r="CB504" i="6"/>
  <c r="CB529" i="6"/>
  <c r="CC909" i="6"/>
  <c r="BW321" i="6"/>
  <c r="BV342" i="6"/>
  <c r="BV78" i="6"/>
  <c r="BW132" i="6"/>
  <c r="BA544" i="6"/>
  <c r="BB544" i="6" s="1"/>
  <c r="BU305" i="6"/>
  <c r="BV305" i="6" s="1"/>
  <c r="BI720" i="6"/>
  <c r="BN73" i="6"/>
  <c r="BP73" i="6" s="1"/>
  <c r="BN188" i="6"/>
  <c r="BO470" i="6"/>
  <c r="BP569" i="6"/>
  <c r="BP85" i="6"/>
  <c r="BO548" i="6"/>
  <c r="BO613" i="6"/>
  <c r="AT421" i="6"/>
  <c r="BN133" i="6"/>
  <c r="BN1001" i="6"/>
  <c r="BO1001" i="6" s="1"/>
  <c r="BG671" i="6"/>
  <c r="BI671" i="6" s="1"/>
  <c r="BN414" i="6"/>
  <c r="BG182" i="6"/>
  <c r="BN426" i="6"/>
  <c r="BN50" i="6"/>
  <c r="BP50" i="6" s="1"/>
  <c r="BG259" i="6"/>
  <c r="BG527" i="6"/>
  <c r="BN852" i="6"/>
  <c r="BN291" i="6"/>
  <c r="BN279" i="6"/>
  <c r="BG393" i="6"/>
  <c r="BN373" i="6"/>
  <c r="BN551" i="6"/>
  <c r="BG770" i="6"/>
  <c r="BN127" i="6"/>
  <c r="BG866" i="6"/>
  <c r="BG972" i="6"/>
  <c r="BG334" i="6"/>
  <c r="BN370" i="6"/>
  <c r="BN827" i="6"/>
  <c r="BN636" i="6"/>
  <c r="BG1017" i="6"/>
  <c r="BN1021" i="6"/>
  <c r="BG324" i="6"/>
  <c r="BN72" i="6"/>
  <c r="BN836" i="6"/>
  <c r="BN547" i="6"/>
  <c r="BO547" i="6" s="1"/>
  <c r="BG469" i="6"/>
  <c r="BG369" i="6"/>
  <c r="BG638" i="6"/>
  <c r="BG1015" i="6"/>
  <c r="BH1015" i="6" s="1"/>
  <c r="BN185" i="6"/>
  <c r="BG659" i="6"/>
  <c r="BG798" i="6"/>
  <c r="BG969" i="6"/>
  <c r="BN126" i="6"/>
  <c r="BG607" i="6"/>
  <c r="BG47" i="6"/>
  <c r="BG68" i="6"/>
  <c r="BN686" i="6"/>
  <c r="BN77" i="6"/>
  <c r="BG661" i="6"/>
  <c r="BN466" i="6"/>
  <c r="BO466" i="6" s="1"/>
  <c r="BN201" i="6"/>
  <c r="BN681" i="6"/>
  <c r="BG166" i="6"/>
  <c r="BG634" i="6"/>
  <c r="CB562" i="6"/>
  <c r="CC562" i="6"/>
  <c r="CC636" i="6"/>
  <c r="CB636" i="6"/>
  <c r="BW538" i="6"/>
  <c r="BV538" i="6"/>
  <c r="CA661" i="6"/>
  <c r="CA827" i="6"/>
  <c r="CC827" i="6" s="1"/>
  <c r="BA74" i="6"/>
  <c r="CA207" i="6"/>
  <c r="CC207" i="6" s="1"/>
  <c r="BP54" i="6"/>
  <c r="BO54" i="6"/>
  <c r="BI169" i="6"/>
  <c r="BH169" i="6"/>
  <c r="BP249" i="6"/>
  <c r="BO249" i="6"/>
  <c r="BG502" i="6"/>
  <c r="BN502" i="6"/>
  <c r="BH569" i="6"/>
  <c r="BI569" i="6"/>
  <c r="BH754" i="6"/>
  <c r="BI754" i="6"/>
  <c r="BH833" i="6"/>
  <c r="BI833" i="6"/>
  <c r="BH923" i="6"/>
  <c r="BI923" i="6"/>
  <c r="AT534" i="6"/>
  <c r="BG534" i="6"/>
  <c r="BH534" i="6" s="1"/>
  <c r="BN534" i="6"/>
  <c r="BI379" i="6"/>
  <c r="BH379" i="6"/>
  <c r="AT88" i="6"/>
  <c r="BN88" i="6"/>
  <c r="BH337" i="6"/>
  <c r="BI337" i="6"/>
  <c r="CB518" i="6"/>
  <c r="BW24" i="6"/>
  <c r="CC809" i="6"/>
  <c r="BW627" i="6"/>
  <c r="CB465" i="6"/>
  <c r="BV262" i="6"/>
  <c r="CB688" i="6"/>
  <c r="CB838" i="6"/>
  <c r="BI216" i="6"/>
  <c r="BP642" i="6"/>
  <c r="BH227" i="6"/>
  <c r="BH67" i="6"/>
  <c r="BU77" i="6"/>
  <c r="CA442" i="6"/>
  <c r="CB442" i="6" s="1"/>
  <c r="CH442" i="6" s="1"/>
  <c r="CG442" i="6" s="1"/>
  <c r="BU455" i="6"/>
  <c r="BW455" i="6" s="1"/>
  <c r="BA491" i="6"/>
  <c r="BA607" i="6"/>
  <c r="BB607" i="6" s="1"/>
  <c r="CA589" i="6"/>
  <c r="CC589" i="6" s="1"/>
  <c r="BU516" i="6"/>
  <c r="BW516" i="6" s="1"/>
  <c r="BU663" i="6"/>
  <c r="BW663" i="6" s="1"/>
  <c r="BU886" i="6"/>
  <c r="CA623" i="6"/>
  <c r="BH617" i="6"/>
  <c r="BW1005" i="6"/>
  <c r="BV1005" i="6"/>
  <c r="BI419" i="6"/>
  <c r="BH419" i="6"/>
  <c r="BH603" i="6"/>
  <c r="BI603" i="6"/>
  <c r="AT937" i="6"/>
  <c r="BG937" i="6"/>
  <c r="BP522" i="6"/>
  <c r="BO522" i="6"/>
  <c r="CB670" i="6"/>
  <c r="BP57" i="6"/>
  <c r="BO712" i="6"/>
  <c r="CA628" i="6"/>
  <c r="CB628" i="6" s="1"/>
  <c r="CA964" i="6"/>
  <c r="BU16" i="6"/>
  <c r="BW16" i="6" s="1"/>
  <c r="BA838" i="6"/>
  <c r="BB838" i="6" s="1"/>
  <c r="CA813" i="6"/>
  <c r="CC813" i="6" s="1"/>
  <c r="BA375" i="6"/>
  <c r="BB375" i="6" s="1"/>
  <c r="BU573" i="6"/>
  <c r="BU76" i="6"/>
  <c r="BU699" i="6"/>
  <c r="BU628" i="6"/>
  <c r="BI15" i="6"/>
  <c r="BH15" i="6"/>
  <c r="BN657" i="6"/>
  <c r="BG657" i="6"/>
  <c r="BO666" i="6"/>
  <c r="BP666" i="6"/>
  <c r="BH381" i="6"/>
  <c r="BI381" i="6"/>
  <c r="AT836" i="6"/>
  <c r="BG836" i="6"/>
  <c r="BG1019" i="6"/>
  <c r="BO881" i="6"/>
  <c r="BP881" i="6"/>
  <c r="BO238" i="6"/>
  <c r="BP238" i="6"/>
  <c r="AT765" i="6"/>
  <c r="BN765" i="6"/>
  <c r="AT287" i="6"/>
  <c r="BG287" i="6"/>
  <c r="AT153" i="6"/>
  <c r="BN153" i="6"/>
  <c r="BO153" i="6" s="1"/>
  <c r="BH255" i="6"/>
  <c r="BI255" i="6"/>
  <c r="BG710" i="6"/>
  <c r="BH650" i="6"/>
  <c r="BI650" i="6"/>
  <c r="BO860" i="6"/>
  <c r="BP860" i="6"/>
  <c r="BH953" i="6"/>
  <c r="BI953" i="6"/>
  <c r="BN776" i="6"/>
  <c r="BG106" i="6"/>
  <c r="AT106" i="6"/>
  <c r="BO677" i="6"/>
  <c r="BP677" i="6"/>
  <c r="BN104" i="6"/>
  <c r="BG104" i="6"/>
  <c r="BP5" i="6"/>
  <c r="BO5" i="6"/>
  <c r="BI837" i="6"/>
  <c r="BH837" i="6"/>
  <c r="BP500" i="6"/>
  <c r="BO500" i="6"/>
  <c r="BP810" i="6"/>
  <c r="BO810" i="6"/>
  <c r="BG338" i="6"/>
  <c r="AT338" i="6"/>
  <c r="BG511" i="6"/>
  <c r="BH219" i="6"/>
  <c r="BI219" i="6"/>
  <c r="BP37" i="6"/>
  <c r="BO37" i="6"/>
  <c r="BN449" i="6"/>
  <c r="BI356" i="6"/>
  <c r="BH356" i="6"/>
  <c r="BI237" i="6"/>
  <c r="BH237" i="6"/>
  <c r="BO624" i="6"/>
  <c r="BP624" i="6"/>
  <c r="AT591" i="6"/>
  <c r="BN591" i="6"/>
  <c r="BP565" i="6"/>
  <c r="BO565" i="6"/>
  <c r="BN231" i="6"/>
  <c r="BG231" i="6"/>
  <c r="BG129" i="6"/>
  <c r="BO1011" i="6"/>
  <c r="BG940" i="6"/>
  <c r="BN964" i="6"/>
  <c r="BH845" i="6"/>
  <c r="AT546" i="6"/>
  <c r="AT710" i="6"/>
  <c r="BG184" i="6"/>
  <c r="BG893" i="6"/>
  <c r="AT85" i="6"/>
  <c r="BH110" i="6"/>
  <c r="AT760" i="6"/>
  <c r="BG989" i="6"/>
  <c r="BN842" i="6"/>
  <c r="BG629" i="6"/>
  <c r="BN924" i="6"/>
  <c r="BG873" i="6"/>
  <c r="AT127" i="6"/>
  <c r="BG179" i="6"/>
  <c r="AT268" i="6"/>
  <c r="BP800" i="6"/>
  <c r="AT866" i="6"/>
  <c r="BG541" i="6"/>
  <c r="AT122" i="6"/>
  <c r="BG880" i="6"/>
  <c r="BH859" i="6"/>
  <c r="AT975" i="6"/>
  <c r="BP252" i="6"/>
  <c r="AT842" i="6"/>
  <c r="AT532" i="6"/>
  <c r="AT355" i="6"/>
  <c r="AS1024" i="6"/>
  <c r="AT1024" i="6" s="1"/>
  <c r="BN816" i="6"/>
  <c r="AT685" i="6"/>
  <c r="BG417" i="6"/>
  <c r="BP44" i="6"/>
  <c r="BN761" i="6"/>
  <c r="AT660" i="6"/>
  <c r="BN487" i="6"/>
  <c r="BN92" i="6"/>
  <c r="BG201" i="6"/>
  <c r="BH201" i="6" s="1"/>
  <c r="BO943" i="6"/>
  <c r="BI438" i="6"/>
  <c r="BO331" i="6"/>
  <c r="AT871" i="6"/>
  <c r="BN627" i="6"/>
  <c r="AT727" i="6"/>
  <c r="BN338" i="6"/>
  <c r="BI597" i="6"/>
  <c r="BG93" i="6"/>
  <c r="BP4" i="6"/>
  <c r="BN945" i="6"/>
  <c r="BP934" i="6"/>
  <c r="BN1019" i="6"/>
  <c r="BN344" i="6"/>
  <c r="BP251" i="6"/>
  <c r="BO105" i="6"/>
  <c r="BU1000" i="6"/>
  <c r="BG375" i="6"/>
  <c r="BG12" i="6"/>
  <c r="BG346" i="6"/>
  <c r="BI94" i="6"/>
  <c r="BO751" i="6"/>
  <c r="BP751" i="6"/>
  <c r="BP60" i="6"/>
  <c r="BO60" i="6"/>
  <c r="BG785" i="6"/>
  <c r="BN785" i="6"/>
  <c r="AN537" i="6" a="1"/>
  <c r="AN537" i="6" s="1"/>
  <c r="AP537" i="6"/>
  <c r="BG537" i="6" s="1"/>
  <c r="AN793" i="6" a="1"/>
  <c r="AN793" i="6" s="1"/>
  <c r="AP793" i="6"/>
  <c r="BG793" i="6" s="1"/>
  <c r="BM846" i="6"/>
  <c r="BN846" i="6" s="1"/>
  <c r="BF846" i="6"/>
  <c r="BG846" i="6" s="1"/>
  <c r="AN838" i="6" a="1"/>
  <c r="AN838" i="6" s="1"/>
  <c r="AP838" i="6"/>
  <c r="BG838" i="6" s="1"/>
  <c r="AN949" i="6" a="1"/>
  <c r="AN949" i="6" s="1"/>
  <c r="AP949" i="6"/>
  <c r="AT949" i="6" s="1"/>
  <c r="AN447" i="6" a="1"/>
  <c r="AN447" i="6" s="1"/>
  <c r="AP447" i="6"/>
  <c r="AN825" i="6" a="1"/>
  <c r="AN825" i="6" s="1"/>
  <c r="AP825" i="6"/>
  <c r="J200" i="4" a="1"/>
  <c r="J200" i="4" s="1"/>
  <c r="K200" i="4" a="1"/>
  <c r="K200" i="4" s="1"/>
  <c r="BG900" i="6"/>
  <c r="BN512" i="6"/>
  <c r="BG512" i="6"/>
  <c r="BG590" i="6"/>
  <c r="BI590" i="6" s="1"/>
  <c r="BN892" i="6"/>
  <c r="BG974" i="6"/>
  <c r="BH974" i="6" s="1"/>
  <c r="BN386" i="6"/>
  <c r="BN720" i="6"/>
  <c r="AN514" i="6" a="1"/>
  <c r="AN514" i="6" s="1"/>
  <c r="AP514" i="6"/>
  <c r="J140" i="4" a="1"/>
  <c r="J140" i="4" s="1"/>
  <c r="K140" i="4" a="1"/>
  <c r="K140" i="4" s="1"/>
  <c r="J117" i="4" a="1"/>
  <c r="J117" i="4" s="1"/>
  <c r="K117" i="4" a="1"/>
  <c r="K117" i="4" s="1"/>
  <c r="J247" i="4" a="1"/>
  <c r="J247" i="4" s="1"/>
  <c r="K247" i="4" a="1"/>
  <c r="K247" i="4" s="1"/>
  <c r="BG784" i="6"/>
  <c r="BI565" i="6"/>
  <c r="BN634" i="6"/>
  <c r="BN829" i="6"/>
  <c r="BN391" i="6"/>
  <c r="BH1018" i="6"/>
  <c r="BN33" i="6"/>
  <c r="BN978" i="6"/>
  <c r="BG944" i="6"/>
  <c r="BG679" i="6"/>
  <c r="BN970" i="6"/>
  <c r="BG486" i="6"/>
  <c r="BG343" i="6"/>
  <c r="BG524" i="6"/>
  <c r="BG988" i="6"/>
  <c r="BG544" i="6"/>
  <c r="BH544" i="6" s="1"/>
  <c r="BN202" i="6"/>
  <c r="BG946" i="6"/>
  <c r="BN608" i="6"/>
  <c r="BG163" i="6"/>
  <c r="BN899" i="6"/>
  <c r="BN1010" i="6"/>
  <c r="BG316" i="6"/>
  <c r="BG757" i="6"/>
  <c r="BN897" i="6"/>
  <c r="CC766" i="6"/>
  <c r="CB766" i="6"/>
  <c r="CC209" i="6"/>
  <c r="CB209" i="6"/>
  <c r="BW380" i="6"/>
  <c r="BV758" i="6"/>
  <c r="BV101" i="6"/>
  <c r="CC27" i="6"/>
  <c r="CB589" i="6"/>
  <c r="CC938" i="6"/>
  <c r="CC965" i="6"/>
  <c r="CB832" i="6"/>
  <c r="CC397" i="6"/>
  <c r="BP333" i="6"/>
  <c r="BW1014" i="6"/>
  <c r="BA56" i="6"/>
  <c r="BB56" i="6" s="1"/>
  <c r="BA266" i="6"/>
  <c r="BB266" i="6" s="1"/>
  <c r="BA355" i="6"/>
  <c r="BB355" i="6" s="1"/>
  <c r="CA29" i="6"/>
  <c r="BA840" i="6"/>
  <c r="BB840" i="6" s="1"/>
  <c r="BU862" i="6"/>
  <c r="BA376" i="6"/>
  <c r="BB376" i="6" s="1"/>
  <c r="BU437" i="6"/>
  <c r="BV437" i="6" s="1"/>
  <c r="BA230" i="6"/>
  <c r="BB230" i="6" s="1"/>
  <c r="CA509" i="6"/>
  <c r="CA193" i="6"/>
  <c r="BU871" i="6"/>
  <c r="BW871" i="6" s="1"/>
  <c r="BO786" i="6"/>
  <c r="BP786" i="6"/>
  <c r="BA1004" i="6"/>
  <c r="BB1004" i="6" s="1"/>
  <c r="BU1004" i="6"/>
  <c r="BI493" i="6"/>
  <c r="BH493" i="6"/>
  <c r="BH93" i="6"/>
  <c r="BI93" i="6"/>
  <c r="BP895" i="6"/>
  <c r="BH256" i="6"/>
  <c r="BI256" i="6"/>
  <c r="BH722" i="6"/>
  <c r="BI722" i="6"/>
  <c r="BP185" i="6"/>
  <c r="BO185" i="6"/>
  <c r="BH210" i="6"/>
  <c r="BI210" i="6"/>
  <c r="BI1007" i="6"/>
  <c r="BH1007" i="6"/>
  <c r="BP896" i="6"/>
  <c r="BO896" i="6"/>
  <c r="BO343" i="6"/>
  <c r="BP343" i="6"/>
  <c r="BO603" i="6"/>
  <c r="BI28" i="6"/>
  <c r="BH28" i="6"/>
  <c r="BN306" i="6"/>
  <c r="BG306" i="6"/>
  <c r="BM961" i="6"/>
  <c r="BN961" i="6" s="1"/>
  <c r="BF961" i="6"/>
  <c r="BG961" i="6" s="1"/>
  <c r="BM632" i="6"/>
  <c r="BN632" i="6" s="1"/>
  <c r="BF632" i="6"/>
  <c r="BG632" i="6" s="1"/>
  <c r="BF981" i="6"/>
  <c r="BG981" i="6" s="1"/>
  <c r="BI981" i="6" s="1"/>
  <c r="BM981" i="6"/>
  <c r="BN981" i="6" s="1"/>
  <c r="BP981" i="6" s="1"/>
  <c r="BO196" i="6"/>
  <c r="BP196" i="6"/>
  <c r="BT979" i="6"/>
  <c r="BZ979" i="6"/>
  <c r="AN637" i="6" a="1"/>
  <c r="AN637" i="6" s="1"/>
  <c r="AP637" i="6"/>
  <c r="BN637" i="6" s="1"/>
  <c r="BZ992" i="6"/>
  <c r="CA992" i="6" s="1"/>
  <c r="BT992" i="6"/>
  <c r="CC174" i="6"/>
  <c r="BW219" i="6"/>
  <c r="BV211" i="6"/>
  <c r="CC115" i="6"/>
  <c r="CC188" i="6"/>
  <c r="BV247" i="6"/>
  <c r="BW10" i="6"/>
  <c r="BV916" i="6"/>
  <c r="BV563" i="6"/>
  <c r="BV598" i="6"/>
  <c r="BO844" i="6"/>
  <c r="BO976" i="6"/>
  <c r="BH517" i="6"/>
  <c r="CA519" i="6"/>
  <c r="BU402" i="6"/>
  <c r="BU56" i="6"/>
  <c r="BV56" i="6" s="1"/>
  <c r="CH56" i="6" s="1"/>
  <c r="CG56" i="6" s="1"/>
  <c r="CA266" i="6"/>
  <c r="CC266" i="6" s="1"/>
  <c r="CA607" i="6"/>
  <c r="BU432" i="6"/>
  <c r="BW432" i="6" s="1"/>
  <c r="BU362" i="6"/>
  <c r="BV362" i="6" s="1"/>
  <c r="BU624" i="6"/>
  <c r="BU686" i="6"/>
  <c r="BU792" i="6"/>
  <c r="BA313" i="6"/>
  <c r="BB313" i="6" s="1"/>
  <c r="BO623" i="6"/>
  <c r="BP623" i="6"/>
  <c r="BI1015" i="6"/>
  <c r="BH778" i="6"/>
  <c r="BI778" i="6"/>
  <c r="BH794" i="6"/>
  <c r="BI794" i="6"/>
  <c r="BI229" i="6"/>
  <c r="BH229" i="6"/>
  <c r="AP980" i="6"/>
  <c r="AN980" i="6" a="1"/>
  <c r="AN980" i="6" s="1"/>
  <c r="BM539" i="6"/>
  <c r="BF539" i="6"/>
  <c r="BG539" i="6" s="1"/>
  <c r="BT323" i="6"/>
  <c r="BU323" i="6" s="1"/>
  <c r="BZ323" i="6"/>
  <c r="BG172" i="6"/>
  <c r="BN309" i="6"/>
  <c r="AT665" i="6"/>
  <c r="BN787" i="6"/>
  <c r="BN989" i="6"/>
  <c r="AT852" i="6"/>
  <c r="BO101" i="6"/>
  <c r="AT614" i="6"/>
  <c r="AT92" i="6"/>
  <c r="BG127" i="6"/>
  <c r="BG830" i="6"/>
  <c r="BG665" i="6"/>
  <c r="BG956" i="6"/>
  <c r="BN866" i="6"/>
  <c r="AT862" i="6"/>
  <c r="BG439" i="6"/>
  <c r="BO75" i="6"/>
  <c r="BN851" i="6"/>
  <c r="BN440" i="6"/>
  <c r="AT279" i="6"/>
  <c r="BI518" i="6"/>
  <c r="AT187" i="6"/>
  <c r="AT758" i="6"/>
  <c r="BN807" i="6"/>
  <c r="BO754" i="6"/>
  <c r="BG291" i="6"/>
  <c r="BH291" i="6" s="1"/>
  <c r="AT450" i="6"/>
  <c r="BN12" i="6"/>
  <c r="BG547" i="6"/>
  <c r="BN365" i="6"/>
  <c r="BG177" i="6"/>
  <c r="BN21" i="6"/>
  <c r="BO21" i="6" s="1"/>
  <c r="BN874" i="6"/>
  <c r="BN276" i="6"/>
  <c r="BN536" i="6"/>
  <c r="BP536" i="6" s="1"/>
  <c r="BG10" i="6"/>
  <c r="CA1022" i="6"/>
  <c r="BH995" i="6"/>
  <c r="BI995" i="6"/>
  <c r="BI1003" i="6"/>
  <c r="BH1003" i="6"/>
  <c r="BH481" i="6"/>
  <c r="BI481" i="6"/>
  <c r="BV36" i="6"/>
  <c r="BW36" i="6"/>
  <c r="CA725" i="6"/>
  <c r="BU725" i="6"/>
  <c r="CA169" i="6"/>
  <c r="BA169" i="6"/>
  <c r="BB169" i="6" s="1"/>
  <c r="CA479" i="6"/>
  <c r="BA479" i="6"/>
  <c r="BB479" i="6" s="1"/>
  <c r="CA92" i="6"/>
  <c r="BA92" i="6"/>
  <c r="CA229" i="6"/>
  <c r="BA229" i="6"/>
  <c r="BU229" i="6"/>
  <c r="CC742" i="6"/>
  <c r="BV626" i="6"/>
  <c r="CC51" i="6"/>
  <c r="BW825" i="6"/>
  <c r="BW869" i="6"/>
  <c r="CB404" i="6"/>
  <c r="BW46" i="6"/>
  <c r="BW859" i="6"/>
  <c r="CB830" i="6"/>
  <c r="BU92" i="6"/>
  <c r="BP556" i="6"/>
  <c r="BO556" i="6"/>
  <c r="BH921" i="6"/>
  <c r="BI921" i="6"/>
  <c r="BW499" i="6"/>
  <c r="BV499" i="6"/>
  <c r="BO700" i="6"/>
  <c r="BP700" i="6"/>
  <c r="BU231" i="6"/>
  <c r="BW231" i="6" s="1"/>
  <c r="BV524" i="6"/>
  <c r="BH267" i="6"/>
  <c r="BI267" i="6"/>
  <c r="BH96" i="6"/>
  <c r="BI96" i="6"/>
  <c r="BP400" i="6"/>
  <c r="BO400" i="6"/>
  <c r="BH364" i="6"/>
  <c r="BI364" i="6"/>
  <c r="BI712" i="6"/>
  <c r="BH712" i="6"/>
  <c r="BO504" i="6"/>
  <c r="BP504" i="6"/>
  <c r="BV337" i="6"/>
  <c r="BO538" i="6"/>
  <c r="BP779" i="6"/>
  <c r="CA362" i="6"/>
  <c r="CA501" i="6"/>
  <c r="BA530" i="6"/>
  <c r="BB530" i="6" s="1"/>
  <c r="CA815" i="6"/>
  <c r="BO660" i="6"/>
  <c r="BP660" i="6"/>
  <c r="BH728" i="6"/>
  <c r="AT103" i="6"/>
  <c r="BG103" i="6"/>
  <c r="BH827" i="6"/>
  <c r="BI827" i="6"/>
  <c r="BO79" i="6"/>
  <c r="BP79" i="6"/>
  <c r="AT530" i="6"/>
  <c r="BG530" i="6"/>
  <c r="BP13" i="6"/>
  <c r="BO13" i="6"/>
  <c r="BI309" i="6"/>
  <c r="BH309" i="6"/>
  <c r="BP544" i="6"/>
  <c r="BO544" i="6"/>
  <c r="AT240" i="6"/>
  <c r="BN240" i="6"/>
  <c r="BO240" i="6" s="1"/>
  <c r="AT940" i="6"/>
  <c r="BN940" i="6"/>
  <c r="BP373" i="6"/>
  <c r="BO373" i="6"/>
  <c r="BH65" i="6"/>
  <c r="BO394" i="6"/>
  <c r="BP394" i="6"/>
  <c r="AT590" i="6"/>
  <c r="BN590" i="6"/>
  <c r="BH686" i="6"/>
  <c r="BI686" i="6"/>
  <c r="AT38" i="6"/>
  <c r="BN38" i="6"/>
  <c r="BP465" i="6"/>
  <c r="BO465" i="6"/>
  <c r="BH774" i="6"/>
  <c r="BP959" i="6"/>
  <c r="BO959" i="6"/>
  <c r="BG168" i="6"/>
  <c r="BN168" i="6"/>
  <c r="AT152" i="6"/>
  <c r="BN152" i="6"/>
  <c r="BP152" i="6" s="1"/>
  <c r="BP1001" i="6"/>
  <c r="CC1013" i="6"/>
  <c r="BP278" i="6"/>
  <c r="BO278" i="6"/>
  <c r="BI160" i="6"/>
  <c r="BH160" i="6"/>
  <c r="BP177" i="6"/>
  <c r="BO177" i="6"/>
  <c r="BO902" i="6"/>
  <c r="BP902" i="6"/>
  <c r="BH368" i="6"/>
  <c r="BI368" i="6"/>
  <c r="BI656" i="6"/>
  <c r="BH656" i="6"/>
  <c r="BO830" i="6"/>
  <c r="BA758" i="6"/>
  <c r="BU778" i="6"/>
  <c r="BP739" i="6"/>
  <c r="CB1020" i="6"/>
  <c r="BA1007" i="6"/>
  <c r="BB1007" i="6" s="1"/>
  <c r="BU1007" i="6"/>
  <c r="BH994" i="6"/>
  <c r="BI994" i="6"/>
  <c r="CF994" i="6"/>
  <c r="CE994" i="6" s="1"/>
  <c r="BP1018" i="6"/>
  <c r="BO1018" i="6"/>
  <c r="CB993" i="6"/>
  <c r="CC993" i="6"/>
  <c r="AT424" i="6"/>
  <c r="BG424" i="6"/>
  <c r="BN424" i="6"/>
  <c r="BP963" i="6"/>
  <c r="BO963" i="6"/>
  <c r="BG277" i="6"/>
  <c r="AT277" i="6"/>
  <c r="AT278" i="6"/>
  <c r="BG278" i="6"/>
  <c r="BG418" i="6"/>
  <c r="BN418" i="6"/>
  <c r="BN114" i="6"/>
  <c r="BP114" i="6" s="1"/>
  <c r="BG114" i="6"/>
  <c r="BG947" i="6"/>
  <c r="BN947" i="6"/>
  <c r="AT19" i="6"/>
  <c r="BN19" i="6"/>
  <c r="BO629" i="6"/>
  <c r="BP629" i="6"/>
  <c r="AT713" i="6"/>
  <c r="BG713" i="6"/>
  <c r="BN383" i="6"/>
  <c r="BG383" i="6"/>
  <c r="AT121" i="6"/>
  <c r="BG121" i="6"/>
  <c r="BN121" i="6"/>
  <c r="CA536" i="6"/>
  <c r="BU246" i="6"/>
  <c r="BU490" i="6"/>
  <c r="BP384" i="6"/>
  <c r="BO635" i="6"/>
  <c r="AT309" i="6"/>
  <c r="BN184" i="6"/>
  <c r="AT253" i="6"/>
  <c r="BO755" i="6"/>
  <c r="BN46" i="6"/>
  <c r="BH195" i="6"/>
  <c r="BG699" i="6"/>
  <c r="AT725" i="6"/>
  <c r="BN353" i="6"/>
  <c r="BN880" i="6"/>
  <c r="BN277" i="6"/>
  <c r="BN513" i="6"/>
  <c r="AT513" i="6"/>
  <c r="BN611" i="6"/>
  <c r="BG91" i="6"/>
  <c r="BN930" i="6"/>
  <c r="AT851" i="6"/>
  <c r="BH879" i="6"/>
  <c r="AT777" i="6"/>
  <c r="BG420" i="6"/>
  <c r="BA997" i="6"/>
  <c r="BB997" i="6" s="1"/>
  <c r="AT426" i="6"/>
  <c r="BG134" i="6"/>
  <c r="AT291" i="6"/>
  <c r="BH282" i="6"/>
  <c r="BH622" i="6"/>
  <c r="BN968" i="6"/>
  <c r="BO579" i="6"/>
  <c r="BN873" i="6"/>
  <c r="BG787" i="6"/>
  <c r="AT91" i="6"/>
  <c r="BP648" i="6"/>
  <c r="AT987" i="6"/>
  <c r="BG426" i="6"/>
  <c r="BI426" i="6" s="1"/>
  <c r="BG279" i="6"/>
  <c r="BH279" i="6" s="1"/>
  <c r="BG777" i="6"/>
  <c r="BG776" i="6"/>
  <c r="AT776" i="6"/>
  <c r="BH648" i="6"/>
  <c r="BI648" i="6"/>
  <c r="AT336" i="6"/>
  <c r="BN336" i="6"/>
  <c r="BG336" i="6"/>
  <c r="BP39" i="6"/>
  <c r="BO39" i="6"/>
  <c r="BP877" i="6"/>
  <c r="BO877" i="6"/>
  <c r="BP438" i="6"/>
  <c r="BO438" i="6"/>
  <c r="BP107" i="6"/>
  <c r="BO107" i="6"/>
  <c r="BI509" i="6"/>
  <c r="BH509" i="6"/>
  <c r="BG922" i="6"/>
  <c r="BG90" i="6"/>
  <c r="AT90" i="6"/>
  <c r="BN813" i="6"/>
  <c r="BG813" i="6"/>
  <c r="BG441" i="6"/>
  <c r="BN441" i="6"/>
  <c r="BO347" i="6"/>
  <c r="BP347" i="6"/>
  <c r="AT969" i="6"/>
  <c r="BN969" i="6"/>
  <c r="BI552" i="6"/>
  <c r="BH552" i="6"/>
  <c r="BG888" i="6"/>
  <c r="AT627" i="6"/>
  <c r="BN673" i="6"/>
  <c r="BP269" i="6"/>
  <c r="AT632" i="6"/>
  <c r="AT931" i="6"/>
  <c r="BN106" i="6"/>
  <c r="BG608" i="6"/>
  <c r="BU997" i="6"/>
  <c r="BN864" i="6"/>
  <c r="BH975" i="6"/>
  <c r="BI975" i="6"/>
  <c r="BN526" i="6"/>
  <c r="AT526" i="6"/>
  <c r="BG932" i="6"/>
  <c r="BG18" i="6"/>
  <c r="BO564" i="6"/>
  <c r="BG897" i="6"/>
  <c r="BN310" i="6"/>
  <c r="BG183" i="6"/>
  <c r="BN136" i="6"/>
  <c r="BN745" i="6"/>
  <c r="BN450" i="6"/>
  <c r="BN351" i="6"/>
  <c r="BG19" i="6"/>
  <c r="BN266" i="6"/>
  <c r="BG618" i="6"/>
  <c r="BG824" i="6"/>
  <c r="BI824" i="6" s="1"/>
  <c r="BN485" i="6"/>
  <c r="BG204" i="6"/>
  <c r="BG497" i="6"/>
  <c r="BN890" i="6"/>
  <c r="BN602" i="6"/>
  <c r="BN664" i="6"/>
  <c r="BN68" i="6"/>
  <c r="BG262" i="6"/>
  <c r="BG711" i="6"/>
  <c r="BN151" i="6"/>
  <c r="BG421" i="6"/>
  <c r="BU1006" i="6"/>
  <c r="BN898" i="6"/>
  <c r="BP898" i="6" s="1"/>
  <c r="BN519" i="6"/>
  <c r="BG234" i="6"/>
  <c r="BI538" i="6"/>
  <c r="BH538" i="6"/>
  <c r="BP870" i="6"/>
  <c r="BH132" i="6"/>
  <c r="BI132" i="6"/>
  <c r="BA517" i="6"/>
  <c r="BB517" i="6" s="1"/>
  <c r="BU517" i="6"/>
  <c r="BV517" i="6" s="1"/>
  <c r="BA732" i="6"/>
  <c r="BB732" i="6" s="1"/>
  <c r="CA732" i="6"/>
  <c r="BU915" i="6"/>
  <c r="BA915" i="6"/>
  <c r="BB915" i="6" s="1"/>
  <c r="CA915" i="6"/>
  <c r="CB915" i="6" s="1"/>
  <c r="BA60" i="6"/>
  <c r="BB60" i="6" s="1"/>
  <c r="CA60" i="6"/>
  <c r="CA481" i="6"/>
  <c r="BA481" i="6"/>
  <c r="BB481" i="6" s="1"/>
  <c r="BP937" i="6"/>
  <c r="BO937" i="6"/>
  <c r="BP183" i="6"/>
  <c r="BO183" i="6"/>
  <c r="BH745" i="6"/>
  <c r="BI745" i="6"/>
  <c r="BO390" i="6"/>
  <c r="BP390" i="6"/>
  <c r="BO744" i="6"/>
  <c r="BP744" i="6"/>
  <c r="AS1006" i="6"/>
  <c r="AT1006" i="6" s="1"/>
  <c r="BG1006" i="6"/>
  <c r="BH1006" i="6" s="1"/>
  <c r="CB306" i="6"/>
  <c r="CC306" i="6"/>
  <c r="BH240" i="6"/>
  <c r="BI240" i="6"/>
  <c r="BO640" i="6"/>
  <c r="BP640" i="6"/>
  <c r="BP74" i="6"/>
  <c r="BO74" i="6"/>
  <c r="BA577" i="6"/>
  <c r="BB577" i="6" s="1"/>
  <c r="BU577" i="6"/>
  <c r="BW577" i="6" s="1"/>
  <c r="BU608" i="6"/>
  <c r="CA608" i="6"/>
  <c r="CB608" i="6" s="1"/>
  <c r="CA14" i="6"/>
  <c r="BA14" i="6"/>
  <c r="BB14" i="6" s="1"/>
  <c r="BU27" i="6"/>
  <c r="BV27" i="6" s="1"/>
  <c r="BA27" i="6"/>
  <c r="BB27" i="6" s="1"/>
  <c r="CA723" i="6"/>
  <c r="CC723" i="6" s="1"/>
  <c r="BA398" i="6"/>
  <c r="BB398" i="6" s="1"/>
  <c r="BU580" i="6"/>
  <c r="BO250" i="6"/>
  <c r="BP250" i="6"/>
  <c r="BI688" i="6"/>
  <c r="BH688" i="6"/>
  <c r="CB1007" i="6"/>
  <c r="CC1007" i="6"/>
  <c r="BI846" i="6"/>
  <c r="BH846" i="6"/>
  <c r="BU766" i="6"/>
  <c r="BA766" i="6"/>
  <c r="BB766" i="6" s="1"/>
  <c r="CA37" i="6"/>
  <c r="BU37" i="6"/>
  <c r="BW37" i="6" s="1"/>
  <c r="BA538" i="6"/>
  <c r="BB538" i="6" s="1"/>
  <c r="CA538" i="6"/>
  <c r="CC538" i="6" s="1"/>
  <c r="BA569" i="6"/>
  <c r="BB569" i="6" s="1"/>
  <c r="BU569" i="6"/>
  <c r="BA817" i="6"/>
  <c r="BB817" i="6" s="1"/>
  <c r="CA817" i="6"/>
  <c r="CB817" i="6" s="1"/>
  <c r="BU454" i="6"/>
  <c r="BV454" i="6" s="1"/>
  <c r="BA454" i="6"/>
  <c r="BB454" i="6" s="1"/>
  <c r="BA306" i="6"/>
  <c r="BB306" i="6" s="1"/>
  <c r="BU306" i="6"/>
  <c r="BV306" i="6" s="1"/>
  <c r="BA356" i="6"/>
  <c r="BB356" i="6" s="1"/>
  <c r="BU356" i="6"/>
  <c r="BV356" i="6" s="1"/>
  <c r="CA726" i="6"/>
  <c r="BU726" i="6"/>
  <c r="BA244" i="6"/>
  <c r="BB244" i="6" s="1"/>
  <c r="BU244" i="6"/>
  <c r="BV244" i="6" s="1"/>
  <c r="BO668" i="6"/>
  <c r="BP668" i="6"/>
  <c r="BP630" i="6"/>
  <c r="BO630" i="6"/>
  <c r="AT828" i="6"/>
  <c r="BN828" i="6"/>
  <c r="BG828" i="6"/>
  <c r="BH116" i="6"/>
  <c r="BI116" i="6"/>
  <c r="BI194" i="6"/>
  <c r="BH194" i="6"/>
  <c r="BI414" i="6"/>
  <c r="BI883" i="6"/>
  <c r="BH883" i="6"/>
  <c r="CA517" i="6"/>
  <c r="CA530" i="6"/>
  <c r="BA598" i="6"/>
  <c r="BB598" i="6" s="1"/>
  <c r="BU191" i="6"/>
  <c r="BP117" i="6"/>
  <c r="BO117" i="6"/>
  <c r="BH323" i="6"/>
  <c r="BI323" i="6"/>
  <c r="BU162" i="6"/>
  <c r="CA162" i="6"/>
  <c r="CA191" i="6"/>
  <c r="CC191" i="6" s="1"/>
  <c r="CA280" i="6"/>
  <c r="BU280" i="6"/>
  <c r="CA151" i="6"/>
  <c r="BU151" i="6"/>
  <c r="BA537" i="6"/>
  <c r="BB537" i="6" s="1"/>
  <c r="CA537" i="6"/>
  <c r="CC537" i="6" s="1"/>
  <c r="BA644" i="6"/>
  <c r="BB644" i="6" s="1"/>
  <c r="BU644" i="6"/>
  <c r="BH36" i="6"/>
  <c r="AT796" i="6"/>
  <c r="BN796" i="6"/>
  <c r="BP796" i="6" s="1"/>
  <c r="BP337" i="6"/>
  <c r="BO337" i="6"/>
  <c r="BO610" i="6"/>
  <c r="CH1015" i="6"/>
  <c r="CG1015" i="6" s="1"/>
  <c r="CA633" i="6"/>
  <c r="CC633" i="6" s="1"/>
  <c r="BP232" i="6"/>
  <c r="BN604" i="6"/>
  <c r="CA1023" i="6"/>
  <c r="BG746" i="6"/>
  <c r="BI963" i="6"/>
  <c r="BH236" i="6"/>
  <c r="BN236" i="6"/>
  <c r="BG189" i="6"/>
  <c r="BI189" i="6" s="1"/>
  <c r="AT746" i="6"/>
  <c r="BN692" i="6"/>
  <c r="BN432" i="6"/>
  <c r="BG432" i="6"/>
  <c r="BN993" i="6"/>
  <c r="BG993" i="6"/>
  <c r="AT825" i="6"/>
  <c r="BN825" i="6"/>
  <c r="BN558" i="6"/>
  <c r="AT558" i="6"/>
  <c r="BG82" i="6"/>
  <c r="BN82" i="6"/>
  <c r="BO1020" i="6"/>
  <c r="BH625" i="6"/>
  <c r="BI625" i="6"/>
  <c r="AT72" i="6"/>
  <c r="BG72" i="6"/>
  <c r="AT722" i="6"/>
  <c r="BN722" i="6"/>
  <c r="AT847" i="6"/>
  <c r="BG847" i="6"/>
  <c r="BN190" i="6"/>
  <c r="BN457" i="6"/>
  <c r="BG457" i="6"/>
  <c r="BG586" i="6"/>
  <c r="BN586" i="6"/>
  <c r="AT667" i="6"/>
  <c r="BN667" i="6"/>
  <c r="BG667" i="6"/>
  <c r="AT171" i="6"/>
  <c r="BG171" i="6"/>
  <c r="BN574" i="6"/>
  <c r="BN204" i="6"/>
  <c r="BG574" i="6"/>
  <c r="AT82" i="6"/>
  <c r="AT497" i="6"/>
  <c r="BN497" i="6"/>
  <c r="BG825" i="6"/>
  <c r="AT463" i="6"/>
  <c r="BG463" i="6"/>
  <c r="BN1017" i="6"/>
  <c r="AS1017" i="6"/>
  <c r="AT1017" i="6" s="1"/>
  <c r="BI143" i="6"/>
  <c r="BH143" i="6"/>
  <c r="AT835" i="6"/>
  <c r="BG835" i="6"/>
  <c r="AT488" i="6"/>
  <c r="BN488" i="6"/>
  <c r="BH684" i="6"/>
  <c r="BI684" i="6"/>
  <c r="AT773" i="6"/>
  <c r="BN773" i="6"/>
  <c r="BN147" i="6"/>
  <c r="AT147" i="6"/>
  <c r="BI281" i="6"/>
  <c r="BH281" i="6"/>
  <c r="BF832" i="6"/>
  <c r="BG832" i="6" s="1"/>
  <c r="BI832" i="6" s="1"/>
  <c r="BM832" i="6"/>
  <c r="BN832" i="6" s="1"/>
  <c r="BP832" i="6" s="1"/>
  <c r="AN876" i="6" a="1"/>
  <c r="AN876" i="6" s="1"/>
  <c r="AP876" i="6"/>
  <c r="AP273" i="6"/>
  <c r="AN273" i="6" a="1"/>
  <c r="AN273" i="6" s="1"/>
  <c r="AN550" i="6" a="1"/>
  <c r="AN550" i="6" s="1"/>
  <c r="AP550" i="6"/>
  <c r="BF302" i="6"/>
  <c r="BG302" i="6" s="1"/>
  <c r="BM302" i="6"/>
  <c r="BN302" i="6" s="1"/>
  <c r="BM437" i="6"/>
  <c r="BN437" i="6" s="1"/>
  <c r="BF437" i="6"/>
  <c r="BG437" i="6" s="1"/>
  <c r="BO161" i="6"/>
  <c r="BP161" i="6"/>
  <c r="BH781" i="6"/>
  <c r="BI781" i="6"/>
  <c r="BO684" i="6"/>
  <c r="BP684" i="6"/>
  <c r="AT577" i="6"/>
  <c r="BG577" i="6"/>
  <c r="BN577" i="6"/>
  <c r="AT213" i="6"/>
  <c r="BN213" i="6"/>
  <c r="AT857" i="6"/>
  <c r="BN857" i="6"/>
  <c r="BO578" i="6"/>
  <c r="BP578" i="6"/>
  <c r="BO233" i="6"/>
  <c r="BP233" i="6"/>
  <c r="BP254" i="6"/>
  <c r="BO254" i="6"/>
  <c r="BT566" i="6"/>
  <c r="BU566" i="6" s="1"/>
  <c r="BZ566" i="6"/>
  <c r="J198" i="4" a="1"/>
  <c r="J198" i="4" s="1"/>
  <c r="K198" i="4" a="1"/>
  <c r="K198" i="4" s="1"/>
  <c r="BI186" i="6"/>
  <c r="BH29" i="6"/>
  <c r="BI399" i="6"/>
  <c r="BI958" i="6"/>
  <c r="BO669" i="6"/>
  <c r="BG225" i="6"/>
  <c r="BN225" i="6"/>
  <c r="AT673" i="6"/>
  <c r="BG908" i="6"/>
  <c r="BG354" i="6"/>
  <c r="BN375" i="6"/>
  <c r="AP22" i="6"/>
  <c r="AT22" i="6" s="1"/>
  <c r="AN22" i="6" a="1"/>
  <c r="AN22" i="6" s="1"/>
  <c r="AN123" i="6" a="1"/>
  <c r="AN123" i="6" s="1"/>
  <c r="AP123" i="6"/>
  <c r="AN404" i="6" a="1"/>
  <c r="AN404" i="6" s="1"/>
  <c r="AP404" i="6"/>
  <c r="BF192" i="6"/>
  <c r="BG192" i="6" s="1"/>
  <c r="BM192" i="6"/>
  <c r="BN192" i="6" s="1"/>
  <c r="K58" i="4" a="1"/>
  <c r="K58" i="4" s="1"/>
  <c r="AU1003" i="6"/>
  <c r="AX1003" i="6" s="1"/>
  <c r="BF916" i="6"/>
  <c r="BG916" i="6" s="1"/>
  <c r="BM916" i="6"/>
  <c r="BN916" i="6" s="1"/>
  <c r="BO916" i="6" s="1"/>
  <c r="K72" i="4" a="1"/>
  <c r="K72" i="4" s="1"/>
  <c r="J72" i="4" a="1"/>
  <c r="J72" i="4" s="1"/>
  <c r="AT744" i="6"/>
  <c r="BG744" i="6"/>
  <c r="BN462" i="6"/>
  <c r="BG984" i="6"/>
  <c r="BG327" i="6"/>
  <c r="BN680" i="6"/>
  <c r="BG761" i="6"/>
  <c r="BG1000" i="6"/>
  <c r="BN433" i="6"/>
  <c r="BG315" i="6"/>
  <c r="BG297" i="6"/>
  <c r="BG645" i="6"/>
  <c r="BG263" i="6"/>
  <c r="BH263" i="6" s="1"/>
  <c r="BN274" i="6"/>
  <c r="BN155" i="6"/>
  <c r="BG505" i="6"/>
  <c r="BG292" i="6"/>
  <c r="BN533" i="6"/>
  <c r="BN156" i="6"/>
  <c r="BB115" i="6"/>
  <c r="CF115" i="6"/>
  <c r="CE115" i="6" s="1"/>
  <c r="BO323" i="6"/>
  <c r="BP323" i="6"/>
  <c r="BH642" i="6"/>
  <c r="BI642" i="6"/>
  <c r="CB225" i="6"/>
  <c r="CC417" i="6"/>
  <c r="BH738" i="6"/>
  <c r="BH756" i="6"/>
  <c r="BI756" i="6"/>
  <c r="BA718" i="6"/>
  <c r="BB718" i="6" s="1"/>
  <c r="CA718" i="6"/>
  <c r="CC718" i="6" s="1"/>
  <c r="CC969" i="6"/>
  <c r="CB969" i="6"/>
  <c r="CB134" i="6"/>
  <c r="CC134" i="6"/>
  <c r="CB879" i="6"/>
  <c r="CC879" i="6"/>
  <c r="CA426" i="6"/>
  <c r="BA426" i="6"/>
  <c r="BB426" i="6" s="1"/>
  <c r="BA751" i="6"/>
  <c r="BB751" i="6" s="1"/>
  <c r="CA751" i="6"/>
  <c r="BP66" i="6"/>
  <c r="BH390" i="6"/>
  <c r="BI390" i="6"/>
  <c r="BH380" i="6"/>
  <c r="BV894" i="6"/>
  <c r="BW894" i="6"/>
  <c r="BH691" i="6"/>
  <c r="BW315" i="6"/>
  <c r="BV315" i="6"/>
  <c r="BW105" i="6"/>
  <c r="BV105" i="6"/>
  <c r="CB698" i="6"/>
  <c r="CB207" i="6"/>
  <c r="CB63" i="6"/>
  <c r="CC127" i="6"/>
  <c r="CB701" i="6"/>
  <c r="BP921" i="6"/>
  <c r="BO921" i="6"/>
  <c r="BI226" i="6"/>
  <c r="BH226" i="6"/>
  <c r="BI870" i="6"/>
  <c r="BH870" i="6"/>
  <c r="CA96" i="6"/>
  <c r="BU96" i="6"/>
  <c r="BW240" i="6"/>
  <c r="BU900" i="6"/>
  <c r="BA900" i="6"/>
  <c r="BB900" i="6" s="1"/>
  <c r="BH671" i="6"/>
  <c r="CC179" i="6"/>
  <c r="CC139" i="6"/>
  <c r="CB768" i="6"/>
  <c r="BW252" i="6"/>
  <c r="BW448" i="6"/>
  <c r="CC237" i="6"/>
  <c r="CB237" i="6"/>
  <c r="CB537" i="6"/>
  <c r="BW8" i="6"/>
  <c r="BV8" i="6"/>
  <c r="BW730" i="6"/>
  <c r="BV730" i="6"/>
  <c r="CC102" i="6"/>
  <c r="CB102" i="6"/>
  <c r="BV330" i="6"/>
  <c r="CC840" i="6"/>
  <c r="BW744" i="6"/>
  <c r="BW307" i="6"/>
  <c r="CC754" i="6"/>
  <c r="CC425" i="6"/>
  <c r="CC628" i="6"/>
  <c r="BU529" i="6"/>
  <c r="BW306" i="6"/>
  <c r="BW822" i="6"/>
  <c r="BV822" i="6"/>
  <c r="CB843" i="6"/>
  <c r="CC843" i="6"/>
  <c r="BH220" i="6"/>
  <c r="BI220" i="6"/>
  <c r="BI117" i="6"/>
  <c r="BH117" i="6"/>
  <c r="BP594" i="6"/>
  <c r="BO594" i="6"/>
  <c r="BP95" i="6"/>
  <c r="BO95" i="6"/>
  <c r="BO1005" i="6"/>
  <c r="BP1005" i="6"/>
  <c r="CA19" i="6"/>
  <c r="BU19" i="6"/>
  <c r="BA19" i="6"/>
  <c r="BV207" i="6"/>
  <c r="BW207" i="6"/>
  <c r="CA906" i="6"/>
  <c r="BA906" i="6"/>
  <c r="BB906" i="6" s="1"/>
  <c r="BU394" i="6"/>
  <c r="CA394" i="6"/>
  <c r="BW594" i="6"/>
  <c r="BV594" i="6"/>
  <c r="BU334" i="6"/>
  <c r="CA334" i="6"/>
  <c r="CC334" i="6" s="1"/>
  <c r="BW826" i="6"/>
  <c r="BV826" i="6"/>
  <c r="CC42" i="6"/>
  <c r="BI549" i="6"/>
  <c r="BH549" i="6"/>
  <c r="CB47" i="6"/>
  <c r="CC47" i="6"/>
  <c r="CC925" i="6"/>
  <c r="CB925" i="6"/>
  <c r="CA785" i="6"/>
  <c r="BA785" i="6"/>
  <c r="BB785" i="6" s="1"/>
  <c r="BU785" i="6"/>
  <c r="BV785" i="6" s="1"/>
  <c r="CA774" i="6"/>
  <c r="BU774" i="6"/>
  <c r="BV774" i="6" s="1"/>
  <c r="BA774" i="6"/>
  <c r="BB774" i="6" s="1"/>
  <c r="CA168" i="6"/>
  <c r="BU168" i="6"/>
  <c r="BU422" i="6"/>
  <c r="CA422" i="6"/>
  <c r="BA422" i="6"/>
  <c r="BB422" i="6" s="1"/>
  <c r="CA336" i="6"/>
  <c r="BU336" i="6"/>
  <c r="BA487" i="6"/>
  <c r="BB487" i="6" s="1"/>
  <c r="CA487" i="6"/>
  <c r="BO423" i="6"/>
  <c r="BP423" i="6"/>
  <c r="BU578" i="6"/>
  <c r="BA578" i="6"/>
  <c r="BB578" i="6" s="1"/>
  <c r="CA881" i="6"/>
  <c r="CB881" i="6" s="1"/>
  <c r="BU562" i="6"/>
  <c r="BA562" i="6"/>
  <c r="BB562" i="6" s="1"/>
  <c r="BA611" i="6"/>
  <c r="BB611" i="6" s="1"/>
  <c r="CA611" i="6"/>
  <c r="BU62" i="6"/>
  <c r="BA62" i="6"/>
  <c r="BB62" i="6" s="1"/>
  <c r="CA112" i="6"/>
  <c r="BA112" i="6"/>
  <c r="BB112" i="6" s="1"/>
  <c r="CA861" i="6"/>
  <c r="BU861" i="6"/>
  <c r="BU764" i="6"/>
  <c r="BA764" i="6"/>
  <c r="BB764" i="6" s="1"/>
  <c r="BU447" i="6"/>
  <c r="CA447" i="6"/>
  <c r="BU25" i="6"/>
  <c r="BA25" i="6"/>
  <c r="BB25" i="6" s="1"/>
  <c r="BA3" i="6"/>
  <c r="BB3" i="6" s="1"/>
  <c r="BU3" i="6"/>
  <c r="BP209" i="6"/>
  <c r="BO209" i="6"/>
  <c r="BH33" i="6"/>
  <c r="BI33" i="6"/>
  <c r="AT756" i="6"/>
  <c r="BN756" i="6"/>
  <c r="BP756" i="6" s="1"/>
  <c r="AT362" i="6"/>
  <c r="BN362" i="6"/>
  <c r="BO362" i="6" s="1"/>
  <c r="BG250" i="6"/>
  <c r="AT250" i="6"/>
  <c r="BH943" i="6"/>
  <c r="BI943" i="6"/>
  <c r="BH199" i="6"/>
  <c r="BI199" i="6"/>
  <c r="AT244" i="6"/>
  <c r="BN244" i="6"/>
  <c r="AT61" i="6"/>
  <c r="BN61" i="6"/>
  <c r="BN997" i="6"/>
  <c r="BO997" i="6" s="1"/>
  <c r="BP908" i="6"/>
  <c r="BO908" i="6"/>
  <c r="BI510" i="6"/>
  <c r="CA292" i="6"/>
  <c r="BU292" i="6"/>
  <c r="BW292" i="6" s="1"/>
  <c r="BU767" i="6"/>
  <c r="BA767" i="6"/>
  <c r="BB767" i="6" s="1"/>
  <c r="BO42" i="6"/>
  <c r="BP42" i="6"/>
  <c r="BN206" i="6"/>
  <c r="AT206" i="6"/>
  <c r="BP356" i="6"/>
  <c r="BO356" i="6"/>
  <c r="BH906" i="6"/>
  <c r="BI906" i="6"/>
  <c r="BN919" i="6"/>
  <c r="AT919" i="6"/>
  <c r="BG1024" i="6"/>
  <c r="BG783" i="6"/>
  <c r="BN783" i="6"/>
  <c r="BG459" i="6"/>
  <c r="BN459" i="6"/>
  <c r="K89" i="4" a="1"/>
  <c r="K89" i="4" s="1"/>
  <c r="J89" i="4" a="1"/>
  <c r="J89" i="4" s="1"/>
  <c r="BM949" i="6"/>
  <c r="BN949" i="6" s="1"/>
  <c r="BF949" i="6"/>
  <c r="BG949" i="6" s="1"/>
  <c r="BG743" i="6"/>
  <c r="BG299" i="6"/>
  <c r="AT150" i="6"/>
  <c r="BN150" i="6"/>
  <c r="BO507" i="6"/>
  <c r="BP507" i="6"/>
  <c r="BI935" i="6"/>
  <c r="BH935" i="6"/>
  <c r="BU732" i="6"/>
  <c r="CA778" i="6"/>
  <c r="CC778" i="6" s="1"/>
  <c r="BH999" i="6"/>
  <c r="AT33" i="6"/>
  <c r="BH451" i="6"/>
  <c r="BI451" i="6"/>
  <c r="BH564" i="6"/>
  <c r="BI564" i="6"/>
  <c r="BM554" i="6"/>
  <c r="BN554" i="6" s="1"/>
  <c r="BF554" i="6"/>
  <c r="BG554" i="6" s="1"/>
  <c r="AN484" i="6" a="1"/>
  <c r="AN484" i="6" s="1"/>
  <c r="AP484" i="6"/>
  <c r="BM490" i="6"/>
  <c r="BN490" i="6" s="1"/>
  <c r="BP490" i="6" s="1"/>
  <c r="BF490" i="6"/>
  <c r="BG490" i="6" s="1"/>
  <c r="J143" i="4" a="1"/>
  <c r="J143" i="4" s="1"/>
  <c r="K143" i="4" a="1"/>
  <c r="K143" i="4" s="1"/>
  <c r="BN354" i="6"/>
  <c r="BN644" i="6"/>
  <c r="CF644" i="6" s="1"/>
  <c r="CE644" i="6" s="1"/>
  <c r="BU1011" i="6"/>
  <c r="BN869" i="6"/>
  <c r="BN160" i="6"/>
  <c r="BW940" i="6"/>
  <c r="BV940" i="6"/>
  <c r="CC693" i="6"/>
  <c r="CB693" i="6"/>
  <c r="CC681" i="6"/>
  <c r="CB681" i="6"/>
  <c r="CB45" i="6"/>
  <c r="CC45" i="6"/>
  <c r="BV268" i="6"/>
  <c r="BW268" i="6"/>
  <c r="CB862" i="6"/>
  <c r="CC862" i="6"/>
  <c r="CC40" i="6"/>
  <c r="CB40" i="6"/>
  <c r="BU388" i="6"/>
  <c r="BA388" i="6"/>
  <c r="BB388" i="6" s="1"/>
  <c r="BU949" i="6"/>
  <c r="BA949" i="6"/>
  <c r="CA444" i="6"/>
  <c r="BA444" i="6"/>
  <c r="BB444" i="6" s="1"/>
  <c r="BU290" i="6"/>
  <c r="BA290" i="6"/>
  <c r="BB290" i="6" s="1"/>
  <c r="BA21" i="6"/>
  <c r="BU21" i="6"/>
  <c r="CA164" i="6"/>
  <c r="BU164" i="6"/>
  <c r="BW164" i="6" s="1"/>
  <c r="BU171" i="6"/>
  <c r="CA171" i="6"/>
  <c r="CB171" i="6" s="1"/>
  <c r="BU786" i="6"/>
  <c r="BA786" i="6"/>
  <c r="BB786" i="6" s="1"/>
  <c r="CA721" i="6"/>
  <c r="CC721" i="6" s="1"/>
  <c r="BU721" i="6"/>
  <c r="BV721" i="6" s="1"/>
  <c r="BU625" i="6"/>
  <c r="CA625" i="6"/>
  <c r="CA867" i="6"/>
  <c r="BA867" i="6"/>
  <c r="BB867" i="6" s="1"/>
  <c r="CA330" i="6"/>
  <c r="BA330" i="6"/>
  <c r="BB330" i="6" s="1"/>
  <c r="BA841" i="6"/>
  <c r="BB841" i="6" s="1"/>
  <c r="BU841" i="6"/>
  <c r="BA470" i="6"/>
  <c r="BB470" i="6" s="1"/>
  <c r="BU470" i="6"/>
  <c r="BA482" i="6"/>
  <c r="BB482" i="6" s="1"/>
  <c r="BU482" i="6"/>
  <c r="BW482" i="6" s="1"/>
  <c r="BA72" i="6"/>
  <c r="BB72" i="6" s="1"/>
  <c r="BU72" i="6"/>
  <c r="CA138" i="6"/>
  <c r="BU138" i="6"/>
  <c r="BW138" i="6" s="1"/>
  <c r="CA883" i="6"/>
  <c r="BU883" i="6"/>
  <c r="BA85" i="6"/>
  <c r="BB85" i="6" s="1"/>
  <c r="BU85" i="6"/>
  <c r="BI498" i="6"/>
  <c r="BO957" i="6"/>
  <c r="BP957" i="6"/>
  <c r="BP879" i="6"/>
  <c r="BO879" i="6"/>
  <c r="BU974" i="6"/>
  <c r="BW974" i="6" s="1"/>
  <c r="CA72" i="6"/>
  <c r="CC72" i="6" s="1"/>
  <c r="CA886" i="6"/>
  <c r="CF886" i="6" s="1"/>
  <c r="CE886" i="6" s="1"/>
  <c r="BU375" i="6"/>
  <c r="BA573" i="6"/>
  <c r="BB573" i="6" s="1"/>
  <c r="CA44" i="6"/>
  <c r="CB44" i="6" s="1"/>
  <c r="CA900" i="6"/>
  <c r="BA336" i="6"/>
  <c r="BB336" i="6" s="1"/>
  <c r="CA841" i="6"/>
  <c r="CA593" i="6"/>
  <c r="CC593" i="6" s="1"/>
  <c r="CA740" i="6"/>
  <c r="CB740" i="6" s="1"/>
  <c r="CA544" i="6"/>
  <c r="BU426" i="6"/>
  <c r="CA62" i="6"/>
  <c r="BA360" i="6"/>
  <c r="BB360" i="6" s="1"/>
  <c r="BU587" i="6"/>
  <c r="BW587" i="6" s="1"/>
  <c r="BA509" i="6"/>
  <c r="BB509" i="6" s="1"/>
  <c r="BU718" i="6"/>
  <c r="BV718" i="6" s="1"/>
  <c r="BU313" i="6"/>
  <c r="BU479" i="6"/>
  <c r="BV479" i="6" s="1"/>
  <c r="BU537" i="6"/>
  <c r="BV537" i="6" s="1"/>
  <c r="BU179" i="6"/>
  <c r="BU326" i="6"/>
  <c r="BV326" i="6" s="1"/>
  <c r="CA326" i="6"/>
  <c r="CA403" i="6"/>
  <c r="BU403" i="6"/>
  <c r="CA770" i="6"/>
  <c r="BA770" i="6"/>
  <c r="BA523" i="6"/>
  <c r="BB523" i="6" s="1"/>
  <c r="CA523" i="6"/>
  <c r="CA618" i="6"/>
  <c r="BU618" i="6"/>
  <c r="BW618" i="6" s="1"/>
  <c r="BA456" i="6"/>
  <c r="BB456" i="6" s="1"/>
  <c r="CA456" i="6"/>
  <c r="CC456" i="6" s="1"/>
  <c r="BO391" i="6"/>
  <c r="BP391" i="6"/>
  <c r="AS992" i="6"/>
  <c r="AT992" i="6" s="1"/>
  <c r="BN992" i="6"/>
  <c r="BH979" i="6"/>
  <c r="BI979" i="6"/>
  <c r="BI295" i="6"/>
  <c r="BH295" i="6"/>
  <c r="BT769" i="6"/>
  <c r="BU769" i="6" s="1"/>
  <c r="BZ769" i="6"/>
  <c r="BZ328" i="6"/>
  <c r="CA328" i="6" s="1"/>
  <c r="BT328" i="6"/>
  <c r="BU328" i="6" s="1"/>
  <c r="BZ177" i="6"/>
  <c r="CA177" i="6" s="1"/>
  <c r="BT177" i="6"/>
  <c r="BF207" i="6"/>
  <c r="BG207" i="6" s="1"/>
  <c r="BH207" i="6" s="1"/>
  <c r="BM207" i="6"/>
  <c r="BN207" i="6" s="1"/>
  <c r="BP207" i="6" s="1"/>
  <c r="AN198" i="6" a="1"/>
  <c r="AN198" i="6" s="1"/>
  <c r="AP198" i="6"/>
  <c r="AT242" i="6"/>
  <c r="BN242" i="6"/>
  <c r="BO242" i="6" s="1"/>
  <c r="BN967" i="6"/>
  <c r="BP967" i="6" s="1"/>
  <c r="BG967" i="6"/>
  <c r="BG864" i="6"/>
  <c r="AT864" i="6"/>
  <c r="BZ884" i="6"/>
  <c r="CA884" i="6" s="1"/>
  <c r="BT884" i="6"/>
  <c r="BT931" i="6"/>
  <c r="BU931" i="6" s="1"/>
  <c r="BZ931" i="6"/>
  <c r="CA931" i="6" s="1"/>
  <c r="K93" i="4" a="1"/>
  <c r="K93" i="4" s="1"/>
  <c r="J93" i="4" a="1"/>
  <c r="J93" i="4" s="1"/>
  <c r="AP170" i="6"/>
  <c r="AN170" i="6" a="1"/>
  <c r="AN170" i="6" s="1"/>
  <c r="AP936" i="6"/>
  <c r="AN936" i="6" a="1"/>
  <c r="AN936" i="6" s="1"/>
  <c r="BU756" i="6"/>
  <c r="AT63" i="6"/>
  <c r="BG63" i="6"/>
  <c r="BI443" i="6"/>
  <c r="BH443" i="6"/>
  <c r="BP396" i="6"/>
  <c r="BO396" i="6"/>
  <c r="AN543" i="6" a="1"/>
  <c r="AN543" i="6" s="1"/>
  <c r="AP543" i="6"/>
  <c r="BF55" i="6"/>
  <c r="BG55" i="6" s="1"/>
  <c r="BM55" i="6"/>
  <c r="BN55" i="6" s="1"/>
  <c r="BZ110" i="6"/>
  <c r="CA110" i="6" s="1"/>
  <c r="BT110" i="6"/>
  <c r="BU110" i="6" s="1"/>
  <c r="BT816" i="6"/>
  <c r="BU816" i="6" s="1"/>
  <c r="BZ816" i="6"/>
  <c r="CA816" i="6" s="1"/>
  <c r="AP889" i="6"/>
  <c r="AT889" i="6" s="1"/>
  <c r="AN889" i="6" a="1"/>
  <c r="AN889" i="6" s="1"/>
  <c r="BZ89" i="6"/>
  <c r="CA89" i="6" s="1"/>
  <c r="BT89" i="6"/>
  <c r="BU89" i="6" s="1"/>
  <c r="AU1012" i="6"/>
  <c r="AX1012" i="6" s="1"/>
  <c r="BU1012" i="6" s="1"/>
  <c r="K227" i="4" a="1"/>
  <c r="K227" i="4" s="1"/>
  <c r="J227" i="4" a="1"/>
  <c r="J227" i="4" s="1"/>
  <c r="AV1012" i="6" s="1"/>
  <c r="AN557" i="6" a="1"/>
  <c r="AN557" i="6" s="1"/>
  <c r="AP557" i="6"/>
  <c r="BN187" i="6"/>
  <c r="BN134" i="6"/>
  <c r="BG1020" i="6"/>
  <c r="CF1020" i="6" s="1"/>
  <c r="CE1020" i="6" s="1"/>
  <c r="BG405" i="6"/>
  <c r="BG351" i="6"/>
  <c r="BG913" i="6"/>
  <c r="CB65" i="6"/>
  <c r="CC65" i="6"/>
  <c r="CA317" i="6"/>
  <c r="BA317" i="6"/>
  <c r="BU317" i="6"/>
  <c r="BU709" i="6"/>
  <c r="BA709" i="6"/>
  <c r="BB709" i="6" s="1"/>
  <c r="BW784" i="6"/>
  <c r="BV784" i="6"/>
  <c r="BA684" i="6"/>
  <c r="CA684" i="6"/>
  <c r="BU684" i="6"/>
  <c r="BU235" i="6"/>
  <c r="CA235" i="6"/>
  <c r="BA235" i="6"/>
  <c r="BB235" i="6" s="1"/>
  <c r="BW246" i="6"/>
  <c r="BV246" i="6"/>
  <c r="BH832" i="6"/>
  <c r="CB1017" i="6"/>
  <c r="CC1017" i="6"/>
  <c r="BH981" i="6"/>
  <c r="BH530" i="6"/>
  <c r="BI530" i="6"/>
  <c r="BW17" i="6"/>
  <c r="BH138" i="6"/>
  <c r="BO962" i="6"/>
  <c r="BP67" i="6"/>
  <c r="CC530" i="6"/>
  <c r="CB530" i="6"/>
  <c r="BV1018" i="6"/>
  <c r="BW1018" i="6"/>
  <c r="CD1018" i="6" s="1"/>
  <c r="BH168" i="6"/>
  <c r="BI168" i="6"/>
  <c r="BO517" i="6"/>
  <c r="BV653" i="6"/>
  <c r="CC807" i="6"/>
  <c r="BW734" i="6"/>
  <c r="BW190" i="6"/>
  <c r="CC101" i="6"/>
  <c r="CC491" i="6"/>
  <c r="CF840" i="6"/>
  <c r="CE840" i="6" s="1"/>
  <c r="BB625" i="6"/>
  <c r="CB356" i="6"/>
  <c r="BI796" i="6"/>
  <c r="BP475" i="6"/>
  <c r="BI700" i="6"/>
  <c r="BP240" i="6"/>
  <c r="CC362" i="6"/>
  <c r="CB362" i="6"/>
  <c r="BU878" i="6"/>
  <c r="BW878" i="6" s="1"/>
  <c r="BA5" i="6"/>
  <c r="BB5" i="6" s="1"/>
  <c r="BA310" i="6"/>
  <c r="BB310" i="6" s="1"/>
  <c r="CA657" i="6"/>
  <c r="CA709" i="6"/>
  <c r="BW660" i="6"/>
  <c r="BV660" i="6"/>
  <c r="BW685" i="6"/>
  <c r="BV685" i="6"/>
  <c r="BO364" i="6"/>
  <c r="BP364" i="6"/>
  <c r="BW221" i="6"/>
  <c r="BV221" i="6"/>
  <c r="BA796" i="6"/>
  <c r="BB796" i="6" s="1"/>
  <c r="CA796" i="6"/>
  <c r="CA438" i="6"/>
  <c r="BU438" i="6"/>
  <c r="BW67" i="6"/>
  <c r="BV67" i="6"/>
  <c r="BW270" i="6"/>
  <c r="BV270" i="6"/>
  <c r="BW113" i="6"/>
  <c r="BV113" i="6"/>
  <c r="BU528" i="6"/>
  <c r="BA528" i="6"/>
  <c r="BB528" i="6" s="1"/>
  <c r="CA880" i="6"/>
  <c r="BU880" i="6"/>
  <c r="CC496" i="6"/>
  <c r="CB496" i="6"/>
  <c r="BU40" i="6"/>
  <c r="BA40" i="6"/>
  <c r="BB40" i="6" s="1"/>
  <c r="BA194" i="6"/>
  <c r="BB194" i="6" s="1"/>
  <c r="BU194" i="6"/>
  <c r="BA971" i="6"/>
  <c r="BB971" i="6" s="1"/>
  <c r="CA971" i="6"/>
  <c r="BU622" i="6"/>
  <c r="CA622" i="6"/>
  <c r="CA932" i="6"/>
  <c r="BU932" i="6"/>
  <c r="BA932" i="6"/>
  <c r="BB932" i="6" s="1"/>
  <c r="BO18" i="6"/>
  <c r="BP18" i="6"/>
  <c r="BP360" i="6"/>
  <c r="BO360" i="6"/>
  <c r="CC489" i="6"/>
  <c r="BO796" i="6"/>
  <c r="BW1010" i="6"/>
  <c r="BV1010" i="6"/>
  <c r="BP573" i="6"/>
  <c r="BO573" i="6"/>
  <c r="BV935" i="6"/>
  <c r="BV242" i="6"/>
  <c r="BW242" i="6"/>
  <c r="CB842" i="6"/>
  <c r="CC842" i="6"/>
  <c r="CB718" i="6"/>
  <c r="BV344" i="6"/>
  <c r="BV228" i="6"/>
  <c r="CB514" i="6"/>
  <c r="BH320" i="6"/>
  <c r="BV1017" i="6"/>
  <c r="BH430" i="6"/>
  <c r="BW442" i="6"/>
  <c r="CF442" i="6"/>
  <c r="CE442" i="6" s="1"/>
  <c r="BB551" i="6"/>
  <c r="CF607" i="6"/>
  <c r="CE607" i="6" s="1"/>
  <c r="BW637" i="6"/>
  <c r="BV637" i="6"/>
  <c r="BV373" i="6"/>
  <c r="BW373" i="6"/>
  <c r="BI844" i="6"/>
  <c r="BH844" i="6"/>
  <c r="BH556" i="6"/>
  <c r="BI556" i="6"/>
  <c r="BO756" i="6"/>
  <c r="BP221" i="6"/>
  <c r="BO221" i="6"/>
  <c r="CA205" i="6"/>
  <c r="BA205" i="6"/>
  <c r="BB205" i="6" s="1"/>
  <c r="CA242" i="6"/>
  <c r="BA242" i="6"/>
  <c r="BB242" i="6" s="1"/>
  <c r="BA961" i="6"/>
  <c r="BB961" i="6" s="1"/>
  <c r="BU961" i="6"/>
  <c r="BV512" i="6"/>
  <c r="BW512" i="6"/>
  <c r="CA342" i="6"/>
  <c r="BA342" i="6"/>
  <c r="BA894" i="6"/>
  <c r="BB894" i="6" s="1"/>
  <c r="CA894" i="6"/>
  <c r="BU520" i="6"/>
  <c r="BA520" i="6"/>
  <c r="BB520" i="6" s="1"/>
  <c r="CA858" i="6"/>
  <c r="CC858" i="6" s="1"/>
  <c r="BU858" i="6"/>
  <c r="BU975" i="6"/>
  <c r="CA975" i="6"/>
  <c r="BA65" i="6"/>
  <c r="BB65" i="6" s="1"/>
  <c r="BU65" i="6"/>
  <c r="CA712" i="6"/>
  <c r="BU712" i="6"/>
  <c r="BW870" i="6"/>
  <c r="BV870" i="6"/>
  <c r="BW539" i="6"/>
  <c r="BV539" i="6"/>
  <c r="BU761" i="6"/>
  <c r="BA761" i="6"/>
  <c r="BB761" i="6" s="1"/>
  <c r="BA399" i="6"/>
  <c r="BB399" i="6" s="1"/>
  <c r="BU399" i="6"/>
  <c r="BU551" i="6"/>
  <c r="BW551" i="6" s="1"/>
  <c r="CA551" i="6"/>
  <c r="CB551" i="6" s="1"/>
  <c r="BU693" i="6"/>
  <c r="BA693" i="6"/>
  <c r="BB693" i="6" s="1"/>
  <c r="BA782" i="6"/>
  <c r="BB782" i="6" s="1"/>
  <c r="CA782" i="6"/>
  <c r="CA158" i="6"/>
  <c r="BA158" i="6"/>
  <c r="BB158" i="6" s="1"/>
  <c r="BA451" i="6"/>
  <c r="BB451" i="6" s="1"/>
  <c r="BU451" i="6"/>
  <c r="CA773" i="6"/>
  <c r="BU773" i="6"/>
  <c r="BA931" i="6"/>
  <c r="BB931" i="6" s="1"/>
  <c r="BU672" i="6"/>
  <c r="CA672" i="6"/>
  <c r="BH657" i="6"/>
  <c r="BI657" i="6"/>
  <c r="BI704" i="6"/>
  <c r="BH704" i="6"/>
  <c r="AT769" i="6"/>
  <c r="BN769" i="6"/>
  <c r="BZ750" i="6"/>
  <c r="CA750" i="6" s="1"/>
  <c r="BT750" i="6"/>
  <c r="BU750" i="6" s="1"/>
  <c r="BZ189" i="6"/>
  <c r="CA189" i="6" s="1"/>
  <c r="BT189" i="6"/>
  <c r="BU189" i="6" s="1"/>
  <c r="BM676" i="6"/>
  <c r="BN676" i="6" s="1"/>
  <c r="BF676" i="6"/>
  <c r="BG676" i="6" s="1"/>
  <c r="BM294" i="6"/>
  <c r="BN294" i="6" s="1"/>
  <c r="BF294" i="6"/>
  <c r="BG294" i="6" s="1"/>
  <c r="BF806" i="6"/>
  <c r="BG806" i="6" s="1"/>
  <c r="BM806" i="6"/>
  <c r="BN806" i="6" s="1"/>
  <c r="BZ877" i="6"/>
  <c r="CA877" i="6" s="1"/>
  <c r="BT877" i="6"/>
  <c r="BU877" i="6" s="1"/>
  <c r="AP914" i="6"/>
  <c r="AT914" i="6" s="1"/>
  <c r="AN914" i="6" a="1"/>
  <c r="AN914" i="6" s="1"/>
  <c r="AP929" i="6"/>
  <c r="AT929" i="6" s="1"/>
  <c r="AN929" i="6" a="1"/>
  <c r="AN929" i="6" s="1"/>
  <c r="BF714" i="6"/>
  <c r="BG714" i="6" s="1"/>
  <c r="BM714" i="6"/>
  <c r="BN714" i="6" s="1"/>
  <c r="J10" i="4" a="1"/>
  <c r="J10" i="4" s="1"/>
  <c r="K10" i="4" a="1"/>
  <c r="K10" i="4" s="1"/>
  <c r="BF3" i="6"/>
  <c r="BG3" i="6" s="1"/>
  <c r="BM3" i="6"/>
  <c r="BN3" i="6" s="1"/>
  <c r="BF675" i="6"/>
  <c r="BG675" i="6" s="1"/>
  <c r="BH675" i="6" s="1"/>
  <c r="BM675" i="6"/>
  <c r="BN675" i="6" s="1"/>
  <c r="BM990" i="6"/>
  <c r="BN990" i="6" s="1"/>
  <c r="BF990" i="6"/>
  <c r="BG990" i="6" s="1"/>
  <c r="BM376" i="6"/>
  <c r="BN376" i="6" s="1"/>
  <c r="BF376" i="6"/>
  <c r="BG376" i="6" s="1"/>
  <c r="AN885" i="6" a="1"/>
  <c r="AN885" i="6" s="1"/>
  <c r="AP885" i="6"/>
  <c r="AT885" i="6" s="1"/>
  <c r="BM763" i="6"/>
  <c r="BN763" i="6" s="1"/>
  <c r="BO763" i="6" s="1"/>
  <c r="BF763" i="6"/>
  <c r="BG763" i="6" s="1"/>
  <c r="BF841" i="6"/>
  <c r="BG841" i="6" s="1"/>
  <c r="BI841" i="6" s="1"/>
  <c r="BM841" i="6"/>
  <c r="BN841" i="6" s="1"/>
  <c r="BT970" i="6"/>
  <c r="BU970" i="6" s="1"/>
  <c r="BZ970" i="6"/>
  <c r="CA970" i="6" s="1"/>
  <c r="AN747" i="6" a="1"/>
  <c r="AN747" i="6" s="1"/>
  <c r="AP747" i="6"/>
  <c r="AP775" i="6"/>
  <c r="BG775" i="6" s="1"/>
  <c r="AN775" i="6" a="1"/>
  <c r="AN775" i="6" s="1"/>
  <c r="AP339" i="6"/>
  <c r="AN339" i="6" a="1"/>
  <c r="AN339" i="6" s="1"/>
  <c r="BF750" i="6"/>
  <c r="BG750" i="6" s="1"/>
  <c r="BM750" i="6"/>
  <c r="BN750" i="6" s="1"/>
  <c r="BN299" i="6"/>
  <c r="BN395" i="6"/>
  <c r="BG526" i="6"/>
  <c r="BG122" i="6"/>
  <c r="BG108" i="6"/>
  <c r="BG540" i="6"/>
  <c r="BG230" i="6"/>
  <c r="BN849" i="6"/>
  <c r="BU998" i="6"/>
  <c r="BN379" i="6"/>
  <c r="CB547" i="6"/>
  <c r="CC547" i="6"/>
  <c r="BU558" i="6"/>
  <c r="CA558" i="6"/>
  <c r="CC384" i="6"/>
  <c r="CB384" i="6"/>
  <c r="CC654" i="6"/>
  <c r="CB654" i="6"/>
  <c r="CA86" i="6"/>
  <c r="BA86" i="6"/>
  <c r="BB86" i="6" s="1"/>
  <c r="BU86" i="6"/>
  <c r="BV91" i="6"/>
  <c r="BW91" i="6"/>
  <c r="BV213" i="6"/>
  <c r="CB798" i="6"/>
  <c r="CC798" i="6"/>
  <c r="BU225" i="6"/>
  <c r="BU567" i="6"/>
  <c r="BV567" i="6" s="1"/>
  <c r="CA410" i="6"/>
  <c r="BA8" i="6"/>
  <c r="BB8" i="6" s="1"/>
  <c r="BA97" i="6"/>
  <c r="BB97" i="6" s="1"/>
  <c r="CA146" i="6"/>
  <c r="BA146" i="6"/>
  <c r="BB146" i="6" s="1"/>
  <c r="BU602" i="6"/>
  <c r="CA602" i="6"/>
  <c r="CA527" i="6"/>
  <c r="BA527" i="6"/>
  <c r="BU198" i="6"/>
  <c r="BA198" i="6"/>
  <c r="BB198" i="6" s="1"/>
  <c r="CA427" i="6"/>
  <c r="BU427" i="6"/>
  <c r="BA596" i="6"/>
  <c r="BB596" i="6" s="1"/>
  <c r="BU596" i="6"/>
  <c r="BV596" i="6" s="1"/>
  <c r="BA234" i="6"/>
  <c r="BB234" i="6" s="1"/>
  <c r="BU234" i="6"/>
  <c r="BU591" i="6"/>
  <c r="CA591" i="6"/>
  <c r="CA248" i="6"/>
  <c r="BU248" i="6"/>
  <c r="BU251" i="6"/>
  <c r="BA251" i="6"/>
  <c r="BB251" i="6" s="1"/>
  <c r="BU670" i="6"/>
  <c r="BA670" i="6"/>
  <c r="CA952" i="6"/>
  <c r="BU952" i="6"/>
  <c r="CA749" i="6"/>
  <c r="BU749" i="6"/>
  <c r="CA94" i="6"/>
  <c r="BA94" i="6"/>
  <c r="BB94" i="6" s="1"/>
  <c r="BU828" i="6"/>
  <c r="CA828" i="6"/>
  <c r="BA353" i="6"/>
  <c r="BB353" i="6" s="1"/>
  <c r="CA353" i="6"/>
  <c r="CA800" i="6"/>
  <c r="BU800" i="6"/>
  <c r="BV800" i="6" s="1"/>
  <c r="BU775" i="6"/>
  <c r="CA775" i="6"/>
  <c r="CB775" i="6" s="1"/>
  <c r="CC375" i="6"/>
  <c r="CB375" i="6"/>
  <c r="CA985" i="6"/>
  <c r="BU985" i="6"/>
  <c r="BO498" i="6"/>
  <c r="BP498" i="6"/>
  <c r="BP615" i="6"/>
  <c r="BO615" i="6"/>
  <c r="BH42" i="6"/>
  <c r="BI42" i="6"/>
  <c r="BI188" i="6"/>
  <c r="BH188" i="6"/>
  <c r="BH415" i="6"/>
  <c r="BI415" i="6"/>
  <c r="BI76" i="6"/>
  <c r="BH76" i="6"/>
  <c r="BH891" i="6"/>
  <c r="BI891" i="6"/>
  <c r="J215" i="4" a="1"/>
  <c r="J215" i="4" s="1"/>
  <c r="K215" i="4" a="1"/>
  <c r="K215" i="4" s="1"/>
  <c r="BU384" i="6"/>
  <c r="BA384" i="6"/>
  <c r="BU926" i="6"/>
  <c r="CA926" i="6"/>
  <c r="BU258" i="6"/>
  <c r="CA258" i="6"/>
  <c r="BA22" i="6"/>
  <c r="BB22" i="6" s="1"/>
  <c r="CA22" i="6"/>
  <c r="BA765" i="6"/>
  <c r="BB765" i="6" s="1"/>
  <c r="CA765" i="6"/>
  <c r="BU885" i="6"/>
  <c r="CA885" i="6"/>
  <c r="CA278" i="6"/>
  <c r="BU278" i="6"/>
  <c r="BA279" i="6"/>
  <c r="BB279" i="6" s="1"/>
  <c r="CA279" i="6"/>
  <c r="BU649" i="6"/>
  <c r="BA649" i="6"/>
  <c r="BU701" i="6"/>
  <c r="BV701" i="6" s="1"/>
  <c r="BA701" i="6"/>
  <c r="BB701" i="6" s="1"/>
  <c r="BA148" i="6"/>
  <c r="BB148" i="6" s="1"/>
  <c r="BU148" i="6"/>
  <c r="BU590" i="6"/>
  <c r="CA590" i="6"/>
  <c r="BA695" i="6"/>
  <c r="BB695" i="6" s="1"/>
  <c r="CA695" i="6"/>
  <c r="CA814" i="6"/>
  <c r="BU814" i="6"/>
  <c r="BA822" i="6"/>
  <c r="BB822" i="6" s="1"/>
  <c r="CA822" i="6"/>
  <c r="CB822" i="6" s="1"/>
  <c r="BA869" i="6"/>
  <c r="CA869" i="6"/>
  <c r="CC869" i="6" s="1"/>
  <c r="BU893" i="6"/>
  <c r="CA893" i="6"/>
  <c r="BP403" i="6"/>
  <c r="BO403" i="6"/>
  <c r="BU657" i="6"/>
  <c r="BH717" i="6"/>
  <c r="BI717" i="6"/>
  <c r="BP693" i="6"/>
  <c r="BO693" i="6"/>
  <c r="AN454" i="6" a="1"/>
  <c r="AN454" i="6" s="1"/>
  <c r="AP454" i="6"/>
  <c r="AN165" i="6" a="1"/>
  <c r="AN165" i="6" s="1"/>
  <c r="AP165" i="6"/>
  <c r="AP848" i="6"/>
  <c r="AT848" i="6" s="1"/>
  <c r="AN848" i="6" a="1"/>
  <c r="AN848" i="6" s="1"/>
  <c r="AN467" i="6" a="1"/>
  <c r="AN467" i="6" s="1"/>
  <c r="AP467" i="6"/>
  <c r="BP56" i="6"/>
  <c r="CA507" i="6"/>
  <c r="CC507" i="6" s="1"/>
  <c r="BH142" i="6"/>
  <c r="BN540" i="6"/>
  <c r="BM702" i="6"/>
  <c r="BN702" i="6" s="1"/>
  <c r="BF702" i="6"/>
  <c r="BG702" i="6" s="1"/>
  <c r="BN516" i="6"/>
  <c r="BG377" i="6"/>
  <c r="CC661" i="6"/>
  <c r="CB661" i="6"/>
  <c r="CC442" i="6"/>
  <c r="BW531" i="6"/>
  <c r="BV531" i="6"/>
  <c r="BV663" i="6"/>
  <c r="CB222" i="6"/>
  <c r="CC222" i="6"/>
  <c r="BP738" i="6"/>
  <c r="BO738" i="6"/>
  <c r="CB1010" i="6"/>
  <c r="CF1010" i="6"/>
  <c r="CE1010" i="6" s="1"/>
  <c r="CC1010" i="6"/>
  <c r="BU920" i="6"/>
  <c r="BA920" i="6"/>
  <c r="BB920" i="6" s="1"/>
  <c r="BU414" i="6"/>
  <c r="CA414" i="6"/>
  <c r="BU325" i="6"/>
  <c r="CA325" i="6"/>
  <c r="BA499" i="6"/>
  <c r="CA499" i="6"/>
  <c r="CC528" i="6"/>
  <c r="CB528" i="6"/>
  <c r="CB87" i="6"/>
  <c r="CC87" i="6"/>
  <c r="CB286" i="6"/>
  <c r="CC286" i="6"/>
  <c r="BO200" i="6"/>
  <c r="BP200" i="6"/>
  <c r="BO152" i="6"/>
  <c r="BU54" i="6"/>
  <c r="BW54" i="6" s="1"/>
  <c r="CA54" i="6"/>
  <c r="CB947" i="6"/>
  <c r="CC947" i="6"/>
  <c r="CA934" i="6"/>
  <c r="BU934" i="6"/>
  <c r="CC519" i="6"/>
  <c r="CB519" i="6"/>
  <c r="CF862" i="6"/>
  <c r="CE862" i="6" s="1"/>
  <c r="BW420" i="6"/>
  <c r="BV420" i="6"/>
  <c r="BV444" i="6"/>
  <c r="BW444" i="6"/>
  <c r="BH962" i="6"/>
  <c r="BI962" i="6"/>
  <c r="BI152" i="6"/>
  <c r="BH152" i="6"/>
  <c r="CB721" i="6"/>
  <c r="BW560" i="6"/>
  <c r="BV560" i="6"/>
  <c r="BU555" i="6"/>
  <c r="CA555" i="6"/>
  <c r="CB555" i="6" s="1"/>
  <c r="CB387" i="6"/>
  <c r="CC387" i="6"/>
  <c r="BA716" i="6"/>
  <c r="BB716" i="6" s="1"/>
  <c r="BU716" i="6"/>
  <c r="BA295" i="6"/>
  <c r="BB295" i="6" s="1"/>
  <c r="BU295" i="6"/>
  <c r="BU951" i="6"/>
  <c r="BA951" i="6"/>
  <c r="BB951" i="6" s="1"/>
  <c r="BA807" i="6"/>
  <c r="BB807" i="6" s="1"/>
  <c r="BU807" i="6"/>
  <c r="BW807" i="6" s="1"/>
  <c r="CA619" i="6"/>
  <c r="BU619" i="6"/>
  <c r="BO246" i="6"/>
  <c r="BU661" i="6"/>
  <c r="BW661" i="6" s="1"/>
  <c r="CA483" i="6"/>
  <c r="BU593" i="6"/>
  <c r="BA448" i="6"/>
  <c r="BB448" i="6" s="1"/>
  <c r="CA539" i="6"/>
  <c r="CA38" i="6"/>
  <c r="CC38" i="6" s="1"/>
  <c r="BU715" i="6"/>
  <c r="BU382" i="6"/>
  <c r="BA916" i="6"/>
  <c r="BB916" i="6" s="1"/>
  <c r="BU510" i="6"/>
  <c r="CA876" i="6"/>
  <c r="CA470" i="6"/>
  <c r="CA490" i="6"/>
  <c r="CC490" i="6" s="1"/>
  <c r="BA558" i="6"/>
  <c r="BB558" i="6" s="1"/>
  <c r="BA496" i="6"/>
  <c r="BB496" i="6" s="1"/>
  <c r="CA951" i="6"/>
  <c r="CA251" i="6"/>
  <c r="BP706" i="6"/>
  <c r="BO706" i="6"/>
  <c r="CA252" i="6"/>
  <c r="BA252" i="6"/>
  <c r="BU781" i="6"/>
  <c r="BA781" i="6"/>
  <c r="BB781" i="6" s="1"/>
  <c r="BA302" i="6"/>
  <c r="BB302" i="6" s="1"/>
  <c r="BU302" i="6"/>
  <c r="BV302" i="6" s="1"/>
  <c r="BA490" i="6"/>
  <c r="BB490" i="6" s="1"/>
  <c r="BH374" i="6"/>
  <c r="BI374" i="6"/>
  <c r="CA913" i="6"/>
  <c r="BA913" i="6"/>
  <c r="BB913" i="6" s="1"/>
  <c r="BV1022" i="6"/>
  <c r="CF1022" i="6"/>
  <c r="CE1022" i="6" s="1"/>
  <c r="BU740" i="6"/>
  <c r="CA148" i="6"/>
  <c r="CA244" i="6"/>
  <c r="CA761" i="6"/>
  <c r="CA516" i="6"/>
  <c r="CA379" i="6"/>
  <c r="BA326" i="6"/>
  <c r="BB326" i="6" s="1"/>
  <c r="BA340" i="6"/>
  <c r="BB340" i="6" s="1"/>
  <c r="CA586" i="6"/>
  <c r="BU633" i="6"/>
  <c r="BW633" i="6" s="1"/>
  <c r="BA663" i="6"/>
  <c r="BU830" i="6"/>
  <c r="BU163" i="6"/>
  <c r="CA211" i="6"/>
  <c r="BU237" i="6"/>
  <c r="BV237" i="6" s="1"/>
  <c r="CA575" i="6"/>
  <c r="CA305" i="6"/>
  <c r="BU695" i="6"/>
  <c r="BW695" i="6" s="1"/>
  <c r="BU230" i="6"/>
  <c r="CA580" i="6"/>
  <c r="BU575" i="6"/>
  <c r="BA818" i="6"/>
  <c r="BB818" i="6" s="1"/>
  <c r="BU788" i="6"/>
  <c r="BU526" i="6"/>
  <c r="BA526" i="6"/>
  <c r="CA696" i="6"/>
  <c r="BA696" i="6"/>
  <c r="CA183" i="6"/>
  <c r="BI752" i="6"/>
  <c r="BH752" i="6"/>
  <c r="BU267" i="6"/>
  <c r="CF267" i="6" s="1"/>
  <c r="CE267" i="6" s="1"/>
  <c r="BH496" i="6"/>
  <c r="BI496" i="6"/>
  <c r="BP855" i="6"/>
  <c r="BO855" i="6"/>
  <c r="BI544" i="6"/>
  <c r="BP859" i="6"/>
  <c r="BO859" i="6"/>
  <c r="BO887" i="6"/>
  <c r="BP887" i="6"/>
  <c r="BO235" i="6"/>
  <c r="BP235" i="6"/>
  <c r="BP228" i="6"/>
  <c r="BO228" i="6"/>
  <c r="BT917" i="6"/>
  <c r="BU917" i="6" s="1"/>
  <c r="BZ917" i="6"/>
  <c r="CA917" i="6" s="1"/>
  <c r="BP308" i="6"/>
  <c r="BG933" i="6"/>
  <c r="BN645" i="6"/>
  <c r="J84" i="4" a="1"/>
  <c r="J84" i="4" s="1"/>
  <c r="K84" i="4" a="1"/>
  <c r="K84" i="4" s="1"/>
  <c r="BG311" i="6"/>
  <c r="BN955" i="6"/>
  <c r="BV717" i="6"/>
  <c r="BW717" i="6"/>
  <c r="BB585" i="6"/>
  <c r="CB355" i="6"/>
  <c r="CC355" i="6"/>
  <c r="BW785" i="6"/>
  <c r="BB893" i="6"/>
  <c r="CC649" i="6"/>
  <c r="CB649" i="6"/>
  <c r="CB18" i="6"/>
  <c r="CC18" i="6"/>
  <c r="BH206" i="6"/>
  <c r="BI206" i="6"/>
  <c r="BI392" i="6"/>
  <c r="BH392" i="6"/>
  <c r="BO222" i="6"/>
  <c r="BP222" i="6"/>
  <c r="BA154" i="6"/>
  <c r="BU154" i="6"/>
  <c r="CA154" i="6"/>
  <c r="CA241" i="6"/>
  <c r="BA241" i="6"/>
  <c r="BB241" i="6" s="1"/>
  <c r="BA780" i="6"/>
  <c r="CA780" i="6"/>
  <c r="BU863" i="6"/>
  <c r="BA863" i="6"/>
  <c r="CA863" i="6"/>
  <c r="BA982" i="6"/>
  <c r="BU982" i="6"/>
  <c r="CA982" i="6"/>
  <c r="BU875" i="6"/>
  <c r="CA875" i="6"/>
  <c r="BW640" i="6"/>
  <c r="BV640" i="6"/>
  <c r="BV476" i="6"/>
  <c r="BW476" i="6"/>
  <c r="CF355" i="6"/>
  <c r="CE355" i="6" s="1"/>
  <c r="CC454" i="6"/>
  <c r="CB454" i="6"/>
  <c r="BV112" i="6"/>
  <c r="BW112" i="6"/>
  <c r="BW241" i="6"/>
  <c r="BV241" i="6"/>
  <c r="CB405" i="6"/>
  <c r="CC405" i="6"/>
  <c r="BV848" i="6"/>
  <c r="BW848" i="6"/>
  <c r="BI86" i="6"/>
  <c r="BH86" i="6"/>
  <c r="BH423" i="6"/>
  <c r="BI423" i="6"/>
  <c r="BA107" i="6"/>
  <c r="BB107" i="6" s="1"/>
  <c r="CA107" i="6"/>
  <c r="CA50" i="6"/>
  <c r="BA50" i="6"/>
  <c r="BU254" i="6"/>
  <c r="BA254" i="6"/>
  <c r="BB254" i="6" s="1"/>
  <c r="BU541" i="6"/>
  <c r="BA541" i="6"/>
  <c r="CA541" i="6"/>
  <c r="CA421" i="6"/>
  <c r="BA421" i="6"/>
  <c r="BU421" i="6"/>
  <c r="BV748" i="6"/>
  <c r="BW748" i="6"/>
  <c r="BV256" i="6"/>
  <c r="BW256" i="6"/>
  <c r="BU724" i="6"/>
  <c r="CA724" i="6"/>
  <c r="CA57" i="6"/>
  <c r="BA57" i="6"/>
  <c r="BU57" i="6"/>
  <c r="CB930" i="6"/>
  <c r="CF569" i="6"/>
  <c r="CE569" i="6" s="1"/>
  <c r="CC349" i="6"/>
  <c r="BI968" i="6"/>
  <c r="BW50" i="6"/>
  <c r="BV50" i="6"/>
  <c r="BV84" i="6"/>
  <c r="BW84" i="6"/>
  <c r="BB758" i="6"/>
  <c r="BV332" i="6"/>
  <c r="BW332" i="6"/>
  <c r="BU950" i="6"/>
  <c r="BI6" i="6"/>
  <c r="BH6" i="6"/>
  <c r="BA918" i="6"/>
  <c r="BU918" i="6"/>
  <c r="BU543" i="6"/>
  <c r="CA543" i="6"/>
  <c r="BA543" i="6"/>
  <c r="BU521" i="6"/>
  <c r="CA521" i="6"/>
  <c r="BU48" i="6"/>
  <c r="BA48" i="6"/>
  <c r="BB48" i="6" s="1"/>
  <c r="CA48" i="6"/>
  <c r="CA316" i="6"/>
  <c r="BA316" i="6"/>
  <c r="BU316" i="6"/>
  <c r="CA771" i="6"/>
  <c r="BU771" i="6"/>
  <c r="CA604" i="6"/>
  <c r="BA604" i="6"/>
  <c r="BU604" i="6"/>
  <c r="CA467" i="6"/>
  <c r="BU467" i="6"/>
  <c r="CC285" i="6"/>
  <c r="CB285" i="6"/>
  <c r="CC287" i="6"/>
  <c r="CB287" i="6"/>
  <c r="CA582" i="6"/>
  <c r="BA582" i="6"/>
  <c r="BU582" i="6"/>
  <c r="CC273" i="6"/>
  <c r="CB273" i="6"/>
  <c r="BV973" i="6"/>
  <c r="BW973" i="6"/>
  <c r="BB934" i="6"/>
  <c r="CC260" i="6"/>
  <c r="CB260" i="6"/>
  <c r="BB806" i="6"/>
  <c r="BI57" i="6"/>
  <c r="BH57" i="6"/>
  <c r="CC1008" i="6"/>
  <c r="CF1008" i="6"/>
  <c r="CE1008" i="6" s="1"/>
  <c r="CB1008" i="6"/>
  <c r="BA924" i="6"/>
  <c r="BB924" i="6" s="1"/>
  <c r="BU924" i="6"/>
  <c r="CA924" i="6"/>
  <c r="BU217" i="6"/>
  <c r="CA217" i="6"/>
  <c r="BA6" i="6"/>
  <c r="BB6" i="6" s="1"/>
  <c r="BU6" i="6"/>
  <c r="BW6" i="6" s="1"/>
  <c r="CA6" i="6"/>
  <c r="CA408" i="6"/>
  <c r="BU408" i="6"/>
  <c r="BW891" i="6"/>
  <c r="BV891" i="6"/>
  <c r="BA440" i="6"/>
  <c r="CA440" i="6"/>
  <c r="CA959" i="6"/>
  <c r="BU959" i="6"/>
  <c r="BA959" i="6"/>
  <c r="BW120" i="6"/>
  <c r="BV120" i="6"/>
  <c r="CA856" i="6"/>
  <c r="BA856" i="6"/>
  <c r="BB856" i="6" s="1"/>
  <c r="CC901" i="6"/>
  <c r="CB901" i="6"/>
  <c r="BB880" i="6"/>
  <c r="CC21" i="6"/>
  <c r="CB21" i="6"/>
  <c r="BW440" i="6"/>
  <c r="BV440" i="6"/>
  <c r="CC295" i="6"/>
  <c r="CB295" i="6"/>
  <c r="CB396" i="6"/>
  <c r="CC396" i="6"/>
  <c r="BI779" i="6"/>
  <c r="BH779" i="6"/>
  <c r="BI66" i="6"/>
  <c r="BH66" i="6"/>
  <c r="BU215" i="6"/>
  <c r="BA215" i="6"/>
  <c r="CA215" i="6"/>
  <c r="CA922" i="6"/>
  <c r="BU922" i="6"/>
  <c r="CA717" i="6"/>
  <c r="BA717" i="6"/>
  <c r="CA968" i="6"/>
  <c r="BA968" i="6"/>
  <c r="BU968" i="6"/>
  <c r="BA888" i="6"/>
  <c r="BB888" i="6" s="1"/>
  <c r="CA888" i="6"/>
  <c r="BW638" i="6"/>
  <c r="BV638" i="6"/>
  <c r="BA722" i="6"/>
  <c r="CA722" i="6"/>
  <c r="BU722" i="6"/>
  <c r="BA264" i="6"/>
  <c r="BB264" i="6" s="1"/>
  <c r="CA264" i="6"/>
  <c r="CA585" i="6"/>
  <c r="CC585" i="6" s="1"/>
  <c r="BU585" i="6"/>
  <c r="BA675" i="6"/>
  <c r="BB675" i="6" s="1"/>
  <c r="CA675" i="6"/>
  <c r="CA250" i="6"/>
  <c r="BA250" i="6"/>
  <c r="BU250" i="6"/>
  <c r="BA539" i="6"/>
  <c r="BB539" i="6" s="1"/>
  <c r="CA921" i="6"/>
  <c r="BP392" i="6"/>
  <c r="BO392" i="6"/>
  <c r="BI100" i="6"/>
  <c r="BH100" i="6"/>
  <c r="BU860" i="6"/>
  <c r="CA860" i="6"/>
  <c r="CA452" i="6"/>
  <c r="BA452" i="6"/>
  <c r="BB452" i="6" s="1"/>
  <c r="CA978" i="6"/>
  <c r="BA978" i="6"/>
  <c r="BB978" i="6" s="1"/>
  <c r="BU966" i="6"/>
  <c r="CA966" i="6"/>
  <c r="BA367" i="6"/>
  <c r="CA367" i="6"/>
  <c r="CA312" i="6"/>
  <c r="BU312" i="6"/>
  <c r="BA702" i="6"/>
  <c r="CA702" i="6"/>
  <c r="BU291" i="6"/>
  <c r="CA291" i="6"/>
  <c r="BU18" i="6"/>
  <c r="BA18" i="6"/>
  <c r="CA173" i="6"/>
  <c r="BA173" i="6"/>
  <c r="BU153" i="6"/>
  <c r="CA153" i="6"/>
  <c r="BA821" i="6"/>
  <c r="BB821" i="6" s="1"/>
  <c r="BU821" i="6"/>
  <c r="CA821" i="6"/>
  <c r="BA288" i="6"/>
  <c r="BU288" i="6"/>
  <c r="BU368" i="6"/>
  <c r="BA368" i="6"/>
  <c r="BA475" i="6"/>
  <c r="BB475" i="6" s="1"/>
  <c r="CA475" i="6"/>
  <c r="BU475" i="6"/>
  <c r="BA662" i="6"/>
  <c r="BB662" i="6" s="1"/>
  <c r="BU662" i="6"/>
  <c r="BB740" i="6"/>
  <c r="BU872" i="6"/>
  <c r="CA872" i="6"/>
  <c r="BU983" i="6"/>
  <c r="BA983" i="6"/>
  <c r="BB983" i="6" s="1"/>
  <c r="CA983" i="6"/>
  <c r="BA851" i="6"/>
  <c r="BB851" i="6" s="1"/>
  <c r="CA851" i="6"/>
  <c r="BA535" i="6"/>
  <c r="BB535" i="6" s="1"/>
  <c r="CA535" i="6"/>
  <c r="CC535" i="6" s="1"/>
  <c r="BU535" i="6"/>
  <c r="CA559" i="6"/>
  <c r="BA559" i="6"/>
  <c r="BB559" i="6" s="1"/>
  <c r="BU731" i="6"/>
  <c r="BA731" i="6"/>
  <c r="BB731" i="6" s="1"/>
  <c r="CA769" i="6"/>
  <c r="CB769" i="6" s="1"/>
  <c r="BA769" i="6"/>
  <c r="BB769" i="6" s="1"/>
  <c r="BA634" i="6"/>
  <c r="CA634" i="6"/>
  <c r="CA791" i="6"/>
  <c r="BU791" i="6"/>
  <c r="BA719" i="6"/>
  <c r="BU719" i="6"/>
  <c r="CA719" i="6"/>
  <c r="BA979" i="6"/>
  <c r="CA979" i="6"/>
  <c r="BU979" i="6"/>
  <c r="BU243" i="6"/>
  <c r="CA243" i="6"/>
  <c r="BU227" i="6"/>
  <c r="BA227" i="6"/>
  <c r="BB227" i="6" s="1"/>
  <c r="BA459" i="6"/>
  <c r="BU459" i="6"/>
  <c r="BU232" i="6"/>
  <c r="BA232" i="6"/>
  <c r="CA232" i="6"/>
  <c r="BU249" i="6"/>
  <c r="BA249" i="6"/>
  <c r="BB249" i="6" s="1"/>
  <c r="BU401" i="6"/>
  <c r="CA401" i="6"/>
  <c r="BA401" i="6"/>
  <c r="BU592" i="6"/>
  <c r="BA592" i="6"/>
  <c r="CA592" i="6"/>
  <c r="BU620" i="6"/>
  <c r="CA620" i="6"/>
  <c r="BU90" i="6"/>
  <c r="CA90" i="6"/>
  <c r="CA854" i="6"/>
  <c r="BU854" i="6"/>
  <c r="BU26" i="6"/>
  <c r="BV26" i="6" s="1"/>
  <c r="CA26" i="6"/>
  <c r="BA299" i="6"/>
  <c r="CA299" i="6"/>
  <c r="CC299" i="6" s="1"/>
  <c r="BU301" i="6"/>
  <c r="CA301" i="6"/>
  <c r="BA200" i="6"/>
  <c r="BU200" i="6"/>
  <c r="BP940" i="6"/>
  <c r="BO940" i="6"/>
  <c r="BH242" i="6"/>
  <c r="BI242" i="6"/>
  <c r="CC1002" i="6"/>
  <c r="CF1002" i="6"/>
  <c r="CE1002" i="6" s="1"/>
  <c r="CB1002" i="6"/>
  <c r="BI335" i="6"/>
  <c r="BH335" i="6"/>
  <c r="BI912" i="6"/>
  <c r="BH912" i="6"/>
  <c r="BO534" i="6"/>
  <c r="BP534" i="6"/>
  <c r="BN570" i="6"/>
  <c r="AT570" i="6"/>
  <c r="BG570" i="6"/>
  <c r="BU478" i="6"/>
  <c r="CF479" i="6"/>
  <c r="CE479" i="6" s="1"/>
  <c r="BI726" i="6"/>
  <c r="BH726" i="6"/>
  <c r="BP430" i="6"/>
  <c r="BO430" i="6"/>
  <c r="BU348" i="6"/>
  <c r="BA348" i="6"/>
  <c r="BB348" i="6" s="1"/>
  <c r="BU733" i="6"/>
  <c r="BA733" i="6"/>
  <c r="BB733" i="6" s="1"/>
  <c r="BA904" i="6"/>
  <c r="BB904" i="6" s="1"/>
  <c r="CA904" i="6"/>
  <c r="BW355" i="6"/>
  <c r="CC823" i="6"/>
  <c r="CF151" i="6"/>
  <c r="CE151" i="6" s="1"/>
  <c r="BV167" i="6"/>
  <c r="BV571" i="6"/>
  <c r="CF56" i="6"/>
  <c r="CE56" i="6" s="1"/>
  <c r="BW481" i="6"/>
  <c r="BB966" i="6"/>
  <c r="CC569" i="6"/>
  <c r="CC459" i="6"/>
  <c r="BP267" i="6"/>
  <c r="BI976" i="6"/>
  <c r="BO6" i="6"/>
  <c r="BO653" i="6"/>
  <c r="BH997" i="6"/>
  <c r="CA961" i="6"/>
  <c r="CA368" i="6"/>
  <c r="CC368" i="6" s="1"/>
  <c r="BU634" i="6"/>
  <c r="CA451" i="6"/>
  <c r="BU658" i="6"/>
  <c r="CA892" i="6"/>
  <c r="BA29" i="6"/>
  <c r="BU261" i="6"/>
  <c r="BA813" i="6"/>
  <c r="CA339" i="6"/>
  <c r="BU376" i="6"/>
  <c r="BU483" i="6"/>
  <c r="CA794" i="6"/>
  <c r="BA128" i="6"/>
  <c r="BB128" i="6" s="1"/>
  <c r="CF28" i="6"/>
  <c r="CE28" i="6" s="1"/>
  <c r="CA340" i="6"/>
  <c r="CA852" i="6"/>
  <c r="CA227" i="6"/>
  <c r="CA700" i="6"/>
  <c r="CF700" i="6" s="1"/>
  <c r="CE700" i="6" s="1"/>
  <c r="CA34" i="6"/>
  <c r="CF34" i="6" s="1"/>
  <c r="CE34" i="6" s="1"/>
  <c r="BU38" i="6"/>
  <c r="BA478" i="6"/>
  <c r="CA624" i="6"/>
  <c r="BU702" i="6"/>
  <c r="BA772" i="6"/>
  <c r="BB772" i="6" s="1"/>
  <c r="BU158" i="6"/>
  <c r="BU146" i="6"/>
  <c r="BW146" i="6" s="1"/>
  <c r="BU921" i="6"/>
  <c r="CA3" i="6"/>
  <c r="CA200" i="6"/>
  <c r="BU60" i="6"/>
  <c r="CA935" i="6"/>
  <c r="CF935" i="6" s="1"/>
  <c r="CE935" i="6" s="1"/>
  <c r="BA138" i="6"/>
  <c r="CA288" i="6"/>
  <c r="BU173" i="6"/>
  <c r="BU463" i="6"/>
  <c r="BA854" i="6"/>
  <c r="BA687" i="6"/>
  <c r="BB687" i="6" s="1"/>
  <c r="BP671" i="6"/>
  <c r="BI698" i="6"/>
  <c r="BH698" i="6"/>
  <c r="BH329" i="6"/>
  <c r="BI329" i="6"/>
  <c r="BI640" i="6"/>
  <c r="BH640" i="6"/>
  <c r="BP168" i="6"/>
  <c r="BO168" i="6"/>
  <c r="BH95" i="6"/>
  <c r="BI95" i="6"/>
  <c r="BP380" i="6"/>
  <c r="BO380" i="6"/>
  <c r="BO698" i="6"/>
  <c r="BP698" i="6"/>
  <c r="CA344" i="6"/>
  <c r="BA344" i="6"/>
  <c r="BU629" i="6"/>
  <c r="CA629" i="6"/>
  <c r="BA652" i="6"/>
  <c r="BB652" i="6" s="1"/>
  <c r="BU652" i="6"/>
  <c r="BA332" i="6"/>
  <c r="CA332" i="6"/>
  <c r="BA133" i="6"/>
  <c r="BB133" i="6" s="1"/>
  <c r="CA133" i="6"/>
  <c r="BU294" i="6"/>
  <c r="CA294" i="6"/>
  <c r="BA877" i="6"/>
  <c r="BB877" i="6" s="1"/>
  <c r="BA820" i="6"/>
  <c r="BB820" i="6" s="1"/>
  <c r="CA820" i="6"/>
  <c r="BA45" i="6"/>
  <c r="BB45" i="6" s="1"/>
  <c r="BU45" i="6"/>
  <c r="BA673" i="6"/>
  <c r="BB673" i="6" s="1"/>
  <c r="CA673" i="6"/>
  <c r="CA480" i="6"/>
  <c r="BU480" i="6"/>
  <c r="BU236" i="6"/>
  <c r="CA236" i="6"/>
  <c r="BA281" i="6"/>
  <c r="CA281" i="6"/>
  <c r="BU445" i="6"/>
  <c r="CA445" i="6"/>
  <c r="CC445" i="6" s="1"/>
  <c r="BU762" i="6"/>
  <c r="BA762" i="6"/>
  <c r="BB762" i="6" s="1"/>
  <c r="BU525" i="6"/>
  <c r="BA525" i="6"/>
  <c r="BB525" i="6" s="1"/>
  <c r="BU930" i="6"/>
  <c r="BA930" i="6"/>
  <c r="BH304" i="6"/>
  <c r="BI304" i="6"/>
  <c r="BO63" i="6"/>
  <c r="BP63" i="6"/>
  <c r="BH834" i="6"/>
  <c r="BI834" i="6"/>
  <c r="BU149" i="6"/>
  <c r="CA149" i="6"/>
  <c r="BA77" i="6"/>
  <c r="BA892" i="6"/>
  <c r="BA339" i="6"/>
  <c r="BU827" i="6"/>
  <c r="BA899" i="6"/>
  <c r="BB899" i="6" s="1"/>
  <c r="CA871" i="6"/>
  <c r="CF871" i="6" s="1"/>
  <c r="CE871" i="6" s="1"/>
  <c r="BA500" i="6"/>
  <c r="BB500" i="6" s="1"/>
  <c r="BU852" i="6"/>
  <c r="CA859" i="6"/>
  <c r="BU367" i="6"/>
  <c r="BU496" i="6"/>
  <c r="CA767" i="6"/>
  <c r="BA164" i="6"/>
  <c r="BU913" i="6"/>
  <c r="CC1009" i="6"/>
  <c r="CB1009" i="6"/>
  <c r="BP1006" i="6"/>
  <c r="BO1006" i="6"/>
  <c r="BA349" i="6"/>
  <c r="BU349" i="6"/>
  <c r="CA829" i="6"/>
  <c r="BU829" i="6"/>
  <c r="BU812" i="6"/>
  <c r="CA812" i="6"/>
  <c r="CA632" i="6"/>
  <c r="BA632" i="6"/>
  <c r="BB632" i="6" s="1"/>
  <c r="BU51" i="6"/>
  <c r="BA51" i="6"/>
  <c r="BA159" i="6"/>
  <c r="BB159" i="6" s="1"/>
  <c r="BU159" i="6"/>
  <c r="CA980" i="6"/>
  <c r="BU980" i="6"/>
  <c r="CA318" i="6"/>
  <c r="BU318" i="6"/>
  <c r="CA320" i="6"/>
  <c r="BU320" i="6"/>
  <c r="BU259" i="6"/>
  <c r="CA259" i="6"/>
  <c r="CA907" i="6"/>
  <c r="BU907" i="6"/>
  <c r="BU779" i="6"/>
  <c r="BA779" i="6"/>
  <c r="BB779" i="6" s="1"/>
  <c r="CA779" i="6"/>
  <c r="CA565" i="6"/>
  <c r="BU565" i="6"/>
  <c r="BU226" i="6"/>
  <c r="BA226" i="6"/>
  <c r="BB226" i="6" s="1"/>
  <c r="BA420" i="6"/>
  <c r="CA420" i="6"/>
  <c r="BU905" i="6"/>
  <c r="CA905" i="6"/>
  <c r="BA925" i="6"/>
  <c r="BU925" i="6"/>
  <c r="BU397" i="6"/>
  <c r="BA397" i="6"/>
  <c r="BA750" i="6"/>
  <c r="BB750" i="6" s="1"/>
  <c r="BA804" i="6"/>
  <c r="BB804" i="6" s="1"/>
  <c r="CA804" i="6"/>
  <c r="CA82" i="6"/>
  <c r="BA82" i="6"/>
  <c r="BB82" i="6" s="1"/>
  <c r="BU82" i="6"/>
  <c r="CA752" i="6"/>
  <c r="BA752" i="6"/>
  <c r="BU752" i="6"/>
  <c r="CA81" i="6"/>
  <c r="BU81" i="6"/>
  <c r="BU494" i="6"/>
  <c r="BA494" i="6"/>
  <c r="BB494" i="6" s="1"/>
  <c r="CA430" i="6"/>
  <c r="BA430" i="6"/>
  <c r="BU430" i="6"/>
  <c r="CA571" i="6"/>
  <c r="BA571" i="6"/>
  <c r="CA853" i="6"/>
  <c r="BU853" i="6"/>
  <c r="CA283" i="6"/>
  <c r="BU283" i="6"/>
  <c r="BA273" i="6"/>
  <c r="BU273" i="6"/>
  <c r="BA497" i="6"/>
  <c r="BU497" i="6"/>
  <c r="CA497" i="6"/>
  <c r="BU209" i="6"/>
  <c r="BA209" i="6"/>
  <c r="BB209" i="6" s="1"/>
  <c r="BA513" i="6"/>
  <c r="BB513" i="6" s="1"/>
  <c r="BU513" i="6"/>
  <c r="CA513" i="6"/>
  <c r="BO1007" i="6"/>
  <c r="BP1007" i="6"/>
  <c r="BO88" i="6"/>
  <c r="BP88" i="6"/>
  <c r="BU806" i="6"/>
  <c r="CA806" i="6"/>
  <c r="BA901" i="6"/>
  <c r="BU901" i="6"/>
  <c r="BU287" i="6"/>
  <c r="BA287" i="6"/>
  <c r="BU293" i="6"/>
  <c r="CA293" i="6"/>
  <c r="CB293" i="6" s="1"/>
  <c r="BA372" i="6"/>
  <c r="BB372" i="6" s="1"/>
  <c r="BU372" i="6"/>
  <c r="CA372" i="6"/>
  <c r="BA327" i="6"/>
  <c r="BU327" i="6"/>
  <c r="BA69" i="6"/>
  <c r="BU69" i="6"/>
  <c r="CA476" i="6"/>
  <c r="BA476" i="6"/>
  <c r="CA777" i="6"/>
  <c r="BU777" i="6"/>
  <c r="BA536" i="6"/>
  <c r="BU536" i="6"/>
  <c r="BU461" i="6"/>
  <c r="CA461" i="6"/>
  <c r="BU720" i="6"/>
  <c r="BA720" i="6"/>
  <c r="CA720" i="6"/>
  <c r="BA759" i="6"/>
  <c r="BB759" i="6" s="1"/>
  <c r="BU759" i="6"/>
  <c r="BA321" i="6"/>
  <c r="CA321" i="6"/>
  <c r="CA847" i="6"/>
  <c r="BA847" i="6"/>
  <c r="BU847" i="6"/>
  <c r="CA88" i="6"/>
  <c r="BU88" i="6"/>
  <c r="BA457" i="6"/>
  <c r="CA457" i="6"/>
  <c r="BA554" i="6"/>
  <c r="CA554" i="6"/>
  <c r="CC554" i="6" s="1"/>
  <c r="BU502" i="6"/>
  <c r="BA502" i="6"/>
  <c r="BB502" i="6" s="1"/>
  <c r="BA49" i="6"/>
  <c r="BB49" i="6" s="1"/>
  <c r="CA49" i="6"/>
  <c r="BA255" i="6"/>
  <c r="BU255" i="6"/>
  <c r="CA255" i="6"/>
  <c r="CA755" i="6"/>
  <c r="BA755" i="6"/>
  <c r="BU755" i="6"/>
  <c r="BP628" i="6"/>
  <c r="BO628" i="6"/>
  <c r="BO385" i="6"/>
  <c r="BP385" i="6"/>
  <c r="BI668" i="6"/>
  <c r="BH668" i="6"/>
  <c r="AT361" i="6"/>
  <c r="BG361" i="6"/>
  <c r="BN361" i="6"/>
  <c r="BI957" i="6"/>
  <c r="BH957" i="6"/>
  <c r="BH840" i="6"/>
  <c r="BI840" i="6"/>
  <c r="BU319" i="6"/>
  <c r="CA920" i="6"/>
  <c r="CA981" i="6"/>
  <c r="CA878" i="6"/>
  <c r="CA958" i="6"/>
  <c r="BA311" i="6"/>
  <c r="BB311" i="6" s="1"/>
  <c r="BA699" i="6"/>
  <c r="BU275" i="6"/>
  <c r="BA914" i="6"/>
  <c r="BB914" i="6" s="1"/>
  <c r="BU623" i="6"/>
  <c r="BA830" i="6"/>
  <c r="BA382" i="6"/>
  <c r="BA4" i="6"/>
  <c r="BB4" i="6" s="1"/>
  <c r="BA258" i="6"/>
  <c r="BA876" i="6"/>
  <c r="BA46" i="6"/>
  <c r="BB46" i="6" s="1"/>
  <c r="BA132" i="6"/>
  <c r="BB132" i="6" s="1"/>
  <c r="BA414" i="6"/>
  <c r="BU144" i="6"/>
  <c r="BA262" i="6"/>
  <c r="BB262" i="6" s="1"/>
  <c r="BU895" i="6"/>
  <c r="BU407" i="6"/>
  <c r="BA519" i="6"/>
  <c r="BA352" i="6"/>
  <c r="BB352" i="6" s="1"/>
  <c r="CA788" i="6"/>
  <c r="BU97" i="6"/>
  <c r="BA179" i="6"/>
  <c r="CF1007" i="6"/>
  <c r="CE1007" i="6" s="1"/>
  <c r="BP580" i="6"/>
  <c r="BO580" i="6"/>
  <c r="BP466" i="6"/>
  <c r="AP178" i="6"/>
  <c r="BZ385" i="6"/>
  <c r="CA385" i="6" s="1"/>
  <c r="BT385" i="6"/>
  <c r="BU385" i="6" s="1"/>
  <c r="BV385" i="6" s="1"/>
  <c r="BZ449" i="6"/>
  <c r="CA449" i="6" s="1"/>
  <c r="BT449" i="6"/>
  <c r="BU449" i="6" s="1"/>
  <c r="CB1011" i="6"/>
  <c r="AT896" i="6"/>
  <c r="BG896" i="6"/>
  <c r="J165" i="4" a="1"/>
  <c r="J165" i="4" s="1"/>
  <c r="K165" i="4" a="1"/>
  <c r="K165" i="4" s="1"/>
  <c r="BZ570" i="6"/>
  <c r="CA570" i="6" s="1"/>
  <c r="BT570" i="6"/>
  <c r="BU570" i="6" s="1"/>
  <c r="K51" i="4" a="1"/>
  <c r="K51" i="4" s="1"/>
  <c r="J51" i="4" a="1"/>
  <c r="J51" i="4" s="1"/>
  <c r="BT124" i="6"/>
  <c r="BU124" i="6" s="1"/>
  <c r="BZ124" i="6"/>
  <c r="CA124" i="6" s="1"/>
  <c r="BO175" i="6"/>
  <c r="BP175" i="6"/>
  <c r="BN614" i="6"/>
  <c r="BG85" i="6"/>
  <c r="BG416" i="6"/>
  <c r="BN27" i="6"/>
  <c r="BG894" i="6"/>
  <c r="BG89" i="6"/>
  <c r="BG855" i="6"/>
  <c r="BU346" i="6"/>
  <c r="CA346" i="6"/>
  <c r="BA346" i="6"/>
  <c r="CA263" i="6"/>
  <c r="BU263" i="6"/>
  <c r="BA263" i="6"/>
  <c r="BA849" i="6"/>
  <c r="BU849" i="6"/>
  <c r="CA849" i="6"/>
  <c r="CA308" i="6"/>
  <c r="BA308" i="6"/>
  <c r="BB308" i="6" s="1"/>
  <c r="BU145" i="6"/>
  <c r="CA145" i="6"/>
  <c r="BA145" i="6"/>
  <c r="BU413" i="6"/>
  <c r="BA413" i="6"/>
  <c r="CA413" i="6"/>
  <c r="BA928" i="6"/>
  <c r="BB928" i="6" s="1"/>
  <c r="CA928" i="6"/>
  <c r="BU945" i="6"/>
  <c r="BA945" i="6"/>
  <c r="BB945" i="6" s="1"/>
  <c r="CC257" i="6"/>
  <c r="CB257" i="6"/>
  <c r="BW125" i="6"/>
  <c r="BV125" i="6"/>
  <c r="BA484" i="6"/>
  <c r="CA484" i="6"/>
  <c r="BU484" i="6"/>
  <c r="BU347" i="6"/>
  <c r="CA347" i="6"/>
  <c r="BA347" i="6"/>
  <c r="CB745" i="6"/>
  <c r="CC745" i="6"/>
  <c r="CA645" i="6"/>
  <c r="BU645" i="6"/>
  <c r="BA192" i="6"/>
  <c r="BB192" i="6" s="1"/>
  <c r="BU192" i="6"/>
  <c r="BV933" i="6"/>
  <c r="BW933" i="6"/>
  <c r="BU797" i="6"/>
  <c r="BA797" i="6"/>
  <c r="BB797" i="6" s="1"/>
  <c r="BA865" i="6"/>
  <c r="BB865" i="6" s="1"/>
  <c r="BU865" i="6"/>
  <c r="CA274" i="6"/>
  <c r="BU274" i="6"/>
  <c r="BA274" i="6"/>
  <c r="CC495" i="6"/>
  <c r="CB495" i="6"/>
  <c r="BU746" i="6"/>
  <c r="BA746" i="6"/>
  <c r="CA746" i="6"/>
  <c r="CA351" i="6"/>
  <c r="BA351" i="6"/>
  <c r="BU351" i="6"/>
  <c r="CA735" i="6"/>
  <c r="BA735" i="6"/>
  <c r="BB735" i="6" s="1"/>
  <c r="BU735" i="6"/>
  <c r="BU140" i="6"/>
  <c r="CA140" i="6"/>
  <c r="BA140" i="6"/>
  <c r="CA948" i="6"/>
  <c r="BA948" i="6"/>
  <c r="BU948" i="6"/>
  <c r="BU873" i="6"/>
  <c r="CA873" i="6"/>
  <c r="BA873" i="6"/>
  <c r="BU473" i="6"/>
  <c r="BA473" i="6"/>
  <c r="CA473" i="6"/>
  <c r="BU208" i="6"/>
  <c r="CA208" i="6"/>
  <c r="CA106" i="6"/>
  <c r="BA106" i="6"/>
  <c r="BU106" i="6"/>
  <c r="BU160" i="6"/>
  <c r="BA160" i="6"/>
  <c r="BB160" i="6" s="1"/>
  <c r="BV469" i="6"/>
  <c r="BW469" i="6"/>
  <c r="BA793" i="6"/>
  <c r="BB793" i="6" s="1"/>
  <c r="CA793" i="6"/>
  <c r="BA957" i="6"/>
  <c r="BU957" i="6"/>
  <c r="BW957" i="6" s="1"/>
  <c r="CA957" i="6"/>
  <c r="CB284" i="6"/>
  <c r="CC284" i="6"/>
  <c r="CA345" i="6"/>
  <c r="BA345" i="6"/>
  <c r="BU345" i="6"/>
  <c r="BW874" i="6"/>
  <c r="BV874" i="6"/>
  <c r="BU707" i="6"/>
  <c r="BA707" i="6"/>
  <c r="CA707" i="6"/>
  <c r="CA506" i="6"/>
  <c r="BU506" i="6"/>
  <c r="BA506" i="6"/>
  <c r="CA605" i="6"/>
  <c r="BA605" i="6"/>
  <c r="BB605" i="6" s="1"/>
  <c r="BU605" i="6"/>
  <c r="CA923" i="6"/>
  <c r="BU923" i="6"/>
  <c r="BA108" i="6"/>
  <c r="BB108" i="6" s="1"/>
  <c r="CA108" i="6"/>
  <c r="CD995" i="6"/>
  <c r="BV409" i="6"/>
  <c r="CD538" i="6"/>
  <c r="CF16" i="6"/>
  <c r="CE16" i="6" s="1"/>
  <c r="CA525" i="6"/>
  <c r="CA399" i="6"/>
  <c r="BA480" i="6"/>
  <c r="BU44" i="6"/>
  <c r="BU74" i="6"/>
  <c r="BA458" i="6"/>
  <c r="BB458" i="6" s="1"/>
  <c r="CA502" i="6"/>
  <c r="BB642" i="6"/>
  <c r="BU856" i="6"/>
  <c r="BU888" i="6"/>
  <c r="BA187" i="6"/>
  <c r="BB187" i="6" s="1"/>
  <c r="CA630" i="6"/>
  <c r="BA937" i="6"/>
  <c r="CA655" i="6"/>
  <c r="CA587" i="6"/>
  <c r="BA52" i="6"/>
  <c r="BB52" i="6" s="1"/>
  <c r="BA39" i="6"/>
  <c r="BB39" i="6" s="1"/>
  <c r="BA939" i="6"/>
  <c r="BB939" i="6" s="1"/>
  <c r="BA386" i="6"/>
  <c r="BB386" i="6" s="1"/>
  <c r="BA938" i="6"/>
  <c r="BB938" i="6" s="1"/>
  <c r="BU938" i="6"/>
  <c r="BU223" i="6"/>
  <c r="BA223" i="6"/>
  <c r="BB223" i="6" s="1"/>
  <c r="CA730" i="6"/>
  <c r="BA730" i="6"/>
  <c r="BB730" i="6" s="1"/>
  <c r="BA466" i="6"/>
  <c r="CA466" i="6"/>
  <c r="BU466" i="6"/>
  <c r="CA122" i="6"/>
  <c r="BU122" i="6"/>
  <c r="CA166" i="6"/>
  <c r="BA166" i="6"/>
  <c r="BU166" i="6"/>
  <c r="BU172" i="6"/>
  <c r="CA172" i="6"/>
  <c r="BA172" i="6"/>
  <c r="BB172" i="6" s="1"/>
  <c r="BA411" i="6"/>
  <c r="BU411" i="6"/>
  <c r="BA747" i="6"/>
  <c r="BU747" i="6"/>
  <c r="CA747" i="6"/>
  <c r="BA637" i="6"/>
  <c r="CA637" i="6"/>
  <c r="BU989" i="6"/>
  <c r="CA989" i="6"/>
  <c r="BA507" i="6"/>
  <c r="BU507" i="6"/>
  <c r="CA579" i="6"/>
  <c r="BU579" i="6"/>
  <c r="BA594" i="6"/>
  <c r="CA594" i="6"/>
  <c r="BU265" i="6"/>
  <c r="CA265" i="6"/>
  <c r="CA333" i="6"/>
  <c r="BA333" i="6"/>
  <c r="BB333" i="6" s="1"/>
  <c r="BA341" i="6"/>
  <c r="BU341" i="6"/>
  <c r="CA341" i="6"/>
  <c r="BU134" i="6"/>
  <c r="BA134" i="6"/>
  <c r="CA361" i="6"/>
  <c r="BU361" i="6"/>
  <c r="BA361" i="6"/>
  <c r="BB361" i="6" s="1"/>
  <c r="BA879" i="6"/>
  <c r="BU879" i="6"/>
  <c r="BW879" i="6" s="1"/>
  <c r="CA383" i="6"/>
  <c r="BU383" i="6"/>
  <c r="CA615" i="6"/>
  <c r="BU615" i="6"/>
  <c r="BA615" i="6"/>
  <c r="BB615" i="6" s="1"/>
  <c r="CA277" i="6"/>
  <c r="BA277" i="6"/>
  <c r="BB277" i="6" s="1"/>
  <c r="BA63" i="6"/>
  <c r="BU63" i="6"/>
  <c r="CA650" i="6"/>
  <c r="BU650" i="6"/>
  <c r="BA650" i="6"/>
  <c r="CA392" i="6"/>
  <c r="BA392" i="6"/>
  <c r="BB392" i="6" s="1"/>
  <c r="BA260" i="6"/>
  <c r="BU260" i="6"/>
  <c r="BU799" i="6"/>
  <c r="CA799" i="6"/>
  <c r="BU689" i="6"/>
  <c r="CA689" i="6"/>
  <c r="BA560" i="6"/>
  <c r="CA560" i="6"/>
  <c r="BU654" i="6"/>
  <c r="BA654" i="6"/>
  <c r="BU808" i="6"/>
  <c r="CA808" i="6"/>
  <c r="CA41" i="6"/>
  <c r="BU41" i="6"/>
  <c r="BA41" i="6"/>
  <c r="BU574" i="6"/>
  <c r="CA574" i="6"/>
  <c r="BA30" i="6"/>
  <c r="BU30" i="6"/>
  <c r="CA78" i="6"/>
  <c r="BA78" i="6"/>
  <c r="BU651" i="6"/>
  <c r="BA651" i="6"/>
  <c r="CA736" i="6"/>
  <c r="BU736" i="6"/>
  <c r="BA532" i="6"/>
  <c r="CA532" i="6"/>
  <c r="BU621" i="6"/>
  <c r="CA621" i="6"/>
  <c r="BA556" i="6"/>
  <c r="BB556" i="6" s="1"/>
  <c r="BU556" i="6"/>
  <c r="BW556" i="6" s="1"/>
  <c r="BA13" i="6"/>
  <c r="BU13" i="6"/>
  <c r="CA13" i="6"/>
  <c r="BU441" i="6"/>
  <c r="CA441" i="6"/>
  <c r="CA505" i="6"/>
  <c r="BA505" i="6"/>
  <c r="BB505" i="6" s="1"/>
  <c r="BA199" i="6"/>
  <c r="BU199" i="6"/>
  <c r="BU150" i="6"/>
  <c r="CA150" i="6"/>
  <c r="BA359" i="6"/>
  <c r="BB359" i="6" s="1"/>
  <c r="BU359" i="6"/>
  <c r="CF817" i="6"/>
  <c r="CE817" i="6" s="1"/>
  <c r="CB28" i="6"/>
  <c r="BW299" i="6"/>
  <c r="BV482" i="6"/>
  <c r="CC817" i="6"/>
  <c r="BV882" i="6"/>
  <c r="CC70" i="6"/>
  <c r="BH653" i="6"/>
  <c r="BO118" i="6"/>
  <c r="BO981" i="6"/>
  <c r="BH730" i="6"/>
  <c r="CA24" i="6"/>
  <c r="CA937" i="6"/>
  <c r="BA946" i="6"/>
  <c r="BO319" i="6"/>
  <c r="BP319" i="6"/>
  <c r="BI573" i="6"/>
  <c r="BH573" i="6"/>
  <c r="BP1003" i="6"/>
  <c r="BW1008" i="6"/>
  <c r="BV1008" i="6"/>
  <c r="BH735" i="6"/>
  <c r="CA919" i="6"/>
  <c r="BU919" i="6"/>
  <c r="BU760" i="6"/>
  <c r="CA760" i="6"/>
  <c r="BU988" i="6"/>
  <c r="BA988" i="6"/>
  <c r="BB988" i="6" s="1"/>
  <c r="BU425" i="6"/>
  <c r="BA425" i="6"/>
  <c r="BA881" i="6"/>
  <c r="BU881" i="6"/>
  <c r="BU811" i="6"/>
  <c r="BA811" i="6"/>
  <c r="BB811" i="6" s="1"/>
  <c r="CA129" i="6"/>
  <c r="BA129" i="6"/>
  <c r="CA214" i="6"/>
  <c r="BA214" i="6"/>
  <c r="BB214" i="6" s="1"/>
  <c r="BU946" i="6"/>
  <c r="CA942" i="6"/>
  <c r="BU942" i="6"/>
  <c r="BA728" i="6"/>
  <c r="BU728" i="6"/>
  <c r="BU186" i="6"/>
  <c r="CA186" i="6"/>
  <c r="BU671" i="6"/>
  <c r="BA671" i="6"/>
  <c r="BB671" i="6" s="1"/>
  <c r="BA257" i="6"/>
  <c r="BB257" i="6" s="1"/>
  <c r="BU257" i="6"/>
  <c r="BU434" i="6"/>
  <c r="CA434" i="6"/>
  <c r="BA636" i="6"/>
  <c r="BU636" i="6"/>
  <c r="BU664" i="6"/>
  <c r="BA664" i="6"/>
  <c r="BB664" i="6" s="1"/>
  <c r="BU692" i="6"/>
  <c r="BV692" i="6" s="1"/>
  <c r="CA692" i="6"/>
  <c r="CA753" i="6"/>
  <c r="BA753" i="6"/>
  <c r="CA53" i="6"/>
  <c r="BU53" i="6"/>
  <c r="BA369" i="6"/>
  <c r="BU369" i="6"/>
  <c r="BU739" i="6"/>
  <c r="BA739" i="6"/>
  <c r="BB739" i="6" s="1"/>
  <c r="CA912" i="6"/>
  <c r="BA912" i="6"/>
  <c r="BB912" i="6" s="1"/>
  <c r="CA613" i="6"/>
  <c r="BU613" i="6"/>
  <c r="CA61" i="6"/>
  <c r="BA61" i="6"/>
  <c r="BU286" i="6"/>
  <c r="BA286" i="6"/>
  <c r="CA371" i="6"/>
  <c r="BA371" i="6"/>
  <c r="BU477" i="6"/>
  <c r="BA477" i="6"/>
  <c r="BB477" i="6" s="1"/>
  <c r="CA967" i="6"/>
  <c r="BU967" i="6"/>
  <c r="CA152" i="6"/>
  <c r="BU152" i="6"/>
  <c r="BU390" i="6"/>
  <c r="CA390" i="6"/>
  <c r="BA390" i="6"/>
  <c r="BU977" i="6"/>
  <c r="CA977" i="6"/>
  <c r="BA429" i="6"/>
  <c r="BB429" i="6" s="1"/>
  <c r="BU429" i="6"/>
  <c r="BA819" i="6"/>
  <c r="BB819" i="6" s="1"/>
  <c r="CA819" i="6"/>
  <c r="CA824" i="6"/>
  <c r="BU824" i="6"/>
  <c r="BA43" i="6"/>
  <c r="CA43" i="6"/>
  <c r="BU43" i="6"/>
  <c r="BA850" i="6"/>
  <c r="BU850" i="6"/>
  <c r="CA940" i="6"/>
  <c r="BA940" i="6"/>
  <c r="BA727" i="6"/>
  <c r="BB727" i="6" s="1"/>
  <c r="BU727" i="6"/>
  <c r="CA678" i="6"/>
  <c r="BU678" i="6"/>
  <c r="CA531" i="6"/>
  <c r="BA531" i="6"/>
  <c r="BU617" i="6"/>
  <c r="BA617" i="6"/>
  <c r="BB617" i="6" s="1"/>
  <c r="BA405" i="6"/>
  <c r="BU405" i="6"/>
  <c r="BU400" i="6"/>
  <c r="CA400" i="6"/>
  <c r="BU435" i="6"/>
  <c r="BA435" i="6"/>
  <c r="BA553" i="6"/>
  <c r="BB553" i="6" s="1"/>
  <c r="CA553" i="6"/>
  <c r="BA668" i="6"/>
  <c r="CA668" i="6"/>
  <c r="BU668" i="6"/>
  <c r="BA91" i="6"/>
  <c r="CA91" i="6"/>
  <c r="CA17" i="6"/>
  <c r="BA17" i="6"/>
  <c r="CA59" i="6"/>
  <c r="BU59" i="6"/>
  <c r="BV59" i="6" s="1"/>
  <c r="BA512" i="6"/>
  <c r="CA512" i="6"/>
  <c r="BU298" i="6"/>
  <c r="BA298" i="6"/>
  <c r="BB298" i="6" s="1"/>
  <c r="CA297" i="6"/>
  <c r="BU297" i="6"/>
  <c r="BU204" i="6"/>
  <c r="CA204" i="6"/>
  <c r="BA204" i="6"/>
  <c r="BU202" i="6"/>
  <c r="BA202" i="6"/>
  <c r="BB202" i="6" s="1"/>
  <c r="BW559" i="6"/>
  <c r="BB312" i="6"/>
  <c r="BI706" i="6"/>
  <c r="CA123" i="6"/>
  <c r="BA123" i="6"/>
  <c r="BB123" i="6" s="1"/>
  <c r="CA936" i="6"/>
  <c r="BU936" i="6"/>
  <c r="BA936" i="6"/>
  <c r="BU177" i="6"/>
  <c r="BV937" i="6"/>
  <c r="BW937" i="6"/>
  <c r="BU424" i="6"/>
  <c r="CA424" i="6"/>
  <c r="BA213" i="6"/>
  <c r="CA213" i="6"/>
  <c r="BA882" i="6"/>
  <c r="CA882" i="6"/>
  <c r="BA381" i="6"/>
  <c r="CA381" i="6"/>
  <c r="BU381" i="6"/>
  <c r="BU131" i="6"/>
  <c r="BA131" i="6"/>
  <c r="CA206" i="6"/>
  <c r="BU206" i="6"/>
  <c r="CA943" i="6"/>
  <c r="BA943" i="6"/>
  <c r="BU943" i="6"/>
  <c r="BU64" i="6"/>
  <c r="BA64" i="6"/>
  <c r="CA64" i="6"/>
  <c r="BU542" i="6"/>
  <c r="CA542" i="6"/>
  <c r="BA389" i="6"/>
  <c r="BB389" i="6" s="1"/>
  <c r="CA389" i="6"/>
  <c r="BU836" i="6"/>
  <c r="BA836" i="6"/>
  <c r="BB836" i="6" s="1"/>
  <c r="BU639" i="6"/>
  <c r="BA639" i="6"/>
  <c r="BB639" i="6" s="1"/>
  <c r="CA469" i="6"/>
  <c r="BA469" i="6"/>
  <c r="CA468" i="6"/>
  <c r="BU468" i="6"/>
  <c r="BA748" i="6"/>
  <c r="CA748" i="6"/>
  <c r="BU518" i="6"/>
  <c r="BW518" i="6" s="1"/>
  <c r="BA518" i="6"/>
  <c r="BA803" i="6"/>
  <c r="BU803" i="6"/>
  <c r="CA109" i="6"/>
  <c r="BA109" i="6"/>
  <c r="BU109" i="6"/>
  <c r="BU546" i="6"/>
  <c r="BA546" i="6"/>
  <c r="BB546" i="6" s="1"/>
  <c r="BA697" i="6"/>
  <c r="BU697" i="6"/>
  <c r="BU908" i="6"/>
  <c r="CA908" i="6"/>
  <c r="BA908" i="6"/>
  <c r="BA393" i="6"/>
  <c r="BU393" i="6"/>
  <c r="CA165" i="6"/>
  <c r="BA165" i="6"/>
  <c r="BB165" i="6" s="1"/>
  <c r="BU95" i="6"/>
  <c r="CA95" i="6"/>
  <c r="BA95" i="6"/>
  <c r="BB95" i="6" s="1"/>
  <c r="BU309" i="6"/>
  <c r="BA309" i="6"/>
  <c r="BB309" i="6" s="1"/>
  <c r="BA120" i="6"/>
  <c r="BB120" i="6" s="1"/>
  <c r="CA120" i="6"/>
  <c r="BU703" i="6"/>
  <c r="CA703" i="6"/>
  <c r="BA917" i="6"/>
  <c r="BU20" i="6"/>
  <c r="CA20" i="6"/>
  <c r="CA170" i="6"/>
  <c r="BU170" i="6"/>
  <c r="CA706" i="6"/>
  <c r="BA706" i="6"/>
  <c r="BB706" i="6" s="1"/>
  <c r="CA738" i="6"/>
  <c r="BA738" i="6"/>
  <c r="BU738" i="6"/>
  <c r="CA898" i="6"/>
  <c r="BU898" i="6"/>
  <c r="BU600" i="6"/>
  <c r="CA600" i="6"/>
  <c r="BU768" i="6"/>
  <c r="BA768" i="6"/>
  <c r="BA68" i="6"/>
  <c r="CA68" i="6"/>
  <c r="BU68" i="6"/>
  <c r="CA300" i="6"/>
  <c r="BU300" i="6"/>
  <c r="CA576" i="6"/>
  <c r="BA576" i="6"/>
  <c r="BB576" i="6" s="1"/>
  <c r="BA631" i="6"/>
  <c r="BU631" i="6"/>
  <c r="CA631" i="6"/>
  <c r="BA910" i="6"/>
  <c r="CA910" i="6"/>
  <c r="BU910" i="6"/>
  <c r="BU32" i="6"/>
  <c r="BA32" i="6"/>
  <c r="BB32" i="6" s="1"/>
  <c r="BU35" i="6"/>
  <c r="CA35" i="6"/>
  <c r="BA80" i="6"/>
  <c r="CA80" i="6"/>
  <c r="BU80" i="6"/>
  <c r="BU603" i="6"/>
  <c r="BA603" i="6"/>
  <c r="CA616" i="6"/>
  <c r="BA616" i="6"/>
  <c r="BU616" i="6"/>
  <c r="CA462" i="6"/>
  <c r="BA462" i="6"/>
  <c r="BB462" i="6" s="1"/>
  <c r="BA570" i="6"/>
  <c r="BA643" i="6"/>
  <c r="CA643" i="6"/>
  <c r="BU358" i="6"/>
  <c r="CA358" i="6"/>
  <c r="BA190" i="6"/>
  <c r="CA190" i="6"/>
  <c r="CA137" i="6"/>
  <c r="BU137" i="6"/>
  <c r="CA614" i="6"/>
  <c r="BU614" i="6"/>
  <c r="BA614" i="6"/>
  <c r="CA962" i="6"/>
  <c r="BA962" i="6"/>
  <c r="BB962" i="6" s="1"/>
  <c r="CA674" i="6"/>
  <c r="BU674" i="6"/>
  <c r="BA674" i="6"/>
  <c r="BB674" i="6" s="1"/>
  <c r="BU363" i="6"/>
  <c r="CA363" i="6"/>
  <c r="BV607" i="6"/>
  <c r="BW607" i="6"/>
  <c r="CA338" i="6"/>
  <c r="BU338" i="6"/>
  <c r="BU453" i="6"/>
  <c r="CA453" i="6"/>
  <c r="CA322" i="6"/>
  <c r="BU322" i="6"/>
  <c r="BU374" i="6"/>
  <c r="CA374" i="6"/>
  <c r="BA374" i="6"/>
  <c r="BU436" i="6"/>
  <c r="CA436" i="6"/>
  <c r="BA276" i="6"/>
  <c r="BB276" i="6" s="1"/>
  <c r="BU276" i="6"/>
  <c r="CA276" i="6"/>
  <c r="BA58" i="6"/>
  <c r="BB58" i="6" s="1"/>
  <c r="CA58" i="6"/>
  <c r="BA203" i="6"/>
  <c r="BU203" i="6"/>
  <c r="CA203" i="6"/>
  <c r="CA393" i="6"/>
  <c r="CA803" i="6"/>
  <c r="CA697" i="6"/>
  <c r="CA132" i="6"/>
  <c r="BA909" i="6"/>
  <c r="BB909" i="6" s="1"/>
  <c r="BA285" i="6"/>
  <c r="BB285" i="6" s="1"/>
  <c r="BB364" i="6"/>
  <c r="BU47" i="6"/>
  <c r="BI207" i="6"/>
  <c r="BA222" i="6"/>
  <c r="BU222" i="6"/>
  <c r="CA659" i="6"/>
  <c r="BA659" i="6"/>
  <c r="BB659" i="6" s="1"/>
  <c r="BA433" i="6"/>
  <c r="CA433" i="6"/>
  <c r="BU433" i="6"/>
  <c r="CA956" i="6"/>
  <c r="BA956" i="6"/>
  <c r="BU956" i="6"/>
  <c r="CA783" i="6"/>
  <c r="BU783" i="6"/>
  <c r="BW783" i="6" s="1"/>
  <c r="BA783" i="6"/>
  <c r="BU93" i="6"/>
  <c r="CA93" i="6"/>
  <c r="BU609" i="6"/>
  <c r="CA609" i="6"/>
  <c r="CA550" i="6"/>
  <c r="BU550" i="6"/>
  <c r="CA581" i="6"/>
  <c r="BA581" i="6"/>
  <c r="BB581" i="6" s="1"/>
  <c r="CA844" i="6"/>
  <c r="BA844" i="6"/>
  <c r="BB844" i="6" s="1"/>
  <c r="BA713" i="6"/>
  <c r="BU713" i="6"/>
  <c r="CA857" i="6"/>
  <c r="BA857" i="6"/>
  <c r="BU857" i="6"/>
  <c r="CA973" i="6"/>
  <c r="BA973" i="6"/>
  <c r="CA303" i="6"/>
  <c r="BA303" i="6"/>
  <c r="BB303" i="6" s="1"/>
  <c r="BU954" i="6"/>
  <c r="CA954" i="6"/>
  <c r="BU31" i="6"/>
  <c r="CA31" i="6"/>
  <c r="BA75" i="6"/>
  <c r="BU75" i="6"/>
  <c r="BU79" i="6"/>
  <c r="CA79" i="6"/>
  <c r="CA708" i="6"/>
  <c r="BA708" i="6"/>
  <c r="BU708" i="6"/>
  <c r="BU743" i="6"/>
  <c r="CA743" i="6"/>
  <c r="BA688" i="6"/>
  <c r="BB688" i="6" s="1"/>
  <c r="BU688" i="6"/>
  <c r="BV688" i="6" s="1"/>
  <c r="BA583" i="6"/>
  <c r="BB583" i="6" s="1"/>
  <c r="BU583" i="6"/>
  <c r="BA588" i="6"/>
  <c r="CA588" i="6"/>
  <c r="BU642" i="6"/>
  <c r="CA642" i="6"/>
  <c r="BU357" i="6"/>
  <c r="CA357" i="6"/>
  <c r="BU233" i="6"/>
  <c r="CA233" i="6"/>
  <c r="CA887" i="6"/>
  <c r="BU887" i="6"/>
  <c r="BA887" i="6"/>
  <c r="CA676" i="6"/>
  <c r="BU676" i="6"/>
  <c r="CA282" i="6"/>
  <c r="BU282" i="6"/>
  <c r="CA365" i="6"/>
  <c r="BU365" i="6"/>
  <c r="BA365" i="6"/>
  <c r="BU406" i="6"/>
  <c r="BA406" i="6"/>
  <c r="BA606" i="6"/>
  <c r="BB606" i="6" s="1"/>
  <c r="CA606" i="6"/>
  <c r="CA337" i="6"/>
  <c r="BA337" i="6"/>
  <c r="CA627" i="6"/>
  <c r="BA627" i="6"/>
  <c r="BA970" i="6"/>
  <c r="BB970" i="6" s="1"/>
  <c r="CA848" i="6"/>
  <c r="BA848" i="6"/>
  <c r="BU87" i="6"/>
  <c r="BA87" i="6"/>
  <c r="CA178" i="6"/>
  <c r="BU178" i="6"/>
  <c r="BA839" i="6"/>
  <c r="BU839" i="6"/>
  <c r="CA557" i="6"/>
  <c r="BA557" i="6"/>
  <c r="CA12" i="6"/>
  <c r="BU12" i="6"/>
  <c r="CA669" i="6"/>
  <c r="BA669" i="6"/>
  <c r="CA897" i="6"/>
  <c r="BU897" i="6"/>
  <c r="BU182" i="6"/>
  <c r="CA182" i="6"/>
  <c r="BU55" i="6"/>
  <c r="CA55" i="6"/>
  <c r="BA55" i="6"/>
  <c r="BW27" i="6"/>
  <c r="BA296" i="6"/>
  <c r="BB296" i="6" s="1"/>
  <c r="BU296" i="6"/>
  <c r="BO735" i="6"/>
  <c r="BP735" i="6"/>
  <c r="CF766" i="6"/>
  <c r="CE766" i="6" s="1"/>
  <c r="BI529" i="6"/>
  <c r="CA845" i="6"/>
  <c r="BA845" i="6"/>
  <c r="CA810" i="6"/>
  <c r="BU810" i="6"/>
  <c r="CA831" i="6"/>
  <c r="BU831" i="6"/>
  <c r="CA802" i="6"/>
  <c r="BA802" i="6"/>
  <c r="CA105" i="6"/>
  <c r="BA105" i="6"/>
  <c r="BU545" i="6"/>
  <c r="CA545" i="6"/>
  <c r="CA272" i="6"/>
  <c r="BU272" i="6"/>
  <c r="BA118" i="6"/>
  <c r="BB118" i="6" s="1"/>
  <c r="BU118" i="6"/>
  <c r="CA795" i="6"/>
  <c r="BU795" i="6"/>
  <c r="BW787" i="6"/>
  <c r="BU547" i="6"/>
  <c r="BA547" i="6"/>
  <c r="CA548" i="6"/>
  <c r="BA548" i="6"/>
  <c r="BU941" i="6"/>
  <c r="BA941" i="6"/>
  <c r="BA508" i="6"/>
  <c r="BB508" i="6" s="1"/>
  <c r="BU508" i="6"/>
  <c r="BU492" i="6"/>
  <c r="CA492" i="6"/>
  <c r="CA984" i="6"/>
  <c r="BU984" i="6"/>
  <c r="BU238" i="6"/>
  <c r="BA238" i="6"/>
  <c r="BB238" i="6" s="1"/>
  <c r="BI940" i="6"/>
  <c r="BH940" i="6"/>
  <c r="BO297" i="6"/>
  <c r="BP297" i="6"/>
  <c r="BP36" i="6"/>
  <c r="BO36" i="6"/>
  <c r="BO313" i="6"/>
  <c r="BP313" i="6"/>
  <c r="BU884" i="6"/>
  <c r="CA11" i="6"/>
  <c r="CC11" i="6" s="1"/>
  <c r="BA809" i="6"/>
  <c r="BB809" i="6" s="1"/>
  <c r="CA181" i="6"/>
  <c r="BU446" i="6"/>
  <c r="BA89" i="6"/>
  <c r="BA633" i="6"/>
  <c r="CA198" i="6"/>
  <c r="CA914" i="6"/>
  <c r="BA328" i="6"/>
  <c r="BA787" i="6"/>
  <c r="BB787" i="6" s="1"/>
  <c r="BU169" i="6"/>
  <c r="CF169" i="6" s="1"/>
  <c r="CE169" i="6" s="1"/>
  <c r="CA4" i="6"/>
  <c r="CA833" i="6"/>
  <c r="BU387" i="6"/>
  <c r="BU772" i="6"/>
  <c r="BA907" i="6"/>
  <c r="CA976" i="6"/>
  <c r="BA679" i="6"/>
  <c r="BB679" i="6" s="1"/>
  <c r="BA268" i="6"/>
  <c r="BB268" i="6" s="1"/>
  <c r="BA725" i="6"/>
  <c r="BA492" i="6"/>
  <c r="BU183" i="6"/>
  <c r="BU802" i="6"/>
  <c r="BA325" i="6"/>
  <c r="BU845" i="6"/>
  <c r="BH412" i="6"/>
  <c r="CB1014" i="6"/>
  <c r="CC1014" i="6"/>
  <c r="CA116" i="6"/>
  <c r="BU116" i="6"/>
  <c r="BU667" i="6"/>
  <c r="CA667" i="6"/>
  <c r="BU789" i="6"/>
  <c r="CA789" i="6"/>
  <c r="BU868" i="6"/>
  <c r="BA868" i="6"/>
  <c r="CA450" i="6"/>
  <c r="BA450" i="6"/>
  <c r="BU450" i="6"/>
  <c r="CA635" i="6"/>
  <c r="BU635" i="6"/>
  <c r="BU597" i="6"/>
  <c r="BA597" i="6"/>
  <c r="BB597" i="6" s="1"/>
  <c r="CA71" i="6"/>
  <c r="BU71" i="6"/>
  <c r="BU111" i="6"/>
  <c r="CA111" i="6"/>
  <c r="BU742" i="6"/>
  <c r="BA742" i="6"/>
  <c r="BU364" i="6"/>
  <c r="CA364" i="6"/>
  <c r="CA533" i="6"/>
  <c r="BU533" i="6"/>
  <c r="BA501" i="6"/>
  <c r="BU987" i="6"/>
  <c r="BA987" i="6"/>
  <c r="CA987" i="6"/>
  <c r="CB726" i="6"/>
  <c r="CC726" i="6"/>
  <c r="BU104" i="6"/>
  <c r="BA104" i="6"/>
  <c r="BB104" i="6" s="1"/>
  <c r="BA130" i="6"/>
  <c r="BU130" i="6"/>
  <c r="BU488" i="6"/>
  <c r="BA488" i="6"/>
  <c r="BP100" i="6"/>
  <c r="BO100" i="6"/>
  <c r="BO103" i="6"/>
  <c r="BP103" i="6"/>
  <c r="BH610" i="6"/>
  <c r="BI610" i="6"/>
  <c r="BU503" i="6"/>
  <c r="BO743" i="6"/>
  <c r="BP743" i="6"/>
  <c r="BI83" i="6"/>
  <c r="BH83" i="6"/>
  <c r="BP327" i="6"/>
  <c r="BO327" i="6"/>
  <c r="BO189" i="6"/>
  <c r="BP189" i="6"/>
  <c r="BO510" i="6"/>
  <c r="BP510" i="6"/>
  <c r="BP408" i="6"/>
  <c r="BO408" i="6"/>
  <c r="BH670" i="6"/>
  <c r="BI670" i="6"/>
  <c r="AT372" i="6"/>
  <c r="BN372" i="6"/>
  <c r="BG372" i="6"/>
  <c r="BI937" i="6"/>
  <c r="BH937" i="6"/>
  <c r="BP561" i="6"/>
  <c r="BO561" i="6"/>
  <c r="BP546" i="6"/>
  <c r="BO546" i="6"/>
  <c r="BN86" i="6"/>
  <c r="AT86" i="6"/>
  <c r="BH408" i="6"/>
  <c r="BI408" i="6"/>
  <c r="BP11" i="6"/>
  <c r="BO11" i="6"/>
  <c r="AT227" i="6"/>
  <c r="BN227" i="6"/>
  <c r="BU147" i="6"/>
  <c r="CA147" i="6"/>
  <c r="CB128" i="6"/>
  <c r="CC128" i="6"/>
  <c r="CA568" i="6"/>
  <c r="BU568" i="6"/>
  <c r="BA196" i="6"/>
  <c r="BB196" i="6" s="1"/>
  <c r="BU196" i="6"/>
  <c r="BU489" i="6"/>
  <c r="BA489" i="6"/>
  <c r="BU665" i="6"/>
  <c r="CA665" i="6"/>
  <c r="BU370" i="6"/>
  <c r="BA370" i="6"/>
  <c r="BO840" i="6"/>
  <c r="BP840" i="6"/>
  <c r="CF1021" i="6"/>
  <c r="CE1021" i="6" s="1"/>
  <c r="BP998" i="6"/>
  <c r="BO998" i="6"/>
  <c r="BG313" i="6"/>
  <c r="AT313" i="6"/>
  <c r="BG769" i="6"/>
  <c r="BN539" i="6"/>
  <c r="A1085" i="5"/>
  <c r="A1086" i="5"/>
  <c r="C1042" i="5"/>
  <c r="B1145" i="5"/>
  <c r="A1130" i="5"/>
  <c r="B1125" i="5"/>
  <c r="B1071" i="5"/>
  <c r="E1122" i="5"/>
  <c r="A1025" i="5"/>
  <c r="C1160" i="5"/>
  <c r="B1096" i="5"/>
  <c r="E1134" i="5"/>
  <c r="A1055" i="5"/>
  <c r="A1128" i="5"/>
  <c r="B1064" i="5"/>
  <c r="A1110" i="5"/>
  <c r="E1095" i="5"/>
  <c r="E1154" i="5"/>
  <c r="A1058" i="5"/>
  <c r="B1072" i="5"/>
  <c r="C1050" i="5"/>
  <c r="A1144" i="5"/>
  <c r="C1123" i="5"/>
  <c r="B1051" i="5"/>
  <c r="A1109" i="5"/>
  <c r="E1076" i="5"/>
  <c r="A1083" i="5"/>
  <c r="E1033" i="5"/>
  <c r="A1074" i="5"/>
  <c r="E1057" i="5"/>
  <c r="B1107" i="5"/>
  <c r="C1097" i="5"/>
  <c r="E1085" i="5"/>
  <c r="C1167" i="5"/>
  <c r="B1057" i="5"/>
  <c r="E1107" i="5"/>
  <c r="E1067" i="5"/>
  <c r="B1153" i="5"/>
  <c r="B1108" i="5"/>
  <c r="B1167" i="5"/>
  <c r="C1126" i="5"/>
  <c r="C1084" i="5"/>
  <c r="B1121" i="5"/>
  <c r="C1103" i="5"/>
  <c r="C1039" i="5"/>
  <c r="C1130" i="5"/>
  <c r="B1085" i="5"/>
  <c r="C1114" i="5"/>
  <c r="B1076" i="5"/>
  <c r="C1047" i="5"/>
  <c r="A1121" i="5"/>
  <c r="B1142" i="5"/>
  <c r="B1170" i="5"/>
  <c r="E1066" i="5"/>
  <c r="A1169" i="5"/>
  <c r="B1077" i="5"/>
  <c r="A1045" i="5"/>
  <c r="C1069" i="5"/>
  <c r="C1127" i="5"/>
  <c r="A1153" i="5"/>
  <c r="C1043" i="5"/>
  <c r="A1080" i="5"/>
  <c r="B1075" i="5"/>
  <c r="B1114" i="5"/>
  <c r="C1073" i="5"/>
  <c r="B1129" i="5"/>
  <c r="A1073" i="5"/>
  <c r="A1071" i="5"/>
  <c r="B1049" i="5"/>
  <c r="B1065" i="5"/>
  <c r="A1084" i="5"/>
  <c r="A1037" i="5"/>
  <c r="C1074" i="5"/>
  <c r="A1158" i="5"/>
  <c r="C1086" i="5"/>
  <c r="B1164" i="5"/>
  <c r="B1044" i="5"/>
  <c r="B1136" i="5"/>
  <c r="E1097" i="5"/>
  <c r="B1033" i="5"/>
  <c r="C1136" i="5"/>
  <c r="A1126" i="5"/>
  <c r="E1081" i="5"/>
  <c r="B1060" i="5"/>
  <c r="A1142" i="5"/>
  <c r="C1058" i="5"/>
  <c r="C1049" i="5"/>
  <c r="A1039" i="5"/>
  <c r="C1059" i="5"/>
  <c r="A1104" i="5"/>
  <c r="A1131" i="5"/>
  <c r="A1157" i="5"/>
  <c r="B1052" i="5"/>
  <c r="C1046" i="5"/>
  <c r="E1042" i="5"/>
  <c r="B1159" i="5"/>
  <c r="A1118" i="5"/>
  <c r="B1036" i="5"/>
  <c r="E1072" i="5"/>
  <c r="B1094" i="5"/>
  <c r="C1029" i="5"/>
  <c r="C1137" i="5"/>
  <c r="C1115" i="5"/>
  <c r="C1051" i="5"/>
  <c r="A1149" i="5"/>
  <c r="A1120" i="5"/>
  <c r="C1027" i="5"/>
  <c r="B1148" i="5"/>
  <c r="E1079" i="5"/>
  <c r="C1061" i="5"/>
  <c r="B1043" i="5"/>
  <c r="C1170" i="5"/>
  <c r="A1133" i="5"/>
  <c r="E1084" i="5"/>
  <c r="E1144" i="5"/>
  <c r="C1150" i="5"/>
  <c r="E1089" i="5"/>
  <c r="E1142" i="5"/>
  <c r="C1117" i="5"/>
  <c r="C1040" i="5"/>
  <c r="C1035" i="5"/>
  <c r="E1165" i="5"/>
  <c r="C1102" i="5"/>
  <c r="A1127" i="5"/>
  <c r="B1128" i="5"/>
  <c r="A1168" i="5"/>
  <c r="A1096" i="5"/>
  <c r="A1155" i="5"/>
  <c r="C1085" i="5"/>
  <c r="A1159" i="5"/>
  <c r="B1028" i="5"/>
  <c r="A1059" i="5"/>
  <c r="C1066" i="5"/>
  <c r="C1104" i="5"/>
  <c r="B1061" i="5"/>
  <c r="B1073" i="5"/>
  <c r="E1113" i="5"/>
  <c r="E1104" i="5"/>
  <c r="C1131" i="5"/>
  <c r="E1096" i="5"/>
  <c r="C1036" i="5"/>
  <c r="A1124" i="5"/>
  <c r="C1122" i="5"/>
  <c r="E1054" i="5"/>
  <c r="E1140" i="5"/>
  <c r="C1147" i="5"/>
  <c r="C1155" i="5"/>
  <c r="A1061" i="5"/>
  <c r="A1030" i="5"/>
  <c r="C1098" i="5"/>
  <c r="E1112" i="5"/>
  <c r="B1038" i="5"/>
  <c r="E1088" i="5"/>
  <c r="C1140" i="5"/>
  <c r="E1167" i="5"/>
  <c r="C1044" i="5"/>
  <c r="C1033" i="5"/>
  <c r="B1137" i="5"/>
  <c r="E1074" i="5"/>
  <c r="E1130" i="5"/>
  <c r="A1093" i="5"/>
  <c r="A1060" i="5"/>
  <c r="C1153" i="5"/>
  <c r="E1133" i="5"/>
  <c r="A1043" i="5"/>
  <c r="C1107" i="5"/>
  <c r="B1080" i="5"/>
  <c r="E1090" i="5"/>
  <c r="A1117" i="5"/>
  <c r="C1143" i="5"/>
  <c r="B1069" i="5"/>
  <c r="C1048" i="5"/>
  <c r="A1132" i="5"/>
  <c r="E1115" i="5"/>
  <c r="E1125" i="5"/>
  <c r="E1073" i="5"/>
  <c r="E1145" i="5"/>
  <c r="B1032" i="5"/>
  <c r="B1165" i="5"/>
  <c r="C1070" i="5"/>
  <c r="C2" i="5"/>
  <c r="F3" i="5"/>
  <c r="C1161" i="5"/>
  <c r="C1116" i="5"/>
  <c r="B1126" i="5"/>
  <c r="C1148" i="5"/>
  <c r="E1158" i="5"/>
  <c r="C1118" i="5"/>
  <c r="B1031" i="5"/>
  <c r="A1111" i="5"/>
  <c r="E1166" i="5"/>
  <c r="A1053" i="5"/>
  <c r="E1163" i="5"/>
  <c r="C1099" i="5"/>
  <c r="E1159" i="5"/>
  <c r="B1116" i="5"/>
  <c r="A1099" i="5"/>
  <c r="A1129" i="5"/>
  <c r="C1159" i="5"/>
  <c r="C1060" i="5"/>
  <c r="E1121" i="5"/>
  <c r="A1092" i="5"/>
  <c r="A1042" i="5"/>
  <c r="B1155" i="5"/>
  <c r="B1068" i="5"/>
  <c r="B1091" i="5"/>
  <c r="C1133" i="5"/>
  <c r="A1164" i="5"/>
  <c r="B1149" i="5"/>
  <c r="B1081" i="5"/>
  <c r="B1050" i="5"/>
  <c r="A1091" i="5"/>
  <c r="B1067" i="5"/>
  <c r="E1168" i="5"/>
  <c r="E1127" i="5"/>
  <c r="E1041" i="5"/>
  <c r="C1037" i="5"/>
  <c r="B2" i="5"/>
  <c r="E1160" i="5"/>
  <c r="A1051" i="5"/>
  <c r="E1032" i="5"/>
  <c r="B1066" i="5"/>
  <c r="A1027" i="5"/>
  <c r="A1161" i="5"/>
  <c r="C1134" i="5"/>
  <c r="E1109" i="5"/>
  <c r="A1101" i="5"/>
  <c r="B1133" i="5"/>
  <c r="E1027" i="5"/>
  <c r="A1028" i="5"/>
  <c r="A1054" i="5"/>
  <c r="A1077" i="5"/>
  <c r="E1069" i="5"/>
  <c r="E1044" i="5"/>
  <c r="E1038" i="5"/>
  <c r="C1152" i="5"/>
  <c r="A1049" i="5"/>
  <c r="E1064" i="5"/>
  <c r="B1127" i="5"/>
  <c r="C1142" i="5"/>
  <c r="C1063" i="5"/>
  <c r="C1169" i="5"/>
  <c r="B1087" i="5"/>
  <c r="C1105" i="5"/>
  <c r="B1095" i="5"/>
  <c r="E1164" i="5"/>
  <c r="E1048" i="5"/>
  <c r="B1144" i="5"/>
  <c r="A1139" i="5"/>
  <c r="E1119" i="5"/>
  <c r="B1143" i="5"/>
  <c r="A1141" i="5"/>
  <c r="B1105" i="5"/>
  <c r="A2" i="5"/>
  <c r="A1094" i="5"/>
  <c r="B1138" i="5"/>
  <c r="C1141" i="5"/>
  <c r="E1086" i="5"/>
  <c r="E1120" i="5"/>
  <c r="A1090" i="5"/>
  <c r="E1030" i="5"/>
  <c r="E1087" i="5"/>
  <c r="A1065" i="5"/>
  <c r="E1091" i="5"/>
  <c r="E1059" i="5"/>
  <c r="C1157" i="5"/>
  <c r="B1111" i="5"/>
  <c r="A1140" i="5"/>
  <c r="B1131" i="5"/>
  <c r="A1123" i="5"/>
  <c r="C1119" i="5"/>
  <c r="E1103" i="5"/>
  <c r="E1169" i="5"/>
  <c r="A1162" i="5"/>
  <c r="C1065" i="5"/>
  <c r="B1140" i="5"/>
  <c r="A1116" i="5"/>
  <c r="A1082" i="5"/>
  <c r="B1106" i="5"/>
  <c r="E1082" i="5"/>
  <c r="C1030" i="5"/>
  <c r="E1171" i="5"/>
  <c r="C1125" i="5"/>
  <c r="A1156" i="5"/>
  <c r="E1060" i="5"/>
  <c r="B1168" i="5"/>
  <c r="E1152" i="5"/>
  <c r="B1123" i="5"/>
  <c r="E1117" i="5"/>
  <c r="A1095" i="5"/>
  <c r="E1065" i="5"/>
  <c r="C1112" i="5"/>
  <c r="E1139" i="5"/>
  <c r="B1062" i="5"/>
  <c r="C1057" i="5"/>
  <c r="C1072" i="5"/>
  <c r="A1032" i="5"/>
  <c r="B1078" i="5"/>
  <c r="A1078" i="5"/>
  <c r="B1163" i="5"/>
  <c r="E1053" i="5"/>
  <c r="E1110" i="5"/>
  <c r="C1111" i="5"/>
  <c r="B1117" i="5"/>
  <c r="C1168" i="5"/>
  <c r="E1055" i="5"/>
  <c r="B1124" i="5"/>
  <c r="A1064" i="5"/>
  <c r="B1110" i="5"/>
  <c r="A1057" i="5"/>
  <c r="B1099" i="5"/>
  <c r="C1146" i="5"/>
  <c r="E1147" i="5"/>
  <c r="C1129" i="5"/>
  <c r="E1052" i="5"/>
  <c r="B1092" i="5"/>
  <c r="A1081" i="5"/>
  <c r="C1028" i="5"/>
  <c r="C1109" i="5"/>
  <c r="C1078" i="5"/>
  <c r="A1145" i="5"/>
  <c r="C1158" i="5"/>
  <c r="C1166" i="5"/>
  <c r="B1059" i="5"/>
  <c r="E1043" i="5"/>
  <c r="B1070" i="5"/>
  <c r="B1152" i="5"/>
  <c r="B1146" i="5"/>
  <c r="E1040" i="5"/>
  <c r="E1148" i="5"/>
  <c r="A1063" i="5"/>
  <c r="E1050" i="5"/>
  <c r="A1040" i="5"/>
  <c r="C1124" i="5"/>
  <c r="E1094" i="5"/>
  <c r="E1056" i="5"/>
  <c r="C1079" i="5"/>
  <c r="A1026" i="5"/>
  <c r="E1149" i="5"/>
  <c r="E1077" i="5"/>
  <c r="B1100" i="5"/>
  <c r="C1067" i="5"/>
  <c r="A1106" i="5"/>
  <c r="C1094" i="5"/>
  <c r="A1148" i="5"/>
  <c r="B1030" i="5"/>
  <c r="C1138" i="5"/>
  <c r="A1138" i="5"/>
  <c r="B1063" i="5"/>
  <c r="B1141" i="5"/>
  <c r="C1091" i="5"/>
  <c r="A1079" i="5"/>
  <c r="E1031" i="5"/>
  <c r="A1163" i="5"/>
  <c r="A1067" i="5"/>
  <c r="E1116" i="5"/>
  <c r="E1029" i="5"/>
  <c r="E1058" i="5"/>
  <c r="C1164" i="5"/>
  <c r="C1054" i="5"/>
  <c r="E1061" i="5"/>
  <c r="C1108" i="5"/>
  <c r="C1120" i="5"/>
  <c r="A1052" i="5"/>
  <c r="A1143" i="5"/>
  <c r="E1157" i="5"/>
  <c r="C1095" i="5"/>
  <c r="A1113" i="5"/>
  <c r="C1052" i="5"/>
  <c r="E1026" i="5"/>
  <c r="A1031" i="5"/>
  <c r="B1093" i="5"/>
  <c r="C1151" i="5"/>
  <c r="B1169" i="5"/>
  <c r="A1048" i="5"/>
  <c r="E1083" i="5"/>
  <c r="A1103" i="5"/>
  <c r="E1137" i="5"/>
  <c r="E1155" i="5"/>
  <c r="B1098" i="5"/>
  <c r="E1034" i="5"/>
  <c r="C1081" i="5"/>
  <c r="A1088" i="5"/>
  <c r="B1135" i="5"/>
  <c r="C1089" i="5"/>
  <c r="C1171" i="5"/>
  <c r="E1124" i="5"/>
  <c r="E1161" i="5"/>
  <c r="A1069" i="5"/>
  <c r="C1144" i="5"/>
  <c r="A1150" i="5"/>
  <c r="B1162" i="5"/>
  <c r="E1036" i="5"/>
  <c r="B1056" i="5"/>
  <c r="E1146" i="5"/>
  <c r="A1160" i="5"/>
  <c r="C1132" i="5"/>
  <c r="E1151" i="5"/>
  <c r="B1120" i="5"/>
  <c r="A1075" i="5"/>
  <c r="E1143" i="5"/>
  <c r="E1049" i="5"/>
  <c r="E1132" i="5"/>
  <c r="B1086" i="5"/>
  <c r="E1100" i="5"/>
  <c r="A1152" i="5"/>
  <c r="C1139" i="5"/>
  <c r="C1045" i="5"/>
  <c r="A1056" i="5"/>
  <c r="B1134" i="5"/>
  <c r="B1156" i="5"/>
  <c r="C1077" i="5"/>
  <c r="B1042" i="5"/>
  <c r="E1078" i="5"/>
  <c r="C1101" i="5"/>
  <c r="B1027" i="5"/>
  <c r="B1041" i="5"/>
  <c r="E1153" i="5"/>
  <c r="B1058" i="5"/>
  <c r="E1099" i="5"/>
  <c r="B1132" i="5"/>
  <c r="A1171" i="5"/>
  <c r="C1082" i="5"/>
  <c r="E1129" i="5"/>
  <c r="B1112" i="5"/>
  <c r="B1166" i="5"/>
  <c r="A1076" i="5"/>
  <c r="A1029" i="5"/>
  <c r="C1055" i="5"/>
  <c r="C1076" i="5"/>
  <c r="E1028" i="5"/>
  <c r="B1084" i="5"/>
  <c r="A1100" i="5"/>
  <c r="E1131" i="5"/>
  <c r="B1157" i="5"/>
  <c r="C1113" i="5"/>
  <c r="E1047" i="5"/>
  <c r="B1102" i="5"/>
  <c r="C1149" i="5"/>
  <c r="C1068" i="5"/>
  <c r="B1130" i="5"/>
  <c r="C1041" i="5"/>
  <c r="B1147" i="5"/>
  <c r="C1083" i="5"/>
  <c r="E1114" i="5"/>
  <c r="C1064" i="5"/>
  <c r="A1062" i="5"/>
  <c r="B1083" i="5"/>
  <c r="C1034" i="5"/>
  <c r="C1053" i="5"/>
  <c r="E1111" i="5"/>
  <c r="C1025" i="5"/>
  <c r="C1128" i="5"/>
  <c r="B1088" i="5"/>
  <c r="B1074" i="5"/>
  <c r="B1097" i="5"/>
  <c r="E1025" i="5"/>
  <c r="A1107" i="5"/>
  <c r="B1171" i="5"/>
  <c r="B1118" i="5"/>
  <c r="A1041" i="5"/>
  <c r="A1166" i="5"/>
  <c r="C1038" i="5"/>
  <c r="A1165" i="5"/>
  <c r="C1090" i="5"/>
  <c r="A1036" i="5"/>
  <c r="A1047" i="5"/>
  <c r="B1104" i="5"/>
  <c r="A1112" i="5"/>
  <c r="B1079" i="5"/>
  <c r="B1109" i="5"/>
  <c r="C1106" i="5"/>
  <c r="E1062" i="5"/>
  <c r="A1135" i="5"/>
  <c r="E1150" i="5"/>
  <c r="A1125" i="5"/>
  <c r="A1119" i="5"/>
  <c r="E1106" i="5"/>
  <c r="A1066" i="5"/>
  <c r="E1039" i="5"/>
  <c r="E1046" i="5"/>
  <c r="A1046" i="5"/>
  <c r="B1037" i="5"/>
  <c r="A1146" i="5"/>
  <c r="A1105" i="5"/>
  <c r="B1048" i="5"/>
  <c r="A1097" i="5"/>
  <c r="C1096" i="5"/>
  <c r="B1160" i="5"/>
  <c r="E1123" i="5"/>
  <c r="A1167" i="5"/>
  <c r="C1071" i="5"/>
  <c r="C1031" i="5"/>
  <c r="A1070" i="5"/>
  <c r="A1102" i="5"/>
  <c r="B1150" i="5"/>
  <c r="B1090" i="5"/>
  <c r="A1136" i="5"/>
  <c r="E1105" i="5"/>
  <c r="B1034" i="5"/>
  <c r="A1035" i="5"/>
  <c r="A1050" i="5"/>
  <c r="C1026" i="5"/>
  <c r="C1145" i="5"/>
  <c r="A1147" i="5"/>
  <c r="A1072" i="5"/>
  <c r="E1128" i="5"/>
  <c r="A1044" i="5"/>
  <c r="E1138" i="5"/>
  <c r="C1165" i="5"/>
  <c r="C1075" i="5"/>
  <c r="E1035" i="5"/>
  <c r="E1037" i="5"/>
  <c r="A1115" i="5"/>
  <c r="B1154" i="5"/>
  <c r="E1101" i="5"/>
  <c r="B1119" i="5"/>
  <c r="A1114" i="5"/>
  <c r="C1163" i="5"/>
  <c r="B1029" i="5"/>
  <c r="C1032" i="5"/>
  <c r="B1047" i="5"/>
  <c r="B1040" i="5"/>
  <c r="E1141" i="5"/>
  <c r="B1089" i="5"/>
  <c r="E1126" i="5"/>
  <c r="E1080" i="5"/>
  <c r="B1025" i="5"/>
  <c r="A1108" i="5"/>
  <c r="C1121" i="5"/>
  <c r="E1075" i="5"/>
  <c r="B1082" i="5"/>
  <c r="C1110" i="5"/>
  <c r="C1056" i="5"/>
  <c r="C1088" i="5"/>
  <c r="B1046" i="5"/>
  <c r="E1102" i="5"/>
  <c r="A1098" i="5"/>
  <c r="A1034" i="5"/>
  <c r="A1134" i="5"/>
  <c r="C1093" i="5"/>
  <c r="B1054" i="5"/>
  <c r="B1101" i="5"/>
  <c r="E1162" i="5"/>
  <c r="B1113" i="5"/>
  <c r="A1137" i="5"/>
  <c r="A1068" i="5"/>
  <c r="A1122" i="5"/>
  <c r="E1118" i="5"/>
  <c r="A1038" i="5"/>
  <c r="C1156" i="5"/>
  <c r="B1026" i="5"/>
  <c r="B1122" i="5"/>
  <c r="B1161" i="5"/>
  <c r="C1100" i="5"/>
  <c r="B1055" i="5"/>
  <c r="A1087" i="5"/>
  <c r="C1154" i="5"/>
  <c r="A1033" i="5"/>
  <c r="A1170" i="5"/>
  <c r="E1063" i="5"/>
  <c r="E1045" i="5"/>
  <c r="B1158" i="5"/>
  <c r="E1135" i="5"/>
  <c r="A1151" i="5"/>
  <c r="E1093" i="5"/>
  <c r="C1092" i="5"/>
  <c r="E1156" i="5"/>
  <c r="E1098" i="5"/>
  <c r="E1070" i="5"/>
  <c r="B1115" i="5"/>
  <c r="B1103" i="5"/>
  <c r="A1089" i="5"/>
  <c r="E1136" i="5"/>
  <c r="C1080" i="5"/>
  <c r="B1053" i="5"/>
  <c r="C1087" i="5"/>
  <c r="B1045" i="5"/>
  <c r="C1062" i="5"/>
  <c r="E1170" i="5"/>
  <c r="E2" i="5"/>
  <c r="E1092" i="5"/>
  <c r="A1154" i="5"/>
  <c r="B1139" i="5"/>
  <c r="B1035" i="5"/>
  <c r="C1162" i="5"/>
  <c r="E1071" i="5"/>
  <c r="B1039" i="5"/>
  <c r="E1051" i="5"/>
  <c r="E1108" i="5"/>
  <c r="B1151" i="5"/>
  <c r="E1068" i="5"/>
  <c r="C1135" i="5"/>
  <c r="CD16" i="6"/>
  <c r="BV782" i="6"/>
  <c r="CC428" i="6"/>
  <c r="CF964" i="6"/>
  <c r="CE964" i="6" s="1"/>
  <c r="BB964" i="6"/>
  <c r="BV303" i="6"/>
  <c r="BB74" i="6"/>
  <c r="CF362" i="6"/>
  <c r="CE362" i="6" s="1"/>
  <c r="BW362" i="6"/>
  <c r="BV49" i="6"/>
  <c r="BB700" i="6"/>
  <c r="BB463" i="6"/>
  <c r="CB266" i="6"/>
  <c r="BW356" i="6"/>
  <c r="CF356" i="6"/>
  <c r="CE356" i="6" s="1"/>
  <c r="CB827" i="6"/>
  <c r="CB813" i="6"/>
  <c r="CF292" i="6"/>
  <c r="CE292" i="6" s="1"/>
  <c r="BW56" i="6"/>
  <c r="BV457" i="6"/>
  <c r="CF530" i="6"/>
  <c r="CE530" i="6" s="1"/>
  <c r="BO995" i="6"/>
  <c r="CC234" i="6"/>
  <c r="BV871" i="6"/>
  <c r="CC354" i="6"/>
  <c r="CB354" i="6"/>
  <c r="CB644" i="6"/>
  <c r="BB175" i="6"/>
  <c r="BU9" i="6"/>
  <c r="BA771" i="6"/>
  <c r="BA408" i="6"/>
  <c r="CA945" i="6"/>
  <c r="BA207" i="6"/>
  <c r="BA208" i="6"/>
  <c r="BU128" i="6"/>
  <c r="BA354" i="6"/>
  <c r="BU458" i="6"/>
  <c r="CA388" i="6"/>
  <c r="BU928" i="6"/>
  <c r="BA54" i="6"/>
  <c r="BU343" i="6"/>
  <c r="BU965" i="6"/>
  <c r="BA410" i="6"/>
  <c r="CA187" i="6"/>
  <c r="BA833" i="6"/>
  <c r="BA565" i="6"/>
  <c r="BA387" i="6"/>
  <c r="BU389" i="6"/>
  <c r="CA8" i="6"/>
  <c r="BU107" i="6"/>
  <c r="BA211" i="6"/>
  <c r="BU978" i="6"/>
  <c r="BU630" i="6"/>
  <c r="BA24" i="6"/>
  <c r="BA521" i="6"/>
  <c r="BA424" i="6"/>
  <c r="CA175" i="6"/>
  <c r="CA218" i="6"/>
  <c r="CA309" i="6"/>
  <c r="BU909" i="6"/>
  <c r="CA835" i="6"/>
  <c r="BU285" i="6"/>
  <c r="BA438" i="6"/>
  <c r="BA468" i="6"/>
  <c r="BU214" i="6"/>
  <c r="BU632" i="6"/>
  <c r="BA812" i="6"/>
  <c r="CA192" i="6"/>
  <c r="CA733" i="6"/>
  <c r="BU175" i="6"/>
  <c r="CA463" i="6"/>
  <c r="BU218" i="6"/>
  <c r="BA20" i="6"/>
  <c r="CA290" i="6"/>
  <c r="BU939" i="6"/>
  <c r="CA226" i="6"/>
  <c r="BA467" i="6"/>
  <c r="CA386" i="6"/>
  <c r="BA829" i="6"/>
  <c r="CB191" i="6"/>
  <c r="CF1014" i="6"/>
  <c r="CE1014" i="6" s="1"/>
  <c r="BA744" i="6"/>
  <c r="CA744" i="6"/>
  <c r="BA350" i="6"/>
  <c r="CA350" i="6"/>
  <c r="CA874" i="6"/>
  <c r="BA874" i="6"/>
  <c r="BA677" i="6"/>
  <c r="BU677" i="6"/>
  <c r="CA142" i="6"/>
  <c r="BA142" i="6"/>
  <c r="CA955" i="6"/>
  <c r="BA955" i="6"/>
  <c r="BA760" i="6"/>
  <c r="BA474" i="6"/>
  <c r="CA474" i="6"/>
  <c r="BU377" i="6"/>
  <c r="CA221" i="6"/>
  <c r="BA221" i="6"/>
  <c r="BA324" i="6"/>
  <c r="CA324" i="6"/>
  <c r="CA395" i="6"/>
  <c r="BA395" i="6"/>
  <c r="CA380" i="6"/>
  <c r="BA380" i="6"/>
  <c r="BU216" i="6"/>
  <c r="BA216" i="6"/>
  <c r="CA10" i="6"/>
  <c r="BA10" i="6"/>
  <c r="BA155" i="6"/>
  <c r="CA155" i="6"/>
  <c r="BA319" i="6"/>
  <c r="BU837" i="6"/>
  <c r="BA837" i="6"/>
  <c r="BU416" i="6"/>
  <c r="BA416" i="6"/>
  <c r="BA969" i="6"/>
  <c r="BU969" i="6"/>
  <c r="BA905" i="6"/>
  <c r="BA965" i="6"/>
  <c r="CA683" i="6"/>
  <c r="BA683" i="6"/>
  <c r="CA520" i="6"/>
  <c r="BA666" i="6"/>
  <c r="CA666" i="6"/>
  <c r="BA184" i="6"/>
  <c r="CA184" i="6"/>
  <c r="BA102" i="6"/>
  <c r="BU102" i="6"/>
  <c r="BA889" i="6"/>
  <c r="CA889" i="6"/>
  <c r="BU835" i="6"/>
  <c r="BU271" i="6"/>
  <c r="BU119" i="6"/>
  <c r="BA119" i="6"/>
  <c r="BU412" i="6"/>
  <c r="BA412" i="6"/>
  <c r="BA98" i="6"/>
  <c r="CA98" i="6"/>
  <c r="BA99" i="6"/>
  <c r="CA99" i="6"/>
  <c r="BA843" i="6"/>
  <c r="BU843" i="6"/>
  <c r="CA563" i="6"/>
  <c r="BU564" i="6"/>
  <c r="BA564" i="6"/>
  <c r="BA754" i="6"/>
  <c r="BU139" i="6"/>
  <c r="BA139" i="6"/>
  <c r="BA245" i="6"/>
  <c r="BU245" i="6"/>
  <c r="BA515" i="6"/>
  <c r="BU515" i="6"/>
  <c r="CA515" i="6"/>
  <c r="CA652" i="6"/>
  <c r="CA415" i="6"/>
  <c r="BA415" i="6"/>
  <c r="CA944" i="6"/>
  <c r="BU944" i="6"/>
  <c r="BA902" i="6"/>
  <c r="BU902" i="6"/>
  <c r="BA240" i="6"/>
  <c r="CA240" i="6"/>
  <c r="BA428" i="6"/>
  <c r="BU428" i="6"/>
  <c r="BA801" i="6"/>
  <c r="BU801" i="6"/>
  <c r="BA471" i="6"/>
  <c r="BU471" i="6"/>
  <c r="CA660" i="6"/>
  <c r="BA660" i="6"/>
  <c r="BU589" i="6"/>
  <c r="CF589" i="6" s="1"/>
  <c r="CE589" i="6" s="1"/>
  <c r="BA460" i="6"/>
  <c r="CA460" i="6"/>
  <c r="BA816" i="6"/>
  <c r="BA246" i="6"/>
  <c r="CA246" i="6"/>
  <c r="BA552" i="6"/>
  <c r="CA552" i="6"/>
  <c r="BA626" i="6"/>
  <c r="CA626" i="6"/>
  <c r="BA100" i="6"/>
  <c r="BU100" i="6"/>
  <c r="BA83" i="6"/>
  <c r="CA83" i="6"/>
  <c r="BA903" i="6"/>
  <c r="CA903" i="6"/>
  <c r="BU15" i="6"/>
  <c r="CA15" i="6"/>
  <c r="BA443" i="6"/>
  <c r="BU443" i="6"/>
  <c r="CA911" i="6"/>
  <c r="BA911" i="6"/>
  <c r="BU439" i="6"/>
  <c r="CA439" i="6"/>
  <c r="AT1012" i="6"/>
  <c r="BI938" i="6"/>
  <c r="BO290" i="6"/>
  <c r="BP290" i="6"/>
  <c r="BI81" i="6"/>
  <c r="BH81" i="6"/>
  <c r="BA1024" i="6"/>
  <c r="CA1024" i="6"/>
  <c r="BU1024" i="6"/>
  <c r="CA319" i="6"/>
  <c r="AT329" i="6"/>
  <c r="BN329" i="6"/>
  <c r="BG884" i="6"/>
  <c r="BN884" i="6"/>
  <c r="BN220" i="6"/>
  <c r="AT220" i="6"/>
  <c r="AT726" i="6"/>
  <c r="BN726" i="6"/>
  <c r="AT216" i="6"/>
  <c r="BN216" i="6"/>
  <c r="BI782" i="6"/>
  <c r="BH782" i="6"/>
  <c r="CA485" i="6"/>
  <c r="BU485" i="6"/>
  <c r="BU66" i="6"/>
  <c r="CA66" i="6"/>
  <c r="BA423" i="6"/>
  <c r="CA423" i="6"/>
  <c r="BA136" i="6"/>
  <c r="CA136" i="6"/>
  <c r="BU798" i="6"/>
  <c r="BA798" i="6"/>
  <c r="CA156" i="6"/>
  <c r="BU156" i="6"/>
  <c r="BU253" i="6"/>
  <c r="CA253" i="6"/>
  <c r="BA195" i="6"/>
  <c r="BU195" i="6"/>
  <c r="BA891" i="6"/>
  <c r="CA891" i="6"/>
  <c r="CA963" i="6"/>
  <c r="BA963" i="6"/>
  <c r="BU117" i="6"/>
  <c r="BA117" i="6"/>
  <c r="BU418" i="6"/>
  <c r="BA418" i="6"/>
  <c r="BU714" i="6"/>
  <c r="BA714" i="6"/>
  <c r="BU896" i="6"/>
  <c r="BA896" i="6"/>
  <c r="BA67" i="6"/>
  <c r="CA67" i="6"/>
  <c r="BA180" i="6"/>
  <c r="BU180" i="6"/>
  <c r="BA269" i="6"/>
  <c r="BU269" i="6"/>
  <c r="BA113" i="6"/>
  <c r="CA113" i="6"/>
  <c r="CA121" i="6"/>
  <c r="BU121" i="6"/>
  <c r="CA641" i="6"/>
  <c r="BU641" i="6"/>
  <c r="CA610" i="6"/>
  <c r="BA610" i="6"/>
  <c r="CA704" i="6"/>
  <c r="BA704" i="6"/>
  <c r="BA953" i="6"/>
  <c r="BU953" i="6"/>
  <c r="BA23" i="6"/>
  <c r="CA23" i="6"/>
  <c r="BA174" i="6"/>
  <c r="BU174" i="6"/>
  <c r="BA125" i="6"/>
  <c r="CA125" i="6"/>
  <c r="BU805" i="6"/>
  <c r="BA805" i="6"/>
  <c r="BA599" i="6"/>
  <c r="BU599" i="6"/>
  <c r="CA599" i="6"/>
  <c r="BU601" i="6"/>
  <c r="BA601" i="6"/>
  <c r="BU465" i="6"/>
  <c r="BA465" i="6"/>
  <c r="BA307" i="6"/>
  <c r="CA307" i="6"/>
  <c r="BA866" i="6"/>
  <c r="BU866" i="6"/>
  <c r="BA710" i="6"/>
  <c r="BU710" i="6"/>
  <c r="CA329" i="6"/>
  <c r="BA329" i="6"/>
  <c r="BA711" i="6"/>
  <c r="CA711" i="6"/>
  <c r="CA870" i="6"/>
  <c r="BA870" i="6"/>
  <c r="BA685" i="6"/>
  <c r="CA685" i="6"/>
  <c r="BU495" i="6"/>
  <c r="BA495" i="6"/>
  <c r="BA648" i="6"/>
  <c r="CA648" i="6"/>
  <c r="BA682" i="6"/>
  <c r="BU682" i="6"/>
  <c r="BA304" i="6"/>
  <c r="BU304" i="6"/>
  <c r="BU42" i="6"/>
  <c r="BA42" i="6"/>
  <c r="CA776" i="6"/>
  <c r="BU776" i="6"/>
  <c r="BA646" i="6"/>
  <c r="BU646" i="6"/>
  <c r="BA284" i="6"/>
  <c r="BU284" i="6"/>
  <c r="CA763" i="6"/>
  <c r="BA763" i="6"/>
  <c r="BA960" i="6"/>
  <c r="BU960" i="6"/>
  <c r="BA514" i="6"/>
  <c r="BU514" i="6"/>
  <c r="BA201" i="6"/>
  <c r="BU201" i="6"/>
  <c r="BP530" i="6"/>
  <c r="BO530" i="6"/>
  <c r="BI306" i="6"/>
  <c r="BH306" i="6"/>
  <c r="BH88" i="6"/>
  <c r="BI88" i="6"/>
  <c r="BH270" i="6"/>
  <c r="BI270" i="6"/>
  <c r="BI434" i="6"/>
  <c r="BH434" i="6"/>
  <c r="BA999" i="6"/>
  <c r="CA999" i="6"/>
  <c r="BU999" i="6"/>
  <c r="BI534" i="6"/>
  <c r="CF517" i="6"/>
  <c r="CE517" i="6" s="1"/>
  <c r="CF1005" i="6"/>
  <c r="CE1005" i="6" s="1"/>
  <c r="CA811" i="6"/>
  <c r="BU22" i="6"/>
  <c r="BU279" i="6"/>
  <c r="CA118" i="6"/>
  <c r="BU675" i="6"/>
  <c r="BU647" i="6"/>
  <c r="CA431" i="6"/>
  <c r="BU990" i="6"/>
  <c r="CA950" i="6"/>
  <c r="BU431" i="6"/>
  <c r="BU108" i="6"/>
  <c r="BU333" i="6"/>
  <c r="CA477" i="6"/>
  <c r="BA726" i="6"/>
  <c r="BA678" i="6"/>
  <c r="CA76" i="6"/>
  <c r="BU576" i="6"/>
  <c r="BA37" i="6"/>
  <c r="BU842" i="6"/>
  <c r="CA662" i="6"/>
  <c r="BU392" i="6"/>
  <c r="CA432" i="6"/>
  <c r="BU809" i="6"/>
  <c r="CA494" i="6"/>
  <c r="BU277" i="6"/>
  <c r="BU899" i="6"/>
  <c r="BU844" i="6"/>
  <c r="BA981" i="6"/>
  <c r="BU794" i="6"/>
  <c r="CA448" i="6"/>
  <c r="BA723" i="6"/>
  <c r="CA598" i="6"/>
  <c r="CA786" i="6"/>
  <c r="BA171" i="6"/>
  <c r="CA5" i="6"/>
  <c r="BA975" i="6"/>
  <c r="BU958" i="6"/>
  <c r="CA311" i="6"/>
  <c r="CA567" i="6"/>
  <c r="BU165" i="6"/>
  <c r="CA546" i="6"/>
  <c r="BA181" i="6"/>
  <c r="BA116" i="6"/>
  <c r="BU659" i="6"/>
  <c r="BA922" i="6"/>
  <c r="CA254" i="6"/>
  <c r="BA162" i="6"/>
  <c r="BA379" i="6"/>
  <c r="CA578" i="6"/>
  <c r="BA377" i="6"/>
  <c r="BU308" i="6"/>
  <c r="BA485" i="6"/>
  <c r="CA348" i="6"/>
  <c r="CA73" i="6"/>
  <c r="BU98" i="6"/>
  <c r="CA865" i="6"/>
  <c r="CA653" i="6"/>
  <c r="CA741" i="6"/>
  <c r="CA269" i="6"/>
  <c r="CA471" i="6"/>
  <c r="CA231" i="6"/>
  <c r="BU606" i="6"/>
  <c r="CA716" i="6"/>
  <c r="CA268" i="6"/>
  <c r="BU505" i="6"/>
  <c r="BA883" i="6"/>
  <c r="BA90" i="6"/>
  <c r="BU14" i="6"/>
  <c r="BA618" i="6"/>
  <c r="CA524" i="6"/>
  <c r="BU500" i="6"/>
  <c r="CA762" i="6"/>
  <c r="CA446" i="6"/>
  <c r="BA282" i="6"/>
  <c r="BA189" i="6"/>
  <c r="BU586" i="6"/>
  <c r="CA731" i="6"/>
  <c r="CA764" i="6"/>
  <c r="CA32" i="6"/>
  <c r="BA777" i="6"/>
  <c r="CA577" i="6"/>
  <c r="BA73" i="6"/>
  <c r="BU751" i="6"/>
  <c r="BA800" i="6"/>
  <c r="BU819" i="6"/>
  <c r="BA152" i="6"/>
  <c r="CA360" i="6"/>
  <c r="BA334" i="6"/>
  <c r="BU264" i="6"/>
  <c r="BU353" i="6"/>
  <c r="BA724" i="6"/>
  <c r="BA563" i="6"/>
  <c r="CA787" i="6"/>
  <c r="BU765" i="6"/>
  <c r="BA11" i="6"/>
  <c r="CA916" i="6"/>
  <c r="BA859" i="6"/>
  <c r="CA510" i="6"/>
  <c r="CA46" i="6"/>
  <c r="BA394" i="6"/>
  <c r="BU906" i="6"/>
  <c r="CA117" i="6"/>
  <c r="BA403" i="6"/>
  <c r="BA259" i="6"/>
  <c r="BA980" i="6"/>
  <c r="CA159" i="6"/>
  <c r="CA9" i="6"/>
  <c r="BU796" i="6"/>
  <c r="CA223" i="6"/>
  <c r="BA177" i="6"/>
  <c r="BU452" i="6"/>
  <c r="CA144" i="6"/>
  <c r="CA262" i="6"/>
  <c r="BU904" i="6"/>
  <c r="BU123" i="6"/>
  <c r="CA343" i="6"/>
  <c r="CA583" i="6"/>
  <c r="CA202" i="6"/>
  <c r="CA196" i="6"/>
  <c r="BU673" i="6"/>
  <c r="BU793" i="6"/>
  <c r="CA710" i="6"/>
  <c r="CA647" i="6"/>
  <c r="BU804" i="6"/>
  <c r="BU404" i="6"/>
  <c r="CA296" i="6"/>
  <c r="BA622" i="6"/>
  <c r="BA437" i="6"/>
  <c r="BA655" i="6"/>
  <c r="BA363" i="6"/>
  <c r="BA357" i="6"/>
  <c r="BU462" i="6"/>
  <c r="BA736" i="6"/>
  <c r="BU205" i="6"/>
  <c r="BU976" i="6"/>
  <c r="BU851" i="6"/>
  <c r="CA302" i="6"/>
  <c r="BA689" i="6"/>
  <c r="CA219" i="6"/>
  <c r="BU487" i="6"/>
  <c r="CA679" i="6"/>
  <c r="CA686" i="6"/>
  <c r="CF686" i="6" s="1"/>
  <c r="CE686" i="6" s="1"/>
  <c r="BU611" i="6"/>
  <c r="BU581" i="6"/>
  <c r="BA193" i="6"/>
  <c r="BU133" i="6"/>
  <c r="BA792" i="6"/>
  <c r="BA407" i="6"/>
  <c r="CA664" i="6"/>
  <c r="CA564" i="6"/>
  <c r="BU610" i="6"/>
  <c r="BA96" i="6"/>
  <c r="CA271" i="6"/>
  <c r="CA671" i="6"/>
  <c r="BA186" i="6"/>
  <c r="BU666" i="6"/>
  <c r="CA714" i="6"/>
  <c r="CA658" i="6"/>
  <c r="CA416" i="6"/>
  <c r="CA837" i="6"/>
  <c r="CA781" i="6"/>
  <c r="BA773" i="6"/>
  <c r="CA52" i="6"/>
  <c r="CA797" i="6"/>
  <c r="BU395" i="6"/>
  <c r="CA988" i="6"/>
  <c r="BA923" i="6"/>
  <c r="BU890" i="6"/>
  <c r="BU352" i="6"/>
  <c r="CA508" i="6"/>
  <c r="CA759" i="6"/>
  <c r="BU553" i="6"/>
  <c r="CA359" i="6"/>
  <c r="BU754" i="6"/>
  <c r="CA238" i="6"/>
  <c r="CA298" i="6"/>
  <c r="CA104" i="6"/>
  <c r="BU911" i="6"/>
  <c r="BU903" i="6"/>
  <c r="CA818" i="6"/>
  <c r="BU523" i="6"/>
  <c r="CA249" i="6"/>
  <c r="BA533" i="6"/>
  <c r="BU962" i="6"/>
  <c r="BA137" i="6"/>
  <c r="BU687" i="6"/>
  <c r="CA727" i="6"/>
  <c r="BA861" i="6"/>
  <c r="BA954" i="6"/>
  <c r="CA39" i="6"/>
  <c r="CA682" i="6"/>
  <c r="CA429" i="6"/>
  <c r="CA902" i="6"/>
  <c r="BU912" i="6"/>
  <c r="BA789" i="6"/>
  <c r="BU329" i="6"/>
  <c r="CA990" i="6"/>
  <c r="BA602" i="6"/>
  <c r="BA828" i="6"/>
  <c r="BU706" i="6"/>
  <c r="BA170" i="6"/>
  <c r="BU23" i="6"/>
  <c r="CA953" i="6"/>
  <c r="BA121" i="6"/>
  <c r="BA272" i="6"/>
  <c r="CA180" i="6"/>
  <c r="BA667" i="6"/>
  <c r="BU683" i="6"/>
  <c r="BA831" i="6"/>
  <c r="CA639" i="6"/>
  <c r="CA836" i="6"/>
  <c r="CA160" i="6"/>
  <c r="BA47" i="6"/>
  <c r="BA568" i="6"/>
  <c r="BA217" i="6"/>
  <c r="BU136" i="6"/>
  <c r="BA629" i="6"/>
  <c r="BA225" i="6"/>
  <c r="BA645" i="6"/>
  <c r="CB699" i="6"/>
  <c r="CB131" i="6"/>
  <c r="BP257" i="6"/>
  <c r="BO832" i="6"/>
  <c r="BI180" i="6"/>
  <c r="BO819" i="6"/>
  <c r="BV1019" i="6"/>
  <c r="CB1004" i="6"/>
  <c r="BH257" i="6"/>
  <c r="BI257" i="6"/>
  <c r="BP427" i="6"/>
  <c r="BO304" i="6"/>
  <c r="BU745" i="6"/>
  <c r="BA745" i="6"/>
  <c r="BA734" i="6"/>
  <c r="CA734" i="6"/>
  <c r="CA890" i="6"/>
  <c r="CA141" i="6"/>
  <c r="BU141" i="6"/>
  <c r="BU224" i="6"/>
  <c r="BA224" i="6"/>
  <c r="BA929" i="6"/>
  <c r="BU929" i="6"/>
  <c r="CA929" i="6"/>
  <c r="BA472" i="6"/>
  <c r="CA472" i="6"/>
  <c r="CA378" i="6"/>
  <c r="BA378" i="6"/>
  <c r="BA212" i="6"/>
  <c r="BU212" i="6"/>
  <c r="BA210" i="6"/>
  <c r="CA210" i="6"/>
  <c r="BA315" i="6"/>
  <c r="CA315" i="6"/>
  <c r="CA366" i="6"/>
  <c r="BU366" i="6"/>
  <c r="CA729" i="6"/>
  <c r="BA729" i="6"/>
  <c r="BA832" i="6"/>
  <c r="BU832" i="6"/>
  <c r="CA419" i="6"/>
  <c r="BA419" i="6"/>
  <c r="BA741" i="6"/>
  <c r="BA895" i="6"/>
  <c r="BA103" i="6"/>
  <c r="BU103" i="6"/>
  <c r="BA188" i="6"/>
  <c r="BU188" i="6"/>
  <c r="BU698" i="6"/>
  <c r="BA698" i="6"/>
  <c r="CA256" i="6"/>
  <c r="BA256" i="6"/>
  <c r="CA270" i="6"/>
  <c r="BA270" i="6"/>
  <c r="BA114" i="6"/>
  <c r="BU114" i="6"/>
  <c r="CA640" i="6"/>
  <c r="BA640" i="6"/>
  <c r="BA566" i="6"/>
  <c r="CA566" i="6"/>
  <c r="CA409" i="6"/>
  <c r="BA409" i="6"/>
  <c r="BU94" i="6"/>
  <c r="CA310" i="6"/>
  <c r="CA289" i="6"/>
  <c r="BA289" i="6"/>
  <c r="BA464" i="6"/>
  <c r="BU464" i="6"/>
  <c r="BA167" i="6"/>
  <c r="CA167" i="6"/>
  <c r="BA737" i="6"/>
  <c r="BU737" i="6"/>
  <c r="CA691" i="6"/>
  <c r="BA691" i="6"/>
  <c r="BA680" i="6"/>
  <c r="CA680" i="6"/>
  <c r="BU331" i="6"/>
  <c r="BA331" i="6"/>
  <c r="BA529" i="6"/>
  <c r="BU823" i="6"/>
  <c r="BA823" i="6"/>
  <c r="BA383" i="6"/>
  <c r="CA612" i="6"/>
  <c r="BA612" i="6"/>
  <c r="BA314" i="6"/>
  <c r="BU314" i="6"/>
  <c r="BA825" i="6"/>
  <c r="CA825" i="6"/>
  <c r="BU239" i="6"/>
  <c r="CA239" i="6"/>
  <c r="CA790" i="6"/>
  <c r="BA790" i="6"/>
  <c r="CA323" i="6"/>
  <c r="BA323" i="6"/>
  <c r="BA84" i="6"/>
  <c r="CA84" i="6"/>
  <c r="BA504" i="6"/>
  <c r="BU504" i="6"/>
  <c r="BA33" i="6"/>
  <c r="BU33" i="6"/>
  <c r="CA757" i="6"/>
  <c r="BA757" i="6"/>
  <c r="BI456" i="6"/>
  <c r="BH456" i="6"/>
  <c r="AT302" i="6"/>
  <c r="AT820" i="6"/>
  <c r="BG820" i="6"/>
  <c r="BN820" i="6"/>
  <c r="BI286" i="6"/>
  <c r="BH286" i="6"/>
  <c r="BH64" i="6"/>
  <c r="BI64" i="6"/>
  <c r="CA991" i="6"/>
  <c r="BU991" i="6"/>
  <c r="BU335" i="6"/>
  <c r="BA335" i="6"/>
  <c r="BA486" i="6"/>
  <c r="CA486" i="6"/>
  <c r="BA947" i="6"/>
  <c r="BU947" i="6"/>
  <c r="BU126" i="6"/>
  <c r="CA126" i="6"/>
  <c r="BA933" i="6"/>
  <c r="CA933" i="6"/>
  <c r="BA846" i="6"/>
  <c r="CA846" i="6"/>
  <c r="CA522" i="6"/>
  <c r="BA522" i="6"/>
  <c r="BU396" i="6"/>
  <c r="BA396" i="6"/>
  <c r="BU135" i="6"/>
  <c r="CA135" i="6"/>
  <c r="BA7" i="6"/>
  <c r="BU7" i="6"/>
  <c r="BU572" i="6"/>
  <c r="BA572" i="6"/>
  <c r="BU161" i="6"/>
  <c r="BA161" i="6"/>
  <c r="CA157" i="6"/>
  <c r="BU157" i="6"/>
  <c r="BA127" i="6"/>
  <c r="BU127" i="6"/>
  <c r="CA540" i="6"/>
  <c r="BA540" i="6"/>
  <c r="BU176" i="6"/>
  <c r="BA176" i="6"/>
  <c r="BA864" i="6"/>
  <c r="BU864" i="6"/>
  <c r="CA493" i="6"/>
  <c r="BA493" i="6"/>
  <c r="BU417" i="6"/>
  <c r="BA417" i="6"/>
  <c r="CA185" i="6"/>
  <c r="BA185" i="6"/>
  <c r="BU834" i="6"/>
  <c r="CA834" i="6"/>
  <c r="BA784" i="6"/>
  <c r="CA784" i="6"/>
  <c r="BA511" i="6"/>
  <c r="BU511" i="6"/>
  <c r="CB411" i="6"/>
  <c r="CC411" i="6"/>
  <c r="BA705" i="6"/>
  <c r="CA705" i="6"/>
  <c r="BU705" i="6"/>
  <c r="BU561" i="6"/>
  <c r="CA561" i="6"/>
  <c r="CA638" i="6"/>
  <c r="BA638" i="6"/>
  <c r="CA690" i="6"/>
  <c r="BU690" i="6"/>
  <c r="BU595" i="6"/>
  <c r="CA595" i="6"/>
  <c r="BA197" i="6"/>
  <c r="BU197" i="6"/>
  <c r="BU681" i="6"/>
  <c r="BA681" i="6"/>
  <c r="BA826" i="6"/>
  <c r="CA826" i="6"/>
  <c r="BU855" i="6"/>
  <c r="BA855" i="6"/>
  <c r="BA986" i="6"/>
  <c r="CA986" i="6"/>
  <c r="CA972" i="6"/>
  <c r="BA972" i="6"/>
  <c r="CA220" i="6"/>
  <c r="BA220" i="6"/>
  <c r="CA391" i="6"/>
  <c r="BA391" i="6"/>
  <c r="BA534" i="6"/>
  <c r="CA534" i="6"/>
  <c r="BU549" i="6"/>
  <c r="CA549" i="6"/>
  <c r="BA70" i="6"/>
  <c r="BU70" i="6"/>
  <c r="CA36" i="6"/>
  <c r="BA36" i="6"/>
  <c r="BA584" i="6"/>
  <c r="CA584" i="6"/>
  <c r="BA228" i="6"/>
  <c r="CA228" i="6"/>
  <c r="CA656" i="6"/>
  <c r="BA656" i="6"/>
  <c r="BA373" i="6"/>
  <c r="CA373" i="6"/>
  <c r="CA694" i="6"/>
  <c r="BA694" i="6"/>
  <c r="CA927" i="6"/>
  <c r="BA927" i="6"/>
  <c r="BA498" i="6"/>
  <c r="CA498" i="6"/>
  <c r="BA143" i="6"/>
  <c r="BU143" i="6"/>
  <c r="BA992" i="6"/>
  <c r="BU992" i="6"/>
  <c r="BI246" i="6"/>
  <c r="BH246" i="6"/>
  <c r="BH590" i="6"/>
  <c r="BU986" i="6"/>
  <c r="CA194" i="6"/>
  <c r="BI201" i="6"/>
  <c r="BO140" i="6"/>
  <c r="BH426" i="6"/>
  <c r="BH482" i="6"/>
  <c r="BO8" i="6"/>
  <c r="BP292" i="6"/>
  <c r="BP169" i="6"/>
  <c r="BP455" i="6"/>
  <c r="BO455" i="6"/>
  <c r="BH873" i="6"/>
  <c r="BI873" i="6"/>
  <c r="BH681" i="6"/>
  <c r="BI681" i="6"/>
  <c r="BP631" i="6"/>
  <c r="BO631" i="6"/>
  <c r="BH862" i="6"/>
  <c r="BI862" i="6"/>
  <c r="BP737" i="6"/>
  <c r="BO737" i="6"/>
  <c r="BO719" i="6"/>
  <c r="BP719" i="6"/>
  <c r="BP970" i="6"/>
  <c r="BO970" i="6"/>
  <c r="BH780" i="6"/>
  <c r="BI780" i="6"/>
  <c r="BI638" i="6"/>
  <c r="BH638" i="6"/>
  <c r="BO49" i="6"/>
  <c r="BP49" i="6"/>
  <c r="BI766" i="6"/>
  <c r="BH766" i="6"/>
  <c r="BO120" i="6"/>
  <c r="BP120" i="6"/>
  <c r="BG615" i="6"/>
  <c r="AT615" i="6"/>
  <c r="BG1001" i="6"/>
  <c r="AS1001" i="6"/>
  <c r="BO605" i="6"/>
  <c r="BP605" i="6"/>
  <c r="BO620" i="6"/>
  <c r="BP620" i="6"/>
  <c r="AT172" i="6"/>
  <c r="BN172" i="6"/>
  <c r="BP880" i="6"/>
  <c r="BO880" i="6"/>
  <c r="BO112" i="6"/>
  <c r="BP112" i="6"/>
  <c r="BH631" i="6"/>
  <c r="BI631" i="6"/>
  <c r="BP266" i="6"/>
  <c r="BO266" i="6"/>
  <c r="BP899" i="6"/>
  <c r="BO899" i="6"/>
  <c r="AT23" i="6"/>
  <c r="BN23" i="6"/>
  <c r="BO785" i="6"/>
  <c r="BP785" i="6"/>
  <c r="BI865" i="6"/>
  <c r="BH865" i="6"/>
  <c r="BP607" i="6"/>
  <c r="BO607" i="6"/>
  <c r="BG468" i="6"/>
  <c r="AT468" i="6"/>
  <c r="BN468" i="6"/>
  <c r="BH521" i="6"/>
  <c r="BI521" i="6"/>
  <c r="BI788" i="6"/>
  <c r="BH788" i="6"/>
  <c r="AT412" i="6"/>
  <c r="BN412" i="6"/>
  <c r="BI263" i="6"/>
  <c r="BG23" i="6"/>
  <c r="BO14" i="6"/>
  <c r="BN617" i="6"/>
  <c r="BH742" i="6"/>
  <c r="BP153" i="6"/>
  <c r="BA1019" i="6"/>
  <c r="BB1023" i="6"/>
  <c r="BI279" i="6"/>
  <c r="BO239" i="6"/>
  <c r="BP239" i="6"/>
  <c r="BH1000" i="6"/>
  <c r="BI1000" i="6"/>
  <c r="BH232" i="6"/>
  <c r="BI232" i="6"/>
  <c r="BI205" i="6"/>
  <c r="BO897" i="6"/>
  <c r="BP897" i="6"/>
  <c r="BH275" i="6"/>
  <c r="BI275" i="6"/>
  <c r="BO229" i="6"/>
  <c r="BP229" i="6"/>
  <c r="BI17" i="6"/>
  <c r="BH17" i="6"/>
  <c r="BP595" i="6"/>
  <c r="BO595" i="6"/>
  <c r="BP599" i="6"/>
  <c r="BO599" i="6"/>
  <c r="BO377" i="6"/>
  <c r="BI955" i="6"/>
  <c r="BH955" i="6"/>
  <c r="BH84" i="6"/>
  <c r="BI84" i="6"/>
  <c r="BH800" i="6"/>
  <c r="BI800" i="6"/>
  <c r="BI816" i="6"/>
  <c r="AT456" i="6"/>
  <c r="BN456" i="6"/>
  <c r="AT674" i="6"/>
  <c r="BG674" i="6"/>
  <c r="AT739" i="6"/>
  <c r="BG739" i="6"/>
  <c r="AT271" i="6"/>
  <c r="BN271" i="6"/>
  <c r="BO124" i="6"/>
  <c r="BP124" i="6"/>
  <c r="BI608" i="6"/>
  <c r="BH608" i="6"/>
  <c r="BO784" i="6"/>
  <c r="BO634" i="6"/>
  <c r="BP634" i="6"/>
  <c r="CA247" i="6"/>
  <c r="BI162" i="6"/>
  <c r="BH162" i="6"/>
  <c r="BH985" i="6"/>
  <c r="BI985" i="6"/>
  <c r="BI146" i="6"/>
  <c r="BH146" i="6"/>
  <c r="BO898" i="6"/>
  <c r="BO159" i="6"/>
  <c r="BP159" i="6"/>
  <c r="BH410" i="6"/>
  <c r="BI410" i="6"/>
  <c r="BV994" i="6"/>
  <c r="BW994" i="6"/>
  <c r="BP21" i="6"/>
  <c r="BP460" i="6"/>
  <c r="BG290" i="6"/>
  <c r="BP701" i="6"/>
  <c r="AS993" i="6"/>
  <c r="CF562" i="6" l="1"/>
  <c r="CE562" i="6" s="1"/>
  <c r="BV231" i="6"/>
  <c r="BI942" i="6"/>
  <c r="BH32" i="6"/>
  <c r="CF1009" i="6"/>
  <c r="CE1009" i="6" s="1"/>
  <c r="CB176" i="6"/>
  <c r="CC176" i="6"/>
  <c r="CC161" i="6"/>
  <c r="CB161" i="6"/>
  <c r="BV423" i="6"/>
  <c r="BW423" i="6"/>
  <c r="BI869" i="6"/>
  <c r="BH869" i="6"/>
  <c r="BW1001" i="6"/>
  <c r="BV1001" i="6"/>
  <c r="AT125" i="6"/>
  <c r="BN125" i="6"/>
  <c r="BI789" i="6"/>
  <c r="BH789" i="6"/>
  <c r="BG120" i="6"/>
  <c r="AT120" i="6"/>
  <c r="BG125" i="6"/>
  <c r="BO886" i="6"/>
  <c r="BP886" i="6"/>
  <c r="BP612" i="6"/>
  <c r="CD1013" i="6"/>
  <c r="BV115" i="6"/>
  <c r="BH1009" i="6"/>
  <c r="CH1009" i="6" s="1"/>
  <c r="CG1009" i="6" s="1"/>
  <c r="BO471" i="6"/>
  <c r="BI843" i="6"/>
  <c r="BO834" i="6"/>
  <c r="BP568" i="6"/>
  <c r="BH566" i="6"/>
  <c r="CB651" i="6"/>
  <c r="BH898" i="6"/>
  <c r="BI898" i="6"/>
  <c r="BI895" i="6"/>
  <c r="BH895" i="6"/>
  <c r="BI536" i="6"/>
  <c r="BH536" i="6"/>
  <c r="BP762" i="6"/>
  <c r="BO762" i="6"/>
  <c r="BW718" i="6"/>
  <c r="CD718" i="6" s="1"/>
  <c r="CF778" i="6"/>
  <c r="CE778" i="6" s="1"/>
  <c r="BO207" i="6"/>
  <c r="CC608" i="6"/>
  <c r="BW244" i="6"/>
  <c r="BI314" i="6"/>
  <c r="CF1015" i="6"/>
  <c r="CE1015" i="6" s="1"/>
  <c r="BP944" i="6"/>
  <c r="BI1009" i="6"/>
  <c r="BO529" i="6"/>
  <c r="BV981" i="6"/>
  <c r="BH587" i="6"/>
  <c r="AT285" i="6"/>
  <c r="BG285" i="6"/>
  <c r="BN285" i="6"/>
  <c r="BI45" i="6"/>
  <c r="BH45" i="6"/>
  <c r="BN45" i="6"/>
  <c r="BH863" i="6"/>
  <c r="BI863" i="6"/>
  <c r="CF426" i="6"/>
  <c r="CE426" i="6" s="1"/>
  <c r="BV340" i="6"/>
  <c r="CF758" i="6"/>
  <c r="CE758" i="6" s="1"/>
  <c r="CF402" i="6"/>
  <c r="CE402" i="6" s="1"/>
  <c r="BW1009" i="6"/>
  <c r="CD1009" i="6" s="1"/>
  <c r="CB75" i="6"/>
  <c r="BO587" i="6"/>
  <c r="CC143" i="6"/>
  <c r="BP80" i="6"/>
  <c r="BO80" i="6"/>
  <c r="BO326" i="6"/>
  <c r="BP326" i="6"/>
  <c r="BH266" i="6"/>
  <c r="BI266" i="6"/>
  <c r="CD266" i="6" s="1"/>
  <c r="BH296" i="6"/>
  <c r="BI296" i="6"/>
  <c r="BV1002" i="6"/>
  <c r="BW1002" i="6"/>
  <c r="AT481" i="6"/>
  <c r="BN481" i="6"/>
  <c r="CB886" i="6"/>
  <c r="CB633" i="6"/>
  <c r="CB723" i="6"/>
  <c r="CF544" i="6"/>
  <c r="CE544" i="6" s="1"/>
  <c r="BO73" i="6"/>
  <c r="BI1010" i="6"/>
  <c r="BP547" i="6"/>
  <c r="CB30" i="6"/>
  <c r="BI611" i="6"/>
  <c r="BH389" i="6"/>
  <c r="BO102" i="6"/>
  <c r="BH97" i="6"/>
  <c r="BI97" i="6"/>
  <c r="BH924" i="6"/>
  <c r="BI924" i="6"/>
  <c r="BP988" i="6"/>
  <c r="BP927" i="6"/>
  <c r="BO927" i="6"/>
  <c r="BI397" i="6"/>
  <c r="BH397" i="6"/>
  <c r="BW1020" i="6"/>
  <c r="BV1020" i="6"/>
  <c r="BP535" i="6"/>
  <c r="BO850" i="6"/>
  <c r="BP850" i="6"/>
  <c r="BO393" i="6"/>
  <c r="BP393" i="6"/>
  <c r="BP242" i="6"/>
  <c r="CB593" i="6"/>
  <c r="CC171" i="6"/>
  <c r="BV402" i="6"/>
  <c r="BW517" i="6"/>
  <c r="BH623" i="6"/>
  <c r="BH319" i="6"/>
  <c r="CB1018" i="6"/>
  <c r="CH1018" i="6" s="1"/>
  <c r="CG1018" i="6" s="1"/>
  <c r="BP805" i="6"/>
  <c r="BP442" i="6"/>
  <c r="BO909" i="6"/>
  <c r="BO211" i="6"/>
  <c r="BP366" i="6"/>
  <c r="BH350" i="6"/>
  <c r="BI350" i="6"/>
  <c r="BP905" i="6"/>
  <c r="BO905" i="6"/>
  <c r="BH499" i="6"/>
  <c r="BI499" i="6"/>
  <c r="BP64" i="6"/>
  <c r="BO64" i="6"/>
  <c r="CF756" i="6"/>
  <c r="CE756" i="6" s="1"/>
  <c r="CF867" i="6"/>
  <c r="CE867" i="6" s="1"/>
  <c r="CF1017" i="6"/>
  <c r="CE1017" i="6" s="1"/>
  <c r="BO413" i="6"/>
  <c r="BP413" i="6"/>
  <c r="BH639" i="6"/>
  <c r="BI639" i="6"/>
  <c r="BI359" i="6"/>
  <c r="BH359" i="6"/>
  <c r="BO268" i="6"/>
  <c r="BP268" i="6"/>
  <c r="BH533" i="6"/>
  <c r="BI533" i="6"/>
  <c r="CC740" i="6"/>
  <c r="CD28" i="6"/>
  <c r="BO758" i="6"/>
  <c r="CH758" i="6" s="1"/>
  <c r="CG758" i="6" s="1"/>
  <c r="CF101" i="6"/>
  <c r="CE101" i="6" s="1"/>
  <c r="BH558" i="6"/>
  <c r="BI558" i="6"/>
  <c r="BO137" i="6"/>
  <c r="BP137" i="6"/>
  <c r="BH644" i="6"/>
  <c r="BI644" i="6"/>
  <c r="BI636" i="6"/>
  <c r="BH636" i="6"/>
  <c r="BI560" i="6"/>
  <c r="BH560" i="6"/>
  <c r="BI950" i="6"/>
  <c r="BH950" i="6"/>
  <c r="BH965" i="6"/>
  <c r="BI965" i="6"/>
  <c r="BP197" i="6"/>
  <c r="BO197" i="6"/>
  <c r="BI727" i="6"/>
  <c r="BH727" i="6"/>
  <c r="BH185" i="6"/>
  <c r="BI185" i="6"/>
  <c r="BH945" i="6"/>
  <c r="BI945" i="6"/>
  <c r="BO113" i="6"/>
  <c r="BP113" i="6"/>
  <c r="BV551" i="6"/>
  <c r="BV552" i="6"/>
  <c r="BO618" i="6"/>
  <c r="BP815" i="6"/>
  <c r="BO732" i="6"/>
  <c r="BH113" i="6"/>
  <c r="BI113" i="6"/>
  <c r="CF996" i="6"/>
  <c r="CE996" i="6" s="1"/>
  <c r="CF1018" i="6"/>
  <c r="CE1018" i="6" s="1"/>
  <c r="CC886" i="6"/>
  <c r="BW774" i="6"/>
  <c r="BW402" i="6"/>
  <c r="BO58" i="6"/>
  <c r="BP58" i="6"/>
  <c r="BP977" i="6"/>
  <c r="BO977" i="6"/>
  <c r="BP520" i="6"/>
  <c r="BO520" i="6"/>
  <c r="BP469" i="6"/>
  <c r="BO469" i="6"/>
  <c r="BP501" i="6"/>
  <c r="BO501" i="6"/>
  <c r="BI276" i="6"/>
  <c r="BH276" i="6"/>
  <c r="BP974" i="6"/>
  <c r="BO974" i="6"/>
  <c r="BH652" i="6"/>
  <c r="BI652" i="6"/>
  <c r="CF5" i="6"/>
  <c r="CE5" i="6" s="1"/>
  <c r="BW567" i="6"/>
  <c r="CF313" i="6"/>
  <c r="CE313" i="6" s="1"/>
  <c r="CB334" i="6"/>
  <c r="CF191" i="6"/>
  <c r="CE191" i="6" s="1"/>
  <c r="CF628" i="6"/>
  <c r="CE628" i="6" s="1"/>
  <c r="BP646" i="6"/>
  <c r="CB16" i="6"/>
  <c r="CB974" i="6"/>
  <c r="BH930" i="6"/>
  <c r="BO523" i="6"/>
  <c r="BP523" i="6"/>
  <c r="BH882" i="6"/>
  <c r="BI882" i="6"/>
  <c r="BP51" i="6"/>
  <c r="BO51" i="6"/>
  <c r="BP625" i="6"/>
  <c r="BO625" i="6"/>
  <c r="BH987" i="6"/>
  <c r="BI987" i="6"/>
  <c r="BI567" i="6"/>
  <c r="BH567" i="6"/>
  <c r="BO131" i="6"/>
  <c r="BP131" i="6"/>
  <c r="BI119" i="6"/>
  <c r="BH119" i="6"/>
  <c r="BH218" i="6"/>
  <c r="BI218" i="6"/>
  <c r="BO967" i="6"/>
  <c r="CF567" i="6"/>
  <c r="CE567" i="6" s="1"/>
  <c r="BP997" i="6"/>
  <c r="BI1006" i="6"/>
  <c r="CF608" i="6"/>
  <c r="CE608" i="6" s="1"/>
  <c r="CF306" i="6"/>
  <c r="CE306" i="6" s="1"/>
  <c r="CF815" i="6"/>
  <c r="CE815" i="6" s="1"/>
  <c r="BH928" i="6"/>
  <c r="BI928" i="6"/>
  <c r="BH153" i="6"/>
  <c r="BI153" i="6"/>
  <c r="BO638" i="6"/>
  <c r="BP638" i="6"/>
  <c r="BP633" i="6"/>
  <c r="BO633" i="6"/>
  <c r="BH861" i="6"/>
  <c r="BI861" i="6"/>
  <c r="BO699" i="6"/>
  <c r="BP699" i="6"/>
  <c r="CF509" i="6"/>
  <c r="CE509" i="6" s="1"/>
  <c r="BI890" i="6"/>
  <c r="BH400" i="6"/>
  <c r="BI400" i="6"/>
  <c r="BV618" i="6"/>
  <c r="CD356" i="6"/>
  <c r="CF782" i="6"/>
  <c r="CE782" i="6" s="1"/>
  <c r="BI675" i="6"/>
  <c r="BW454" i="6"/>
  <c r="CF77" i="6"/>
  <c r="CE77" i="6" s="1"/>
  <c r="BW305" i="6"/>
  <c r="BO312" i="6"/>
  <c r="BV292" i="6"/>
  <c r="CB677" i="6"/>
  <c r="CH237" i="6"/>
  <c r="CG237" i="6" s="1"/>
  <c r="BP108" i="6"/>
  <c r="BP691" i="6"/>
  <c r="BO691" i="6"/>
  <c r="BO114" i="6"/>
  <c r="BO536" i="6"/>
  <c r="CF1004" i="6"/>
  <c r="CE1004" i="6" s="1"/>
  <c r="CF25" i="6"/>
  <c r="CE25" i="6" s="1"/>
  <c r="CF244" i="6"/>
  <c r="CE244" i="6" s="1"/>
  <c r="BV516" i="6"/>
  <c r="CH356" i="6"/>
  <c r="CG356" i="6" s="1"/>
  <c r="CF915" i="6"/>
  <c r="CE915" i="6" s="1"/>
  <c r="BV577" i="6"/>
  <c r="CC915" i="6"/>
  <c r="BH829" i="6"/>
  <c r="CD1015" i="6"/>
  <c r="CF455" i="6"/>
  <c r="CE455" i="6" s="1"/>
  <c r="BI795" i="6"/>
  <c r="BO670" i="6"/>
  <c r="BV16" i="6"/>
  <c r="CH16" i="6" s="1"/>
  <c r="CG16" i="6" s="1"/>
  <c r="BI974" i="6"/>
  <c r="BH189" i="6"/>
  <c r="BH1004" i="6"/>
  <c r="CF62" i="6"/>
  <c r="CE62" i="6" s="1"/>
  <c r="CF995" i="6"/>
  <c r="CE995" i="6" s="1"/>
  <c r="CF266" i="6"/>
  <c r="CE266" i="6" s="1"/>
  <c r="CB995" i="6"/>
  <c r="CB538" i="6"/>
  <c r="CH538" i="6" s="1"/>
  <c r="CG538" i="6" s="1"/>
  <c r="CF74" i="6"/>
  <c r="CE74" i="6" s="1"/>
  <c r="CF827" i="6"/>
  <c r="CE827" i="6" s="1"/>
  <c r="CF261" i="6"/>
  <c r="CE261" i="6" s="1"/>
  <c r="CF974" i="6"/>
  <c r="CE974" i="6" s="1"/>
  <c r="CF112" i="6"/>
  <c r="CE112" i="6" s="1"/>
  <c r="CF538" i="6"/>
  <c r="CE538" i="6" s="1"/>
  <c r="CF398" i="6"/>
  <c r="CE398" i="6" s="1"/>
  <c r="BP362" i="6"/>
  <c r="BP983" i="6"/>
  <c r="BV455" i="6"/>
  <c r="CC261" i="6"/>
  <c r="CC881" i="6"/>
  <c r="AS997" i="6"/>
  <c r="CF336" i="6"/>
  <c r="CE336" i="6" s="1"/>
  <c r="CF785" i="6"/>
  <c r="CE785" i="6" s="1"/>
  <c r="CF1000" i="6"/>
  <c r="CE1000" i="6" s="1"/>
  <c r="BO50" i="6"/>
  <c r="BV1023" i="6"/>
  <c r="BI485" i="6"/>
  <c r="BI455" i="6"/>
  <c r="CD455" i="6" s="1"/>
  <c r="CC267" i="6"/>
  <c r="BI839" i="6"/>
  <c r="BO119" i="6"/>
  <c r="BI58" i="6"/>
  <c r="BH475" i="6"/>
  <c r="BI791" i="6"/>
  <c r="BH791" i="6"/>
  <c r="BH333" i="6"/>
  <c r="BI333" i="6"/>
  <c r="BW398" i="6"/>
  <c r="BO682" i="6"/>
  <c r="CF774" i="6"/>
  <c r="CE774" i="6" s="1"/>
  <c r="BI1012" i="6"/>
  <c r="BP656" i="6"/>
  <c r="BH124" i="6"/>
  <c r="BI124" i="6"/>
  <c r="BI87" i="6"/>
  <c r="BH87" i="6"/>
  <c r="BH598" i="6"/>
  <c r="BI598" i="6"/>
  <c r="BO448" i="6"/>
  <c r="BP448" i="6"/>
  <c r="BO920" i="6"/>
  <c r="BP920" i="6"/>
  <c r="BI365" i="6"/>
  <c r="BH365" i="6"/>
  <c r="BH692" i="6"/>
  <c r="BI692" i="6"/>
  <c r="BI193" i="6"/>
  <c r="BH193" i="6"/>
  <c r="BH918" i="6"/>
  <c r="BI918" i="6"/>
  <c r="CH718" i="6"/>
  <c r="CG718" i="6" s="1"/>
  <c r="CC44" i="6"/>
  <c r="BV37" i="6"/>
  <c r="BI628" i="6"/>
  <c r="BO47" i="6"/>
  <c r="BI248" i="6"/>
  <c r="BH248" i="6"/>
  <c r="BH594" i="6"/>
  <c r="BI594" i="6"/>
  <c r="BB1013" i="6"/>
  <c r="CH1013" i="6" s="1"/>
  <c r="CG1013" i="6" s="1"/>
  <c r="CF1013" i="6"/>
  <c r="CE1013" i="6" s="1"/>
  <c r="BI478" i="6"/>
  <c r="BH478" i="6"/>
  <c r="BH8" i="6"/>
  <c r="BI8" i="6"/>
  <c r="BP972" i="6"/>
  <c r="BO972" i="6"/>
  <c r="BH476" i="6"/>
  <c r="BI476" i="6"/>
  <c r="BO770" i="6"/>
  <c r="BP770" i="6"/>
  <c r="BI685" i="6"/>
  <c r="BH685" i="6"/>
  <c r="BO490" i="6"/>
  <c r="CH362" i="6"/>
  <c r="CG362" i="6" s="1"/>
  <c r="BW437" i="6"/>
  <c r="BH221" i="6"/>
  <c r="CB1000" i="6"/>
  <c r="BP210" i="6"/>
  <c r="BO210" i="6"/>
  <c r="BH435" i="6"/>
  <c r="BI435" i="6"/>
  <c r="BP658" i="6"/>
  <c r="BO658" i="6"/>
  <c r="BO766" i="6"/>
  <c r="BP766" i="6"/>
  <c r="BO171" i="6"/>
  <c r="BP171" i="6"/>
  <c r="BH115" i="6"/>
  <c r="CH115" i="6" s="1"/>
  <c r="CG115" i="6" s="1"/>
  <c r="BI115" i="6"/>
  <c r="CD115" i="6" s="1"/>
  <c r="BP643" i="6"/>
  <c r="BO643" i="6"/>
  <c r="BI157" i="6"/>
  <c r="BH157" i="6"/>
  <c r="BI150" i="6"/>
  <c r="BH150" i="6"/>
  <c r="BO626" i="6"/>
  <c r="BP626" i="6"/>
  <c r="BO62" i="6"/>
  <c r="BP62" i="6"/>
  <c r="BP616" i="6"/>
  <c r="BO616" i="6"/>
  <c r="CC1005" i="6"/>
  <c r="CD1005" i="6" s="1"/>
  <c r="CB1005" i="6"/>
  <c r="BH245" i="6"/>
  <c r="BI245" i="6"/>
  <c r="BO234" i="6"/>
  <c r="BP234" i="6"/>
  <c r="BH1005" i="6"/>
  <c r="BI470" i="6"/>
  <c r="CB33" i="6"/>
  <c r="BI719" i="6"/>
  <c r="BP53" i="6"/>
  <c r="BI74" i="6"/>
  <c r="BW34" i="6"/>
  <c r="BH386" i="6"/>
  <c r="BI386" i="6"/>
  <c r="BP759" i="6"/>
  <c r="BO759" i="6"/>
  <c r="BO428" i="6"/>
  <c r="BH952" i="6"/>
  <c r="BP789" i="6"/>
  <c r="BO789" i="6"/>
  <c r="CC551" i="6"/>
  <c r="BV28" i="6"/>
  <c r="CH28" i="6" s="1"/>
  <c r="CG28" i="6" s="1"/>
  <c r="BH473" i="6"/>
  <c r="BI473" i="6"/>
  <c r="BP987" i="6"/>
  <c r="CD758" i="6"/>
  <c r="BI355" i="6"/>
  <c r="CD355" i="6" s="1"/>
  <c r="BH355" i="6"/>
  <c r="CH355" i="6" s="1"/>
  <c r="CG355" i="6" s="1"/>
  <c r="BP948" i="6"/>
  <c r="BO948" i="6"/>
  <c r="BI174" i="6"/>
  <c r="BH174" i="6"/>
  <c r="BV838" i="6"/>
  <c r="CB455" i="6"/>
  <c r="CH455" i="6" s="1"/>
  <c r="CG455" i="6" s="1"/>
  <c r="BO804" i="6"/>
  <c r="BP804" i="6"/>
  <c r="BO163" i="6"/>
  <c r="BP163" i="6"/>
  <c r="AT910" i="6"/>
  <c r="BG910" i="6"/>
  <c r="AT321" i="6"/>
  <c r="BG321" i="6"/>
  <c r="CF658" i="6"/>
  <c r="CE658" i="6" s="1"/>
  <c r="CF242" i="6"/>
  <c r="CE242" i="6" s="1"/>
  <c r="BH371" i="6"/>
  <c r="BI371" i="6"/>
  <c r="BH190" i="6"/>
  <c r="BI190" i="6"/>
  <c r="CB858" i="6"/>
  <c r="BO71" i="6"/>
  <c r="CC994" i="6"/>
  <c r="CD994" i="6" s="1"/>
  <c r="CB994" i="6"/>
  <c r="CH994" i="6" s="1"/>
  <c r="CG994" i="6" s="1"/>
  <c r="BH406" i="6"/>
  <c r="BI406" i="6"/>
  <c r="BP368" i="6"/>
  <c r="BO368" i="6"/>
  <c r="BP93" i="6"/>
  <c r="BO93" i="6"/>
  <c r="BH453" i="6"/>
  <c r="BI453" i="6"/>
  <c r="BH202" i="6"/>
  <c r="BI202" i="6"/>
  <c r="BP598" i="6"/>
  <c r="BO598" i="6"/>
  <c r="BH449" i="6"/>
  <c r="BI449" i="6"/>
  <c r="BP130" i="6"/>
  <c r="BO130" i="6"/>
  <c r="BO541" i="6"/>
  <c r="BP541" i="6"/>
  <c r="BH599" i="6"/>
  <c r="BI599" i="6"/>
  <c r="BW696" i="6"/>
  <c r="BV696" i="6"/>
  <c r="BH708" i="6"/>
  <c r="BI708" i="6"/>
  <c r="BH471" i="6"/>
  <c r="BI471" i="6"/>
  <c r="CF65" i="6"/>
  <c r="CE65" i="6" s="1"/>
  <c r="CF858" i="6"/>
  <c r="CE858" i="6" s="1"/>
  <c r="CF40" i="6"/>
  <c r="CE40" i="6" s="1"/>
  <c r="BI771" i="6"/>
  <c r="BH771" i="6"/>
  <c r="BO593" i="6"/>
  <c r="BP593" i="6"/>
  <c r="BH917" i="6"/>
  <c r="BI917" i="6"/>
  <c r="BP367" i="6"/>
  <c r="BO367" i="6"/>
  <c r="BI815" i="6"/>
  <c r="BH815" i="6"/>
  <c r="BO111" i="6"/>
  <c r="BP111" i="6"/>
  <c r="BP767" i="6"/>
  <c r="BO767" i="6"/>
  <c r="BP167" i="6"/>
  <c r="BO167" i="6"/>
  <c r="BP542" i="6"/>
  <c r="BO542" i="6"/>
  <c r="BP996" i="6"/>
  <c r="BO996" i="6"/>
  <c r="BO463" i="6"/>
  <c r="BP463" i="6"/>
  <c r="BI737" i="6"/>
  <c r="BH737" i="6"/>
  <c r="BO315" i="6"/>
  <c r="BP315" i="6"/>
  <c r="BO245" i="6"/>
  <c r="BP245" i="6"/>
  <c r="BO791" i="6"/>
  <c r="BP791" i="6"/>
  <c r="BH344" i="6"/>
  <c r="BI344" i="6"/>
  <c r="CC850" i="6"/>
  <c r="CB850" i="6"/>
  <c r="BI53" i="6"/>
  <c r="BH53" i="6"/>
  <c r="BO711" i="6"/>
  <c r="BP711" i="6"/>
  <c r="BW596" i="6"/>
  <c r="BW701" i="6"/>
  <c r="CC775" i="6"/>
  <c r="CF230" i="6"/>
  <c r="CE230" i="6" s="1"/>
  <c r="BI291" i="6"/>
  <c r="BP132" i="6"/>
  <c r="BH850" i="6"/>
  <c r="BW648" i="6"/>
  <c r="BI609" i="6"/>
  <c r="BH609" i="6"/>
  <c r="BH809" i="6"/>
  <c r="BI809" i="6"/>
  <c r="BO931" i="6"/>
  <c r="BP931" i="6"/>
  <c r="BP298" i="6"/>
  <c r="BO298" i="6"/>
  <c r="BP926" i="6"/>
  <c r="BO926" i="6"/>
  <c r="BH799" i="6"/>
  <c r="BI799" i="6"/>
  <c r="BI703" i="6"/>
  <c r="BH703" i="6"/>
  <c r="BH768" i="6"/>
  <c r="BI768" i="6"/>
  <c r="BH842" i="6"/>
  <c r="BI842" i="6"/>
  <c r="BH584" i="6"/>
  <c r="BI584" i="6"/>
  <c r="BO494" i="6"/>
  <c r="BP494" i="6"/>
  <c r="BO256" i="6"/>
  <c r="BP256" i="6"/>
  <c r="BO901" i="6"/>
  <c r="BP901" i="6"/>
  <c r="BO226" i="6"/>
  <c r="BP226" i="6"/>
  <c r="BH50" i="6"/>
  <c r="BI50" i="6"/>
  <c r="BH495" i="6"/>
  <c r="BI495" i="6"/>
  <c r="BP933" i="6"/>
  <c r="BO933" i="6"/>
  <c r="BP938" i="6"/>
  <c r="BO938" i="6"/>
  <c r="BH209" i="6"/>
  <c r="BI209" i="6"/>
  <c r="BP330" i="6"/>
  <c r="BO330" i="6"/>
  <c r="BI707" i="6"/>
  <c r="BH707" i="6"/>
  <c r="BO388" i="6"/>
  <c r="BP388" i="6"/>
  <c r="BH382" i="6"/>
  <c r="BI382" i="6"/>
  <c r="BO324" i="6"/>
  <c r="BP324" i="6"/>
  <c r="BP334" i="6"/>
  <c r="BO334" i="6"/>
  <c r="BH773" i="6"/>
  <c r="BI773" i="6"/>
  <c r="BI821" i="6"/>
  <c r="BH821" i="6"/>
  <c r="BP861" i="6"/>
  <c r="BO861" i="6"/>
  <c r="BO253" i="6"/>
  <c r="BP253" i="6"/>
  <c r="BP182" i="6"/>
  <c r="BO182" i="6"/>
  <c r="BI352" i="6"/>
  <c r="BH352" i="6"/>
  <c r="BH528" i="6"/>
  <c r="BI528" i="6"/>
  <c r="BH926" i="6"/>
  <c r="BI926" i="6"/>
  <c r="BO734" i="6"/>
  <c r="BP734" i="6"/>
  <c r="BP314" i="6"/>
  <c r="BO314" i="6"/>
  <c r="BO212" i="6"/>
  <c r="BP212" i="6"/>
  <c r="BI664" i="6"/>
  <c r="BH664" i="6"/>
  <c r="BP778" i="6"/>
  <c r="BO778" i="6"/>
  <c r="BI112" i="6"/>
  <c r="BH112" i="6"/>
  <c r="BH793" i="6"/>
  <c r="BI793" i="6"/>
  <c r="BI553" i="6"/>
  <c r="BH553" i="6"/>
  <c r="BI899" i="6"/>
  <c r="BH899" i="6"/>
  <c r="BP863" i="6"/>
  <c r="BO863" i="6"/>
  <c r="BP480" i="6"/>
  <c r="BO480" i="6"/>
  <c r="BI1002" i="6"/>
  <c r="CD1002" i="6" s="1"/>
  <c r="BH1002" i="6"/>
  <c r="CH1002" i="6" s="1"/>
  <c r="CG1002" i="6" s="1"/>
  <c r="BW815" i="6"/>
  <c r="BV815" i="6"/>
  <c r="BV54" i="6"/>
  <c r="CB456" i="6"/>
  <c r="BV138" i="6"/>
  <c r="CF721" i="6"/>
  <c r="CE721" i="6" s="1"/>
  <c r="BV432" i="6"/>
  <c r="BI886" i="6"/>
  <c r="BH886" i="6"/>
  <c r="BP764" i="6"/>
  <c r="BO764" i="6"/>
  <c r="CH1008" i="6"/>
  <c r="CG1008" i="6" s="1"/>
  <c r="CF1006" i="6"/>
  <c r="CE1006" i="6" s="1"/>
  <c r="CC1006" i="6"/>
  <c r="CB1006" i="6"/>
  <c r="BP663" i="6"/>
  <c r="CD663" i="6" s="1"/>
  <c r="BO663" i="6"/>
  <c r="BO305" i="6"/>
  <c r="BP305" i="6"/>
  <c r="BP215" i="6"/>
  <c r="BO215" i="6"/>
  <c r="BH627" i="6"/>
  <c r="BI627" i="6"/>
  <c r="BP258" i="6"/>
  <c r="BO258" i="6"/>
  <c r="BO713" i="6"/>
  <c r="BP713" i="6"/>
  <c r="BI111" i="6"/>
  <c r="BH111" i="6"/>
  <c r="BI660" i="6"/>
  <c r="BH660" i="6"/>
  <c r="BP439" i="6"/>
  <c r="BO439" i="6"/>
  <c r="BO346" i="6"/>
  <c r="BP346" i="6"/>
  <c r="BO858" i="6"/>
  <c r="BP858" i="6"/>
  <c r="BP596" i="6"/>
  <c r="CD596" i="6" s="1"/>
  <c r="BO596" i="6"/>
  <c r="BO960" i="6"/>
  <c r="BP960" i="6"/>
  <c r="BH749" i="6"/>
  <c r="BI749" i="6"/>
  <c r="BI305" i="6"/>
  <c r="BH305" i="6"/>
  <c r="BP411" i="6"/>
  <c r="BO411" i="6"/>
  <c r="BP24" i="6"/>
  <c r="BO24" i="6"/>
  <c r="BP1014" i="6"/>
  <c r="CD1014" i="6" s="1"/>
  <c r="BO1014" i="6"/>
  <c r="CH1014" i="6" s="1"/>
  <c r="CG1014" i="6" s="1"/>
  <c r="BP824" i="6"/>
  <c r="BO824" i="6"/>
  <c r="BI102" i="6"/>
  <c r="BH102" i="6"/>
  <c r="BP843" i="6"/>
  <c r="BO843" i="6"/>
  <c r="BP59" i="6"/>
  <c r="BO59" i="6"/>
  <c r="BO489" i="6"/>
  <c r="BP489" i="6"/>
  <c r="BO25" i="6"/>
  <c r="BP25" i="6"/>
  <c r="BO474" i="6"/>
  <c r="BP474" i="6"/>
  <c r="BP335" i="6"/>
  <c r="BO335" i="6"/>
  <c r="BP951" i="6"/>
  <c r="BO951" i="6"/>
  <c r="BI474" i="6"/>
  <c r="BH474" i="6"/>
  <c r="BP87" i="6"/>
  <c r="BO87" i="6"/>
  <c r="BI448" i="6"/>
  <c r="BH448" i="6"/>
  <c r="BP821" i="6"/>
  <c r="BO821" i="6"/>
  <c r="BI852" i="6"/>
  <c r="BH852" i="6"/>
  <c r="BI126" i="6"/>
  <c r="BH126" i="6"/>
  <c r="BI92" i="6"/>
  <c r="BH92" i="6"/>
  <c r="BO725" i="6"/>
  <c r="BP725" i="6"/>
  <c r="BH546" i="6"/>
  <c r="BI546" i="6"/>
  <c r="BI145" i="6"/>
  <c r="BH145" i="6"/>
  <c r="BI62" i="6"/>
  <c r="BH62" i="6"/>
  <c r="BI580" i="6"/>
  <c r="BH580" i="6"/>
  <c r="BO90" i="6"/>
  <c r="BP90" i="6"/>
  <c r="BI71" i="6"/>
  <c r="BH71" i="6"/>
  <c r="BO369" i="6"/>
  <c r="BP369" i="6"/>
  <c r="BH633" i="6"/>
  <c r="BI633" i="6"/>
  <c r="BI59" i="6"/>
  <c r="BH59" i="6"/>
  <c r="BO405" i="6"/>
  <c r="BP405" i="6"/>
  <c r="BI200" i="6"/>
  <c r="BH200" i="6"/>
  <c r="BH51" i="6"/>
  <c r="BI51" i="6"/>
  <c r="BH532" i="6"/>
  <c r="BI532" i="6"/>
  <c r="BI992" i="6"/>
  <c r="BH992" i="6"/>
  <c r="BH951" i="6"/>
  <c r="BI951" i="6"/>
  <c r="CF841" i="6"/>
  <c r="CE841" i="6" s="1"/>
  <c r="BO493" i="6"/>
  <c r="BP493" i="6"/>
  <c r="BO946" i="6"/>
  <c r="BP946" i="6"/>
  <c r="BH139" i="6"/>
  <c r="BI139" i="6"/>
  <c r="BO218" i="6"/>
  <c r="BP218" i="6"/>
  <c r="BP431" i="6"/>
  <c r="BO431" i="6"/>
  <c r="BI353" i="6"/>
  <c r="BH353" i="6"/>
  <c r="BP749" i="6"/>
  <c r="BO749" i="6"/>
  <c r="BP730" i="6"/>
  <c r="BO730" i="6"/>
  <c r="BI643" i="6"/>
  <c r="BH643" i="6"/>
  <c r="BH805" i="6"/>
  <c r="BI805" i="6"/>
  <c r="BI651" i="6"/>
  <c r="BH651" i="6"/>
  <c r="BO708" i="6"/>
  <c r="BP708" i="6"/>
  <c r="BO856" i="6"/>
  <c r="BP856" i="6"/>
  <c r="BO453" i="6"/>
  <c r="BP453" i="6"/>
  <c r="BI212" i="6"/>
  <c r="BH212" i="6"/>
  <c r="BI24" i="6"/>
  <c r="BH24" i="6"/>
  <c r="BP193" i="6"/>
  <c r="BO193" i="6"/>
  <c r="BP174" i="6"/>
  <c r="BO174" i="6"/>
  <c r="BI948" i="6"/>
  <c r="BH948" i="6"/>
  <c r="BP760" i="6"/>
  <c r="BO760" i="6"/>
  <c r="BH385" i="6"/>
  <c r="BI385" i="6"/>
  <c r="BW472" i="6"/>
  <c r="BV472" i="6"/>
  <c r="BH14" i="6"/>
  <c r="BI14" i="6"/>
  <c r="BP883" i="6"/>
  <c r="BO883" i="6"/>
  <c r="BP532" i="6"/>
  <c r="BO532" i="6"/>
  <c r="BI265" i="6"/>
  <c r="BH265" i="6"/>
  <c r="BI489" i="6"/>
  <c r="BH489" i="6"/>
  <c r="CF124" i="6"/>
  <c r="CE124" i="6" s="1"/>
  <c r="CF893" i="6"/>
  <c r="CE893" i="6" s="1"/>
  <c r="CH822" i="6"/>
  <c r="CG822" i="6" s="1"/>
  <c r="BP1016" i="6"/>
  <c r="CD1016" i="6" s="1"/>
  <c r="BO1016" i="6"/>
  <c r="CH1016" i="6" s="1"/>
  <c r="CG1016" i="6" s="1"/>
  <c r="CF1016" i="6"/>
  <c r="CE1016" i="6" s="1"/>
  <c r="BP262" i="6"/>
  <c r="BO262" i="6"/>
  <c r="BO528" i="6"/>
  <c r="BP528" i="6"/>
  <c r="BP476" i="6"/>
  <c r="BO476" i="6"/>
  <c r="BI298" i="6"/>
  <c r="BH298" i="6"/>
  <c r="BI69" i="6"/>
  <c r="BH69" i="6"/>
  <c r="BH851" i="6"/>
  <c r="BI851" i="6"/>
  <c r="BP768" i="6"/>
  <c r="BO768" i="6"/>
  <c r="BO359" i="6"/>
  <c r="BP359" i="6"/>
  <c r="BI101" i="6"/>
  <c r="CD101" i="6" s="1"/>
  <c r="BH101" i="6"/>
  <c r="CH101" i="6" s="1"/>
  <c r="CG101" i="6" s="1"/>
  <c r="BI384" i="6"/>
  <c r="BH384" i="6"/>
  <c r="BH73" i="6"/>
  <c r="BI73" i="6"/>
  <c r="BP965" i="6"/>
  <c r="BO965" i="6"/>
  <c r="BI996" i="6"/>
  <c r="CD996" i="6" s="1"/>
  <c r="BH996" i="6"/>
  <c r="CH996" i="6" s="1"/>
  <c r="CG996" i="6" s="1"/>
  <c r="BO296" i="6"/>
  <c r="BP296" i="6"/>
  <c r="BI411" i="6"/>
  <c r="BH411" i="6"/>
  <c r="BO952" i="6"/>
  <c r="BP952" i="6"/>
  <c r="BI941" i="6"/>
  <c r="BH941" i="6"/>
  <c r="BO32" i="6"/>
  <c r="BP32" i="6"/>
  <c r="BH197" i="6"/>
  <c r="BI197" i="6"/>
  <c r="BI901" i="6"/>
  <c r="BH901" i="6"/>
  <c r="BO817" i="6"/>
  <c r="BP817" i="6"/>
  <c r="BH767" i="6"/>
  <c r="BI767" i="6"/>
  <c r="BP814" i="6"/>
  <c r="BO814" i="6"/>
  <c r="BH721" i="6"/>
  <c r="CH721" i="6" s="1"/>
  <c r="CG721" i="6" s="1"/>
  <c r="BI721" i="6"/>
  <c r="BO458" i="6"/>
  <c r="BP458" i="6"/>
  <c r="CC352" i="6"/>
  <c r="CB352" i="6"/>
  <c r="CD1008" i="6"/>
  <c r="BH824" i="6"/>
  <c r="BP549" i="6"/>
  <c r="BO549" i="6"/>
  <c r="BP576" i="6"/>
  <c r="BO576" i="6"/>
  <c r="BI658" i="6"/>
  <c r="BH658" i="6"/>
  <c r="BO10" i="6"/>
  <c r="BP10" i="6"/>
  <c r="BO7" i="6"/>
  <c r="BP7" i="6"/>
  <c r="BI99" i="6"/>
  <c r="BH99" i="6"/>
  <c r="BI902" i="6"/>
  <c r="BH902" i="6"/>
  <c r="BO609" i="6"/>
  <c r="BP609" i="6"/>
  <c r="BH48" i="6"/>
  <c r="BI48" i="6"/>
  <c r="BP975" i="6"/>
  <c r="BO975" i="6"/>
  <c r="BI817" i="6"/>
  <c r="BH817" i="6"/>
  <c r="BP265" i="6"/>
  <c r="BO265" i="6"/>
  <c r="BH39" i="6"/>
  <c r="BI39" i="6"/>
  <c r="BO922" i="6"/>
  <c r="BP922" i="6"/>
  <c r="BW867" i="6"/>
  <c r="BV867" i="6"/>
  <c r="BO180" i="6"/>
  <c r="BP180" i="6"/>
  <c r="CF168" i="6"/>
  <c r="CE168" i="6" s="1"/>
  <c r="BI398" i="6"/>
  <c r="CD398" i="6" s="1"/>
  <c r="BH398" i="6"/>
  <c r="CH398" i="6" s="1"/>
  <c r="CG398" i="6" s="1"/>
  <c r="BH593" i="6"/>
  <c r="BI593" i="6"/>
  <c r="BP661" i="6"/>
  <c r="BO661" i="6"/>
  <c r="BI429" i="6"/>
  <c r="BH429" i="6"/>
  <c r="BO482" i="6"/>
  <c r="CH482" i="6" s="1"/>
  <c r="CG482" i="6" s="1"/>
  <c r="BP482" i="6"/>
  <c r="BH724" i="6"/>
  <c r="BI724" i="6"/>
  <c r="BI80" i="6"/>
  <c r="BH80" i="6"/>
  <c r="BH519" i="6"/>
  <c r="BI519" i="6"/>
  <c r="BO477" i="6"/>
  <c r="BP477" i="6"/>
  <c r="AT156" i="6"/>
  <c r="BG156" i="6"/>
  <c r="BO672" i="6"/>
  <c r="BP672" i="6"/>
  <c r="BI814" i="6"/>
  <c r="BH814" i="6"/>
  <c r="BO839" i="6"/>
  <c r="BP839" i="6"/>
  <c r="BH725" i="6"/>
  <c r="BI725" i="6"/>
  <c r="BI616" i="6"/>
  <c r="BH616" i="6"/>
  <c r="BP83" i="6"/>
  <c r="BO83" i="6"/>
  <c r="BV588" i="6"/>
  <c r="BW588" i="6"/>
  <c r="BW354" i="6"/>
  <c r="BV354" i="6"/>
  <c r="BH444" i="6"/>
  <c r="BI444" i="6"/>
  <c r="BI272" i="6"/>
  <c r="BH272" i="6"/>
  <c r="BO139" i="6"/>
  <c r="BP139" i="6"/>
  <c r="BO788" i="6"/>
  <c r="BP788" i="6"/>
  <c r="BO772" i="6"/>
  <c r="BP772" i="6"/>
  <c r="BP584" i="6"/>
  <c r="BO584" i="6"/>
  <c r="BI804" i="6"/>
  <c r="BH804" i="6"/>
  <c r="BI21" i="6"/>
  <c r="BH21" i="6"/>
  <c r="BH568" i="6"/>
  <c r="BI568" i="6"/>
  <c r="BH734" i="6"/>
  <c r="BI734" i="6"/>
  <c r="BP871" i="6"/>
  <c r="BO871" i="6"/>
  <c r="BI535" i="6"/>
  <c r="BH535" i="6"/>
  <c r="BP572" i="6"/>
  <c r="BO572" i="6"/>
  <c r="BP652" i="6"/>
  <c r="BO652" i="6"/>
  <c r="BI46" i="6"/>
  <c r="BH46" i="6"/>
  <c r="BI705" i="6"/>
  <c r="BH705" i="6"/>
  <c r="BI604" i="6"/>
  <c r="BH604" i="6"/>
  <c r="CC1019" i="6"/>
  <c r="CB1019" i="6"/>
  <c r="BO910" i="6"/>
  <c r="BH466" i="6"/>
  <c r="BI466" i="6"/>
  <c r="BI920" i="6"/>
  <c r="BH920" i="6"/>
  <c r="BO900" i="6"/>
  <c r="BP900" i="6"/>
  <c r="BP321" i="6"/>
  <c r="BO321" i="6"/>
  <c r="BP566" i="6"/>
  <c r="BO566" i="6"/>
  <c r="BI151" i="6"/>
  <c r="BH151" i="6"/>
  <c r="BH683" i="6"/>
  <c r="BI683" i="6"/>
  <c r="BH274" i="6"/>
  <c r="BI274" i="6"/>
  <c r="BH77" i="6"/>
  <c r="BI77" i="6"/>
  <c r="BH136" i="6"/>
  <c r="BI136" i="6"/>
  <c r="BO179" i="6"/>
  <c r="BP179" i="6"/>
  <c r="BV491" i="6"/>
  <c r="BW491" i="6"/>
  <c r="CD491" i="6" s="1"/>
  <c r="CF670" i="6"/>
  <c r="CE670" i="6" s="1"/>
  <c r="CF234" i="6"/>
  <c r="CE234" i="6" s="1"/>
  <c r="CF672" i="6"/>
  <c r="CE672" i="6" s="1"/>
  <c r="CF712" i="6"/>
  <c r="CE712" i="6" s="1"/>
  <c r="BI166" i="6"/>
  <c r="BH166" i="6"/>
  <c r="BH661" i="6"/>
  <c r="BI661" i="6"/>
  <c r="CD661" i="6" s="1"/>
  <c r="BH47" i="6"/>
  <c r="BI47" i="6"/>
  <c r="BH798" i="6"/>
  <c r="BI798" i="6"/>
  <c r="BP836" i="6"/>
  <c r="BO836" i="6"/>
  <c r="BI1017" i="6"/>
  <c r="BH1017" i="6"/>
  <c r="BH334" i="6"/>
  <c r="BI334" i="6"/>
  <c r="BI770" i="6"/>
  <c r="BH770" i="6"/>
  <c r="BP279" i="6"/>
  <c r="BO279" i="6"/>
  <c r="BH259" i="6"/>
  <c r="BI259" i="6"/>
  <c r="BO414" i="6"/>
  <c r="BP414" i="6"/>
  <c r="BO681" i="6"/>
  <c r="BP681" i="6"/>
  <c r="BP77" i="6"/>
  <c r="BO77" i="6"/>
  <c r="BH607" i="6"/>
  <c r="BI607" i="6"/>
  <c r="BH659" i="6"/>
  <c r="BI659" i="6"/>
  <c r="BH369" i="6"/>
  <c r="BI369" i="6"/>
  <c r="BO72" i="6"/>
  <c r="BP72" i="6"/>
  <c r="BP636" i="6"/>
  <c r="BO636" i="6"/>
  <c r="BH972" i="6"/>
  <c r="BI972" i="6"/>
  <c r="BP551" i="6"/>
  <c r="BO551" i="6"/>
  <c r="CH551" i="6" s="1"/>
  <c r="CG551" i="6" s="1"/>
  <c r="BP291" i="6"/>
  <c r="BO291" i="6"/>
  <c r="BH841" i="6"/>
  <c r="CD362" i="6"/>
  <c r="BB670" i="6"/>
  <c r="BW326" i="6"/>
  <c r="BO201" i="6"/>
  <c r="BP201" i="6"/>
  <c r="BO686" i="6"/>
  <c r="BP686" i="6"/>
  <c r="BO126" i="6"/>
  <c r="BP126" i="6"/>
  <c r="BH469" i="6"/>
  <c r="BI469" i="6"/>
  <c r="BI324" i="6"/>
  <c r="BH324" i="6"/>
  <c r="BP827" i="6"/>
  <c r="BO827" i="6"/>
  <c r="BH866" i="6"/>
  <c r="BI866" i="6"/>
  <c r="BP852" i="6"/>
  <c r="BO852" i="6"/>
  <c r="BP426" i="6"/>
  <c r="BO426" i="6"/>
  <c r="BO188" i="6"/>
  <c r="BP188" i="6"/>
  <c r="CB402" i="6"/>
  <c r="CH402" i="6" s="1"/>
  <c r="CG402" i="6" s="1"/>
  <c r="CC402" i="6"/>
  <c r="CD402" i="6" s="1"/>
  <c r="CF206" i="6"/>
  <c r="CE206" i="6" s="1"/>
  <c r="CF236" i="6"/>
  <c r="CE236" i="6" s="1"/>
  <c r="CF295" i="6"/>
  <c r="CE295" i="6" s="1"/>
  <c r="CF932" i="6"/>
  <c r="CE932" i="6" s="1"/>
  <c r="CF880" i="6"/>
  <c r="CE880" i="6" s="1"/>
  <c r="BH634" i="6"/>
  <c r="BI634" i="6"/>
  <c r="BH68" i="6"/>
  <c r="BI68" i="6"/>
  <c r="BI969" i="6"/>
  <c r="BH969" i="6"/>
  <c r="BP1021" i="6"/>
  <c r="CD1021" i="6" s="1"/>
  <c r="BO1021" i="6"/>
  <c r="CH1021" i="6" s="1"/>
  <c r="CG1021" i="6" s="1"/>
  <c r="BP370" i="6"/>
  <c r="BO370" i="6"/>
  <c r="BP127" i="6"/>
  <c r="BO127" i="6"/>
  <c r="BI393" i="6"/>
  <c r="BH393" i="6"/>
  <c r="BI527" i="6"/>
  <c r="BH527" i="6"/>
  <c r="BI182" i="6"/>
  <c r="BH182" i="6"/>
  <c r="BP133" i="6"/>
  <c r="BO133" i="6"/>
  <c r="BP202" i="6"/>
  <c r="BO202" i="6"/>
  <c r="BH343" i="6"/>
  <c r="BI343" i="6"/>
  <c r="BH944" i="6"/>
  <c r="BI944" i="6"/>
  <c r="AT514" i="6"/>
  <c r="BG514" i="6"/>
  <c r="BH512" i="6"/>
  <c r="BI512" i="6"/>
  <c r="BI785" i="6"/>
  <c r="BH785" i="6"/>
  <c r="BI375" i="6"/>
  <c r="BH375" i="6"/>
  <c r="BO344" i="6"/>
  <c r="BP344" i="6"/>
  <c r="BP487" i="6"/>
  <c r="BO487" i="6"/>
  <c r="BI417" i="6"/>
  <c r="BH417" i="6"/>
  <c r="BH541" i="6"/>
  <c r="BI541" i="6"/>
  <c r="BI179" i="6"/>
  <c r="BH179" i="6"/>
  <c r="BH629" i="6"/>
  <c r="BI629" i="6"/>
  <c r="BP231" i="6"/>
  <c r="BO231" i="6"/>
  <c r="BH511" i="6"/>
  <c r="BI511" i="6"/>
  <c r="BP104" i="6"/>
  <c r="BO104" i="6"/>
  <c r="BI106" i="6"/>
  <c r="BH106" i="6"/>
  <c r="BH710" i="6"/>
  <c r="BI710" i="6"/>
  <c r="BO765" i="6"/>
  <c r="BP765" i="6"/>
  <c r="BW699" i="6"/>
  <c r="BV699" i="6"/>
  <c r="CC623" i="6"/>
  <c r="CB623" i="6"/>
  <c r="BO502" i="6"/>
  <c r="BP502" i="6"/>
  <c r="CF430" i="6"/>
  <c r="CE430" i="6" s="1"/>
  <c r="BW800" i="6"/>
  <c r="CF330" i="6"/>
  <c r="CE330" i="6" s="1"/>
  <c r="BI757" i="6"/>
  <c r="BH757" i="6"/>
  <c r="BI163" i="6"/>
  <c r="BH163" i="6"/>
  <c r="BH486" i="6"/>
  <c r="BI486" i="6"/>
  <c r="BN514" i="6"/>
  <c r="BI784" i="6"/>
  <c r="BH784" i="6"/>
  <c r="BI537" i="6"/>
  <c r="BH537" i="6"/>
  <c r="BP512" i="6"/>
  <c r="BO512" i="6"/>
  <c r="AT537" i="6"/>
  <c r="BN537" i="6"/>
  <c r="BV1000" i="6"/>
  <c r="CH1000" i="6" s="1"/>
  <c r="CG1000" i="6" s="1"/>
  <c r="BW1000" i="6"/>
  <c r="CD1000" i="6" s="1"/>
  <c r="BP1019" i="6"/>
  <c r="BO1019" i="6"/>
  <c r="BO627" i="6"/>
  <c r="BP627" i="6"/>
  <c r="BO842" i="6"/>
  <c r="BP842" i="6"/>
  <c r="BP776" i="6"/>
  <c r="BO776" i="6"/>
  <c r="BW76" i="6"/>
  <c r="BV76" i="6"/>
  <c r="BV886" i="6"/>
  <c r="CH886" i="6" s="1"/>
  <c r="CG886" i="6" s="1"/>
  <c r="BW886" i="6"/>
  <c r="BW77" i="6"/>
  <c r="BV77" i="6"/>
  <c r="BI502" i="6"/>
  <c r="BH502" i="6"/>
  <c r="BV695" i="6"/>
  <c r="BV164" i="6"/>
  <c r="BI316" i="6"/>
  <c r="BH316" i="6"/>
  <c r="BP608" i="6"/>
  <c r="BO608" i="6"/>
  <c r="BI988" i="6"/>
  <c r="BH988" i="6"/>
  <c r="BO978" i="6"/>
  <c r="BP978" i="6"/>
  <c r="BO829" i="6"/>
  <c r="BP829" i="6"/>
  <c r="BO720" i="6"/>
  <c r="BP720" i="6"/>
  <c r="BO892" i="6"/>
  <c r="BP892" i="6"/>
  <c r="BH900" i="6"/>
  <c r="BI900" i="6"/>
  <c r="BP846" i="6"/>
  <c r="BO846" i="6"/>
  <c r="BH346" i="6"/>
  <c r="BI346" i="6"/>
  <c r="BP761" i="6"/>
  <c r="BO761" i="6"/>
  <c r="BO816" i="6"/>
  <c r="BP816" i="6"/>
  <c r="BH880" i="6"/>
  <c r="BI880" i="6"/>
  <c r="BI989" i="6"/>
  <c r="BH989" i="6"/>
  <c r="BI893" i="6"/>
  <c r="BH893" i="6"/>
  <c r="BH129" i="6"/>
  <c r="BI129" i="6"/>
  <c r="BI338" i="6"/>
  <c r="BH338" i="6"/>
  <c r="BI287" i="6"/>
  <c r="BH287" i="6"/>
  <c r="BH1019" i="6"/>
  <c r="BI1019" i="6"/>
  <c r="BO657" i="6"/>
  <c r="BP657" i="6"/>
  <c r="BW573" i="6"/>
  <c r="CD573" i="6" s="1"/>
  <c r="BV573" i="6"/>
  <c r="CH573" i="6" s="1"/>
  <c r="CG573" i="6" s="1"/>
  <c r="BB491" i="6"/>
  <c r="CF491" i="6"/>
  <c r="CE491" i="6" s="1"/>
  <c r="CD530" i="6"/>
  <c r="CF205" i="6"/>
  <c r="CE205" i="6" s="1"/>
  <c r="BW479" i="6"/>
  <c r="CF971" i="6"/>
  <c r="CE971" i="6" s="1"/>
  <c r="CF952" i="6"/>
  <c r="CE952" i="6" s="1"/>
  <c r="BP1010" i="6"/>
  <c r="CD1010" i="6" s="1"/>
  <c r="BO1010" i="6"/>
  <c r="CH1010" i="6" s="1"/>
  <c r="CG1010" i="6" s="1"/>
  <c r="BH946" i="6"/>
  <c r="BI946" i="6"/>
  <c r="BI524" i="6"/>
  <c r="BH524" i="6"/>
  <c r="BH679" i="6"/>
  <c r="BI679" i="6"/>
  <c r="BO33" i="6"/>
  <c r="BP33" i="6"/>
  <c r="BP386" i="6"/>
  <c r="BO386" i="6"/>
  <c r="BG447" i="6"/>
  <c r="BN447" i="6"/>
  <c r="AT447" i="6"/>
  <c r="AT838" i="6"/>
  <c r="BN838" i="6"/>
  <c r="AT793" i="6"/>
  <c r="BN793" i="6"/>
  <c r="BH12" i="6"/>
  <c r="BI12" i="6"/>
  <c r="BP945" i="6"/>
  <c r="BO945" i="6"/>
  <c r="BP338" i="6"/>
  <c r="BO338" i="6"/>
  <c r="BO92" i="6"/>
  <c r="BP92" i="6"/>
  <c r="BP924" i="6"/>
  <c r="BO924" i="6"/>
  <c r="BI184" i="6"/>
  <c r="BH184" i="6"/>
  <c r="BO964" i="6"/>
  <c r="BP964" i="6"/>
  <c r="BH231" i="6"/>
  <c r="BI231" i="6"/>
  <c r="BO591" i="6"/>
  <c r="BP591" i="6"/>
  <c r="BO449" i="6"/>
  <c r="BP449" i="6"/>
  <c r="BI104" i="6"/>
  <c r="BH104" i="6"/>
  <c r="BH836" i="6"/>
  <c r="BI836" i="6"/>
  <c r="BV628" i="6"/>
  <c r="CH628" i="6" s="1"/>
  <c r="CG628" i="6" s="1"/>
  <c r="BW628" i="6"/>
  <c r="CD628" i="6" s="1"/>
  <c r="CB964" i="6"/>
  <c r="CC964" i="6"/>
  <c r="CB992" i="6"/>
  <c r="CC992" i="6"/>
  <c r="BV323" i="6"/>
  <c r="BW323" i="6"/>
  <c r="BW267" i="6"/>
  <c r="CD267" i="6" s="1"/>
  <c r="BI177" i="6"/>
  <c r="BH177" i="6"/>
  <c r="BP440" i="6"/>
  <c r="BO440" i="6"/>
  <c r="BI830" i="6"/>
  <c r="BH830" i="6"/>
  <c r="BI632" i="6"/>
  <c r="BH632" i="6"/>
  <c r="BW1004" i="6"/>
  <c r="CD1004" i="6" s="1"/>
  <c r="BV1004" i="6"/>
  <c r="CF49" i="6"/>
  <c r="CE49" i="6" s="1"/>
  <c r="CF701" i="6"/>
  <c r="CE701" i="6" s="1"/>
  <c r="BW237" i="6"/>
  <c r="CD237" i="6" s="1"/>
  <c r="CF528" i="6"/>
  <c r="CE528" i="6" s="1"/>
  <c r="CF3" i="6"/>
  <c r="CE3" i="6" s="1"/>
  <c r="BW302" i="6"/>
  <c r="CF740" i="6"/>
  <c r="CE740" i="6" s="1"/>
  <c r="CF749" i="6"/>
  <c r="CE749" i="6" s="1"/>
  <c r="BN914" i="6"/>
  <c r="BP914" i="6" s="1"/>
  <c r="CF72" i="6"/>
  <c r="CE72" i="6" s="1"/>
  <c r="BP916" i="6"/>
  <c r="BO276" i="6"/>
  <c r="BP276" i="6"/>
  <c r="BP365" i="6"/>
  <c r="BO365" i="6"/>
  <c r="BP851" i="6"/>
  <c r="BO851" i="6"/>
  <c r="BP866" i="6"/>
  <c r="BO866" i="6"/>
  <c r="BI127" i="6"/>
  <c r="BH127" i="6"/>
  <c r="BP309" i="6"/>
  <c r="BO309" i="6"/>
  <c r="BV792" i="6"/>
  <c r="BW792" i="6"/>
  <c r="BO632" i="6"/>
  <c r="BP632" i="6"/>
  <c r="CC29" i="6"/>
  <c r="CD29" i="6" s="1"/>
  <c r="CB29" i="6"/>
  <c r="CC1022" i="6"/>
  <c r="CD1022" i="6" s="1"/>
  <c r="CB1022" i="6"/>
  <c r="CH1022" i="6" s="1"/>
  <c r="CG1022" i="6" s="1"/>
  <c r="BO874" i="6"/>
  <c r="BP874" i="6"/>
  <c r="BI547" i="6"/>
  <c r="BH547" i="6"/>
  <c r="BI956" i="6"/>
  <c r="BH956" i="6"/>
  <c r="BO989" i="6"/>
  <c r="BP989" i="6"/>
  <c r="BH172" i="6"/>
  <c r="BI172" i="6"/>
  <c r="AT980" i="6"/>
  <c r="BG980" i="6"/>
  <c r="BW686" i="6"/>
  <c r="BV686" i="6"/>
  <c r="CB607" i="6"/>
  <c r="CC607" i="6"/>
  <c r="BH961" i="6"/>
  <c r="BI961" i="6"/>
  <c r="CB193" i="6"/>
  <c r="CC193" i="6"/>
  <c r="CF620" i="6"/>
  <c r="CE620" i="6" s="1"/>
  <c r="BI10" i="6"/>
  <c r="BH10" i="6"/>
  <c r="BO12" i="6"/>
  <c r="BP12" i="6"/>
  <c r="BP807" i="6"/>
  <c r="CD807" i="6" s="1"/>
  <c r="BO807" i="6"/>
  <c r="BH439" i="6"/>
  <c r="BI439" i="6"/>
  <c r="BI665" i="6"/>
  <c r="BH665" i="6"/>
  <c r="BP787" i="6"/>
  <c r="BO787" i="6"/>
  <c r="BN980" i="6"/>
  <c r="BI539" i="6"/>
  <c r="BH539" i="6"/>
  <c r="BW624" i="6"/>
  <c r="BV624" i="6"/>
  <c r="BG637" i="6"/>
  <c r="AT637" i="6"/>
  <c r="BO961" i="6"/>
  <c r="BP961" i="6"/>
  <c r="BO306" i="6"/>
  <c r="CH306" i="6" s="1"/>
  <c r="CG306" i="6" s="1"/>
  <c r="BP306" i="6"/>
  <c r="CD306" i="6" s="1"/>
  <c r="CC509" i="6"/>
  <c r="CD509" i="6" s="1"/>
  <c r="CB509" i="6"/>
  <c r="CH509" i="6" s="1"/>
  <c r="CG509" i="6" s="1"/>
  <c r="BV862" i="6"/>
  <c r="CH862" i="6" s="1"/>
  <c r="CG862" i="6" s="1"/>
  <c r="BW862" i="6"/>
  <c r="CD862" i="6" s="1"/>
  <c r="BW1006" i="6"/>
  <c r="CD1006" i="6" s="1"/>
  <c r="BV1006" i="6"/>
  <c r="CH1006" i="6" s="1"/>
  <c r="CG1006" i="6" s="1"/>
  <c r="BH262" i="6"/>
  <c r="BI262" i="6"/>
  <c r="BP890" i="6"/>
  <c r="BO890" i="6"/>
  <c r="BH19" i="6"/>
  <c r="BI19" i="6"/>
  <c r="BO136" i="6"/>
  <c r="BP136" i="6"/>
  <c r="BP526" i="6"/>
  <c r="BO526" i="6"/>
  <c r="BV997" i="6"/>
  <c r="BW997" i="6"/>
  <c r="CD997" i="6" s="1"/>
  <c r="BI888" i="6"/>
  <c r="BH888" i="6"/>
  <c r="BH441" i="6"/>
  <c r="BI441" i="6"/>
  <c r="BI90" i="6"/>
  <c r="BH90" i="6"/>
  <c r="BH336" i="6"/>
  <c r="BI336" i="6"/>
  <c r="BP968" i="6"/>
  <c r="BO968" i="6"/>
  <c r="BH420" i="6"/>
  <c r="BI420" i="6"/>
  <c r="BP930" i="6"/>
  <c r="BO930" i="6"/>
  <c r="BO513" i="6"/>
  <c r="BP513" i="6"/>
  <c r="CB501" i="6"/>
  <c r="CC501" i="6"/>
  <c r="BV92" i="6"/>
  <c r="BW92" i="6"/>
  <c r="BV229" i="6"/>
  <c r="BW229" i="6"/>
  <c r="CB92" i="6"/>
  <c r="CC92" i="6"/>
  <c r="CC169" i="6"/>
  <c r="CB169" i="6"/>
  <c r="CF921" i="6"/>
  <c r="CE921" i="6" s="1"/>
  <c r="CF235" i="6"/>
  <c r="CE235" i="6" s="1"/>
  <c r="BN889" i="6"/>
  <c r="BO889" i="6" s="1"/>
  <c r="BI234" i="6"/>
  <c r="BH234" i="6"/>
  <c r="BH421" i="6"/>
  <c r="BI421" i="6"/>
  <c r="BO68" i="6"/>
  <c r="BP68" i="6"/>
  <c r="BH497" i="6"/>
  <c r="BI497" i="6"/>
  <c r="BH618" i="6"/>
  <c r="BI618" i="6"/>
  <c r="BO351" i="6"/>
  <c r="BP351" i="6"/>
  <c r="BI183" i="6"/>
  <c r="BH183" i="6"/>
  <c r="BI18" i="6"/>
  <c r="BH18" i="6"/>
  <c r="BH813" i="6"/>
  <c r="BI813" i="6"/>
  <c r="BH922" i="6"/>
  <c r="BI922" i="6"/>
  <c r="BP336" i="6"/>
  <c r="BO336" i="6"/>
  <c r="BI787" i="6"/>
  <c r="BH787" i="6"/>
  <c r="BI134" i="6"/>
  <c r="BH134" i="6"/>
  <c r="BH91" i="6"/>
  <c r="BI91" i="6"/>
  <c r="BO277" i="6"/>
  <c r="BP277" i="6"/>
  <c r="BH699" i="6"/>
  <c r="BI699" i="6"/>
  <c r="CC536" i="6"/>
  <c r="CB536" i="6"/>
  <c r="BH383" i="6"/>
  <c r="BI383" i="6"/>
  <c r="BP947" i="6"/>
  <c r="BO947" i="6"/>
  <c r="BO418" i="6"/>
  <c r="BP418" i="6"/>
  <c r="BP424" i="6"/>
  <c r="BO424" i="6"/>
  <c r="BW778" i="6"/>
  <c r="CD778" i="6" s="1"/>
  <c r="BV778" i="6"/>
  <c r="BB229" i="6"/>
  <c r="CF229" i="6"/>
  <c r="CE229" i="6" s="1"/>
  <c r="BV725" i="6"/>
  <c r="BW725" i="6"/>
  <c r="CF200" i="6"/>
  <c r="CE200" i="6" s="1"/>
  <c r="CH596" i="6"/>
  <c r="CG596" i="6" s="1"/>
  <c r="BW537" i="6"/>
  <c r="CF573" i="6"/>
  <c r="CE573" i="6" s="1"/>
  <c r="BV974" i="6"/>
  <c r="CH974" i="6" s="1"/>
  <c r="CG974" i="6" s="1"/>
  <c r="BP519" i="6"/>
  <c r="BO519" i="6"/>
  <c r="BO151" i="6"/>
  <c r="BP151" i="6"/>
  <c r="BP664" i="6"/>
  <c r="BO664" i="6"/>
  <c r="BI204" i="6"/>
  <c r="BH204" i="6"/>
  <c r="BI838" i="6"/>
  <c r="BH838" i="6"/>
  <c r="BP450" i="6"/>
  <c r="BO450" i="6"/>
  <c r="BP310" i="6"/>
  <c r="BO310" i="6"/>
  <c r="BH932" i="6"/>
  <c r="BI932" i="6"/>
  <c r="BO106" i="6"/>
  <c r="BP106" i="6"/>
  <c r="BP673" i="6"/>
  <c r="BO673" i="6"/>
  <c r="BO813" i="6"/>
  <c r="BP813" i="6"/>
  <c r="BI776" i="6"/>
  <c r="BH776" i="6"/>
  <c r="BP873" i="6"/>
  <c r="BO873" i="6"/>
  <c r="BO611" i="6"/>
  <c r="BP611" i="6"/>
  <c r="BO184" i="6"/>
  <c r="BP184" i="6"/>
  <c r="BP121" i="6"/>
  <c r="BO121" i="6"/>
  <c r="BP383" i="6"/>
  <c r="BO383" i="6"/>
  <c r="BI947" i="6"/>
  <c r="BH947" i="6"/>
  <c r="BH418" i="6"/>
  <c r="BI418" i="6"/>
  <c r="BH277" i="6"/>
  <c r="BI277" i="6"/>
  <c r="BI424" i="6"/>
  <c r="BH424" i="6"/>
  <c r="CC815" i="6"/>
  <c r="CB815" i="6"/>
  <c r="CC229" i="6"/>
  <c r="CB229" i="6"/>
  <c r="CB479" i="6"/>
  <c r="CH479" i="6" s="1"/>
  <c r="CG479" i="6" s="1"/>
  <c r="CC479" i="6"/>
  <c r="CB725" i="6"/>
  <c r="CC725" i="6"/>
  <c r="BH711" i="6"/>
  <c r="BI711" i="6"/>
  <c r="BP602" i="6"/>
  <c r="BO602" i="6"/>
  <c r="BP485" i="6"/>
  <c r="BO485" i="6"/>
  <c r="BO745" i="6"/>
  <c r="BP745" i="6"/>
  <c r="BH897" i="6"/>
  <c r="BI897" i="6"/>
  <c r="BP864" i="6"/>
  <c r="BO864" i="6"/>
  <c r="BP969" i="6"/>
  <c r="BO969" i="6"/>
  <c r="BO441" i="6"/>
  <c r="BP441" i="6"/>
  <c r="BH777" i="6"/>
  <c r="BI777" i="6"/>
  <c r="BP353" i="6"/>
  <c r="BO353" i="6"/>
  <c r="BP46" i="6"/>
  <c r="BO46" i="6"/>
  <c r="BW490" i="6"/>
  <c r="BV490" i="6"/>
  <c r="BH121" i="6"/>
  <c r="BI121" i="6"/>
  <c r="BI713" i="6"/>
  <c r="BH713" i="6"/>
  <c r="BP19" i="6"/>
  <c r="BO19" i="6"/>
  <c r="BI114" i="6"/>
  <c r="BH114" i="6"/>
  <c r="BI278" i="6"/>
  <c r="BH278" i="6"/>
  <c r="BW1007" i="6"/>
  <c r="CD1007" i="6" s="1"/>
  <c r="BV1007" i="6"/>
  <c r="CH1007" i="6" s="1"/>
  <c r="CG1007" i="6" s="1"/>
  <c r="BO38" i="6"/>
  <c r="BP38" i="6"/>
  <c r="BP590" i="6"/>
  <c r="BO590" i="6"/>
  <c r="BI103" i="6"/>
  <c r="BH103" i="6"/>
  <c r="CF92" i="6"/>
  <c r="CE92" i="6" s="1"/>
  <c r="BB92" i="6"/>
  <c r="BO302" i="6"/>
  <c r="BP302" i="6"/>
  <c r="BV566" i="6"/>
  <c r="BW566" i="6"/>
  <c r="CF983" i="6"/>
  <c r="CE983" i="6" s="1"/>
  <c r="CF769" i="6"/>
  <c r="CE769" i="6" s="1"/>
  <c r="CB585" i="6"/>
  <c r="CB507" i="6"/>
  <c r="CB778" i="6"/>
  <c r="CF444" i="6"/>
  <c r="CE444" i="6" s="1"/>
  <c r="BN22" i="6"/>
  <c r="BI505" i="6"/>
  <c r="BH505" i="6"/>
  <c r="BI645" i="6"/>
  <c r="BH645" i="6"/>
  <c r="BG22" i="6"/>
  <c r="BI327" i="6"/>
  <c r="BH327" i="6"/>
  <c r="BI916" i="6"/>
  <c r="BH916" i="6"/>
  <c r="BI192" i="6"/>
  <c r="BH192" i="6"/>
  <c r="BH354" i="6"/>
  <c r="BI354" i="6"/>
  <c r="BI225" i="6"/>
  <c r="BH225" i="6"/>
  <c r="BP857" i="6"/>
  <c r="BO857" i="6"/>
  <c r="BP577" i="6"/>
  <c r="BO577" i="6"/>
  <c r="BN273" i="6"/>
  <c r="AT273" i="6"/>
  <c r="BG273" i="6"/>
  <c r="BO147" i="6"/>
  <c r="BP147" i="6"/>
  <c r="BP1017" i="6"/>
  <c r="CD1017" i="6" s="1"/>
  <c r="BO1017" i="6"/>
  <c r="BP497" i="6"/>
  <c r="BO497" i="6"/>
  <c r="BO204" i="6"/>
  <c r="BP204" i="6"/>
  <c r="BP586" i="6"/>
  <c r="BO586" i="6"/>
  <c r="BP190" i="6"/>
  <c r="BO190" i="6"/>
  <c r="BI82" i="6"/>
  <c r="BH82" i="6"/>
  <c r="BP432" i="6"/>
  <c r="BO432" i="6"/>
  <c r="BO236" i="6"/>
  <c r="BP236" i="6"/>
  <c r="CB1023" i="6"/>
  <c r="CH1023" i="6" s="1"/>
  <c r="CG1023" i="6" s="1"/>
  <c r="CC1023" i="6"/>
  <c r="CD1023" i="6" s="1"/>
  <c r="CB280" i="6"/>
  <c r="CC280" i="6"/>
  <c r="BV191" i="6"/>
  <c r="CH191" i="6" s="1"/>
  <c r="CG191" i="6" s="1"/>
  <c r="BW191" i="6"/>
  <c r="CD191" i="6" s="1"/>
  <c r="BW569" i="6"/>
  <c r="CD569" i="6" s="1"/>
  <c r="BV569" i="6"/>
  <c r="CH569" i="6" s="1"/>
  <c r="CG569" i="6" s="1"/>
  <c r="BV580" i="6"/>
  <c r="BW580" i="6"/>
  <c r="CC14" i="6"/>
  <c r="CB14" i="6"/>
  <c r="BW608" i="6"/>
  <c r="BV608" i="6"/>
  <c r="CC481" i="6"/>
  <c r="CB481" i="6"/>
  <c r="CC769" i="6"/>
  <c r="CB554" i="6"/>
  <c r="CF821" i="6"/>
  <c r="CE821" i="6" s="1"/>
  <c r="BW385" i="6"/>
  <c r="CF942" i="6"/>
  <c r="CE942" i="6" s="1"/>
  <c r="CF340" i="6"/>
  <c r="CE340" i="6" s="1"/>
  <c r="CD482" i="6"/>
  <c r="CC555" i="6"/>
  <c r="CF482" i="6"/>
  <c r="CE482" i="6" s="1"/>
  <c r="CF709" i="6"/>
  <c r="CE709" i="6" s="1"/>
  <c r="BG889" i="6"/>
  <c r="BH889" i="6" s="1"/>
  <c r="BP156" i="6"/>
  <c r="BO156" i="6"/>
  <c r="BO155" i="6"/>
  <c r="BP155" i="6"/>
  <c r="BI297" i="6"/>
  <c r="BH297" i="6"/>
  <c r="BI984" i="6"/>
  <c r="BH984" i="6"/>
  <c r="BA1003" i="6"/>
  <c r="CA1003" i="6"/>
  <c r="BU1003" i="6"/>
  <c r="AT404" i="6"/>
  <c r="BN404" i="6"/>
  <c r="BG404" i="6"/>
  <c r="BH908" i="6"/>
  <c r="BI908" i="6"/>
  <c r="BH577" i="6"/>
  <c r="BI577" i="6"/>
  <c r="BI437" i="6"/>
  <c r="BH437" i="6"/>
  <c r="AT550" i="6"/>
  <c r="BN550" i="6"/>
  <c r="AT876" i="6"/>
  <c r="BG876" i="6"/>
  <c r="BN876" i="6"/>
  <c r="BP773" i="6"/>
  <c r="BO773" i="6"/>
  <c r="BP488" i="6"/>
  <c r="BO488" i="6"/>
  <c r="BH463" i="6"/>
  <c r="BI463" i="6"/>
  <c r="BP574" i="6"/>
  <c r="BO574" i="6"/>
  <c r="BI667" i="6"/>
  <c r="BH667" i="6"/>
  <c r="BH586" i="6"/>
  <c r="BI586" i="6"/>
  <c r="BI847" i="6"/>
  <c r="BH847" i="6"/>
  <c r="BH72" i="6"/>
  <c r="BI72" i="6"/>
  <c r="BI993" i="6"/>
  <c r="BH993" i="6"/>
  <c r="BO692" i="6"/>
  <c r="BP692" i="6"/>
  <c r="BP604" i="6"/>
  <c r="BO604" i="6"/>
  <c r="BV644" i="6"/>
  <c r="BW644" i="6"/>
  <c r="BW151" i="6"/>
  <c r="BV151" i="6"/>
  <c r="BI828" i="6"/>
  <c r="BH828" i="6"/>
  <c r="CC37" i="6"/>
  <c r="CB37" i="6"/>
  <c r="CF1023" i="6"/>
  <c r="CE1023" i="6" s="1"/>
  <c r="CC60" i="6"/>
  <c r="CB60" i="6"/>
  <c r="BV915" i="6"/>
  <c r="CH915" i="6" s="1"/>
  <c r="CG915" i="6" s="1"/>
  <c r="BW915" i="6"/>
  <c r="CD915" i="6" s="1"/>
  <c r="BP533" i="6"/>
  <c r="BO533" i="6"/>
  <c r="BO274" i="6"/>
  <c r="BP274" i="6"/>
  <c r="BI315" i="6"/>
  <c r="BH315" i="6"/>
  <c r="BH761" i="6"/>
  <c r="BI761" i="6"/>
  <c r="BP462" i="6"/>
  <c r="BO462" i="6"/>
  <c r="BP213" i="6"/>
  <c r="BO213" i="6"/>
  <c r="BP437" i="6"/>
  <c r="BO437" i="6"/>
  <c r="BO667" i="6"/>
  <c r="BP667" i="6"/>
  <c r="BH457" i="6"/>
  <c r="BI457" i="6"/>
  <c r="BP558" i="6"/>
  <c r="BO558" i="6"/>
  <c r="BO993" i="6"/>
  <c r="BP993" i="6"/>
  <c r="CB151" i="6"/>
  <c r="CC151" i="6"/>
  <c r="CC162" i="6"/>
  <c r="CB162" i="6"/>
  <c r="BO828" i="6"/>
  <c r="BP828" i="6"/>
  <c r="BW726" i="6"/>
  <c r="BV726" i="6"/>
  <c r="BG550" i="6"/>
  <c r="CC732" i="6"/>
  <c r="CB732" i="6"/>
  <c r="BG885" i="6"/>
  <c r="BI885" i="6" s="1"/>
  <c r="CF693" i="6"/>
  <c r="CE693" i="6" s="1"/>
  <c r="BI292" i="6"/>
  <c r="BH292" i="6"/>
  <c r="BO433" i="6"/>
  <c r="BP433" i="6"/>
  <c r="BO680" i="6"/>
  <c r="BP680" i="6"/>
  <c r="BH744" i="6"/>
  <c r="BI744" i="6"/>
  <c r="BP192" i="6"/>
  <c r="BO192" i="6"/>
  <c r="AT123" i="6"/>
  <c r="BG123" i="6"/>
  <c r="BN123" i="6"/>
  <c r="BP375" i="6"/>
  <c r="BO375" i="6"/>
  <c r="BO225" i="6"/>
  <c r="BP225" i="6"/>
  <c r="BI835" i="6"/>
  <c r="BH835" i="6"/>
  <c r="BH825" i="6"/>
  <c r="BI825" i="6"/>
  <c r="BI574" i="6"/>
  <c r="BH574" i="6"/>
  <c r="BI171" i="6"/>
  <c r="BH171" i="6"/>
  <c r="BP457" i="6"/>
  <c r="BO457" i="6"/>
  <c r="BO722" i="6"/>
  <c r="BP722" i="6"/>
  <c r="BO82" i="6"/>
  <c r="BP82" i="6"/>
  <c r="BO825" i="6"/>
  <c r="BP825" i="6"/>
  <c r="BH432" i="6"/>
  <c r="BI432" i="6"/>
  <c r="BH746" i="6"/>
  <c r="BI746" i="6"/>
  <c r="BV280" i="6"/>
  <c r="BW280" i="6"/>
  <c r="CF280" i="6"/>
  <c r="CE280" i="6" s="1"/>
  <c r="BW162" i="6"/>
  <c r="BV162" i="6"/>
  <c r="CC517" i="6"/>
  <c r="CD517" i="6" s="1"/>
  <c r="CB517" i="6"/>
  <c r="CH517" i="6" s="1"/>
  <c r="CG517" i="6" s="1"/>
  <c r="BW766" i="6"/>
  <c r="CD766" i="6" s="1"/>
  <c r="BV766" i="6"/>
  <c r="CH766" i="6" s="1"/>
  <c r="CG766" i="6" s="1"/>
  <c r="BI490" i="6"/>
  <c r="BH490" i="6"/>
  <c r="CF809" i="6"/>
  <c r="CE809" i="6" s="1"/>
  <c r="BW692" i="6"/>
  <c r="CB368" i="6"/>
  <c r="CH840" i="6"/>
  <c r="CG840" i="6" s="1"/>
  <c r="BV267" i="6"/>
  <c r="CH267" i="6" s="1"/>
  <c r="CG267" i="6" s="1"/>
  <c r="CH701" i="6"/>
  <c r="CG701" i="6" s="1"/>
  <c r="CF97" i="6"/>
  <c r="CE97" i="6" s="1"/>
  <c r="CB869" i="6"/>
  <c r="CF535" i="6"/>
  <c r="CE535" i="6" s="1"/>
  <c r="BV633" i="6"/>
  <c r="BG914" i="6"/>
  <c r="BH914" i="6" s="1"/>
  <c r="BG929" i="6"/>
  <c r="BH929" i="6" s="1"/>
  <c r="CB72" i="6"/>
  <c r="BW721" i="6"/>
  <c r="BV587" i="6"/>
  <c r="BP644" i="6"/>
  <c r="BO644" i="6"/>
  <c r="BH554" i="6"/>
  <c r="BI554" i="6"/>
  <c r="BO949" i="6"/>
  <c r="BP949" i="6"/>
  <c r="BI459" i="6"/>
  <c r="BH459" i="6"/>
  <c r="BP61" i="6"/>
  <c r="BO61" i="6"/>
  <c r="BW3" i="6"/>
  <c r="BV3" i="6"/>
  <c r="CC447" i="6"/>
  <c r="CB447" i="6"/>
  <c r="BW861" i="6"/>
  <c r="BV861" i="6"/>
  <c r="BW578" i="6"/>
  <c r="BV578" i="6"/>
  <c r="CF422" i="6"/>
  <c r="CE422" i="6" s="1"/>
  <c r="CC422" i="6"/>
  <c r="CB422" i="6"/>
  <c r="CC394" i="6"/>
  <c r="CB394" i="6"/>
  <c r="CC19" i="6"/>
  <c r="CB19" i="6"/>
  <c r="BW96" i="6"/>
  <c r="BV96" i="6"/>
  <c r="CF237" i="6"/>
  <c r="CE237" i="6" s="1"/>
  <c r="BO160" i="6"/>
  <c r="BP160" i="6"/>
  <c r="BO354" i="6"/>
  <c r="BP354" i="6"/>
  <c r="BO554" i="6"/>
  <c r="BP554" i="6"/>
  <c r="BI299" i="6"/>
  <c r="BH299" i="6"/>
  <c r="BO783" i="6"/>
  <c r="BP783" i="6"/>
  <c r="BP919" i="6"/>
  <c r="BO919" i="6"/>
  <c r="CC292" i="6"/>
  <c r="CB292" i="6"/>
  <c r="BV447" i="6"/>
  <c r="BW447" i="6"/>
  <c r="CB861" i="6"/>
  <c r="CC861" i="6"/>
  <c r="BV62" i="6"/>
  <c r="BW62" i="6"/>
  <c r="BW562" i="6"/>
  <c r="CD562" i="6" s="1"/>
  <c r="BV562" i="6"/>
  <c r="CH562" i="6" s="1"/>
  <c r="CG562" i="6" s="1"/>
  <c r="BV336" i="6"/>
  <c r="BW336" i="6"/>
  <c r="BV422" i="6"/>
  <c r="BW422" i="6"/>
  <c r="CC785" i="6"/>
  <c r="CD785" i="6" s="1"/>
  <c r="CB785" i="6"/>
  <c r="CH785" i="6" s="1"/>
  <c r="CG785" i="6" s="1"/>
  <c r="BW334" i="6"/>
  <c r="BV334" i="6"/>
  <c r="BV394" i="6"/>
  <c r="BW394" i="6"/>
  <c r="BW900" i="6"/>
  <c r="BV900" i="6"/>
  <c r="CC96" i="6"/>
  <c r="CB96" i="6"/>
  <c r="CF750" i="6"/>
  <c r="CE750" i="6" s="1"/>
  <c r="BP869" i="6"/>
  <c r="CD869" i="6" s="1"/>
  <c r="BO869" i="6"/>
  <c r="BN484" i="6"/>
  <c r="BG484" i="6"/>
  <c r="AT484" i="6"/>
  <c r="BV732" i="6"/>
  <c r="BW732" i="6"/>
  <c r="CF732" i="6"/>
  <c r="CE732" i="6" s="1"/>
  <c r="BI743" i="6"/>
  <c r="BH743" i="6"/>
  <c r="BH783" i="6"/>
  <c r="BI783" i="6"/>
  <c r="BO244" i="6"/>
  <c r="BP244" i="6"/>
  <c r="CB611" i="6"/>
  <c r="CC611" i="6"/>
  <c r="CC336" i="6"/>
  <c r="CB336" i="6"/>
  <c r="BW168" i="6"/>
  <c r="BV168" i="6"/>
  <c r="CB774" i="6"/>
  <c r="CH774" i="6" s="1"/>
  <c r="CG774" i="6" s="1"/>
  <c r="CC774" i="6"/>
  <c r="CD774" i="6" s="1"/>
  <c r="BB19" i="6"/>
  <c r="CF19" i="6"/>
  <c r="CE19" i="6" s="1"/>
  <c r="CC426" i="6"/>
  <c r="CB426" i="6"/>
  <c r="CF590" i="6"/>
  <c r="CE590" i="6" s="1"/>
  <c r="CF926" i="6"/>
  <c r="CE926" i="6" s="1"/>
  <c r="BV1011" i="6"/>
  <c r="CH1011" i="6" s="1"/>
  <c r="CG1011" i="6" s="1"/>
  <c r="CF1011" i="6"/>
  <c r="CE1011" i="6" s="1"/>
  <c r="BW1011" i="6"/>
  <c r="CD1011" i="6" s="1"/>
  <c r="BP150" i="6"/>
  <c r="BO150" i="6"/>
  <c r="BH949" i="6"/>
  <c r="BI949" i="6"/>
  <c r="BO459" i="6"/>
  <c r="BP459" i="6"/>
  <c r="BH1024" i="6"/>
  <c r="BI1024" i="6"/>
  <c r="BP206" i="6"/>
  <c r="BO206" i="6"/>
  <c r="BV767" i="6"/>
  <c r="BW767" i="6"/>
  <c r="BH250" i="6"/>
  <c r="BI250" i="6"/>
  <c r="BW25" i="6"/>
  <c r="CD25" i="6" s="1"/>
  <c r="BV25" i="6"/>
  <c r="CH25" i="6" s="1"/>
  <c r="CG25" i="6" s="1"/>
  <c r="BW764" i="6"/>
  <c r="BV764" i="6"/>
  <c r="CB112" i="6"/>
  <c r="CH112" i="6" s="1"/>
  <c r="CG112" i="6" s="1"/>
  <c r="CC112" i="6"/>
  <c r="CD112" i="6" s="1"/>
  <c r="CC487" i="6"/>
  <c r="CB487" i="6"/>
  <c r="CB168" i="6"/>
  <c r="CC168" i="6"/>
  <c r="CC906" i="6"/>
  <c r="CB906" i="6"/>
  <c r="BV19" i="6"/>
  <c r="BW19" i="6"/>
  <c r="BV529" i="6"/>
  <c r="BW529" i="6"/>
  <c r="CC751" i="6"/>
  <c r="CB751" i="6"/>
  <c r="CB816" i="6"/>
  <c r="CC816" i="6"/>
  <c r="BV110" i="6"/>
  <c r="BW110" i="6"/>
  <c r="BW328" i="6"/>
  <c r="BV328" i="6"/>
  <c r="BI351" i="6"/>
  <c r="BH351" i="6"/>
  <c r="BP187" i="6"/>
  <c r="BO187" i="6"/>
  <c r="BH55" i="6"/>
  <c r="BI55" i="6"/>
  <c r="AT936" i="6"/>
  <c r="BG936" i="6"/>
  <c r="CC884" i="6"/>
  <c r="CB884" i="6"/>
  <c r="CC403" i="6"/>
  <c r="CB403" i="6"/>
  <c r="BV426" i="6"/>
  <c r="BW426" i="6"/>
  <c r="CB841" i="6"/>
  <c r="CC841" i="6"/>
  <c r="BW85" i="6"/>
  <c r="BV85" i="6"/>
  <c r="CB330" i="6"/>
  <c r="CH330" i="6" s="1"/>
  <c r="CG330" i="6" s="1"/>
  <c r="CC330" i="6"/>
  <c r="CD330" i="6" s="1"/>
  <c r="BV786" i="6"/>
  <c r="BW786" i="6"/>
  <c r="CB164" i="6"/>
  <c r="CC164" i="6"/>
  <c r="CD164" i="6" s="1"/>
  <c r="BV290" i="6"/>
  <c r="BW290" i="6"/>
  <c r="BV949" i="6"/>
  <c r="BW949" i="6"/>
  <c r="CF718" i="6"/>
  <c r="CE718" i="6" s="1"/>
  <c r="CF897" i="6"/>
  <c r="CE897" i="6" s="1"/>
  <c r="BI405" i="6"/>
  <c r="BH405" i="6"/>
  <c r="BN543" i="6"/>
  <c r="AT543" i="6"/>
  <c r="BG543" i="6"/>
  <c r="BO992" i="6"/>
  <c r="BP992" i="6"/>
  <c r="BB770" i="6"/>
  <c r="CF770" i="6"/>
  <c r="CE770" i="6" s="1"/>
  <c r="CC326" i="6"/>
  <c r="CD326" i="6" s="1"/>
  <c r="CB326" i="6"/>
  <c r="CH326" i="6" s="1"/>
  <c r="CG326" i="6" s="1"/>
  <c r="CB544" i="6"/>
  <c r="CH544" i="6" s="1"/>
  <c r="CG544" i="6" s="1"/>
  <c r="CC544" i="6"/>
  <c r="CD544" i="6" s="1"/>
  <c r="BW375" i="6"/>
  <c r="CF375" i="6"/>
  <c r="CE375" i="6" s="1"/>
  <c r="BV375" i="6"/>
  <c r="BW841" i="6"/>
  <c r="BV841" i="6"/>
  <c r="BW21" i="6"/>
  <c r="CD21" i="6" s="1"/>
  <c r="BV21" i="6"/>
  <c r="CD701" i="6"/>
  <c r="BP763" i="6"/>
  <c r="CF779" i="6"/>
  <c r="CE779" i="6" s="1"/>
  <c r="CH995" i="6"/>
  <c r="CG995" i="6" s="1"/>
  <c r="CD56" i="6"/>
  <c r="CF370" i="6"/>
  <c r="CE370" i="6" s="1"/>
  <c r="CF86" i="6"/>
  <c r="CE86" i="6" s="1"/>
  <c r="CB299" i="6"/>
  <c r="CF326" i="6"/>
  <c r="CE326" i="6" s="1"/>
  <c r="CF243" i="6"/>
  <c r="CE243" i="6" s="1"/>
  <c r="BV878" i="6"/>
  <c r="CD442" i="6"/>
  <c r="CF551" i="6"/>
  <c r="CE551" i="6" s="1"/>
  <c r="BI1020" i="6"/>
  <c r="CD1020" i="6" s="1"/>
  <c r="BH1020" i="6"/>
  <c r="CH1020" i="6" s="1"/>
  <c r="CG1020" i="6" s="1"/>
  <c r="BN557" i="6"/>
  <c r="BG557" i="6"/>
  <c r="AT557" i="6"/>
  <c r="CA1012" i="6"/>
  <c r="BA1012" i="6"/>
  <c r="BB1012" i="6" s="1"/>
  <c r="BW756" i="6"/>
  <c r="CD756" i="6" s="1"/>
  <c r="BV756" i="6"/>
  <c r="CH756" i="6" s="1"/>
  <c r="CG756" i="6" s="1"/>
  <c r="AT170" i="6"/>
  <c r="BG170" i="6"/>
  <c r="BN170" i="6"/>
  <c r="BH864" i="6"/>
  <c r="BI864" i="6"/>
  <c r="CB618" i="6"/>
  <c r="CC618" i="6"/>
  <c r="CC770" i="6"/>
  <c r="CD770" i="6" s="1"/>
  <c r="CB770" i="6"/>
  <c r="BW313" i="6"/>
  <c r="BV313" i="6"/>
  <c r="CB900" i="6"/>
  <c r="CC900" i="6"/>
  <c r="CF900" i="6"/>
  <c r="CE900" i="6" s="1"/>
  <c r="BV883" i="6"/>
  <c r="BW883" i="6"/>
  <c r="CC138" i="6"/>
  <c r="CD138" i="6" s="1"/>
  <c r="CB138" i="6"/>
  <c r="CB867" i="6"/>
  <c r="CC867" i="6"/>
  <c r="CD867" i="6" s="1"/>
  <c r="CB625" i="6"/>
  <c r="CC625" i="6"/>
  <c r="BV171" i="6"/>
  <c r="BW171" i="6"/>
  <c r="CF21" i="6"/>
  <c r="CE21" i="6" s="1"/>
  <c r="BB21" i="6"/>
  <c r="CC444" i="6"/>
  <c r="CD444" i="6" s="1"/>
  <c r="CB444" i="6"/>
  <c r="BW388" i="6"/>
  <c r="BV388" i="6"/>
  <c r="BV957" i="6"/>
  <c r="CB535" i="6"/>
  <c r="CF6" i="6"/>
  <c r="CE6" i="6" s="1"/>
  <c r="BV807" i="6"/>
  <c r="CH807" i="6" s="1"/>
  <c r="CG807" i="6" s="1"/>
  <c r="BI913" i="6"/>
  <c r="BH913" i="6"/>
  <c r="BP134" i="6"/>
  <c r="BO134" i="6"/>
  <c r="BO55" i="6"/>
  <c r="BP55" i="6"/>
  <c r="BI63" i="6"/>
  <c r="BH63" i="6"/>
  <c r="BI967" i="6"/>
  <c r="BH967" i="6"/>
  <c r="BN198" i="6"/>
  <c r="AT198" i="6"/>
  <c r="BG198" i="6"/>
  <c r="BN936" i="6"/>
  <c r="CB523" i="6"/>
  <c r="CC523" i="6"/>
  <c r="BV403" i="6"/>
  <c r="BW403" i="6"/>
  <c r="BW179" i="6"/>
  <c r="CD179" i="6" s="1"/>
  <c r="BV179" i="6"/>
  <c r="CB62" i="6"/>
  <c r="CC62" i="6"/>
  <c r="CC883" i="6"/>
  <c r="CB883" i="6"/>
  <c r="BW72" i="6"/>
  <c r="BV72" i="6"/>
  <c r="BW470" i="6"/>
  <c r="BV470" i="6"/>
  <c r="BW625" i="6"/>
  <c r="BV625" i="6"/>
  <c r="CF949" i="6"/>
  <c r="CE949" i="6" s="1"/>
  <c r="BB949" i="6"/>
  <c r="CF625" i="6"/>
  <c r="CE625" i="6" s="1"/>
  <c r="BH775" i="6"/>
  <c r="BI775" i="6"/>
  <c r="BI230" i="6"/>
  <c r="BH230" i="6"/>
  <c r="BI526" i="6"/>
  <c r="BH526" i="6"/>
  <c r="BH750" i="6"/>
  <c r="BI750" i="6"/>
  <c r="AT775" i="6"/>
  <c r="BN775" i="6"/>
  <c r="CF775" i="6" s="1"/>
  <c r="CE775" i="6" s="1"/>
  <c r="BO376" i="6"/>
  <c r="BP376" i="6"/>
  <c r="BH990" i="6"/>
  <c r="BI990" i="6"/>
  <c r="BP3" i="6"/>
  <c r="BO3" i="6"/>
  <c r="BO714" i="6"/>
  <c r="BP714" i="6"/>
  <c r="BP806" i="6"/>
  <c r="BO806" i="6"/>
  <c r="BI676" i="6"/>
  <c r="BH676" i="6"/>
  <c r="BN929" i="6"/>
  <c r="CB672" i="6"/>
  <c r="CC672" i="6"/>
  <c r="BV773" i="6"/>
  <c r="BW773" i="6"/>
  <c r="BV399" i="6"/>
  <c r="BW399" i="6"/>
  <c r="BV712" i="6"/>
  <c r="BW712" i="6"/>
  <c r="CC975" i="6"/>
  <c r="CB975" i="6"/>
  <c r="CF342" i="6"/>
  <c r="CE342" i="6" s="1"/>
  <c r="BB342" i="6"/>
  <c r="BW961" i="6"/>
  <c r="BV961" i="6"/>
  <c r="CC622" i="6"/>
  <c r="CB622" i="6"/>
  <c r="BW194" i="6"/>
  <c r="BV194" i="6"/>
  <c r="BW438" i="6"/>
  <c r="BV438" i="6"/>
  <c r="CC709" i="6"/>
  <c r="CB709" i="6"/>
  <c r="BV235" i="6"/>
  <c r="BW235" i="6"/>
  <c r="BW317" i="6"/>
  <c r="BV317" i="6"/>
  <c r="BH540" i="6"/>
  <c r="BI540" i="6"/>
  <c r="BP395" i="6"/>
  <c r="BO395" i="6"/>
  <c r="AT747" i="6"/>
  <c r="BN747" i="6"/>
  <c r="BG747" i="6"/>
  <c r="BO841" i="6"/>
  <c r="BP841" i="6"/>
  <c r="BP990" i="6"/>
  <c r="BO990" i="6"/>
  <c r="BH3" i="6"/>
  <c r="BI3" i="6"/>
  <c r="BH714" i="6"/>
  <c r="BI714" i="6"/>
  <c r="BH806" i="6"/>
  <c r="BI806" i="6"/>
  <c r="BP676" i="6"/>
  <c r="BO676" i="6"/>
  <c r="BN885" i="6"/>
  <c r="BV672" i="6"/>
  <c r="BW672" i="6"/>
  <c r="CC773" i="6"/>
  <c r="CB773" i="6"/>
  <c r="CB158" i="6"/>
  <c r="CC158" i="6"/>
  <c r="BW693" i="6"/>
  <c r="CD693" i="6" s="1"/>
  <c r="BV693" i="6"/>
  <c r="CH693" i="6" s="1"/>
  <c r="CG693" i="6" s="1"/>
  <c r="CB712" i="6"/>
  <c r="CC712" i="6"/>
  <c r="BW975" i="6"/>
  <c r="BV975" i="6"/>
  <c r="BV520" i="6"/>
  <c r="BW520" i="6"/>
  <c r="CB342" i="6"/>
  <c r="CC342" i="6"/>
  <c r="CD342" i="6" s="1"/>
  <c r="CC205" i="6"/>
  <c r="CB205" i="6"/>
  <c r="BW622" i="6"/>
  <c r="BV622" i="6"/>
  <c r="BW528" i="6"/>
  <c r="BV528" i="6"/>
  <c r="CH528" i="6" s="1"/>
  <c r="CG528" i="6" s="1"/>
  <c r="CC438" i="6"/>
  <c r="CB438" i="6"/>
  <c r="CC657" i="6"/>
  <c r="CB657" i="6"/>
  <c r="BV684" i="6"/>
  <c r="BW684" i="6"/>
  <c r="CF317" i="6"/>
  <c r="CE317" i="6" s="1"/>
  <c r="BB317" i="6"/>
  <c r="CD879" i="6"/>
  <c r="BW688" i="6"/>
  <c r="CD688" i="6" s="1"/>
  <c r="CF676" i="6"/>
  <c r="CE676" i="6" s="1"/>
  <c r="BW26" i="6"/>
  <c r="CF91" i="6"/>
  <c r="CE91" i="6" s="1"/>
  <c r="CB445" i="6"/>
  <c r="CF604" i="6"/>
  <c r="CE604" i="6" s="1"/>
  <c r="CF934" i="6"/>
  <c r="CE934" i="6" s="1"/>
  <c r="BV998" i="6"/>
  <c r="CH998" i="6" s="1"/>
  <c r="CG998" i="6" s="1"/>
  <c r="BW998" i="6"/>
  <c r="CD998" i="6" s="1"/>
  <c r="CF998" i="6"/>
  <c r="CE998" i="6" s="1"/>
  <c r="BH108" i="6"/>
  <c r="BI108" i="6"/>
  <c r="BO299" i="6"/>
  <c r="BP299" i="6"/>
  <c r="AT339" i="6"/>
  <c r="BN339" i="6"/>
  <c r="BG339" i="6"/>
  <c r="BP675" i="6"/>
  <c r="BO675" i="6"/>
  <c r="BI294" i="6"/>
  <c r="BH294" i="6"/>
  <c r="BO769" i="6"/>
  <c r="BP769" i="6"/>
  <c r="CB931" i="6"/>
  <c r="CC931" i="6"/>
  <c r="BW451" i="6"/>
  <c r="BV451" i="6"/>
  <c r="CB782" i="6"/>
  <c r="CH782" i="6" s="1"/>
  <c r="CG782" i="6" s="1"/>
  <c r="CC782" i="6"/>
  <c r="CD782" i="6" s="1"/>
  <c r="BV65" i="6"/>
  <c r="CH65" i="6" s="1"/>
  <c r="CG65" i="6" s="1"/>
  <c r="BW65" i="6"/>
  <c r="CD65" i="6" s="1"/>
  <c r="BW858" i="6"/>
  <c r="CD858" i="6" s="1"/>
  <c r="BV858" i="6"/>
  <c r="CB894" i="6"/>
  <c r="CC894" i="6"/>
  <c r="BW932" i="6"/>
  <c r="BV932" i="6"/>
  <c r="CC971" i="6"/>
  <c r="CD971" i="6" s="1"/>
  <c r="CB971" i="6"/>
  <c r="CH971" i="6" s="1"/>
  <c r="CG971" i="6" s="1"/>
  <c r="BW880" i="6"/>
  <c r="BV880" i="6"/>
  <c r="CB796" i="6"/>
  <c r="CC796" i="6"/>
  <c r="CC684" i="6"/>
  <c r="CB684" i="6"/>
  <c r="CC317" i="6"/>
  <c r="CB317" i="6"/>
  <c r="CF475" i="6"/>
  <c r="CE475" i="6" s="1"/>
  <c r="CF312" i="6"/>
  <c r="CE312" i="6" s="1"/>
  <c r="CF490" i="6"/>
  <c r="CE490" i="6" s="1"/>
  <c r="BP379" i="6"/>
  <c r="BO379" i="6"/>
  <c r="BP849" i="6"/>
  <c r="BO849" i="6"/>
  <c r="BI122" i="6"/>
  <c r="BH122" i="6"/>
  <c r="BO750" i="6"/>
  <c r="BP750" i="6"/>
  <c r="BI763" i="6"/>
  <c r="BH763" i="6"/>
  <c r="BH376" i="6"/>
  <c r="BI376" i="6"/>
  <c r="BP294" i="6"/>
  <c r="BO294" i="6"/>
  <c r="BV761" i="6"/>
  <c r="BW761" i="6"/>
  <c r="CB242" i="6"/>
  <c r="CH242" i="6" s="1"/>
  <c r="CG242" i="6" s="1"/>
  <c r="CC242" i="6"/>
  <c r="CD242" i="6" s="1"/>
  <c r="CC932" i="6"/>
  <c r="CB932" i="6"/>
  <c r="BW40" i="6"/>
  <c r="CD40" i="6" s="1"/>
  <c r="BV40" i="6"/>
  <c r="CH40" i="6" s="1"/>
  <c r="CG40" i="6" s="1"/>
  <c r="CB880" i="6"/>
  <c r="CC880" i="6"/>
  <c r="CB235" i="6"/>
  <c r="CC235" i="6"/>
  <c r="BB684" i="6"/>
  <c r="CF684" i="6"/>
  <c r="CE684" i="6" s="1"/>
  <c r="BW709" i="6"/>
  <c r="BV709" i="6"/>
  <c r="CH709" i="6" s="1"/>
  <c r="CG709" i="6" s="1"/>
  <c r="BH377" i="6"/>
  <c r="BI377" i="6"/>
  <c r="BO702" i="6"/>
  <c r="BP702" i="6"/>
  <c r="BV649" i="6"/>
  <c r="BW649" i="6"/>
  <c r="CD649" i="6" s="1"/>
  <c r="CC278" i="6"/>
  <c r="CB278" i="6"/>
  <c r="BV258" i="6"/>
  <c r="BW258" i="6"/>
  <c r="BW384" i="6"/>
  <c r="CD384" i="6" s="1"/>
  <c r="BV384" i="6"/>
  <c r="BW985" i="6"/>
  <c r="BV985" i="6"/>
  <c r="CF985" i="6"/>
  <c r="CE985" i="6" s="1"/>
  <c r="CC353" i="6"/>
  <c r="CB353" i="6"/>
  <c r="BW670" i="6"/>
  <c r="CD670" i="6" s="1"/>
  <c r="BV670" i="6"/>
  <c r="CH670" i="6" s="1"/>
  <c r="CG670" i="6" s="1"/>
  <c r="CB248" i="6"/>
  <c r="CC248" i="6"/>
  <c r="CB427" i="6"/>
  <c r="CC427" i="6"/>
  <c r="CB527" i="6"/>
  <c r="CC527" i="6"/>
  <c r="CD527" i="6" s="1"/>
  <c r="CC146" i="6"/>
  <c r="CD146" i="6" s="1"/>
  <c r="CB146" i="6"/>
  <c r="CB86" i="6"/>
  <c r="CC86" i="6"/>
  <c r="CB558" i="6"/>
  <c r="CC558" i="6"/>
  <c r="BO516" i="6"/>
  <c r="BP516" i="6"/>
  <c r="BP540" i="6"/>
  <c r="BO540" i="6"/>
  <c r="AT467" i="6"/>
  <c r="BG467" i="6"/>
  <c r="BN467" i="6"/>
  <c r="AT165" i="6"/>
  <c r="BG165" i="6"/>
  <c r="BN848" i="6"/>
  <c r="BB869" i="6"/>
  <c r="CF869" i="6"/>
  <c r="CE869" i="6" s="1"/>
  <c r="CF814" i="6"/>
  <c r="CE814" i="6" s="1"/>
  <c r="BV814" i="6"/>
  <c r="BW814" i="6"/>
  <c r="CC590" i="6"/>
  <c r="CB590" i="6"/>
  <c r="CB279" i="6"/>
  <c r="CC279" i="6"/>
  <c r="CC885" i="6"/>
  <c r="CB885" i="6"/>
  <c r="CB22" i="6"/>
  <c r="CC22" i="6"/>
  <c r="CB926" i="6"/>
  <c r="CC926" i="6"/>
  <c r="CB985" i="6"/>
  <c r="CC985" i="6"/>
  <c r="BW775" i="6"/>
  <c r="BV775" i="6"/>
  <c r="CB94" i="6"/>
  <c r="CC94" i="6"/>
  <c r="BW952" i="6"/>
  <c r="BV952" i="6"/>
  <c r="CB591" i="6"/>
  <c r="CC591" i="6"/>
  <c r="CF596" i="6"/>
  <c r="CE596" i="6" s="1"/>
  <c r="CB602" i="6"/>
  <c r="CC602" i="6"/>
  <c r="BW225" i="6"/>
  <c r="CD225" i="6" s="1"/>
  <c r="BV225" i="6"/>
  <c r="BV558" i="6"/>
  <c r="BW558" i="6"/>
  <c r="CF95" i="6"/>
  <c r="CE95" i="6" s="1"/>
  <c r="CH266" i="6"/>
  <c r="CG266" i="6" s="1"/>
  <c r="CF227" i="6"/>
  <c r="CE227" i="6" s="1"/>
  <c r="CF26" i="6"/>
  <c r="CE26" i="6" s="1"/>
  <c r="BV6" i="6"/>
  <c r="CF888" i="6"/>
  <c r="CE888" i="6" s="1"/>
  <c r="CB38" i="6"/>
  <c r="CF695" i="6"/>
  <c r="CE695" i="6" s="1"/>
  <c r="BG848" i="6"/>
  <c r="BN165" i="6"/>
  <c r="CB893" i="6"/>
  <c r="CC893" i="6"/>
  <c r="CF822" i="6"/>
  <c r="CE822" i="6" s="1"/>
  <c r="CC822" i="6"/>
  <c r="CD822" i="6" s="1"/>
  <c r="CB814" i="6"/>
  <c r="CC814" i="6"/>
  <c r="BV590" i="6"/>
  <c r="BW590" i="6"/>
  <c r="BW885" i="6"/>
  <c r="BV885" i="6"/>
  <c r="BW926" i="6"/>
  <c r="BV926" i="6"/>
  <c r="CC828" i="6"/>
  <c r="CB828" i="6"/>
  <c r="BW749" i="6"/>
  <c r="BV749" i="6"/>
  <c r="CB952" i="6"/>
  <c r="CC952" i="6"/>
  <c r="BW251" i="6"/>
  <c r="BV251" i="6"/>
  <c r="BW591" i="6"/>
  <c r="CF591" i="6"/>
  <c r="CE591" i="6" s="1"/>
  <c r="BV591" i="6"/>
  <c r="BW198" i="6"/>
  <c r="BV198" i="6"/>
  <c r="BW602" i="6"/>
  <c r="BV602" i="6"/>
  <c r="BV86" i="6"/>
  <c r="BW86" i="6"/>
  <c r="CF372" i="6"/>
  <c r="CE372" i="6" s="1"/>
  <c r="CF364" i="6"/>
  <c r="CE364" i="6" s="1"/>
  <c r="CF445" i="6"/>
  <c r="CE445" i="6" s="1"/>
  <c r="BV518" i="6"/>
  <c r="CF80" i="6"/>
  <c r="CE80" i="6" s="1"/>
  <c r="CF518" i="6"/>
  <c r="CE518" i="6" s="1"/>
  <c r="CF320" i="6"/>
  <c r="CE320" i="6" s="1"/>
  <c r="CF558" i="6"/>
  <c r="CE558" i="6" s="1"/>
  <c r="CF516" i="6"/>
  <c r="CE516" i="6" s="1"/>
  <c r="BI702" i="6"/>
  <c r="BH702" i="6"/>
  <c r="AT454" i="6"/>
  <c r="BN454" i="6"/>
  <c r="BG454" i="6"/>
  <c r="BV657" i="6"/>
  <c r="CF657" i="6"/>
  <c r="CE657" i="6" s="1"/>
  <c r="BW657" i="6"/>
  <c r="BV893" i="6"/>
  <c r="BW893" i="6"/>
  <c r="CB695" i="6"/>
  <c r="CC695" i="6"/>
  <c r="CD695" i="6" s="1"/>
  <c r="BW148" i="6"/>
  <c r="BV148" i="6"/>
  <c r="BB649" i="6"/>
  <c r="CF649" i="6"/>
  <c r="CE649" i="6" s="1"/>
  <c r="BW278" i="6"/>
  <c r="CF278" i="6"/>
  <c r="CE278" i="6" s="1"/>
  <c r="BV278" i="6"/>
  <c r="CB765" i="6"/>
  <c r="CC765" i="6"/>
  <c r="CB258" i="6"/>
  <c r="CC258" i="6"/>
  <c r="BB384" i="6"/>
  <c r="CF384" i="6"/>
  <c r="CE384" i="6" s="1"/>
  <c r="CC800" i="6"/>
  <c r="CB800" i="6"/>
  <c r="BW828" i="6"/>
  <c r="BV828" i="6"/>
  <c r="CC749" i="6"/>
  <c r="CB749" i="6"/>
  <c r="BV248" i="6"/>
  <c r="BW248" i="6"/>
  <c r="CF248" i="6"/>
  <c r="CE248" i="6" s="1"/>
  <c r="BW234" i="6"/>
  <c r="CD234" i="6" s="1"/>
  <c r="BV234" i="6"/>
  <c r="BV427" i="6"/>
  <c r="CF427" i="6"/>
  <c r="CE427" i="6" s="1"/>
  <c r="BW427" i="6"/>
  <c r="BB527" i="6"/>
  <c r="CF527" i="6"/>
  <c r="CE527" i="6" s="1"/>
  <c r="CC410" i="6"/>
  <c r="CB410" i="6"/>
  <c r="BI313" i="6"/>
  <c r="CB11" i="6"/>
  <c r="CD551" i="6"/>
  <c r="BH933" i="6"/>
  <c r="BI933" i="6"/>
  <c r="CC696" i="6"/>
  <c r="CD696" i="6" s="1"/>
  <c r="CB696" i="6"/>
  <c r="BV575" i="6"/>
  <c r="CF575" i="6"/>
  <c r="CE575" i="6" s="1"/>
  <c r="BW575" i="6"/>
  <c r="CC211" i="6"/>
  <c r="CB211" i="6"/>
  <c r="CC379" i="6"/>
  <c r="CB379" i="6"/>
  <c r="CB148" i="6"/>
  <c r="CF148" i="6"/>
  <c r="CE148" i="6" s="1"/>
  <c r="CC148" i="6"/>
  <c r="BV781" i="6"/>
  <c r="BW781" i="6"/>
  <c r="CB876" i="6"/>
  <c r="CC876" i="6"/>
  <c r="BV715" i="6"/>
  <c r="CH715" i="6" s="1"/>
  <c r="CG715" i="6" s="1"/>
  <c r="CF715" i="6"/>
  <c r="CE715" i="6" s="1"/>
  <c r="BW715" i="6"/>
  <c r="CD715" i="6" s="1"/>
  <c r="BV619" i="6"/>
  <c r="CF619" i="6"/>
  <c r="CE619" i="6" s="1"/>
  <c r="BW619" i="6"/>
  <c r="BV716" i="6"/>
  <c r="BW716" i="6"/>
  <c r="CC499" i="6"/>
  <c r="CD499" i="6" s="1"/>
  <c r="CB499" i="6"/>
  <c r="CB414" i="6"/>
  <c r="CC414" i="6"/>
  <c r="CB490" i="6"/>
  <c r="CF153" i="6"/>
  <c r="CE153" i="6" s="1"/>
  <c r="CF807" i="6"/>
  <c r="CE807" i="6" s="1"/>
  <c r="BB526" i="6"/>
  <c r="CF526" i="6"/>
  <c r="CE526" i="6" s="1"/>
  <c r="BV788" i="6"/>
  <c r="BW788" i="6"/>
  <c r="CF580" i="6"/>
  <c r="CE580" i="6" s="1"/>
  <c r="CB580" i="6"/>
  <c r="CH580" i="6" s="1"/>
  <c r="CG580" i="6" s="1"/>
  <c r="CC580" i="6"/>
  <c r="CC305" i="6"/>
  <c r="CB305" i="6"/>
  <c r="CH305" i="6" s="1"/>
  <c r="CG305" i="6" s="1"/>
  <c r="CF305" i="6"/>
  <c r="CE305" i="6" s="1"/>
  <c r="BW163" i="6"/>
  <c r="BV163" i="6"/>
  <c r="CH163" i="6" s="1"/>
  <c r="CG163" i="6" s="1"/>
  <c r="CF163" i="6"/>
  <c r="CE163" i="6" s="1"/>
  <c r="CB586" i="6"/>
  <c r="CC586" i="6"/>
  <c r="CB516" i="6"/>
  <c r="CC516" i="6"/>
  <c r="BW740" i="6"/>
  <c r="CD740" i="6" s="1"/>
  <c r="BV740" i="6"/>
  <c r="CH740" i="6" s="1"/>
  <c r="CG740" i="6" s="1"/>
  <c r="CB913" i="6"/>
  <c r="CC913" i="6"/>
  <c r="BB252" i="6"/>
  <c r="CF252" i="6"/>
  <c r="CE252" i="6" s="1"/>
  <c r="CB251" i="6"/>
  <c r="CC251" i="6"/>
  <c r="CF251" i="6"/>
  <c r="CE251" i="6" s="1"/>
  <c r="BW510" i="6"/>
  <c r="BV510" i="6"/>
  <c r="CF593" i="6"/>
  <c r="CE593" i="6" s="1"/>
  <c r="BV593" i="6"/>
  <c r="CH593" i="6" s="1"/>
  <c r="CG593" i="6" s="1"/>
  <c r="BW593" i="6"/>
  <c r="CD593" i="6" s="1"/>
  <c r="BV661" i="6"/>
  <c r="CH661" i="6" s="1"/>
  <c r="CG661" i="6" s="1"/>
  <c r="CF661" i="6"/>
  <c r="CE661" i="6" s="1"/>
  <c r="CC619" i="6"/>
  <c r="CB619" i="6"/>
  <c r="BW951" i="6"/>
  <c r="BV951" i="6"/>
  <c r="BW555" i="6"/>
  <c r="CD555" i="6" s="1"/>
  <c r="BV555" i="6"/>
  <c r="CH555" i="6" s="1"/>
  <c r="CG555" i="6" s="1"/>
  <c r="CF555" i="6"/>
  <c r="CE555" i="6" s="1"/>
  <c r="BW934" i="6"/>
  <c r="BV934" i="6"/>
  <c r="CC54" i="6"/>
  <c r="CB54" i="6"/>
  <c r="BB499" i="6"/>
  <c r="CF499" i="6"/>
  <c r="CE499" i="6" s="1"/>
  <c r="BW414" i="6"/>
  <c r="BV414" i="6"/>
  <c r="BO955" i="6"/>
  <c r="BP955" i="6"/>
  <c r="BW1012" i="6"/>
  <c r="BV1012" i="6"/>
  <c r="CC183" i="6"/>
  <c r="CB183" i="6"/>
  <c r="BV526" i="6"/>
  <c r="BW526" i="6"/>
  <c r="CD526" i="6" s="1"/>
  <c r="BW230" i="6"/>
  <c r="BV230" i="6"/>
  <c r="CC575" i="6"/>
  <c r="CB575" i="6"/>
  <c r="BV830" i="6"/>
  <c r="BW830" i="6"/>
  <c r="CD830" i="6" s="1"/>
  <c r="CB761" i="6"/>
  <c r="CF761" i="6"/>
  <c r="CE761" i="6" s="1"/>
  <c r="CC761" i="6"/>
  <c r="CB252" i="6"/>
  <c r="CC252" i="6"/>
  <c r="CD252" i="6" s="1"/>
  <c r="CF951" i="6"/>
  <c r="CE951" i="6" s="1"/>
  <c r="CB951" i="6"/>
  <c r="CC951" i="6"/>
  <c r="CC539" i="6"/>
  <c r="CB539" i="6"/>
  <c r="BW295" i="6"/>
  <c r="CD295" i="6" s="1"/>
  <c r="BV295" i="6"/>
  <c r="CH295" i="6" s="1"/>
  <c r="CG295" i="6" s="1"/>
  <c r="CC934" i="6"/>
  <c r="CB934" i="6"/>
  <c r="CC325" i="6"/>
  <c r="CB325" i="6"/>
  <c r="BH313" i="6"/>
  <c r="CF257" i="6"/>
  <c r="CE257" i="6" s="1"/>
  <c r="CD840" i="6"/>
  <c r="CF241" i="6"/>
  <c r="CE241" i="6" s="1"/>
  <c r="CF87" i="6"/>
  <c r="CE87" i="6" s="1"/>
  <c r="CF502" i="6"/>
  <c r="CE502" i="6" s="1"/>
  <c r="CF559" i="6"/>
  <c r="CE559" i="6" s="1"/>
  <c r="CF369" i="6"/>
  <c r="CE369" i="6" s="1"/>
  <c r="CF594" i="6"/>
  <c r="CE594" i="6" s="1"/>
  <c r="CF856" i="6"/>
  <c r="CE856" i="6" s="1"/>
  <c r="CF957" i="6"/>
  <c r="CE957" i="6" s="1"/>
  <c r="CF735" i="6"/>
  <c r="CE735" i="6" s="1"/>
  <c r="CF385" i="6"/>
  <c r="CE385" i="6" s="1"/>
  <c r="CF966" i="6"/>
  <c r="CE966" i="6" s="1"/>
  <c r="BH311" i="6"/>
  <c r="BI311" i="6"/>
  <c r="BP645" i="6"/>
  <c r="BO645" i="6"/>
  <c r="BB696" i="6"/>
  <c r="CF696" i="6"/>
  <c r="CE696" i="6" s="1"/>
  <c r="CF663" i="6"/>
  <c r="CE663" i="6" s="1"/>
  <c r="BB663" i="6"/>
  <c r="CH663" i="6" s="1"/>
  <c r="CG663" i="6" s="1"/>
  <c r="CC244" i="6"/>
  <c r="CB244" i="6"/>
  <c r="CC470" i="6"/>
  <c r="CB470" i="6"/>
  <c r="CF470" i="6"/>
  <c r="CE470" i="6" s="1"/>
  <c r="BV382" i="6"/>
  <c r="BW382" i="6"/>
  <c r="CC483" i="6"/>
  <c r="CB483" i="6"/>
  <c r="BW325" i="6"/>
  <c r="BV325" i="6"/>
  <c r="BV920" i="6"/>
  <c r="BW920" i="6"/>
  <c r="CB449" i="6"/>
  <c r="CC449" i="6"/>
  <c r="BH894" i="6"/>
  <c r="BI894" i="6"/>
  <c r="CF894" i="6"/>
  <c r="CE894" i="6" s="1"/>
  <c r="CD556" i="6"/>
  <c r="CF836" i="6"/>
  <c r="CE836" i="6" s="1"/>
  <c r="CF253" i="6"/>
  <c r="CE253" i="6" s="1"/>
  <c r="BV879" i="6"/>
  <c r="CF58" i="6"/>
  <c r="CE58" i="6" s="1"/>
  <c r="CF642" i="6"/>
  <c r="CE642" i="6" s="1"/>
  <c r="CF400" i="6"/>
  <c r="CE400" i="6" s="1"/>
  <c r="BP27" i="6"/>
  <c r="CD27" i="6" s="1"/>
  <c r="BO27" i="6"/>
  <c r="CH27" i="6" s="1"/>
  <c r="CG27" i="6" s="1"/>
  <c r="CF27" i="6"/>
  <c r="CE27" i="6" s="1"/>
  <c r="CB385" i="6"/>
  <c r="CH385" i="6" s="1"/>
  <c r="CG385" i="6" s="1"/>
  <c r="CC385" i="6"/>
  <c r="CD385" i="6" s="1"/>
  <c r="BB876" i="6"/>
  <c r="BW623" i="6"/>
  <c r="CD623" i="6" s="1"/>
  <c r="BV623" i="6"/>
  <c r="CF623" i="6"/>
  <c r="CE623" i="6" s="1"/>
  <c r="CF920" i="6"/>
  <c r="CE920" i="6" s="1"/>
  <c r="CC920" i="6"/>
  <c r="CB920" i="6"/>
  <c r="CB255" i="6"/>
  <c r="CC255" i="6"/>
  <c r="BB457" i="6"/>
  <c r="CF457" i="6"/>
  <c r="CE457" i="6" s="1"/>
  <c r="CC847" i="6"/>
  <c r="CB847" i="6"/>
  <c r="CB720" i="6"/>
  <c r="CC720" i="6"/>
  <c r="BW536" i="6"/>
  <c r="CD536" i="6" s="1"/>
  <c r="BV536" i="6"/>
  <c r="CC476" i="6"/>
  <c r="CD476" i="6" s="1"/>
  <c r="CB476" i="6"/>
  <c r="CB372" i="6"/>
  <c r="CC372" i="6"/>
  <c r="BB287" i="6"/>
  <c r="CF287" i="6"/>
  <c r="CE287" i="6" s="1"/>
  <c r="BV806" i="6"/>
  <c r="BW806" i="6"/>
  <c r="CF209" i="6"/>
  <c r="CE209" i="6" s="1"/>
  <c r="BV209" i="6"/>
  <c r="CH209" i="6" s="1"/>
  <c r="CG209" i="6" s="1"/>
  <c r="BW209" i="6"/>
  <c r="BB273" i="6"/>
  <c r="BW853" i="6"/>
  <c r="BV853" i="6"/>
  <c r="BB430" i="6"/>
  <c r="CC81" i="6"/>
  <c r="CB81" i="6"/>
  <c r="CB905" i="6"/>
  <c r="CC905" i="6"/>
  <c r="BV226" i="6"/>
  <c r="BW226" i="6"/>
  <c r="BW779" i="6"/>
  <c r="BV779" i="6"/>
  <c r="BV320" i="6"/>
  <c r="BW320" i="6"/>
  <c r="CB980" i="6"/>
  <c r="CC980" i="6"/>
  <c r="CB829" i="6"/>
  <c r="CC829" i="6"/>
  <c r="BV496" i="6"/>
  <c r="CH496" i="6" s="1"/>
  <c r="CG496" i="6" s="1"/>
  <c r="BW496" i="6"/>
  <c r="CD496" i="6" s="1"/>
  <c r="CF496" i="6"/>
  <c r="CE496" i="6" s="1"/>
  <c r="CC871" i="6"/>
  <c r="CD871" i="6" s="1"/>
  <c r="CB871" i="6"/>
  <c r="CH871" i="6" s="1"/>
  <c r="CG871" i="6" s="1"/>
  <c r="BB77" i="6"/>
  <c r="CD77" i="6"/>
  <c r="BW930" i="6"/>
  <c r="CD930" i="6" s="1"/>
  <c r="BV930" i="6"/>
  <c r="BV236" i="6"/>
  <c r="BW236" i="6"/>
  <c r="BV45" i="6"/>
  <c r="BW45" i="6"/>
  <c r="BV877" i="6"/>
  <c r="BW877" i="6"/>
  <c r="CB332" i="6"/>
  <c r="CC332" i="6"/>
  <c r="CD332" i="6" s="1"/>
  <c r="BW629" i="6"/>
  <c r="BV629" i="6"/>
  <c r="BB138" i="6"/>
  <c r="BW921" i="6"/>
  <c r="BV921" i="6"/>
  <c r="CC624" i="6"/>
  <c r="CB624" i="6"/>
  <c r="CH624" i="6" s="1"/>
  <c r="CG624" i="6" s="1"/>
  <c r="CF624" i="6"/>
  <c r="CE624" i="6" s="1"/>
  <c r="CC227" i="6"/>
  <c r="CB227" i="6"/>
  <c r="CB794" i="6"/>
  <c r="CC794" i="6"/>
  <c r="BW261" i="6"/>
  <c r="CD261" i="6" s="1"/>
  <c r="BV261" i="6"/>
  <c r="CH261" i="6" s="1"/>
  <c r="CG261" i="6" s="1"/>
  <c r="BW634" i="6"/>
  <c r="BV634" i="6"/>
  <c r="BH570" i="6"/>
  <c r="BI570" i="6"/>
  <c r="CB854" i="6"/>
  <c r="CC854" i="6"/>
  <c r="CC592" i="6"/>
  <c r="CB592" i="6"/>
  <c r="BV401" i="6"/>
  <c r="BW401" i="6"/>
  <c r="BW232" i="6"/>
  <c r="BV232" i="6"/>
  <c r="CC243" i="6"/>
  <c r="CB243" i="6"/>
  <c r="CB719" i="6"/>
  <c r="CC719" i="6"/>
  <c r="CB634" i="6"/>
  <c r="CC634" i="6"/>
  <c r="CC821" i="6"/>
  <c r="CB821" i="6"/>
  <c r="CF173" i="6"/>
  <c r="CE173" i="6" s="1"/>
  <c r="BB173" i="6"/>
  <c r="BW291" i="6"/>
  <c r="CF291" i="6"/>
  <c r="CE291" i="6" s="1"/>
  <c r="BV291" i="6"/>
  <c r="CB367" i="6"/>
  <c r="CC367" i="6"/>
  <c r="CB978" i="6"/>
  <c r="CC978" i="6"/>
  <c r="BV250" i="6"/>
  <c r="BW250" i="6"/>
  <c r="BW585" i="6"/>
  <c r="CD585" i="6" s="1"/>
  <c r="BV585" i="6"/>
  <c r="CH585" i="6" s="1"/>
  <c r="CG585" i="6" s="1"/>
  <c r="CB722" i="6"/>
  <c r="CC722" i="6"/>
  <c r="CB968" i="6"/>
  <c r="CC968" i="6"/>
  <c r="CB215" i="6"/>
  <c r="CC215" i="6"/>
  <c r="BW959" i="6"/>
  <c r="BV959" i="6"/>
  <c r="CF806" i="6"/>
  <c r="CE806" i="6" s="1"/>
  <c r="CC582" i="6"/>
  <c r="CB582" i="6"/>
  <c r="BW467" i="6"/>
  <c r="BV467" i="6"/>
  <c r="BW771" i="6"/>
  <c r="BV771" i="6"/>
  <c r="CC48" i="6"/>
  <c r="CB48" i="6"/>
  <c r="BB543" i="6"/>
  <c r="CC724" i="6"/>
  <c r="CB724" i="6"/>
  <c r="BW254" i="6"/>
  <c r="BV254" i="6"/>
  <c r="BW982" i="6"/>
  <c r="BV982" i="6"/>
  <c r="CC780" i="6"/>
  <c r="CD780" i="6" s="1"/>
  <c r="CB780" i="6"/>
  <c r="BW154" i="6"/>
  <c r="BV154" i="6"/>
  <c r="CF45" i="6"/>
  <c r="CE45" i="6" s="1"/>
  <c r="CF585" i="6"/>
  <c r="CE585" i="6" s="1"/>
  <c r="CF692" i="6"/>
  <c r="CE692" i="6" s="1"/>
  <c r="CF844" i="6"/>
  <c r="CE844" i="6" s="1"/>
  <c r="CH607" i="6"/>
  <c r="CG607" i="6" s="1"/>
  <c r="BV783" i="6"/>
  <c r="CF546" i="6"/>
  <c r="CE546" i="6" s="1"/>
  <c r="CF688" i="6"/>
  <c r="CE688" i="6" s="1"/>
  <c r="CF303" i="6"/>
  <c r="CE303" i="6" s="1"/>
  <c r="CF597" i="6"/>
  <c r="CE597" i="6" s="1"/>
  <c r="CF213" i="6"/>
  <c r="CE213" i="6" s="1"/>
  <c r="BH855" i="6"/>
  <c r="BI855" i="6"/>
  <c r="BH416" i="6"/>
  <c r="BI416" i="6"/>
  <c r="CB124" i="6"/>
  <c r="CC124" i="6"/>
  <c r="CB570" i="6"/>
  <c r="CC570" i="6"/>
  <c r="BG178" i="6"/>
  <c r="BN178" i="6"/>
  <c r="AT178" i="6"/>
  <c r="BB519" i="6"/>
  <c r="CH519" i="6" s="1"/>
  <c r="CG519" i="6" s="1"/>
  <c r="CF519" i="6"/>
  <c r="CE519" i="6" s="1"/>
  <c r="BW144" i="6"/>
  <c r="BV144" i="6"/>
  <c r="CF258" i="6"/>
  <c r="CE258" i="6" s="1"/>
  <c r="BB258" i="6"/>
  <c r="CC328" i="6"/>
  <c r="CB328" i="6"/>
  <c r="CB958" i="6"/>
  <c r="CC958" i="6"/>
  <c r="BV255" i="6"/>
  <c r="BW255" i="6"/>
  <c r="BV502" i="6"/>
  <c r="BW502" i="6"/>
  <c r="BV88" i="6"/>
  <c r="CF88" i="6"/>
  <c r="CE88" i="6" s="1"/>
  <c r="BW88" i="6"/>
  <c r="CC321" i="6"/>
  <c r="CB321" i="6"/>
  <c r="BB720" i="6"/>
  <c r="CF720" i="6"/>
  <c r="CE720" i="6" s="1"/>
  <c r="BB536" i="6"/>
  <c r="CF536" i="6"/>
  <c r="CE536" i="6" s="1"/>
  <c r="BV69" i="6"/>
  <c r="BW69" i="6"/>
  <c r="CD69" i="6" s="1"/>
  <c r="BW372" i="6"/>
  <c r="BV372" i="6"/>
  <c r="BW287" i="6"/>
  <c r="BV287" i="6"/>
  <c r="CB513" i="6"/>
  <c r="CC513" i="6"/>
  <c r="CC497" i="6"/>
  <c r="CB497" i="6"/>
  <c r="BW89" i="6"/>
  <c r="BV89" i="6"/>
  <c r="CC853" i="6"/>
  <c r="CB853" i="6"/>
  <c r="CB430" i="6"/>
  <c r="CC430" i="6"/>
  <c r="BV752" i="6"/>
  <c r="BW752" i="6"/>
  <c r="CC82" i="6"/>
  <c r="CB82" i="6"/>
  <c r="CF397" i="6"/>
  <c r="CE397" i="6" s="1"/>
  <c r="BB397" i="6"/>
  <c r="BW905" i="6"/>
  <c r="BV905" i="6"/>
  <c r="BV565" i="6"/>
  <c r="BW565" i="6"/>
  <c r="BV907" i="6"/>
  <c r="BW907" i="6"/>
  <c r="CC320" i="6"/>
  <c r="CB320" i="6"/>
  <c r="BV159" i="6"/>
  <c r="BW159" i="6"/>
  <c r="CB632" i="6"/>
  <c r="CC632" i="6"/>
  <c r="BW349" i="6"/>
  <c r="CD349" i="6" s="1"/>
  <c r="BV349" i="6"/>
  <c r="BV367" i="6"/>
  <c r="BW367" i="6"/>
  <c r="CC149" i="6"/>
  <c r="CB149" i="6"/>
  <c r="BV445" i="6"/>
  <c r="BW445" i="6"/>
  <c r="CD445" i="6" s="1"/>
  <c r="BW480" i="6"/>
  <c r="BV480" i="6"/>
  <c r="CB294" i="6"/>
  <c r="CC294" i="6"/>
  <c r="CF332" i="6"/>
  <c r="CE332" i="6" s="1"/>
  <c r="BB332" i="6"/>
  <c r="BB344" i="6"/>
  <c r="CF344" i="6"/>
  <c r="CE344" i="6" s="1"/>
  <c r="BB854" i="6"/>
  <c r="CF854" i="6"/>
  <c r="CE854" i="6" s="1"/>
  <c r="CC935" i="6"/>
  <c r="CD935" i="6" s="1"/>
  <c r="CB935" i="6"/>
  <c r="CH935" i="6" s="1"/>
  <c r="CG935" i="6" s="1"/>
  <c r="BV146" i="6"/>
  <c r="CF146" i="6"/>
  <c r="CE146" i="6" s="1"/>
  <c r="BB478" i="6"/>
  <c r="CF478" i="6"/>
  <c r="CE478" i="6" s="1"/>
  <c r="CC852" i="6"/>
  <c r="CB852" i="6"/>
  <c r="BW483" i="6"/>
  <c r="CF483" i="6"/>
  <c r="CE483" i="6" s="1"/>
  <c r="BV483" i="6"/>
  <c r="BB29" i="6"/>
  <c r="CH29" i="6" s="1"/>
  <c r="CG29" i="6" s="1"/>
  <c r="CF29" i="6"/>
  <c r="CE29" i="6" s="1"/>
  <c r="CD519" i="6"/>
  <c r="CC904" i="6"/>
  <c r="CB904" i="6"/>
  <c r="BV348" i="6"/>
  <c r="BW348" i="6"/>
  <c r="BW478" i="6"/>
  <c r="CD478" i="6" s="1"/>
  <c r="BV478" i="6"/>
  <c r="BW200" i="6"/>
  <c r="BV200" i="6"/>
  <c r="CF299" i="6"/>
  <c r="CE299" i="6" s="1"/>
  <c r="BB299" i="6"/>
  <c r="CC90" i="6"/>
  <c r="CB90" i="6"/>
  <c r="BB592" i="6"/>
  <c r="CF592" i="6"/>
  <c r="CE592" i="6" s="1"/>
  <c r="BV459" i="6"/>
  <c r="BW459" i="6"/>
  <c r="BV243" i="6"/>
  <c r="BW243" i="6"/>
  <c r="BW719" i="6"/>
  <c r="BV719" i="6"/>
  <c r="BB634" i="6"/>
  <c r="CF634" i="6"/>
  <c r="CE634" i="6" s="1"/>
  <c r="BW731" i="6"/>
  <c r="BV731" i="6"/>
  <c r="BW983" i="6"/>
  <c r="BV983" i="6"/>
  <c r="BV662" i="6"/>
  <c r="BW662" i="6"/>
  <c r="BB368" i="6"/>
  <c r="CF368" i="6"/>
  <c r="CE368" i="6" s="1"/>
  <c r="BW821" i="6"/>
  <c r="BV821" i="6"/>
  <c r="CB173" i="6"/>
  <c r="CC173" i="6"/>
  <c r="CB702" i="6"/>
  <c r="CC702" i="6"/>
  <c r="BB367" i="6"/>
  <c r="CF367" i="6"/>
  <c r="CE367" i="6" s="1"/>
  <c r="BB250" i="6"/>
  <c r="CF250" i="6"/>
  <c r="CE250" i="6" s="1"/>
  <c r="BB722" i="6"/>
  <c r="CF722" i="6"/>
  <c r="CE722" i="6" s="1"/>
  <c r="CB888" i="6"/>
  <c r="CC888" i="6"/>
  <c r="CF717" i="6"/>
  <c r="CE717" i="6" s="1"/>
  <c r="BB717" i="6"/>
  <c r="BB215" i="6"/>
  <c r="CF215" i="6"/>
  <c r="CE215" i="6" s="1"/>
  <c r="CC856" i="6"/>
  <c r="CB856" i="6"/>
  <c r="CB959" i="6"/>
  <c r="CC959" i="6"/>
  <c r="BW408" i="6"/>
  <c r="BV408" i="6"/>
  <c r="CC217" i="6"/>
  <c r="CB217" i="6"/>
  <c r="CC467" i="6"/>
  <c r="CB467" i="6"/>
  <c r="CB771" i="6"/>
  <c r="CC771" i="6"/>
  <c r="CF48" i="6"/>
  <c r="CE48" i="6" s="1"/>
  <c r="CC543" i="6"/>
  <c r="CB543" i="6"/>
  <c r="BV950" i="6"/>
  <c r="BW950" i="6"/>
  <c r="BV57" i="6"/>
  <c r="BW57" i="6"/>
  <c r="BV724" i="6"/>
  <c r="BW724" i="6"/>
  <c r="CB541" i="6"/>
  <c r="CC541" i="6"/>
  <c r="BB50" i="6"/>
  <c r="CF50" i="6"/>
  <c r="CE50" i="6" s="1"/>
  <c r="CF982" i="6"/>
  <c r="CE982" i="6" s="1"/>
  <c r="BB982" i="6"/>
  <c r="BB780" i="6"/>
  <c r="CF780" i="6"/>
  <c r="CE780" i="6" s="1"/>
  <c r="CF154" i="6"/>
  <c r="CE154" i="6" s="1"/>
  <c r="BB154" i="6"/>
  <c r="BO614" i="6"/>
  <c r="BP614" i="6"/>
  <c r="CF730" i="6"/>
  <c r="CE730" i="6" s="1"/>
  <c r="BI89" i="6"/>
  <c r="BH89" i="6"/>
  <c r="BH85" i="6"/>
  <c r="BI85" i="6"/>
  <c r="CF85" i="6"/>
  <c r="CE85" i="6" s="1"/>
  <c r="BW124" i="6"/>
  <c r="BV124" i="6"/>
  <c r="CF449" i="6"/>
  <c r="CE449" i="6" s="1"/>
  <c r="BW449" i="6"/>
  <c r="BV449" i="6"/>
  <c r="BB179" i="6"/>
  <c r="CF179" i="6"/>
  <c r="CE179" i="6" s="1"/>
  <c r="BV407" i="6"/>
  <c r="BW407" i="6"/>
  <c r="CD407" i="6" s="1"/>
  <c r="BB414" i="6"/>
  <c r="CF414" i="6"/>
  <c r="CE414" i="6" s="1"/>
  <c r="CB878" i="6"/>
  <c r="CH878" i="6" s="1"/>
  <c r="CG878" i="6" s="1"/>
  <c r="CC878" i="6"/>
  <c r="CD878" i="6" s="1"/>
  <c r="BW755" i="6"/>
  <c r="BV755" i="6"/>
  <c r="CF255" i="6"/>
  <c r="CE255" i="6" s="1"/>
  <c r="BB255" i="6"/>
  <c r="CC88" i="6"/>
  <c r="CB88" i="6"/>
  <c r="BB321" i="6"/>
  <c r="CF321" i="6"/>
  <c r="CE321" i="6" s="1"/>
  <c r="BW720" i="6"/>
  <c r="BV720" i="6"/>
  <c r="BW777" i="6"/>
  <c r="BV777" i="6"/>
  <c r="BB69" i="6"/>
  <c r="CF69" i="6"/>
  <c r="CE69" i="6" s="1"/>
  <c r="BV901" i="6"/>
  <c r="BW901" i="6"/>
  <c r="CD901" i="6" s="1"/>
  <c r="CF513" i="6"/>
  <c r="CE513" i="6" s="1"/>
  <c r="BV513" i="6"/>
  <c r="BW513" i="6"/>
  <c r="BW497" i="6"/>
  <c r="BV497" i="6"/>
  <c r="CB89" i="6"/>
  <c r="CC89" i="6"/>
  <c r="BB571" i="6"/>
  <c r="CF571" i="6"/>
  <c r="CE571" i="6" s="1"/>
  <c r="BB752" i="6"/>
  <c r="CF752" i="6"/>
  <c r="CE752" i="6" s="1"/>
  <c r="CC804" i="6"/>
  <c r="CB804" i="6"/>
  <c r="BW397" i="6"/>
  <c r="CD397" i="6" s="1"/>
  <c r="BV397" i="6"/>
  <c r="CB420" i="6"/>
  <c r="CC420" i="6"/>
  <c r="CD420" i="6" s="1"/>
  <c r="CB565" i="6"/>
  <c r="CC565" i="6"/>
  <c r="CC907" i="6"/>
  <c r="CB907" i="6"/>
  <c r="BV318" i="6"/>
  <c r="BW318" i="6"/>
  <c r="CB812" i="6"/>
  <c r="CC812" i="6"/>
  <c r="BB349" i="6"/>
  <c r="CF349" i="6"/>
  <c r="CE349" i="6" s="1"/>
  <c r="BV913" i="6"/>
  <c r="BW913" i="6"/>
  <c r="CC859" i="6"/>
  <c r="CD859" i="6" s="1"/>
  <c r="CB859" i="6"/>
  <c r="BV827" i="6"/>
  <c r="CH827" i="6" s="1"/>
  <c r="CG827" i="6" s="1"/>
  <c r="BW827" i="6"/>
  <c r="CD827" i="6" s="1"/>
  <c r="BV149" i="6"/>
  <c r="BW149" i="6"/>
  <c r="CF149" i="6"/>
  <c r="CE149" i="6" s="1"/>
  <c r="BW525" i="6"/>
  <c r="BV525" i="6"/>
  <c r="CB281" i="6"/>
  <c r="CC281" i="6"/>
  <c r="CD281" i="6" s="1"/>
  <c r="CB480" i="6"/>
  <c r="CC480" i="6"/>
  <c r="CB820" i="6"/>
  <c r="CC820" i="6"/>
  <c r="CF294" i="6"/>
  <c r="CE294" i="6" s="1"/>
  <c r="BW294" i="6"/>
  <c r="BV294" i="6"/>
  <c r="BV652" i="6"/>
  <c r="BW652" i="6"/>
  <c r="CB344" i="6"/>
  <c r="CC344" i="6"/>
  <c r="CD344" i="6" s="1"/>
  <c r="BW463" i="6"/>
  <c r="BV463" i="6"/>
  <c r="BW60" i="6"/>
  <c r="CD60" i="6" s="1"/>
  <c r="CF60" i="6"/>
  <c r="CE60" i="6" s="1"/>
  <c r="BV60" i="6"/>
  <c r="CH60" i="6" s="1"/>
  <c r="CG60" i="6" s="1"/>
  <c r="CF158" i="6"/>
  <c r="CE158" i="6" s="1"/>
  <c r="BW158" i="6"/>
  <c r="BV158" i="6"/>
  <c r="BW38" i="6"/>
  <c r="BV38" i="6"/>
  <c r="CF38" i="6"/>
  <c r="CE38" i="6" s="1"/>
  <c r="CC340" i="6"/>
  <c r="CD340" i="6" s="1"/>
  <c r="CB340" i="6"/>
  <c r="CH340" i="6" s="1"/>
  <c r="CG340" i="6" s="1"/>
  <c r="CF376" i="6"/>
  <c r="CE376" i="6" s="1"/>
  <c r="BV376" i="6"/>
  <c r="BW376" i="6"/>
  <c r="CB892" i="6"/>
  <c r="CC892" i="6"/>
  <c r="CD892" i="6" s="1"/>
  <c r="CB961" i="6"/>
  <c r="CC961" i="6"/>
  <c r="CF961" i="6"/>
  <c r="CE961" i="6" s="1"/>
  <c r="BO570" i="6"/>
  <c r="BP570" i="6"/>
  <c r="BB200" i="6"/>
  <c r="CC26" i="6"/>
  <c r="CB26" i="6"/>
  <c r="CH26" i="6" s="1"/>
  <c r="CG26" i="6" s="1"/>
  <c r="BW90" i="6"/>
  <c r="BV90" i="6"/>
  <c r="BV592" i="6"/>
  <c r="BW592" i="6"/>
  <c r="BV249" i="6"/>
  <c r="BW249" i="6"/>
  <c r="BB459" i="6"/>
  <c r="CF459" i="6"/>
  <c r="CE459" i="6" s="1"/>
  <c r="BV979" i="6"/>
  <c r="BW979" i="6"/>
  <c r="BB719" i="6"/>
  <c r="CF719" i="6"/>
  <c r="CE719" i="6" s="1"/>
  <c r="CB851" i="6"/>
  <c r="CC851" i="6"/>
  <c r="CB872" i="6"/>
  <c r="CC872" i="6"/>
  <c r="BV368" i="6"/>
  <c r="BW368" i="6"/>
  <c r="CF18" i="6"/>
  <c r="CE18" i="6" s="1"/>
  <c r="BB18" i="6"/>
  <c r="BB702" i="6"/>
  <c r="CF702" i="6"/>
  <c r="CE702" i="6" s="1"/>
  <c r="CB966" i="6"/>
  <c r="CC966" i="6"/>
  <c r="CC452" i="6"/>
  <c r="CB452" i="6"/>
  <c r="CC250" i="6"/>
  <c r="CB250" i="6"/>
  <c r="CB264" i="6"/>
  <c r="CC264" i="6"/>
  <c r="CB717" i="6"/>
  <c r="CC717" i="6"/>
  <c r="CD717" i="6" s="1"/>
  <c r="BV215" i="6"/>
  <c r="BW215" i="6"/>
  <c r="CC440" i="6"/>
  <c r="CD440" i="6" s="1"/>
  <c r="CB440" i="6"/>
  <c r="CC408" i="6"/>
  <c r="CB408" i="6"/>
  <c r="BV217" i="6"/>
  <c r="BW217" i="6"/>
  <c r="CF878" i="6"/>
  <c r="CE878" i="6" s="1"/>
  <c r="BV604" i="6"/>
  <c r="BW604" i="6"/>
  <c r="BW316" i="6"/>
  <c r="BV316" i="6"/>
  <c r="BW48" i="6"/>
  <c r="BV48" i="6"/>
  <c r="BV543" i="6"/>
  <c r="BW543" i="6"/>
  <c r="BB57" i="6"/>
  <c r="CF57" i="6"/>
  <c r="CE57" i="6" s="1"/>
  <c r="BV421" i="6"/>
  <c r="BW421" i="6"/>
  <c r="CF541" i="6"/>
  <c r="CE541" i="6" s="1"/>
  <c r="BB541" i="6"/>
  <c r="CC50" i="6"/>
  <c r="CB50" i="6"/>
  <c r="CF853" i="6"/>
  <c r="CE853" i="6" s="1"/>
  <c r="CC875" i="6"/>
  <c r="CB875" i="6"/>
  <c r="CB863" i="6"/>
  <c r="CC863" i="6"/>
  <c r="CF318" i="6"/>
  <c r="CE318" i="6" s="1"/>
  <c r="BV97" i="6"/>
  <c r="CH97" i="6" s="1"/>
  <c r="CG97" i="6" s="1"/>
  <c r="BW97" i="6"/>
  <c r="CD97" i="6" s="1"/>
  <c r="CF931" i="6"/>
  <c r="CE931" i="6" s="1"/>
  <c r="BW931" i="6"/>
  <c r="BV931" i="6"/>
  <c r="BB382" i="6"/>
  <c r="CF382" i="6"/>
  <c r="CE382" i="6" s="1"/>
  <c r="BW275" i="6"/>
  <c r="CD275" i="6" s="1"/>
  <c r="BV275" i="6"/>
  <c r="CH275" i="6" s="1"/>
  <c r="CG275" i="6" s="1"/>
  <c r="CF275" i="6"/>
  <c r="CE275" i="6" s="1"/>
  <c r="CB981" i="6"/>
  <c r="CC981" i="6"/>
  <c r="BO361" i="6"/>
  <c r="BP361" i="6"/>
  <c r="CF755" i="6"/>
  <c r="CE755" i="6" s="1"/>
  <c r="BB755" i="6"/>
  <c r="CB49" i="6"/>
  <c r="CH49" i="6" s="1"/>
  <c r="CG49" i="6" s="1"/>
  <c r="CC49" i="6"/>
  <c r="CD49" i="6" s="1"/>
  <c r="BB554" i="6"/>
  <c r="CH554" i="6" s="1"/>
  <c r="CG554" i="6" s="1"/>
  <c r="CF554" i="6"/>
  <c r="CE554" i="6" s="1"/>
  <c r="BW847" i="6"/>
  <c r="BV847" i="6"/>
  <c r="BV759" i="6"/>
  <c r="BW759" i="6"/>
  <c r="CC461" i="6"/>
  <c r="CB461" i="6"/>
  <c r="CB777" i="6"/>
  <c r="CC777" i="6"/>
  <c r="BV327" i="6"/>
  <c r="BW327" i="6"/>
  <c r="CF293" i="6"/>
  <c r="CE293" i="6" s="1"/>
  <c r="CC293" i="6"/>
  <c r="CF901" i="6"/>
  <c r="CE901" i="6" s="1"/>
  <c r="BB901" i="6"/>
  <c r="CF497" i="6"/>
  <c r="CE497" i="6" s="1"/>
  <c r="BB497" i="6"/>
  <c r="BV283" i="6"/>
  <c r="BW283" i="6"/>
  <c r="CF283" i="6"/>
  <c r="CE283" i="6" s="1"/>
  <c r="CB571" i="6"/>
  <c r="CC571" i="6"/>
  <c r="CD571" i="6" s="1"/>
  <c r="BV494" i="6"/>
  <c r="BW494" i="6"/>
  <c r="CC752" i="6"/>
  <c r="CB752" i="6"/>
  <c r="BW925" i="6"/>
  <c r="CD925" i="6" s="1"/>
  <c r="BV925" i="6"/>
  <c r="BB420" i="6"/>
  <c r="CF420" i="6"/>
  <c r="CE420" i="6" s="1"/>
  <c r="CC779" i="6"/>
  <c r="CB779" i="6"/>
  <c r="CC259" i="6"/>
  <c r="CB259" i="6"/>
  <c r="CC318" i="6"/>
  <c r="CB318" i="6"/>
  <c r="BB51" i="6"/>
  <c r="CF51" i="6"/>
  <c r="CE51" i="6" s="1"/>
  <c r="BV812" i="6"/>
  <c r="BW812" i="6"/>
  <c r="BB164" i="6"/>
  <c r="CH164" i="6" s="1"/>
  <c r="CG164" i="6" s="1"/>
  <c r="CF164" i="6"/>
  <c r="CE164" i="6" s="1"/>
  <c r="BW852" i="6"/>
  <c r="CF852" i="6"/>
  <c r="CE852" i="6" s="1"/>
  <c r="BV852" i="6"/>
  <c r="BB339" i="6"/>
  <c r="BB281" i="6"/>
  <c r="CF281" i="6"/>
  <c r="CE281" i="6" s="1"/>
  <c r="CB673" i="6"/>
  <c r="CC673" i="6"/>
  <c r="CC133" i="6"/>
  <c r="CB133" i="6"/>
  <c r="BV173" i="6"/>
  <c r="BW173" i="6"/>
  <c r="CB200" i="6"/>
  <c r="CC200" i="6"/>
  <c r="CB34" i="6"/>
  <c r="CH34" i="6" s="1"/>
  <c r="CG34" i="6" s="1"/>
  <c r="CC34" i="6"/>
  <c r="CD34" i="6" s="1"/>
  <c r="CB339" i="6"/>
  <c r="CC339" i="6"/>
  <c r="BW658" i="6"/>
  <c r="BV658" i="6"/>
  <c r="CF301" i="6"/>
  <c r="CE301" i="6" s="1"/>
  <c r="CB301" i="6"/>
  <c r="CC301" i="6"/>
  <c r="CC620" i="6"/>
  <c r="CB620" i="6"/>
  <c r="BB401" i="6"/>
  <c r="CF401" i="6"/>
  <c r="CE401" i="6" s="1"/>
  <c r="CC232" i="6"/>
  <c r="CB232" i="6"/>
  <c r="CC979" i="6"/>
  <c r="CB979" i="6"/>
  <c r="BV791" i="6"/>
  <c r="BW791" i="6"/>
  <c r="CF791" i="6"/>
  <c r="CE791" i="6" s="1"/>
  <c r="CC559" i="6"/>
  <c r="CD559" i="6" s="1"/>
  <c r="CB559" i="6"/>
  <c r="CH559" i="6" s="1"/>
  <c r="CG559" i="6" s="1"/>
  <c r="BV872" i="6"/>
  <c r="CF872" i="6"/>
  <c r="CE872" i="6" s="1"/>
  <c r="BW872" i="6"/>
  <c r="BV475" i="6"/>
  <c r="BW475" i="6"/>
  <c r="BV288" i="6"/>
  <c r="BW288" i="6"/>
  <c r="CC153" i="6"/>
  <c r="CB153" i="6"/>
  <c r="BV18" i="6"/>
  <c r="BW18" i="6"/>
  <c r="CD18" i="6" s="1"/>
  <c r="BV312" i="6"/>
  <c r="BW312" i="6"/>
  <c r="BV966" i="6"/>
  <c r="BW966" i="6"/>
  <c r="CB860" i="6"/>
  <c r="CC860" i="6"/>
  <c r="CB675" i="6"/>
  <c r="CC675" i="6"/>
  <c r="BW968" i="6"/>
  <c r="BV968" i="6"/>
  <c r="BV922" i="6"/>
  <c r="BW922" i="6"/>
  <c r="BB440" i="6"/>
  <c r="CF440" i="6"/>
  <c r="CE440" i="6" s="1"/>
  <c r="CC6" i="6"/>
  <c r="CD6" i="6" s="1"/>
  <c r="CB6" i="6"/>
  <c r="CF924" i="6"/>
  <c r="CE924" i="6" s="1"/>
  <c r="CB924" i="6"/>
  <c r="CC924" i="6"/>
  <c r="BV582" i="6"/>
  <c r="BW582" i="6"/>
  <c r="BB604" i="6"/>
  <c r="BB316" i="6"/>
  <c r="CF316" i="6"/>
  <c r="CE316" i="6" s="1"/>
  <c r="CC521" i="6"/>
  <c r="CB521" i="6"/>
  <c r="BW918" i="6"/>
  <c r="CD918" i="6" s="1"/>
  <c r="BV918" i="6"/>
  <c r="CC57" i="6"/>
  <c r="CB57" i="6"/>
  <c r="CF421" i="6"/>
  <c r="CE421" i="6" s="1"/>
  <c r="BB421" i="6"/>
  <c r="BV541" i="6"/>
  <c r="BW541" i="6"/>
  <c r="CB107" i="6"/>
  <c r="CC107" i="6"/>
  <c r="BV875" i="6"/>
  <c r="CF875" i="6"/>
  <c r="CE875" i="6" s="1"/>
  <c r="BW875" i="6"/>
  <c r="BB863" i="6"/>
  <c r="CF863" i="6"/>
  <c r="CE863" i="6" s="1"/>
  <c r="CC241" i="6"/>
  <c r="CD241" i="6" s="1"/>
  <c r="CB241" i="6"/>
  <c r="CH241" i="6" s="1"/>
  <c r="CG241" i="6" s="1"/>
  <c r="BO637" i="6"/>
  <c r="BP637" i="6"/>
  <c r="BH896" i="6"/>
  <c r="BI896" i="6"/>
  <c r="CF788" i="6"/>
  <c r="CE788" i="6" s="1"/>
  <c r="CB788" i="6"/>
  <c r="CC788" i="6"/>
  <c r="BV895" i="6"/>
  <c r="BW895" i="6"/>
  <c r="CD895" i="6" s="1"/>
  <c r="CF830" i="6"/>
  <c r="CE830" i="6" s="1"/>
  <c r="BB830" i="6"/>
  <c r="CF699" i="6"/>
  <c r="CE699" i="6" s="1"/>
  <c r="CD699" i="6"/>
  <c r="BB699" i="6"/>
  <c r="CH699" i="6" s="1"/>
  <c r="CG699" i="6" s="1"/>
  <c r="BV319" i="6"/>
  <c r="BW319" i="6"/>
  <c r="BI361" i="6"/>
  <c r="BH361" i="6"/>
  <c r="CC755" i="6"/>
  <c r="CB755" i="6"/>
  <c r="CB457" i="6"/>
  <c r="CC457" i="6"/>
  <c r="CF847" i="6"/>
  <c r="CE847" i="6" s="1"/>
  <c r="BB847" i="6"/>
  <c r="BV461" i="6"/>
  <c r="BW461" i="6"/>
  <c r="CF461" i="6"/>
  <c r="CE461" i="6" s="1"/>
  <c r="BB476" i="6"/>
  <c r="CF476" i="6"/>
  <c r="CE476" i="6" s="1"/>
  <c r="BB327" i="6"/>
  <c r="CF327" i="6"/>
  <c r="CE327" i="6" s="1"/>
  <c r="BV293" i="6"/>
  <c r="CH293" i="6" s="1"/>
  <c r="CG293" i="6" s="1"/>
  <c r="BW293" i="6"/>
  <c r="CC806" i="6"/>
  <c r="CB806" i="6"/>
  <c r="BW273" i="6"/>
  <c r="BV273" i="6"/>
  <c r="CC283" i="6"/>
  <c r="CB283" i="6"/>
  <c r="BW430" i="6"/>
  <c r="BV430" i="6"/>
  <c r="BV81" i="6"/>
  <c r="BW81" i="6"/>
  <c r="CF81" i="6"/>
  <c r="CE81" i="6" s="1"/>
  <c r="CF82" i="6"/>
  <c r="CE82" i="6" s="1"/>
  <c r="BW82" i="6"/>
  <c r="BV82" i="6"/>
  <c r="CC750" i="6"/>
  <c r="CB750" i="6"/>
  <c r="BB925" i="6"/>
  <c r="CF925" i="6"/>
  <c r="CE925" i="6" s="1"/>
  <c r="BV259" i="6"/>
  <c r="BW259" i="6"/>
  <c r="BW980" i="6"/>
  <c r="BV980" i="6"/>
  <c r="BW51" i="6"/>
  <c r="CD51" i="6" s="1"/>
  <c r="BV51" i="6"/>
  <c r="BW829" i="6"/>
  <c r="BV829" i="6"/>
  <c r="CB767" i="6"/>
  <c r="CC767" i="6"/>
  <c r="CD767" i="6" s="1"/>
  <c r="BB892" i="6"/>
  <c r="CF892" i="6"/>
  <c r="CE892" i="6" s="1"/>
  <c r="CF930" i="6"/>
  <c r="CE930" i="6" s="1"/>
  <c r="BB930" i="6"/>
  <c r="BV762" i="6"/>
  <c r="BW762" i="6"/>
  <c r="CB236" i="6"/>
  <c r="CC236" i="6"/>
  <c r="CC629" i="6"/>
  <c r="CB629" i="6"/>
  <c r="CC288" i="6"/>
  <c r="CB288" i="6"/>
  <c r="CB3" i="6"/>
  <c r="CC3" i="6"/>
  <c r="BW702" i="6"/>
  <c r="BV702" i="6"/>
  <c r="CB700" i="6"/>
  <c r="CH700" i="6" s="1"/>
  <c r="CG700" i="6" s="1"/>
  <c r="CC700" i="6"/>
  <c r="CD700" i="6" s="1"/>
  <c r="CF813" i="6"/>
  <c r="CE813" i="6" s="1"/>
  <c r="BB813" i="6"/>
  <c r="CH813" i="6" s="1"/>
  <c r="CG813" i="6" s="1"/>
  <c r="CF451" i="6"/>
  <c r="CE451" i="6" s="1"/>
  <c r="CC451" i="6"/>
  <c r="CB451" i="6"/>
  <c r="CH451" i="6" s="1"/>
  <c r="CG451" i="6" s="1"/>
  <c r="BW733" i="6"/>
  <c r="BV733" i="6"/>
  <c r="CF138" i="6"/>
  <c r="CE138" i="6" s="1"/>
  <c r="BV301" i="6"/>
  <c r="BW301" i="6"/>
  <c r="BW854" i="6"/>
  <c r="BV854" i="6"/>
  <c r="BV620" i="6"/>
  <c r="BW620" i="6"/>
  <c r="CB401" i="6"/>
  <c r="CC401" i="6"/>
  <c r="BB232" i="6"/>
  <c r="CF232" i="6"/>
  <c r="CE232" i="6" s="1"/>
  <c r="BW227" i="6"/>
  <c r="BV227" i="6"/>
  <c r="BB979" i="6"/>
  <c r="CF979" i="6"/>
  <c r="CE979" i="6" s="1"/>
  <c r="CB791" i="6"/>
  <c r="CC791" i="6"/>
  <c r="BV769" i="6"/>
  <c r="BW769" i="6"/>
  <c r="BW535" i="6"/>
  <c r="CD535" i="6" s="1"/>
  <c r="BV535" i="6"/>
  <c r="CH535" i="6" s="1"/>
  <c r="CG535" i="6" s="1"/>
  <c r="CB983" i="6"/>
  <c r="CC983" i="6"/>
  <c r="CB475" i="6"/>
  <c r="CC475" i="6"/>
  <c r="CF288" i="6"/>
  <c r="CE288" i="6" s="1"/>
  <c r="BB288" i="6"/>
  <c r="BV153" i="6"/>
  <c r="BW153" i="6"/>
  <c r="CB291" i="6"/>
  <c r="CC291" i="6"/>
  <c r="CC312" i="6"/>
  <c r="CB312" i="6"/>
  <c r="BV860" i="6"/>
  <c r="BW860" i="6"/>
  <c r="CF860" i="6"/>
  <c r="CE860" i="6" s="1"/>
  <c r="CB921" i="6"/>
  <c r="CC921" i="6"/>
  <c r="BW722" i="6"/>
  <c r="BV722" i="6"/>
  <c r="BB968" i="6"/>
  <c r="CF968" i="6"/>
  <c r="CE968" i="6" s="1"/>
  <c r="CC922" i="6"/>
  <c r="CB922" i="6"/>
  <c r="CF913" i="6"/>
  <c r="CE913" i="6" s="1"/>
  <c r="CF959" i="6"/>
  <c r="CE959" i="6" s="1"/>
  <c r="BB959" i="6"/>
  <c r="BW924" i="6"/>
  <c r="BV924" i="6"/>
  <c r="CF767" i="6"/>
  <c r="CE767" i="6" s="1"/>
  <c r="BB582" i="6"/>
  <c r="CF582" i="6"/>
  <c r="CE582" i="6" s="1"/>
  <c r="CB604" i="6"/>
  <c r="CC604" i="6"/>
  <c r="CB316" i="6"/>
  <c r="CC316" i="6"/>
  <c r="BV521" i="6"/>
  <c r="BW521" i="6"/>
  <c r="BB918" i="6"/>
  <c r="CF918" i="6"/>
  <c r="CE918" i="6" s="1"/>
  <c r="CB421" i="6"/>
  <c r="CC421" i="6"/>
  <c r="CB982" i="6"/>
  <c r="CC982" i="6"/>
  <c r="BV863" i="6"/>
  <c r="BW863" i="6"/>
  <c r="CB154" i="6"/>
  <c r="CC154" i="6"/>
  <c r="BW370" i="6"/>
  <c r="CD370" i="6" s="1"/>
  <c r="BV370" i="6"/>
  <c r="BW196" i="6"/>
  <c r="BV196" i="6"/>
  <c r="BV503" i="6"/>
  <c r="CH503" i="6" s="1"/>
  <c r="CG503" i="6" s="1"/>
  <c r="BW503" i="6"/>
  <c r="CD503" i="6" s="1"/>
  <c r="BV488" i="6"/>
  <c r="BW488" i="6"/>
  <c r="BB501" i="6"/>
  <c r="CH501" i="6" s="1"/>
  <c r="CG501" i="6" s="1"/>
  <c r="CF501" i="6"/>
  <c r="CE501" i="6" s="1"/>
  <c r="CD501" i="6"/>
  <c r="BB742" i="6"/>
  <c r="CF742" i="6"/>
  <c r="CE742" i="6" s="1"/>
  <c r="CB71" i="6"/>
  <c r="CC71" i="6"/>
  <c r="BV450" i="6"/>
  <c r="BW450" i="6"/>
  <c r="CC789" i="6"/>
  <c r="CB789" i="6"/>
  <c r="CB116" i="6"/>
  <c r="CC116" i="6"/>
  <c r="CF325" i="6"/>
  <c r="CE325" i="6" s="1"/>
  <c r="BB325" i="6"/>
  <c r="BB492" i="6"/>
  <c r="CF492" i="6"/>
  <c r="CE492" i="6" s="1"/>
  <c r="CB976" i="6"/>
  <c r="CC976" i="6"/>
  <c r="CB833" i="6"/>
  <c r="CC833" i="6"/>
  <c r="CD833" i="6" s="1"/>
  <c r="BB328" i="6"/>
  <c r="CF328" i="6"/>
  <c r="CE328" i="6" s="1"/>
  <c r="BV446" i="6"/>
  <c r="BW446" i="6"/>
  <c r="CC492" i="6"/>
  <c r="CB492" i="6"/>
  <c r="BV941" i="6"/>
  <c r="BW941" i="6"/>
  <c r="CD941" i="6" s="1"/>
  <c r="CF547" i="6"/>
  <c r="CE547" i="6" s="1"/>
  <c r="BB547" i="6"/>
  <c r="CB795" i="6"/>
  <c r="CC795" i="6"/>
  <c r="CB545" i="6"/>
  <c r="CC545" i="6"/>
  <c r="CC802" i="6"/>
  <c r="CB802" i="6"/>
  <c r="BV810" i="6"/>
  <c r="BW810" i="6"/>
  <c r="CF810" i="6"/>
  <c r="CE810" i="6" s="1"/>
  <c r="BW182" i="6"/>
  <c r="BV182" i="6"/>
  <c r="CF12" i="6"/>
  <c r="CE12" i="6" s="1"/>
  <c r="BV12" i="6"/>
  <c r="BW12" i="6"/>
  <c r="CF839" i="6"/>
  <c r="CE839" i="6" s="1"/>
  <c r="BB839" i="6"/>
  <c r="BB848" i="6"/>
  <c r="CB627" i="6"/>
  <c r="CC627" i="6"/>
  <c r="CD627" i="6" s="1"/>
  <c r="BB406" i="6"/>
  <c r="CF406" i="6"/>
  <c r="CE406" i="6" s="1"/>
  <c r="BW282" i="6"/>
  <c r="BV282" i="6"/>
  <c r="BV887" i="6"/>
  <c r="BW887" i="6"/>
  <c r="BV233" i="6"/>
  <c r="CF233" i="6"/>
  <c r="CE233" i="6" s="1"/>
  <c r="BW233" i="6"/>
  <c r="CC588" i="6"/>
  <c r="CD588" i="6" s="1"/>
  <c r="CB588" i="6"/>
  <c r="CH688" i="6"/>
  <c r="CG688" i="6" s="1"/>
  <c r="BV708" i="6"/>
  <c r="BW708" i="6"/>
  <c r="BV75" i="6"/>
  <c r="BW75" i="6"/>
  <c r="CD75" i="6" s="1"/>
  <c r="BW954" i="6"/>
  <c r="BV954" i="6"/>
  <c r="BV857" i="6"/>
  <c r="BW857" i="6"/>
  <c r="CB550" i="6"/>
  <c r="CC550" i="6"/>
  <c r="BB783" i="6"/>
  <c r="CF783" i="6"/>
  <c r="CE783" i="6" s="1"/>
  <c r="CC956" i="6"/>
  <c r="CB956" i="6"/>
  <c r="CC659" i="6"/>
  <c r="CB659" i="6"/>
  <c r="BV47" i="6"/>
  <c r="BW47" i="6"/>
  <c r="CD47" i="6" s="1"/>
  <c r="CB803" i="6"/>
  <c r="CC803" i="6"/>
  <c r="BW203" i="6"/>
  <c r="BV203" i="6"/>
  <c r="BW436" i="6"/>
  <c r="BV436" i="6"/>
  <c r="CF436" i="6"/>
  <c r="CE436" i="6" s="1"/>
  <c r="CB322" i="6"/>
  <c r="CC322" i="6"/>
  <c r="BW674" i="6"/>
  <c r="BV674" i="6"/>
  <c r="BW614" i="6"/>
  <c r="BV614" i="6"/>
  <c r="CF190" i="6"/>
  <c r="CE190" i="6" s="1"/>
  <c r="BB190" i="6"/>
  <c r="BW570" i="6"/>
  <c r="BV570" i="6"/>
  <c r="BB616" i="6"/>
  <c r="CF616" i="6"/>
  <c r="CE616" i="6" s="1"/>
  <c r="CC80" i="6"/>
  <c r="CB80" i="6"/>
  <c r="BW32" i="6"/>
  <c r="BV32" i="6"/>
  <c r="BV631" i="6"/>
  <c r="BW631" i="6"/>
  <c r="CB300" i="6"/>
  <c r="CC300" i="6"/>
  <c r="BW768" i="6"/>
  <c r="CD768" i="6" s="1"/>
  <c r="BV768" i="6"/>
  <c r="BV738" i="6"/>
  <c r="BW738" i="6"/>
  <c r="BV170" i="6"/>
  <c r="BW170" i="6"/>
  <c r="CB917" i="6"/>
  <c r="CC917" i="6"/>
  <c r="BW95" i="6"/>
  <c r="BV95" i="6"/>
  <c r="BB908" i="6"/>
  <c r="CF908" i="6"/>
  <c r="CE908" i="6" s="1"/>
  <c r="BW803" i="6"/>
  <c r="BV803" i="6"/>
  <c r="BB748" i="6"/>
  <c r="CF748" i="6"/>
  <c r="CE748" i="6" s="1"/>
  <c r="BV64" i="6"/>
  <c r="BW64" i="6"/>
  <c r="CC206" i="6"/>
  <c r="CB206" i="6"/>
  <c r="BB381" i="6"/>
  <c r="CB424" i="6"/>
  <c r="CC424" i="6"/>
  <c r="BV177" i="6"/>
  <c r="BW177" i="6"/>
  <c r="CB123" i="6"/>
  <c r="CC123" i="6"/>
  <c r="CC204" i="6"/>
  <c r="CB204" i="6"/>
  <c r="BW298" i="6"/>
  <c r="BV298" i="6"/>
  <c r="CF17" i="6"/>
  <c r="CE17" i="6" s="1"/>
  <c r="BB17" i="6"/>
  <c r="CB668" i="6"/>
  <c r="CC668" i="6"/>
  <c r="BV405" i="6"/>
  <c r="BW405" i="6"/>
  <c r="CD405" i="6" s="1"/>
  <c r="CC531" i="6"/>
  <c r="CD531" i="6" s="1"/>
  <c r="CB531" i="6"/>
  <c r="BB940" i="6"/>
  <c r="CF940" i="6"/>
  <c r="CE940" i="6" s="1"/>
  <c r="CB43" i="6"/>
  <c r="CC43" i="6"/>
  <c r="BB390" i="6"/>
  <c r="CF390" i="6"/>
  <c r="CE390" i="6" s="1"/>
  <c r="CF967" i="6"/>
  <c r="CE967" i="6" s="1"/>
  <c r="BV967" i="6"/>
  <c r="BW967" i="6"/>
  <c r="CC371" i="6"/>
  <c r="CD371" i="6" s="1"/>
  <c r="CB371" i="6"/>
  <c r="BW613" i="6"/>
  <c r="CF613" i="6"/>
  <c r="CE613" i="6" s="1"/>
  <c r="BV613" i="6"/>
  <c r="BW739" i="6"/>
  <c r="BV739" i="6"/>
  <c r="BB753" i="6"/>
  <c r="CF753" i="6"/>
  <c r="CE753" i="6" s="1"/>
  <c r="BW664" i="6"/>
  <c r="BV664" i="6"/>
  <c r="BW257" i="6"/>
  <c r="CD257" i="6" s="1"/>
  <c r="BV257" i="6"/>
  <c r="CH257" i="6" s="1"/>
  <c r="CG257" i="6" s="1"/>
  <c r="CC186" i="6"/>
  <c r="CB186" i="6"/>
  <c r="CC942" i="6"/>
  <c r="CB942" i="6"/>
  <c r="CC129" i="6"/>
  <c r="CD129" i="6" s="1"/>
  <c r="CB129" i="6"/>
  <c r="BB425" i="6"/>
  <c r="CF425" i="6"/>
  <c r="CE425" i="6" s="1"/>
  <c r="BV760" i="6"/>
  <c r="BW760" i="6"/>
  <c r="BW150" i="6"/>
  <c r="BV150" i="6"/>
  <c r="CB505" i="6"/>
  <c r="CC505" i="6"/>
  <c r="BB13" i="6"/>
  <c r="CF13" i="6"/>
  <c r="CE13" i="6" s="1"/>
  <c r="CB532" i="6"/>
  <c r="CC532" i="6"/>
  <c r="CD532" i="6" s="1"/>
  <c r="BW651" i="6"/>
  <c r="CD651" i="6" s="1"/>
  <c r="BV651" i="6"/>
  <c r="CB574" i="6"/>
  <c r="CC574" i="6"/>
  <c r="CF808" i="6"/>
  <c r="CE808" i="6" s="1"/>
  <c r="CC808" i="6"/>
  <c r="CB808" i="6"/>
  <c r="BB560" i="6"/>
  <c r="CF560" i="6"/>
  <c r="CE560" i="6" s="1"/>
  <c r="BW260" i="6"/>
  <c r="CD260" i="6" s="1"/>
  <c r="BV260" i="6"/>
  <c r="BV650" i="6"/>
  <c r="BW650" i="6"/>
  <c r="CC277" i="6"/>
  <c r="CB277" i="6"/>
  <c r="CB383" i="6"/>
  <c r="CC383" i="6"/>
  <c r="CC361" i="6"/>
  <c r="CB361" i="6"/>
  <c r="CF341" i="6"/>
  <c r="CE341" i="6" s="1"/>
  <c r="BB341" i="6"/>
  <c r="CB594" i="6"/>
  <c r="CC594" i="6"/>
  <c r="CD594" i="6" s="1"/>
  <c r="BB507" i="6"/>
  <c r="CF507" i="6"/>
  <c r="CE507" i="6" s="1"/>
  <c r="CC747" i="6"/>
  <c r="CB747" i="6"/>
  <c r="CB166" i="6"/>
  <c r="CC166" i="6"/>
  <c r="BB466" i="6"/>
  <c r="CF466" i="6"/>
  <c r="CE466" i="6" s="1"/>
  <c r="CF938" i="6"/>
  <c r="CE938" i="6" s="1"/>
  <c r="BW938" i="6"/>
  <c r="CD938" i="6" s="1"/>
  <c r="BV938" i="6"/>
  <c r="CH938" i="6" s="1"/>
  <c r="CG938" i="6" s="1"/>
  <c r="CC655" i="6"/>
  <c r="CD655" i="6" s="1"/>
  <c r="CB655" i="6"/>
  <c r="BB937" i="6"/>
  <c r="CF937" i="6"/>
  <c r="CE937" i="6" s="1"/>
  <c r="BW856" i="6"/>
  <c r="BV856" i="6"/>
  <c r="BW74" i="6"/>
  <c r="CD74" i="6" s="1"/>
  <c r="BV74" i="6"/>
  <c r="CH74" i="6" s="1"/>
  <c r="CG74" i="6" s="1"/>
  <c r="BV923" i="6"/>
  <c r="BW923" i="6"/>
  <c r="BB506" i="6"/>
  <c r="CF506" i="6"/>
  <c r="CE506" i="6" s="1"/>
  <c r="BV707" i="6"/>
  <c r="BW707" i="6"/>
  <c r="CC345" i="6"/>
  <c r="CB345" i="6"/>
  <c r="CB957" i="6"/>
  <c r="CC957" i="6"/>
  <c r="CD957" i="6" s="1"/>
  <c r="CF106" i="6"/>
  <c r="CE106" i="6" s="1"/>
  <c r="BB106" i="6"/>
  <c r="CC473" i="6"/>
  <c r="CB473" i="6"/>
  <c r="BV873" i="6"/>
  <c r="BW873" i="6"/>
  <c r="CC140" i="6"/>
  <c r="CB140" i="6"/>
  <c r="BW351" i="6"/>
  <c r="BV351" i="6"/>
  <c r="BV746" i="6"/>
  <c r="BW746" i="6"/>
  <c r="BW274" i="6"/>
  <c r="BV274" i="6"/>
  <c r="BV797" i="6"/>
  <c r="BW797" i="6"/>
  <c r="BW645" i="6"/>
  <c r="BV645" i="6"/>
  <c r="CC347" i="6"/>
  <c r="CB347" i="6"/>
  <c r="CC928" i="6"/>
  <c r="CB928" i="6"/>
  <c r="BB145" i="6"/>
  <c r="CF145" i="6"/>
  <c r="CE145" i="6" s="1"/>
  <c r="CB849" i="6"/>
  <c r="CC849" i="6"/>
  <c r="CB263" i="6"/>
  <c r="CC263" i="6"/>
  <c r="CC665" i="6"/>
  <c r="CB665" i="6"/>
  <c r="CC147" i="6"/>
  <c r="CB147" i="6"/>
  <c r="BP227" i="6"/>
  <c r="BO227" i="6"/>
  <c r="BH372" i="6"/>
  <c r="BI372" i="6"/>
  <c r="CF130" i="6"/>
  <c r="CE130" i="6" s="1"/>
  <c r="BW130" i="6"/>
  <c r="BV130" i="6"/>
  <c r="BV533" i="6"/>
  <c r="BW533" i="6"/>
  <c r="BV742" i="6"/>
  <c r="BW742" i="6"/>
  <c r="CD742" i="6" s="1"/>
  <c r="CF450" i="6"/>
  <c r="CE450" i="6" s="1"/>
  <c r="BB450" i="6"/>
  <c r="BW789" i="6"/>
  <c r="BV789" i="6"/>
  <c r="BV802" i="6"/>
  <c r="BW802" i="6"/>
  <c r="BB725" i="6"/>
  <c r="CF725" i="6"/>
  <c r="CE725" i="6" s="1"/>
  <c r="CB914" i="6"/>
  <c r="CC914" i="6"/>
  <c r="BV492" i="6"/>
  <c r="BW492" i="6"/>
  <c r="CF548" i="6"/>
  <c r="CE548" i="6" s="1"/>
  <c r="BB548" i="6"/>
  <c r="BW547" i="6"/>
  <c r="CD547" i="6" s="1"/>
  <c r="BV547" i="6"/>
  <c r="BV118" i="6"/>
  <c r="BW118" i="6"/>
  <c r="BV545" i="6"/>
  <c r="CF545" i="6"/>
  <c r="CE545" i="6" s="1"/>
  <c r="BW545" i="6"/>
  <c r="BV831" i="6"/>
  <c r="BW831" i="6"/>
  <c r="CC810" i="6"/>
  <c r="CB810" i="6"/>
  <c r="CF55" i="6"/>
  <c r="CE55" i="6" s="1"/>
  <c r="BB55" i="6"/>
  <c r="BW897" i="6"/>
  <c r="BV897" i="6"/>
  <c r="CC12" i="6"/>
  <c r="CB12" i="6"/>
  <c r="BV178" i="6"/>
  <c r="BW178" i="6"/>
  <c r="CB848" i="6"/>
  <c r="CC848" i="6"/>
  <c r="CF337" i="6"/>
  <c r="CE337" i="6" s="1"/>
  <c r="BB337" i="6"/>
  <c r="BV406" i="6"/>
  <c r="BW406" i="6"/>
  <c r="CD406" i="6" s="1"/>
  <c r="CB282" i="6"/>
  <c r="CC282" i="6"/>
  <c r="CB887" i="6"/>
  <c r="CC887" i="6"/>
  <c r="CB357" i="6"/>
  <c r="CC357" i="6"/>
  <c r="BB588" i="6"/>
  <c r="CF588" i="6"/>
  <c r="CE588" i="6" s="1"/>
  <c r="CB743" i="6"/>
  <c r="CC743" i="6"/>
  <c r="CF708" i="6"/>
  <c r="CE708" i="6" s="1"/>
  <c r="BB708" i="6"/>
  <c r="BB75" i="6"/>
  <c r="CF75" i="6"/>
  <c r="CE75" i="6" s="1"/>
  <c r="BB857" i="6"/>
  <c r="CF857" i="6"/>
  <c r="CE857" i="6" s="1"/>
  <c r="CC844" i="6"/>
  <c r="CB844" i="6"/>
  <c r="CC609" i="6"/>
  <c r="CB609" i="6"/>
  <c r="BW433" i="6"/>
  <c r="BV433" i="6"/>
  <c r="BV222" i="6"/>
  <c r="BW222" i="6"/>
  <c r="CD222" i="6" s="1"/>
  <c r="CF132" i="6"/>
  <c r="CE132" i="6" s="1"/>
  <c r="CB132" i="6"/>
  <c r="CH132" i="6" s="1"/>
  <c r="CG132" i="6" s="1"/>
  <c r="CC132" i="6"/>
  <c r="CB393" i="6"/>
  <c r="CC393" i="6"/>
  <c r="BB203" i="6"/>
  <c r="CF203" i="6"/>
  <c r="CE203" i="6" s="1"/>
  <c r="CB276" i="6"/>
  <c r="CC276" i="6"/>
  <c r="BB374" i="6"/>
  <c r="CF374" i="6"/>
  <c r="CE374" i="6" s="1"/>
  <c r="CB453" i="6"/>
  <c r="CC453" i="6"/>
  <c r="CC674" i="6"/>
  <c r="CB674" i="6"/>
  <c r="CB614" i="6"/>
  <c r="CC614" i="6"/>
  <c r="CC358" i="6"/>
  <c r="CB358" i="6"/>
  <c r="BB570" i="6"/>
  <c r="CF570" i="6"/>
  <c r="CE570" i="6" s="1"/>
  <c r="CB616" i="6"/>
  <c r="CC616" i="6"/>
  <c r="BB80" i="6"/>
  <c r="BV910" i="6"/>
  <c r="BW910" i="6"/>
  <c r="BB631" i="6"/>
  <c r="CF631" i="6"/>
  <c r="CE631" i="6" s="1"/>
  <c r="BW68" i="6"/>
  <c r="BV68" i="6"/>
  <c r="CC600" i="6"/>
  <c r="CB600" i="6"/>
  <c r="BB738" i="6"/>
  <c r="CF738" i="6"/>
  <c r="CE738" i="6" s="1"/>
  <c r="CC170" i="6"/>
  <c r="CB170" i="6"/>
  <c r="BB917" i="6"/>
  <c r="CF917" i="6"/>
  <c r="CE917" i="6" s="1"/>
  <c r="CC908" i="6"/>
  <c r="CB908" i="6"/>
  <c r="BV546" i="6"/>
  <c r="BW546" i="6"/>
  <c r="BB803" i="6"/>
  <c r="CF803" i="6"/>
  <c r="CE803" i="6" s="1"/>
  <c r="BW468" i="6"/>
  <c r="BV468" i="6"/>
  <c r="BW639" i="6"/>
  <c r="BV639" i="6"/>
  <c r="CC542" i="6"/>
  <c r="CB542" i="6"/>
  <c r="BV943" i="6"/>
  <c r="BW943" i="6"/>
  <c r="BB131" i="6"/>
  <c r="CF131" i="6"/>
  <c r="CE131" i="6" s="1"/>
  <c r="CB882" i="6"/>
  <c r="CC882" i="6"/>
  <c r="CD882" i="6" s="1"/>
  <c r="BV424" i="6"/>
  <c r="BW424" i="6"/>
  <c r="BB936" i="6"/>
  <c r="BW204" i="6"/>
  <c r="BV204" i="6"/>
  <c r="CC512" i="6"/>
  <c r="CB512" i="6"/>
  <c r="CC17" i="6"/>
  <c r="CD17" i="6" s="1"/>
  <c r="CB17" i="6"/>
  <c r="BB668" i="6"/>
  <c r="CF668" i="6"/>
  <c r="CE668" i="6" s="1"/>
  <c r="BB435" i="6"/>
  <c r="CF435" i="6"/>
  <c r="CE435" i="6" s="1"/>
  <c r="BB405" i="6"/>
  <c r="CF405" i="6"/>
  <c r="CE405" i="6" s="1"/>
  <c r="BV678" i="6"/>
  <c r="BW678" i="6"/>
  <c r="CC940" i="6"/>
  <c r="CD940" i="6" s="1"/>
  <c r="CB940" i="6"/>
  <c r="CF43" i="6"/>
  <c r="CE43" i="6" s="1"/>
  <c r="BB43" i="6"/>
  <c r="BW429" i="6"/>
  <c r="BV429" i="6"/>
  <c r="CB390" i="6"/>
  <c r="CC390" i="6"/>
  <c r="CC967" i="6"/>
  <c r="CB967" i="6"/>
  <c r="BB286" i="6"/>
  <c r="CF286" i="6"/>
  <c r="CE286" i="6" s="1"/>
  <c r="CC613" i="6"/>
  <c r="CB613" i="6"/>
  <c r="BW369" i="6"/>
  <c r="BV369" i="6"/>
  <c r="CB753" i="6"/>
  <c r="CC753" i="6"/>
  <c r="CD753" i="6" s="1"/>
  <c r="BV636" i="6"/>
  <c r="BW636" i="6"/>
  <c r="CD636" i="6" s="1"/>
  <c r="BW186" i="6"/>
  <c r="BV186" i="6"/>
  <c r="BV946" i="6"/>
  <c r="BW946" i="6"/>
  <c r="BW425" i="6"/>
  <c r="CD425" i="6" s="1"/>
  <c r="BV425" i="6"/>
  <c r="BW919" i="6"/>
  <c r="BV919" i="6"/>
  <c r="CC937" i="6"/>
  <c r="CD937" i="6" s="1"/>
  <c r="CB937" i="6"/>
  <c r="CF919" i="6"/>
  <c r="CE919" i="6" s="1"/>
  <c r="BV199" i="6"/>
  <c r="BW199" i="6"/>
  <c r="CD199" i="6" s="1"/>
  <c r="CB441" i="6"/>
  <c r="CC441" i="6"/>
  <c r="CF556" i="6"/>
  <c r="CE556" i="6" s="1"/>
  <c r="BV556" i="6"/>
  <c r="CH556" i="6" s="1"/>
  <c r="CG556" i="6" s="1"/>
  <c r="CF532" i="6"/>
  <c r="CE532" i="6" s="1"/>
  <c r="BB532" i="6"/>
  <c r="CF78" i="6"/>
  <c r="CE78" i="6" s="1"/>
  <c r="BB78" i="6"/>
  <c r="BV574" i="6"/>
  <c r="BW574" i="6"/>
  <c r="CF574" i="6"/>
  <c r="CE574" i="6" s="1"/>
  <c r="BV808" i="6"/>
  <c r="BW808" i="6"/>
  <c r="CC689" i="6"/>
  <c r="CB689" i="6"/>
  <c r="BB260" i="6"/>
  <c r="CF260" i="6"/>
  <c r="CE260" i="6" s="1"/>
  <c r="CC650" i="6"/>
  <c r="CB650" i="6"/>
  <c r="BB134" i="6"/>
  <c r="CF134" i="6"/>
  <c r="CE134" i="6" s="1"/>
  <c r="BB594" i="6"/>
  <c r="CF989" i="6"/>
  <c r="CE989" i="6" s="1"/>
  <c r="CC989" i="6"/>
  <c r="CB989" i="6"/>
  <c r="BV747" i="6"/>
  <c r="BW747" i="6"/>
  <c r="CC172" i="6"/>
  <c r="CB172" i="6"/>
  <c r="BV122" i="6"/>
  <c r="BW122" i="6"/>
  <c r="CB630" i="6"/>
  <c r="CC630" i="6"/>
  <c r="BV44" i="6"/>
  <c r="CH44" i="6" s="1"/>
  <c r="CG44" i="6" s="1"/>
  <c r="CF44" i="6"/>
  <c r="CE44" i="6" s="1"/>
  <c r="BW44" i="6"/>
  <c r="CD44" i="6" s="1"/>
  <c r="CF150" i="6"/>
  <c r="CE150" i="6" s="1"/>
  <c r="CC923" i="6"/>
  <c r="CB923" i="6"/>
  <c r="BW506" i="6"/>
  <c r="BV506" i="6"/>
  <c r="CC106" i="6"/>
  <c r="CB106" i="6"/>
  <c r="CF473" i="6"/>
  <c r="CE473" i="6" s="1"/>
  <c r="BB473" i="6"/>
  <c r="BW948" i="6"/>
  <c r="BV948" i="6"/>
  <c r="BV140" i="6"/>
  <c r="BW140" i="6"/>
  <c r="BB351" i="6"/>
  <c r="CF351" i="6"/>
  <c r="CE351" i="6" s="1"/>
  <c r="CF122" i="6"/>
  <c r="CE122" i="6" s="1"/>
  <c r="CC274" i="6"/>
  <c r="CB274" i="6"/>
  <c r="CC645" i="6"/>
  <c r="CB645" i="6"/>
  <c r="BW347" i="6"/>
  <c r="BV347" i="6"/>
  <c r="BW484" i="6"/>
  <c r="BV484" i="6"/>
  <c r="CB145" i="6"/>
  <c r="CC145" i="6"/>
  <c r="BW849" i="6"/>
  <c r="BV849" i="6"/>
  <c r="BB346" i="6"/>
  <c r="CF346" i="6"/>
  <c r="CE346" i="6" s="1"/>
  <c r="BW665" i="6"/>
  <c r="BV665" i="6"/>
  <c r="CF665" i="6"/>
  <c r="CE665" i="6" s="1"/>
  <c r="BV568" i="6"/>
  <c r="BW568" i="6"/>
  <c r="BV147" i="6"/>
  <c r="BW147" i="6"/>
  <c r="CF147" i="6"/>
  <c r="CE147" i="6" s="1"/>
  <c r="BP372" i="6"/>
  <c r="BO372" i="6"/>
  <c r="BB130" i="6"/>
  <c r="CB987" i="6"/>
  <c r="CC987" i="6"/>
  <c r="CB533" i="6"/>
  <c r="CC533" i="6"/>
  <c r="CC111" i="6"/>
  <c r="CB111" i="6"/>
  <c r="BV597" i="6"/>
  <c r="CH597" i="6" s="1"/>
  <c r="CG597" i="6" s="1"/>
  <c r="BW597" i="6"/>
  <c r="CD597" i="6" s="1"/>
  <c r="CB450" i="6"/>
  <c r="CC450" i="6"/>
  <c r="CB667" i="6"/>
  <c r="CC667" i="6"/>
  <c r="CF183" i="6"/>
  <c r="CE183" i="6" s="1"/>
  <c r="BV183" i="6"/>
  <c r="BW183" i="6"/>
  <c r="CD183" i="6" s="1"/>
  <c r="BB907" i="6"/>
  <c r="CF907" i="6"/>
  <c r="CE907" i="6" s="1"/>
  <c r="CF4" i="6"/>
  <c r="CE4" i="6" s="1"/>
  <c r="CB4" i="6"/>
  <c r="CH4" i="6" s="1"/>
  <c r="CG4" i="6" s="1"/>
  <c r="CC4" i="6"/>
  <c r="CD4" i="6" s="1"/>
  <c r="CB198" i="6"/>
  <c r="CC198" i="6"/>
  <c r="BV238" i="6"/>
  <c r="BW238" i="6"/>
  <c r="BW508" i="6"/>
  <c r="BV508" i="6"/>
  <c r="CC548" i="6"/>
  <c r="CD548" i="6" s="1"/>
  <c r="CB548" i="6"/>
  <c r="BB105" i="6"/>
  <c r="CC831" i="6"/>
  <c r="CB831" i="6"/>
  <c r="BB845" i="6"/>
  <c r="CF845" i="6"/>
  <c r="CE845" i="6" s="1"/>
  <c r="BW296" i="6"/>
  <c r="BV296" i="6"/>
  <c r="CB55" i="6"/>
  <c r="CC55" i="6"/>
  <c r="CB897" i="6"/>
  <c r="CC897" i="6"/>
  <c r="BB557" i="6"/>
  <c r="CB178" i="6"/>
  <c r="CC178" i="6"/>
  <c r="BW970" i="6"/>
  <c r="BV970" i="6"/>
  <c r="CC337" i="6"/>
  <c r="CD337" i="6" s="1"/>
  <c r="CB337" i="6"/>
  <c r="CF365" i="6"/>
  <c r="CE365" i="6" s="1"/>
  <c r="BB365" i="6"/>
  <c r="BW676" i="6"/>
  <c r="BV676" i="6"/>
  <c r="CB189" i="6"/>
  <c r="CC189" i="6"/>
  <c r="BV357" i="6"/>
  <c r="BW357" i="6"/>
  <c r="BV583" i="6"/>
  <c r="BW583" i="6"/>
  <c r="BW743" i="6"/>
  <c r="CF743" i="6"/>
  <c r="CE743" i="6" s="1"/>
  <c r="BV743" i="6"/>
  <c r="CC708" i="6"/>
  <c r="CB708" i="6"/>
  <c r="CB31" i="6"/>
  <c r="CC31" i="6"/>
  <c r="CC303" i="6"/>
  <c r="CD303" i="6" s="1"/>
  <c r="CB303" i="6"/>
  <c r="CH303" i="6" s="1"/>
  <c r="CG303" i="6" s="1"/>
  <c r="CB857" i="6"/>
  <c r="CC857" i="6"/>
  <c r="BV609" i="6"/>
  <c r="CF609" i="6"/>
  <c r="CE609" i="6" s="1"/>
  <c r="BW609" i="6"/>
  <c r="CC783" i="6"/>
  <c r="CD783" i="6" s="1"/>
  <c r="CB783" i="6"/>
  <c r="CC433" i="6"/>
  <c r="CB433" i="6"/>
  <c r="BB222" i="6"/>
  <c r="CF222" i="6"/>
  <c r="CE222" i="6" s="1"/>
  <c r="CF182" i="6"/>
  <c r="CE182" i="6" s="1"/>
  <c r="CF276" i="6"/>
  <c r="CE276" i="6" s="1"/>
  <c r="BW276" i="6"/>
  <c r="BV276" i="6"/>
  <c r="CC374" i="6"/>
  <c r="CB374" i="6"/>
  <c r="BV453" i="6"/>
  <c r="CF453" i="6"/>
  <c r="CE453" i="6" s="1"/>
  <c r="BW453" i="6"/>
  <c r="CB363" i="6"/>
  <c r="CC363" i="6"/>
  <c r="BV137" i="6"/>
  <c r="BW137" i="6"/>
  <c r="BV358" i="6"/>
  <c r="BW358" i="6"/>
  <c r="CF358" i="6"/>
  <c r="CE358" i="6" s="1"/>
  <c r="BB603" i="6"/>
  <c r="CF603" i="6"/>
  <c r="CE603" i="6" s="1"/>
  <c r="CB35" i="6"/>
  <c r="CC35" i="6"/>
  <c r="CB910" i="6"/>
  <c r="CC910" i="6"/>
  <c r="CC68" i="6"/>
  <c r="CB68" i="6"/>
  <c r="BV600" i="6"/>
  <c r="CF600" i="6"/>
  <c r="CE600" i="6" s="1"/>
  <c r="BW600" i="6"/>
  <c r="CC738" i="6"/>
  <c r="CB738" i="6"/>
  <c r="CC20" i="6"/>
  <c r="CB20" i="6"/>
  <c r="CC703" i="6"/>
  <c r="CB703" i="6"/>
  <c r="BW309" i="6"/>
  <c r="BV309" i="6"/>
  <c r="CB165" i="6"/>
  <c r="CC165" i="6"/>
  <c r="BV908" i="6"/>
  <c r="BW908" i="6"/>
  <c r="BW109" i="6"/>
  <c r="BV109" i="6"/>
  <c r="BB518" i="6"/>
  <c r="CD518" i="6"/>
  <c r="CB468" i="6"/>
  <c r="CC468" i="6"/>
  <c r="BV542" i="6"/>
  <c r="CF542" i="6"/>
  <c r="CE542" i="6" s="1"/>
  <c r="BW542" i="6"/>
  <c r="BB943" i="6"/>
  <c r="CF943" i="6"/>
  <c r="CE943" i="6" s="1"/>
  <c r="BV131" i="6"/>
  <c r="BW131" i="6"/>
  <c r="CD131" i="6" s="1"/>
  <c r="BB882" i="6"/>
  <c r="CF882" i="6"/>
  <c r="CE882" i="6" s="1"/>
  <c r="BW936" i="6"/>
  <c r="BV936" i="6"/>
  <c r="BW297" i="6"/>
  <c r="BV297" i="6"/>
  <c r="CF297" i="6"/>
  <c r="CE297" i="6" s="1"/>
  <c r="BB512" i="6"/>
  <c r="CF512" i="6"/>
  <c r="CE512" i="6" s="1"/>
  <c r="CC91" i="6"/>
  <c r="CD91" i="6" s="1"/>
  <c r="CB91" i="6"/>
  <c r="CC553" i="6"/>
  <c r="CB553" i="6"/>
  <c r="BW435" i="6"/>
  <c r="CD435" i="6" s="1"/>
  <c r="BV435" i="6"/>
  <c r="CB678" i="6"/>
  <c r="CC678" i="6"/>
  <c r="BV850" i="6"/>
  <c r="BW850" i="6"/>
  <c r="CD850" i="6" s="1"/>
  <c r="BW824" i="6"/>
  <c r="CF824" i="6"/>
  <c r="CE824" i="6" s="1"/>
  <c r="BV824" i="6"/>
  <c r="BV390" i="6"/>
  <c r="BW390" i="6"/>
  <c r="BV286" i="6"/>
  <c r="BW286" i="6"/>
  <c r="CD286" i="6" s="1"/>
  <c r="BB369" i="6"/>
  <c r="CC692" i="6"/>
  <c r="CD692" i="6" s="1"/>
  <c r="CB692" i="6"/>
  <c r="BB636" i="6"/>
  <c r="CF636" i="6"/>
  <c r="CE636" i="6" s="1"/>
  <c r="BW728" i="6"/>
  <c r="CD728" i="6" s="1"/>
  <c r="BV728" i="6"/>
  <c r="BW811" i="6"/>
  <c r="BV811" i="6"/>
  <c r="CB919" i="6"/>
  <c r="CC919" i="6"/>
  <c r="CF105" i="6"/>
  <c r="CE105" i="6" s="1"/>
  <c r="CB24" i="6"/>
  <c r="CC24" i="6"/>
  <c r="BV359" i="6"/>
  <c r="BW359" i="6"/>
  <c r="CF199" i="6"/>
  <c r="CE199" i="6" s="1"/>
  <c r="BB199" i="6"/>
  <c r="BV441" i="6"/>
  <c r="CF441" i="6"/>
  <c r="CE441" i="6" s="1"/>
  <c r="BW441" i="6"/>
  <c r="BV736" i="6"/>
  <c r="BW736" i="6"/>
  <c r="CB78" i="6"/>
  <c r="CC78" i="6"/>
  <c r="CD78" i="6" s="1"/>
  <c r="BB41" i="6"/>
  <c r="CF41" i="6"/>
  <c r="CE41" i="6" s="1"/>
  <c r="BB654" i="6"/>
  <c r="CF654" i="6"/>
  <c r="CE654" i="6" s="1"/>
  <c r="BW689" i="6"/>
  <c r="BV689" i="6"/>
  <c r="BV63" i="6"/>
  <c r="BW63" i="6"/>
  <c r="CD63" i="6" s="1"/>
  <c r="BW615" i="6"/>
  <c r="BV615" i="6"/>
  <c r="CF879" i="6"/>
  <c r="CE879" i="6" s="1"/>
  <c r="BB879" i="6"/>
  <c r="BV134" i="6"/>
  <c r="BW134" i="6"/>
  <c r="CB333" i="6"/>
  <c r="CC333" i="6"/>
  <c r="BV579" i="6"/>
  <c r="BW579" i="6"/>
  <c r="CF579" i="6"/>
  <c r="CE579" i="6" s="1"/>
  <c r="BW989" i="6"/>
  <c r="BV989" i="6"/>
  <c r="BB747" i="6"/>
  <c r="BW172" i="6"/>
  <c r="BV172" i="6"/>
  <c r="CB122" i="6"/>
  <c r="CC122" i="6"/>
  <c r="CB730" i="6"/>
  <c r="CH730" i="6" s="1"/>
  <c r="CG730" i="6" s="1"/>
  <c r="CC730" i="6"/>
  <c r="CD730" i="6" s="1"/>
  <c r="CF480" i="6"/>
  <c r="CE480" i="6" s="1"/>
  <c r="BB480" i="6"/>
  <c r="CF605" i="6"/>
  <c r="CE605" i="6" s="1"/>
  <c r="BV605" i="6"/>
  <c r="BW605" i="6"/>
  <c r="CC506" i="6"/>
  <c r="CB506" i="6"/>
  <c r="BB957" i="6"/>
  <c r="BW473" i="6"/>
  <c r="BV473" i="6"/>
  <c r="BB948" i="6"/>
  <c r="CF948" i="6"/>
  <c r="CE948" i="6" s="1"/>
  <c r="BW735" i="6"/>
  <c r="BV735" i="6"/>
  <c r="CC351" i="6"/>
  <c r="CB351" i="6"/>
  <c r="BV865" i="6"/>
  <c r="BW865" i="6"/>
  <c r="CB484" i="6"/>
  <c r="CC484" i="6"/>
  <c r="CB413" i="6"/>
  <c r="CC413" i="6"/>
  <c r="BW145" i="6"/>
  <c r="BV145" i="6"/>
  <c r="BB849" i="6"/>
  <c r="CF849" i="6"/>
  <c r="CE849" i="6" s="1"/>
  <c r="CB346" i="6"/>
  <c r="CC346" i="6"/>
  <c r="BO539" i="6"/>
  <c r="BP539" i="6"/>
  <c r="CF539" i="6"/>
  <c r="CE539" i="6" s="1"/>
  <c r="BB489" i="6"/>
  <c r="CF489" i="6"/>
  <c r="CE489" i="6" s="1"/>
  <c r="CB568" i="6"/>
  <c r="CC568" i="6"/>
  <c r="BO86" i="6"/>
  <c r="CH86" i="6" s="1"/>
  <c r="CG86" i="6" s="1"/>
  <c r="BP86" i="6"/>
  <c r="CF987" i="6"/>
  <c r="CE987" i="6" s="1"/>
  <c r="BB987" i="6"/>
  <c r="CB364" i="6"/>
  <c r="CC364" i="6"/>
  <c r="BW111" i="6"/>
  <c r="CF111" i="6"/>
  <c r="CE111" i="6" s="1"/>
  <c r="BV111" i="6"/>
  <c r="CF635" i="6"/>
  <c r="CE635" i="6" s="1"/>
  <c r="BV635" i="6"/>
  <c r="BW635" i="6"/>
  <c r="BB868" i="6"/>
  <c r="CF868" i="6"/>
  <c r="CE868" i="6" s="1"/>
  <c r="BW667" i="6"/>
  <c r="BV667" i="6"/>
  <c r="BW772" i="6"/>
  <c r="CD772" i="6" s="1"/>
  <c r="CF772" i="6"/>
  <c r="CE772" i="6" s="1"/>
  <c r="BV772" i="6"/>
  <c r="BW169" i="6"/>
  <c r="CD169" i="6" s="1"/>
  <c r="BV169" i="6"/>
  <c r="CH169" i="6" s="1"/>
  <c r="CG169" i="6" s="1"/>
  <c r="BB633" i="6"/>
  <c r="CD633" i="6"/>
  <c r="CF633" i="6"/>
  <c r="CE633" i="6" s="1"/>
  <c r="CC181" i="6"/>
  <c r="CD181" i="6" s="1"/>
  <c r="CB181" i="6"/>
  <c r="BW984" i="6"/>
  <c r="BV984" i="6"/>
  <c r="BW272" i="6"/>
  <c r="BV272" i="6"/>
  <c r="CB105" i="6"/>
  <c r="CC105" i="6"/>
  <c r="CD105" i="6" s="1"/>
  <c r="CC845" i="6"/>
  <c r="CB845" i="6"/>
  <c r="BW55" i="6"/>
  <c r="BV55" i="6"/>
  <c r="BB669" i="6"/>
  <c r="CF669" i="6"/>
  <c r="CE669" i="6" s="1"/>
  <c r="CC557" i="6"/>
  <c r="CB557" i="6"/>
  <c r="BB87" i="6"/>
  <c r="CB606" i="6"/>
  <c r="CC606" i="6"/>
  <c r="BW365" i="6"/>
  <c r="BV365" i="6"/>
  <c r="CC676" i="6"/>
  <c r="CB676" i="6"/>
  <c r="BW189" i="6"/>
  <c r="BV189" i="6"/>
  <c r="CC642" i="6"/>
  <c r="CB642" i="6"/>
  <c r="CF79" i="6"/>
  <c r="CE79" i="6" s="1"/>
  <c r="CB79" i="6"/>
  <c r="CC79" i="6"/>
  <c r="BW31" i="6"/>
  <c r="CF31" i="6"/>
  <c r="CE31" i="6" s="1"/>
  <c r="BV31" i="6"/>
  <c r="BB973" i="6"/>
  <c r="CF973" i="6"/>
  <c r="CE973" i="6" s="1"/>
  <c r="BW713" i="6"/>
  <c r="CD713" i="6" s="1"/>
  <c r="BV713" i="6"/>
  <c r="CB581" i="6"/>
  <c r="CC581" i="6"/>
  <c r="CB93" i="6"/>
  <c r="CC93" i="6"/>
  <c r="BW956" i="6"/>
  <c r="BV956" i="6"/>
  <c r="BB433" i="6"/>
  <c r="CF433" i="6"/>
  <c r="CE433" i="6" s="1"/>
  <c r="CF984" i="6"/>
  <c r="CE984" i="6" s="1"/>
  <c r="BV374" i="6"/>
  <c r="BW374" i="6"/>
  <c r="BW338" i="6"/>
  <c r="BV338" i="6"/>
  <c r="CF338" i="6"/>
  <c r="CE338" i="6" s="1"/>
  <c r="BW363" i="6"/>
  <c r="BV363" i="6"/>
  <c r="CC962" i="6"/>
  <c r="CB962" i="6"/>
  <c r="CB137" i="6"/>
  <c r="CC137" i="6"/>
  <c r="CB643" i="6"/>
  <c r="CC643" i="6"/>
  <c r="CD643" i="6" s="1"/>
  <c r="CB462" i="6"/>
  <c r="CC462" i="6"/>
  <c r="BV603" i="6"/>
  <c r="BW603" i="6"/>
  <c r="CD603" i="6" s="1"/>
  <c r="BV35" i="6"/>
  <c r="BW35" i="6"/>
  <c r="BB910" i="6"/>
  <c r="CF910" i="6"/>
  <c r="CE910" i="6" s="1"/>
  <c r="CB576" i="6"/>
  <c r="CC576" i="6"/>
  <c r="CF68" i="6"/>
  <c r="CE68" i="6" s="1"/>
  <c r="BB68" i="6"/>
  <c r="BW898" i="6"/>
  <c r="BV898" i="6"/>
  <c r="CF898" i="6"/>
  <c r="CE898" i="6" s="1"/>
  <c r="BW20" i="6"/>
  <c r="BV20" i="6"/>
  <c r="BW703" i="6"/>
  <c r="CF703" i="6"/>
  <c r="CE703" i="6" s="1"/>
  <c r="BV703" i="6"/>
  <c r="BW393" i="6"/>
  <c r="BV393" i="6"/>
  <c r="BV697" i="6"/>
  <c r="BW697" i="6"/>
  <c r="CF109" i="6"/>
  <c r="CE109" i="6" s="1"/>
  <c r="BB109" i="6"/>
  <c r="BB469" i="6"/>
  <c r="CF469" i="6"/>
  <c r="CE469" i="6" s="1"/>
  <c r="BV836" i="6"/>
  <c r="BW836" i="6"/>
  <c r="CB64" i="6"/>
  <c r="CC64" i="6"/>
  <c r="CC943" i="6"/>
  <c r="CB943" i="6"/>
  <c r="CF381" i="6"/>
  <c r="CE381" i="6" s="1"/>
  <c r="BV381" i="6"/>
  <c r="BW381" i="6"/>
  <c r="CC213" i="6"/>
  <c r="CD213" i="6" s="1"/>
  <c r="CB213" i="6"/>
  <c r="CB936" i="6"/>
  <c r="CC936" i="6"/>
  <c r="BV202" i="6"/>
  <c r="BW202" i="6"/>
  <c r="CB297" i="6"/>
  <c r="CC297" i="6"/>
  <c r="BW59" i="6"/>
  <c r="CF59" i="6"/>
  <c r="CE59" i="6" s="1"/>
  <c r="BB91" i="6"/>
  <c r="CC400" i="6"/>
  <c r="CB400" i="6"/>
  <c r="BW617" i="6"/>
  <c r="BV617" i="6"/>
  <c r="BV727" i="6"/>
  <c r="BW727" i="6"/>
  <c r="BB850" i="6"/>
  <c r="CF850" i="6"/>
  <c r="CE850" i="6" s="1"/>
  <c r="CC824" i="6"/>
  <c r="CB824" i="6"/>
  <c r="CB977" i="6"/>
  <c r="CC977" i="6"/>
  <c r="BW152" i="6"/>
  <c r="BV152" i="6"/>
  <c r="BW477" i="6"/>
  <c r="BV477" i="6"/>
  <c r="BB61" i="6"/>
  <c r="CF61" i="6"/>
  <c r="CE61" i="6" s="1"/>
  <c r="CB912" i="6"/>
  <c r="CC912" i="6"/>
  <c r="BV53" i="6"/>
  <c r="BW53" i="6"/>
  <c r="CF53" i="6"/>
  <c r="CE53" i="6" s="1"/>
  <c r="CC434" i="6"/>
  <c r="CB434" i="6"/>
  <c r="BB728" i="6"/>
  <c r="CF728" i="6"/>
  <c r="CE728" i="6" s="1"/>
  <c r="CB214" i="6"/>
  <c r="CC214" i="6"/>
  <c r="BW881" i="6"/>
  <c r="CD881" i="6" s="1"/>
  <c r="BV881" i="6"/>
  <c r="BV988" i="6"/>
  <c r="BW988" i="6"/>
  <c r="CF946" i="6"/>
  <c r="CE946" i="6" s="1"/>
  <c r="BB946" i="6"/>
  <c r="CF503" i="6"/>
  <c r="CE503" i="6" s="1"/>
  <c r="CB13" i="6"/>
  <c r="CC13" i="6"/>
  <c r="CC621" i="6"/>
  <c r="CB621" i="6"/>
  <c r="CC736" i="6"/>
  <c r="CB736" i="6"/>
  <c r="BV30" i="6"/>
  <c r="BW30" i="6"/>
  <c r="CD30" i="6" s="1"/>
  <c r="BV41" i="6"/>
  <c r="BW41" i="6"/>
  <c r="BW654" i="6"/>
  <c r="CD654" i="6" s="1"/>
  <c r="BV654" i="6"/>
  <c r="CC799" i="6"/>
  <c r="CB799" i="6"/>
  <c r="CB392" i="6"/>
  <c r="CC392" i="6"/>
  <c r="BB63" i="6"/>
  <c r="CF63" i="6"/>
  <c r="CE63" i="6" s="1"/>
  <c r="CC615" i="6"/>
  <c r="CB615" i="6"/>
  <c r="CB341" i="6"/>
  <c r="CC341" i="6"/>
  <c r="CB265" i="6"/>
  <c r="CC265" i="6"/>
  <c r="CB579" i="6"/>
  <c r="CC579" i="6"/>
  <c r="CB637" i="6"/>
  <c r="CC637" i="6"/>
  <c r="BV411" i="6"/>
  <c r="BW411" i="6"/>
  <c r="CD411" i="6" s="1"/>
  <c r="BV166" i="6"/>
  <c r="BW166" i="6"/>
  <c r="BV466" i="6"/>
  <c r="BW466" i="6"/>
  <c r="CF587" i="6"/>
  <c r="CE587" i="6" s="1"/>
  <c r="CB587" i="6"/>
  <c r="CH587" i="6" s="1"/>
  <c r="CG587" i="6" s="1"/>
  <c r="CC587" i="6"/>
  <c r="CD587" i="6" s="1"/>
  <c r="CC110" i="6"/>
  <c r="CD110" i="6" s="1"/>
  <c r="CF110" i="6"/>
  <c r="CE110" i="6" s="1"/>
  <c r="CB110" i="6"/>
  <c r="CH110" i="6" s="1"/>
  <c r="CG110" i="6" s="1"/>
  <c r="CB502" i="6"/>
  <c r="CC502" i="6"/>
  <c r="CC399" i="6"/>
  <c r="CD399" i="6" s="1"/>
  <c r="CB399" i="6"/>
  <c r="CH399" i="6" s="1"/>
  <c r="CG399" i="6" s="1"/>
  <c r="CF399" i="6"/>
  <c r="CE399" i="6" s="1"/>
  <c r="CC108" i="6"/>
  <c r="CB108" i="6"/>
  <c r="CC707" i="6"/>
  <c r="CB707" i="6"/>
  <c r="BW345" i="6"/>
  <c r="BV345" i="6"/>
  <c r="CC793" i="6"/>
  <c r="CB793" i="6"/>
  <c r="BV160" i="6"/>
  <c r="BW160" i="6"/>
  <c r="CC208" i="6"/>
  <c r="CB208" i="6"/>
  <c r="BB873" i="6"/>
  <c r="CF873" i="6"/>
  <c r="CE873" i="6" s="1"/>
  <c r="CC948" i="6"/>
  <c r="CB948" i="6"/>
  <c r="CC746" i="6"/>
  <c r="CB746" i="6"/>
  <c r="BV192" i="6"/>
  <c r="BW192" i="6"/>
  <c r="BB484" i="6"/>
  <c r="CF484" i="6"/>
  <c r="CE484" i="6" s="1"/>
  <c r="CF413" i="6"/>
  <c r="CE413" i="6" s="1"/>
  <c r="BB413" i="6"/>
  <c r="BB263" i="6"/>
  <c r="CF263" i="6"/>
  <c r="CE263" i="6" s="1"/>
  <c r="BW346" i="6"/>
  <c r="BV346" i="6"/>
  <c r="BH769" i="6"/>
  <c r="BI769" i="6"/>
  <c r="BB370" i="6"/>
  <c r="BW489" i="6"/>
  <c r="CD489" i="6" s="1"/>
  <c r="BV489" i="6"/>
  <c r="BB488" i="6"/>
  <c r="CF488" i="6"/>
  <c r="CE488" i="6" s="1"/>
  <c r="BW104" i="6"/>
  <c r="BV104" i="6"/>
  <c r="BV987" i="6"/>
  <c r="BW987" i="6"/>
  <c r="BV364" i="6"/>
  <c r="BW364" i="6"/>
  <c r="CF71" i="6"/>
  <c r="CE71" i="6" s="1"/>
  <c r="BV71" i="6"/>
  <c r="BW71" i="6"/>
  <c r="CB635" i="6"/>
  <c r="CC635" i="6"/>
  <c r="BV868" i="6"/>
  <c r="BW868" i="6"/>
  <c r="CD868" i="6" s="1"/>
  <c r="BV116" i="6"/>
  <c r="BW116" i="6"/>
  <c r="BW845" i="6"/>
  <c r="BV845" i="6"/>
  <c r="CC877" i="6"/>
  <c r="CD877" i="6" s="1"/>
  <c r="CB877" i="6"/>
  <c r="CF877" i="6"/>
  <c r="CE877" i="6" s="1"/>
  <c r="BV387" i="6"/>
  <c r="BW387" i="6"/>
  <c r="CD387" i="6" s="1"/>
  <c r="BB89" i="6"/>
  <c r="CF89" i="6"/>
  <c r="CE89" i="6" s="1"/>
  <c r="BV884" i="6"/>
  <c r="BW884" i="6"/>
  <c r="CB984" i="6"/>
  <c r="CC984" i="6"/>
  <c r="BB941" i="6"/>
  <c r="CF941" i="6"/>
  <c r="CE941" i="6" s="1"/>
  <c r="CF795" i="6"/>
  <c r="CE795" i="6" s="1"/>
  <c r="BW795" i="6"/>
  <c r="BV795" i="6"/>
  <c r="CB272" i="6"/>
  <c r="CC272" i="6"/>
  <c r="BB802" i="6"/>
  <c r="CF802" i="6"/>
  <c r="CE802" i="6" s="1"/>
  <c r="CC182" i="6"/>
  <c r="CB182" i="6"/>
  <c r="CC669" i="6"/>
  <c r="CD669" i="6" s="1"/>
  <c r="CB669" i="6"/>
  <c r="BV839" i="6"/>
  <c r="BW839" i="6"/>
  <c r="CD839" i="6" s="1"/>
  <c r="BV87" i="6"/>
  <c r="BW87" i="6"/>
  <c r="CF627" i="6"/>
  <c r="CE627" i="6" s="1"/>
  <c r="BB627" i="6"/>
  <c r="CB365" i="6"/>
  <c r="CC365" i="6"/>
  <c r="CF887" i="6"/>
  <c r="CE887" i="6" s="1"/>
  <c r="BB887" i="6"/>
  <c r="CC233" i="6"/>
  <c r="CB233" i="6"/>
  <c r="BW642" i="6"/>
  <c r="BV642" i="6"/>
  <c r="BV79" i="6"/>
  <c r="BW79" i="6"/>
  <c r="CB954" i="6"/>
  <c r="CC954" i="6"/>
  <c r="CB973" i="6"/>
  <c r="CC973" i="6"/>
  <c r="CD973" i="6" s="1"/>
  <c r="CF713" i="6"/>
  <c r="CE713" i="6" s="1"/>
  <c r="BB713" i="6"/>
  <c r="BW550" i="6"/>
  <c r="CF550" i="6"/>
  <c r="CE550" i="6" s="1"/>
  <c r="BV550" i="6"/>
  <c r="BW93" i="6"/>
  <c r="BV93" i="6"/>
  <c r="CF93" i="6"/>
  <c r="CE93" i="6" s="1"/>
  <c r="BB956" i="6"/>
  <c r="CF956" i="6"/>
  <c r="CE956" i="6" s="1"/>
  <c r="CB697" i="6"/>
  <c r="CC697" i="6"/>
  <c r="CB203" i="6"/>
  <c r="CC203" i="6"/>
  <c r="CB58" i="6"/>
  <c r="CH58" i="6" s="1"/>
  <c r="CG58" i="6" s="1"/>
  <c r="CC58" i="6"/>
  <c r="CD58" i="6" s="1"/>
  <c r="CB436" i="6"/>
  <c r="CC436" i="6"/>
  <c r="BV322" i="6"/>
  <c r="CF322" i="6"/>
  <c r="CE322" i="6" s="1"/>
  <c r="BW322" i="6"/>
  <c r="CB338" i="6"/>
  <c r="CC338" i="6"/>
  <c r="BB614" i="6"/>
  <c r="CF614" i="6"/>
  <c r="CE614" i="6" s="1"/>
  <c r="CC190" i="6"/>
  <c r="CD190" i="6" s="1"/>
  <c r="CB190" i="6"/>
  <c r="CF643" i="6"/>
  <c r="CE643" i="6" s="1"/>
  <c r="BB643" i="6"/>
  <c r="BV616" i="6"/>
  <c r="BW616" i="6"/>
  <c r="BW80" i="6"/>
  <c r="BV80" i="6"/>
  <c r="CB631" i="6"/>
  <c r="CC631" i="6"/>
  <c r="BV300" i="6"/>
  <c r="CF300" i="6"/>
  <c r="CE300" i="6" s="1"/>
  <c r="BW300" i="6"/>
  <c r="CF768" i="6"/>
  <c r="CE768" i="6" s="1"/>
  <c r="BB768" i="6"/>
  <c r="CC898" i="6"/>
  <c r="CB898" i="6"/>
  <c r="CB706" i="6"/>
  <c r="CC706" i="6"/>
  <c r="BV917" i="6"/>
  <c r="BW917" i="6"/>
  <c r="CF120" i="6"/>
  <c r="CE120" i="6" s="1"/>
  <c r="CB120" i="6"/>
  <c r="CC120" i="6"/>
  <c r="CC95" i="6"/>
  <c r="CB95" i="6"/>
  <c r="CF393" i="6"/>
  <c r="CE393" i="6" s="1"/>
  <c r="BB393" i="6"/>
  <c r="BB697" i="6"/>
  <c r="CF697" i="6"/>
  <c r="CE697" i="6" s="1"/>
  <c r="CC109" i="6"/>
  <c r="CB109" i="6"/>
  <c r="CC748" i="6"/>
  <c r="CD748" i="6" s="1"/>
  <c r="CB748" i="6"/>
  <c r="CB469" i="6"/>
  <c r="CC469" i="6"/>
  <c r="CD469" i="6" s="1"/>
  <c r="CB389" i="6"/>
  <c r="CC389" i="6"/>
  <c r="BB64" i="6"/>
  <c r="CF64" i="6"/>
  <c r="CE64" i="6" s="1"/>
  <c r="BV206" i="6"/>
  <c r="BW206" i="6"/>
  <c r="CB381" i="6"/>
  <c r="CC381" i="6"/>
  <c r="BB213" i="6"/>
  <c r="CC177" i="6"/>
  <c r="CB177" i="6"/>
  <c r="CF204" i="6"/>
  <c r="CE204" i="6" s="1"/>
  <c r="BB204" i="6"/>
  <c r="CB59" i="6"/>
  <c r="CH59" i="6" s="1"/>
  <c r="CG59" i="6" s="1"/>
  <c r="CC59" i="6"/>
  <c r="BV668" i="6"/>
  <c r="BW668" i="6"/>
  <c r="BW400" i="6"/>
  <c r="BV400" i="6"/>
  <c r="BB531" i="6"/>
  <c r="CF531" i="6"/>
  <c r="CE531" i="6" s="1"/>
  <c r="BW43" i="6"/>
  <c r="BV43" i="6"/>
  <c r="CC819" i="6"/>
  <c r="CB819" i="6"/>
  <c r="BW977" i="6"/>
  <c r="BV977" i="6"/>
  <c r="CF977" i="6"/>
  <c r="CE977" i="6" s="1"/>
  <c r="CC152" i="6"/>
  <c r="CB152" i="6"/>
  <c r="CF371" i="6"/>
  <c r="CE371" i="6" s="1"/>
  <c r="BB371" i="6"/>
  <c r="CC61" i="6"/>
  <c r="CD61" i="6" s="1"/>
  <c r="CB61" i="6"/>
  <c r="CC53" i="6"/>
  <c r="CB53" i="6"/>
  <c r="BW434" i="6"/>
  <c r="BV434" i="6"/>
  <c r="CF434" i="6"/>
  <c r="CE434" i="6" s="1"/>
  <c r="BW671" i="6"/>
  <c r="BV671" i="6"/>
  <c r="BV942" i="6"/>
  <c r="BW942" i="6"/>
  <c r="BB129" i="6"/>
  <c r="CF129" i="6"/>
  <c r="CE129" i="6" s="1"/>
  <c r="BB881" i="6"/>
  <c r="CF881" i="6"/>
  <c r="CE881" i="6" s="1"/>
  <c r="CB760" i="6"/>
  <c r="CC760" i="6"/>
  <c r="CF35" i="6"/>
  <c r="CE35" i="6" s="1"/>
  <c r="CB150" i="6"/>
  <c r="CC150" i="6"/>
  <c r="BW13" i="6"/>
  <c r="BV13" i="6"/>
  <c r="BV621" i="6"/>
  <c r="CF621" i="6"/>
  <c r="CE621" i="6" s="1"/>
  <c r="BW621" i="6"/>
  <c r="BB651" i="6"/>
  <c r="CF651" i="6"/>
  <c r="CE651" i="6" s="1"/>
  <c r="BB30" i="6"/>
  <c r="CF30" i="6"/>
  <c r="CE30" i="6" s="1"/>
  <c r="CB41" i="6"/>
  <c r="CC41" i="6"/>
  <c r="CC560" i="6"/>
  <c r="CD560" i="6" s="1"/>
  <c r="CB560" i="6"/>
  <c r="BW799" i="6"/>
  <c r="CF799" i="6"/>
  <c r="CE799" i="6" s="1"/>
  <c r="BV799" i="6"/>
  <c r="CF650" i="6"/>
  <c r="CE650" i="6" s="1"/>
  <c r="BB650" i="6"/>
  <c r="BW383" i="6"/>
  <c r="BV383" i="6"/>
  <c r="CF361" i="6"/>
  <c r="CE361" i="6" s="1"/>
  <c r="BW361" i="6"/>
  <c r="BV361" i="6"/>
  <c r="BV341" i="6"/>
  <c r="BW341" i="6"/>
  <c r="CF265" i="6"/>
  <c r="CE265" i="6" s="1"/>
  <c r="BW265" i="6"/>
  <c r="BV265" i="6"/>
  <c r="BW507" i="6"/>
  <c r="CD507" i="6" s="1"/>
  <c r="BV507" i="6"/>
  <c r="BB637" i="6"/>
  <c r="CF637" i="6"/>
  <c r="CE637" i="6" s="1"/>
  <c r="CF411" i="6"/>
  <c r="CE411" i="6" s="1"/>
  <c r="BB411" i="6"/>
  <c r="BB166" i="6"/>
  <c r="CF166" i="6"/>
  <c r="CE166" i="6" s="1"/>
  <c r="CC466" i="6"/>
  <c r="CB466" i="6"/>
  <c r="BV223" i="6"/>
  <c r="BW223" i="6"/>
  <c r="BW750" i="6"/>
  <c r="BV750" i="6"/>
  <c r="BW888" i="6"/>
  <c r="BV888" i="6"/>
  <c r="CC525" i="6"/>
  <c r="CD525" i="6" s="1"/>
  <c r="CF525" i="6"/>
  <c r="CE525" i="6" s="1"/>
  <c r="CB525" i="6"/>
  <c r="CC605" i="6"/>
  <c r="CB605" i="6"/>
  <c r="BB707" i="6"/>
  <c r="CF707" i="6"/>
  <c r="CE707" i="6" s="1"/>
  <c r="BB345" i="6"/>
  <c r="CF345" i="6"/>
  <c r="CE345" i="6" s="1"/>
  <c r="BW106" i="6"/>
  <c r="BV106" i="6"/>
  <c r="BV208" i="6"/>
  <c r="BW208" i="6"/>
  <c r="CC873" i="6"/>
  <c r="CB873" i="6"/>
  <c r="BB140" i="6"/>
  <c r="CF140" i="6"/>
  <c r="CE140" i="6" s="1"/>
  <c r="CB735" i="6"/>
  <c r="CC735" i="6"/>
  <c r="BB746" i="6"/>
  <c r="CF746" i="6"/>
  <c r="CE746" i="6" s="1"/>
  <c r="CF274" i="6"/>
  <c r="CE274" i="6" s="1"/>
  <c r="BB274" i="6"/>
  <c r="CF347" i="6"/>
  <c r="CE347" i="6" s="1"/>
  <c r="BB347" i="6"/>
  <c r="BW945" i="6"/>
  <c r="BV945" i="6"/>
  <c r="BV413" i="6"/>
  <c r="BW413" i="6"/>
  <c r="CC308" i="6"/>
  <c r="CB308" i="6"/>
  <c r="BW263" i="6"/>
  <c r="BV263" i="6"/>
  <c r="BH290" i="6"/>
  <c r="BI290" i="6"/>
  <c r="CF290" i="6"/>
  <c r="CE290" i="6" s="1"/>
  <c r="BH674" i="6"/>
  <c r="BI674" i="6"/>
  <c r="CF674" i="6"/>
  <c r="CE674" i="6" s="1"/>
  <c r="BI1001" i="6"/>
  <c r="CD1001" i="6" s="1"/>
  <c r="BH1001" i="6"/>
  <c r="CB927" i="6"/>
  <c r="CC927" i="6"/>
  <c r="CD927" i="6" s="1"/>
  <c r="CB972" i="6"/>
  <c r="CC972" i="6"/>
  <c r="CD972" i="6" s="1"/>
  <c r="CF167" i="6"/>
  <c r="CE167" i="6" s="1"/>
  <c r="BB167" i="6"/>
  <c r="AT993" i="6"/>
  <c r="CF993" i="6"/>
  <c r="CE993" i="6" s="1"/>
  <c r="CD993" i="6"/>
  <c r="BO271" i="6"/>
  <c r="BP271" i="6"/>
  <c r="CF271" i="6"/>
  <c r="CE271" i="6" s="1"/>
  <c r="BO456" i="6"/>
  <c r="CH456" i="6" s="1"/>
  <c r="CG456" i="6" s="1"/>
  <c r="BP456" i="6"/>
  <c r="CD456" i="6" s="1"/>
  <c r="BB1019" i="6"/>
  <c r="CF1019" i="6"/>
  <c r="CE1019" i="6" s="1"/>
  <c r="CD1019" i="6"/>
  <c r="BO617" i="6"/>
  <c r="BP617" i="6"/>
  <c r="CF617" i="6"/>
  <c r="CE617" i="6" s="1"/>
  <c r="BO468" i="6"/>
  <c r="BP468" i="6"/>
  <c r="BH615" i="6"/>
  <c r="BI615" i="6"/>
  <c r="CF615" i="6"/>
  <c r="CE615" i="6" s="1"/>
  <c r="CF992" i="6"/>
  <c r="CE992" i="6" s="1"/>
  <c r="BB992" i="6"/>
  <c r="CC694" i="6"/>
  <c r="CD694" i="6" s="1"/>
  <c r="CB694" i="6"/>
  <c r="BB584" i="6"/>
  <c r="CF584" i="6"/>
  <c r="CE584" i="6" s="1"/>
  <c r="BB986" i="6"/>
  <c r="CF986" i="6"/>
  <c r="CE986" i="6" s="1"/>
  <c r="AT1001" i="6"/>
  <c r="CF1001" i="6"/>
  <c r="CE1001" i="6" s="1"/>
  <c r="CB194" i="6"/>
  <c r="CH194" i="6" s="1"/>
  <c r="CG194" i="6" s="1"/>
  <c r="CC194" i="6"/>
  <c r="CD194" i="6" s="1"/>
  <c r="CF194" i="6"/>
  <c r="CE194" i="6" s="1"/>
  <c r="BW143" i="6"/>
  <c r="CD143" i="6" s="1"/>
  <c r="BV143" i="6"/>
  <c r="CF927" i="6"/>
  <c r="CE927" i="6" s="1"/>
  <c r="BB927" i="6"/>
  <c r="CB373" i="6"/>
  <c r="CC373" i="6"/>
  <c r="CD373" i="6" s="1"/>
  <c r="CB228" i="6"/>
  <c r="CC228" i="6"/>
  <c r="CD228" i="6" s="1"/>
  <c r="BB36" i="6"/>
  <c r="CF36" i="6"/>
  <c r="CE36" i="6" s="1"/>
  <c r="CB549" i="6"/>
  <c r="CC549" i="6"/>
  <c r="CF391" i="6"/>
  <c r="CE391" i="6" s="1"/>
  <c r="BB391" i="6"/>
  <c r="CF972" i="6"/>
  <c r="CE972" i="6" s="1"/>
  <c r="BB972" i="6"/>
  <c r="CF855" i="6"/>
  <c r="CE855" i="6" s="1"/>
  <c r="BB855" i="6"/>
  <c r="BB681" i="6"/>
  <c r="CF681" i="6"/>
  <c r="CE681" i="6" s="1"/>
  <c r="CB595" i="6"/>
  <c r="CC595" i="6"/>
  <c r="CF638" i="6"/>
  <c r="CE638" i="6" s="1"/>
  <c r="BB638" i="6"/>
  <c r="BV705" i="6"/>
  <c r="BW705" i="6"/>
  <c r="BB784" i="6"/>
  <c r="CF784" i="6"/>
  <c r="CE784" i="6" s="1"/>
  <c r="CB185" i="6"/>
  <c r="CC185" i="6"/>
  <c r="CD185" i="6" s="1"/>
  <c r="CC493" i="6"/>
  <c r="CD493" i="6" s="1"/>
  <c r="CB493" i="6"/>
  <c r="BW176" i="6"/>
  <c r="CD176" i="6" s="1"/>
  <c r="BV176" i="6"/>
  <c r="CF127" i="6"/>
  <c r="CE127" i="6" s="1"/>
  <c r="BB127" i="6"/>
  <c r="BV161" i="6"/>
  <c r="BW161" i="6"/>
  <c r="CD161" i="6" s="1"/>
  <c r="CF7" i="6"/>
  <c r="CE7" i="6" s="1"/>
  <c r="BB7" i="6"/>
  <c r="BV396" i="6"/>
  <c r="BW396" i="6"/>
  <c r="CD396" i="6" s="1"/>
  <c r="CF846" i="6"/>
  <c r="CE846" i="6" s="1"/>
  <c r="BB846" i="6"/>
  <c r="BV126" i="6"/>
  <c r="CF126" i="6"/>
  <c r="CE126" i="6" s="1"/>
  <c r="BW126" i="6"/>
  <c r="BB486" i="6"/>
  <c r="CF486" i="6"/>
  <c r="CE486" i="6" s="1"/>
  <c r="CB991" i="6"/>
  <c r="CC991" i="6"/>
  <c r="CF302" i="6"/>
  <c r="CE302" i="6" s="1"/>
  <c r="BI302" i="6"/>
  <c r="BH302" i="6"/>
  <c r="CF757" i="6"/>
  <c r="CE757" i="6" s="1"/>
  <c r="BB757" i="6"/>
  <c r="BW504" i="6"/>
  <c r="CD504" i="6" s="1"/>
  <c r="BV504" i="6"/>
  <c r="BB323" i="6"/>
  <c r="CF323" i="6"/>
  <c r="CE323" i="6" s="1"/>
  <c r="CC239" i="6"/>
  <c r="CB239" i="6"/>
  <c r="BV314" i="6"/>
  <c r="BW314" i="6"/>
  <c r="CD314" i="6" s="1"/>
  <c r="BB383" i="6"/>
  <c r="CF383" i="6"/>
  <c r="CE383" i="6" s="1"/>
  <c r="CF331" i="6"/>
  <c r="CE331" i="6" s="1"/>
  <c r="BB331" i="6"/>
  <c r="CF691" i="6"/>
  <c r="CE691" i="6" s="1"/>
  <c r="BB691" i="6"/>
  <c r="CB167" i="6"/>
  <c r="CC167" i="6"/>
  <c r="CD167" i="6" s="1"/>
  <c r="BB289" i="6"/>
  <c r="CF289" i="6"/>
  <c r="CE289" i="6" s="1"/>
  <c r="BB409" i="6"/>
  <c r="CF409" i="6"/>
  <c r="CE409" i="6" s="1"/>
  <c r="BB640" i="6"/>
  <c r="CF640" i="6"/>
  <c r="CE640" i="6" s="1"/>
  <c r="CF270" i="6"/>
  <c r="CE270" i="6" s="1"/>
  <c r="BB270" i="6"/>
  <c r="BB698" i="6"/>
  <c r="CF698" i="6"/>
  <c r="CE698" i="6" s="1"/>
  <c r="BV103" i="6"/>
  <c r="BW103" i="6"/>
  <c r="BB419" i="6"/>
  <c r="CF419" i="6"/>
  <c r="CE419" i="6" s="1"/>
  <c r="CF729" i="6"/>
  <c r="CE729" i="6" s="1"/>
  <c r="BB729" i="6"/>
  <c r="CC315" i="6"/>
  <c r="CB315" i="6"/>
  <c r="BV212" i="6"/>
  <c r="BW212" i="6"/>
  <c r="CD212" i="6" s="1"/>
  <c r="CC472" i="6"/>
  <c r="CD472" i="6" s="1"/>
  <c r="CB472" i="6"/>
  <c r="BB929" i="6"/>
  <c r="CC141" i="6"/>
  <c r="CB141" i="6"/>
  <c r="BB745" i="6"/>
  <c r="CF745" i="6"/>
  <c r="CE745" i="6" s="1"/>
  <c r="CF629" i="6"/>
  <c r="CE629" i="6" s="1"/>
  <c r="BB629" i="6"/>
  <c r="CF47" i="6"/>
  <c r="CE47" i="6" s="1"/>
  <c r="BB47" i="6"/>
  <c r="CF831" i="6"/>
  <c r="CE831" i="6" s="1"/>
  <c r="BB831" i="6"/>
  <c r="CF272" i="6"/>
  <c r="CE272" i="6" s="1"/>
  <c r="BB272" i="6"/>
  <c r="BB170" i="6"/>
  <c r="CB990" i="6"/>
  <c r="CC990" i="6"/>
  <c r="CC902" i="6"/>
  <c r="CB902" i="6"/>
  <c r="BB954" i="6"/>
  <c r="CF954" i="6"/>
  <c r="CE954" i="6" s="1"/>
  <c r="CF137" i="6"/>
  <c r="CE137" i="6" s="1"/>
  <c r="BB137" i="6"/>
  <c r="CF523" i="6"/>
  <c r="CE523" i="6" s="1"/>
  <c r="BW523" i="6"/>
  <c r="BV523" i="6"/>
  <c r="CH523" i="6" s="1"/>
  <c r="CG523" i="6" s="1"/>
  <c r="CB104" i="6"/>
  <c r="CF104" i="6"/>
  <c r="CE104" i="6" s="1"/>
  <c r="CC104" i="6"/>
  <c r="CC359" i="6"/>
  <c r="CB359" i="6"/>
  <c r="CF359" i="6"/>
  <c r="CE359" i="6" s="1"/>
  <c r="BW352" i="6"/>
  <c r="CD352" i="6" s="1"/>
  <c r="BV352" i="6"/>
  <c r="BW395" i="6"/>
  <c r="BV395" i="6"/>
  <c r="CB781" i="6"/>
  <c r="CC781" i="6"/>
  <c r="CF781" i="6"/>
  <c r="CE781" i="6" s="1"/>
  <c r="CC714" i="6"/>
  <c r="CB714" i="6"/>
  <c r="CC271" i="6"/>
  <c r="CB271" i="6"/>
  <c r="CB664" i="6"/>
  <c r="CF664" i="6"/>
  <c r="CE664" i="6" s="1"/>
  <c r="CC664" i="6"/>
  <c r="BB193" i="6"/>
  <c r="CH193" i="6" s="1"/>
  <c r="CG193" i="6" s="1"/>
  <c r="CD193" i="6"/>
  <c r="CF193" i="6"/>
  <c r="CE193" i="6" s="1"/>
  <c r="CC679" i="6"/>
  <c r="CD679" i="6" s="1"/>
  <c r="CB679" i="6"/>
  <c r="CH679" i="6" s="1"/>
  <c r="CG679" i="6" s="1"/>
  <c r="CC302" i="6"/>
  <c r="CB302" i="6"/>
  <c r="BB736" i="6"/>
  <c r="CF736" i="6"/>
  <c r="CE736" i="6" s="1"/>
  <c r="CF655" i="6"/>
  <c r="CE655" i="6" s="1"/>
  <c r="BB655" i="6"/>
  <c r="BV404" i="6"/>
  <c r="BW404" i="6"/>
  <c r="CF404" i="6"/>
  <c r="CE404" i="6" s="1"/>
  <c r="BV793" i="6"/>
  <c r="CF793" i="6"/>
  <c r="CE793" i="6" s="1"/>
  <c r="BW793" i="6"/>
  <c r="CB583" i="6"/>
  <c r="CF583" i="6"/>
  <c r="CE583" i="6" s="1"/>
  <c r="CC583" i="6"/>
  <c r="CC262" i="6"/>
  <c r="CD262" i="6" s="1"/>
  <c r="CF262" i="6"/>
  <c r="CE262" i="6" s="1"/>
  <c r="CB262" i="6"/>
  <c r="CH262" i="6" s="1"/>
  <c r="CG262" i="6" s="1"/>
  <c r="CC223" i="6"/>
  <c r="CB223" i="6"/>
  <c r="CF980" i="6"/>
  <c r="CE980" i="6" s="1"/>
  <c r="BB980" i="6"/>
  <c r="BW906" i="6"/>
  <c r="CD906" i="6" s="1"/>
  <c r="BV906" i="6"/>
  <c r="CH906" i="6" s="1"/>
  <c r="CG906" i="6" s="1"/>
  <c r="CF906" i="6"/>
  <c r="CE906" i="6" s="1"/>
  <c r="CF859" i="6"/>
  <c r="CE859" i="6" s="1"/>
  <c r="BB859" i="6"/>
  <c r="CC787" i="6"/>
  <c r="CD787" i="6" s="1"/>
  <c r="CB787" i="6"/>
  <c r="CF787" i="6"/>
  <c r="CE787" i="6" s="1"/>
  <c r="BW264" i="6"/>
  <c r="CF264" i="6"/>
  <c r="CE264" i="6" s="1"/>
  <c r="BV264" i="6"/>
  <c r="BV819" i="6"/>
  <c r="BW819" i="6"/>
  <c r="CF819" i="6"/>
  <c r="CE819" i="6" s="1"/>
  <c r="CB577" i="6"/>
  <c r="CH577" i="6" s="1"/>
  <c r="CG577" i="6" s="1"/>
  <c r="CC577" i="6"/>
  <c r="CF577" i="6"/>
  <c r="CE577" i="6" s="1"/>
  <c r="CB731" i="6"/>
  <c r="CF731" i="6"/>
  <c r="CE731" i="6" s="1"/>
  <c r="CC731" i="6"/>
  <c r="CF446" i="6"/>
  <c r="CE446" i="6" s="1"/>
  <c r="CC446" i="6"/>
  <c r="CB446" i="6"/>
  <c r="CB970" i="6"/>
  <c r="CC970" i="6"/>
  <c r="CF970" i="6"/>
  <c r="CE970" i="6" s="1"/>
  <c r="BB883" i="6"/>
  <c r="CF883" i="6"/>
  <c r="CE883" i="6" s="1"/>
  <c r="CD883" i="6"/>
  <c r="BV606" i="6"/>
  <c r="CF606" i="6"/>
  <c r="CE606" i="6" s="1"/>
  <c r="BW606" i="6"/>
  <c r="CB741" i="6"/>
  <c r="CC741" i="6"/>
  <c r="CD741" i="6" s="1"/>
  <c r="CB73" i="6"/>
  <c r="CC73" i="6"/>
  <c r="CD73" i="6" s="1"/>
  <c r="BB377" i="6"/>
  <c r="CF377" i="6"/>
  <c r="CE377" i="6" s="1"/>
  <c r="CB254" i="6"/>
  <c r="CF254" i="6"/>
  <c r="CE254" i="6" s="1"/>
  <c r="CC254" i="6"/>
  <c r="CD254" i="6" s="1"/>
  <c r="BB181" i="6"/>
  <c r="CF181" i="6"/>
  <c r="CE181" i="6" s="1"/>
  <c r="CB311" i="6"/>
  <c r="CC311" i="6"/>
  <c r="BB171" i="6"/>
  <c r="CH171" i="6" s="1"/>
  <c r="CG171" i="6" s="1"/>
  <c r="CF171" i="6"/>
  <c r="CE171" i="6" s="1"/>
  <c r="CD171" i="6"/>
  <c r="CC448" i="6"/>
  <c r="CD448" i="6" s="1"/>
  <c r="CF448" i="6"/>
  <c r="CE448" i="6" s="1"/>
  <c r="CB448" i="6"/>
  <c r="CH448" i="6" s="1"/>
  <c r="CG448" i="6" s="1"/>
  <c r="BW899" i="6"/>
  <c r="CD899" i="6" s="1"/>
  <c r="BV899" i="6"/>
  <c r="CH899" i="6" s="1"/>
  <c r="CG899" i="6" s="1"/>
  <c r="CB432" i="6"/>
  <c r="CH432" i="6" s="1"/>
  <c r="CG432" i="6" s="1"/>
  <c r="CF432" i="6"/>
  <c r="CE432" i="6" s="1"/>
  <c r="CC432" i="6"/>
  <c r="CD432" i="6" s="1"/>
  <c r="BB37" i="6"/>
  <c r="CH37" i="6" s="1"/>
  <c r="CG37" i="6" s="1"/>
  <c r="CF37" i="6"/>
  <c r="CE37" i="6" s="1"/>
  <c r="CD37" i="6"/>
  <c r="CF726" i="6"/>
  <c r="CE726" i="6" s="1"/>
  <c r="BB726" i="6"/>
  <c r="CF431" i="6"/>
  <c r="CE431" i="6" s="1"/>
  <c r="BW431" i="6"/>
  <c r="BV431" i="6"/>
  <c r="BW647" i="6"/>
  <c r="CF647" i="6"/>
  <c r="CE647" i="6" s="1"/>
  <c r="BV647" i="6"/>
  <c r="BW22" i="6"/>
  <c r="CF22" i="6"/>
  <c r="CE22" i="6" s="1"/>
  <c r="BV22" i="6"/>
  <c r="BV999" i="6"/>
  <c r="BW999" i="6"/>
  <c r="BB201" i="6"/>
  <c r="CF201" i="6"/>
  <c r="CE201" i="6" s="1"/>
  <c r="BB960" i="6"/>
  <c r="CF960" i="6"/>
  <c r="CE960" i="6" s="1"/>
  <c r="BB284" i="6"/>
  <c r="CF284" i="6"/>
  <c r="CE284" i="6" s="1"/>
  <c r="CC776" i="6"/>
  <c r="CB776" i="6"/>
  <c r="CF304" i="6"/>
  <c r="CE304" i="6" s="1"/>
  <c r="BB304" i="6"/>
  <c r="BB648" i="6"/>
  <c r="CF648" i="6"/>
  <c r="CE648" i="6" s="1"/>
  <c r="BB685" i="6"/>
  <c r="CF685" i="6"/>
  <c r="CE685" i="6" s="1"/>
  <c r="CF711" i="6"/>
  <c r="CE711" i="6" s="1"/>
  <c r="BB711" i="6"/>
  <c r="BB710" i="6"/>
  <c r="CF710" i="6"/>
  <c r="CE710" i="6" s="1"/>
  <c r="CF307" i="6"/>
  <c r="CE307" i="6" s="1"/>
  <c r="BB307" i="6"/>
  <c r="BV601" i="6"/>
  <c r="BW601" i="6"/>
  <c r="CD601" i="6" s="1"/>
  <c r="BB805" i="6"/>
  <c r="CF805" i="6"/>
  <c r="CE805" i="6" s="1"/>
  <c r="BV174" i="6"/>
  <c r="BW174" i="6"/>
  <c r="CD174" i="6" s="1"/>
  <c r="BV953" i="6"/>
  <c r="BW953" i="6"/>
  <c r="BB610" i="6"/>
  <c r="CF610" i="6"/>
  <c r="CE610" i="6" s="1"/>
  <c r="BW121" i="6"/>
  <c r="BV121" i="6"/>
  <c r="BW269" i="6"/>
  <c r="BV269" i="6"/>
  <c r="CC67" i="6"/>
  <c r="CD67" i="6" s="1"/>
  <c r="CB67" i="6"/>
  <c r="CF714" i="6"/>
  <c r="CE714" i="6" s="1"/>
  <c r="BB714" i="6"/>
  <c r="CF117" i="6"/>
  <c r="CE117" i="6" s="1"/>
  <c r="BB117" i="6"/>
  <c r="CC891" i="6"/>
  <c r="CD891" i="6" s="1"/>
  <c r="CB891" i="6"/>
  <c r="CB253" i="6"/>
  <c r="CC253" i="6"/>
  <c r="CF798" i="6"/>
  <c r="CE798" i="6" s="1"/>
  <c r="BB798" i="6"/>
  <c r="CC423" i="6"/>
  <c r="CD423" i="6" s="1"/>
  <c r="CB423" i="6"/>
  <c r="BV485" i="6"/>
  <c r="BW485" i="6"/>
  <c r="BO216" i="6"/>
  <c r="BP216" i="6"/>
  <c r="BO329" i="6"/>
  <c r="BP329" i="6"/>
  <c r="CB1024" i="6"/>
  <c r="CC1024" i="6"/>
  <c r="BB911" i="6"/>
  <c r="CF911" i="6"/>
  <c r="CE911" i="6" s="1"/>
  <c r="CC15" i="6"/>
  <c r="CB15" i="6"/>
  <c r="CC83" i="6"/>
  <c r="CD83" i="6" s="1"/>
  <c r="CB83" i="6"/>
  <c r="CC626" i="6"/>
  <c r="CD626" i="6" s="1"/>
  <c r="CB626" i="6"/>
  <c r="CB246" i="6"/>
  <c r="CC246" i="6"/>
  <c r="CD246" i="6" s="1"/>
  <c r="CC460" i="6"/>
  <c r="CD460" i="6" s="1"/>
  <c r="CB460" i="6"/>
  <c r="CC660" i="6"/>
  <c r="CD660" i="6" s="1"/>
  <c r="CB660" i="6"/>
  <c r="BB801" i="6"/>
  <c r="CF801" i="6"/>
  <c r="CE801" i="6" s="1"/>
  <c r="CF240" i="6"/>
  <c r="CE240" i="6" s="1"/>
  <c r="BB240" i="6"/>
  <c r="CC944" i="6"/>
  <c r="CB944" i="6"/>
  <c r="CB515" i="6"/>
  <c r="CC515" i="6"/>
  <c r="CF245" i="6"/>
  <c r="CE245" i="6" s="1"/>
  <c r="BB245" i="6"/>
  <c r="BB564" i="6"/>
  <c r="CF564" i="6"/>
  <c r="CE564" i="6" s="1"/>
  <c r="BB843" i="6"/>
  <c r="CF843" i="6"/>
  <c r="CE843" i="6" s="1"/>
  <c r="BB98" i="6"/>
  <c r="CF98" i="6"/>
  <c r="CE98" i="6" s="1"/>
  <c r="BV119" i="6"/>
  <c r="BW119" i="6"/>
  <c r="CD119" i="6" s="1"/>
  <c r="BB889" i="6"/>
  <c r="BB184" i="6"/>
  <c r="CF184" i="6"/>
  <c r="CE184" i="6" s="1"/>
  <c r="CF683" i="6"/>
  <c r="CE683" i="6" s="1"/>
  <c r="BB683" i="6"/>
  <c r="BW969" i="6"/>
  <c r="BV969" i="6"/>
  <c r="BB837" i="6"/>
  <c r="CF837" i="6"/>
  <c r="CE837" i="6" s="1"/>
  <c r="CF155" i="6"/>
  <c r="CE155" i="6" s="1"/>
  <c r="BB155" i="6"/>
  <c r="BW216" i="6"/>
  <c r="BV216" i="6"/>
  <c r="CC395" i="6"/>
  <c r="CB395" i="6"/>
  <c r="CB221" i="6"/>
  <c r="CC221" i="6"/>
  <c r="CD221" i="6" s="1"/>
  <c r="BB760" i="6"/>
  <c r="CF760" i="6"/>
  <c r="CE760" i="6" s="1"/>
  <c r="CB142" i="6"/>
  <c r="CC142" i="6"/>
  <c r="CD142" i="6" s="1"/>
  <c r="CB874" i="6"/>
  <c r="CC874" i="6"/>
  <c r="CD874" i="6" s="1"/>
  <c r="BB744" i="6"/>
  <c r="CF744" i="6"/>
  <c r="CE744" i="6" s="1"/>
  <c r="CB386" i="6"/>
  <c r="CH386" i="6" s="1"/>
  <c r="CG386" i="6" s="1"/>
  <c r="CF386" i="6"/>
  <c r="CE386" i="6" s="1"/>
  <c r="CC386" i="6"/>
  <c r="CD386" i="6" s="1"/>
  <c r="CC290" i="6"/>
  <c r="CB290" i="6"/>
  <c r="BV175" i="6"/>
  <c r="BW175" i="6"/>
  <c r="CF632" i="6"/>
  <c r="CE632" i="6" s="1"/>
  <c r="BV632" i="6"/>
  <c r="CH632" i="6" s="1"/>
  <c r="CG632" i="6" s="1"/>
  <c r="BW632" i="6"/>
  <c r="BV285" i="6"/>
  <c r="CF285" i="6"/>
  <c r="CE285" i="6" s="1"/>
  <c r="BW285" i="6"/>
  <c r="CC218" i="6"/>
  <c r="CB218" i="6"/>
  <c r="BB24" i="6"/>
  <c r="CF24" i="6"/>
  <c r="CE24" i="6" s="1"/>
  <c r="BV107" i="6"/>
  <c r="BW107" i="6"/>
  <c r="CF107" i="6"/>
  <c r="CE107" i="6" s="1"/>
  <c r="CF565" i="6"/>
  <c r="CE565" i="6" s="1"/>
  <c r="BB565" i="6"/>
  <c r="BW965" i="6"/>
  <c r="CD965" i="6" s="1"/>
  <c r="BV965" i="6"/>
  <c r="CC388" i="6"/>
  <c r="CD388" i="6" s="1"/>
  <c r="CB388" i="6"/>
  <c r="CF388" i="6"/>
  <c r="CE388" i="6" s="1"/>
  <c r="BB208" i="6"/>
  <c r="CF208" i="6"/>
  <c r="CE208" i="6" s="1"/>
  <c r="BB771" i="6"/>
  <c r="CF771" i="6"/>
  <c r="CE771" i="6" s="1"/>
  <c r="CH530" i="6"/>
  <c r="CG530" i="6" s="1"/>
  <c r="CF311" i="6"/>
  <c r="CE311" i="6" s="1"/>
  <c r="CF899" i="6"/>
  <c r="CE899" i="6" s="1"/>
  <c r="CC36" i="6"/>
  <c r="CD36" i="6" s="1"/>
  <c r="CB36" i="6"/>
  <c r="BW595" i="6"/>
  <c r="BV595" i="6"/>
  <c r="CF595" i="6"/>
  <c r="CE595" i="6" s="1"/>
  <c r="CB834" i="6"/>
  <c r="CC834" i="6"/>
  <c r="BW157" i="6"/>
  <c r="BV157" i="6"/>
  <c r="BB335" i="6"/>
  <c r="CF335" i="6"/>
  <c r="CE335" i="6" s="1"/>
  <c r="BB314" i="6"/>
  <c r="CF314" i="6"/>
  <c r="CE314" i="6" s="1"/>
  <c r="CC289" i="6"/>
  <c r="CD289" i="6" s="1"/>
  <c r="CB289" i="6"/>
  <c r="CC270" i="6"/>
  <c r="CD270" i="6" s="1"/>
  <c r="CB270" i="6"/>
  <c r="CC419" i="6"/>
  <c r="CD419" i="6" s="1"/>
  <c r="CB419" i="6"/>
  <c r="BB472" i="6"/>
  <c r="CF472" i="6"/>
  <c r="CE472" i="6" s="1"/>
  <c r="BV745" i="6"/>
  <c r="BW745" i="6"/>
  <c r="CD745" i="6" s="1"/>
  <c r="BW136" i="6"/>
  <c r="BV136" i="6"/>
  <c r="CB160" i="6"/>
  <c r="CC160" i="6"/>
  <c r="CF160" i="6"/>
  <c r="CE160" i="6" s="1"/>
  <c r="BW683" i="6"/>
  <c r="BV683" i="6"/>
  <c r="CF121" i="6"/>
  <c r="CE121" i="6" s="1"/>
  <c r="BB121" i="6"/>
  <c r="CF706" i="6"/>
  <c r="CE706" i="6" s="1"/>
  <c r="BW706" i="6"/>
  <c r="BV706" i="6"/>
  <c r="BW329" i="6"/>
  <c r="BV329" i="6"/>
  <c r="CC429" i="6"/>
  <c r="CB429" i="6"/>
  <c r="CF429" i="6"/>
  <c r="CE429" i="6" s="1"/>
  <c r="BB861" i="6"/>
  <c r="CF861" i="6"/>
  <c r="CE861" i="6" s="1"/>
  <c r="CD861" i="6"/>
  <c r="BV962" i="6"/>
  <c r="BW962" i="6"/>
  <c r="CC818" i="6"/>
  <c r="CD818" i="6" s="1"/>
  <c r="CB818" i="6"/>
  <c r="CH818" i="6" s="1"/>
  <c r="CG818" i="6" s="1"/>
  <c r="CF818" i="6"/>
  <c r="CE818" i="6" s="1"/>
  <c r="CB298" i="6"/>
  <c r="CC298" i="6"/>
  <c r="CF298" i="6"/>
  <c r="CE298" i="6" s="1"/>
  <c r="BW553" i="6"/>
  <c r="BV553" i="6"/>
  <c r="CF553" i="6"/>
  <c r="CE553" i="6" s="1"/>
  <c r="CB797" i="6"/>
  <c r="CC797" i="6"/>
  <c r="CF797" i="6"/>
  <c r="CE797" i="6" s="1"/>
  <c r="CC837" i="6"/>
  <c r="CB837" i="6"/>
  <c r="BV666" i="6"/>
  <c r="BW666" i="6"/>
  <c r="BB96" i="6"/>
  <c r="CH96" i="6" s="1"/>
  <c r="CG96" i="6" s="1"/>
  <c r="CF96" i="6"/>
  <c r="CE96" i="6" s="1"/>
  <c r="BB407" i="6"/>
  <c r="CF407" i="6"/>
  <c r="CE407" i="6" s="1"/>
  <c r="BV581" i="6"/>
  <c r="BW581" i="6"/>
  <c r="CF581" i="6"/>
  <c r="CE581" i="6" s="1"/>
  <c r="CF487" i="6"/>
  <c r="CE487" i="6" s="1"/>
  <c r="BW487" i="6"/>
  <c r="CD487" i="6" s="1"/>
  <c r="BV487" i="6"/>
  <c r="BV851" i="6"/>
  <c r="CF851" i="6"/>
  <c r="CE851" i="6" s="1"/>
  <c r="BW851" i="6"/>
  <c r="BV462" i="6"/>
  <c r="BW462" i="6"/>
  <c r="CF462" i="6"/>
  <c r="CE462" i="6" s="1"/>
  <c r="CF437" i="6"/>
  <c r="CE437" i="6" s="1"/>
  <c r="CD437" i="6"/>
  <c r="BB437" i="6"/>
  <c r="BW804" i="6"/>
  <c r="CD804" i="6" s="1"/>
  <c r="CF804" i="6"/>
  <c r="CE804" i="6" s="1"/>
  <c r="BV804" i="6"/>
  <c r="BV673" i="6"/>
  <c r="CF673" i="6"/>
  <c r="CE673" i="6" s="1"/>
  <c r="BW673" i="6"/>
  <c r="CB343" i="6"/>
  <c r="CC343" i="6"/>
  <c r="CF144" i="6"/>
  <c r="CE144" i="6" s="1"/>
  <c r="CC144" i="6"/>
  <c r="CD144" i="6" s="1"/>
  <c r="CB144" i="6"/>
  <c r="CH144" i="6" s="1"/>
  <c r="CG144" i="6" s="1"/>
  <c r="BV796" i="6"/>
  <c r="BW796" i="6"/>
  <c r="CD796" i="6" s="1"/>
  <c r="BB259" i="6"/>
  <c r="CF259" i="6"/>
  <c r="CE259" i="6" s="1"/>
  <c r="CF394" i="6"/>
  <c r="CE394" i="6" s="1"/>
  <c r="BB394" i="6"/>
  <c r="CH394" i="6" s="1"/>
  <c r="CG394" i="6" s="1"/>
  <c r="CD394" i="6"/>
  <c r="CF916" i="6"/>
  <c r="CE916" i="6" s="1"/>
  <c r="CC916" i="6"/>
  <c r="CD916" i="6" s="1"/>
  <c r="CB916" i="6"/>
  <c r="CH916" i="6" s="1"/>
  <c r="CG916" i="6" s="1"/>
  <c r="BB563" i="6"/>
  <c r="CF563" i="6"/>
  <c r="CE563" i="6" s="1"/>
  <c r="CF334" i="6"/>
  <c r="CE334" i="6" s="1"/>
  <c r="BB334" i="6"/>
  <c r="CH334" i="6" s="1"/>
  <c r="CG334" i="6" s="1"/>
  <c r="CD334" i="6"/>
  <c r="BB800" i="6"/>
  <c r="CH800" i="6" s="1"/>
  <c r="CG800" i="6" s="1"/>
  <c r="CF800" i="6"/>
  <c r="CE800" i="6" s="1"/>
  <c r="BB777" i="6"/>
  <c r="CF777" i="6"/>
  <c r="CE777" i="6" s="1"/>
  <c r="BW586" i="6"/>
  <c r="CD586" i="6" s="1"/>
  <c r="BV586" i="6"/>
  <c r="CF586" i="6"/>
  <c r="CE586" i="6" s="1"/>
  <c r="CC762" i="6"/>
  <c r="CB762" i="6"/>
  <c r="CH762" i="6" s="1"/>
  <c r="CG762" i="6" s="1"/>
  <c r="CF762" i="6"/>
  <c r="CE762" i="6" s="1"/>
  <c r="BB618" i="6"/>
  <c r="CF618" i="6"/>
  <c r="CE618" i="6" s="1"/>
  <c r="BW505" i="6"/>
  <c r="CF505" i="6"/>
  <c r="CE505" i="6" s="1"/>
  <c r="BV505" i="6"/>
  <c r="CC231" i="6"/>
  <c r="CD231" i="6" s="1"/>
  <c r="CB231" i="6"/>
  <c r="CH231" i="6" s="1"/>
  <c r="CG231" i="6" s="1"/>
  <c r="CF231" i="6"/>
  <c r="CE231" i="6" s="1"/>
  <c r="CB653" i="6"/>
  <c r="CH653" i="6" s="1"/>
  <c r="CG653" i="6" s="1"/>
  <c r="CC653" i="6"/>
  <c r="CD653" i="6" s="1"/>
  <c r="CF653" i="6"/>
  <c r="CE653" i="6" s="1"/>
  <c r="CC348" i="6"/>
  <c r="CB348" i="6"/>
  <c r="CC578" i="6"/>
  <c r="CD578" i="6" s="1"/>
  <c r="CB578" i="6"/>
  <c r="CH578" i="6" s="1"/>
  <c r="CG578" i="6" s="1"/>
  <c r="CF578" i="6"/>
  <c r="CE578" i="6" s="1"/>
  <c r="CF922" i="6"/>
  <c r="CE922" i="6" s="1"/>
  <c r="BB922" i="6"/>
  <c r="CC546" i="6"/>
  <c r="CB546" i="6"/>
  <c r="BV958" i="6"/>
  <c r="CH958" i="6" s="1"/>
  <c r="CG958" i="6" s="1"/>
  <c r="CF958" i="6"/>
  <c r="CE958" i="6" s="1"/>
  <c r="BW958" i="6"/>
  <c r="CB786" i="6"/>
  <c r="CH786" i="6" s="1"/>
  <c r="CG786" i="6" s="1"/>
  <c r="CC786" i="6"/>
  <c r="CD786" i="6" s="1"/>
  <c r="CF794" i="6"/>
  <c r="CE794" i="6" s="1"/>
  <c r="BW794" i="6"/>
  <c r="BV794" i="6"/>
  <c r="BW277" i="6"/>
  <c r="BV277" i="6"/>
  <c r="CH277" i="6" s="1"/>
  <c r="CG277" i="6" s="1"/>
  <c r="CF277" i="6"/>
  <c r="CE277" i="6" s="1"/>
  <c r="BW392" i="6"/>
  <c r="BV392" i="6"/>
  <c r="BV576" i="6"/>
  <c r="BW576" i="6"/>
  <c r="CF477" i="6"/>
  <c r="CE477" i="6" s="1"/>
  <c r="CC477" i="6"/>
  <c r="CB477" i="6"/>
  <c r="CF950" i="6"/>
  <c r="CE950" i="6" s="1"/>
  <c r="CB950" i="6"/>
  <c r="CC950" i="6"/>
  <c r="CF675" i="6"/>
  <c r="CE675" i="6" s="1"/>
  <c r="BV675" i="6"/>
  <c r="BW675" i="6"/>
  <c r="CC811" i="6"/>
  <c r="CB811" i="6"/>
  <c r="CF811" i="6"/>
  <c r="CE811" i="6" s="1"/>
  <c r="CF962" i="6"/>
  <c r="CE962" i="6" s="1"/>
  <c r="CB999" i="6"/>
  <c r="CC999" i="6"/>
  <c r="BV514" i="6"/>
  <c r="BW514" i="6"/>
  <c r="CF763" i="6"/>
  <c r="CE763" i="6" s="1"/>
  <c r="BB763" i="6"/>
  <c r="BV646" i="6"/>
  <c r="BW646" i="6"/>
  <c r="CD646" i="6" s="1"/>
  <c r="CF42" i="6"/>
  <c r="CE42" i="6" s="1"/>
  <c r="BB42" i="6"/>
  <c r="BW682" i="6"/>
  <c r="BV682" i="6"/>
  <c r="CF495" i="6"/>
  <c r="CE495" i="6" s="1"/>
  <c r="BB495" i="6"/>
  <c r="BB870" i="6"/>
  <c r="CF870" i="6"/>
  <c r="CE870" i="6" s="1"/>
  <c r="BB329" i="6"/>
  <c r="CF329" i="6"/>
  <c r="CE329" i="6" s="1"/>
  <c r="BV866" i="6"/>
  <c r="BW866" i="6"/>
  <c r="CF465" i="6"/>
  <c r="CE465" i="6" s="1"/>
  <c r="BB465" i="6"/>
  <c r="CB599" i="6"/>
  <c r="CC599" i="6"/>
  <c r="BV805" i="6"/>
  <c r="BW805" i="6"/>
  <c r="CD805" i="6" s="1"/>
  <c r="BB174" i="6"/>
  <c r="CF174" i="6"/>
  <c r="CE174" i="6" s="1"/>
  <c r="CF953" i="6"/>
  <c r="CE953" i="6" s="1"/>
  <c r="BB953" i="6"/>
  <c r="CC610" i="6"/>
  <c r="CB610" i="6"/>
  <c r="CC121" i="6"/>
  <c r="CB121" i="6"/>
  <c r="BB269" i="6"/>
  <c r="CF269" i="6"/>
  <c r="CE269" i="6" s="1"/>
  <c r="BB67" i="6"/>
  <c r="CF67" i="6"/>
  <c r="CE67" i="6" s="1"/>
  <c r="BW714" i="6"/>
  <c r="BV714" i="6"/>
  <c r="BW117" i="6"/>
  <c r="BV117" i="6"/>
  <c r="BB891" i="6"/>
  <c r="CF891" i="6"/>
  <c r="CE891" i="6" s="1"/>
  <c r="BV253" i="6"/>
  <c r="BW253" i="6"/>
  <c r="BW798" i="6"/>
  <c r="BV798" i="6"/>
  <c r="BB423" i="6"/>
  <c r="CF423" i="6"/>
  <c r="CE423" i="6" s="1"/>
  <c r="CC485" i="6"/>
  <c r="CB485" i="6"/>
  <c r="BO220" i="6"/>
  <c r="BP220" i="6"/>
  <c r="BB1024" i="6"/>
  <c r="CF1024" i="6"/>
  <c r="CE1024" i="6" s="1"/>
  <c r="CC911" i="6"/>
  <c r="CB911" i="6"/>
  <c r="CF15" i="6"/>
  <c r="CE15" i="6" s="1"/>
  <c r="BW15" i="6"/>
  <c r="BV15" i="6"/>
  <c r="BB83" i="6"/>
  <c r="CF83" i="6"/>
  <c r="CE83" i="6" s="1"/>
  <c r="BB626" i="6"/>
  <c r="CF626" i="6"/>
  <c r="CE626" i="6" s="1"/>
  <c r="BB246" i="6"/>
  <c r="CF246" i="6"/>
  <c r="CE246" i="6" s="1"/>
  <c r="BB460" i="6"/>
  <c r="CF460" i="6"/>
  <c r="CE460" i="6" s="1"/>
  <c r="BV471" i="6"/>
  <c r="BW471" i="6"/>
  <c r="BV428" i="6"/>
  <c r="BW428" i="6"/>
  <c r="CD428" i="6" s="1"/>
  <c r="BV902" i="6"/>
  <c r="BW902" i="6"/>
  <c r="CF415" i="6"/>
  <c r="CE415" i="6" s="1"/>
  <c r="BB415" i="6"/>
  <c r="BV515" i="6"/>
  <c r="BW515" i="6"/>
  <c r="CF139" i="6"/>
  <c r="CE139" i="6" s="1"/>
  <c r="BB139" i="6"/>
  <c r="BW564" i="6"/>
  <c r="BV564" i="6"/>
  <c r="CC99" i="6"/>
  <c r="CD99" i="6" s="1"/>
  <c r="CB99" i="6"/>
  <c r="BB412" i="6"/>
  <c r="CF412" i="6"/>
  <c r="CE412" i="6" s="1"/>
  <c r="BV271" i="6"/>
  <c r="BW271" i="6"/>
  <c r="BW102" i="6"/>
  <c r="CD102" i="6" s="1"/>
  <c r="BV102" i="6"/>
  <c r="CB666" i="6"/>
  <c r="CC666" i="6"/>
  <c r="CC683" i="6"/>
  <c r="CB683" i="6"/>
  <c r="BB969" i="6"/>
  <c r="CF969" i="6"/>
  <c r="CE969" i="6" s="1"/>
  <c r="BW837" i="6"/>
  <c r="BV837" i="6"/>
  <c r="CF10" i="6"/>
  <c r="CE10" i="6" s="1"/>
  <c r="BB10" i="6"/>
  <c r="BB380" i="6"/>
  <c r="CF380" i="6"/>
  <c r="CE380" i="6" s="1"/>
  <c r="CC324" i="6"/>
  <c r="CD324" i="6" s="1"/>
  <c r="CB324" i="6"/>
  <c r="BW377" i="6"/>
  <c r="CD377" i="6" s="1"/>
  <c r="BV377" i="6"/>
  <c r="CF955" i="6"/>
  <c r="CE955" i="6" s="1"/>
  <c r="BB955" i="6"/>
  <c r="BV677" i="6"/>
  <c r="BW677" i="6"/>
  <c r="CD677" i="6" s="1"/>
  <c r="CC350" i="6"/>
  <c r="CD350" i="6" s="1"/>
  <c r="CB350" i="6"/>
  <c r="CF467" i="6"/>
  <c r="CE467" i="6" s="1"/>
  <c r="BB467" i="6"/>
  <c r="BB20" i="6"/>
  <c r="CF20" i="6"/>
  <c r="CE20" i="6" s="1"/>
  <c r="CC733" i="6"/>
  <c r="CF733" i="6"/>
  <c r="CE733" i="6" s="1"/>
  <c r="CB733" i="6"/>
  <c r="BV214" i="6"/>
  <c r="CF214" i="6"/>
  <c r="CE214" i="6" s="1"/>
  <c r="BW214" i="6"/>
  <c r="CC835" i="6"/>
  <c r="CB835" i="6"/>
  <c r="CB175" i="6"/>
  <c r="CC175" i="6"/>
  <c r="BV630" i="6"/>
  <c r="BW630" i="6"/>
  <c r="CF630" i="6"/>
  <c r="CE630" i="6" s="1"/>
  <c r="CB8" i="6"/>
  <c r="CH8" i="6" s="1"/>
  <c r="CG8" i="6" s="1"/>
  <c r="CC8" i="6"/>
  <c r="CD8" i="6" s="1"/>
  <c r="CF8" i="6"/>
  <c r="CE8" i="6" s="1"/>
  <c r="BB833" i="6"/>
  <c r="CF833" i="6"/>
  <c r="CE833" i="6" s="1"/>
  <c r="BW343" i="6"/>
  <c r="CF343" i="6"/>
  <c r="CE343" i="6" s="1"/>
  <c r="BV343" i="6"/>
  <c r="CF458" i="6"/>
  <c r="CE458" i="6" s="1"/>
  <c r="BV458" i="6"/>
  <c r="CH458" i="6" s="1"/>
  <c r="CG458" i="6" s="1"/>
  <c r="BW458" i="6"/>
  <c r="CD458" i="6" s="1"/>
  <c r="BB207" i="6"/>
  <c r="CH207" i="6" s="1"/>
  <c r="CG207" i="6" s="1"/>
  <c r="CF207" i="6"/>
  <c r="CE207" i="6" s="1"/>
  <c r="CD207" i="6"/>
  <c r="BV9" i="6"/>
  <c r="CF9" i="6"/>
  <c r="CE9" i="6" s="1"/>
  <c r="BW9" i="6"/>
  <c r="CF796" i="6"/>
  <c r="CE796" i="6" s="1"/>
  <c r="CF576" i="6"/>
  <c r="CE576" i="6" s="1"/>
  <c r="CF157" i="6"/>
  <c r="CE157" i="6" s="1"/>
  <c r="BI468" i="6"/>
  <c r="BH468" i="6"/>
  <c r="BB143" i="6"/>
  <c r="CF143" i="6"/>
  <c r="CE143" i="6" s="1"/>
  <c r="BB228" i="6"/>
  <c r="CF228" i="6"/>
  <c r="CE228" i="6" s="1"/>
  <c r="CC391" i="6"/>
  <c r="CD391" i="6" s="1"/>
  <c r="CB391" i="6"/>
  <c r="BV681" i="6"/>
  <c r="BW681" i="6"/>
  <c r="CC638" i="6"/>
  <c r="CD638" i="6" s="1"/>
  <c r="CB638" i="6"/>
  <c r="BV511" i="6"/>
  <c r="BW511" i="6"/>
  <c r="CF540" i="6"/>
  <c r="CE540" i="6" s="1"/>
  <c r="BB540" i="6"/>
  <c r="BB572" i="6"/>
  <c r="CF572" i="6"/>
  <c r="CE572" i="6" s="1"/>
  <c r="BB522" i="6"/>
  <c r="CF522" i="6"/>
  <c r="CE522" i="6" s="1"/>
  <c r="BV947" i="6"/>
  <c r="BW947" i="6"/>
  <c r="BO820" i="6"/>
  <c r="BP820" i="6"/>
  <c r="CC757" i="6"/>
  <c r="CD757" i="6" s="1"/>
  <c r="CB757" i="6"/>
  <c r="BB504" i="6"/>
  <c r="CF504" i="6"/>
  <c r="CE504" i="6" s="1"/>
  <c r="CB323" i="6"/>
  <c r="CC323" i="6"/>
  <c r="CD323" i="6" s="1"/>
  <c r="BW239" i="6"/>
  <c r="BV239" i="6"/>
  <c r="CF239" i="6"/>
  <c r="CE239" i="6" s="1"/>
  <c r="CF823" i="6"/>
  <c r="CE823" i="6" s="1"/>
  <c r="BB823" i="6"/>
  <c r="CC691" i="6"/>
  <c r="CD691" i="6" s="1"/>
  <c r="CB691" i="6"/>
  <c r="CB409" i="6"/>
  <c r="CC409" i="6"/>
  <c r="CD409" i="6" s="1"/>
  <c r="CB640" i="6"/>
  <c r="CC640" i="6"/>
  <c r="CD640" i="6" s="1"/>
  <c r="BV698" i="6"/>
  <c r="BW698" i="6"/>
  <c r="CD698" i="6" s="1"/>
  <c r="CF103" i="6"/>
  <c r="CE103" i="6" s="1"/>
  <c r="BB103" i="6"/>
  <c r="CC729" i="6"/>
  <c r="CD729" i="6" s="1"/>
  <c r="CB729" i="6"/>
  <c r="BB315" i="6"/>
  <c r="CF315" i="6"/>
  <c r="CE315" i="6" s="1"/>
  <c r="BB212" i="6"/>
  <c r="CF212" i="6"/>
  <c r="CE212" i="6" s="1"/>
  <c r="BB224" i="6"/>
  <c r="CF224" i="6"/>
  <c r="CE224" i="6" s="1"/>
  <c r="CC890" i="6"/>
  <c r="CB890" i="6"/>
  <c r="BW890" i="6"/>
  <c r="BV890" i="6"/>
  <c r="CF890" i="6"/>
  <c r="CE890" i="6" s="1"/>
  <c r="CB247" i="6"/>
  <c r="CH247" i="6" s="1"/>
  <c r="CG247" i="6" s="1"/>
  <c r="CC247" i="6"/>
  <c r="CD247" i="6" s="1"/>
  <c r="CF247" i="6"/>
  <c r="CE247" i="6" s="1"/>
  <c r="BI23" i="6"/>
  <c r="BH23" i="6"/>
  <c r="BO23" i="6"/>
  <c r="BP23" i="6"/>
  <c r="BP172" i="6"/>
  <c r="BO172" i="6"/>
  <c r="CF172" i="6"/>
  <c r="CE172" i="6" s="1"/>
  <c r="BW992" i="6"/>
  <c r="BV992" i="6"/>
  <c r="CC498" i="6"/>
  <c r="CD498" i="6" s="1"/>
  <c r="CB498" i="6"/>
  <c r="BB694" i="6"/>
  <c r="CF694" i="6"/>
  <c r="CE694" i="6" s="1"/>
  <c r="CF656" i="6"/>
  <c r="CE656" i="6" s="1"/>
  <c r="BB656" i="6"/>
  <c r="CB584" i="6"/>
  <c r="CC584" i="6"/>
  <c r="CD584" i="6" s="1"/>
  <c r="BV70" i="6"/>
  <c r="BW70" i="6"/>
  <c r="CD70" i="6" s="1"/>
  <c r="CC534" i="6"/>
  <c r="CD534" i="6" s="1"/>
  <c r="CB534" i="6"/>
  <c r="BB220" i="6"/>
  <c r="CF220" i="6"/>
  <c r="CE220" i="6" s="1"/>
  <c r="CB986" i="6"/>
  <c r="CC986" i="6"/>
  <c r="CB826" i="6"/>
  <c r="CC826" i="6"/>
  <c r="CD826" i="6" s="1"/>
  <c r="BW197" i="6"/>
  <c r="CD197" i="6" s="1"/>
  <c r="BV197" i="6"/>
  <c r="BV690" i="6"/>
  <c r="BW690" i="6"/>
  <c r="CF690" i="6"/>
  <c r="CE690" i="6" s="1"/>
  <c r="CB561" i="6"/>
  <c r="CC561" i="6"/>
  <c r="CF705" i="6"/>
  <c r="CE705" i="6" s="1"/>
  <c r="BB705" i="6"/>
  <c r="BB511" i="6"/>
  <c r="CF511" i="6"/>
  <c r="CE511" i="6" s="1"/>
  <c r="BV834" i="6"/>
  <c r="BW834" i="6"/>
  <c r="CF834" i="6"/>
  <c r="CE834" i="6" s="1"/>
  <c r="BV417" i="6"/>
  <c r="BW417" i="6"/>
  <c r="CD417" i="6" s="1"/>
  <c r="CF864" i="6"/>
  <c r="CE864" i="6" s="1"/>
  <c r="BB864" i="6"/>
  <c r="CB540" i="6"/>
  <c r="CC540" i="6"/>
  <c r="CD540" i="6" s="1"/>
  <c r="CC157" i="6"/>
  <c r="CB157" i="6"/>
  <c r="BW572" i="6"/>
  <c r="BV572" i="6"/>
  <c r="BW135" i="6"/>
  <c r="BV135" i="6"/>
  <c r="CF135" i="6"/>
  <c r="CE135" i="6" s="1"/>
  <c r="CC522" i="6"/>
  <c r="CD522" i="6" s="1"/>
  <c r="CB522" i="6"/>
  <c r="BB933" i="6"/>
  <c r="CF933" i="6"/>
  <c r="CE933" i="6" s="1"/>
  <c r="BB947" i="6"/>
  <c r="CF947" i="6"/>
  <c r="CE947" i="6" s="1"/>
  <c r="BV335" i="6"/>
  <c r="BW335" i="6"/>
  <c r="CD335" i="6" s="1"/>
  <c r="CF820" i="6"/>
  <c r="CE820" i="6" s="1"/>
  <c r="BH820" i="6"/>
  <c r="BI820" i="6"/>
  <c r="BV33" i="6"/>
  <c r="BW33" i="6"/>
  <c r="CD33" i="6" s="1"/>
  <c r="CB84" i="6"/>
  <c r="CC84" i="6"/>
  <c r="CD84" i="6" s="1"/>
  <c r="CF790" i="6"/>
  <c r="CE790" i="6" s="1"/>
  <c r="BB790" i="6"/>
  <c r="CB825" i="6"/>
  <c r="CC825" i="6"/>
  <c r="CF612" i="6"/>
  <c r="CE612" i="6" s="1"/>
  <c r="BB612" i="6"/>
  <c r="BW823" i="6"/>
  <c r="CD823" i="6" s="1"/>
  <c r="BV823" i="6"/>
  <c r="CC680" i="6"/>
  <c r="CD680" i="6" s="1"/>
  <c r="CB680" i="6"/>
  <c r="BW737" i="6"/>
  <c r="CD737" i="6" s="1"/>
  <c r="BV737" i="6"/>
  <c r="BW464" i="6"/>
  <c r="CD464" i="6" s="1"/>
  <c r="BV464" i="6"/>
  <c r="CC310" i="6"/>
  <c r="CD310" i="6" s="1"/>
  <c r="CF310" i="6"/>
  <c r="CE310" i="6" s="1"/>
  <c r="CB310" i="6"/>
  <c r="CH310" i="6" s="1"/>
  <c r="CG310" i="6" s="1"/>
  <c r="CC566" i="6"/>
  <c r="CD566" i="6" s="1"/>
  <c r="CB566" i="6"/>
  <c r="BW114" i="6"/>
  <c r="CD114" i="6" s="1"/>
  <c r="BV114" i="6"/>
  <c r="CF256" i="6"/>
  <c r="CE256" i="6" s="1"/>
  <c r="BB256" i="6"/>
  <c r="BV188" i="6"/>
  <c r="BW188" i="6"/>
  <c r="CD188" i="6" s="1"/>
  <c r="BB895" i="6"/>
  <c r="CH895" i="6" s="1"/>
  <c r="CG895" i="6" s="1"/>
  <c r="CF895" i="6"/>
  <c r="CE895" i="6" s="1"/>
  <c r="BW832" i="6"/>
  <c r="CD832" i="6" s="1"/>
  <c r="BV832" i="6"/>
  <c r="CF366" i="6"/>
  <c r="CE366" i="6" s="1"/>
  <c r="BW366" i="6"/>
  <c r="BV366" i="6"/>
  <c r="CB210" i="6"/>
  <c r="CC210" i="6"/>
  <c r="CD210" i="6" s="1"/>
  <c r="BB378" i="6"/>
  <c r="CF378" i="6"/>
  <c r="CE378" i="6" s="1"/>
  <c r="CC929" i="6"/>
  <c r="CB929" i="6"/>
  <c r="BV224" i="6"/>
  <c r="BW224" i="6"/>
  <c r="CD224" i="6" s="1"/>
  <c r="CB734" i="6"/>
  <c r="CC734" i="6"/>
  <c r="CD734" i="6" s="1"/>
  <c r="CF645" i="6"/>
  <c r="CE645" i="6" s="1"/>
  <c r="BB645" i="6"/>
  <c r="BB217" i="6"/>
  <c r="CD217" i="6"/>
  <c r="CF217" i="6"/>
  <c r="CE217" i="6" s="1"/>
  <c r="CB836" i="6"/>
  <c r="CC836" i="6"/>
  <c r="BB667" i="6"/>
  <c r="CF667" i="6"/>
  <c r="CE667" i="6" s="1"/>
  <c r="CC953" i="6"/>
  <c r="CB953" i="6"/>
  <c r="BB828" i="6"/>
  <c r="CH828" i="6" s="1"/>
  <c r="CG828" i="6" s="1"/>
  <c r="CF828" i="6"/>
  <c r="CE828" i="6" s="1"/>
  <c r="CF789" i="6"/>
  <c r="CE789" i="6" s="1"/>
  <c r="BB789" i="6"/>
  <c r="CB682" i="6"/>
  <c r="CC682" i="6"/>
  <c r="CB727" i="6"/>
  <c r="CC727" i="6"/>
  <c r="CF727" i="6"/>
  <c r="CE727" i="6" s="1"/>
  <c r="BB533" i="6"/>
  <c r="CF533" i="6"/>
  <c r="CE533" i="6" s="1"/>
  <c r="BV903" i="6"/>
  <c r="BW903" i="6"/>
  <c r="CC238" i="6"/>
  <c r="CF238" i="6"/>
  <c r="CE238" i="6" s="1"/>
  <c r="CB238" i="6"/>
  <c r="CF759" i="6"/>
  <c r="CE759" i="6" s="1"/>
  <c r="CB759" i="6"/>
  <c r="CC759" i="6"/>
  <c r="BB923" i="6"/>
  <c r="CF923" i="6"/>
  <c r="CE923" i="6" s="1"/>
  <c r="CC52" i="6"/>
  <c r="CD52" i="6" s="1"/>
  <c r="CF52" i="6"/>
  <c r="CE52" i="6" s="1"/>
  <c r="CB52" i="6"/>
  <c r="CH52" i="6" s="1"/>
  <c r="CG52" i="6" s="1"/>
  <c r="CB416" i="6"/>
  <c r="CC416" i="6"/>
  <c r="CF186" i="6"/>
  <c r="CE186" i="6" s="1"/>
  <c r="BB186" i="6"/>
  <c r="BW610" i="6"/>
  <c r="BV610" i="6"/>
  <c r="CF792" i="6"/>
  <c r="CE792" i="6" s="1"/>
  <c r="CD792" i="6"/>
  <c r="BB792" i="6"/>
  <c r="BW611" i="6"/>
  <c r="CD611" i="6" s="1"/>
  <c r="BV611" i="6"/>
  <c r="CF611" i="6"/>
  <c r="CE611" i="6" s="1"/>
  <c r="CB219" i="6"/>
  <c r="CH219" i="6" s="1"/>
  <c r="CG219" i="6" s="1"/>
  <c r="CF219" i="6"/>
  <c r="CE219" i="6" s="1"/>
  <c r="CC219" i="6"/>
  <c r="CD219" i="6" s="1"/>
  <c r="BV976" i="6"/>
  <c r="BW976" i="6"/>
  <c r="CD976" i="6" s="1"/>
  <c r="CF976" i="6"/>
  <c r="CE976" i="6" s="1"/>
  <c r="BB357" i="6"/>
  <c r="CF357" i="6"/>
  <c r="CE357" i="6" s="1"/>
  <c r="CF622" i="6"/>
  <c r="CE622" i="6" s="1"/>
  <c r="CD622" i="6"/>
  <c r="BB622" i="6"/>
  <c r="CB647" i="6"/>
  <c r="CC647" i="6"/>
  <c r="CC196" i="6"/>
  <c r="CB196" i="6"/>
  <c r="CF196" i="6"/>
  <c r="CE196" i="6" s="1"/>
  <c r="BW123" i="6"/>
  <c r="BV123" i="6"/>
  <c r="BW452" i="6"/>
  <c r="BV452" i="6"/>
  <c r="CF452" i="6"/>
  <c r="CE452" i="6" s="1"/>
  <c r="CB9" i="6"/>
  <c r="CC9" i="6"/>
  <c r="CF403" i="6"/>
  <c r="CE403" i="6" s="1"/>
  <c r="BB403" i="6"/>
  <c r="CD403" i="6"/>
  <c r="CC46" i="6"/>
  <c r="CD46" i="6" s="1"/>
  <c r="CF46" i="6"/>
  <c r="CE46" i="6" s="1"/>
  <c r="CB46" i="6"/>
  <c r="CH46" i="6" s="1"/>
  <c r="CG46" i="6" s="1"/>
  <c r="CF11" i="6"/>
  <c r="CE11" i="6" s="1"/>
  <c r="BB11" i="6"/>
  <c r="CH11" i="6" s="1"/>
  <c r="CG11" i="6" s="1"/>
  <c r="CD11" i="6"/>
  <c r="CF724" i="6"/>
  <c r="CE724" i="6" s="1"/>
  <c r="BB724" i="6"/>
  <c r="CD724" i="6"/>
  <c r="CC360" i="6"/>
  <c r="CD360" i="6" s="1"/>
  <c r="CB360" i="6"/>
  <c r="CH360" i="6" s="1"/>
  <c r="CG360" i="6" s="1"/>
  <c r="CF360" i="6"/>
  <c r="CE360" i="6" s="1"/>
  <c r="CF751" i="6"/>
  <c r="CE751" i="6" s="1"/>
  <c r="BV751" i="6"/>
  <c r="CH751" i="6" s="1"/>
  <c r="CG751" i="6" s="1"/>
  <c r="BW751" i="6"/>
  <c r="CC32" i="6"/>
  <c r="CB32" i="6"/>
  <c r="CF32" i="6"/>
  <c r="CE32" i="6" s="1"/>
  <c r="BB189" i="6"/>
  <c r="CF189" i="6"/>
  <c r="CE189" i="6" s="1"/>
  <c r="BV500" i="6"/>
  <c r="CH500" i="6" s="1"/>
  <c r="CG500" i="6" s="1"/>
  <c r="CF500" i="6"/>
  <c r="CE500" i="6" s="1"/>
  <c r="BW500" i="6"/>
  <c r="CD500" i="6" s="1"/>
  <c r="BV14" i="6"/>
  <c r="CH14" i="6" s="1"/>
  <c r="CG14" i="6" s="1"/>
  <c r="CF14" i="6"/>
  <c r="CE14" i="6" s="1"/>
  <c r="BW14" i="6"/>
  <c r="CD14" i="6" s="1"/>
  <c r="CC268" i="6"/>
  <c r="CD268" i="6" s="1"/>
  <c r="CF268" i="6"/>
  <c r="CE268" i="6" s="1"/>
  <c r="CB268" i="6"/>
  <c r="CH268" i="6" s="1"/>
  <c r="CG268" i="6" s="1"/>
  <c r="CB471" i="6"/>
  <c r="CC471" i="6"/>
  <c r="CC865" i="6"/>
  <c r="CF865" i="6"/>
  <c r="CE865" i="6" s="1"/>
  <c r="CB865" i="6"/>
  <c r="CH865" i="6" s="1"/>
  <c r="CG865" i="6" s="1"/>
  <c r="CF485" i="6"/>
  <c r="CE485" i="6" s="1"/>
  <c r="BB485" i="6"/>
  <c r="BB379" i="6"/>
  <c r="CH379" i="6" s="1"/>
  <c r="CG379" i="6" s="1"/>
  <c r="CF379" i="6"/>
  <c r="CE379" i="6" s="1"/>
  <c r="BV659" i="6"/>
  <c r="BW659" i="6"/>
  <c r="CD659" i="6" s="1"/>
  <c r="BW165" i="6"/>
  <c r="BV165" i="6"/>
  <c r="CF165" i="6"/>
  <c r="CE165" i="6" s="1"/>
  <c r="CF975" i="6"/>
  <c r="CE975" i="6" s="1"/>
  <c r="CD975" i="6"/>
  <c r="BB975" i="6"/>
  <c r="CH975" i="6" s="1"/>
  <c r="CG975" i="6" s="1"/>
  <c r="CC598" i="6"/>
  <c r="CF598" i="6"/>
  <c r="CE598" i="6" s="1"/>
  <c r="CB598" i="6"/>
  <c r="CH598" i="6" s="1"/>
  <c r="CG598" i="6" s="1"/>
  <c r="BB981" i="6"/>
  <c r="CF981" i="6"/>
  <c r="CE981" i="6" s="1"/>
  <c r="CD981" i="6"/>
  <c r="CB494" i="6"/>
  <c r="CF494" i="6"/>
  <c r="CE494" i="6" s="1"/>
  <c r="CC494" i="6"/>
  <c r="CB662" i="6"/>
  <c r="CH662" i="6" s="1"/>
  <c r="CG662" i="6" s="1"/>
  <c r="CC662" i="6"/>
  <c r="CF662" i="6"/>
  <c r="CE662" i="6" s="1"/>
  <c r="CC76" i="6"/>
  <c r="CD76" i="6" s="1"/>
  <c r="CF76" i="6"/>
  <c r="CE76" i="6" s="1"/>
  <c r="CB76" i="6"/>
  <c r="BV333" i="6"/>
  <c r="BW333" i="6"/>
  <c r="CF990" i="6"/>
  <c r="CE990" i="6" s="1"/>
  <c r="BV990" i="6"/>
  <c r="BW990" i="6"/>
  <c r="CC118" i="6"/>
  <c r="CF118" i="6"/>
  <c r="CE118" i="6" s="1"/>
  <c r="CB118" i="6"/>
  <c r="BB999" i="6"/>
  <c r="CF999" i="6"/>
  <c r="CE999" i="6" s="1"/>
  <c r="CH1004" i="6"/>
  <c r="CG1004" i="6" s="1"/>
  <c r="BB514" i="6"/>
  <c r="CC763" i="6"/>
  <c r="CD763" i="6" s="1"/>
  <c r="CB763" i="6"/>
  <c r="CF646" i="6"/>
  <c r="CE646" i="6" s="1"/>
  <c r="BB646" i="6"/>
  <c r="BV42" i="6"/>
  <c r="BW42" i="6"/>
  <c r="CD42" i="6" s="1"/>
  <c r="CF682" i="6"/>
  <c r="CE682" i="6" s="1"/>
  <c r="BB682" i="6"/>
  <c r="BW495" i="6"/>
  <c r="CD495" i="6" s="1"/>
  <c r="BV495" i="6"/>
  <c r="CB870" i="6"/>
  <c r="CC870" i="6"/>
  <c r="CD870" i="6" s="1"/>
  <c r="CC329" i="6"/>
  <c r="CB329" i="6"/>
  <c r="BB866" i="6"/>
  <c r="CF866" i="6"/>
  <c r="CE866" i="6" s="1"/>
  <c r="BV465" i="6"/>
  <c r="BW465" i="6"/>
  <c r="CD465" i="6" s="1"/>
  <c r="BV599" i="6"/>
  <c r="BW599" i="6"/>
  <c r="CC125" i="6"/>
  <c r="CB125" i="6"/>
  <c r="CB23" i="6"/>
  <c r="CC23" i="6"/>
  <c r="BB704" i="6"/>
  <c r="CF704" i="6"/>
  <c r="CE704" i="6" s="1"/>
  <c r="BW641" i="6"/>
  <c r="BV641" i="6"/>
  <c r="CF641" i="6"/>
  <c r="CE641" i="6" s="1"/>
  <c r="CC113" i="6"/>
  <c r="CD113" i="6" s="1"/>
  <c r="CB113" i="6"/>
  <c r="BW180" i="6"/>
  <c r="BV180" i="6"/>
  <c r="BB896" i="6"/>
  <c r="CF896" i="6"/>
  <c r="CE896" i="6" s="1"/>
  <c r="BB418" i="6"/>
  <c r="CF418" i="6"/>
  <c r="CE418" i="6" s="1"/>
  <c r="CF963" i="6"/>
  <c r="CE963" i="6" s="1"/>
  <c r="BB963" i="6"/>
  <c r="BV195" i="6"/>
  <c r="BW195" i="6"/>
  <c r="CD195" i="6" s="1"/>
  <c r="BW156" i="6"/>
  <c r="CF156" i="6"/>
  <c r="CE156" i="6" s="1"/>
  <c r="BV156" i="6"/>
  <c r="CC136" i="6"/>
  <c r="CB136" i="6"/>
  <c r="CB66" i="6"/>
  <c r="CC66" i="6"/>
  <c r="BP726" i="6"/>
  <c r="CD726" i="6" s="1"/>
  <c r="BO726" i="6"/>
  <c r="BO884" i="6"/>
  <c r="BP884" i="6"/>
  <c r="CC319" i="6"/>
  <c r="CB319" i="6"/>
  <c r="CC439" i="6"/>
  <c r="CB439" i="6"/>
  <c r="BV443" i="6"/>
  <c r="BW443" i="6"/>
  <c r="CD443" i="6" s="1"/>
  <c r="CC903" i="6"/>
  <c r="CB903" i="6"/>
  <c r="BW100" i="6"/>
  <c r="CD100" i="6" s="1"/>
  <c r="BV100" i="6"/>
  <c r="CC552" i="6"/>
  <c r="CD552" i="6" s="1"/>
  <c r="CB552" i="6"/>
  <c r="BB816" i="6"/>
  <c r="CF816" i="6"/>
  <c r="CE816" i="6" s="1"/>
  <c r="BV589" i="6"/>
  <c r="CH589" i="6" s="1"/>
  <c r="CG589" i="6" s="1"/>
  <c r="BW589" i="6"/>
  <c r="CD589" i="6" s="1"/>
  <c r="BB471" i="6"/>
  <c r="CF471" i="6"/>
  <c r="CE471" i="6" s="1"/>
  <c r="BB428" i="6"/>
  <c r="CF428" i="6"/>
  <c r="CE428" i="6" s="1"/>
  <c r="BB902" i="6"/>
  <c r="CF902" i="6"/>
  <c r="CE902" i="6" s="1"/>
  <c r="CC415" i="6"/>
  <c r="CD415" i="6" s="1"/>
  <c r="CB415" i="6"/>
  <c r="BB515" i="6"/>
  <c r="CF515" i="6"/>
  <c r="CE515" i="6" s="1"/>
  <c r="BV139" i="6"/>
  <c r="BW139" i="6"/>
  <c r="CD139" i="6" s="1"/>
  <c r="CC563" i="6"/>
  <c r="CD563" i="6" s="1"/>
  <c r="CB563" i="6"/>
  <c r="BB99" i="6"/>
  <c r="CF99" i="6"/>
  <c r="CE99" i="6" s="1"/>
  <c r="BV412" i="6"/>
  <c r="BW412" i="6"/>
  <c r="BV835" i="6"/>
  <c r="BW835" i="6"/>
  <c r="CF835" i="6"/>
  <c r="CE835" i="6" s="1"/>
  <c r="BB102" i="6"/>
  <c r="CF102" i="6"/>
  <c r="CE102" i="6" s="1"/>
  <c r="CF666" i="6"/>
  <c r="CE666" i="6" s="1"/>
  <c r="BB666" i="6"/>
  <c r="BB965" i="6"/>
  <c r="CF965" i="6"/>
  <c r="CE965" i="6" s="1"/>
  <c r="CF416" i="6"/>
  <c r="CE416" i="6" s="1"/>
  <c r="BB416" i="6"/>
  <c r="BB319" i="6"/>
  <c r="CF319" i="6"/>
  <c r="CE319" i="6" s="1"/>
  <c r="CB10" i="6"/>
  <c r="CC10" i="6"/>
  <c r="CD10" i="6" s="1"/>
  <c r="CB380" i="6"/>
  <c r="CC380" i="6"/>
  <c r="CD380" i="6" s="1"/>
  <c r="BB324" i="6"/>
  <c r="CF324" i="6"/>
  <c r="CE324" i="6" s="1"/>
  <c r="CB474" i="6"/>
  <c r="CC474" i="6"/>
  <c r="CD474" i="6" s="1"/>
  <c r="CB955" i="6"/>
  <c r="CC955" i="6"/>
  <c r="CD955" i="6" s="1"/>
  <c r="BB677" i="6"/>
  <c r="CF677" i="6"/>
  <c r="CE677" i="6" s="1"/>
  <c r="BB350" i="6"/>
  <c r="CF350" i="6"/>
  <c r="CE350" i="6" s="1"/>
  <c r="CC226" i="6"/>
  <c r="CD226" i="6" s="1"/>
  <c r="CF226" i="6"/>
  <c r="CE226" i="6" s="1"/>
  <c r="CB226" i="6"/>
  <c r="CH226" i="6" s="1"/>
  <c r="CG226" i="6" s="1"/>
  <c r="BW218" i="6"/>
  <c r="BV218" i="6"/>
  <c r="CF218" i="6"/>
  <c r="CE218" i="6" s="1"/>
  <c r="CF192" i="6"/>
  <c r="CE192" i="6" s="1"/>
  <c r="CB192" i="6"/>
  <c r="CC192" i="6"/>
  <c r="BB468" i="6"/>
  <c r="CF468" i="6"/>
  <c r="CE468" i="6" s="1"/>
  <c r="BW909" i="6"/>
  <c r="CD909" i="6" s="1"/>
  <c r="BV909" i="6"/>
  <c r="CH909" i="6" s="1"/>
  <c r="CG909" i="6" s="1"/>
  <c r="CF909" i="6"/>
  <c r="CE909" i="6" s="1"/>
  <c r="CF424" i="6"/>
  <c r="CE424" i="6" s="1"/>
  <c r="BB424" i="6"/>
  <c r="BV978" i="6"/>
  <c r="CH978" i="6" s="1"/>
  <c r="CG978" i="6" s="1"/>
  <c r="BW978" i="6"/>
  <c r="CF978" i="6"/>
  <c r="CE978" i="6" s="1"/>
  <c r="BV389" i="6"/>
  <c r="BW389" i="6"/>
  <c r="CF389" i="6"/>
  <c r="CE389" i="6" s="1"/>
  <c r="CB187" i="6"/>
  <c r="CF187" i="6"/>
  <c r="CE187" i="6" s="1"/>
  <c r="CC187" i="6"/>
  <c r="CD187" i="6" s="1"/>
  <c r="CD54" i="6"/>
  <c r="CF54" i="6"/>
  <c r="CE54" i="6" s="1"/>
  <c r="BB54" i="6"/>
  <c r="CH54" i="6" s="1"/>
  <c r="CG54" i="6" s="1"/>
  <c r="CD354" i="6"/>
  <c r="BB354" i="6"/>
  <c r="CH354" i="6" s="1"/>
  <c r="CG354" i="6" s="1"/>
  <c r="CF354" i="6"/>
  <c r="CE354" i="6" s="1"/>
  <c r="CB945" i="6"/>
  <c r="CF945" i="6"/>
  <c r="CE945" i="6" s="1"/>
  <c r="CC945" i="6"/>
  <c r="CF223" i="6"/>
  <c r="CE223" i="6" s="1"/>
  <c r="CF333" i="6"/>
  <c r="CE333" i="6" s="1"/>
  <c r="CF659" i="6"/>
  <c r="CE659" i="6" s="1"/>
  <c r="CF786" i="6"/>
  <c r="CE786" i="6" s="1"/>
  <c r="CF352" i="6"/>
  <c r="CE352" i="6" s="1"/>
  <c r="CF456" i="6"/>
  <c r="CE456" i="6" s="1"/>
  <c r="BP412" i="6"/>
  <c r="BO412" i="6"/>
  <c r="BV986" i="6"/>
  <c r="BW986" i="6"/>
  <c r="BB373" i="6"/>
  <c r="CF373" i="6"/>
  <c r="CE373" i="6" s="1"/>
  <c r="BW549" i="6"/>
  <c r="BV549" i="6"/>
  <c r="CF549" i="6"/>
  <c r="CE549" i="6" s="1"/>
  <c r="BW855" i="6"/>
  <c r="CD855" i="6" s="1"/>
  <c r="BV855" i="6"/>
  <c r="CB705" i="6"/>
  <c r="CC705" i="6"/>
  <c r="BB417" i="6"/>
  <c r="CF417" i="6"/>
  <c r="CE417" i="6" s="1"/>
  <c r="BV864" i="6"/>
  <c r="BW864" i="6"/>
  <c r="CD864" i="6" s="1"/>
  <c r="CB135" i="6"/>
  <c r="CC135" i="6"/>
  <c r="CB933" i="6"/>
  <c r="CC933" i="6"/>
  <c r="CD933" i="6" s="1"/>
  <c r="BV331" i="6"/>
  <c r="BW331" i="6"/>
  <c r="CD331" i="6" s="1"/>
  <c r="BI739" i="6"/>
  <c r="CF739" i="6"/>
  <c r="CE739" i="6" s="1"/>
  <c r="BH739" i="6"/>
  <c r="CF498" i="6"/>
  <c r="CE498" i="6" s="1"/>
  <c r="BB498" i="6"/>
  <c r="CB656" i="6"/>
  <c r="CC656" i="6"/>
  <c r="CD656" i="6" s="1"/>
  <c r="BB70" i="6"/>
  <c r="CF70" i="6"/>
  <c r="CE70" i="6" s="1"/>
  <c r="BB534" i="6"/>
  <c r="CF534" i="6"/>
  <c r="CE534" i="6" s="1"/>
  <c r="CC220" i="6"/>
  <c r="CB220" i="6"/>
  <c r="BB826" i="6"/>
  <c r="CF826" i="6"/>
  <c r="CE826" i="6" s="1"/>
  <c r="BB197" i="6"/>
  <c r="CF197" i="6"/>
  <c r="CE197" i="6" s="1"/>
  <c r="CB690" i="6"/>
  <c r="CC690" i="6"/>
  <c r="CF561" i="6"/>
  <c r="CE561" i="6" s="1"/>
  <c r="BW561" i="6"/>
  <c r="BV561" i="6"/>
  <c r="CC784" i="6"/>
  <c r="CD784" i="6" s="1"/>
  <c r="CB784" i="6"/>
  <c r="CF185" i="6"/>
  <c r="CE185" i="6" s="1"/>
  <c r="BB185" i="6"/>
  <c r="CF493" i="6"/>
  <c r="CE493" i="6" s="1"/>
  <c r="BB493" i="6"/>
  <c r="BB176" i="6"/>
  <c r="CF176" i="6"/>
  <c r="CE176" i="6" s="1"/>
  <c r="BV127" i="6"/>
  <c r="BW127" i="6"/>
  <c r="CF161" i="6"/>
  <c r="CE161" i="6" s="1"/>
  <c r="BB161" i="6"/>
  <c r="BW7" i="6"/>
  <c r="BV7" i="6"/>
  <c r="BB396" i="6"/>
  <c r="CF396" i="6"/>
  <c r="CE396" i="6" s="1"/>
  <c r="CB846" i="6"/>
  <c r="CC846" i="6"/>
  <c r="CD846" i="6" s="1"/>
  <c r="CB126" i="6"/>
  <c r="CC126" i="6"/>
  <c r="CB486" i="6"/>
  <c r="CC486" i="6"/>
  <c r="CD486" i="6" s="1"/>
  <c r="BV991" i="6"/>
  <c r="BW991" i="6"/>
  <c r="BB33" i="6"/>
  <c r="CF33" i="6"/>
  <c r="CE33" i="6" s="1"/>
  <c r="CF84" i="6"/>
  <c r="CE84" i="6" s="1"/>
  <c r="BB84" i="6"/>
  <c r="CC790" i="6"/>
  <c r="CD790" i="6" s="1"/>
  <c r="CB790" i="6"/>
  <c r="CF825" i="6"/>
  <c r="CE825" i="6" s="1"/>
  <c r="BB825" i="6"/>
  <c r="CC612" i="6"/>
  <c r="CD612" i="6" s="1"/>
  <c r="CB612" i="6"/>
  <c r="BB529" i="6"/>
  <c r="CH529" i="6" s="1"/>
  <c r="CG529" i="6" s="1"/>
  <c r="CF529" i="6"/>
  <c r="CE529" i="6" s="1"/>
  <c r="CD529" i="6"/>
  <c r="BB680" i="6"/>
  <c r="CF680" i="6"/>
  <c r="CE680" i="6" s="1"/>
  <c r="BB737" i="6"/>
  <c r="CF737" i="6"/>
  <c r="CE737" i="6" s="1"/>
  <c r="CF464" i="6"/>
  <c r="CE464" i="6" s="1"/>
  <c r="BB464" i="6"/>
  <c r="BW94" i="6"/>
  <c r="CD94" i="6" s="1"/>
  <c r="CF94" i="6"/>
  <c r="CE94" i="6" s="1"/>
  <c r="BV94" i="6"/>
  <c r="CH94" i="6" s="1"/>
  <c r="CG94" i="6" s="1"/>
  <c r="CF566" i="6"/>
  <c r="CE566" i="6" s="1"/>
  <c r="BB566" i="6"/>
  <c r="CF114" i="6"/>
  <c r="CE114" i="6" s="1"/>
  <c r="BB114" i="6"/>
  <c r="CC256" i="6"/>
  <c r="CD256" i="6" s="1"/>
  <c r="CB256" i="6"/>
  <c r="BB188" i="6"/>
  <c r="CF188" i="6"/>
  <c r="CE188" i="6" s="1"/>
  <c r="BB741" i="6"/>
  <c r="CF741" i="6"/>
  <c r="CE741" i="6" s="1"/>
  <c r="BB832" i="6"/>
  <c r="CF832" i="6"/>
  <c r="CE832" i="6" s="1"/>
  <c r="CB366" i="6"/>
  <c r="CC366" i="6"/>
  <c r="BB210" i="6"/>
  <c r="CF210" i="6"/>
  <c r="CE210" i="6" s="1"/>
  <c r="CB378" i="6"/>
  <c r="CC378" i="6"/>
  <c r="CD378" i="6" s="1"/>
  <c r="BW929" i="6"/>
  <c r="BV929" i="6"/>
  <c r="BW141" i="6"/>
  <c r="BV141" i="6"/>
  <c r="CF141" i="6"/>
  <c r="CE141" i="6" s="1"/>
  <c r="BB734" i="6"/>
  <c r="CF734" i="6"/>
  <c r="CE734" i="6" s="1"/>
  <c r="CF225" i="6"/>
  <c r="CE225" i="6" s="1"/>
  <c r="BB225" i="6"/>
  <c r="CH225" i="6" s="1"/>
  <c r="CG225" i="6" s="1"/>
  <c r="BB568" i="6"/>
  <c r="CF568" i="6"/>
  <c r="CE568" i="6" s="1"/>
  <c r="CF639" i="6"/>
  <c r="CE639" i="6" s="1"/>
  <c r="CC639" i="6"/>
  <c r="CB639" i="6"/>
  <c r="CC180" i="6"/>
  <c r="CB180" i="6"/>
  <c r="BW23" i="6"/>
  <c r="BV23" i="6"/>
  <c r="CF602" i="6"/>
  <c r="CE602" i="6" s="1"/>
  <c r="BB602" i="6"/>
  <c r="CH602" i="6" s="1"/>
  <c r="CG602" i="6" s="1"/>
  <c r="CF912" i="6"/>
  <c r="CE912" i="6" s="1"/>
  <c r="BW912" i="6"/>
  <c r="BV912" i="6"/>
  <c r="CF39" i="6"/>
  <c r="CE39" i="6" s="1"/>
  <c r="CC39" i="6"/>
  <c r="CB39" i="6"/>
  <c r="CH39" i="6" s="1"/>
  <c r="CG39" i="6" s="1"/>
  <c r="CF687" i="6"/>
  <c r="CE687" i="6" s="1"/>
  <c r="BV687" i="6"/>
  <c r="CH687" i="6" s="1"/>
  <c r="CG687" i="6" s="1"/>
  <c r="BW687" i="6"/>
  <c r="CD687" i="6" s="1"/>
  <c r="CC249" i="6"/>
  <c r="CB249" i="6"/>
  <c r="CH249" i="6" s="1"/>
  <c r="CG249" i="6" s="1"/>
  <c r="CF249" i="6"/>
  <c r="CE249" i="6" s="1"/>
  <c r="BV911" i="6"/>
  <c r="BW911" i="6"/>
  <c r="BV754" i="6"/>
  <c r="BW754" i="6"/>
  <c r="CD754" i="6" s="1"/>
  <c r="CC508" i="6"/>
  <c r="CB508" i="6"/>
  <c r="CF508" i="6"/>
  <c r="CE508" i="6" s="1"/>
  <c r="CB988" i="6"/>
  <c r="CC988" i="6"/>
  <c r="CF988" i="6"/>
  <c r="CE988" i="6" s="1"/>
  <c r="CF773" i="6"/>
  <c r="CE773" i="6" s="1"/>
  <c r="BB773" i="6"/>
  <c r="CH773" i="6" s="1"/>
  <c r="CG773" i="6" s="1"/>
  <c r="CB658" i="6"/>
  <c r="CC658" i="6"/>
  <c r="CC671" i="6"/>
  <c r="CF671" i="6"/>
  <c r="CE671" i="6" s="1"/>
  <c r="CB671" i="6"/>
  <c r="CB564" i="6"/>
  <c r="CC564" i="6"/>
  <c r="CF133" i="6"/>
  <c r="CE133" i="6" s="1"/>
  <c r="BW133" i="6"/>
  <c r="BV133" i="6"/>
  <c r="CC686" i="6"/>
  <c r="CB686" i="6"/>
  <c r="CH686" i="6" s="1"/>
  <c r="CG686" i="6" s="1"/>
  <c r="BB689" i="6"/>
  <c r="CF689" i="6"/>
  <c r="CE689" i="6" s="1"/>
  <c r="BW205" i="6"/>
  <c r="CD205" i="6" s="1"/>
  <c r="BV205" i="6"/>
  <c r="BB363" i="6"/>
  <c r="CF363" i="6"/>
  <c r="CE363" i="6" s="1"/>
  <c r="CC296" i="6"/>
  <c r="CB296" i="6"/>
  <c r="CF296" i="6"/>
  <c r="CE296" i="6" s="1"/>
  <c r="CC710" i="6"/>
  <c r="CB710" i="6"/>
  <c r="CF202" i="6"/>
  <c r="CE202" i="6" s="1"/>
  <c r="CC202" i="6"/>
  <c r="CB202" i="6"/>
  <c r="BV904" i="6"/>
  <c r="CH904" i="6" s="1"/>
  <c r="CG904" i="6" s="1"/>
  <c r="CF904" i="6"/>
  <c r="CE904" i="6" s="1"/>
  <c r="BW904" i="6"/>
  <c r="CD904" i="6" s="1"/>
  <c r="CF177" i="6"/>
  <c r="CE177" i="6" s="1"/>
  <c r="BB177" i="6"/>
  <c r="CF159" i="6"/>
  <c r="CE159" i="6" s="1"/>
  <c r="CC159" i="6"/>
  <c r="CD159" i="6" s="1"/>
  <c r="CB159" i="6"/>
  <c r="CC117" i="6"/>
  <c r="CB117" i="6"/>
  <c r="CB510" i="6"/>
  <c r="CH510" i="6" s="1"/>
  <c r="CG510" i="6" s="1"/>
  <c r="CC510" i="6"/>
  <c r="CD510" i="6" s="1"/>
  <c r="CF510" i="6"/>
  <c r="CE510" i="6" s="1"/>
  <c r="CF765" i="6"/>
  <c r="CE765" i="6" s="1"/>
  <c r="BW765" i="6"/>
  <c r="CD765" i="6" s="1"/>
  <c r="BV765" i="6"/>
  <c r="BV353" i="6"/>
  <c r="CF353" i="6"/>
  <c r="CE353" i="6" s="1"/>
  <c r="BW353" i="6"/>
  <c r="CD353" i="6" s="1"/>
  <c r="BB152" i="6"/>
  <c r="CF152" i="6"/>
  <c r="CE152" i="6" s="1"/>
  <c r="BB73" i="6"/>
  <c r="CF73" i="6"/>
  <c r="CE73" i="6" s="1"/>
  <c r="CC764" i="6"/>
  <c r="CD764" i="6" s="1"/>
  <c r="CF764" i="6"/>
  <c r="CE764" i="6" s="1"/>
  <c r="CB764" i="6"/>
  <c r="CH764" i="6" s="1"/>
  <c r="CG764" i="6" s="1"/>
  <c r="CF282" i="6"/>
  <c r="CE282" i="6" s="1"/>
  <c r="BB282" i="6"/>
  <c r="CB524" i="6"/>
  <c r="CF524" i="6"/>
  <c r="CE524" i="6" s="1"/>
  <c r="CC524" i="6"/>
  <c r="CD524" i="6" s="1"/>
  <c r="CF90" i="6"/>
  <c r="CE90" i="6" s="1"/>
  <c r="BB90" i="6"/>
  <c r="CH90" i="6" s="1"/>
  <c r="CG90" i="6" s="1"/>
  <c r="CD90" i="6"/>
  <c r="CC716" i="6"/>
  <c r="CD716" i="6" s="1"/>
  <c r="CF716" i="6"/>
  <c r="CE716" i="6" s="1"/>
  <c r="CB716" i="6"/>
  <c r="CH716" i="6" s="1"/>
  <c r="CG716" i="6" s="1"/>
  <c r="CB269" i="6"/>
  <c r="CC269" i="6"/>
  <c r="BW98" i="6"/>
  <c r="BV98" i="6"/>
  <c r="BV308" i="6"/>
  <c r="CF308" i="6"/>
  <c r="CE308" i="6" s="1"/>
  <c r="BW308" i="6"/>
  <c r="BB162" i="6"/>
  <c r="CH162" i="6" s="1"/>
  <c r="CG162" i="6" s="1"/>
  <c r="CF162" i="6"/>
  <c r="CE162" i="6" s="1"/>
  <c r="CD162" i="6"/>
  <c r="BB116" i="6"/>
  <c r="CF116" i="6"/>
  <c r="CE116" i="6" s="1"/>
  <c r="CB567" i="6"/>
  <c r="CH567" i="6" s="1"/>
  <c r="CG567" i="6" s="1"/>
  <c r="CC567" i="6"/>
  <c r="CD567" i="6" s="1"/>
  <c r="CC5" i="6"/>
  <c r="CD5" i="6" s="1"/>
  <c r="CB5" i="6"/>
  <c r="CH5" i="6" s="1"/>
  <c r="CG5" i="6" s="1"/>
  <c r="BB723" i="6"/>
  <c r="CH723" i="6" s="1"/>
  <c r="CG723" i="6" s="1"/>
  <c r="CD723" i="6"/>
  <c r="CF723" i="6"/>
  <c r="CE723" i="6" s="1"/>
  <c r="BV844" i="6"/>
  <c r="BW844" i="6"/>
  <c r="BW809" i="6"/>
  <c r="CD809" i="6" s="1"/>
  <c r="BV809" i="6"/>
  <c r="CH809" i="6" s="1"/>
  <c r="CG809" i="6" s="1"/>
  <c r="CF842" i="6"/>
  <c r="CE842" i="6" s="1"/>
  <c r="BW842" i="6"/>
  <c r="BV842" i="6"/>
  <c r="CH842" i="6" s="1"/>
  <c r="CG842" i="6" s="1"/>
  <c r="CF678" i="6"/>
  <c r="CE678" i="6" s="1"/>
  <c r="BB678" i="6"/>
  <c r="BW108" i="6"/>
  <c r="CF108" i="6"/>
  <c r="CE108" i="6" s="1"/>
  <c r="BV108" i="6"/>
  <c r="CH108" i="6" s="1"/>
  <c r="CG108" i="6" s="1"/>
  <c r="CB431" i="6"/>
  <c r="CC431" i="6"/>
  <c r="CF279" i="6"/>
  <c r="CE279" i="6" s="1"/>
  <c r="BV279" i="6"/>
  <c r="CH279" i="6" s="1"/>
  <c r="CG279" i="6" s="1"/>
  <c r="BW279" i="6"/>
  <c r="CF392" i="6"/>
  <c r="CE392" i="6" s="1"/>
  <c r="BV201" i="6"/>
  <c r="BW201" i="6"/>
  <c r="BW960" i="6"/>
  <c r="CD960" i="6" s="1"/>
  <c r="BV960" i="6"/>
  <c r="BW284" i="6"/>
  <c r="CD284" i="6" s="1"/>
  <c r="BV284" i="6"/>
  <c r="BW776" i="6"/>
  <c r="CF776" i="6"/>
  <c r="CE776" i="6" s="1"/>
  <c r="BV776" i="6"/>
  <c r="BV304" i="6"/>
  <c r="BW304" i="6"/>
  <c r="CD304" i="6" s="1"/>
  <c r="CB648" i="6"/>
  <c r="CC648" i="6"/>
  <c r="CD648" i="6" s="1"/>
  <c r="CC685" i="6"/>
  <c r="CD685" i="6" s="1"/>
  <c r="CB685" i="6"/>
  <c r="CB711" i="6"/>
  <c r="CC711" i="6"/>
  <c r="CD711" i="6" s="1"/>
  <c r="BW710" i="6"/>
  <c r="BV710" i="6"/>
  <c r="CC307" i="6"/>
  <c r="CD307" i="6" s="1"/>
  <c r="CB307" i="6"/>
  <c r="BB601" i="6"/>
  <c r="CF601" i="6"/>
  <c r="CE601" i="6" s="1"/>
  <c r="BB599" i="6"/>
  <c r="CF599" i="6"/>
  <c r="CE599" i="6" s="1"/>
  <c r="BB125" i="6"/>
  <c r="CF125" i="6"/>
  <c r="CE125" i="6" s="1"/>
  <c r="BB23" i="6"/>
  <c r="CF23" i="6"/>
  <c r="CE23" i="6" s="1"/>
  <c r="CB704" i="6"/>
  <c r="CC704" i="6"/>
  <c r="CD704" i="6" s="1"/>
  <c r="CB641" i="6"/>
  <c r="CC641" i="6"/>
  <c r="BB113" i="6"/>
  <c r="CF113" i="6"/>
  <c r="CE113" i="6" s="1"/>
  <c r="CF180" i="6"/>
  <c r="CE180" i="6" s="1"/>
  <c r="BB180" i="6"/>
  <c r="BW896" i="6"/>
  <c r="BV896" i="6"/>
  <c r="BV418" i="6"/>
  <c r="BW418" i="6"/>
  <c r="CD418" i="6" s="1"/>
  <c r="CB963" i="6"/>
  <c r="CC963" i="6"/>
  <c r="CD963" i="6" s="1"/>
  <c r="CF195" i="6"/>
  <c r="CE195" i="6" s="1"/>
  <c r="BB195" i="6"/>
  <c r="CC156" i="6"/>
  <c r="CB156" i="6"/>
  <c r="CF136" i="6"/>
  <c r="CE136" i="6" s="1"/>
  <c r="BB136" i="6"/>
  <c r="BW66" i="6"/>
  <c r="BV66" i="6"/>
  <c r="CF66" i="6"/>
  <c r="CE66" i="6" s="1"/>
  <c r="BI884" i="6"/>
  <c r="BH884" i="6"/>
  <c r="CF884" i="6"/>
  <c r="CE884" i="6" s="1"/>
  <c r="BV1024" i="6"/>
  <c r="BW1024" i="6"/>
  <c r="BV439" i="6"/>
  <c r="CF439" i="6"/>
  <c r="CE439" i="6" s="1"/>
  <c r="BW439" i="6"/>
  <c r="BB443" i="6"/>
  <c r="CF443" i="6"/>
  <c r="CE443" i="6" s="1"/>
  <c r="CF903" i="6"/>
  <c r="CE903" i="6" s="1"/>
  <c r="BB903" i="6"/>
  <c r="BB100" i="6"/>
  <c r="CF100" i="6"/>
  <c r="CE100" i="6" s="1"/>
  <c r="BB552" i="6"/>
  <c r="CF552" i="6"/>
  <c r="CE552" i="6" s="1"/>
  <c r="BW816" i="6"/>
  <c r="CD816" i="6" s="1"/>
  <c r="BV816" i="6"/>
  <c r="BB660" i="6"/>
  <c r="CF660" i="6"/>
  <c r="CE660" i="6" s="1"/>
  <c r="BW801" i="6"/>
  <c r="CD801" i="6" s="1"/>
  <c r="BV801" i="6"/>
  <c r="CC240" i="6"/>
  <c r="CD240" i="6" s="1"/>
  <c r="CB240" i="6"/>
  <c r="CF944" i="6"/>
  <c r="CE944" i="6" s="1"/>
  <c r="BV944" i="6"/>
  <c r="BW944" i="6"/>
  <c r="CB652" i="6"/>
  <c r="CC652" i="6"/>
  <c r="CD652" i="6" s="1"/>
  <c r="CF652" i="6"/>
  <c r="CE652" i="6" s="1"/>
  <c r="BW245" i="6"/>
  <c r="CD245" i="6" s="1"/>
  <c r="BV245" i="6"/>
  <c r="BB754" i="6"/>
  <c r="CF754" i="6"/>
  <c r="CE754" i="6" s="1"/>
  <c r="BV843" i="6"/>
  <c r="BW843" i="6"/>
  <c r="CB98" i="6"/>
  <c r="CC98" i="6"/>
  <c r="BB119" i="6"/>
  <c r="CF119" i="6"/>
  <c r="CE119" i="6" s="1"/>
  <c r="CB889" i="6"/>
  <c r="CC889" i="6"/>
  <c r="CC184" i="6"/>
  <c r="CB184" i="6"/>
  <c r="CC520" i="6"/>
  <c r="CD520" i="6" s="1"/>
  <c r="CB520" i="6"/>
  <c r="CH520" i="6" s="1"/>
  <c r="CG520" i="6" s="1"/>
  <c r="CF520" i="6"/>
  <c r="CE520" i="6" s="1"/>
  <c r="BB905" i="6"/>
  <c r="CH905" i="6" s="1"/>
  <c r="CG905" i="6" s="1"/>
  <c r="CD905" i="6"/>
  <c r="CF905" i="6"/>
  <c r="CE905" i="6" s="1"/>
  <c r="BW416" i="6"/>
  <c r="BV416" i="6"/>
  <c r="CC155" i="6"/>
  <c r="CD155" i="6" s="1"/>
  <c r="CB155" i="6"/>
  <c r="BB216" i="6"/>
  <c r="CF216" i="6"/>
  <c r="CE216" i="6" s="1"/>
  <c r="CF395" i="6"/>
  <c r="CE395" i="6" s="1"/>
  <c r="BB395" i="6"/>
  <c r="BB221" i="6"/>
  <c r="CF221" i="6"/>
  <c r="CE221" i="6" s="1"/>
  <c r="CF474" i="6"/>
  <c r="CE474" i="6" s="1"/>
  <c r="BB474" i="6"/>
  <c r="BB142" i="6"/>
  <c r="CF142" i="6"/>
  <c r="CE142" i="6" s="1"/>
  <c r="BB874" i="6"/>
  <c r="CF874" i="6"/>
  <c r="CE874" i="6" s="1"/>
  <c r="CB744" i="6"/>
  <c r="CC744" i="6"/>
  <c r="CD744" i="6" s="1"/>
  <c r="CF829" i="6"/>
  <c r="CE829" i="6" s="1"/>
  <c r="BB829" i="6"/>
  <c r="CH829" i="6" s="1"/>
  <c r="CG829" i="6" s="1"/>
  <c r="BW939" i="6"/>
  <c r="CD939" i="6" s="1"/>
  <c r="BV939" i="6"/>
  <c r="CH939" i="6" s="1"/>
  <c r="CG939" i="6" s="1"/>
  <c r="CF939" i="6"/>
  <c r="CE939" i="6" s="1"/>
  <c r="CC463" i="6"/>
  <c r="CB463" i="6"/>
  <c r="CH463" i="6" s="1"/>
  <c r="CG463" i="6" s="1"/>
  <c r="CF812" i="6"/>
  <c r="CE812" i="6" s="1"/>
  <c r="BB812" i="6"/>
  <c r="CF438" i="6"/>
  <c r="CE438" i="6" s="1"/>
  <c r="CD438" i="6"/>
  <c r="BB438" i="6"/>
  <c r="CH438" i="6" s="1"/>
  <c r="CG438" i="6" s="1"/>
  <c r="CC309" i="6"/>
  <c r="CB309" i="6"/>
  <c r="CF309" i="6"/>
  <c r="CE309" i="6" s="1"/>
  <c r="CF521" i="6"/>
  <c r="CE521" i="6" s="1"/>
  <c r="BB521" i="6"/>
  <c r="CH521" i="6" s="1"/>
  <c r="CG521" i="6" s="1"/>
  <c r="CF211" i="6"/>
  <c r="CE211" i="6" s="1"/>
  <c r="BB211" i="6"/>
  <c r="CH211" i="6" s="1"/>
  <c r="CG211" i="6" s="1"/>
  <c r="CD211" i="6"/>
  <c r="CF387" i="6"/>
  <c r="CE387" i="6" s="1"/>
  <c r="BB387" i="6"/>
  <c r="CF410" i="6"/>
  <c r="CE410" i="6" s="1"/>
  <c r="BB410" i="6"/>
  <c r="CH410" i="6" s="1"/>
  <c r="CG410" i="6" s="1"/>
  <c r="CD410" i="6"/>
  <c r="CF928" i="6"/>
  <c r="CE928" i="6" s="1"/>
  <c r="BV928" i="6"/>
  <c r="BW928" i="6"/>
  <c r="BW128" i="6"/>
  <c r="CD128" i="6" s="1"/>
  <c r="CF128" i="6"/>
  <c r="CE128" i="6" s="1"/>
  <c r="BV128" i="6"/>
  <c r="CH128" i="6" s="1"/>
  <c r="CG128" i="6" s="1"/>
  <c r="BB408" i="6"/>
  <c r="CH408" i="6" s="1"/>
  <c r="CG408" i="6" s="1"/>
  <c r="CF408" i="6"/>
  <c r="CE408" i="6" s="1"/>
  <c r="CF175" i="6"/>
  <c r="CE175" i="6" s="1"/>
  <c r="CF463" i="6"/>
  <c r="CE463" i="6" s="1"/>
  <c r="CF991" i="6"/>
  <c r="CE991" i="6" s="1"/>
  <c r="CF679" i="6"/>
  <c r="CE679" i="6" s="1"/>
  <c r="CF348" i="6"/>
  <c r="CE348" i="6" s="1"/>
  <c r="C3" i="5" a="1"/>
  <c r="B3" i="5" a="1"/>
  <c r="F4" i="5" a="1"/>
  <c r="E3" i="5" a="1"/>
  <c r="A3" i="5" a="1"/>
  <c r="CD974" i="6" l="1"/>
  <c r="BP481" i="6"/>
  <c r="CD481" i="6" s="1"/>
  <c r="BO481" i="6"/>
  <c r="CH481" i="6" s="1"/>
  <c r="CG481" i="6" s="1"/>
  <c r="CF481" i="6"/>
  <c r="CE481" i="6" s="1"/>
  <c r="BO125" i="6"/>
  <c r="BP125" i="6"/>
  <c r="BO285" i="6"/>
  <c r="BP285" i="6"/>
  <c r="BH120" i="6"/>
  <c r="CH120" i="6" s="1"/>
  <c r="CG120" i="6" s="1"/>
  <c r="BI120" i="6"/>
  <c r="CD120" i="6" s="1"/>
  <c r="BO45" i="6"/>
  <c r="CH45" i="6" s="1"/>
  <c r="CG45" i="6" s="1"/>
  <c r="BP45" i="6"/>
  <c r="CD45" i="6" s="1"/>
  <c r="BI285" i="6"/>
  <c r="CD285" i="6" s="1"/>
  <c r="BH285" i="6"/>
  <c r="BI125" i="6"/>
  <c r="BH125" i="6"/>
  <c r="CH1005" i="6"/>
  <c r="CG1005" i="6" s="1"/>
  <c r="CF514" i="6"/>
  <c r="CE514" i="6" s="1"/>
  <c r="CD607" i="6"/>
  <c r="CH817" i="6"/>
  <c r="CG817" i="6" s="1"/>
  <c r="CH659" i="6"/>
  <c r="CG659" i="6" s="1"/>
  <c r="CD813" i="6"/>
  <c r="CF447" i="6"/>
  <c r="CE447" i="6" s="1"/>
  <c r="CH733" i="6"/>
  <c r="CG733" i="6" s="1"/>
  <c r="CD521" i="6"/>
  <c r="CD449" i="6"/>
  <c r="AT997" i="6"/>
  <c r="CH997" i="6" s="1"/>
  <c r="CG997" i="6" s="1"/>
  <c r="CF997" i="6"/>
  <c r="CE997" i="6" s="1"/>
  <c r="CH358" i="6"/>
  <c r="CG358" i="6" s="1"/>
  <c r="CD755" i="6"/>
  <c r="CD788" i="6"/>
  <c r="CD828" i="6"/>
  <c r="CD602" i="6"/>
  <c r="CD689" i="6"/>
  <c r="CF747" i="6"/>
  <c r="CE747" i="6" s="1"/>
  <c r="CD773" i="6"/>
  <c r="CF929" i="6"/>
  <c r="CE929" i="6" s="1"/>
  <c r="CF170" i="6"/>
  <c r="CE170" i="6" s="1"/>
  <c r="CF557" i="6"/>
  <c r="CE557" i="6" s="1"/>
  <c r="CD618" i="6"/>
  <c r="CH348" i="6"/>
  <c r="CG348" i="6" s="1"/>
  <c r="CH311" i="6"/>
  <c r="CG311" i="6" s="1"/>
  <c r="CH480" i="6"/>
  <c r="CG480" i="6" s="1"/>
  <c r="CD134" i="6"/>
  <c r="CD457" i="6"/>
  <c r="CD815" i="6"/>
  <c r="CH116" i="6"/>
  <c r="CG116" i="6" s="1"/>
  <c r="CH494" i="6"/>
  <c r="CG494" i="6" s="1"/>
  <c r="CD452" i="6"/>
  <c r="CH586" i="6"/>
  <c r="CG586" i="6" s="1"/>
  <c r="CH851" i="6"/>
  <c r="CG851" i="6" s="1"/>
  <c r="CH420" i="6"/>
  <c r="CG420" i="6" s="1"/>
  <c r="CD38" i="6"/>
  <c r="CD907" i="6"/>
  <c r="CD459" i="6"/>
  <c r="CD800" i="6"/>
  <c r="CD319" i="6"/>
  <c r="CH186" i="6"/>
  <c r="CG186" i="6" s="1"/>
  <c r="CD731" i="6"/>
  <c r="CD645" i="6"/>
  <c r="CD379" i="6"/>
  <c r="CH234" i="6"/>
  <c r="CG234" i="6" s="1"/>
  <c r="CF123" i="6"/>
  <c r="CE123" i="6" s="1"/>
  <c r="CH1017" i="6"/>
  <c r="CG1017" i="6" s="1"/>
  <c r="CH387" i="6"/>
  <c r="CG387" i="6" s="1"/>
  <c r="CH282" i="6"/>
  <c r="CG282" i="6" s="1"/>
  <c r="CH508" i="6"/>
  <c r="CG508" i="6" s="1"/>
  <c r="CH565" i="6"/>
  <c r="CG565" i="6" s="1"/>
  <c r="CH877" i="6"/>
  <c r="CG877" i="6" s="1"/>
  <c r="CD408" i="6"/>
  <c r="CH138" i="6"/>
  <c r="CG138" i="6" s="1"/>
  <c r="CD829" i="6"/>
  <c r="CF936" i="6"/>
  <c r="CE936" i="6" s="1"/>
  <c r="CD96" i="6"/>
  <c r="CD554" i="6"/>
  <c r="CD309" i="6"/>
  <c r="CH363" i="6"/>
  <c r="CG363" i="6" s="1"/>
  <c r="CD505" i="6"/>
  <c r="CD922" i="6"/>
  <c r="CD843" i="6"/>
  <c r="CH437" i="6"/>
  <c r="CG437" i="6" s="1"/>
  <c r="CH861" i="6"/>
  <c r="CG861" i="6" s="1"/>
  <c r="CF889" i="6"/>
  <c r="CE889" i="6" s="1"/>
  <c r="CH772" i="6"/>
  <c r="CG772" i="6" s="1"/>
  <c r="CD512" i="6"/>
  <c r="CD132" i="6"/>
  <c r="CH725" i="6"/>
  <c r="CG725" i="6" s="1"/>
  <c r="CD130" i="6"/>
  <c r="CD488" i="6"/>
  <c r="CH767" i="6"/>
  <c r="CG767" i="6" s="1"/>
  <c r="CD368" i="6"/>
  <c r="CD624" i="6"/>
  <c r="CD382" i="6"/>
  <c r="CD305" i="6"/>
  <c r="CH695" i="6"/>
  <c r="CG695" i="6" s="1"/>
  <c r="CH858" i="6"/>
  <c r="CG858" i="6" s="1"/>
  <c r="CD528" i="6"/>
  <c r="CD721" i="6"/>
  <c r="CD608" i="6"/>
  <c r="CH652" i="6"/>
  <c r="CG652" i="6" s="1"/>
  <c r="CD842" i="6"/>
  <c r="CD333" i="6"/>
  <c r="CD494" i="6"/>
  <c r="CD32" i="6"/>
  <c r="CH724" i="6"/>
  <c r="CG724" i="6" s="1"/>
  <c r="CH622" i="6"/>
  <c r="CG622" i="6" s="1"/>
  <c r="CD572" i="6"/>
  <c r="CH309" i="6"/>
  <c r="CG309" i="6" s="1"/>
  <c r="CD463" i="6"/>
  <c r="CD184" i="6"/>
  <c r="CD279" i="6"/>
  <c r="CH524" i="6"/>
  <c r="CG524" i="6" s="1"/>
  <c r="CH353" i="6"/>
  <c r="CG353" i="6" s="1"/>
  <c r="CD686" i="6"/>
  <c r="CD127" i="6"/>
  <c r="CH187" i="6"/>
  <c r="CG187" i="6" s="1"/>
  <c r="CD751" i="6"/>
  <c r="CH403" i="6"/>
  <c r="CG403" i="6" s="1"/>
  <c r="CD825" i="6"/>
  <c r="CD947" i="6"/>
  <c r="CD511" i="6"/>
  <c r="CD681" i="6"/>
  <c r="CD866" i="6"/>
  <c r="CD675" i="6"/>
  <c r="CH804" i="6"/>
  <c r="CG804" i="6" s="1"/>
  <c r="CH487" i="6"/>
  <c r="CG487" i="6" s="1"/>
  <c r="CH388" i="6"/>
  <c r="CG388" i="6" s="1"/>
  <c r="CD577" i="6"/>
  <c r="CH352" i="6"/>
  <c r="CG352" i="6" s="1"/>
  <c r="CD315" i="6"/>
  <c r="CH1019" i="6"/>
  <c r="CG1019" i="6" s="1"/>
  <c r="CH633" i="6"/>
  <c r="CG633" i="6" s="1"/>
  <c r="CH692" i="6"/>
  <c r="CG692" i="6" s="1"/>
  <c r="CD946" i="6"/>
  <c r="CF914" i="6"/>
  <c r="CE914" i="6" s="1"/>
  <c r="CD3" i="6"/>
  <c r="CD327" i="6"/>
  <c r="CD287" i="6"/>
  <c r="CH77" i="6"/>
  <c r="CG77" i="6" s="1"/>
  <c r="CD209" i="6"/>
  <c r="CD163" i="6"/>
  <c r="CD580" i="6"/>
  <c r="CH657" i="6"/>
  <c r="CG657" i="6" s="1"/>
  <c r="CH444" i="6"/>
  <c r="CG444" i="6" s="1"/>
  <c r="CD886" i="6"/>
  <c r="CH205" i="6"/>
  <c r="CG205" i="6" s="1"/>
  <c r="CD39" i="6"/>
  <c r="CH639" i="6"/>
  <c r="CG639" i="6" s="1"/>
  <c r="CD598" i="6"/>
  <c r="CH611" i="6"/>
  <c r="CG611" i="6" s="1"/>
  <c r="CD759" i="6"/>
  <c r="CD950" i="6"/>
  <c r="CH796" i="6"/>
  <c r="CG796" i="6" s="1"/>
  <c r="CH673" i="6"/>
  <c r="CG673" i="6" s="1"/>
  <c r="CH812" i="6"/>
  <c r="CG812" i="6" s="1"/>
  <c r="CD201" i="6"/>
  <c r="CH765" i="6"/>
  <c r="CG765" i="6" s="1"/>
  <c r="CH159" i="6"/>
  <c r="CG159" i="6" s="1"/>
  <c r="CH202" i="6"/>
  <c r="CG202" i="6" s="1"/>
  <c r="CD658" i="6"/>
  <c r="CD7" i="6"/>
  <c r="CD978" i="6"/>
  <c r="CH990" i="6"/>
  <c r="CG990" i="6" s="1"/>
  <c r="CH76" i="6"/>
  <c r="CG76" i="6" s="1"/>
  <c r="CH792" i="6"/>
  <c r="CG792" i="6" s="1"/>
  <c r="CD992" i="6"/>
  <c r="CD798" i="6"/>
  <c r="CH618" i="6"/>
  <c r="CG618" i="6" s="1"/>
  <c r="CD673" i="6"/>
  <c r="CD851" i="6"/>
  <c r="CD969" i="6"/>
  <c r="CH883" i="6"/>
  <c r="CG883" i="6" s="1"/>
  <c r="CH787" i="6"/>
  <c r="CG787" i="6" s="1"/>
  <c r="CD523" i="6"/>
  <c r="CD103" i="6"/>
  <c r="CD87" i="6"/>
  <c r="CD24" i="6"/>
  <c r="CD369" i="6"/>
  <c r="CH3" i="6"/>
  <c r="CG3" i="6" s="1"/>
  <c r="CD50" i="6"/>
  <c r="CH623" i="6"/>
  <c r="CG623" i="6" s="1"/>
  <c r="BI914" i="6"/>
  <c r="CD914" i="6" s="1"/>
  <c r="CH867" i="6"/>
  <c r="CG867" i="6" s="1"/>
  <c r="BP889" i="6"/>
  <c r="CH815" i="6"/>
  <c r="CG815" i="6" s="1"/>
  <c r="BH321" i="6"/>
  <c r="CH321" i="6" s="1"/>
  <c r="CG321" i="6" s="1"/>
  <c r="BI321" i="6"/>
  <c r="CD321" i="6" s="1"/>
  <c r="CD817" i="6"/>
  <c r="BH910" i="6"/>
  <c r="BI910" i="6"/>
  <c r="CD910" i="6" s="1"/>
  <c r="CD269" i="6"/>
  <c r="CH238" i="6"/>
  <c r="CG238" i="6" s="1"/>
  <c r="CH24" i="6"/>
  <c r="CG24" i="6" s="1"/>
  <c r="CH583" i="6"/>
  <c r="CG583" i="6" s="1"/>
  <c r="CH206" i="6"/>
  <c r="CG206" i="6" s="1"/>
  <c r="CD917" i="6"/>
  <c r="CD300" i="6"/>
  <c r="CD203" i="6"/>
  <c r="CD116" i="6"/>
  <c r="CD961" i="6"/>
  <c r="CD376" i="6"/>
  <c r="CH158" i="6"/>
  <c r="CG158" i="6" s="1"/>
  <c r="CH313" i="6"/>
  <c r="CG313" i="6" s="1"/>
  <c r="BI929" i="6"/>
  <c r="CD299" i="6"/>
  <c r="CH608" i="6"/>
  <c r="CG608" i="6" s="1"/>
  <c r="CD325" i="6"/>
  <c r="CD296" i="6"/>
  <c r="CD671" i="6"/>
  <c r="CD639" i="6"/>
  <c r="CD777" i="6"/>
  <c r="CD26" i="6"/>
  <c r="CH913" i="6"/>
  <c r="CG913" i="6" s="1"/>
  <c r="CD657" i="6"/>
  <c r="BO914" i="6"/>
  <c r="CH914" i="6" s="1"/>
  <c r="CG914" i="6" s="1"/>
  <c r="CD108" i="6"/>
  <c r="CH32" i="6"/>
  <c r="CG32" i="6" s="1"/>
  <c r="CH789" i="6"/>
  <c r="CG789" i="6" s="1"/>
  <c r="CH160" i="6"/>
  <c r="CG160" i="6" s="1"/>
  <c r="CH606" i="6"/>
  <c r="CG606" i="6" s="1"/>
  <c r="CD533" i="6"/>
  <c r="CH328" i="6"/>
  <c r="CG328" i="6" s="1"/>
  <c r="CF339" i="6"/>
  <c r="CE339" i="6" s="1"/>
  <c r="CH21" i="6"/>
  <c r="CG21" i="6" s="1"/>
  <c r="CD375" i="6"/>
  <c r="CF876" i="6"/>
  <c r="CE876" i="6" s="1"/>
  <c r="CF273" i="6"/>
  <c r="CE273" i="6" s="1"/>
  <c r="CH491" i="6"/>
  <c r="CG491" i="6" s="1"/>
  <c r="CH922" i="6"/>
  <c r="CG922" i="6" s="1"/>
  <c r="CH259" i="6"/>
  <c r="CG259" i="6" s="1"/>
  <c r="CH446" i="6"/>
  <c r="CG446" i="6" s="1"/>
  <c r="CD781" i="6"/>
  <c r="CD263" i="6"/>
  <c r="CH140" i="6"/>
  <c r="CG140" i="6" s="1"/>
  <c r="CD20" i="6"/>
  <c r="CH879" i="6"/>
  <c r="CG879" i="6" s="1"/>
  <c r="CH299" i="6"/>
  <c r="CG299" i="6" s="1"/>
  <c r="CH869" i="6"/>
  <c r="CG869" i="6" s="1"/>
  <c r="CF885" i="6"/>
  <c r="CE885" i="6" s="1"/>
  <c r="BI889" i="6"/>
  <c r="CD889" i="6" s="1"/>
  <c r="CD19" i="6"/>
  <c r="CD292" i="6"/>
  <c r="CH333" i="6"/>
  <c r="CG333" i="6" s="1"/>
  <c r="CH630" i="6"/>
  <c r="CG630" i="6" s="1"/>
  <c r="CD311" i="6"/>
  <c r="CD86" i="6"/>
  <c r="CD849" i="6"/>
  <c r="CD48" i="6"/>
  <c r="CD771" i="6"/>
  <c r="CD894" i="6"/>
  <c r="CD244" i="6"/>
  <c r="CH696" i="6"/>
  <c r="CG696" i="6" s="1"/>
  <c r="CH230" i="6"/>
  <c r="CG230" i="6" s="1"/>
  <c r="CH490" i="6"/>
  <c r="CG490" i="6" s="1"/>
  <c r="CH62" i="6"/>
  <c r="CG62" i="6" s="1"/>
  <c r="CF543" i="6"/>
  <c r="CE543" i="6" s="1"/>
  <c r="CH988" i="6"/>
  <c r="CG988" i="6" s="1"/>
  <c r="CH874" i="6"/>
  <c r="CG874" i="6" s="1"/>
  <c r="CD202" i="6"/>
  <c r="CH133" i="6"/>
  <c r="CG133" i="6" s="1"/>
  <c r="CH912" i="6"/>
  <c r="CG912" i="6" s="1"/>
  <c r="CD962" i="6"/>
  <c r="CD819" i="6"/>
  <c r="CH81" i="6"/>
  <c r="CG81" i="6" s="1"/>
  <c r="CH788" i="6"/>
  <c r="CG788" i="6" s="1"/>
  <c r="CH382" i="6"/>
  <c r="CG382" i="6" s="1"/>
  <c r="CD85" i="6"/>
  <c r="CF848" i="6"/>
  <c r="CE848" i="6" s="1"/>
  <c r="CH732" i="6"/>
  <c r="CG732" i="6" s="1"/>
  <c r="CD479" i="6"/>
  <c r="CH253" i="6"/>
  <c r="CG253" i="6" s="1"/>
  <c r="CD121" i="6"/>
  <c r="CH296" i="6"/>
  <c r="CG296" i="6" s="1"/>
  <c r="CD133" i="6"/>
  <c r="CD249" i="6"/>
  <c r="CH739" i="6"/>
  <c r="CG739" i="6" s="1"/>
  <c r="CD662" i="6"/>
  <c r="CH533" i="6"/>
  <c r="CG533" i="6" s="1"/>
  <c r="CH675" i="6"/>
  <c r="CG675" i="6" s="1"/>
  <c r="CD632" i="6"/>
  <c r="CH970" i="6"/>
  <c r="CG970" i="6" s="1"/>
  <c r="CH104" i="6"/>
  <c r="CG104" i="6" s="1"/>
  <c r="CD750" i="6"/>
  <c r="CH502" i="6"/>
  <c r="CG502" i="6" s="1"/>
  <c r="CD363" i="6"/>
  <c r="CD189" i="6"/>
  <c r="CD451" i="6"/>
  <c r="CH457" i="6"/>
  <c r="CG457" i="6" s="1"/>
  <c r="CD328" i="6"/>
  <c r="CD230" i="6"/>
  <c r="CD516" i="6"/>
  <c r="CD313" i="6"/>
  <c r="CD490" i="6"/>
  <c r="BI156" i="6"/>
  <c r="BH156" i="6"/>
  <c r="CD166" i="6"/>
  <c r="CD480" i="6"/>
  <c r="CD148" i="6"/>
  <c r="CF1012" i="6"/>
  <c r="CE1012" i="6" s="1"/>
  <c r="CD426" i="6"/>
  <c r="CH644" i="6"/>
  <c r="CG644" i="6" s="1"/>
  <c r="CD928" i="6"/>
  <c r="CH119" i="6"/>
  <c r="CG119" i="6" s="1"/>
  <c r="CH73" i="6"/>
  <c r="CG73" i="6" s="1"/>
  <c r="CH825" i="6"/>
  <c r="CG825" i="6" s="1"/>
  <c r="CH84" i="6"/>
  <c r="CG84" i="6" s="1"/>
  <c r="CH217" i="6"/>
  <c r="CG217" i="6" s="1"/>
  <c r="CH950" i="6"/>
  <c r="CG950" i="6" s="1"/>
  <c r="CH407" i="6"/>
  <c r="CG407" i="6" s="1"/>
  <c r="CH298" i="6"/>
  <c r="CG298" i="6" s="1"/>
  <c r="CH731" i="6"/>
  <c r="CG731" i="6" s="1"/>
  <c r="CH781" i="6"/>
  <c r="CG781" i="6" s="1"/>
  <c r="CH47" i="6"/>
  <c r="CG47" i="6" s="1"/>
  <c r="CD888" i="6"/>
  <c r="CD383" i="6"/>
  <c r="CH531" i="6"/>
  <c r="CG531" i="6" s="1"/>
  <c r="CH743" i="6"/>
  <c r="CG743" i="6" s="1"/>
  <c r="CH147" i="6"/>
  <c r="CG147" i="6" s="1"/>
  <c r="CH325" i="6"/>
  <c r="CG325" i="6" s="1"/>
  <c r="CH476" i="6"/>
  <c r="CG476" i="6" s="1"/>
  <c r="CH6" i="6"/>
  <c r="CG6" i="6" s="1"/>
  <c r="CD720" i="6"/>
  <c r="CH179" i="6"/>
  <c r="CG179" i="6" s="1"/>
  <c r="CH445" i="6"/>
  <c r="CG445" i="6" s="1"/>
  <c r="CH278" i="6"/>
  <c r="CG278" i="6" s="1"/>
  <c r="BH885" i="6"/>
  <c r="CH280" i="6"/>
  <c r="CG280" i="6" s="1"/>
  <c r="CH964" i="6"/>
  <c r="CG964" i="6" s="1"/>
  <c r="CH118" i="6"/>
  <c r="CG118" i="6" s="1"/>
  <c r="CH452" i="6"/>
  <c r="CG452" i="6" s="1"/>
  <c r="CH833" i="6"/>
  <c r="CG833" i="6" s="1"/>
  <c r="CD794" i="6"/>
  <c r="CD958" i="6"/>
  <c r="CD348" i="6"/>
  <c r="CD797" i="6"/>
  <c r="CD264" i="6"/>
  <c r="CH859" i="6"/>
  <c r="CG859" i="6" s="1"/>
  <c r="CD746" i="6"/>
  <c r="CD502" i="6"/>
  <c r="CH183" i="6"/>
  <c r="CG183" i="6" s="1"/>
  <c r="CD450" i="6"/>
  <c r="CH830" i="6"/>
  <c r="CG830" i="6" s="1"/>
  <c r="CD931" i="6"/>
  <c r="CH470" i="6"/>
  <c r="CG470" i="6" s="1"/>
  <c r="CH761" i="6"/>
  <c r="CG761" i="6" s="1"/>
  <c r="CH375" i="6"/>
  <c r="CG375" i="6" s="1"/>
  <c r="CD725" i="6"/>
  <c r="CH229" i="6"/>
  <c r="CG229" i="6" s="1"/>
  <c r="CD964" i="6"/>
  <c r="CH216" i="6"/>
  <c r="CG216" i="6" s="1"/>
  <c r="CD549" i="6"/>
  <c r="CD471" i="6"/>
  <c r="CD272" i="6"/>
  <c r="CD789" i="6"/>
  <c r="CD430" i="6"/>
  <c r="BO793" i="6"/>
  <c r="CH793" i="6" s="1"/>
  <c r="CG793" i="6" s="1"/>
  <c r="BP793" i="6"/>
  <c r="CD793" i="6" s="1"/>
  <c r="BP537" i="6"/>
  <c r="CD537" i="6" s="1"/>
  <c r="BO537" i="6"/>
  <c r="CH537" i="6" s="1"/>
  <c r="CG537" i="6" s="1"/>
  <c r="CF537" i="6"/>
  <c r="CE537" i="6" s="1"/>
  <c r="BP514" i="6"/>
  <c r="BO514" i="6"/>
  <c r="CD956" i="6"/>
  <c r="CD738" i="6"/>
  <c r="CD204" i="6"/>
  <c r="CD852" i="6"/>
  <c r="CD513" i="6"/>
  <c r="CD893" i="6"/>
  <c r="CD590" i="6"/>
  <c r="CH985" i="6"/>
  <c r="CG985" i="6" s="1"/>
  <c r="CD258" i="6"/>
  <c r="CH900" i="6"/>
  <c r="CG900" i="6" s="1"/>
  <c r="CD280" i="6"/>
  <c r="CD229" i="6"/>
  <c r="BP447" i="6"/>
  <c r="BO447" i="6"/>
  <c r="BI514" i="6"/>
  <c r="BH514" i="6"/>
  <c r="CH192" i="6"/>
  <c r="CG192" i="6" s="1"/>
  <c r="CD208" i="6"/>
  <c r="CD942" i="6"/>
  <c r="CH795" i="6"/>
  <c r="CG795" i="6" s="1"/>
  <c r="CH941" i="6"/>
  <c r="CG941" i="6" s="1"/>
  <c r="CD831" i="6"/>
  <c r="CD347" i="6"/>
  <c r="CD856" i="6"/>
  <c r="CH921" i="6"/>
  <c r="CG921" i="6" s="1"/>
  <c r="CD232" i="6"/>
  <c r="CH376" i="6"/>
  <c r="CG376" i="6" s="1"/>
  <c r="CH149" i="6"/>
  <c r="CG149" i="6" s="1"/>
  <c r="CD72" i="6"/>
  <c r="CD732" i="6"/>
  <c r="CD644" i="6"/>
  <c r="CF838" i="6"/>
  <c r="CE838" i="6" s="1"/>
  <c r="BO838" i="6"/>
  <c r="CH838" i="6" s="1"/>
  <c r="CG838" i="6" s="1"/>
  <c r="BP838" i="6"/>
  <c r="CD838" i="6" s="1"/>
  <c r="BH447" i="6"/>
  <c r="BI447" i="6"/>
  <c r="CD218" i="6"/>
  <c r="CD664" i="6"/>
  <c r="CD359" i="6"/>
  <c r="CH674" i="6"/>
  <c r="CG674" i="6" s="1"/>
  <c r="CH907" i="6"/>
  <c r="CG907" i="6" s="1"/>
  <c r="CD923" i="6"/>
  <c r="CD574" i="6"/>
  <c r="CH532" i="6"/>
  <c r="CG532" i="6" s="1"/>
  <c r="CD722" i="6"/>
  <c r="CD860" i="6"/>
  <c r="CD291" i="6"/>
  <c r="CD620" i="6"/>
  <c r="CH82" i="6"/>
  <c r="CG82" i="6" s="1"/>
  <c r="CD979" i="6"/>
  <c r="CH719" i="6"/>
  <c r="CG719" i="6" s="1"/>
  <c r="CH449" i="6"/>
  <c r="CG449" i="6" s="1"/>
  <c r="CD853" i="6"/>
  <c r="CD949" i="6"/>
  <c r="CH92" i="6"/>
  <c r="CG92" i="6" s="1"/>
  <c r="BO980" i="6"/>
  <c r="BP980" i="6"/>
  <c r="CH222" i="6"/>
  <c r="CG222" i="6" s="1"/>
  <c r="CH860" i="6"/>
  <c r="CG860" i="6" s="1"/>
  <c r="CD82" i="6"/>
  <c r="CD215" i="6"/>
  <c r="CD149" i="6"/>
  <c r="CD89" i="6"/>
  <c r="CH244" i="6"/>
  <c r="CG244" i="6" s="1"/>
  <c r="CH841" i="6"/>
  <c r="CG841" i="6" s="1"/>
  <c r="CH422" i="6"/>
  <c r="CG422" i="6" s="1"/>
  <c r="CH292" i="6"/>
  <c r="CG292" i="6" s="1"/>
  <c r="CD389" i="6"/>
  <c r="CD172" i="6"/>
  <c r="CD811" i="6"/>
  <c r="CD429" i="6"/>
  <c r="CH525" i="6"/>
  <c r="CG525" i="6" s="1"/>
  <c r="CD64" i="6"/>
  <c r="CD568" i="6"/>
  <c r="CD424" i="6"/>
  <c r="CH227" i="6"/>
  <c r="CG227" i="6" s="1"/>
  <c r="CD592" i="6"/>
  <c r="CH124" i="6"/>
  <c r="CG124" i="6" s="1"/>
  <c r="CH85" i="6"/>
  <c r="CG85" i="6" s="1"/>
  <c r="CD367" i="6"/>
  <c r="CH287" i="6"/>
  <c r="CG287" i="6" s="1"/>
  <c r="CH634" i="6"/>
  <c r="CG634" i="6" s="1"/>
  <c r="CH536" i="6"/>
  <c r="CG536" i="6" s="1"/>
  <c r="CD278" i="6"/>
  <c r="CH72" i="6"/>
  <c r="CG72" i="6" s="1"/>
  <c r="CD62" i="6"/>
  <c r="CH778" i="6"/>
  <c r="CG778" i="6" s="1"/>
  <c r="BI637" i="6"/>
  <c r="CD637" i="6" s="1"/>
  <c r="BH637" i="6"/>
  <c r="BH980" i="6"/>
  <c r="BI980" i="6"/>
  <c r="CD136" i="6"/>
  <c r="CD462" i="6"/>
  <c r="CH181" i="6"/>
  <c r="CG181" i="6" s="1"/>
  <c r="CH440" i="6"/>
  <c r="CG440" i="6" s="1"/>
  <c r="CF178" i="6"/>
  <c r="CE178" i="6" s="1"/>
  <c r="CD709" i="6"/>
  <c r="CD168" i="6"/>
  <c r="CD629" i="6"/>
  <c r="CD92" i="6"/>
  <c r="CD13" i="6"/>
  <c r="CH713" i="6"/>
  <c r="CG713" i="6" s="1"/>
  <c r="CH959" i="6"/>
  <c r="CG959" i="6" s="1"/>
  <c r="CD259" i="6"/>
  <c r="CD293" i="6"/>
  <c r="CH872" i="6"/>
  <c r="CG872" i="6" s="1"/>
  <c r="CD812" i="6"/>
  <c r="CD565" i="6"/>
  <c r="CD761" i="6"/>
  <c r="CH649" i="6"/>
  <c r="CG649" i="6" s="1"/>
  <c r="CD235" i="6"/>
  <c r="CD710" i="6"/>
  <c r="CH671" i="6"/>
  <c r="CG671" i="6" s="1"/>
  <c r="CH923" i="6"/>
  <c r="CG923" i="6" s="1"/>
  <c r="CH645" i="6"/>
  <c r="CG645" i="6" s="1"/>
  <c r="CD468" i="6"/>
  <c r="CH107" i="6"/>
  <c r="CG107" i="6" s="1"/>
  <c r="CD216" i="6"/>
  <c r="CH651" i="6"/>
  <c r="CG651" i="6" s="1"/>
  <c r="CD80" i="6"/>
  <c r="CH582" i="6"/>
  <c r="CG582" i="6" s="1"/>
  <c r="CD470" i="6"/>
  <c r="CH684" i="6"/>
  <c r="CG684" i="6" s="1"/>
  <c r="CD880" i="6"/>
  <c r="CH168" i="6"/>
  <c r="CG168" i="6" s="1"/>
  <c r="CH336" i="6"/>
  <c r="CG336" i="6" s="1"/>
  <c r="CH151" i="6"/>
  <c r="CG151" i="6" s="1"/>
  <c r="BV1003" i="6"/>
  <c r="BW1003" i="6"/>
  <c r="CD736" i="6"/>
  <c r="CD308" i="6"/>
  <c r="CH568" i="6"/>
  <c r="CG568" i="6" s="1"/>
  <c r="CD118" i="6"/>
  <c r="CD277" i="6"/>
  <c r="CH264" i="6"/>
  <c r="CG264" i="6" s="1"/>
  <c r="CD186" i="6"/>
  <c r="CD282" i="6"/>
  <c r="CH258" i="6"/>
  <c r="CG258" i="6" s="1"/>
  <c r="CH591" i="6"/>
  <c r="CG591" i="6" s="1"/>
  <c r="CH146" i="6"/>
  <c r="CG146" i="6" s="1"/>
  <c r="CD422" i="6"/>
  <c r="BP123" i="6"/>
  <c r="BO123" i="6"/>
  <c r="CD151" i="6"/>
  <c r="BO550" i="6"/>
  <c r="BP550" i="6"/>
  <c r="BH404" i="6"/>
  <c r="BI404" i="6"/>
  <c r="CB1003" i="6"/>
  <c r="CC1003" i="6"/>
  <c r="BH273" i="6"/>
  <c r="BI273" i="6"/>
  <c r="CD678" i="6"/>
  <c r="BI123" i="6"/>
  <c r="BH123" i="6"/>
  <c r="CH123" i="6" s="1"/>
  <c r="CG123" i="6" s="1"/>
  <c r="BP876" i="6"/>
  <c r="BO876" i="6"/>
  <c r="BP404" i="6"/>
  <c r="BO404" i="6"/>
  <c r="BB1003" i="6"/>
  <c r="CF1003" i="6"/>
  <c r="CE1003" i="6" s="1"/>
  <c r="BH22" i="6"/>
  <c r="BI22" i="6"/>
  <c r="CD991" i="6"/>
  <c r="CH389" i="6"/>
  <c r="CG389" i="6" s="1"/>
  <c r="CD123" i="6"/>
  <c r="CH836" i="6"/>
  <c r="CG836" i="6" s="1"/>
  <c r="CH462" i="6"/>
  <c r="CG462" i="6" s="1"/>
  <c r="CH411" i="6"/>
  <c r="CG411" i="6" s="1"/>
  <c r="CD799" i="6"/>
  <c r="CH89" i="6"/>
  <c r="CG89" i="6" s="1"/>
  <c r="CD357" i="6"/>
  <c r="CH918" i="6"/>
  <c r="CG918" i="6" s="1"/>
  <c r="CD288" i="6"/>
  <c r="CH894" i="6"/>
  <c r="CG894" i="6" s="1"/>
  <c r="CD414" i="6"/>
  <c r="CH427" i="6"/>
  <c r="CG427" i="6" s="1"/>
  <c r="CH426" i="6"/>
  <c r="CG426" i="6" s="1"/>
  <c r="BH550" i="6"/>
  <c r="BI550" i="6"/>
  <c r="BH876" i="6"/>
  <c r="BI876" i="6"/>
  <c r="BP273" i="6"/>
  <c r="BO273" i="6"/>
  <c r="BO22" i="6"/>
  <c r="BP22" i="6"/>
  <c r="CD841" i="6"/>
  <c r="CD625" i="6"/>
  <c r="CD900" i="6"/>
  <c r="CH19" i="6"/>
  <c r="CG19" i="6" s="1"/>
  <c r="BO484" i="6"/>
  <c r="BP484" i="6"/>
  <c r="CD336" i="6"/>
  <c r="CH928" i="6"/>
  <c r="CG928" i="6" s="1"/>
  <c r="CH944" i="6"/>
  <c r="CG944" i="6" s="1"/>
  <c r="CD896" i="6"/>
  <c r="CD776" i="6"/>
  <c r="CH678" i="6"/>
  <c r="CG678" i="6" s="1"/>
  <c r="CD844" i="6"/>
  <c r="CH177" i="6"/>
  <c r="CG177" i="6" s="1"/>
  <c r="CH689" i="6"/>
  <c r="CG689" i="6" s="1"/>
  <c r="CH658" i="6"/>
  <c r="CG658" i="6" s="1"/>
  <c r="CD912" i="6"/>
  <c r="CH493" i="6"/>
  <c r="CG493" i="6" s="1"/>
  <c r="CD739" i="6"/>
  <c r="CD990" i="6"/>
  <c r="CH981" i="6"/>
  <c r="CG981" i="6" s="1"/>
  <c r="CH196" i="6"/>
  <c r="CG196" i="6" s="1"/>
  <c r="CH976" i="6"/>
  <c r="CG976" i="6" s="1"/>
  <c r="CH759" i="6"/>
  <c r="CG759" i="6" s="1"/>
  <c r="CD238" i="6"/>
  <c r="CH727" i="6"/>
  <c r="CG727" i="6" s="1"/>
  <c r="CD733" i="6"/>
  <c r="CH794" i="6"/>
  <c r="CG794" i="6" s="1"/>
  <c r="CH505" i="6"/>
  <c r="CG505" i="6" s="1"/>
  <c r="CD762" i="6"/>
  <c r="CH771" i="6"/>
  <c r="CG771" i="6" s="1"/>
  <c r="CH254" i="6"/>
  <c r="CG254" i="6" s="1"/>
  <c r="CD583" i="6"/>
  <c r="CD674" i="6"/>
  <c r="CH888" i="6"/>
  <c r="CG888" i="6" s="1"/>
  <c r="CD177" i="6"/>
  <c r="CH322" i="6"/>
  <c r="CG322" i="6" s="1"/>
  <c r="CH488" i="6"/>
  <c r="CG488" i="6" s="1"/>
  <c r="CD769" i="6"/>
  <c r="CH946" i="6"/>
  <c r="CG946" i="6" s="1"/>
  <c r="CD111" i="6"/>
  <c r="CD539" i="6"/>
  <c r="CH372" i="6"/>
  <c r="CG372" i="6" s="1"/>
  <c r="CH665" i="6"/>
  <c r="CG665" i="6" s="1"/>
  <c r="CH574" i="6"/>
  <c r="CG574" i="6" s="1"/>
  <c r="CH806" i="6"/>
  <c r="CG806" i="6" s="1"/>
  <c r="CH901" i="6"/>
  <c r="CG901" i="6" s="1"/>
  <c r="CH961" i="6"/>
  <c r="CG961" i="6" s="1"/>
  <c r="CD158" i="6"/>
  <c r="CH558" i="6"/>
  <c r="CG558" i="6" s="1"/>
  <c r="CD684" i="6"/>
  <c r="CH949" i="6"/>
  <c r="CG949" i="6" s="1"/>
  <c r="CH844" i="6"/>
  <c r="CG844" i="6" s="1"/>
  <c r="CD988" i="6"/>
  <c r="CD508" i="6"/>
  <c r="CH396" i="6"/>
  <c r="CG396" i="6" s="1"/>
  <c r="CH424" i="6"/>
  <c r="CG424" i="6" s="1"/>
  <c r="CD192" i="6"/>
  <c r="CH428" i="6"/>
  <c r="CG428" i="6" s="1"/>
  <c r="CD196" i="6"/>
  <c r="CH357" i="6"/>
  <c r="CG357" i="6" s="1"/>
  <c r="CH777" i="6"/>
  <c r="CG777" i="6" s="1"/>
  <c r="CD298" i="6"/>
  <c r="CD107" i="6"/>
  <c r="CD395" i="6"/>
  <c r="CH137" i="6"/>
  <c r="CG137" i="6" s="1"/>
  <c r="CD152" i="6"/>
  <c r="CD795" i="6"/>
  <c r="CH769" i="6"/>
  <c r="CG769" i="6" s="1"/>
  <c r="CH539" i="6"/>
  <c r="CG539" i="6" s="1"/>
  <c r="CH542" i="6"/>
  <c r="CG542" i="6" s="1"/>
  <c r="CH518" i="6"/>
  <c r="CG518" i="6" s="1"/>
  <c r="CH856" i="6"/>
  <c r="CG856" i="6" s="1"/>
  <c r="CD702" i="6"/>
  <c r="CH236" i="6"/>
  <c r="CG236" i="6" s="1"/>
  <c r="CH930" i="6"/>
  <c r="CG930" i="6" s="1"/>
  <c r="CD541" i="6"/>
  <c r="CH57" i="6"/>
  <c r="CG57" i="6" s="1"/>
  <c r="CD200" i="6"/>
  <c r="CH852" i="6"/>
  <c r="CG852" i="6" s="1"/>
  <c r="CD847" i="6"/>
  <c r="CH931" i="6"/>
  <c r="CG931" i="6" s="1"/>
  <c r="CH38" i="6"/>
  <c r="CG38" i="6" s="1"/>
  <c r="CD913" i="6"/>
  <c r="CH780" i="6"/>
  <c r="CG780" i="6" s="1"/>
  <c r="CH821" i="6"/>
  <c r="CG821" i="6" s="1"/>
  <c r="CD634" i="6"/>
  <c r="CD427" i="6"/>
  <c r="CH926" i="6"/>
  <c r="CG926" i="6" s="1"/>
  <c r="CH592" i="6"/>
  <c r="CG592" i="6" s="1"/>
  <c r="CH255" i="6"/>
  <c r="CG255" i="6" s="1"/>
  <c r="CH414" i="6"/>
  <c r="CG414" i="6" s="1"/>
  <c r="CD719" i="6"/>
  <c r="CD483" i="6"/>
  <c r="BI484" i="6"/>
  <c r="BH484" i="6"/>
  <c r="CD393" i="6"/>
  <c r="CH880" i="6"/>
  <c r="CG880" i="6" s="1"/>
  <c r="CC1012" i="6"/>
  <c r="CD1012" i="6" s="1"/>
  <c r="CB1012" i="6"/>
  <c r="CH1012" i="6" s="1"/>
  <c r="CG1012" i="6" s="1"/>
  <c r="BH543" i="6"/>
  <c r="BI543" i="6"/>
  <c r="CD682" i="6"/>
  <c r="CD926" i="6"/>
  <c r="BP198" i="6"/>
  <c r="BO198" i="6"/>
  <c r="CH770" i="6"/>
  <c r="CG770" i="6" s="1"/>
  <c r="CH35" i="6"/>
  <c r="CG35" i="6" s="1"/>
  <c r="CD506" i="6"/>
  <c r="CH924" i="6"/>
  <c r="CG924" i="6" s="1"/>
  <c r="CH968" i="6"/>
  <c r="CG968" i="6" s="1"/>
  <c r="CD153" i="6"/>
  <c r="CH232" i="6"/>
  <c r="CG232" i="6" s="1"/>
  <c r="CH620" i="6"/>
  <c r="CG620" i="6" s="1"/>
  <c r="CD875" i="6"/>
  <c r="CD124" i="6"/>
  <c r="CD243" i="6"/>
  <c r="CD255" i="6"/>
  <c r="CD558" i="6"/>
  <c r="CH625" i="6"/>
  <c r="CG625" i="6" s="1"/>
  <c r="BP936" i="6"/>
  <c r="BO936" i="6"/>
  <c r="CF198" i="6"/>
  <c r="CE198" i="6" s="1"/>
  <c r="BP170" i="6"/>
  <c r="BO170" i="6"/>
  <c r="BH557" i="6"/>
  <c r="BI557" i="6"/>
  <c r="BP543" i="6"/>
  <c r="BO543" i="6"/>
  <c r="BI936" i="6"/>
  <c r="BH936" i="6"/>
  <c r="CH197" i="6"/>
  <c r="CG197" i="6" s="1"/>
  <c r="CD986" i="6"/>
  <c r="CH835" i="6"/>
  <c r="CG835" i="6" s="1"/>
  <c r="CH646" i="6"/>
  <c r="CG646" i="6" s="1"/>
  <c r="CH103" i="6"/>
  <c r="CG103" i="6" s="1"/>
  <c r="CH314" i="6"/>
  <c r="CG314" i="6" s="1"/>
  <c r="CD341" i="6"/>
  <c r="CD59" i="6"/>
  <c r="CD346" i="6"/>
  <c r="CH91" i="6"/>
  <c r="CG91" i="6" s="1"/>
  <c r="CH68" i="6"/>
  <c r="CG68" i="6" s="1"/>
  <c r="CH957" i="6"/>
  <c r="CG957" i="6" s="1"/>
  <c r="CD579" i="6"/>
  <c r="CH17" i="6"/>
  <c r="CG17" i="6" s="1"/>
  <c r="CD887" i="6"/>
  <c r="CH925" i="6"/>
  <c r="CG925" i="6" s="1"/>
  <c r="CH513" i="6"/>
  <c r="CG513" i="6" s="1"/>
  <c r="CH251" i="6"/>
  <c r="CG251" i="6" s="1"/>
  <c r="CH516" i="6"/>
  <c r="CG516" i="6" s="1"/>
  <c r="CH527" i="6"/>
  <c r="CG527" i="6" s="1"/>
  <c r="CH248" i="6"/>
  <c r="CG248" i="6" s="1"/>
  <c r="CH384" i="6"/>
  <c r="CG384" i="6" s="1"/>
  <c r="CD591" i="6"/>
  <c r="BH198" i="6"/>
  <c r="BI198" i="6"/>
  <c r="BH170" i="6"/>
  <c r="BI170" i="6"/>
  <c r="BO557" i="6"/>
  <c r="BP557" i="6"/>
  <c r="CH932" i="6"/>
  <c r="CG932" i="6" s="1"/>
  <c r="BH747" i="6"/>
  <c r="BI747" i="6"/>
  <c r="CD317" i="6"/>
  <c r="CH474" i="6"/>
  <c r="CG474" i="6" s="1"/>
  <c r="CH601" i="6"/>
  <c r="CG601" i="6" s="1"/>
  <c r="CH152" i="6"/>
  <c r="CG152" i="6" s="1"/>
  <c r="CH141" i="6"/>
  <c r="CG141" i="6" s="1"/>
  <c r="CH188" i="6"/>
  <c r="CG188" i="6" s="1"/>
  <c r="CH185" i="6"/>
  <c r="CG185" i="6" s="1"/>
  <c r="CH534" i="6"/>
  <c r="CG534" i="6" s="1"/>
  <c r="CD945" i="6"/>
  <c r="CH515" i="6"/>
  <c r="CG515" i="6" s="1"/>
  <c r="CH902" i="6"/>
  <c r="CG902" i="6" s="1"/>
  <c r="CD953" i="6"/>
  <c r="CH172" i="6"/>
  <c r="CG172" i="6" s="1"/>
  <c r="CH239" i="6"/>
  <c r="CG239" i="6" s="1"/>
  <c r="CD902" i="6"/>
  <c r="CH423" i="6"/>
  <c r="CG423" i="6" s="1"/>
  <c r="CH67" i="6"/>
  <c r="CG67" i="6" s="1"/>
  <c r="CD477" i="6"/>
  <c r="CH581" i="6"/>
  <c r="CG581" i="6" s="1"/>
  <c r="CH962" i="6"/>
  <c r="CG962" i="6" s="1"/>
  <c r="CH595" i="6"/>
  <c r="CG595" i="6" s="1"/>
  <c r="CH831" i="6"/>
  <c r="CG831" i="6" s="1"/>
  <c r="CH361" i="6"/>
  <c r="CG361" i="6" s="1"/>
  <c r="CH768" i="6"/>
  <c r="CG768" i="6" s="1"/>
  <c r="CH300" i="6"/>
  <c r="CG300" i="6" s="1"/>
  <c r="CH512" i="6"/>
  <c r="CG512" i="6" s="1"/>
  <c r="CD227" i="6"/>
  <c r="CD803" i="6"/>
  <c r="CD570" i="6"/>
  <c r="CH461" i="6"/>
  <c r="CG461" i="6" s="1"/>
  <c r="CH541" i="6"/>
  <c r="CG541" i="6" s="1"/>
  <c r="CD312" i="6"/>
  <c r="CH281" i="6"/>
  <c r="CG281" i="6" s="1"/>
  <c r="CD752" i="6"/>
  <c r="CH483" i="6"/>
  <c r="CG483" i="6" s="1"/>
  <c r="CH499" i="6"/>
  <c r="CG499" i="6" s="1"/>
  <c r="CH590" i="6"/>
  <c r="CG590" i="6" s="1"/>
  <c r="CD932" i="6"/>
  <c r="CH317" i="6"/>
  <c r="CG317" i="6" s="1"/>
  <c r="CD672" i="6"/>
  <c r="BO747" i="6"/>
  <c r="BP747" i="6"/>
  <c r="CH342" i="6"/>
  <c r="CG342" i="6" s="1"/>
  <c r="CD712" i="6"/>
  <c r="BP929" i="6"/>
  <c r="BO929" i="6"/>
  <c r="CH929" i="6" s="1"/>
  <c r="CG929" i="6" s="1"/>
  <c r="CH884" i="6"/>
  <c r="CG884" i="6" s="1"/>
  <c r="CH113" i="6"/>
  <c r="CG113" i="6" s="1"/>
  <c r="CD929" i="6"/>
  <c r="CH395" i="6"/>
  <c r="CG395" i="6" s="1"/>
  <c r="CD439" i="6"/>
  <c r="CH776" i="6"/>
  <c r="CG776" i="6" s="1"/>
  <c r="CH566" i="6"/>
  <c r="CG566" i="6" s="1"/>
  <c r="CH161" i="6"/>
  <c r="CG161" i="6" s="1"/>
  <c r="CD705" i="6"/>
  <c r="CH214" i="6"/>
  <c r="CG214" i="6" s="1"/>
  <c r="CD837" i="6"/>
  <c r="CH546" i="6"/>
  <c r="CG546" i="6" s="1"/>
  <c r="CH797" i="6"/>
  <c r="CG797" i="6" s="1"/>
  <c r="CH429" i="6"/>
  <c r="CG429" i="6" s="1"/>
  <c r="CH664" i="6"/>
  <c r="CG664" i="6" s="1"/>
  <c r="CH629" i="6"/>
  <c r="CG629" i="6" s="1"/>
  <c r="CD873" i="6"/>
  <c r="CH750" i="6"/>
  <c r="CG750" i="6" s="1"/>
  <c r="CH129" i="6"/>
  <c r="CG129" i="6" s="1"/>
  <c r="CH371" i="6"/>
  <c r="CG371" i="6" s="1"/>
  <c r="CD668" i="6"/>
  <c r="CH609" i="6"/>
  <c r="CG609" i="6" s="1"/>
  <c r="CD492" i="6"/>
  <c r="CD863" i="6"/>
  <c r="CH702" i="6"/>
  <c r="CG702" i="6" s="1"/>
  <c r="CD81" i="6"/>
  <c r="CH283" i="6"/>
  <c r="CG283" i="6" s="1"/>
  <c r="CH847" i="6"/>
  <c r="CG847" i="6" s="1"/>
  <c r="CD968" i="6"/>
  <c r="CD173" i="6"/>
  <c r="CH920" i="6"/>
  <c r="CG920" i="6" s="1"/>
  <c r="CD251" i="6"/>
  <c r="CD248" i="6"/>
  <c r="CH893" i="6"/>
  <c r="CG893" i="6" s="1"/>
  <c r="CD985" i="6"/>
  <c r="BH339" i="6"/>
  <c r="BI339" i="6"/>
  <c r="CH672" i="6"/>
  <c r="CG672" i="6" s="1"/>
  <c r="CH235" i="6"/>
  <c r="CG235" i="6" s="1"/>
  <c r="CH712" i="6"/>
  <c r="CG712" i="6" s="1"/>
  <c r="BO775" i="6"/>
  <c r="BP775" i="6"/>
  <c r="CD775" i="6" s="1"/>
  <c r="CD283" i="6"/>
  <c r="CD318" i="6"/>
  <c r="CH775" i="6"/>
  <c r="CG775" i="6" s="1"/>
  <c r="BP339" i="6"/>
  <c r="BO339" i="6"/>
  <c r="BO885" i="6"/>
  <c r="CH885" i="6" s="1"/>
  <c r="CG885" i="6" s="1"/>
  <c r="BP885" i="6"/>
  <c r="CD885" i="6" s="1"/>
  <c r="CD265" i="6"/>
  <c r="CD697" i="6"/>
  <c r="CH875" i="6"/>
  <c r="CG875" i="6" s="1"/>
  <c r="CH148" i="6"/>
  <c r="CG148" i="6" s="1"/>
  <c r="BH848" i="6"/>
  <c r="BI848" i="6"/>
  <c r="CD814" i="6"/>
  <c r="BO467" i="6"/>
  <c r="BP467" i="6"/>
  <c r="CD934" i="6"/>
  <c r="CH952" i="6"/>
  <c r="CG952" i="6" s="1"/>
  <c r="CH814" i="6"/>
  <c r="CG814" i="6" s="1"/>
  <c r="BP848" i="6"/>
  <c r="BO848" i="6"/>
  <c r="BH467" i="6"/>
  <c r="BI467" i="6"/>
  <c r="CD561" i="6"/>
  <c r="CH102" i="6"/>
  <c r="CG102" i="6" s="1"/>
  <c r="CH820" i="6"/>
  <c r="CG820" i="6" s="1"/>
  <c r="CH511" i="6"/>
  <c r="CG511" i="6" s="1"/>
  <c r="CH343" i="6"/>
  <c r="CG343" i="6" s="1"/>
  <c r="CD271" i="6"/>
  <c r="CH246" i="6"/>
  <c r="CG246" i="6" s="1"/>
  <c r="CH706" i="6"/>
  <c r="CG706" i="6" s="1"/>
  <c r="CD595" i="6"/>
  <c r="CD485" i="6"/>
  <c r="CD302" i="6"/>
  <c r="CH954" i="6"/>
  <c r="CG954" i="6" s="1"/>
  <c r="CD605" i="6"/>
  <c r="CD621" i="6"/>
  <c r="CH881" i="6"/>
  <c r="CG881" i="6" s="1"/>
  <c r="CH434" i="6"/>
  <c r="CG434" i="6" s="1"/>
  <c r="CD43" i="6"/>
  <c r="CD233" i="6"/>
  <c r="CH364" i="6"/>
  <c r="CG364" i="6" s="1"/>
  <c r="CH370" i="6"/>
  <c r="CG370" i="6" s="1"/>
  <c r="CH728" i="6"/>
  <c r="CG728" i="6" s="1"/>
  <c r="CD703" i="6"/>
  <c r="CD441" i="6"/>
  <c r="CH286" i="6"/>
  <c r="CG286" i="6" s="1"/>
  <c r="CH882" i="6"/>
  <c r="CG882" i="6" s="1"/>
  <c r="CD872" i="6"/>
  <c r="CH48" i="6"/>
  <c r="CG48" i="6" s="1"/>
  <c r="CH459" i="6"/>
  <c r="CG459" i="6" s="1"/>
  <c r="CD497" i="6"/>
  <c r="CH69" i="6"/>
  <c r="CG69" i="6" s="1"/>
  <c r="CH367" i="6"/>
  <c r="CG367" i="6" s="1"/>
  <c r="CH951" i="6"/>
  <c r="CG951" i="6" s="1"/>
  <c r="BI454" i="6"/>
  <c r="BH454" i="6"/>
  <c r="CF454" i="6"/>
  <c r="CE454" i="6" s="1"/>
  <c r="CH749" i="6"/>
  <c r="CG749" i="6" s="1"/>
  <c r="CD952" i="6"/>
  <c r="BI165" i="6"/>
  <c r="BH165" i="6"/>
  <c r="CH302" i="6"/>
  <c r="CG302" i="6" s="1"/>
  <c r="CD433" i="6"/>
  <c r="CD743" i="6"/>
  <c r="CD461" i="6"/>
  <c r="CH294" i="6"/>
  <c r="CG294" i="6" s="1"/>
  <c r="BP454" i="6"/>
  <c r="BO454" i="6"/>
  <c r="CD749" i="6"/>
  <c r="BP165" i="6"/>
  <c r="BO165" i="6"/>
  <c r="CH677" i="6"/>
  <c r="CG677" i="6" s="1"/>
  <c r="CH125" i="6"/>
  <c r="CG125" i="6" s="1"/>
  <c r="CD23" i="6"/>
  <c r="CH694" i="6"/>
  <c r="CG694" i="6" s="1"/>
  <c r="CH83" i="6"/>
  <c r="CG83" i="6" s="1"/>
  <c r="CD999" i="6"/>
  <c r="CH615" i="6"/>
  <c r="CG615" i="6" s="1"/>
  <c r="CH166" i="6"/>
  <c r="CG166" i="6" s="1"/>
  <c r="CH30" i="6"/>
  <c r="CG30" i="6" s="1"/>
  <c r="CH956" i="6"/>
  <c r="CG956" i="6" s="1"/>
  <c r="CH642" i="6"/>
  <c r="CG642" i="6" s="1"/>
  <c r="CD466" i="6"/>
  <c r="CH898" i="6"/>
  <c r="CG898" i="6" s="1"/>
  <c r="CD137" i="6"/>
  <c r="CH989" i="6"/>
  <c r="CG989" i="6" s="1"/>
  <c r="CH636" i="6"/>
  <c r="CG636" i="6" s="1"/>
  <c r="CH369" i="6"/>
  <c r="CG369" i="6" s="1"/>
  <c r="CH435" i="6"/>
  <c r="CG435" i="6" s="1"/>
  <c r="CD542" i="6"/>
  <c r="CD109" i="6"/>
  <c r="CD55" i="6"/>
  <c r="CH588" i="6"/>
  <c r="CG588" i="6" s="1"/>
  <c r="CH545" i="6"/>
  <c r="CG545" i="6" s="1"/>
  <c r="CH301" i="6"/>
  <c r="CG301" i="6" s="1"/>
  <c r="CH312" i="6"/>
  <c r="CG312" i="6" s="1"/>
  <c r="CH200" i="6"/>
  <c r="CG200" i="6" s="1"/>
  <c r="CD951" i="6"/>
  <c r="CD575" i="6"/>
  <c r="CD98" i="6"/>
  <c r="CH514" i="6"/>
  <c r="CG514" i="6" s="1"/>
  <c r="CD884" i="6"/>
  <c r="CH308" i="6"/>
  <c r="CG308" i="6" s="1"/>
  <c r="CH464" i="6"/>
  <c r="CG464" i="6" s="1"/>
  <c r="CH826" i="6"/>
  <c r="CG826" i="6" s="1"/>
  <c r="CH373" i="6"/>
  <c r="CG373" i="6" s="1"/>
  <c r="CD412" i="6"/>
  <c r="CD903" i="6"/>
  <c r="CH682" i="6"/>
  <c r="CG682" i="6" s="1"/>
  <c r="CH834" i="6"/>
  <c r="CG834" i="6" s="1"/>
  <c r="CH212" i="6"/>
  <c r="CG212" i="6" s="1"/>
  <c r="CD515" i="6"/>
  <c r="CH460" i="6"/>
  <c r="CG460" i="6" s="1"/>
  <c r="CD714" i="6"/>
  <c r="CD599" i="6"/>
  <c r="CD392" i="6"/>
  <c r="CH208" i="6"/>
  <c r="CG208" i="6" s="1"/>
  <c r="CD104" i="6"/>
  <c r="CH383" i="6"/>
  <c r="CG383" i="6" s="1"/>
  <c r="CH617" i="6"/>
  <c r="CG617" i="6" s="1"/>
  <c r="CD106" i="6"/>
  <c r="CH697" i="6"/>
  <c r="CG697" i="6" s="1"/>
  <c r="CD374" i="6"/>
  <c r="CH433" i="6"/>
  <c r="CG433" i="6" s="1"/>
  <c r="CH111" i="6"/>
  <c r="CG111" i="6" s="1"/>
  <c r="CH919" i="6"/>
  <c r="CG919" i="6" s="1"/>
  <c r="CD908" i="6"/>
  <c r="CD600" i="6"/>
  <c r="CD276" i="6"/>
  <c r="CD667" i="6"/>
  <c r="CD147" i="6"/>
  <c r="CH405" i="6"/>
  <c r="CG405" i="6" s="1"/>
  <c r="CH570" i="6"/>
  <c r="CG570" i="6" s="1"/>
  <c r="CH276" i="6"/>
  <c r="CG276" i="6" s="1"/>
  <c r="CH75" i="6"/>
  <c r="CG75" i="6" s="1"/>
  <c r="CD421" i="6"/>
  <c r="CD924" i="6"/>
  <c r="CH153" i="6"/>
  <c r="CG153" i="6" s="1"/>
  <c r="CH791" i="6"/>
  <c r="CG791" i="6" s="1"/>
  <c r="CH892" i="6"/>
  <c r="CG892" i="6" s="1"/>
  <c r="CH327" i="6"/>
  <c r="CG327" i="6" s="1"/>
  <c r="CD604" i="6"/>
  <c r="CD294" i="6"/>
  <c r="CH752" i="6"/>
  <c r="CG752" i="6" s="1"/>
  <c r="CD821" i="6"/>
  <c r="CH332" i="6"/>
  <c r="CG332" i="6" s="1"/>
  <c r="CH88" i="6"/>
  <c r="CG88" i="6" s="1"/>
  <c r="CD920" i="6"/>
  <c r="CH934" i="6"/>
  <c r="CG934" i="6" s="1"/>
  <c r="CH619" i="6"/>
  <c r="CG619" i="6" s="1"/>
  <c r="CD274" i="6"/>
  <c r="CH779" i="6"/>
  <c r="CG779" i="6" s="1"/>
  <c r="CH252" i="6"/>
  <c r="CG252" i="6" s="1"/>
  <c r="CH575" i="6"/>
  <c r="CG575" i="6" s="1"/>
  <c r="CD977" i="6"/>
  <c r="CD145" i="6"/>
  <c r="CD609" i="6"/>
  <c r="CD897" i="6"/>
  <c r="CH368" i="6"/>
  <c r="CG368" i="6" s="1"/>
  <c r="CH983" i="6"/>
  <c r="CG983" i="6" s="1"/>
  <c r="CD88" i="6"/>
  <c r="CH526" i="6"/>
  <c r="CG526" i="6" s="1"/>
  <c r="CD619" i="6"/>
  <c r="CH220" i="6"/>
  <c r="CG220" i="6" s="1"/>
  <c r="CH15" i="6"/>
  <c r="CG15" i="6" s="1"/>
  <c r="CH552" i="6"/>
  <c r="CG552" i="6" s="1"/>
  <c r="CD66" i="6"/>
  <c r="CH741" i="6"/>
  <c r="CG741" i="6" s="1"/>
  <c r="CH991" i="6"/>
  <c r="CG991" i="6" s="1"/>
  <c r="CH70" i="6"/>
  <c r="CG70" i="6" s="1"/>
  <c r="CH549" i="6"/>
  <c r="CG549" i="6" s="1"/>
  <c r="CH468" i="6"/>
  <c r="CG468" i="6" s="1"/>
  <c r="CH666" i="6"/>
  <c r="CG666" i="6" s="1"/>
  <c r="CD180" i="6"/>
  <c r="CH189" i="6"/>
  <c r="CG189" i="6" s="1"/>
  <c r="CD834" i="6"/>
  <c r="CH890" i="6"/>
  <c r="CG890" i="6" s="1"/>
  <c r="CH572" i="6"/>
  <c r="CG572" i="6" s="1"/>
  <c r="CH20" i="6"/>
  <c r="CG20" i="6" s="1"/>
  <c r="CD666" i="6"/>
  <c r="CH271" i="6"/>
  <c r="CG271" i="6" s="1"/>
  <c r="CD15" i="6"/>
  <c r="CD253" i="6"/>
  <c r="CH811" i="6"/>
  <c r="CG811" i="6" s="1"/>
  <c r="CD581" i="6"/>
  <c r="CD706" i="6"/>
  <c r="CH472" i="6"/>
  <c r="CG472" i="6" s="1"/>
  <c r="CH223" i="6"/>
  <c r="CG223" i="6" s="1"/>
  <c r="CH274" i="6"/>
  <c r="CG274" i="6" s="1"/>
  <c r="CH265" i="6"/>
  <c r="CG265" i="6" s="1"/>
  <c r="CH650" i="6"/>
  <c r="CG650" i="6" s="1"/>
  <c r="CH942" i="6"/>
  <c r="CG942" i="6" s="1"/>
  <c r="CD434" i="6"/>
  <c r="CH204" i="6"/>
  <c r="CG204" i="6" s="1"/>
  <c r="CD79" i="6"/>
  <c r="CD987" i="6"/>
  <c r="CD381" i="6"/>
  <c r="CD898" i="6"/>
  <c r="CH31" i="6"/>
  <c r="CG31" i="6" s="1"/>
  <c r="CH948" i="6"/>
  <c r="CG948" i="6" s="1"/>
  <c r="CH199" i="6"/>
  <c r="CG199" i="6" s="1"/>
  <c r="CH297" i="6"/>
  <c r="CG297" i="6" s="1"/>
  <c r="CH943" i="6"/>
  <c r="CG943" i="6" s="1"/>
  <c r="CD453" i="6"/>
  <c r="CD808" i="6"/>
  <c r="CH78" i="6"/>
  <c r="CG78" i="6" s="1"/>
  <c r="CD140" i="6"/>
  <c r="CH95" i="6"/>
  <c r="CG95" i="6" s="1"/>
  <c r="CD614" i="6"/>
  <c r="CD954" i="6"/>
  <c r="CD791" i="6"/>
  <c r="CD301" i="6"/>
  <c r="CH51" i="6"/>
  <c r="CG51" i="6" s="1"/>
  <c r="CH966" i="6"/>
  <c r="CG966" i="6" s="1"/>
  <c r="CH154" i="6"/>
  <c r="CG154" i="6" s="1"/>
  <c r="CH717" i="6"/>
  <c r="CG717" i="6" s="1"/>
  <c r="CH349" i="6"/>
  <c r="CG349" i="6" s="1"/>
  <c r="CD982" i="6"/>
  <c r="CD582" i="6"/>
  <c r="CH722" i="6"/>
  <c r="CG722" i="6" s="1"/>
  <c r="CD401" i="6"/>
  <c r="CD779" i="6"/>
  <c r="CH903" i="6"/>
  <c r="CG903" i="6" s="1"/>
  <c r="CH660" i="6"/>
  <c r="CG660" i="6" s="1"/>
  <c r="CH114" i="6"/>
  <c r="CG114" i="6" s="1"/>
  <c r="CH680" i="6"/>
  <c r="CG680" i="6" s="1"/>
  <c r="CH33" i="6"/>
  <c r="CG33" i="6" s="1"/>
  <c r="CH412" i="6"/>
  <c r="CG412" i="6" s="1"/>
  <c r="CH218" i="6"/>
  <c r="CG218" i="6" s="1"/>
  <c r="CH99" i="6"/>
  <c r="CG99" i="6" s="1"/>
  <c r="CH999" i="6"/>
  <c r="CG999" i="6" s="1"/>
  <c r="CD865" i="6"/>
  <c r="CH143" i="6"/>
  <c r="CG143" i="6" s="1"/>
  <c r="CD630" i="6"/>
  <c r="CH415" i="6"/>
  <c r="CG415" i="6" s="1"/>
  <c r="CH626" i="6"/>
  <c r="CG626" i="6" s="1"/>
  <c r="CH174" i="6"/>
  <c r="CG174" i="6" s="1"/>
  <c r="CD576" i="6"/>
  <c r="CH553" i="6"/>
  <c r="CG553" i="6" s="1"/>
  <c r="CH760" i="6"/>
  <c r="CG760" i="6" s="1"/>
  <c r="CD970" i="6"/>
  <c r="CD223" i="6"/>
  <c r="CH272" i="6"/>
  <c r="CG272" i="6" s="1"/>
  <c r="CH345" i="6"/>
  <c r="CG345" i="6" s="1"/>
  <c r="CH213" i="6"/>
  <c r="CG213" i="6" s="1"/>
  <c r="CH79" i="6"/>
  <c r="CG79" i="6" s="1"/>
  <c r="CH627" i="6"/>
  <c r="CG627" i="6" s="1"/>
  <c r="CH71" i="6"/>
  <c r="CG71" i="6" s="1"/>
  <c r="CH263" i="6"/>
  <c r="CG263" i="6" s="1"/>
  <c r="CH676" i="6"/>
  <c r="CG676" i="6" s="1"/>
  <c r="CH130" i="6"/>
  <c r="CG130" i="6" s="1"/>
  <c r="CD665" i="6"/>
  <c r="CD122" i="6"/>
  <c r="CH594" i="6"/>
  <c r="CG594" i="6" s="1"/>
  <c r="CD545" i="6"/>
  <c r="CH425" i="6"/>
  <c r="CG425" i="6" s="1"/>
  <c r="CD967" i="6"/>
  <c r="CH742" i="6"/>
  <c r="CG742" i="6" s="1"/>
  <c r="CD316" i="6"/>
  <c r="CH288" i="6"/>
  <c r="CG288" i="6" s="1"/>
  <c r="CH421" i="6"/>
  <c r="CG421" i="6" s="1"/>
  <c r="CH316" i="6"/>
  <c r="CG316" i="6" s="1"/>
  <c r="CH497" i="6"/>
  <c r="CG497" i="6" s="1"/>
  <c r="CH344" i="6"/>
  <c r="CG344" i="6" s="1"/>
  <c r="CH720" i="6"/>
  <c r="CG720" i="6" s="1"/>
  <c r="CD154" i="6"/>
  <c r="CH243" i="6"/>
  <c r="CG243" i="6" s="1"/>
  <c r="CD921" i="6"/>
  <c r="CH965" i="6"/>
  <c r="CG965" i="6" s="1"/>
  <c r="CH142" i="6"/>
  <c r="CG142" i="6" s="1"/>
  <c r="CH221" i="6"/>
  <c r="CG221" i="6" s="1"/>
  <c r="CD416" i="6"/>
  <c r="CD944" i="6"/>
  <c r="CH832" i="6"/>
  <c r="CG832" i="6" s="1"/>
  <c r="CH561" i="6"/>
  <c r="CG561" i="6" s="1"/>
  <c r="CH945" i="6"/>
  <c r="CG945" i="6" s="1"/>
  <c r="CH350" i="6"/>
  <c r="CG350" i="6" s="1"/>
  <c r="CH726" i="6"/>
  <c r="CG726" i="6" s="1"/>
  <c r="CH667" i="6"/>
  <c r="CG667" i="6" s="1"/>
  <c r="CH315" i="6"/>
  <c r="CG315" i="6" s="1"/>
  <c r="CD214" i="6"/>
  <c r="CH576" i="6"/>
  <c r="CG576" i="6" s="1"/>
  <c r="CD546" i="6"/>
  <c r="CD553" i="6"/>
  <c r="CH359" i="6"/>
  <c r="CG359" i="6" s="1"/>
  <c r="CD413" i="6"/>
  <c r="CH799" i="6"/>
  <c r="CG799" i="6" s="1"/>
  <c r="CH64" i="6"/>
  <c r="CG64" i="6" s="1"/>
  <c r="CD616" i="6"/>
  <c r="CH887" i="6"/>
  <c r="CG887" i="6" s="1"/>
  <c r="CD41" i="6"/>
  <c r="CH850" i="6"/>
  <c r="CG850" i="6" s="1"/>
  <c r="CH109" i="6"/>
  <c r="CG109" i="6" s="1"/>
  <c r="CD31" i="6"/>
  <c r="CD845" i="6"/>
  <c r="CH735" i="6"/>
  <c r="CG735" i="6" s="1"/>
  <c r="CD473" i="6"/>
  <c r="CD989" i="6"/>
  <c r="CD390" i="6"/>
  <c r="CD676" i="6"/>
  <c r="CH260" i="6"/>
  <c r="CG260" i="6" s="1"/>
  <c r="CH43" i="6"/>
  <c r="CG43" i="6" s="1"/>
  <c r="CH131" i="6"/>
  <c r="CG131" i="6" s="1"/>
  <c r="CD361" i="6"/>
  <c r="CD650" i="6"/>
  <c r="CH967" i="6"/>
  <c r="CG967" i="6" s="1"/>
  <c r="CD631" i="6"/>
  <c r="CD857" i="6"/>
  <c r="CD966" i="6"/>
  <c r="CH18" i="6"/>
  <c r="CG18" i="6" s="1"/>
  <c r="CD475" i="6"/>
  <c r="CH979" i="6"/>
  <c r="CG979" i="6" s="1"/>
  <c r="CH401" i="6"/>
  <c r="CG401" i="6" s="1"/>
  <c r="CH318" i="6"/>
  <c r="CG318" i="6" s="1"/>
  <c r="CH571" i="6"/>
  <c r="CG571" i="6" s="1"/>
  <c r="CH50" i="6"/>
  <c r="CG50" i="6" s="1"/>
  <c r="CD57" i="6"/>
  <c r="CH250" i="6"/>
  <c r="CG250" i="6" s="1"/>
  <c r="CD983" i="6"/>
  <c r="CH478" i="6"/>
  <c r="CG478" i="6" s="1"/>
  <c r="CH543" i="6"/>
  <c r="CG543" i="6" s="1"/>
  <c r="CH173" i="6"/>
  <c r="CG173" i="6" s="1"/>
  <c r="CD236" i="6"/>
  <c r="CD320" i="6"/>
  <c r="CD806" i="6"/>
  <c r="CD365" i="6"/>
  <c r="CH605" i="6"/>
  <c r="CG605" i="6" s="1"/>
  <c r="CH897" i="6"/>
  <c r="CG897" i="6" s="1"/>
  <c r="CD760" i="6"/>
  <c r="CH863" i="6"/>
  <c r="CG863" i="6" s="1"/>
  <c r="CH604" i="6"/>
  <c r="CG604" i="6" s="1"/>
  <c r="CH475" i="6"/>
  <c r="CG475" i="6" s="1"/>
  <c r="CH755" i="6"/>
  <c r="CG755" i="6" s="1"/>
  <c r="CH854" i="6"/>
  <c r="CG854" i="6" s="1"/>
  <c r="BO178" i="6"/>
  <c r="BP178" i="6"/>
  <c r="CD250" i="6"/>
  <c r="CH320" i="6"/>
  <c r="CG320" i="6" s="1"/>
  <c r="CH430" i="6"/>
  <c r="CG430" i="6" s="1"/>
  <c r="CH873" i="6"/>
  <c r="CG873" i="6" s="1"/>
  <c r="CH635" i="6"/>
  <c r="CG635" i="6" s="1"/>
  <c r="CH631" i="6"/>
  <c r="CG631" i="6" s="1"/>
  <c r="CH783" i="6"/>
  <c r="CG783" i="6" s="1"/>
  <c r="CH982" i="6"/>
  <c r="CG982" i="6" s="1"/>
  <c r="CH215" i="6"/>
  <c r="CG215" i="6" s="1"/>
  <c r="CH397" i="6"/>
  <c r="CG397" i="6" s="1"/>
  <c r="BI178" i="6"/>
  <c r="BH178" i="6"/>
  <c r="CD959" i="6"/>
  <c r="CH291" i="6"/>
  <c r="CG291" i="6" s="1"/>
  <c r="CD854" i="6"/>
  <c r="CH853" i="6"/>
  <c r="CG853" i="6" s="1"/>
  <c r="CH210" i="6"/>
  <c r="CG210" i="6" s="1"/>
  <c r="CD220" i="6"/>
  <c r="CH324" i="6"/>
  <c r="CG324" i="6" s="1"/>
  <c r="CH329" i="6"/>
  <c r="CG329" i="6" s="1"/>
  <c r="CD610" i="6"/>
  <c r="CD820" i="6"/>
  <c r="CH175" i="6"/>
  <c r="CG175" i="6" s="1"/>
  <c r="CH972" i="6"/>
  <c r="CG972" i="6" s="1"/>
  <c r="CD615" i="6"/>
  <c r="CD617" i="6"/>
  <c r="CD735" i="6"/>
  <c r="CH637" i="6"/>
  <c r="CG637" i="6" s="1"/>
  <c r="CH621" i="6"/>
  <c r="CG621" i="6" s="1"/>
  <c r="CH977" i="6"/>
  <c r="CG977" i="6" s="1"/>
  <c r="CD400" i="6"/>
  <c r="CD824" i="6"/>
  <c r="CH703" i="6"/>
  <c r="CG703" i="6" s="1"/>
  <c r="CD338" i="6"/>
  <c r="CD93" i="6"/>
  <c r="CH87" i="6"/>
  <c r="CG87" i="6" s="1"/>
  <c r="CH845" i="6"/>
  <c r="CG845" i="6" s="1"/>
  <c r="CH105" i="6"/>
  <c r="CG105" i="6" s="1"/>
  <c r="CH134" i="6"/>
  <c r="CG134" i="6" s="1"/>
  <c r="CH466" i="6"/>
  <c r="CG466" i="6" s="1"/>
  <c r="CH341" i="6"/>
  <c r="CG341" i="6" s="1"/>
  <c r="CD150" i="6"/>
  <c r="CH613" i="6"/>
  <c r="CG613" i="6" s="1"/>
  <c r="CH390" i="6"/>
  <c r="CG390" i="6" s="1"/>
  <c r="CH940" i="6"/>
  <c r="CG940" i="6" s="1"/>
  <c r="CH381" i="6"/>
  <c r="CG381" i="6" s="1"/>
  <c r="CD182" i="6"/>
  <c r="CD802" i="6"/>
  <c r="CH547" i="6"/>
  <c r="CG547" i="6" s="1"/>
  <c r="CD117" i="6"/>
  <c r="CD53" i="6"/>
  <c r="CH469" i="6"/>
  <c r="CG469" i="6" s="1"/>
  <c r="CH984" i="6"/>
  <c r="CG984" i="6" s="1"/>
  <c r="CH868" i="6"/>
  <c r="CG868" i="6" s="1"/>
  <c r="CH987" i="6"/>
  <c r="CG987" i="6" s="1"/>
  <c r="CD297" i="6"/>
  <c r="CH453" i="6"/>
  <c r="CG453" i="6" s="1"/>
  <c r="CH937" i="6"/>
  <c r="CG937" i="6" s="1"/>
  <c r="CH507" i="6"/>
  <c r="CG507" i="6" s="1"/>
  <c r="CH13" i="6"/>
  <c r="CG13" i="6" s="1"/>
  <c r="CH436" i="6"/>
  <c r="CG436" i="6" s="1"/>
  <c r="CH233" i="6"/>
  <c r="CG233" i="6" s="1"/>
  <c r="CD12" i="6"/>
  <c r="CH256" i="6"/>
  <c r="CG256" i="6" s="1"/>
  <c r="CH705" i="6"/>
  <c r="CG705" i="6" s="1"/>
  <c r="CD683" i="6"/>
  <c r="CH53" i="6"/>
  <c r="CG53" i="6" s="1"/>
  <c r="CH61" i="6"/>
  <c r="CG61" i="6" s="1"/>
  <c r="CH669" i="6"/>
  <c r="CG669" i="6" s="1"/>
  <c r="CD984" i="6"/>
  <c r="CH41" i="6"/>
  <c r="CG41" i="6" s="1"/>
  <c r="CH603" i="6"/>
  <c r="CG603" i="6" s="1"/>
  <c r="CD948" i="6"/>
  <c r="CH668" i="6"/>
  <c r="CG668" i="6" s="1"/>
  <c r="CH708" i="6"/>
  <c r="CG708" i="6" s="1"/>
  <c r="CH450" i="6"/>
  <c r="CG450" i="6" s="1"/>
  <c r="CH746" i="6"/>
  <c r="CG746" i="6" s="1"/>
  <c r="CH753" i="6"/>
  <c r="CG753" i="6" s="1"/>
  <c r="CD613" i="6"/>
  <c r="CH748" i="6"/>
  <c r="CG748" i="6" s="1"/>
  <c r="CH908" i="6"/>
  <c r="CG908" i="6" s="1"/>
  <c r="CH190" i="6"/>
  <c r="CG190" i="6" s="1"/>
  <c r="CD436" i="6"/>
  <c r="CH406" i="6"/>
  <c r="CG406" i="6" s="1"/>
  <c r="CH12" i="6"/>
  <c r="CG12" i="6" s="1"/>
  <c r="CD810" i="6"/>
  <c r="CH492" i="6"/>
  <c r="CG492" i="6" s="1"/>
  <c r="CD71" i="6"/>
  <c r="CH136" i="6"/>
  <c r="CG136" i="6" s="1"/>
  <c r="CD564" i="6"/>
  <c r="CH413" i="6"/>
  <c r="CG413" i="6" s="1"/>
  <c r="CH973" i="6"/>
  <c r="CG973" i="6" s="1"/>
  <c r="CH910" i="6"/>
  <c r="CG910" i="6" s="1"/>
  <c r="CH365" i="6"/>
  <c r="CG365" i="6" s="1"/>
  <c r="CH346" i="6"/>
  <c r="CG346" i="6" s="1"/>
  <c r="CH351" i="6"/>
  <c r="CG351" i="6" s="1"/>
  <c r="CD919" i="6"/>
  <c r="CD943" i="6"/>
  <c r="CD68" i="6"/>
  <c r="CH374" i="6"/>
  <c r="CG374" i="6" s="1"/>
  <c r="CH857" i="6"/>
  <c r="CG857" i="6" s="1"/>
  <c r="CH337" i="6"/>
  <c r="CG337" i="6" s="1"/>
  <c r="CH548" i="6"/>
  <c r="CG548" i="6" s="1"/>
  <c r="CD372" i="6"/>
  <c r="CH347" i="6"/>
  <c r="CG347" i="6" s="1"/>
  <c r="CD345" i="6"/>
  <c r="CH506" i="6"/>
  <c r="CG506" i="6" s="1"/>
  <c r="CH803" i="6"/>
  <c r="CG803" i="6" s="1"/>
  <c r="CH616" i="6"/>
  <c r="CG616" i="6" s="1"/>
  <c r="CH839" i="6"/>
  <c r="CG839" i="6" s="1"/>
  <c r="CH810" i="6"/>
  <c r="CG810" i="6" s="1"/>
  <c r="CH439" i="6"/>
  <c r="CG439" i="6" s="1"/>
  <c r="CH416" i="6"/>
  <c r="CG416" i="6" s="1"/>
  <c r="CH100" i="6"/>
  <c r="CG100" i="6" s="1"/>
  <c r="CH443" i="6"/>
  <c r="CG443" i="6" s="1"/>
  <c r="CD1024" i="6"/>
  <c r="CH195" i="6"/>
  <c r="CG195" i="6" s="1"/>
  <c r="CH23" i="6"/>
  <c r="CG23" i="6" s="1"/>
  <c r="CD911" i="6"/>
  <c r="CD141" i="6"/>
  <c r="CH176" i="6"/>
  <c r="CG176" i="6" s="1"/>
  <c r="CH498" i="6"/>
  <c r="CG498" i="6" s="1"/>
  <c r="CH896" i="6"/>
  <c r="CG896" i="6" s="1"/>
  <c r="CH866" i="6"/>
  <c r="CG866" i="6" s="1"/>
  <c r="CD727" i="6"/>
  <c r="CD836" i="6"/>
  <c r="CH790" i="6"/>
  <c r="CG790" i="6" s="1"/>
  <c r="CD890" i="6"/>
  <c r="CD239" i="6"/>
  <c r="CH504" i="6"/>
  <c r="CG504" i="6" s="1"/>
  <c r="CH228" i="6"/>
  <c r="CG228" i="6" s="1"/>
  <c r="CD343" i="6"/>
  <c r="CH969" i="6"/>
  <c r="CG969" i="6" s="1"/>
  <c r="CH891" i="6"/>
  <c r="CG891" i="6" s="1"/>
  <c r="CH477" i="6"/>
  <c r="CG477" i="6" s="1"/>
  <c r="CH392" i="6"/>
  <c r="CG392" i="6" s="1"/>
  <c r="CD329" i="6"/>
  <c r="CD160" i="6"/>
  <c r="CD290" i="6"/>
  <c r="CD606" i="6"/>
  <c r="CD446" i="6"/>
  <c r="CH819" i="6"/>
  <c r="CG819" i="6" s="1"/>
  <c r="CH655" i="6"/>
  <c r="CG655" i="6" s="1"/>
  <c r="CH736" i="6"/>
  <c r="CG736" i="6" s="1"/>
  <c r="CH927" i="6"/>
  <c r="CG927" i="6" s="1"/>
  <c r="CH106" i="6"/>
  <c r="CG106" i="6" s="1"/>
  <c r="CH707" i="6"/>
  <c r="CG707" i="6" s="1"/>
  <c r="CH400" i="6"/>
  <c r="CG400" i="6" s="1"/>
  <c r="CD206" i="6"/>
  <c r="CH393" i="6"/>
  <c r="CG393" i="6" s="1"/>
  <c r="CH643" i="6"/>
  <c r="CG643" i="6" s="1"/>
  <c r="CD322" i="6"/>
  <c r="CH93" i="6"/>
  <c r="CG93" i="6" s="1"/>
  <c r="CD642" i="6"/>
  <c r="CD635" i="6"/>
  <c r="CD364" i="6"/>
  <c r="CH338" i="6"/>
  <c r="CG338" i="6" s="1"/>
  <c r="CH489" i="6"/>
  <c r="CG489" i="6" s="1"/>
  <c r="CH849" i="6"/>
  <c r="CG849" i="6" s="1"/>
  <c r="CH579" i="6"/>
  <c r="CG579" i="6" s="1"/>
  <c r="CH63" i="6"/>
  <c r="CG63" i="6" s="1"/>
  <c r="CH654" i="6"/>
  <c r="CG654" i="6" s="1"/>
  <c r="CH441" i="6"/>
  <c r="CG441" i="6" s="1"/>
  <c r="CH824" i="6"/>
  <c r="CG824" i="6" s="1"/>
  <c r="CH600" i="6"/>
  <c r="CG600" i="6" s="1"/>
  <c r="CD35" i="6"/>
  <c r="CD358" i="6"/>
  <c r="CH473" i="6"/>
  <c r="CG473" i="6" s="1"/>
  <c r="CH122" i="6"/>
  <c r="CG122" i="6" s="1"/>
  <c r="CH808" i="6"/>
  <c r="CG808" i="6" s="1"/>
  <c r="CH917" i="6"/>
  <c r="CG917" i="6" s="1"/>
  <c r="CH738" i="6"/>
  <c r="CG738" i="6" s="1"/>
  <c r="CH80" i="6"/>
  <c r="CG80" i="6" s="1"/>
  <c r="CH55" i="6"/>
  <c r="CG55" i="6" s="1"/>
  <c r="CH802" i="6"/>
  <c r="CG802" i="6" s="1"/>
  <c r="CH145" i="6"/>
  <c r="CG145" i="6" s="1"/>
  <c r="CD351" i="6"/>
  <c r="CD707" i="6"/>
  <c r="CH560" i="6"/>
  <c r="CG560" i="6" s="1"/>
  <c r="CH150" i="6"/>
  <c r="CG150" i="6" s="1"/>
  <c r="CD95" i="6"/>
  <c r="CH614" i="6"/>
  <c r="CG614" i="6" s="1"/>
  <c r="CH203" i="6"/>
  <c r="CG203" i="6" s="1"/>
  <c r="CD708" i="6"/>
  <c r="CH182" i="6"/>
  <c r="CG182" i="6" s="1"/>
  <c r="A3" i="5"/>
  <c r="E3" i="5"/>
  <c r="F4" i="5"/>
  <c r="B3" i="5"/>
  <c r="C3" i="5"/>
  <c r="CH754" i="6"/>
  <c r="CG754" i="6" s="1"/>
  <c r="CH66" i="6"/>
  <c r="CG66" i="6" s="1"/>
  <c r="CH180" i="6"/>
  <c r="CG180" i="6" s="1"/>
  <c r="CH737" i="6"/>
  <c r="CG737" i="6" s="1"/>
  <c r="CH319" i="6"/>
  <c r="CG319" i="6" s="1"/>
  <c r="CH156" i="6"/>
  <c r="CG156" i="6" s="1"/>
  <c r="CD641" i="6"/>
  <c r="CH485" i="6"/>
  <c r="CG485" i="6" s="1"/>
  <c r="CH378" i="6"/>
  <c r="CG378" i="6" s="1"/>
  <c r="CD366" i="6"/>
  <c r="CH823" i="6"/>
  <c r="CG823" i="6" s="1"/>
  <c r="CH10" i="6"/>
  <c r="CG10" i="6" s="1"/>
  <c r="CH139" i="6"/>
  <c r="CG139" i="6" s="1"/>
  <c r="CH495" i="6"/>
  <c r="CG495" i="6" s="1"/>
  <c r="CH155" i="6"/>
  <c r="CG155" i="6" s="1"/>
  <c r="CH837" i="6"/>
  <c r="CG837" i="6" s="1"/>
  <c r="CH843" i="6"/>
  <c r="CG843" i="6" s="1"/>
  <c r="CH245" i="6"/>
  <c r="CG245" i="6" s="1"/>
  <c r="CH240" i="6"/>
  <c r="CG240" i="6" s="1"/>
  <c r="CH801" i="6"/>
  <c r="CG801" i="6" s="1"/>
  <c r="CH798" i="6"/>
  <c r="CG798" i="6" s="1"/>
  <c r="CH117" i="6"/>
  <c r="CG117" i="6" s="1"/>
  <c r="CH805" i="6"/>
  <c r="CG805" i="6" s="1"/>
  <c r="CH710" i="6"/>
  <c r="CG710" i="6" s="1"/>
  <c r="CH960" i="6"/>
  <c r="CG960" i="6" s="1"/>
  <c r="CH431" i="6"/>
  <c r="CG431" i="6" s="1"/>
  <c r="CH270" i="6"/>
  <c r="CG270" i="6" s="1"/>
  <c r="CH7" i="6"/>
  <c r="CG7" i="6" s="1"/>
  <c r="CH391" i="6"/>
  <c r="CG391" i="6" s="1"/>
  <c r="CH584" i="6"/>
  <c r="CG584" i="6" s="1"/>
  <c r="CH992" i="6"/>
  <c r="CG992" i="6" s="1"/>
  <c r="CH167" i="6"/>
  <c r="CG167" i="6" s="1"/>
  <c r="CH933" i="6"/>
  <c r="CG933" i="6" s="1"/>
  <c r="CH135" i="6"/>
  <c r="CG135" i="6" s="1"/>
  <c r="CD9" i="6"/>
  <c r="CH42" i="6"/>
  <c r="CG42" i="6" s="1"/>
  <c r="CH335" i="6"/>
  <c r="CG335" i="6" s="1"/>
  <c r="CD175" i="6"/>
  <c r="CH683" i="6"/>
  <c r="CG683" i="6" s="1"/>
  <c r="CH184" i="6"/>
  <c r="CG184" i="6" s="1"/>
  <c r="CH98" i="6"/>
  <c r="CG98" i="6" s="1"/>
  <c r="CH610" i="6"/>
  <c r="CG610" i="6" s="1"/>
  <c r="CH711" i="6"/>
  <c r="CG711" i="6" s="1"/>
  <c r="CH648" i="6"/>
  <c r="CG648" i="6" s="1"/>
  <c r="CH284" i="6"/>
  <c r="CG284" i="6" s="1"/>
  <c r="CH647" i="6"/>
  <c r="CG647" i="6" s="1"/>
  <c r="CD431" i="6"/>
  <c r="CH745" i="6"/>
  <c r="CG745" i="6" s="1"/>
  <c r="CH729" i="6"/>
  <c r="CG729" i="6" s="1"/>
  <c r="CH419" i="6"/>
  <c r="CG419" i="6" s="1"/>
  <c r="CH640" i="6"/>
  <c r="CG640" i="6" s="1"/>
  <c r="CH331" i="6"/>
  <c r="CG331" i="6" s="1"/>
  <c r="CH323" i="6"/>
  <c r="CG323" i="6" s="1"/>
  <c r="CH757" i="6"/>
  <c r="CG757" i="6" s="1"/>
  <c r="CH126" i="6"/>
  <c r="CG126" i="6" s="1"/>
  <c r="CH127" i="6"/>
  <c r="CG127" i="6" s="1"/>
  <c r="CH681" i="6"/>
  <c r="CG681" i="6" s="1"/>
  <c r="CH986" i="6"/>
  <c r="CG986" i="6" s="1"/>
  <c r="CH963" i="6"/>
  <c r="CG963" i="6" s="1"/>
  <c r="CH599" i="6"/>
  <c r="CG599" i="6" s="1"/>
  <c r="CH734" i="6"/>
  <c r="CG734" i="6" s="1"/>
  <c r="CH417" i="6"/>
  <c r="CG417" i="6" s="1"/>
  <c r="CD835" i="6"/>
  <c r="CH471" i="6"/>
  <c r="CG471" i="6" s="1"/>
  <c r="CD156" i="6"/>
  <c r="CH418" i="6"/>
  <c r="CG418" i="6" s="1"/>
  <c r="CH947" i="6"/>
  <c r="CG947" i="6" s="1"/>
  <c r="CD135" i="6"/>
  <c r="CH864" i="6"/>
  <c r="CG864" i="6" s="1"/>
  <c r="CD690" i="6"/>
  <c r="CH522" i="6"/>
  <c r="CG522" i="6" s="1"/>
  <c r="CH540" i="6"/>
  <c r="CG540" i="6" s="1"/>
  <c r="CH1024" i="6"/>
  <c r="CG1024" i="6" s="1"/>
  <c r="CH269" i="6"/>
  <c r="CG269" i="6" s="1"/>
  <c r="CH465" i="6"/>
  <c r="CG465" i="6" s="1"/>
  <c r="CH763" i="6"/>
  <c r="CG763" i="6" s="1"/>
  <c r="CH121" i="6"/>
  <c r="CG121" i="6" s="1"/>
  <c r="CH157" i="6"/>
  <c r="CG157" i="6" s="1"/>
  <c r="CH744" i="6"/>
  <c r="CG744" i="6" s="1"/>
  <c r="CH685" i="6"/>
  <c r="CG685" i="6" s="1"/>
  <c r="CH377" i="6"/>
  <c r="CG377" i="6" s="1"/>
  <c r="CH486" i="6"/>
  <c r="CG486" i="6" s="1"/>
  <c r="CH855" i="6"/>
  <c r="CG855" i="6" s="1"/>
  <c r="CH993" i="6"/>
  <c r="CG993" i="6" s="1"/>
  <c r="CH290" i="6"/>
  <c r="CG290" i="6" s="1"/>
  <c r="CH816" i="6"/>
  <c r="CG816" i="6" s="1"/>
  <c r="CH641" i="6"/>
  <c r="CG641" i="6" s="1"/>
  <c r="CH704" i="6"/>
  <c r="CG704" i="6" s="1"/>
  <c r="CH366" i="6"/>
  <c r="CG366" i="6" s="1"/>
  <c r="CH612" i="6"/>
  <c r="CG612" i="6" s="1"/>
  <c r="CH690" i="6"/>
  <c r="CG690" i="6" s="1"/>
  <c r="CH656" i="6"/>
  <c r="CG656" i="6" s="1"/>
  <c r="CH224" i="6"/>
  <c r="CG224" i="6" s="1"/>
  <c r="CH9" i="6"/>
  <c r="CG9" i="6" s="1"/>
  <c r="CH955" i="6"/>
  <c r="CG955" i="6" s="1"/>
  <c r="CH380" i="6"/>
  <c r="CG380" i="6" s="1"/>
  <c r="CH953" i="6"/>
  <c r="CG953" i="6" s="1"/>
  <c r="CH870" i="6"/>
  <c r="CG870" i="6" s="1"/>
  <c r="CH563" i="6"/>
  <c r="CG563" i="6" s="1"/>
  <c r="CD157" i="6"/>
  <c r="CH889" i="6"/>
  <c r="CG889" i="6" s="1"/>
  <c r="CH564" i="6"/>
  <c r="CG564" i="6" s="1"/>
  <c r="CH911" i="6"/>
  <c r="CG911" i="6" s="1"/>
  <c r="CH714" i="6"/>
  <c r="CG714" i="6" s="1"/>
  <c r="CH307" i="6"/>
  <c r="CG307" i="6" s="1"/>
  <c r="CH304" i="6"/>
  <c r="CG304" i="6" s="1"/>
  <c r="CH201" i="6"/>
  <c r="CG201" i="6" s="1"/>
  <c r="CD647" i="6"/>
  <c r="CH698" i="6"/>
  <c r="CG698" i="6" s="1"/>
  <c r="CH409" i="6"/>
  <c r="CG409" i="6" s="1"/>
  <c r="CH289" i="6"/>
  <c r="CG289" i="6" s="1"/>
  <c r="CH691" i="6"/>
  <c r="CG691" i="6" s="1"/>
  <c r="CD126" i="6"/>
  <c r="CH846" i="6"/>
  <c r="CG846" i="6" s="1"/>
  <c r="CH784" i="6"/>
  <c r="CG784" i="6" s="1"/>
  <c r="CH638" i="6"/>
  <c r="CG638" i="6" s="1"/>
  <c r="CH36" i="6"/>
  <c r="CG36" i="6" s="1"/>
  <c r="CH1001" i="6"/>
  <c r="CG1001" i="6" s="1"/>
  <c r="E4" i="5" a="1"/>
  <c r="A4" i="5" a="1"/>
  <c r="F5" i="5" a="1"/>
  <c r="C4" i="5" a="1"/>
  <c r="B4" i="5" a="1"/>
  <c r="CH285" i="6" l="1"/>
  <c r="CG285" i="6" s="1"/>
  <c r="CD125" i="6"/>
  <c r="CD484" i="6"/>
  <c r="CH484" i="6"/>
  <c r="CG484" i="6" s="1"/>
  <c r="CH848" i="6"/>
  <c r="CG848" i="6" s="1"/>
  <c r="CD747" i="6"/>
  <c r="CH557" i="6"/>
  <c r="CG557" i="6" s="1"/>
  <c r="CH936" i="6"/>
  <c r="CG936" i="6" s="1"/>
  <c r="CD447" i="6"/>
  <c r="CD198" i="6"/>
  <c r="CH980" i="6"/>
  <c r="CG980" i="6" s="1"/>
  <c r="CD980" i="6"/>
  <c r="CH447" i="6"/>
  <c r="CG447" i="6" s="1"/>
  <c r="CD514" i="6"/>
  <c r="CD550" i="6"/>
  <c r="CH550" i="6"/>
  <c r="CG550" i="6" s="1"/>
  <c r="CH747" i="6"/>
  <c r="CG747" i="6" s="1"/>
  <c r="CD557" i="6"/>
  <c r="CD876" i="6"/>
  <c r="CH22" i="6"/>
  <c r="CG22" i="6" s="1"/>
  <c r="CD1003" i="6"/>
  <c r="CH1003" i="6"/>
  <c r="CG1003" i="6" s="1"/>
  <c r="CD273" i="6"/>
  <c r="CD404" i="6"/>
  <c r="CD178" i="6"/>
  <c r="CH876" i="6"/>
  <c r="CG876" i="6" s="1"/>
  <c r="CD22" i="6"/>
  <c r="CH273" i="6"/>
  <c r="CG273" i="6" s="1"/>
  <c r="CH404" i="6"/>
  <c r="CG404" i="6" s="1"/>
  <c r="CD543" i="6"/>
  <c r="CH339" i="6"/>
  <c r="CG339" i="6" s="1"/>
  <c r="CD936" i="6"/>
  <c r="CD467" i="6"/>
  <c r="CH198" i="6"/>
  <c r="CG198" i="6" s="1"/>
  <c r="CD170" i="6"/>
  <c r="CD339" i="6"/>
  <c r="CH170" i="6"/>
  <c r="CG170" i="6" s="1"/>
  <c r="CH165" i="6"/>
  <c r="CG165" i="6" s="1"/>
  <c r="CH467" i="6"/>
  <c r="CG467" i="6" s="1"/>
  <c r="CH178" i="6"/>
  <c r="CG178" i="6" s="1"/>
  <c r="CD165" i="6"/>
  <c r="CH454" i="6"/>
  <c r="CG454" i="6" s="1"/>
  <c r="CD848" i="6"/>
  <c r="CD454" i="6"/>
  <c r="B4" i="5"/>
  <c r="C4" i="5"/>
  <c r="F5" i="5"/>
  <c r="A4" i="5"/>
  <c r="E4" i="5"/>
  <c r="F6" i="5" a="1"/>
  <c r="A5" i="5" a="1"/>
  <c r="B5" i="5" a="1"/>
  <c r="E5" i="5" a="1"/>
  <c r="C5" i="5" a="1"/>
  <c r="C5" i="5" l="1"/>
  <c r="E5" i="5"/>
  <c r="B5" i="5"/>
  <c r="A5" i="5"/>
  <c r="F6" i="5"/>
  <c r="A6" i="5" a="1"/>
  <c r="B6" i="5" a="1"/>
  <c r="C6" i="5" a="1"/>
  <c r="E6" i="5" a="1"/>
  <c r="F7" i="5" a="1"/>
  <c r="F7" i="5" l="1"/>
  <c r="E6" i="5"/>
  <c r="C6" i="5"/>
  <c r="B6" i="5"/>
  <c r="A6" i="5"/>
  <c r="F8" i="5" a="1"/>
  <c r="B7" i="5" a="1"/>
  <c r="A7" i="5" a="1"/>
  <c r="C7" i="5" a="1"/>
  <c r="E7" i="5" a="1"/>
  <c r="E7" i="5" l="1"/>
  <c r="C7" i="5"/>
  <c r="A7" i="5"/>
  <c r="B7" i="5"/>
  <c r="F8" i="5"/>
  <c r="C8" i="5" a="1"/>
  <c r="B8" i="5" a="1"/>
  <c r="A8" i="5" a="1"/>
  <c r="F9" i="5" a="1"/>
  <c r="E8" i="5" a="1"/>
  <c r="E8" i="5" l="1"/>
  <c r="F9" i="5"/>
  <c r="A8" i="5"/>
  <c r="B8" i="5"/>
  <c r="C8" i="5"/>
  <c r="F10" i="5" a="1"/>
  <c r="A9" i="5" a="1"/>
  <c r="C9" i="5" a="1"/>
  <c r="E9" i="5" a="1"/>
  <c r="B9" i="5" a="1"/>
  <c r="B9" i="5" l="1"/>
  <c r="E9" i="5"/>
  <c r="C9" i="5"/>
  <c r="A9" i="5"/>
  <c r="F10" i="5"/>
  <c r="E10" i="5" a="1"/>
  <c r="A10" i="5" a="1"/>
  <c r="B10" i="5" a="1"/>
  <c r="C10" i="5" a="1"/>
  <c r="F11" i="5" a="1"/>
  <c r="F11" i="5" l="1"/>
  <c r="C10" i="5"/>
  <c r="B10" i="5"/>
  <c r="A10" i="5"/>
  <c r="E10" i="5"/>
  <c r="A11" i="5" a="1"/>
  <c r="C11" i="5" a="1"/>
  <c r="E11" i="5" a="1"/>
  <c r="B11" i="5" a="1"/>
  <c r="F12" i="5" a="1"/>
  <c r="F12" i="5" l="1"/>
  <c r="B11" i="5"/>
  <c r="E11" i="5"/>
  <c r="C11" i="5"/>
  <c r="A11" i="5"/>
  <c r="B12" i="5" a="1"/>
  <c r="A12" i="5" a="1"/>
  <c r="E12" i="5" a="1"/>
  <c r="C12" i="5" a="1"/>
  <c r="F13" i="5" a="1"/>
  <c r="F13" i="5" l="1"/>
  <c r="C12" i="5"/>
  <c r="E12" i="5"/>
  <c r="A12" i="5"/>
  <c r="B12" i="5"/>
  <c r="F14" i="5" a="1"/>
  <c r="B13" i="5" a="1"/>
  <c r="A13" i="5" a="1"/>
  <c r="C13" i="5" a="1"/>
  <c r="E13" i="5" a="1"/>
  <c r="E13" i="5" l="1"/>
  <c r="C13" i="5"/>
  <c r="A13" i="5"/>
  <c r="B13" i="5"/>
  <c r="F14" i="5"/>
  <c r="F15" i="5" a="1"/>
  <c r="E14" i="5" a="1"/>
  <c r="B14" i="5" a="1"/>
  <c r="C14" i="5" a="1"/>
  <c r="A14" i="5" a="1"/>
  <c r="A14" i="5" l="1"/>
  <c r="C14" i="5"/>
  <c r="B14" i="5"/>
  <c r="E14" i="5"/>
  <c r="F15" i="5"/>
  <c r="C15" i="5" a="1"/>
  <c r="F16" i="5" a="1"/>
  <c r="B15" i="5" a="1"/>
  <c r="A15" i="5" a="1"/>
  <c r="E15" i="5" a="1"/>
  <c r="E15" i="5" l="1"/>
  <c r="A15" i="5"/>
  <c r="B15" i="5"/>
  <c r="F16" i="5"/>
  <c r="C15" i="5"/>
  <c r="E16" i="5" a="1"/>
  <c r="B16" i="5" a="1"/>
  <c r="F17" i="5" a="1"/>
  <c r="A16" i="5" a="1"/>
  <c r="C16" i="5" a="1"/>
  <c r="C16" i="5" l="1"/>
  <c r="A16" i="5"/>
  <c r="F17" i="5"/>
  <c r="B16" i="5"/>
  <c r="E16" i="5"/>
  <c r="E17" i="5" a="1"/>
  <c r="B17" i="5" a="1"/>
  <c r="A17" i="5" a="1"/>
  <c r="F18" i="5" a="1"/>
  <c r="C17" i="5" a="1"/>
  <c r="C17" i="5" l="1"/>
  <c r="F18" i="5"/>
  <c r="A17" i="5"/>
  <c r="B17" i="5"/>
  <c r="E17" i="5"/>
  <c r="A18" i="5" a="1"/>
  <c r="E18" i="5" a="1"/>
  <c r="B18" i="5" a="1"/>
  <c r="C18" i="5" a="1"/>
  <c r="F19" i="5" a="1"/>
  <c r="F19" i="5" l="1"/>
  <c r="C18" i="5"/>
  <c r="B18" i="5"/>
  <c r="E18" i="5"/>
  <c r="A18" i="5"/>
  <c r="F20" i="5" a="1"/>
  <c r="A19" i="5" a="1"/>
  <c r="E19" i="5" a="1"/>
  <c r="B19" i="5" a="1"/>
  <c r="C19" i="5" a="1"/>
  <c r="C19" i="5" l="1"/>
  <c r="B19" i="5"/>
  <c r="E19" i="5"/>
  <c r="A19" i="5"/>
  <c r="F20" i="5"/>
  <c r="A20" i="5" a="1"/>
  <c r="E20" i="5" a="1"/>
  <c r="B20" i="5" a="1"/>
  <c r="C20" i="5" a="1"/>
  <c r="F21" i="5" a="1"/>
  <c r="F21" i="5" l="1"/>
  <c r="C20" i="5"/>
  <c r="B20" i="5"/>
  <c r="E20" i="5"/>
  <c r="A20" i="5"/>
  <c r="C21" i="5" a="1"/>
  <c r="B21" i="5" a="1"/>
  <c r="E21" i="5" a="1"/>
  <c r="F22" i="5" a="1"/>
  <c r="A21" i="5" a="1"/>
  <c r="A21" i="5" l="1"/>
  <c r="F22" i="5"/>
  <c r="E21" i="5"/>
  <c r="B21" i="5"/>
  <c r="C21" i="5"/>
  <c r="E22" i="5" a="1"/>
  <c r="F23" i="5" a="1"/>
  <c r="A22" i="5" a="1"/>
  <c r="B22" i="5" a="1"/>
  <c r="C22" i="5" a="1"/>
  <c r="C22" i="5" l="1"/>
  <c r="B22" i="5"/>
  <c r="A22" i="5"/>
  <c r="F23" i="5"/>
  <c r="E22" i="5"/>
  <c r="B23" i="5" a="1"/>
  <c r="E23" i="5" a="1"/>
  <c r="C23" i="5" a="1"/>
  <c r="A23" i="5" a="1"/>
  <c r="F24" i="5" a="1"/>
  <c r="F24" i="5" l="1"/>
  <c r="A23" i="5"/>
  <c r="C23" i="5"/>
  <c r="E23" i="5"/>
  <c r="B23" i="5"/>
  <c r="A24" i="5" a="1"/>
  <c r="C24" i="5" a="1"/>
  <c r="E24" i="5" a="1"/>
  <c r="B24" i="5" a="1"/>
  <c r="F25" i="5" a="1"/>
  <c r="F25" i="5" l="1"/>
  <c r="B24" i="5"/>
  <c r="E24" i="5"/>
  <c r="C24" i="5"/>
  <c r="A24" i="5"/>
  <c r="F26" i="5" a="1"/>
  <c r="A25" i="5" a="1"/>
  <c r="C25" i="5" a="1"/>
  <c r="E25" i="5" a="1"/>
  <c r="B25" i="5" a="1"/>
  <c r="B25" i="5" l="1"/>
  <c r="E25" i="5"/>
  <c r="C25" i="5"/>
  <c r="A25" i="5"/>
  <c r="F26" i="5"/>
  <c r="F27" i="5" a="1"/>
  <c r="A26" i="5" a="1"/>
  <c r="C26" i="5" a="1"/>
  <c r="B26" i="5" a="1"/>
  <c r="E26" i="5" a="1"/>
  <c r="E26" i="5" l="1"/>
  <c r="B26" i="5"/>
  <c r="C26" i="5"/>
  <c r="A26" i="5"/>
  <c r="F27" i="5"/>
  <c r="E27" i="5" a="1"/>
  <c r="B27" i="5" a="1"/>
  <c r="A27" i="5" a="1"/>
  <c r="C27" i="5" a="1"/>
  <c r="F28" i="5" a="1"/>
  <c r="F28" i="5" l="1"/>
  <c r="C27" i="5"/>
  <c r="A27" i="5"/>
  <c r="B27" i="5"/>
  <c r="E27" i="5"/>
  <c r="C28" i="5" a="1"/>
  <c r="E28" i="5" a="1"/>
  <c r="F29" i="5" a="1"/>
  <c r="B28" i="5" a="1"/>
  <c r="A28" i="5" a="1"/>
  <c r="A28" i="5" l="1"/>
  <c r="B28" i="5"/>
  <c r="F29" i="5"/>
  <c r="E28" i="5"/>
  <c r="C28" i="5"/>
  <c r="B29" i="5" a="1"/>
  <c r="F30" i="5" a="1"/>
  <c r="C29" i="5" a="1"/>
  <c r="E29" i="5" a="1"/>
  <c r="A29" i="5" a="1"/>
  <c r="A29" i="5" l="1"/>
  <c r="E29" i="5"/>
  <c r="C29" i="5"/>
  <c r="F30" i="5"/>
  <c r="B29" i="5"/>
  <c r="C30" i="5" a="1"/>
  <c r="E30" i="5" a="1"/>
  <c r="B30" i="5" a="1"/>
  <c r="F31" i="5" a="1"/>
  <c r="A30" i="5" a="1"/>
  <c r="A30" i="5" l="1"/>
  <c r="F31" i="5"/>
  <c r="B30" i="5"/>
  <c r="E30" i="5"/>
  <c r="C30" i="5"/>
  <c r="E31" i="5" a="1"/>
  <c r="B31" i="5" a="1"/>
  <c r="A31" i="5" a="1"/>
  <c r="C31" i="5" a="1"/>
  <c r="F32" i="5" a="1"/>
  <c r="F32" i="5" l="1"/>
  <c r="C31" i="5"/>
  <c r="A31" i="5"/>
  <c r="B31" i="5"/>
  <c r="E31" i="5"/>
  <c r="C32" i="5" a="1"/>
  <c r="E32" i="5" a="1"/>
  <c r="A32" i="5" a="1"/>
  <c r="F33" i="5" a="1"/>
  <c r="B32" i="5" a="1"/>
  <c r="B32" i="5" l="1"/>
  <c r="F33" i="5"/>
  <c r="A32" i="5"/>
  <c r="E32" i="5"/>
  <c r="C32" i="5"/>
  <c r="C33" i="5" a="1"/>
  <c r="F34" i="5" a="1"/>
  <c r="B33" i="5" a="1"/>
  <c r="E33" i="5" a="1"/>
  <c r="A33" i="5" a="1"/>
  <c r="A33" i="5" l="1"/>
  <c r="E33" i="5"/>
  <c r="B33" i="5"/>
  <c r="F34" i="5"/>
  <c r="C33" i="5"/>
  <c r="A34" i="5" a="1"/>
  <c r="E34" i="5" a="1"/>
  <c r="B34" i="5" a="1"/>
  <c r="C34" i="5" a="1"/>
  <c r="F35" i="5" a="1"/>
  <c r="F35" i="5" l="1"/>
  <c r="C34" i="5"/>
  <c r="B34" i="5"/>
  <c r="E34" i="5"/>
  <c r="A34" i="5"/>
  <c r="F36" i="5" a="1"/>
  <c r="A35" i="5" a="1"/>
  <c r="E35" i="5" a="1"/>
  <c r="C35" i="5" a="1"/>
  <c r="B35" i="5" a="1"/>
  <c r="B35" i="5" l="1"/>
  <c r="C35" i="5"/>
  <c r="E35" i="5"/>
  <c r="A35" i="5"/>
  <c r="F36" i="5"/>
  <c r="C36" i="5" a="1"/>
  <c r="F37" i="5" a="1"/>
  <c r="B36" i="5" a="1"/>
  <c r="E36" i="5" a="1"/>
  <c r="A36" i="5" a="1"/>
  <c r="A36" i="5" l="1"/>
  <c r="E36" i="5"/>
  <c r="B36" i="5"/>
  <c r="F37" i="5"/>
  <c r="C36" i="5"/>
  <c r="E37" i="5" a="1"/>
  <c r="C37" i="5" a="1"/>
  <c r="A37" i="5" a="1"/>
  <c r="B37" i="5" a="1"/>
  <c r="F38" i="5" a="1"/>
  <c r="F38" i="5" l="1"/>
  <c r="B37" i="5"/>
  <c r="A37" i="5"/>
  <c r="C37" i="5"/>
  <c r="E37" i="5"/>
  <c r="A38" i="5" a="1"/>
  <c r="F39" i="5" a="1"/>
  <c r="C38" i="5" a="1"/>
  <c r="B38" i="5" a="1"/>
  <c r="E38" i="5" a="1"/>
  <c r="E38" i="5" l="1"/>
  <c r="B38" i="5"/>
  <c r="C38" i="5"/>
  <c r="F39" i="5"/>
  <c r="A38" i="5"/>
  <c r="F40" i="5" a="1"/>
  <c r="E39" i="5" a="1"/>
  <c r="C39" i="5" a="1"/>
  <c r="B39" i="5" a="1"/>
  <c r="A39" i="5" a="1"/>
  <c r="A39" i="5" l="1"/>
  <c r="B39" i="5"/>
  <c r="C39" i="5"/>
  <c r="E39" i="5"/>
  <c r="F40" i="5"/>
  <c r="E40" i="5" a="1"/>
  <c r="C40" i="5" a="1"/>
  <c r="A40" i="5" a="1"/>
  <c r="F41" i="5" a="1"/>
  <c r="B40" i="5" a="1"/>
  <c r="B40" i="5" l="1"/>
  <c r="F41" i="5"/>
  <c r="A40" i="5"/>
  <c r="C40" i="5"/>
  <c r="E40" i="5"/>
  <c r="C41" i="5" a="1"/>
  <c r="A41" i="5" a="1"/>
  <c r="B41" i="5" a="1"/>
  <c r="E41" i="5" a="1"/>
  <c r="F42" i="5" a="1"/>
  <c r="F42" i="5" l="1"/>
  <c r="E41" i="5"/>
  <c r="B41" i="5"/>
  <c r="A41" i="5"/>
  <c r="C41" i="5"/>
  <c r="E42" i="5" a="1"/>
  <c r="C42" i="5" a="1"/>
  <c r="A42" i="5" a="1"/>
  <c r="F43" i="5" a="1"/>
  <c r="B42" i="5" a="1"/>
  <c r="B42" i="5" l="1"/>
  <c r="F43" i="5"/>
  <c r="A42" i="5"/>
  <c r="C42" i="5"/>
  <c r="E42" i="5"/>
  <c r="A43" i="5" a="1"/>
  <c r="F44" i="5" a="1"/>
  <c r="E43" i="5" a="1"/>
  <c r="B43" i="5" a="1"/>
  <c r="C43" i="5" a="1"/>
  <c r="C43" i="5" l="1"/>
  <c r="B43" i="5"/>
  <c r="E43" i="5"/>
  <c r="F44" i="5"/>
  <c r="A43" i="5"/>
  <c r="F45" i="5" a="1"/>
  <c r="E44" i="5" a="1"/>
  <c r="B44" i="5" a="1"/>
  <c r="A44" i="5" a="1"/>
  <c r="C44" i="5" a="1"/>
  <c r="C44" i="5" l="1"/>
  <c r="A44" i="5"/>
  <c r="B44" i="5"/>
  <c r="E44" i="5"/>
  <c r="F45" i="5"/>
  <c r="E45" i="5" a="1"/>
  <c r="C45" i="5" a="1"/>
  <c r="A45" i="5" a="1"/>
  <c r="B45" i="5" a="1"/>
  <c r="F46" i="5" a="1"/>
  <c r="F46" i="5" l="1"/>
  <c r="B45" i="5"/>
  <c r="A45" i="5"/>
  <c r="C45" i="5"/>
  <c r="E45" i="5"/>
  <c r="C46" i="5" a="1"/>
  <c r="B46" i="5" a="1"/>
  <c r="E46" i="5" a="1"/>
  <c r="F47" i="5" a="1"/>
  <c r="A46" i="5" a="1"/>
  <c r="A46" i="5" l="1"/>
  <c r="F47" i="5"/>
  <c r="E46" i="5"/>
  <c r="B46" i="5"/>
  <c r="C46" i="5"/>
  <c r="F48" i="5" a="1"/>
  <c r="B47" i="5" a="1"/>
  <c r="A47" i="5" a="1"/>
  <c r="C47" i="5" a="1"/>
  <c r="E47" i="5" a="1"/>
  <c r="E47" i="5" l="1"/>
  <c r="C47" i="5"/>
  <c r="A47" i="5"/>
  <c r="B47" i="5"/>
  <c r="F48" i="5"/>
  <c r="F49" i="5" a="1"/>
  <c r="E48" i="5" a="1"/>
  <c r="A48" i="5" a="1"/>
  <c r="C48" i="5" a="1"/>
  <c r="B48" i="5" a="1"/>
  <c r="B48" i="5" l="1"/>
  <c r="C48" i="5"/>
  <c r="A48" i="5"/>
  <c r="E48" i="5"/>
  <c r="F49" i="5"/>
  <c r="A49" i="5" a="1"/>
  <c r="F50" i="5" a="1"/>
  <c r="C49" i="5" a="1"/>
  <c r="B49" i="5" a="1"/>
  <c r="E49" i="5" a="1"/>
  <c r="E49" i="5" l="1"/>
  <c r="B49" i="5"/>
  <c r="C49" i="5"/>
  <c r="F50" i="5"/>
  <c r="A49" i="5"/>
  <c r="B50" i="5" a="1"/>
  <c r="E50" i="5" a="1"/>
  <c r="C50" i="5" a="1"/>
  <c r="F51" i="5" a="1"/>
  <c r="A50" i="5" a="1"/>
  <c r="A50" i="5" l="1"/>
  <c r="F51" i="5"/>
  <c r="C50" i="5"/>
  <c r="E50" i="5"/>
  <c r="B50" i="5"/>
  <c r="E51" i="5" a="1"/>
  <c r="C51" i="5" a="1"/>
  <c r="A51" i="5" a="1"/>
  <c r="F52" i="5" a="1"/>
  <c r="B51" i="5" a="1"/>
  <c r="B51" i="5" l="1"/>
  <c r="F52" i="5"/>
  <c r="A51" i="5"/>
  <c r="C51" i="5"/>
  <c r="E51" i="5"/>
  <c r="E52" i="5" a="1"/>
  <c r="C52" i="5" a="1"/>
  <c r="A52" i="5" a="1"/>
  <c r="F53" i="5" a="1"/>
  <c r="B52" i="5" a="1"/>
  <c r="B52" i="5" l="1"/>
  <c r="F53" i="5"/>
  <c r="A52" i="5"/>
  <c r="C52" i="5"/>
  <c r="E52" i="5"/>
  <c r="E53" i="5" a="1"/>
  <c r="C53" i="5" a="1"/>
  <c r="A53" i="5" a="1"/>
  <c r="B53" i="5" a="1"/>
  <c r="F54" i="5" a="1"/>
  <c r="F54" i="5" l="1"/>
  <c r="B53" i="5"/>
  <c r="A53" i="5"/>
  <c r="C53" i="5"/>
  <c r="E53" i="5"/>
  <c r="B54" i="5" a="1"/>
  <c r="F55" i="5" a="1"/>
  <c r="C54" i="5" a="1"/>
  <c r="E54" i="5" a="1"/>
  <c r="A54" i="5" a="1"/>
  <c r="A54" i="5" l="1"/>
  <c r="E54" i="5"/>
  <c r="C54" i="5"/>
  <c r="F55" i="5"/>
  <c r="B54" i="5"/>
  <c r="F56" i="5" a="1"/>
  <c r="C55" i="5" a="1"/>
  <c r="A55" i="5" a="1"/>
  <c r="B55" i="5" a="1"/>
  <c r="E55" i="5" a="1"/>
  <c r="E55" i="5" l="1"/>
  <c r="B55" i="5"/>
  <c r="A55" i="5"/>
  <c r="C55" i="5"/>
  <c r="F56" i="5"/>
  <c r="C56" i="5" a="1"/>
  <c r="F57" i="5" a="1"/>
  <c r="B56" i="5" a="1"/>
  <c r="A56" i="5" a="1"/>
  <c r="E56" i="5" a="1"/>
  <c r="E56" i="5" l="1"/>
  <c r="A56" i="5"/>
  <c r="B56" i="5"/>
  <c r="F57" i="5"/>
  <c r="C56" i="5"/>
  <c r="F58" i="5" a="1"/>
  <c r="A57" i="5" a="1"/>
  <c r="B57" i="5" a="1"/>
  <c r="C57" i="5" a="1"/>
  <c r="E57" i="5" a="1"/>
  <c r="E57" i="5" l="1"/>
  <c r="C57" i="5"/>
  <c r="B57" i="5"/>
  <c r="A57" i="5"/>
  <c r="F58" i="5"/>
  <c r="B58" i="5" a="1"/>
  <c r="C58" i="5" a="1"/>
  <c r="A58" i="5" a="1"/>
  <c r="F59" i="5" a="1"/>
  <c r="E58" i="5" a="1"/>
  <c r="E58" i="5" l="1"/>
  <c r="F59" i="5"/>
  <c r="A58" i="5"/>
  <c r="C58" i="5"/>
  <c r="B58" i="5"/>
  <c r="C59" i="5" a="1"/>
  <c r="E59" i="5" a="1"/>
  <c r="F60" i="5" a="1"/>
  <c r="B59" i="5" a="1"/>
  <c r="A59" i="5" a="1"/>
  <c r="A59" i="5" l="1"/>
  <c r="B59" i="5"/>
  <c r="F60" i="5"/>
  <c r="E59" i="5"/>
  <c r="C59" i="5"/>
  <c r="A60" i="5" a="1"/>
  <c r="F61" i="5" a="1"/>
  <c r="E60" i="5" a="1"/>
  <c r="B60" i="5" a="1"/>
  <c r="C60" i="5" a="1"/>
  <c r="C60" i="5" l="1"/>
  <c r="B60" i="5"/>
  <c r="E60" i="5"/>
  <c r="F61" i="5"/>
  <c r="A60" i="5"/>
  <c r="A61" i="5" a="1"/>
  <c r="B61" i="5" a="1"/>
  <c r="F62" i="5" a="1"/>
  <c r="E61" i="5" a="1"/>
  <c r="C61" i="5" a="1"/>
  <c r="C61" i="5" l="1"/>
  <c r="E61" i="5"/>
  <c r="F62" i="5"/>
  <c r="B61" i="5"/>
  <c r="A61" i="5"/>
  <c r="E62" i="5" a="1"/>
  <c r="B62" i="5" a="1"/>
  <c r="A62" i="5" a="1"/>
  <c r="F63" i="5" a="1"/>
  <c r="C62" i="5" a="1"/>
  <c r="C62" i="5" l="1"/>
  <c r="F63" i="5"/>
  <c r="A62" i="5"/>
  <c r="B62" i="5"/>
  <c r="E62" i="5"/>
  <c r="F64" i="5" a="1"/>
  <c r="A63" i="5" a="1"/>
  <c r="B63" i="5" a="1"/>
  <c r="E63" i="5" a="1"/>
  <c r="C63" i="5" a="1"/>
  <c r="C63" i="5" l="1"/>
  <c r="E63" i="5"/>
  <c r="B63" i="5"/>
  <c r="A63" i="5"/>
  <c r="F64" i="5"/>
  <c r="F65" i="5" a="1"/>
  <c r="C64" i="5" a="1"/>
  <c r="E64" i="5" a="1"/>
  <c r="A64" i="5" a="1"/>
  <c r="B64" i="5" a="1"/>
  <c r="B64" i="5" l="1"/>
  <c r="A64" i="5"/>
  <c r="E64" i="5"/>
  <c r="C64" i="5"/>
  <c r="F65" i="5"/>
  <c r="F66" i="5" a="1"/>
  <c r="C65" i="5" a="1"/>
  <c r="E65" i="5" a="1"/>
  <c r="B65" i="5" a="1"/>
  <c r="A65" i="5" a="1"/>
  <c r="A65" i="5" l="1"/>
  <c r="B65" i="5"/>
  <c r="E65" i="5"/>
  <c r="C65" i="5"/>
  <c r="F66" i="5"/>
  <c r="F67" i="5" a="1"/>
  <c r="A66" i="5" a="1"/>
  <c r="B66" i="5" a="1"/>
  <c r="C66" i="5" a="1"/>
  <c r="E66" i="5" a="1"/>
  <c r="E66" i="5" l="1"/>
  <c r="C66" i="5"/>
  <c r="B66" i="5"/>
  <c r="A66" i="5"/>
  <c r="F67" i="5"/>
  <c r="F68" i="5" a="1"/>
  <c r="A67" i="5" a="1"/>
  <c r="E67" i="5" a="1"/>
  <c r="C67" i="5" a="1"/>
  <c r="B67" i="5" a="1"/>
  <c r="B67" i="5" l="1"/>
  <c r="C67" i="5"/>
  <c r="E67" i="5"/>
  <c r="A67" i="5"/>
  <c r="F68" i="5"/>
  <c r="B68" i="5" a="1"/>
  <c r="F69" i="5" a="1"/>
  <c r="E68" i="5" a="1"/>
  <c r="C68" i="5" a="1"/>
  <c r="A68" i="5" a="1"/>
  <c r="A68" i="5" l="1"/>
  <c r="C68" i="5"/>
  <c r="E68" i="5"/>
  <c r="F69" i="5"/>
  <c r="B68" i="5"/>
  <c r="B69" i="5" a="1"/>
  <c r="E69" i="5" a="1"/>
  <c r="A69" i="5" a="1"/>
  <c r="C69" i="5" a="1"/>
  <c r="F70" i="5" a="1"/>
  <c r="F70" i="5" l="1"/>
  <c r="C69" i="5"/>
  <c r="A69" i="5"/>
  <c r="E69" i="5"/>
  <c r="B69" i="5"/>
  <c r="B70" i="5" a="1"/>
  <c r="F71" i="5" a="1"/>
  <c r="C70" i="5" a="1"/>
  <c r="E70" i="5" a="1"/>
  <c r="A70" i="5" a="1"/>
  <c r="A70" i="5" l="1"/>
  <c r="E70" i="5"/>
  <c r="C70" i="5"/>
  <c r="F71" i="5"/>
  <c r="B70" i="5"/>
  <c r="A71" i="5" a="1"/>
  <c r="F72" i="5" a="1"/>
  <c r="C71" i="5" a="1"/>
  <c r="E71" i="5" a="1"/>
  <c r="B71" i="5" a="1"/>
  <c r="B71" i="5" l="1"/>
  <c r="E71" i="5"/>
  <c r="C71" i="5"/>
  <c r="F72" i="5"/>
  <c r="A71" i="5"/>
  <c r="C72" i="5" a="1"/>
  <c r="E72" i="5" a="1"/>
  <c r="B72" i="5" a="1"/>
  <c r="F73" i="5" a="1"/>
  <c r="A72" i="5" a="1"/>
  <c r="A72" i="5" l="1"/>
  <c r="F73" i="5"/>
  <c r="B72" i="5"/>
  <c r="E72" i="5"/>
  <c r="C72" i="5"/>
  <c r="F74" i="5" a="1"/>
  <c r="A73" i="5" a="1"/>
  <c r="C73" i="5" a="1"/>
  <c r="B73" i="5" a="1"/>
  <c r="E73" i="5" a="1"/>
  <c r="E73" i="5" l="1"/>
  <c r="B73" i="5"/>
  <c r="C73" i="5"/>
  <c r="A73" i="5"/>
  <c r="F74" i="5"/>
  <c r="B74" i="5" a="1"/>
  <c r="C74" i="5" a="1"/>
  <c r="F75" i="5" a="1"/>
  <c r="A74" i="5" a="1"/>
  <c r="E74" i="5" a="1"/>
  <c r="E74" i="5" l="1"/>
  <c r="A74" i="5"/>
  <c r="F75" i="5"/>
  <c r="C74" i="5"/>
  <c r="B74" i="5"/>
  <c r="E75" i="5" a="1"/>
  <c r="B75" i="5" a="1"/>
  <c r="C75" i="5" a="1"/>
  <c r="A75" i="5" a="1"/>
  <c r="F76" i="5" a="1"/>
  <c r="F76" i="5" l="1"/>
  <c r="A75" i="5"/>
  <c r="C75" i="5"/>
  <c r="B75" i="5"/>
  <c r="E75" i="5"/>
  <c r="A76" i="5" a="1"/>
  <c r="B76" i="5" a="1"/>
  <c r="C76" i="5" a="1"/>
  <c r="E76" i="5" a="1"/>
  <c r="F77" i="5" a="1"/>
  <c r="F77" i="5" l="1"/>
  <c r="E76" i="5"/>
  <c r="C76" i="5"/>
  <c r="B76" i="5"/>
  <c r="A76" i="5"/>
  <c r="A77" i="5" a="1"/>
  <c r="B77" i="5" a="1"/>
  <c r="F78" i="5" a="1"/>
  <c r="E77" i="5" a="1"/>
  <c r="C77" i="5" a="1"/>
  <c r="C77" i="5" l="1"/>
  <c r="E77" i="5"/>
  <c r="F78" i="5"/>
  <c r="B77" i="5"/>
  <c r="A77" i="5"/>
  <c r="E78" i="5" a="1"/>
  <c r="A78" i="5" a="1"/>
  <c r="C78" i="5" a="1"/>
  <c r="F79" i="5" a="1"/>
  <c r="B78" i="5" a="1"/>
  <c r="B78" i="5" l="1"/>
  <c r="F79" i="5"/>
  <c r="C78" i="5"/>
  <c r="A78" i="5"/>
  <c r="E78" i="5"/>
  <c r="B79" i="5" a="1"/>
  <c r="A79" i="5" a="1"/>
  <c r="F80" i="5" a="1"/>
  <c r="C79" i="5" a="1"/>
  <c r="E79" i="5" a="1"/>
  <c r="E79" i="5" l="1"/>
  <c r="C79" i="5"/>
  <c r="F80" i="5"/>
  <c r="A79" i="5"/>
  <c r="B79" i="5"/>
  <c r="E80" i="5" a="1"/>
  <c r="F81" i="5" a="1"/>
  <c r="A80" i="5" a="1"/>
  <c r="C80" i="5" a="1"/>
  <c r="B80" i="5" a="1"/>
  <c r="B80" i="5" l="1"/>
  <c r="C80" i="5"/>
  <c r="A80" i="5"/>
  <c r="F81" i="5"/>
  <c r="E80" i="5"/>
  <c r="A81" i="5" a="1"/>
  <c r="E81" i="5" a="1"/>
  <c r="F82" i="5" a="1"/>
  <c r="B81" i="5" a="1"/>
  <c r="C81" i="5" a="1"/>
  <c r="C81" i="5" l="1"/>
  <c r="B81" i="5"/>
  <c r="F82" i="5"/>
  <c r="E81" i="5"/>
  <c r="A81" i="5"/>
  <c r="F83" i="5" a="1"/>
  <c r="E82" i="5" a="1"/>
  <c r="B82" i="5" a="1"/>
  <c r="C82" i="5" a="1"/>
  <c r="A82" i="5" a="1"/>
  <c r="A82" i="5" l="1"/>
  <c r="C82" i="5"/>
  <c r="B82" i="5"/>
  <c r="E82" i="5"/>
  <c r="F83" i="5"/>
  <c r="E83" i="5" a="1"/>
  <c r="F84" i="5" a="1"/>
  <c r="A83" i="5" a="1"/>
  <c r="B83" i="5" a="1"/>
  <c r="C83" i="5" a="1"/>
  <c r="C83" i="5" l="1"/>
  <c r="B83" i="5"/>
  <c r="A83" i="5"/>
  <c r="F84" i="5"/>
  <c r="E83" i="5"/>
  <c r="E84" i="5" a="1"/>
  <c r="C84" i="5" a="1"/>
  <c r="B84" i="5" a="1"/>
  <c r="F85" i="5" a="1"/>
  <c r="A84" i="5" a="1"/>
  <c r="A84" i="5" l="1"/>
  <c r="F85" i="5"/>
  <c r="B84" i="5"/>
  <c r="C84" i="5"/>
  <c r="E84" i="5"/>
  <c r="B85" i="5" a="1"/>
  <c r="C85" i="5" a="1"/>
  <c r="A85" i="5" a="1"/>
  <c r="F86" i="5" a="1"/>
  <c r="E85" i="5" a="1"/>
  <c r="E85" i="5" l="1"/>
  <c r="F86" i="5"/>
  <c r="A85" i="5"/>
  <c r="C85" i="5"/>
  <c r="B85" i="5"/>
  <c r="F87" i="5" a="1"/>
  <c r="A86" i="5" a="1"/>
  <c r="C86" i="5" a="1"/>
  <c r="B86" i="5" a="1"/>
  <c r="E86" i="5" a="1"/>
  <c r="E86" i="5" l="1"/>
  <c r="B86" i="5"/>
  <c r="C86" i="5"/>
  <c r="A86" i="5"/>
  <c r="F87" i="5"/>
  <c r="A87" i="5" a="1"/>
  <c r="E87" i="5" a="1"/>
  <c r="C87" i="5" a="1"/>
  <c r="B87" i="5" a="1"/>
  <c r="F88" i="5" a="1"/>
  <c r="F88" i="5" l="1"/>
  <c r="B87" i="5"/>
  <c r="C87" i="5"/>
  <c r="E87" i="5"/>
  <c r="A87" i="5"/>
  <c r="F89" i="5" a="1"/>
  <c r="C88" i="5" a="1"/>
  <c r="E88" i="5" a="1"/>
  <c r="A88" i="5" a="1"/>
  <c r="B88" i="5" a="1"/>
  <c r="B88" i="5" l="1"/>
  <c r="A88" i="5"/>
  <c r="E88" i="5"/>
  <c r="C88" i="5"/>
  <c r="F89" i="5"/>
  <c r="C89" i="5" a="1"/>
  <c r="F90" i="5" a="1"/>
  <c r="E89" i="5" a="1"/>
  <c r="A89" i="5" a="1"/>
  <c r="B89" i="5" a="1"/>
  <c r="B89" i="5" l="1"/>
  <c r="A89" i="5"/>
  <c r="E89" i="5"/>
  <c r="F90" i="5"/>
  <c r="C89" i="5"/>
  <c r="A90" i="5" a="1"/>
  <c r="C90" i="5" a="1"/>
  <c r="B90" i="5" a="1"/>
  <c r="E90" i="5" a="1"/>
  <c r="F91" i="5" a="1"/>
  <c r="F91" i="5" l="1"/>
  <c r="E90" i="5"/>
  <c r="B90" i="5"/>
  <c r="C90" i="5"/>
  <c r="A90" i="5"/>
  <c r="B91" i="5" a="1"/>
  <c r="C91" i="5" a="1"/>
  <c r="A91" i="5" a="1"/>
  <c r="E91" i="5" a="1"/>
  <c r="F92" i="5" a="1"/>
  <c r="F92" i="5" l="1"/>
  <c r="E91" i="5"/>
  <c r="A91" i="5"/>
  <c r="C91" i="5"/>
  <c r="B91" i="5"/>
  <c r="E92" i="5" a="1"/>
  <c r="A92" i="5" a="1"/>
  <c r="B92" i="5" a="1"/>
  <c r="C92" i="5" a="1"/>
  <c r="F93" i="5" a="1"/>
  <c r="F93" i="5" l="1"/>
  <c r="C92" i="5"/>
  <c r="B92" i="5"/>
  <c r="A92" i="5"/>
  <c r="E92" i="5"/>
  <c r="B93" i="5" a="1"/>
  <c r="A93" i="5" a="1"/>
  <c r="E93" i="5" a="1"/>
  <c r="C93" i="5" a="1"/>
  <c r="F94" i="5" a="1"/>
  <c r="F94" i="5" l="1"/>
  <c r="C93" i="5"/>
  <c r="E93" i="5"/>
  <c r="A93" i="5"/>
  <c r="B93" i="5"/>
  <c r="A94" i="5" a="1"/>
  <c r="B94" i="5" a="1"/>
  <c r="F95" i="5" a="1"/>
  <c r="E94" i="5" a="1"/>
  <c r="C94" i="5" a="1"/>
  <c r="C94" i="5" l="1"/>
  <c r="E94" i="5"/>
  <c r="F95" i="5"/>
  <c r="B94" i="5"/>
  <c r="A94" i="5"/>
  <c r="F96" i="5" a="1"/>
  <c r="E95" i="5" a="1"/>
  <c r="B95" i="5" a="1"/>
  <c r="A95" i="5" a="1"/>
  <c r="C95" i="5" a="1"/>
  <c r="C95" i="5" l="1"/>
  <c r="A95" i="5"/>
  <c r="B95" i="5"/>
  <c r="E95" i="5"/>
  <c r="F96" i="5"/>
  <c r="C96" i="5" a="1"/>
  <c r="F97" i="5" a="1"/>
  <c r="B96" i="5" a="1"/>
  <c r="E96" i="5" a="1"/>
  <c r="A96" i="5" a="1"/>
  <c r="A96" i="5" l="1"/>
  <c r="E96" i="5"/>
  <c r="B96" i="5"/>
  <c r="F97" i="5"/>
  <c r="C96" i="5"/>
  <c r="B97" i="5" a="1"/>
  <c r="A97" i="5" a="1"/>
  <c r="F98" i="5" a="1"/>
  <c r="E97" i="5" a="1"/>
  <c r="C97" i="5" a="1"/>
  <c r="C97" i="5" l="1"/>
  <c r="E97" i="5"/>
  <c r="F98" i="5"/>
  <c r="A97" i="5"/>
  <c r="B97" i="5"/>
  <c r="A98" i="5" a="1"/>
  <c r="C98" i="5" a="1"/>
  <c r="B98" i="5" a="1"/>
  <c r="F99" i="5" a="1"/>
  <c r="E98" i="5" a="1"/>
  <c r="E98" i="5" l="1"/>
  <c r="F99" i="5"/>
  <c r="B98" i="5"/>
  <c r="C98" i="5"/>
  <c r="A98" i="5"/>
  <c r="A99" i="5" a="1"/>
  <c r="B99" i="5" a="1"/>
  <c r="C99" i="5" a="1"/>
  <c r="F100" i="5" a="1"/>
  <c r="E99" i="5" a="1"/>
  <c r="E99" i="5" l="1"/>
  <c r="F100" i="5"/>
  <c r="C99" i="5"/>
  <c r="B99" i="5"/>
  <c r="A99" i="5"/>
  <c r="E100" i="5" a="1"/>
  <c r="F101" i="5" a="1"/>
  <c r="B100" i="5" a="1"/>
  <c r="C100" i="5" a="1"/>
  <c r="A100" i="5" a="1"/>
  <c r="A100" i="5" l="1"/>
  <c r="C100" i="5"/>
  <c r="B100" i="5"/>
  <c r="F101" i="5"/>
  <c r="E100" i="5"/>
  <c r="B101" i="5" a="1"/>
  <c r="F102" i="5" a="1"/>
  <c r="C101" i="5" a="1"/>
  <c r="E101" i="5" a="1"/>
  <c r="A101" i="5" a="1"/>
  <c r="A101" i="5" l="1"/>
  <c r="E101" i="5"/>
  <c r="C101" i="5"/>
  <c r="F102" i="5"/>
  <c r="B101" i="5"/>
  <c r="A102" i="5" a="1"/>
  <c r="B102" i="5" a="1"/>
  <c r="E102" i="5" a="1"/>
  <c r="C102" i="5" a="1"/>
  <c r="F103" i="5" a="1"/>
  <c r="F103" i="5" l="1"/>
  <c r="C102" i="5"/>
  <c r="E102" i="5"/>
  <c r="B102" i="5"/>
  <c r="A102" i="5"/>
  <c r="B103" i="5" a="1"/>
  <c r="A103" i="5" a="1"/>
  <c r="E103" i="5" a="1"/>
  <c r="F104" i="5" a="1"/>
  <c r="C103" i="5" a="1"/>
  <c r="C103" i="5" l="1"/>
  <c r="F104" i="5"/>
  <c r="E103" i="5"/>
  <c r="A103" i="5"/>
  <c r="B103" i="5"/>
  <c r="E104" i="5" a="1"/>
  <c r="C104" i="5" a="1"/>
  <c r="B104" i="5" a="1"/>
  <c r="A104" i="5" a="1"/>
  <c r="F105" i="5" a="1"/>
  <c r="F105" i="5" l="1"/>
  <c r="A104" i="5"/>
  <c r="B104" i="5"/>
  <c r="C104" i="5"/>
  <c r="E104" i="5"/>
  <c r="E105" i="5" a="1"/>
  <c r="A105" i="5" a="1"/>
  <c r="C105" i="5" a="1"/>
  <c r="F106" i="5" a="1"/>
  <c r="B105" i="5" a="1"/>
  <c r="B105" i="5" l="1"/>
  <c r="F106" i="5"/>
  <c r="C105" i="5"/>
  <c r="A105" i="5"/>
  <c r="E105" i="5"/>
  <c r="C106" i="5" a="1"/>
  <c r="A106" i="5" a="1"/>
  <c r="E106" i="5" a="1"/>
  <c r="F107" i="5" a="1"/>
  <c r="B106" i="5" a="1"/>
  <c r="B106" i="5" l="1"/>
  <c r="F107" i="5"/>
  <c r="E106" i="5"/>
  <c r="A106" i="5"/>
  <c r="C106" i="5"/>
  <c r="C107" i="5" a="1"/>
  <c r="A107" i="5" a="1"/>
  <c r="F108" i="5" a="1"/>
  <c r="E107" i="5" a="1"/>
  <c r="B107" i="5" a="1"/>
  <c r="B107" i="5" l="1"/>
  <c r="E107" i="5"/>
  <c r="F108" i="5"/>
  <c r="A107" i="5"/>
  <c r="C107" i="5"/>
  <c r="F109" i="5" a="1"/>
  <c r="C108" i="5" a="1"/>
  <c r="A108" i="5" a="1"/>
  <c r="E108" i="5" a="1"/>
  <c r="B108" i="5" a="1"/>
  <c r="B108" i="5" l="1"/>
  <c r="E108" i="5"/>
  <c r="A108" i="5"/>
  <c r="C108" i="5"/>
  <c r="F109" i="5"/>
  <c r="A109" i="5" a="1"/>
  <c r="C109" i="5" a="1"/>
  <c r="E109" i="5" a="1"/>
  <c r="B109" i="5" a="1"/>
  <c r="F110" i="5" a="1"/>
  <c r="F110" i="5" l="1"/>
  <c r="B109" i="5"/>
  <c r="E109" i="5"/>
  <c r="C109" i="5"/>
  <c r="A109" i="5"/>
  <c r="A110" i="5" a="1"/>
  <c r="E110" i="5" a="1"/>
  <c r="C110" i="5" a="1"/>
  <c r="B110" i="5" a="1"/>
  <c r="F111" i="5" a="1"/>
  <c r="F111" i="5" l="1"/>
  <c r="B110" i="5"/>
  <c r="C110" i="5"/>
  <c r="E110" i="5"/>
  <c r="A110" i="5"/>
  <c r="E111" i="5" a="1"/>
  <c r="C111" i="5" a="1"/>
  <c r="A111" i="5" a="1"/>
  <c r="F112" i="5" a="1"/>
  <c r="B111" i="5" a="1"/>
  <c r="B111" i="5" l="1"/>
  <c r="F112" i="5"/>
  <c r="A111" i="5"/>
  <c r="C111" i="5"/>
  <c r="E111" i="5"/>
  <c r="B112" i="5" a="1"/>
  <c r="F113" i="5" a="1"/>
  <c r="C112" i="5" a="1"/>
  <c r="A112" i="5" a="1"/>
  <c r="E112" i="5" a="1"/>
  <c r="E112" i="5" l="1"/>
  <c r="A112" i="5"/>
  <c r="C112" i="5"/>
  <c r="F113" i="5"/>
  <c r="B112" i="5"/>
  <c r="E113" i="5" a="1"/>
  <c r="B113" i="5" a="1"/>
  <c r="F114" i="5" a="1"/>
  <c r="A113" i="5" a="1"/>
  <c r="C113" i="5" a="1"/>
  <c r="C113" i="5" l="1"/>
  <c r="A113" i="5"/>
  <c r="F114" i="5"/>
  <c r="B113" i="5"/>
  <c r="E113" i="5"/>
  <c r="F115" i="5" a="1"/>
  <c r="B114" i="5" a="1"/>
  <c r="A114" i="5" a="1"/>
  <c r="E114" i="5" a="1"/>
  <c r="C114" i="5" a="1"/>
  <c r="C114" i="5" l="1"/>
  <c r="E114" i="5"/>
  <c r="A114" i="5"/>
  <c r="B114" i="5"/>
  <c r="F115" i="5"/>
  <c r="F116" i="5" a="1"/>
  <c r="C115" i="5" a="1"/>
  <c r="A115" i="5" a="1"/>
  <c r="E115" i="5" a="1"/>
  <c r="B115" i="5" a="1"/>
  <c r="B115" i="5" l="1"/>
  <c r="E115" i="5"/>
  <c r="A115" i="5"/>
  <c r="C115" i="5"/>
  <c r="F116" i="5"/>
  <c r="F117" i="5" a="1"/>
  <c r="A116" i="5" a="1"/>
  <c r="C116" i="5" a="1"/>
  <c r="B116" i="5" a="1"/>
  <c r="E116" i="5" a="1"/>
  <c r="E116" i="5" l="1"/>
  <c r="B116" i="5"/>
  <c r="C116" i="5"/>
  <c r="A116" i="5"/>
  <c r="F117" i="5"/>
  <c r="C117" i="5" a="1"/>
  <c r="E117" i="5" a="1"/>
  <c r="A117" i="5" a="1"/>
  <c r="F118" i="5" a="1"/>
  <c r="B117" i="5" a="1"/>
  <c r="B117" i="5" l="1"/>
  <c r="F118" i="5"/>
  <c r="A117" i="5"/>
  <c r="E117" i="5"/>
  <c r="C117" i="5"/>
  <c r="F119" i="5" a="1"/>
  <c r="A118" i="5" a="1"/>
  <c r="B118" i="5" a="1"/>
  <c r="C118" i="5" a="1"/>
  <c r="E118" i="5" a="1"/>
  <c r="E118" i="5" l="1"/>
  <c r="C118" i="5"/>
  <c r="B118" i="5"/>
  <c r="A118" i="5"/>
  <c r="F119" i="5"/>
  <c r="C119" i="5" a="1"/>
  <c r="F120" i="5" a="1"/>
  <c r="B119" i="5" a="1"/>
  <c r="E119" i="5" a="1"/>
  <c r="A119" i="5" a="1"/>
  <c r="A119" i="5" l="1"/>
  <c r="E119" i="5"/>
  <c r="B119" i="5"/>
  <c r="F120" i="5"/>
  <c r="C119" i="5"/>
  <c r="A120" i="5" a="1"/>
  <c r="F121" i="5" a="1"/>
  <c r="E120" i="5" a="1"/>
  <c r="B120" i="5" a="1"/>
  <c r="C120" i="5" a="1"/>
  <c r="C120" i="5" l="1"/>
  <c r="B120" i="5"/>
  <c r="E120" i="5"/>
  <c r="F121" i="5"/>
  <c r="A120" i="5"/>
  <c r="B121" i="5" a="1"/>
  <c r="F122" i="5" a="1"/>
  <c r="C121" i="5" a="1"/>
  <c r="E121" i="5" a="1"/>
  <c r="A121" i="5" a="1"/>
  <c r="A121" i="5" l="1"/>
  <c r="E121" i="5"/>
  <c r="C121" i="5"/>
  <c r="F122" i="5"/>
  <c r="B121" i="5"/>
  <c r="F123" i="5" a="1"/>
  <c r="C122" i="5" a="1"/>
  <c r="A122" i="5" a="1"/>
  <c r="B122" i="5" a="1"/>
  <c r="E122" i="5" a="1"/>
  <c r="E122" i="5" l="1"/>
  <c r="B122" i="5"/>
  <c r="A122" i="5"/>
  <c r="C122" i="5"/>
  <c r="F123" i="5"/>
  <c r="B123" i="5" a="1"/>
  <c r="C123" i="5" a="1"/>
  <c r="F124" i="5" a="1"/>
  <c r="A123" i="5" a="1"/>
  <c r="E123" i="5" a="1"/>
  <c r="E123" i="5" l="1"/>
  <c r="A123" i="5"/>
  <c r="F124" i="5"/>
  <c r="C123" i="5"/>
  <c r="B123" i="5"/>
  <c r="C124" i="5" a="1"/>
  <c r="A124" i="5" a="1"/>
  <c r="F125" i="5" a="1"/>
  <c r="E124" i="5" a="1"/>
  <c r="B124" i="5" a="1"/>
  <c r="B124" i="5" l="1"/>
  <c r="E124" i="5"/>
  <c r="F125" i="5"/>
  <c r="A124" i="5"/>
  <c r="C124" i="5"/>
  <c r="B125" i="5" a="1"/>
  <c r="E125" i="5" a="1"/>
  <c r="A125" i="5" a="1"/>
  <c r="F126" i="5" a="1"/>
  <c r="C125" i="5" a="1"/>
  <c r="C125" i="5" l="1"/>
  <c r="F126" i="5"/>
  <c r="A125" i="5"/>
  <c r="E125" i="5"/>
  <c r="B125" i="5"/>
  <c r="C126" i="5" a="1"/>
  <c r="F127" i="5" a="1"/>
  <c r="A126" i="5" a="1"/>
  <c r="E126" i="5" a="1"/>
  <c r="B126" i="5" a="1"/>
  <c r="B126" i="5" l="1"/>
  <c r="E126" i="5"/>
  <c r="A126" i="5"/>
  <c r="F127" i="5"/>
  <c r="C126" i="5"/>
  <c r="A127" i="5" a="1"/>
  <c r="E127" i="5" a="1"/>
  <c r="B127" i="5" a="1"/>
  <c r="F128" i="5" a="1"/>
  <c r="C127" i="5" a="1"/>
  <c r="C127" i="5" l="1"/>
  <c r="F128" i="5"/>
  <c r="B127" i="5"/>
  <c r="E127" i="5"/>
  <c r="A127" i="5"/>
  <c r="A128" i="5" a="1"/>
  <c r="F129" i="5" a="1"/>
  <c r="E128" i="5" a="1"/>
  <c r="C128" i="5" a="1"/>
  <c r="B128" i="5" a="1"/>
  <c r="B128" i="5" l="1"/>
  <c r="C128" i="5"/>
  <c r="E128" i="5"/>
  <c r="F129" i="5"/>
  <c r="A128" i="5"/>
  <c r="E129" i="5" a="1"/>
  <c r="C129" i="5" a="1"/>
  <c r="F130" i="5" a="1"/>
  <c r="A129" i="5" a="1"/>
  <c r="B129" i="5" a="1"/>
  <c r="B129" i="5" l="1"/>
  <c r="A129" i="5"/>
  <c r="F130" i="5"/>
  <c r="C129" i="5"/>
  <c r="E129" i="5"/>
  <c r="B130" i="5" a="1"/>
  <c r="E130" i="5" a="1"/>
  <c r="C130" i="5" a="1"/>
  <c r="A130" i="5" a="1"/>
  <c r="F131" i="5" a="1"/>
  <c r="F131" i="5" l="1"/>
  <c r="A130" i="5"/>
  <c r="C130" i="5"/>
  <c r="E130" i="5"/>
  <c r="B130" i="5"/>
  <c r="B131" i="5" a="1"/>
  <c r="E131" i="5" a="1"/>
  <c r="C131" i="5" a="1"/>
  <c r="F132" i="5" a="1"/>
  <c r="A131" i="5" a="1"/>
  <c r="A131" i="5" l="1"/>
  <c r="F132" i="5"/>
  <c r="C131" i="5"/>
  <c r="E131" i="5"/>
  <c r="B131" i="5"/>
  <c r="F133" i="5" a="1"/>
  <c r="C132" i="5" a="1"/>
  <c r="B132" i="5" a="1"/>
  <c r="E132" i="5" a="1"/>
  <c r="A132" i="5" a="1"/>
  <c r="A132" i="5" l="1"/>
  <c r="E132" i="5"/>
  <c r="B132" i="5"/>
  <c r="C132" i="5"/>
  <c r="F133" i="5"/>
  <c r="A133" i="5" a="1"/>
  <c r="B133" i="5" a="1"/>
  <c r="C133" i="5" a="1"/>
  <c r="E133" i="5" a="1"/>
  <c r="F134" i="5" a="1"/>
  <c r="F134" i="5" l="1"/>
  <c r="E133" i="5"/>
  <c r="C133" i="5"/>
  <c r="B133" i="5"/>
  <c r="A133" i="5"/>
  <c r="A134" i="5" a="1"/>
  <c r="C134" i="5" a="1"/>
  <c r="E134" i="5" a="1"/>
  <c r="B134" i="5" a="1"/>
  <c r="F135" i="5" a="1"/>
  <c r="F135" i="5" l="1"/>
  <c r="B134" i="5"/>
  <c r="E134" i="5"/>
  <c r="C134" i="5"/>
  <c r="A134" i="5"/>
  <c r="A135" i="5" a="1"/>
  <c r="F136" i="5" a="1"/>
  <c r="B135" i="5" a="1"/>
  <c r="C135" i="5" a="1"/>
  <c r="E135" i="5" a="1"/>
  <c r="E135" i="5" l="1"/>
  <c r="C135" i="5"/>
  <c r="B135" i="5"/>
  <c r="F136" i="5"/>
  <c r="A135" i="5"/>
  <c r="C136" i="5" a="1"/>
  <c r="E136" i="5" a="1"/>
  <c r="F137" i="5" a="1"/>
  <c r="B136" i="5" a="1"/>
  <c r="A136" i="5" a="1"/>
  <c r="A136" i="5" l="1"/>
  <c r="B136" i="5"/>
  <c r="F137" i="5"/>
  <c r="E136" i="5"/>
  <c r="C136" i="5"/>
  <c r="A137" i="5" a="1"/>
  <c r="F138" i="5" a="1"/>
  <c r="E137" i="5" a="1"/>
  <c r="B137" i="5" a="1"/>
  <c r="C137" i="5" a="1"/>
  <c r="C137" i="5" l="1"/>
  <c r="B137" i="5"/>
  <c r="E137" i="5"/>
  <c r="F138" i="5"/>
  <c r="A137" i="5"/>
  <c r="F139" i="5" a="1"/>
  <c r="E138" i="5" a="1"/>
  <c r="C138" i="5" a="1"/>
  <c r="B138" i="5" a="1"/>
  <c r="A138" i="5" a="1"/>
  <c r="A138" i="5" l="1"/>
  <c r="B138" i="5"/>
  <c r="C138" i="5"/>
  <c r="E138" i="5"/>
  <c r="F139" i="5"/>
  <c r="C139" i="5" a="1"/>
  <c r="A139" i="5" a="1"/>
  <c r="E139" i="5" a="1"/>
  <c r="B139" i="5" a="1"/>
  <c r="F140" i="5" a="1"/>
  <c r="F140" i="5" l="1"/>
  <c r="B139" i="5"/>
  <c r="E139" i="5"/>
  <c r="A139" i="5"/>
  <c r="C139" i="5"/>
  <c r="C140" i="5" a="1"/>
  <c r="E140" i="5" a="1"/>
  <c r="F141" i="5" a="1"/>
  <c r="B140" i="5" a="1"/>
  <c r="A140" i="5" a="1"/>
  <c r="A140" i="5" l="1"/>
  <c r="B140" i="5"/>
  <c r="F141" i="5"/>
  <c r="E140" i="5"/>
  <c r="C140" i="5"/>
  <c r="B141" i="5" a="1"/>
  <c r="E141" i="5" a="1"/>
  <c r="C141" i="5" a="1"/>
  <c r="A141" i="5" a="1"/>
  <c r="F142" i="5" a="1"/>
  <c r="F142" i="5" l="1"/>
  <c r="A141" i="5"/>
  <c r="C141" i="5"/>
  <c r="E141" i="5"/>
  <c r="B141" i="5"/>
  <c r="E142" i="5" a="1"/>
  <c r="A142" i="5" a="1"/>
  <c r="F143" i="5" a="1"/>
  <c r="B142" i="5" a="1"/>
  <c r="C142" i="5" a="1"/>
  <c r="C142" i="5" l="1"/>
  <c r="B142" i="5"/>
  <c r="F143" i="5"/>
  <c r="A142" i="5"/>
  <c r="E142" i="5"/>
  <c r="B143" i="5" a="1"/>
  <c r="A143" i="5" a="1"/>
  <c r="E143" i="5" a="1"/>
  <c r="F144" i="5" a="1"/>
  <c r="C143" i="5" a="1"/>
  <c r="C143" i="5" l="1"/>
  <c r="F144" i="5"/>
  <c r="E143" i="5"/>
  <c r="A143" i="5"/>
  <c r="B143" i="5"/>
  <c r="E144" i="5" a="1"/>
  <c r="B144" i="5" a="1"/>
  <c r="F145" i="5" a="1"/>
  <c r="A144" i="5" a="1"/>
  <c r="C144" i="5" a="1"/>
  <c r="C144" i="5" l="1"/>
  <c r="A144" i="5"/>
  <c r="F145" i="5"/>
  <c r="B144" i="5"/>
  <c r="E144" i="5"/>
  <c r="B145" i="5" a="1"/>
  <c r="E145" i="5" a="1"/>
  <c r="A145" i="5" a="1"/>
  <c r="C145" i="5" a="1"/>
  <c r="F146" i="5" a="1"/>
  <c r="F146" i="5" l="1"/>
  <c r="C145" i="5"/>
  <c r="A145" i="5"/>
  <c r="E145" i="5"/>
  <c r="B145" i="5"/>
  <c r="F147" i="5" a="1"/>
  <c r="E146" i="5" a="1"/>
  <c r="A146" i="5" a="1"/>
  <c r="C146" i="5" a="1"/>
  <c r="B146" i="5" a="1"/>
  <c r="B146" i="5" l="1"/>
  <c r="C146" i="5"/>
  <c r="A146" i="5"/>
  <c r="E146" i="5"/>
  <c r="F147" i="5"/>
  <c r="F148" i="5" a="1"/>
  <c r="E147" i="5" a="1"/>
  <c r="A147" i="5" a="1"/>
  <c r="B147" i="5" a="1"/>
  <c r="C147" i="5" a="1"/>
  <c r="C147" i="5" l="1"/>
  <c r="B147" i="5"/>
  <c r="A147" i="5"/>
  <c r="E147" i="5"/>
  <c r="F148" i="5"/>
  <c r="A148" i="5" a="1"/>
  <c r="B148" i="5" a="1"/>
  <c r="C148" i="5" a="1"/>
  <c r="F149" i="5" a="1"/>
  <c r="E148" i="5" a="1"/>
  <c r="E148" i="5" l="1"/>
  <c r="F149" i="5"/>
  <c r="C148" i="5"/>
  <c r="B148" i="5"/>
  <c r="A148" i="5"/>
  <c r="C149" i="5" a="1"/>
  <c r="E149" i="5" a="1"/>
  <c r="F150" i="5" a="1"/>
  <c r="B149" i="5" a="1"/>
  <c r="A149" i="5" a="1"/>
  <c r="A149" i="5" l="1"/>
  <c r="B149" i="5"/>
  <c r="F150" i="5"/>
  <c r="E149" i="5"/>
  <c r="C149" i="5"/>
  <c r="B150" i="5" a="1"/>
  <c r="A150" i="5" a="1"/>
  <c r="E150" i="5" a="1"/>
  <c r="C150" i="5" a="1"/>
  <c r="F151" i="5" a="1"/>
  <c r="F151" i="5" l="1"/>
  <c r="C150" i="5"/>
  <c r="E150" i="5"/>
  <c r="A150" i="5"/>
  <c r="B150" i="5"/>
  <c r="C151" i="5" a="1"/>
  <c r="B151" i="5" a="1"/>
  <c r="E151" i="5" a="1"/>
  <c r="A151" i="5" a="1"/>
  <c r="F152" i="5" a="1"/>
  <c r="F152" i="5" l="1"/>
  <c r="A151" i="5"/>
  <c r="E151" i="5"/>
  <c r="B151" i="5"/>
  <c r="C151" i="5"/>
  <c r="B152" i="5" a="1"/>
  <c r="A152" i="5" a="1"/>
  <c r="E152" i="5" a="1"/>
  <c r="C152" i="5" a="1"/>
  <c r="F153" i="5" a="1"/>
  <c r="F153" i="5" l="1"/>
  <c r="C152" i="5"/>
  <c r="E152" i="5"/>
  <c r="A152" i="5"/>
  <c r="B152" i="5"/>
  <c r="E153" i="5" a="1"/>
  <c r="B153" i="5" a="1"/>
  <c r="C153" i="5" a="1"/>
  <c r="A153" i="5" a="1"/>
  <c r="F154" i="5" a="1"/>
  <c r="F154" i="5" l="1"/>
  <c r="A153" i="5"/>
  <c r="C153" i="5"/>
  <c r="B153" i="5"/>
  <c r="E153" i="5"/>
  <c r="B154" i="5" a="1"/>
  <c r="C154" i="5" a="1"/>
  <c r="A154" i="5" a="1"/>
  <c r="F155" i="5" a="1"/>
  <c r="E154" i="5" a="1"/>
  <c r="E154" i="5" l="1"/>
  <c r="F155" i="5"/>
  <c r="A154" i="5"/>
  <c r="C154" i="5"/>
  <c r="B154" i="5"/>
  <c r="B155" i="5" a="1"/>
  <c r="F156" i="5" a="1"/>
  <c r="A155" i="5" a="1"/>
  <c r="E155" i="5" a="1"/>
  <c r="C155" i="5" a="1"/>
  <c r="C155" i="5" l="1"/>
  <c r="E155" i="5"/>
  <c r="A155" i="5"/>
  <c r="F156" i="5"/>
  <c r="B155" i="5"/>
  <c r="F157" i="5" a="1"/>
  <c r="E156" i="5" a="1"/>
  <c r="C156" i="5" a="1"/>
  <c r="A156" i="5" a="1"/>
  <c r="B156" i="5" a="1"/>
  <c r="B156" i="5" l="1"/>
  <c r="A156" i="5"/>
  <c r="C156" i="5"/>
  <c r="E156" i="5"/>
  <c r="F157" i="5"/>
  <c r="A157" i="5" a="1"/>
  <c r="C157" i="5" a="1"/>
  <c r="F158" i="5" a="1"/>
  <c r="E157" i="5" a="1"/>
  <c r="B157" i="5" a="1"/>
  <c r="B157" i="5" l="1"/>
  <c r="E157" i="5"/>
  <c r="F158" i="5"/>
  <c r="C157" i="5"/>
  <c r="A157" i="5"/>
  <c r="C158" i="5" a="1"/>
  <c r="E158" i="5" a="1"/>
  <c r="A158" i="5" a="1"/>
  <c r="F159" i="5" a="1"/>
  <c r="B158" i="5" a="1"/>
  <c r="B158" i="5" l="1"/>
  <c r="F159" i="5"/>
  <c r="A158" i="5"/>
  <c r="E158" i="5"/>
  <c r="C158" i="5"/>
  <c r="C159" i="5" a="1"/>
  <c r="A159" i="5" a="1"/>
  <c r="B159" i="5" a="1"/>
  <c r="E159" i="5" a="1"/>
  <c r="F160" i="5" a="1"/>
  <c r="F160" i="5" l="1"/>
  <c r="E159" i="5"/>
  <c r="B159" i="5"/>
  <c r="A159" i="5"/>
  <c r="C159" i="5"/>
  <c r="A160" i="5" a="1"/>
  <c r="E160" i="5" a="1"/>
  <c r="B160" i="5" a="1"/>
  <c r="C160" i="5" a="1"/>
  <c r="F161" i="5" a="1"/>
  <c r="F161" i="5" l="1"/>
  <c r="C160" i="5"/>
  <c r="B160" i="5"/>
  <c r="E160" i="5"/>
  <c r="A160" i="5"/>
  <c r="E161" i="5" a="1"/>
  <c r="C161" i="5" a="1"/>
  <c r="F162" i="5" a="1"/>
  <c r="A161" i="5" a="1"/>
  <c r="B161" i="5" a="1"/>
  <c r="B161" i="5" l="1"/>
  <c r="A161" i="5"/>
  <c r="F162" i="5"/>
  <c r="C161" i="5"/>
  <c r="E161" i="5"/>
  <c r="B162" i="5" a="1"/>
  <c r="A162" i="5" a="1"/>
  <c r="E162" i="5" a="1"/>
  <c r="C162" i="5" a="1"/>
  <c r="F163" i="5" a="1"/>
  <c r="F163" i="5" l="1"/>
  <c r="C162" i="5"/>
  <c r="E162" i="5"/>
  <c r="A162" i="5"/>
  <c r="B162" i="5"/>
  <c r="B163" i="5" a="1"/>
  <c r="A163" i="5" a="1"/>
  <c r="E163" i="5" a="1"/>
  <c r="F164" i="5" a="1"/>
  <c r="C163" i="5" a="1"/>
  <c r="C163" i="5" l="1"/>
  <c r="F164" i="5"/>
  <c r="E163" i="5"/>
  <c r="A163" i="5"/>
  <c r="B163" i="5"/>
  <c r="B164" i="5" a="1"/>
  <c r="C164" i="5" a="1"/>
  <c r="F165" i="5" a="1"/>
  <c r="A164" i="5" a="1"/>
  <c r="E164" i="5" a="1"/>
  <c r="E164" i="5" l="1"/>
  <c r="A164" i="5"/>
  <c r="F165" i="5"/>
  <c r="C164" i="5"/>
  <c r="B164" i="5"/>
  <c r="C165" i="5" a="1"/>
  <c r="B165" i="5" a="1"/>
  <c r="F166" i="5" a="1"/>
  <c r="A165" i="5" a="1"/>
  <c r="E165" i="5" a="1"/>
  <c r="E165" i="5" l="1"/>
  <c r="A165" i="5"/>
  <c r="F166" i="5"/>
  <c r="B165" i="5"/>
  <c r="C165" i="5"/>
  <c r="C166" i="5" a="1"/>
  <c r="F167" i="5" a="1"/>
  <c r="B166" i="5" a="1"/>
  <c r="E166" i="5" a="1"/>
  <c r="A166" i="5" a="1"/>
  <c r="A166" i="5" l="1"/>
  <c r="E166" i="5"/>
  <c r="B166" i="5"/>
  <c r="F167" i="5"/>
  <c r="C166" i="5"/>
  <c r="C167" i="5" a="1"/>
  <c r="A167" i="5" a="1"/>
  <c r="F168" i="5" a="1"/>
  <c r="B167" i="5" a="1"/>
  <c r="E167" i="5" a="1"/>
  <c r="E167" i="5" l="1"/>
  <c r="B167" i="5"/>
  <c r="F168" i="5"/>
  <c r="A167" i="5"/>
  <c r="C167" i="5"/>
  <c r="F169" i="5" a="1"/>
  <c r="C168" i="5" a="1"/>
  <c r="B168" i="5" a="1"/>
  <c r="A168" i="5" a="1"/>
  <c r="E168" i="5" a="1"/>
  <c r="E168" i="5" l="1"/>
  <c r="A168" i="5"/>
  <c r="B168" i="5"/>
  <c r="C168" i="5"/>
  <c r="F169" i="5"/>
  <c r="C169" i="5" a="1"/>
  <c r="F170" i="5" a="1"/>
  <c r="B169" i="5" a="1"/>
  <c r="A169" i="5" a="1"/>
  <c r="E169" i="5" a="1"/>
  <c r="E169" i="5" l="1"/>
  <c r="A169" i="5"/>
  <c r="B169" i="5"/>
  <c r="F170" i="5"/>
  <c r="C169" i="5"/>
  <c r="C170" i="5" a="1"/>
  <c r="A170" i="5" a="1"/>
  <c r="F171" i="5" a="1"/>
  <c r="E170" i="5" a="1"/>
  <c r="B170" i="5" a="1"/>
  <c r="B170" i="5" l="1"/>
  <c r="E170" i="5"/>
  <c r="F171" i="5"/>
  <c r="A170" i="5"/>
  <c r="C170" i="5"/>
  <c r="A171" i="5" a="1"/>
  <c r="E171" i="5" a="1"/>
  <c r="B171" i="5" a="1"/>
  <c r="C171" i="5" a="1"/>
  <c r="F172" i="5" a="1"/>
  <c r="F172" i="5" l="1"/>
  <c r="C171" i="5"/>
  <c r="B171" i="5"/>
  <c r="E171" i="5"/>
  <c r="A171" i="5"/>
  <c r="B172" i="5" a="1"/>
  <c r="A172" i="5" a="1"/>
  <c r="F173" i="5" a="1"/>
  <c r="C172" i="5" a="1"/>
  <c r="E172" i="5" a="1"/>
  <c r="E172" i="5" l="1"/>
  <c r="C172" i="5"/>
  <c r="F173" i="5"/>
  <c r="A172" i="5"/>
  <c r="B172" i="5"/>
  <c r="B173" i="5" a="1"/>
  <c r="A173" i="5" a="1"/>
  <c r="F174" i="5" a="1"/>
  <c r="C173" i="5" a="1"/>
  <c r="E173" i="5" a="1"/>
  <c r="E173" i="5" l="1"/>
  <c r="C173" i="5"/>
  <c r="F174" i="5"/>
  <c r="A173" i="5"/>
  <c r="B173" i="5"/>
  <c r="C174" i="5" a="1"/>
  <c r="E174" i="5" a="1"/>
  <c r="B174" i="5" a="1"/>
  <c r="A174" i="5" a="1"/>
  <c r="F175" i="5" a="1"/>
  <c r="F175" i="5" l="1"/>
  <c r="A174" i="5"/>
  <c r="B174" i="5"/>
  <c r="E174" i="5"/>
  <c r="C174" i="5"/>
  <c r="A175" i="5" a="1"/>
  <c r="E175" i="5" a="1"/>
  <c r="C175" i="5" a="1"/>
  <c r="F176" i="5" a="1"/>
  <c r="B175" i="5" a="1"/>
  <c r="B175" i="5" l="1"/>
  <c r="F176" i="5"/>
  <c r="C175" i="5"/>
  <c r="E175" i="5"/>
  <c r="A175" i="5"/>
  <c r="B176" i="5" a="1"/>
  <c r="A176" i="5" a="1"/>
  <c r="E176" i="5" a="1"/>
  <c r="C176" i="5" a="1"/>
  <c r="F177" i="5" a="1"/>
  <c r="F177" i="5" l="1"/>
  <c r="C176" i="5"/>
  <c r="E176" i="5"/>
  <c r="A176" i="5"/>
  <c r="B176" i="5"/>
  <c r="F178" i="5" a="1"/>
  <c r="A177" i="5" a="1"/>
  <c r="B177" i="5" a="1"/>
  <c r="E177" i="5" a="1"/>
  <c r="C177" i="5" a="1"/>
  <c r="C177" i="5" l="1"/>
  <c r="E177" i="5"/>
  <c r="B177" i="5"/>
  <c r="A177" i="5"/>
  <c r="F178" i="5"/>
  <c r="E178" i="5" a="1"/>
  <c r="B178" i="5" a="1"/>
  <c r="F179" i="5" a="1"/>
  <c r="C178" i="5" a="1"/>
  <c r="A178" i="5" a="1"/>
  <c r="A178" i="5" l="1"/>
  <c r="C178" i="5"/>
  <c r="F179" i="5"/>
  <c r="B178" i="5"/>
  <c r="E178" i="5"/>
  <c r="E179" i="5" a="1"/>
  <c r="B179" i="5" a="1"/>
  <c r="F180" i="5" a="1"/>
  <c r="A179" i="5" a="1"/>
  <c r="C179" i="5" a="1"/>
  <c r="C179" i="5" l="1"/>
  <c r="A179" i="5"/>
  <c r="F180" i="5"/>
  <c r="B179" i="5"/>
  <c r="E179" i="5"/>
  <c r="B180" i="5" a="1"/>
  <c r="C180" i="5" a="1"/>
  <c r="A180" i="5" a="1"/>
  <c r="E180" i="5" a="1"/>
  <c r="F181" i="5" a="1"/>
  <c r="F181" i="5" l="1"/>
  <c r="E180" i="5"/>
  <c r="A180" i="5"/>
  <c r="C180" i="5"/>
  <c r="B180" i="5"/>
  <c r="E181" i="5" a="1"/>
  <c r="B181" i="5" a="1"/>
  <c r="C181" i="5" a="1"/>
  <c r="A181" i="5" a="1"/>
  <c r="F182" i="5" a="1"/>
  <c r="F182" i="5" l="1"/>
  <c r="A181" i="5"/>
  <c r="C181" i="5"/>
  <c r="B181" i="5"/>
  <c r="E181" i="5"/>
  <c r="B182" i="5" a="1"/>
  <c r="A182" i="5" a="1"/>
  <c r="F183" i="5" a="1"/>
  <c r="C182" i="5" a="1"/>
  <c r="E182" i="5" a="1"/>
  <c r="E182" i="5" l="1"/>
  <c r="C182" i="5"/>
  <c r="F183" i="5"/>
  <c r="A182" i="5"/>
  <c r="B182" i="5"/>
  <c r="E183" i="5" a="1"/>
  <c r="B183" i="5" a="1"/>
  <c r="A183" i="5" a="1"/>
  <c r="F184" i="5" a="1"/>
  <c r="C183" i="5" a="1"/>
  <c r="C183" i="5" l="1"/>
  <c r="F184" i="5"/>
  <c r="A183" i="5"/>
  <c r="B183" i="5"/>
  <c r="E183" i="5"/>
  <c r="E184" i="5" a="1"/>
  <c r="C184" i="5" a="1"/>
  <c r="B184" i="5" a="1"/>
  <c r="F185" i="5" a="1"/>
  <c r="A184" i="5" a="1"/>
  <c r="A184" i="5" l="1"/>
  <c r="F185" i="5"/>
  <c r="B184" i="5"/>
  <c r="C184" i="5"/>
  <c r="E184" i="5"/>
  <c r="F186" i="5" a="1"/>
  <c r="B185" i="5" a="1"/>
  <c r="A185" i="5" a="1"/>
  <c r="E185" i="5" a="1"/>
  <c r="C185" i="5" a="1"/>
  <c r="C185" i="5" l="1"/>
  <c r="E185" i="5"/>
  <c r="A185" i="5"/>
  <c r="B185" i="5"/>
  <c r="F186" i="5"/>
  <c r="A186" i="5" a="1"/>
  <c r="F187" i="5" a="1"/>
  <c r="C186" i="5" a="1"/>
  <c r="E186" i="5" a="1"/>
  <c r="B186" i="5" a="1"/>
  <c r="B186" i="5" l="1"/>
  <c r="E186" i="5"/>
  <c r="C186" i="5"/>
  <c r="F187" i="5"/>
  <c r="A186" i="5"/>
  <c r="E187" i="5" a="1"/>
  <c r="A187" i="5" a="1"/>
  <c r="B187" i="5" a="1"/>
  <c r="F188" i="5" a="1"/>
  <c r="C187" i="5" a="1"/>
  <c r="C187" i="5" l="1"/>
  <c r="F188" i="5"/>
  <c r="B187" i="5"/>
  <c r="A187" i="5"/>
  <c r="E187" i="5"/>
  <c r="A188" i="5" a="1"/>
  <c r="C188" i="5" a="1"/>
  <c r="F189" i="5" a="1"/>
  <c r="B188" i="5" a="1"/>
  <c r="E188" i="5" a="1"/>
  <c r="E188" i="5" l="1"/>
  <c r="B188" i="5"/>
  <c r="F189" i="5"/>
  <c r="C188" i="5"/>
  <c r="A188" i="5"/>
  <c r="A189" i="5" a="1"/>
  <c r="B189" i="5" a="1"/>
  <c r="F190" i="5" a="1"/>
  <c r="E189" i="5" a="1"/>
  <c r="C189" i="5" a="1"/>
  <c r="C189" i="5" l="1"/>
  <c r="E189" i="5"/>
  <c r="F190" i="5"/>
  <c r="B189" i="5"/>
  <c r="A189" i="5"/>
  <c r="C190" i="5" a="1"/>
  <c r="F191" i="5" a="1"/>
  <c r="E190" i="5" a="1"/>
  <c r="A190" i="5" a="1"/>
  <c r="B190" i="5" a="1"/>
  <c r="B190" i="5" l="1"/>
  <c r="A190" i="5"/>
  <c r="E190" i="5"/>
  <c r="F191" i="5"/>
  <c r="C190" i="5"/>
  <c r="F192" i="5" a="1"/>
  <c r="A191" i="5" a="1"/>
  <c r="E191" i="5" a="1"/>
  <c r="B191" i="5" a="1"/>
  <c r="C191" i="5" a="1"/>
  <c r="C191" i="5" l="1"/>
  <c r="B191" i="5"/>
  <c r="E191" i="5"/>
  <c r="A191" i="5"/>
  <c r="F192" i="5"/>
  <c r="E192" i="5" a="1"/>
  <c r="A192" i="5" a="1"/>
  <c r="C192" i="5" a="1"/>
  <c r="F193" i="5" a="1"/>
  <c r="B192" i="5" a="1"/>
  <c r="B192" i="5" l="1"/>
  <c r="F193" i="5"/>
  <c r="C192" i="5"/>
  <c r="A192" i="5"/>
  <c r="E192" i="5"/>
  <c r="A193" i="5" a="1"/>
  <c r="E193" i="5" a="1"/>
  <c r="B193" i="5" a="1"/>
  <c r="F194" i="5" a="1"/>
  <c r="C193" i="5" a="1"/>
  <c r="C193" i="5" l="1"/>
  <c r="F194" i="5"/>
  <c r="B193" i="5"/>
  <c r="E193" i="5"/>
  <c r="A193" i="5"/>
  <c r="F195" i="5" a="1"/>
  <c r="A194" i="5" a="1"/>
  <c r="E194" i="5" a="1"/>
  <c r="B194" i="5" a="1"/>
  <c r="C194" i="5" a="1"/>
  <c r="C194" i="5" l="1"/>
  <c r="B194" i="5"/>
  <c r="E194" i="5"/>
  <c r="A194" i="5"/>
  <c r="F195" i="5"/>
  <c r="B195" i="5" a="1"/>
  <c r="C195" i="5" a="1"/>
  <c r="A195" i="5" a="1"/>
  <c r="E195" i="5" a="1"/>
  <c r="F196" i="5" a="1"/>
  <c r="F196" i="5" l="1"/>
  <c r="E195" i="5"/>
  <c r="A195" i="5"/>
  <c r="C195" i="5"/>
  <c r="B195" i="5"/>
  <c r="E196" i="5" a="1"/>
  <c r="C196" i="5" a="1"/>
  <c r="B196" i="5" a="1"/>
  <c r="F197" i="5" a="1"/>
  <c r="A196" i="5" a="1"/>
  <c r="A196" i="5" l="1"/>
  <c r="F197" i="5"/>
  <c r="B196" i="5"/>
  <c r="C196" i="5"/>
  <c r="E196" i="5"/>
  <c r="C197" i="5" a="1"/>
  <c r="F198" i="5" a="1"/>
  <c r="B197" i="5" a="1"/>
  <c r="E197" i="5" a="1"/>
  <c r="A197" i="5" a="1"/>
  <c r="A197" i="5" l="1"/>
  <c r="E197" i="5"/>
  <c r="B197" i="5"/>
  <c r="F198" i="5"/>
  <c r="C197" i="5"/>
  <c r="B198" i="5" a="1"/>
  <c r="E198" i="5" a="1"/>
  <c r="F199" i="5" a="1"/>
  <c r="C198" i="5" a="1"/>
  <c r="A198" i="5" a="1"/>
  <c r="A198" i="5" l="1"/>
  <c r="C198" i="5"/>
  <c r="F199" i="5"/>
  <c r="E198" i="5"/>
  <c r="B198" i="5"/>
  <c r="C199" i="5" a="1"/>
  <c r="E199" i="5" a="1"/>
  <c r="A199" i="5" a="1"/>
  <c r="F200" i="5" a="1"/>
  <c r="B199" i="5" a="1"/>
  <c r="B199" i="5" l="1"/>
  <c r="F200" i="5"/>
  <c r="A199" i="5"/>
  <c r="E199" i="5"/>
  <c r="C199" i="5"/>
  <c r="E200" i="5" a="1"/>
  <c r="F201" i="5" a="1"/>
  <c r="A200" i="5" a="1"/>
  <c r="C200" i="5" a="1"/>
  <c r="B200" i="5" a="1"/>
  <c r="B200" i="5" l="1"/>
  <c r="C200" i="5"/>
  <c r="A200" i="5"/>
  <c r="F201" i="5"/>
  <c r="E200" i="5"/>
  <c r="A201" i="5" a="1"/>
  <c r="B201" i="5" a="1"/>
  <c r="E201" i="5" a="1"/>
  <c r="F202" i="5" a="1"/>
  <c r="C201" i="5" a="1"/>
  <c r="C201" i="5" l="1"/>
  <c r="F202" i="5"/>
  <c r="E201" i="5"/>
  <c r="B201" i="5"/>
  <c r="A201" i="5"/>
  <c r="C202" i="5" a="1"/>
  <c r="E202" i="5" a="1"/>
  <c r="F203" i="5" a="1"/>
  <c r="B202" i="5" a="1"/>
  <c r="A202" i="5" a="1"/>
  <c r="A202" i="5" l="1"/>
  <c r="B202" i="5"/>
  <c r="F203" i="5"/>
  <c r="E202" i="5"/>
  <c r="C202" i="5"/>
  <c r="C203" i="5" a="1"/>
  <c r="F204" i="5" a="1"/>
  <c r="E203" i="5" a="1"/>
  <c r="B203" i="5" a="1"/>
  <c r="A203" i="5" a="1"/>
  <c r="A203" i="5" l="1"/>
  <c r="B203" i="5"/>
  <c r="E203" i="5"/>
  <c r="F204" i="5"/>
  <c r="C203" i="5"/>
  <c r="B204" i="5" a="1"/>
  <c r="C204" i="5" a="1"/>
  <c r="A204" i="5" a="1"/>
  <c r="E204" i="5" a="1"/>
  <c r="F205" i="5" a="1"/>
  <c r="F205" i="5" l="1"/>
  <c r="E204" i="5"/>
  <c r="A204" i="5"/>
  <c r="C204" i="5"/>
  <c r="B204" i="5"/>
  <c r="C205" i="5" a="1"/>
  <c r="E205" i="5" a="1"/>
  <c r="A205" i="5" a="1"/>
  <c r="F206" i="5" a="1"/>
  <c r="B205" i="5" a="1"/>
  <c r="B205" i="5" l="1"/>
  <c r="F206" i="5"/>
  <c r="A205" i="5"/>
  <c r="E205" i="5"/>
  <c r="C205" i="5"/>
  <c r="C206" i="5" a="1"/>
  <c r="A206" i="5" a="1"/>
  <c r="F207" i="5" a="1"/>
  <c r="E206" i="5" a="1"/>
  <c r="B206" i="5" a="1"/>
  <c r="B206" i="5" l="1"/>
  <c r="E206" i="5"/>
  <c r="F207" i="5"/>
  <c r="A206" i="5"/>
  <c r="C206" i="5"/>
  <c r="C207" i="5" a="1"/>
  <c r="E207" i="5" a="1"/>
  <c r="B207" i="5" a="1"/>
  <c r="F208" i="5" a="1"/>
  <c r="A207" i="5" a="1"/>
  <c r="A207" i="5" l="1"/>
  <c r="F208" i="5"/>
  <c r="B207" i="5"/>
  <c r="E207" i="5"/>
  <c r="C207" i="5"/>
  <c r="C208" i="5" a="1"/>
  <c r="B208" i="5" a="1"/>
  <c r="A208" i="5" a="1"/>
  <c r="E208" i="5" a="1"/>
  <c r="F209" i="5" a="1"/>
  <c r="F209" i="5" l="1"/>
  <c r="E208" i="5"/>
  <c r="A208" i="5"/>
  <c r="B208" i="5"/>
  <c r="C208" i="5"/>
  <c r="E209" i="5" a="1"/>
  <c r="C209" i="5" a="1"/>
  <c r="B209" i="5" a="1"/>
  <c r="F210" i="5" a="1"/>
  <c r="A209" i="5" a="1"/>
  <c r="A209" i="5" l="1"/>
  <c r="F210" i="5"/>
  <c r="B209" i="5"/>
  <c r="C209" i="5"/>
  <c r="E209" i="5"/>
  <c r="E210" i="5" a="1"/>
  <c r="C210" i="5" a="1"/>
  <c r="A210" i="5" a="1"/>
  <c r="B210" i="5" a="1"/>
  <c r="F211" i="5" a="1"/>
  <c r="F211" i="5" l="1"/>
  <c r="B210" i="5"/>
  <c r="A210" i="5"/>
  <c r="C210" i="5"/>
  <c r="E210" i="5"/>
  <c r="B211" i="5" a="1"/>
  <c r="E211" i="5" a="1"/>
  <c r="C211" i="5" a="1"/>
  <c r="A211" i="5" a="1"/>
  <c r="F212" i="5" a="1"/>
  <c r="F212" i="5" l="1"/>
  <c r="A211" i="5"/>
  <c r="C211" i="5"/>
  <c r="E211" i="5"/>
  <c r="B211" i="5"/>
  <c r="F213" i="5" a="1"/>
  <c r="A212" i="5" a="1"/>
  <c r="B212" i="5" a="1"/>
  <c r="E212" i="5" a="1"/>
  <c r="C212" i="5" a="1"/>
  <c r="C212" i="5" l="1"/>
  <c r="E212" i="5"/>
  <c r="B212" i="5"/>
  <c r="A212" i="5"/>
  <c r="F213" i="5"/>
  <c r="C213" i="5" a="1"/>
  <c r="F214" i="5" a="1"/>
  <c r="A213" i="5" a="1"/>
  <c r="E213" i="5" a="1"/>
  <c r="B213" i="5" a="1"/>
  <c r="B213" i="5" l="1"/>
  <c r="E213" i="5"/>
  <c r="A213" i="5"/>
  <c r="F214" i="5"/>
  <c r="C213" i="5"/>
  <c r="C214" i="5" a="1"/>
  <c r="A214" i="5" a="1"/>
  <c r="E214" i="5" a="1"/>
  <c r="B214" i="5" a="1"/>
  <c r="F215" i="5" a="1"/>
  <c r="F215" i="5" l="1"/>
  <c r="B214" i="5"/>
  <c r="E214" i="5"/>
  <c r="A214" i="5"/>
  <c r="C214" i="5"/>
  <c r="A215" i="5" a="1"/>
  <c r="C215" i="5" a="1"/>
  <c r="B215" i="5" a="1"/>
  <c r="E215" i="5" a="1"/>
  <c r="F216" i="5" a="1"/>
  <c r="F216" i="5" l="1"/>
  <c r="E215" i="5"/>
  <c r="B215" i="5"/>
  <c r="C215" i="5"/>
  <c r="A215" i="5"/>
  <c r="C216" i="5" a="1"/>
  <c r="F217" i="5" a="1"/>
  <c r="A216" i="5" a="1"/>
  <c r="B216" i="5" a="1"/>
  <c r="E216" i="5" a="1"/>
  <c r="E216" i="5" l="1"/>
  <c r="B216" i="5"/>
  <c r="A216" i="5"/>
  <c r="F217" i="5"/>
  <c r="C216" i="5"/>
  <c r="A217" i="5" a="1"/>
  <c r="C217" i="5" a="1"/>
  <c r="E217" i="5" a="1"/>
  <c r="B217" i="5" a="1"/>
  <c r="F218" i="5" a="1"/>
  <c r="F218" i="5" l="1"/>
  <c r="B217" i="5"/>
  <c r="E217" i="5"/>
  <c r="C217" i="5"/>
  <c r="A217" i="5"/>
  <c r="F219" i="5" a="1"/>
  <c r="B218" i="5" a="1"/>
  <c r="C218" i="5" a="1"/>
  <c r="E218" i="5" a="1"/>
  <c r="A218" i="5" a="1"/>
  <c r="A218" i="5" l="1"/>
  <c r="E218" i="5"/>
  <c r="C218" i="5"/>
  <c r="B218" i="5"/>
  <c r="F219" i="5"/>
  <c r="E219" i="5" a="1"/>
  <c r="A219" i="5" a="1"/>
  <c r="C219" i="5" a="1"/>
  <c r="F220" i="5" a="1"/>
  <c r="B219" i="5" a="1"/>
  <c r="B219" i="5" l="1"/>
  <c r="F220" i="5"/>
  <c r="C219" i="5"/>
  <c r="A219" i="5"/>
  <c r="E219" i="5"/>
  <c r="E220" i="5" a="1"/>
  <c r="B220" i="5" a="1"/>
  <c r="A220" i="5" a="1"/>
  <c r="C220" i="5" a="1"/>
  <c r="F221" i="5" a="1"/>
  <c r="F221" i="5" l="1"/>
  <c r="C220" i="5"/>
  <c r="A220" i="5"/>
  <c r="B220" i="5"/>
  <c r="E220" i="5"/>
  <c r="E221" i="5" a="1"/>
  <c r="F222" i="5" a="1"/>
  <c r="B221" i="5" a="1"/>
  <c r="C221" i="5" a="1"/>
  <c r="A221" i="5" a="1"/>
  <c r="A221" i="5" l="1"/>
  <c r="C221" i="5"/>
  <c r="B221" i="5"/>
  <c r="F222" i="5"/>
  <c r="E221" i="5"/>
  <c r="B222" i="5" a="1"/>
  <c r="F223" i="5" a="1"/>
  <c r="E222" i="5" a="1"/>
  <c r="C222" i="5" a="1"/>
  <c r="A222" i="5" a="1"/>
  <c r="A222" i="5" l="1"/>
  <c r="C222" i="5"/>
  <c r="E222" i="5"/>
  <c r="F223" i="5"/>
  <c r="B222" i="5"/>
  <c r="C223" i="5" a="1"/>
  <c r="A223" i="5" a="1"/>
  <c r="F224" i="5" a="1"/>
  <c r="E223" i="5" a="1"/>
  <c r="B223" i="5" a="1"/>
  <c r="B223" i="5" l="1"/>
  <c r="E223" i="5"/>
  <c r="F224" i="5"/>
  <c r="A223" i="5"/>
  <c r="C223" i="5"/>
  <c r="A224" i="5" a="1"/>
  <c r="E224" i="5" a="1"/>
  <c r="F225" i="5" a="1"/>
  <c r="B224" i="5" a="1"/>
  <c r="C224" i="5" a="1"/>
  <c r="C224" i="5" l="1"/>
  <c r="B224" i="5"/>
  <c r="F225" i="5"/>
  <c r="E224" i="5"/>
  <c r="A224" i="5"/>
  <c r="A225" i="5" a="1"/>
  <c r="E225" i="5" a="1"/>
  <c r="F226" i="5" a="1"/>
  <c r="C225" i="5" a="1"/>
  <c r="B225" i="5" a="1"/>
  <c r="B225" i="5" l="1"/>
  <c r="C225" i="5"/>
  <c r="F226" i="5"/>
  <c r="E225" i="5"/>
  <c r="A225" i="5"/>
  <c r="A226" i="5" a="1"/>
  <c r="F227" i="5" a="1"/>
  <c r="E226" i="5" a="1"/>
  <c r="C226" i="5" a="1"/>
  <c r="B226" i="5" a="1"/>
  <c r="B226" i="5" l="1"/>
  <c r="C226" i="5"/>
  <c r="E226" i="5"/>
  <c r="F227" i="5"/>
  <c r="A226" i="5"/>
  <c r="C227" i="5" a="1"/>
  <c r="E227" i="5" a="1"/>
  <c r="A227" i="5" a="1"/>
  <c r="B227" i="5" a="1"/>
  <c r="F228" i="5" a="1"/>
  <c r="F228" i="5" l="1"/>
  <c r="B227" i="5"/>
  <c r="A227" i="5"/>
  <c r="E227" i="5"/>
  <c r="C227" i="5"/>
  <c r="C228" i="5" a="1"/>
  <c r="A228" i="5" a="1"/>
  <c r="F229" i="5" a="1"/>
  <c r="B228" i="5" a="1"/>
  <c r="E228" i="5" a="1"/>
  <c r="E228" i="5" l="1"/>
  <c r="B228" i="5"/>
  <c r="F229" i="5"/>
  <c r="A228" i="5"/>
  <c r="C228" i="5"/>
  <c r="B229" i="5" a="1"/>
  <c r="C229" i="5" a="1"/>
  <c r="E229" i="5" a="1"/>
  <c r="A229" i="5" a="1"/>
  <c r="F230" i="5" a="1"/>
  <c r="F230" i="5" l="1"/>
  <c r="A229" i="5"/>
  <c r="E229" i="5"/>
  <c r="C229" i="5"/>
  <c r="B229" i="5"/>
  <c r="C230" i="5" a="1"/>
  <c r="A230" i="5" a="1"/>
  <c r="B230" i="5" a="1"/>
  <c r="E230" i="5" a="1"/>
  <c r="F231" i="5" a="1"/>
  <c r="F231" i="5" l="1"/>
  <c r="E230" i="5"/>
  <c r="B230" i="5"/>
  <c r="A230" i="5"/>
  <c r="C230" i="5"/>
  <c r="C231" i="5" a="1"/>
  <c r="A231" i="5" a="1"/>
  <c r="F232" i="5" a="1"/>
  <c r="B231" i="5" a="1"/>
  <c r="E231" i="5" a="1"/>
  <c r="E231" i="5" l="1"/>
  <c r="B231" i="5"/>
  <c r="F232" i="5"/>
  <c r="A231" i="5"/>
  <c r="C231" i="5"/>
  <c r="A232" i="5" a="1"/>
  <c r="F233" i="5" a="1"/>
  <c r="E232" i="5" a="1"/>
  <c r="B232" i="5" a="1"/>
  <c r="C232" i="5" a="1"/>
  <c r="C232" i="5" l="1"/>
  <c r="B232" i="5"/>
  <c r="E232" i="5"/>
  <c r="F233" i="5"/>
  <c r="A232" i="5"/>
  <c r="B233" i="5" a="1"/>
  <c r="A233" i="5" a="1"/>
  <c r="F234" i="5" a="1"/>
  <c r="E233" i="5" a="1"/>
  <c r="C233" i="5" a="1"/>
  <c r="C233" i="5" l="1"/>
  <c r="E233" i="5"/>
  <c r="F234" i="5"/>
  <c r="A233" i="5"/>
  <c r="B233" i="5"/>
  <c r="C234" i="5" a="1"/>
  <c r="A234" i="5" a="1"/>
  <c r="B234" i="5" a="1"/>
  <c r="F235" i="5" a="1"/>
  <c r="E234" i="5" a="1"/>
  <c r="E234" i="5" l="1"/>
  <c r="F235" i="5"/>
  <c r="B234" i="5"/>
  <c r="A234" i="5"/>
  <c r="C234" i="5"/>
  <c r="B235" i="5" a="1"/>
  <c r="C235" i="5" a="1"/>
  <c r="E235" i="5" a="1"/>
  <c r="F236" i="5" a="1"/>
  <c r="A235" i="5" a="1"/>
  <c r="A235" i="5" l="1"/>
  <c r="F236" i="5"/>
  <c r="E235" i="5"/>
  <c r="C235" i="5"/>
  <c r="B235" i="5"/>
  <c r="E236" i="5" a="1"/>
  <c r="C236" i="5" a="1"/>
  <c r="F237" i="5" a="1"/>
  <c r="A236" i="5" a="1"/>
  <c r="B236" i="5" a="1"/>
  <c r="B236" i="5" l="1"/>
  <c r="A236" i="5"/>
  <c r="F237" i="5"/>
  <c r="C236" i="5"/>
  <c r="E236" i="5"/>
  <c r="E237" i="5" a="1"/>
  <c r="F238" i="5" a="1"/>
  <c r="B237" i="5" a="1"/>
  <c r="C237" i="5" a="1"/>
  <c r="A237" i="5" a="1"/>
  <c r="A237" i="5" l="1"/>
  <c r="C237" i="5"/>
  <c r="B237" i="5"/>
  <c r="F238" i="5"/>
  <c r="E237" i="5"/>
  <c r="C238" i="5" a="1"/>
  <c r="A238" i="5" a="1"/>
  <c r="B238" i="5" a="1"/>
  <c r="E238" i="5" a="1"/>
  <c r="F239" i="5" a="1"/>
  <c r="F239" i="5" l="1"/>
  <c r="E238" i="5"/>
  <c r="B238" i="5"/>
  <c r="A238" i="5"/>
  <c r="C238" i="5"/>
  <c r="C239" i="5" a="1"/>
  <c r="F240" i="5" a="1"/>
  <c r="A239" i="5" a="1"/>
  <c r="B239" i="5" a="1"/>
  <c r="E239" i="5" a="1"/>
  <c r="E239" i="5" l="1"/>
  <c r="B239" i="5"/>
  <c r="A239" i="5"/>
  <c r="F240" i="5"/>
  <c r="C239" i="5"/>
  <c r="E240" i="5" a="1"/>
  <c r="A240" i="5" a="1"/>
  <c r="F241" i="5" a="1"/>
  <c r="C240" i="5" a="1"/>
  <c r="B240" i="5" a="1"/>
  <c r="B240" i="5" l="1"/>
  <c r="C240" i="5"/>
  <c r="F241" i="5"/>
  <c r="A240" i="5"/>
  <c r="E240" i="5"/>
  <c r="F242" i="5" a="1"/>
  <c r="B241" i="5" a="1"/>
  <c r="C241" i="5" a="1"/>
  <c r="A241" i="5" a="1"/>
  <c r="E241" i="5" a="1"/>
  <c r="E241" i="5" l="1"/>
  <c r="A241" i="5"/>
  <c r="C241" i="5"/>
  <c r="B241" i="5"/>
  <c r="F242" i="5"/>
  <c r="B242" i="5" a="1"/>
  <c r="A242" i="5" a="1"/>
  <c r="E242" i="5" a="1"/>
  <c r="F243" i="5" a="1"/>
  <c r="C242" i="5" a="1"/>
  <c r="C242" i="5" l="1"/>
  <c r="F243" i="5"/>
  <c r="E242" i="5"/>
  <c r="A242" i="5"/>
  <c r="B242" i="5"/>
  <c r="C243" i="5" a="1"/>
  <c r="E243" i="5" a="1"/>
  <c r="F244" i="5" a="1"/>
  <c r="A243" i="5" a="1"/>
  <c r="B243" i="5" a="1"/>
  <c r="B243" i="5" l="1"/>
  <c r="A243" i="5"/>
  <c r="F244" i="5"/>
  <c r="E243" i="5"/>
  <c r="C243" i="5"/>
  <c r="C244" i="5" a="1"/>
  <c r="A244" i="5" a="1"/>
  <c r="B244" i="5" a="1"/>
  <c r="E244" i="5" a="1"/>
  <c r="F245" i="5" a="1"/>
  <c r="F245" i="5" l="1"/>
  <c r="E244" i="5"/>
  <c r="B244" i="5"/>
  <c r="A244" i="5"/>
  <c r="C244" i="5"/>
  <c r="E245" i="5" a="1"/>
  <c r="F246" i="5" a="1"/>
  <c r="A245" i="5" a="1"/>
  <c r="C245" i="5" a="1"/>
  <c r="B245" i="5" a="1"/>
  <c r="B245" i="5" l="1"/>
  <c r="C245" i="5"/>
  <c r="A245" i="5"/>
  <c r="F246" i="5"/>
  <c r="E245" i="5"/>
  <c r="F247" i="5" a="1"/>
  <c r="B246" i="5" a="1"/>
  <c r="C246" i="5" a="1"/>
  <c r="A246" i="5" a="1"/>
  <c r="E246" i="5" a="1"/>
  <c r="E246" i="5" l="1"/>
  <c r="A246" i="5"/>
  <c r="C246" i="5"/>
  <c r="B246" i="5"/>
  <c r="F247" i="5"/>
  <c r="F248" i="5" a="1"/>
  <c r="C247" i="5" a="1"/>
  <c r="E247" i="5" a="1"/>
  <c r="A247" i="5" a="1"/>
  <c r="B247" i="5" a="1"/>
  <c r="B247" i="5" l="1"/>
  <c r="A247" i="5"/>
  <c r="E247" i="5"/>
  <c r="C247" i="5"/>
  <c r="F248" i="5"/>
  <c r="E248" i="5" a="1"/>
  <c r="B248" i="5" a="1"/>
  <c r="C248" i="5" a="1"/>
  <c r="A248" i="5" a="1"/>
  <c r="F249" i="5" a="1"/>
  <c r="F249" i="5" l="1"/>
  <c r="A248" i="5"/>
  <c r="C248" i="5"/>
  <c r="B248" i="5"/>
  <c r="E248" i="5"/>
  <c r="E249" i="5" a="1"/>
  <c r="C249" i="5" a="1"/>
  <c r="B249" i="5" a="1"/>
  <c r="A249" i="5" a="1"/>
  <c r="F250" i="5" a="1"/>
  <c r="F250" i="5" l="1"/>
  <c r="A249" i="5"/>
  <c r="B249" i="5"/>
  <c r="C249" i="5"/>
  <c r="E249" i="5"/>
  <c r="B250" i="5" a="1"/>
  <c r="A250" i="5" a="1"/>
  <c r="F251" i="5" a="1"/>
  <c r="E250" i="5" a="1"/>
  <c r="C250" i="5" a="1"/>
  <c r="C250" i="5" l="1"/>
  <c r="E250" i="5"/>
  <c r="F251" i="5"/>
  <c r="A250" i="5"/>
  <c r="B250" i="5"/>
  <c r="C251" i="5" a="1"/>
  <c r="A251" i="5" a="1"/>
  <c r="B251" i="5" a="1"/>
  <c r="E251" i="5" a="1"/>
  <c r="F252" i="5" a="1"/>
  <c r="F252" i="5" l="1"/>
  <c r="E251" i="5"/>
  <c r="B251" i="5"/>
  <c r="A251" i="5"/>
  <c r="C251" i="5"/>
  <c r="E252" i="5" a="1"/>
  <c r="C252" i="5" a="1"/>
  <c r="B252" i="5" a="1"/>
  <c r="A252" i="5" a="1"/>
  <c r="F253" i="5" a="1"/>
  <c r="F253" i="5" l="1"/>
  <c r="A252" i="5"/>
  <c r="B252" i="5"/>
  <c r="C252" i="5"/>
  <c r="E252" i="5"/>
  <c r="A253" i="5" a="1"/>
  <c r="E253" i="5" a="1"/>
  <c r="F254" i="5" a="1"/>
  <c r="C253" i="5" a="1"/>
  <c r="B253" i="5" a="1"/>
  <c r="B253" i="5" l="1"/>
  <c r="C253" i="5"/>
  <c r="F254" i="5"/>
  <c r="E253" i="5"/>
  <c r="A253" i="5"/>
  <c r="E254" i="5" a="1"/>
  <c r="A254" i="5" a="1"/>
  <c r="B254" i="5" a="1"/>
  <c r="C254" i="5" a="1"/>
  <c r="F255" i="5" a="1"/>
  <c r="F255" i="5" l="1"/>
  <c r="C254" i="5"/>
  <c r="B254" i="5"/>
  <c r="A254" i="5"/>
  <c r="E254" i="5"/>
  <c r="E255" i="5" a="1"/>
  <c r="F256" i="5" a="1"/>
  <c r="B255" i="5" a="1"/>
  <c r="A255" i="5" a="1"/>
  <c r="C255" i="5" a="1"/>
  <c r="C255" i="5" l="1"/>
  <c r="A255" i="5"/>
  <c r="B255" i="5"/>
  <c r="F256" i="5"/>
  <c r="E255" i="5"/>
  <c r="A256" i="5" a="1"/>
  <c r="F257" i="5" a="1"/>
  <c r="E256" i="5" a="1"/>
  <c r="C256" i="5" a="1"/>
  <c r="B256" i="5" a="1"/>
  <c r="B256" i="5" l="1"/>
  <c r="C256" i="5"/>
  <c r="E256" i="5"/>
  <c r="F257" i="5"/>
  <c r="A256" i="5"/>
  <c r="C257" i="5" a="1"/>
  <c r="E257" i="5" a="1"/>
  <c r="A257" i="5" a="1"/>
  <c r="F258" i="5" a="1"/>
  <c r="B257" i="5" a="1"/>
  <c r="B257" i="5" l="1"/>
  <c r="F258" i="5"/>
  <c r="A257" i="5"/>
  <c r="E257" i="5"/>
  <c r="C257" i="5"/>
  <c r="B258" i="5" a="1"/>
  <c r="E258" i="5" a="1"/>
  <c r="C258" i="5" a="1"/>
  <c r="A258" i="5" a="1"/>
  <c r="F259" i="5" a="1"/>
  <c r="F259" i="5" l="1"/>
  <c r="A258" i="5"/>
  <c r="C258" i="5"/>
  <c r="E258" i="5"/>
  <c r="B258" i="5"/>
  <c r="E259" i="5" a="1"/>
  <c r="F260" i="5" a="1"/>
  <c r="C259" i="5" a="1"/>
  <c r="A259" i="5" a="1"/>
  <c r="B259" i="5" a="1"/>
  <c r="B259" i="5" l="1"/>
  <c r="A259" i="5"/>
  <c r="C259" i="5"/>
  <c r="F260" i="5"/>
  <c r="E259" i="5"/>
  <c r="F261" i="5" a="1"/>
  <c r="A260" i="5" a="1"/>
  <c r="B260" i="5" a="1"/>
  <c r="E260" i="5" a="1"/>
  <c r="C260" i="5" a="1"/>
  <c r="C260" i="5" l="1"/>
  <c r="E260" i="5"/>
  <c r="B260" i="5"/>
  <c r="A260" i="5"/>
  <c r="F261" i="5"/>
  <c r="E261" i="5" a="1"/>
  <c r="F262" i="5" a="1"/>
  <c r="A261" i="5" a="1"/>
  <c r="C261" i="5" a="1"/>
  <c r="B261" i="5" a="1"/>
  <c r="B261" i="5" l="1"/>
  <c r="C261" i="5"/>
  <c r="A261" i="5"/>
  <c r="F262" i="5"/>
  <c r="E261" i="5"/>
  <c r="C262" i="5" a="1"/>
  <c r="A262" i="5" a="1"/>
  <c r="E262" i="5" a="1"/>
  <c r="F263" i="5" a="1"/>
  <c r="B262" i="5" a="1"/>
  <c r="B262" i="5" l="1"/>
  <c r="F263" i="5"/>
  <c r="E262" i="5"/>
  <c r="A262" i="5"/>
  <c r="C262" i="5"/>
  <c r="A263" i="5" a="1"/>
  <c r="E263" i="5" a="1"/>
  <c r="C263" i="5" a="1"/>
  <c r="B263" i="5" a="1"/>
  <c r="F264" i="5" a="1"/>
  <c r="F264" i="5" l="1"/>
  <c r="B263" i="5"/>
  <c r="C263" i="5"/>
  <c r="E263" i="5"/>
  <c r="A263" i="5"/>
  <c r="C264" i="5" a="1"/>
  <c r="A264" i="5" a="1"/>
  <c r="B264" i="5" a="1"/>
  <c r="E264" i="5" a="1"/>
  <c r="F265" i="5" a="1"/>
  <c r="F265" i="5" l="1"/>
  <c r="E264" i="5"/>
  <c r="B264" i="5"/>
  <c r="A264" i="5"/>
  <c r="C264" i="5"/>
  <c r="A265" i="5" a="1"/>
  <c r="B265" i="5" a="1"/>
  <c r="F266" i="5" a="1"/>
  <c r="C265" i="5" a="1"/>
  <c r="E265" i="5" a="1"/>
  <c r="E265" i="5" l="1"/>
  <c r="C265" i="5"/>
  <c r="F266" i="5"/>
  <c r="B265" i="5"/>
  <c r="A265" i="5"/>
  <c r="B266" i="5" a="1"/>
  <c r="F267" i="5" a="1"/>
  <c r="E266" i="5" a="1"/>
  <c r="C266" i="5" a="1"/>
  <c r="A266" i="5" a="1"/>
  <c r="A266" i="5" l="1"/>
  <c r="C266" i="5"/>
  <c r="E266" i="5"/>
  <c r="F267" i="5"/>
  <c r="B266" i="5"/>
  <c r="B267" i="5" a="1"/>
  <c r="E267" i="5" a="1"/>
  <c r="A267" i="5" a="1"/>
  <c r="C267" i="5" a="1"/>
  <c r="F268" i="5" a="1"/>
  <c r="F268" i="5" l="1"/>
  <c r="C267" i="5"/>
  <c r="A267" i="5"/>
  <c r="E267" i="5"/>
  <c r="B267" i="5"/>
  <c r="A268" i="5" a="1"/>
  <c r="C268" i="5" a="1"/>
  <c r="B268" i="5" a="1"/>
  <c r="E268" i="5" a="1"/>
  <c r="F269" i="5" a="1"/>
  <c r="F269" i="5" l="1"/>
  <c r="E268" i="5"/>
  <c r="B268" i="5"/>
  <c r="C268" i="5"/>
  <c r="A268" i="5"/>
  <c r="C269" i="5" a="1"/>
  <c r="A269" i="5" a="1"/>
  <c r="B269" i="5" a="1"/>
  <c r="F270" i="5" a="1"/>
  <c r="E269" i="5" a="1"/>
  <c r="E269" i="5" l="1"/>
  <c r="F270" i="5"/>
  <c r="B269" i="5"/>
  <c r="A269" i="5"/>
  <c r="C269" i="5"/>
  <c r="B270" i="5" a="1"/>
  <c r="E270" i="5" a="1"/>
  <c r="A270" i="5" a="1"/>
  <c r="F271" i="5" a="1"/>
  <c r="C270" i="5" a="1"/>
  <c r="C270" i="5" l="1"/>
  <c r="F271" i="5"/>
  <c r="A270" i="5"/>
  <c r="E270" i="5"/>
  <c r="B270" i="5"/>
  <c r="C271" i="5" a="1"/>
  <c r="E271" i="5" a="1"/>
  <c r="A271" i="5" a="1"/>
  <c r="B271" i="5" a="1"/>
  <c r="F272" i="5" a="1"/>
  <c r="F272" i="5" l="1"/>
  <c r="B271" i="5"/>
  <c r="A271" i="5"/>
  <c r="E271" i="5"/>
  <c r="C271" i="5"/>
  <c r="F273" i="5" a="1"/>
  <c r="E272" i="5" a="1"/>
  <c r="C272" i="5" a="1"/>
  <c r="B272" i="5" a="1"/>
  <c r="A272" i="5" a="1"/>
  <c r="A272" i="5" l="1"/>
  <c r="B272" i="5"/>
  <c r="C272" i="5"/>
  <c r="E272" i="5"/>
  <c r="F273" i="5"/>
  <c r="C273" i="5" a="1"/>
  <c r="A273" i="5" a="1"/>
  <c r="F274" i="5" a="1"/>
  <c r="E273" i="5" a="1"/>
  <c r="B273" i="5" a="1"/>
  <c r="B273" i="5" l="1"/>
  <c r="E273" i="5"/>
  <c r="F274" i="5"/>
  <c r="A273" i="5"/>
  <c r="C273" i="5"/>
  <c r="E274" i="5" a="1"/>
  <c r="F275" i="5" a="1"/>
  <c r="A274" i="5" a="1"/>
  <c r="B274" i="5" a="1"/>
  <c r="C274" i="5" a="1"/>
  <c r="C274" i="5" l="1"/>
  <c r="B274" i="5"/>
  <c r="A274" i="5"/>
  <c r="F275" i="5"/>
  <c r="E274" i="5"/>
  <c r="A275" i="5" a="1"/>
  <c r="E275" i="5" a="1"/>
  <c r="F276" i="5" a="1"/>
  <c r="C275" i="5" a="1"/>
  <c r="B275" i="5" a="1"/>
  <c r="B275" i="5" l="1"/>
  <c r="C275" i="5"/>
  <c r="F276" i="5"/>
  <c r="E275" i="5"/>
  <c r="A275" i="5"/>
  <c r="A276" i="5" a="1"/>
  <c r="C276" i="5" a="1"/>
  <c r="B276" i="5" a="1"/>
  <c r="F277" i="5" a="1"/>
  <c r="E276" i="5" a="1"/>
  <c r="E276" i="5" l="1"/>
  <c r="F277" i="5"/>
  <c r="B276" i="5"/>
  <c r="C276" i="5"/>
  <c r="A276" i="5"/>
  <c r="E277" i="5" a="1"/>
  <c r="C277" i="5" a="1"/>
  <c r="A277" i="5" a="1"/>
  <c r="B277" i="5" a="1"/>
  <c r="F278" i="5" a="1"/>
  <c r="F278" i="5" l="1"/>
  <c r="B277" i="5"/>
  <c r="A277" i="5"/>
  <c r="C277" i="5"/>
  <c r="E277" i="5"/>
  <c r="A278" i="5" a="1"/>
  <c r="C278" i="5" a="1"/>
  <c r="B278" i="5" a="1"/>
  <c r="F279" i="5" a="1"/>
  <c r="E278" i="5" a="1"/>
  <c r="E278" i="5" l="1"/>
  <c r="F279" i="5"/>
  <c r="B278" i="5"/>
  <c r="C278" i="5"/>
  <c r="A278" i="5"/>
  <c r="F280" i="5" a="1"/>
  <c r="E279" i="5" a="1"/>
  <c r="B279" i="5" a="1"/>
  <c r="C279" i="5" a="1"/>
  <c r="A279" i="5" a="1"/>
  <c r="A279" i="5" l="1"/>
  <c r="C279" i="5"/>
  <c r="B279" i="5"/>
  <c r="E279" i="5"/>
  <c r="F280" i="5"/>
  <c r="B280" i="5" a="1"/>
  <c r="A280" i="5" a="1"/>
  <c r="C280" i="5" a="1"/>
  <c r="E280" i="5" a="1"/>
  <c r="F281" i="5" a="1"/>
  <c r="F281" i="5" l="1"/>
  <c r="E280" i="5"/>
  <c r="C280" i="5"/>
  <c r="A280" i="5"/>
  <c r="B280" i="5"/>
  <c r="E281" i="5" a="1"/>
  <c r="B281" i="5" a="1"/>
  <c r="C281" i="5" a="1"/>
  <c r="A281" i="5" a="1"/>
  <c r="F282" i="5" a="1"/>
  <c r="F282" i="5" l="1"/>
  <c r="A281" i="5"/>
  <c r="C281" i="5"/>
  <c r="B281" i="5"/>
  <c r="E281" i="5"/>
  <c r="E282" i="5" a="1"/>
  <c r="C282" i="5" a="1"/>
  <c r="F283" i="5" a="1"/>
  <c r="A282" i="5" a="1"/>
  <c r="B282" i="5" a="1"/>
  <c r="B282" i="5" l="1"/>
  <c r="A282" i="5"/>
  <c r="F283" i="5"/>
  <c r="C282" i="5"/>
  <c r="E282" i="5"/>
  <c r="E283" i="5" a="1"/>
  <c r="C283" i="5" a="1"/>
  <c r="A283" i="5" a="1"/>
  <c r="F284" i="5" a="1"/>
  <c r="B283" i="5" a="1"/>
  <c r="B283" i="5" l="1"/>
  <c r="F284" i="5"/>
  <c r="A283" i="5"/>
  <c r="C283" i="5"/>
  <c r="E283" i="5"/>
  <c r="C284" i="5" a="1"/>
  <c r="B284" i="5" a="1"/>
  <c r="F285" i="5" a="1"/>
  <c r="A284" i="5" a="1"/>
  <c r="E284" i="5" a="1"/>
  <c r="E284" i="5" l="1"/>
  <c r="A284" i="5"/>
  <c r="F285" i="5"/>
  <c r="B284" i="5"/>
  <c r="C284" i="5"/>
  <c r="B285" i="5" a="1"/>
  <c r="C285" i="5" a="1"/>
  <c r="F286" i="5" a="1"/>
  <c r="A285" i="5" a="1"/>
  <c r="E285" i="5" a="1"/>
  <c r="E285" i="5" l="1"/>
  <c r="A285" i="5"/>
  <c r="F286" i="5"/>
  <c r="C285" i="5"/>
  <c r="B285" i="5"/>
  <c r="E286" i="5" a="1"/>
  <c r="F287" i="5" a="1"/>
  <c r="B286" i="5" a="1"/>
  <c r="A286" i="5" a="1"/>
  <c r="C286" i="5" a="1"/>
  <c r="C286" i="5" l="1"/>
  <c r="A286" i="5"/>
  <c r="B286" i="5"/>
  <c r="F287" i="5"/>
  <c r="E286" i="5"/>
  <c r="A287" i="5" a="1"/>
  <c r="C287" i="5" a="1"/>
  <c r="B287" i="5" a="1"/>
  <c r="E287" i="5" a="1"/>
  <c r="F288" i="5" a="1"/>
  <c r="F288" i="5" l="1"/>
  <c r="E287" i="5"/>
  <c r="B287" i="5"/>
  <c r="C287" i="5"/>
  <c r="A287" i="5"/>
  <c r="A288" i="5" a="1"/>
  <c r="F289" i="5" a="1"/>
  <c r="E288" i="5" a="1"/>
  <c r="C288" i="5" a="1"/>
  <c r="B288" i="5" a="1"/>
  <c r="B288" i="5" l="1"/>
  <c r="C288" i="5"/>
  <c r="E288" i="5"/>
  <c r="F289" i="5"/>
  <c r="A288" i="5"/>
  <c r="E289" i="5" a="1"/>
  <c r="F290" i="5" a="1"/>
  <c r="C289" i="5" a="1"/>
  <c r="B289" i="5" a="1"/>
  <c r="A289" i="5" a="1"/>
  <c r="A289" i="5" l="1"/>
  <c r="B289" i="5"/>
  <c r="C289" i="5"/>
  <c r="F290" i="5"/>
  <c r="E289" i="5"/>
  <c r="F291" i="5" a="1"/>
  <c r="A290" i="5" a="1"/>
  <c r="E290" i="5" a="1"/>
  <c r="B290" i="5" a="1"/>
  <c r="C290" i="5" a="1"/>
  <c r="C290" i="5" l="1"/>
  <c r="B290" i="5"/>
  <c r="E290" i="5"/>
  <c r="A290" i="5"/>
  <c r="F291" i="5"/>
  <c r="F292" i="5" a="1"/>
  <c r="A291" i="5" a="1"/>
  <c r="E291" i="5" a="1"/>
  <c r="B291" i="5" a="1"/>
  <c r="C291" i="5" a="1"/>
  <c r="C291" i="5" l="1"/>
  <c r="B291" i="5"/>
  <c r="E291" i="5"/>
  <c r="A291" i="5"/>
  <c r="F292" i="5"/>
  <c r="A292" i="5" a="1"/>
  <c r="C292" i="5" a="1"/>
  <c r="F293" i="5" a="1"/>
  <c r="B292" i="5" a="1"/>
  <c r="E292" i="5" a="1"/>
  <c r="E292" i="5" l="1"/>
  <c r="B292" i="5"/>
  <c r="F293" i="5"/>
  <c r="C292" i="5"/>
  <c r="A292" i="5"/>
  <c r="A293" i="5" a="1"/>
  <c r="F294" i="5" a="1"/>
  <c r="C293" i="5" a="1"/>
  <c r="B293" i="5" a="1"/>
  <c r="E293" i="5" a="1"/>
  <c r="E293" i="5" l="1"/>
  <c r="B293" i="5"/>
  <c r="C293" i="5"/>
  <c r="F294" i="5"/>
  <c r="A293" i="5"/>
  <c r="C294" i="5" a="1"/>
  <c r="E294" i="5" a="1"/>
  <c r="A294" i="5" a="1"/>
  <c r="B294" i="5" a="1"/>
  <c r="F295" i="5" a="1"/>
  <c r="F295" i="5" l="1"/>
  <c r="B294" i="5"/>
  <c r="A294" i="5"/>
  <c r="E294" i="5"/>
  <c r="C294" i="5"/>
  <c r="C295" i="5" a="1"/>
  <c r="A295" i="5" a="1"/>
  <c r="F296" i="5" a="1"/>
  <c r="B295" i="5" a="1"/>
  <c r="E295" i="5" a="1"/>
  <c r="E295" i="5" l="1"/>
  <c r="B295" i="5"/>
  <c r="F296" i="5"/>
  <c r="A295" i="5"/>
  <c r="C295" i="5"/>
  <c r="A296" i="5" a="1"/>
  <c r="C296" i="5" a="1"/>
  <c r="E296" i="5" a="1"/>
  <c r="F297" i="5" a="1"/>
  <c r="B296" i="5" a="1"/>
  <c r="B296" i="5" l="1"/>
  <c r="F297" i="5"/>
  <c r="E296" i="5"/>
  <c r="C296" i="5"/>
  <c r="A296" i="5"/>
  <c r="B297" i="5" a="1"/>
  <c r="C297" i="5" a="1"/>
  <c r="A297" i="5" a="1"/>
  <c r="E297" i="5" a="1"/>
  <c r="F298" i="5" a="1"/>
  <c r="F298" i="5" l="1"/>
  <c r="E297" i="5"/>
  <c r="A297" i="5"/>
  <c r="C297" i="5"/>
  <c r="B297" i="5"/>
  <c r="E298" i="5" a="1"/>
  <c r="A298" i="5" a="1"/>
  <c r="F299" i="5" a="1"/>
  <c r="B298" i="5" a="1"/>
  <c r="C298" i="5" a="1"/>
  <c r="C298" i="5" l="1"/>
  <c r="B298" i="5"/>
  <c r="F299" i="5"/>
  <c r="A298" i="5"/>
  <c r="E298" i="5"/>
  <c r="C299" i="5" a="1"/>
  <c r="B299" i="5" a="1"/>
  <c r="F300" i="5" a="1"/>
  <c r="E299" i="5" a="1"/>
  <c r="A299" i="5" a="1"/>
  <c r="A299" i="5" l="1"/>
  <c r="E299" i="5"/>
  <c r="F300" i="5"/>
  <c r="B299" i="5"/>
  <c r="C299" i="5"/>
  <c r="E300" i="5" a="1"/>
  <c r="F301" i="5" a="1"/>
  <c r="B300" i="5" a="1"/>
  <c r="A300" i="5" a="1"/>
  <c r="C300" i="5" a="1"/>
  <c r="C300" i="5" l="1"/>
  <c r="A300" i="5"/>
  <c r="B300" i="5"/>
  <c r="F301" i="5"/>
  <c r="E300" i="5"/>
  <c r="A301" i="5" a="1"/>
  <c r="C301" i="5" a="1"/>
  <c r="B301" i="5" a="1"/>
  <c r="E301" i="5" a="1"/>
  <c r="F302" i="5" a="1"/>
  <c r="F302" i="5" l="1"/>
  <c r="E301" i="5"/>
  <c r="B301" i="5"/>
  <c r="C301" i="5"/>
  <c r="A301" i="5"/>
  <c r="C302" i="5" a="1"/>
  <c r="B302" i="5" a="1"/>
  <c r="F303" i="5" a="1"/>
  <c r="A302" i="5" a="1"/>
  <c r="E302" i="5" a="1"/>
  <c r="E302" i="5" l="1"/>
  <c r="A302" i="5"/>
  <c r="F303" i="5"/>
  <c r="B302" i="5"/>
  <c r="C302" i="5"/>
  <c r="F304" i="5" a="1"/>
  <c r="B303" i="5" a="1"/>
  <c r="A303" i="5" a="1"/>
  <c r="C303" i="5" a="1"/>
  <c r="E303" i="5" a="1"/>
  <c r="E303" i="5" l="1"/>
  <c r="C303" i="5"/>
  <c r="A303" i="5"/>
  <c r="B303" i="5"/>
  <c r="F304" i="5"/>
  <c r="C304" i="5" a="1"/>
  <c r="F305" i="5" a="1"/>
  <c r="E304" i="5" a="1"/>
  <c r="A304" i="5" a="1"/>
  <c r="B304" i="5" a="1"/>
  <c r="B304" i="5" l="1"/>
  <c r="A304" i="5"/>
  <c r="E304" i="5"/>
  <c r="F305" i="5"/>
  <c r="C304" i="5"/>
  <c r="C305" i="5" a="1"/>
  <c r="A305" i="5" a="1"/>
  <c r="E305" i="5" a="1"/>
  <c r="F306" i="5" a="1"/>
  <c r="B305" i="5" a="1"/>
  <c r="B305" i="5" l="1"/>
  <c r="F306" i="5"/>
  <c r="E305" i="5"/>
  <c r="A305" i="5"/>
  <c r="C305" i="5"/>
  <c r="B306" i="5" a="1"/>
  <c r="A306" i="5" a="1"/>
  <c r="C306" i="5" a="1"/>
  <c r="E306" i="5" a="1"/>
  <c r="F307" i="5" a="1"/>
  <c r="F307" i="5" l="1"/>
  <c r="E306" i="5"/>
  <c r="C306" i="5"/>
  <c r="A306" i="5"/>
  <c r="B306" i="5"/>
  <c r="A307" i="5" a="1"/>
  <c r="F308" i="5" a="1"/>
  <c r="B307" i="5" a="1"/>
  <c r="C307" i="5" a="1"/>
  <c r="E307" i="5" a="1"/>
  <c r="E307" i="5" l="1"/>
  <c r="C307" i="5"/>
  <c r="B307" i="5"/>
  <c r="F308" i="5"/>
  <c r="A307" i="5"/>
  <c r="E308" i="5" a="1"/>
  <c r="B308" i="5" a="1"/>
  <c r="A308" i="5" a="1"/>
  <c r="F309" i="5" a="1"/>
  <c r="C308" i="5" a="1"/>
  <c r="C308" i="5" l="1"/>
  <c r="F309" i="5"/>
  <c r="A308" i="5"/>
  <c r="B308" i="5"/>
  <c r="E308" i="5"/>
  <c r="C309" i="5" a="1"/>
  <c r="F310" i="5" a="1"/>
  <c r="A309" i="5" a="1"/>
  <c r="E309" i="5" a="1"/>
  <c r="B309" i="5" a="1"/>
  <c r="B309" i="5" l="1"/>
  <c r="E309" i="5"/>
  <c r="A309" i="5"/>
  <c r="F310" i="5"/>
  <c r="C309" i="5"/>
  <c r="C310" i="5" a="1"/>
  <c r="B310" i="5" a="1"/>
  <c r="F311" i="5" a="1"/>
  <c r="E310" i="5" a="1"/>
  <c r="A310" i="5" a="1"/>
  <c r="A310" i="5" l="1"/>
  <c r="E310" i="5"/>
  <c r="F311" i="5"/>
  <c r="B310" i="5"/>
  <c r="C310" i="5"/>
  <c r="F312" i="5" a="1"/>
  <c r="B311" i="5" a="1"/>
  <c r="A311" i="5" a="1"/>
  <c r="C311" i="5" a="1"/>
  <c r="E311" i="5" a="1"/>
  <c r="E311" i="5" l="1"/>
  <c r="C311" i="5"/>
  <c r="A311" i="5"/>
  <c r="B311" i="5"/>
  <c r="F312" i="5"/>
  <c r="E312" i="5" a="1"/>
  <c r="C312" i="5" a="1"/>
  <c r="B312" i="5" a="1"/>
  <c r="F313" i="5" a="1"/>
  <c r="A312" i="5" a="1"/>
  <c r="A312" i="5" l="1"/>
  <c r="F313" i="5"/>
  <c r="B312" i="5"/>
  <c r="C312" i="5"/>
  <c r="E312" i="5"/>
  <c r="E313" i="5" a="1"/>
  <c r="F314" i="5" a="1"/>
  <c r="A313" i="5" a="1"/>
  <c r="B313" i="5" a="1"/>
  <c r="C313" i="5" a="1"/>
  <c r="C313" i="5" l="1"/>
  <c r="B313" i="5"/>
  <c r="A313" i="5"/>
  <c r="F314" i="5"/>
  <c r="E313" i="5"/>
  <c r="C314" i="5" a="1"/>
  <c r="E314" i="5" a="1"/>
  <c r="A314" i="5" a="1"/>
  <c r="F315" i="5" a="1"/>
  <c r="B314" i="5" a="1"/>
  <c r="B314" i="5" l="1"/>
  <c r="F315" i="5"/>
  <c r="A314" i="5"/>
  <c r="E314" i="5"/>
  <c r="C314" i="5"/>
  <c r="F316" i="5" a="1"/>
  <c r="E315" i="5" a="1"/>
  <c r="C315" i="5" a="1"/>
  <c r="A315" i="5" a="1"/>
  <c r="B315" i="5" a="1"/>
  <c r="B315" i="5" l="1"/>
  <c r="A315" i="5"/>
  <c r="C315" i="5"/>
  <c r="E315" i="5"/>
  <c r="F316" i="5"/>
  <c r="E316" i="5" a="1"/>
  <c r="B316" i="5" a="1"/>
  <c r="C316" i="5" a="1"/>
  <c r="A316" i="5" a="1"/>
  <c r="F317" i="5" a="1"/>
  <c r="F317" i="5" l="1"/>
  <c r="A316" i="5"/>
  <c r="C316" i="5"/>
  <c r="B316" i="5"/>
  <c r="E316" i="5"/>
  <c r="F318" i="5" a="1"/>
  <c r="A317" i="5" a="1"/>
  <c r="B317" i="5" a="1"/>
  <c r="E317" i="5" a="1"/>
  <c r="C317" i="5" a="1"/>
  <c r="C317" i="5" l="1"/>
  <c r="E317" i="5"/>
  <c r="B317" i="5"/>
  <c r="A317" i="5"/>
  <c r="F318" i="5"/>
  <c r="C318" i="5" a="1"/>
  <c r="A318" i="5" a="1"/>
  <c r="E318" i="5" a="1"/>
  <c r="B318" i="5" a="1"/>
  <c r="F319" i="5" a="1"/>
  <c r="F319" i="5" l="1"/>
  <c r="B318" i="5"/>
  <c r="E318" i="5"/>
  <c r="A318" i="5"/>
  <c r="C318" i="5"/>
  <c r="C319" i="5" a="1"/>
  <c r="A319" i="5" a="1"/>
  <c r="E319" i="5" a="1"/>
  <c r="B319" i="5" a="1"/>
  <c r="F320" i="5" a="1"/>
  <c r="F320" i="5" l="1"/>
  <c r="B319" i="5"/>
  <c r="E319" i="5"/>
  <c r="A319" i="5"/>
  <c r="C319" i="5"/>
  <c r="F321" i="5" a="1"/>
  <c r="C320" i="5" a="1"/>
  <c r="A320" i="5" a="1"/>
  <c r="E320" i="5" a="1"/>
  <c r="B320" i="5" a="1"/>
  <c r="B320" i="5" l="1"/>
  <c r="E320" i="5"/>
  <c r="A320" i="5"/>
  <c r="C320" i="5"/>
  <c r="F321" i="5"/>
  <c r="F322" i="5" a="1"/>
  <c r="E321" i="5" a="1"/>
  <c r="B321" i="5" a="1"/>
  <c r="A321" i="5" a="1"/>
  <c r="C321" i="5" a="1"/>
  <c r="C321" i="5" l="1"/>
  <c r="A321" i="5"/>
  <c r="B321" i="5"/>
  <c r="E321" i="5"/>
  <c r="F322" i="5"/>
  <c r="E322" i="5" a="1"/>
  <c r="F323" i="5" a="1"/>
  <c r="C322" i="5" a="1"/>
  <c r="A322" i="5" a="1"/>
  <c r="B322" i="5" a="1"/>
  <c r="B322" i="5" l="1"/>
  <c r="A322" i="5"/>
  <c r="C322" i="5"/>
  <c r="F323" i="5"/>
  <c r="E322" i="5"/>
  <c r="F324" i="5" a="1"/>
  <c r="A323" i="5" a="1"/>
  <c r="C323" i="5" a="1"/>
  <c r="E323" i="5" a="1"/>
  <c r="B323" i="5" a="1"/>
  <c r="B323" i="5" l="1"/>
  <c r="E323" i="5"/>
  <c r="C323" i="5"/>
  <c r="A323" i="5"/>
  <c r="F324" i="5"/>
  <c r="B324" i="5" a="1"/>
  <c r="A324" i="5" a="1"/>
  <c r="C324" i="5" a="1"/>
  <c r="F325" i="5" a="1"/>
  <c r="E324" i="5" a="1"/>
  <c r="E324" i="5" l="1"/>
  <c r="F325" i="5"/>
  <c r="C324" i="5"/>
  <c r="A324" i="5"/>
  <c r="B324" i="5"/>
  <c r="F326" i="5" a="1"/>
  <c r="A325" i="5" a="1"/>
  <c r="C325" i="5" a="1"/>
  <c r="E325" i="5" a="1"/>
  <c r="B325" i="5" a="1"/>
  <c r="B325" i="5" l="1"/>
  <c r="E325" i="5"/>
  <c r="C325" i="5"/>
  <c r="A325" i="5"/>
  <c r="F326" i="5"/>
  <c r="B326" i="5" a="1"/>
  <c r="F327" i="5" a="1"/>
  <c r="E326" i="5" a="1"/>
  <c r="C326" i="5" a="1"/>
  <c r="A326" i="5" a="1"/>
  <c r="A326" i="5" l="1"/>
  <c r="C326" i="5"/>
  <c r="E326" i="5"/>
  <c r="F327" i="5"/>
  <c r="B326" i="5"/>
  <c r="C327" i="5" a="1"/>
  <c r="B327" i="5" a="1"/>
  <c r="A327" i="5" a="1"/>
  <c r="F328" i="5" a="1"/>
  <c r="E327" i="5" a="1"/>
  <c r="E327" i="5" l="1"/>
  <c r="F328" i="5"/>
  <c r="A327" i="5"/>
  <c r="B327" i="5"/>
  <c r="C327" i="5"/>
  <c r="C328" i="5" a="1"/>
  <c r="E328" i="5" a="1"/>
  <c r="B328" i="5" a="1"/>
  <c r="F329" i="5" a="1"/>
  <c r="A328" i="5" a="1"/>
  <c r="A328" i="5" l="1"/>
  <c r="F329" i="5"/>
  <c r="B328" i="5"/>
  <c r="E328" i="5"/>
  <c r="C328" i="5"/>
  <c r="C329" i="5" a="1"/>
  <c r="F330" i="5" a="1"/>
  <c r="B329" i="5" a="1"/>
  <c r="A329" i="5" a="1"/>
  <c r="E329" i="5" a="1"/>
  <c r="E329" i="5" l="1"/>
  <c r="A329" i="5"/>
  <c r="B329" i="5"/>
  <c r="F330" i="5"/>
  <c r="C329" i="5"/>
  <c r="F331" i="5" a="1"/>
  <c r="E330" i="5" a="1"/>
  <c r="B330" i="5" a="1"/>
  <c r="C330" i="5" a="1"/>
  <c r="A330" i="5" a="1"/>
  <c r="A330" i="5" l="1"/>
  <c r="C330" i="5"/>
  <c r="B330" i="5"/>
  <c r="E330" i="5"/>
  <c r="F331" i="5"/>
  <c r="A331" i="5" a="1"/>
  <c r="B331" i="5" a="1"/>
  <c r="F332" i="5" a="1"/>
  <c r="E331" i="5" a="1"/>
  <c r="C331" i="5" a="1"/>
  <c r="C331" i="5" l="1"/>
  <c r="E331" i="5"/>
  <c r="F332" i="5"/>
  <c r="B331" i="5"/>
  <c r="A331" i="5"/>
  <c r="C332" i="5" a="1"/>
  <c r="F333" i="5" a="1"/>
  <c r="A332" i="5" a="1"/>
  <c r="B332" i="5" a="1"/>
  <c r="E332" i="5" a="1"/>
  <c r="E332" i="5" l="1"/>
  <c r="B332" i="5"/>
  <c r="A332" i="5"/>
  <c r="F333" i="5"/>
  <c r="C332" i="5"/>
  <c r="A333" i="5" a="1"/>
  <c r="E333" i="5" a="1"/>
  <c r="C333" i="5" a="1"/>
  <c r="B333" i="5" a="1"/>
  <c r="F334" i="5" a="1"/>
  <c r="F334" i="5" l="1"/>
  <c r="B333" i="5"/>
  <c r="C333" i="5"/>
  <c r="E333" i="5"/>
  <c r="A333" i="5"/>
  <c r="E334" i="5" a="1"/>
  <c r="A334" i="5" a="1"/>
  <c r="F335" i="5" a="1"/>
  <c r="C334" i="5" a="1"/>
  <c r="B334" i="5" a="1"/>
  <c r="B334" i="5" l="1"/>
  <c r="C334" i="5"/>
  <c r="F335" i="5"/>
  <c r="A334" i="5"/>
  <c r="E334" i="5"/>
  <c r="F336" i="5" a="1"/>
  <c r="A335" i="5" a="1"/>
  <c r="B335" i="5" a="1"/>
  <c r="E335" i="5" a="1"/>
  <c r="C335" i="5" a="1"/>
  <c r="C335" i="5" l="1"/>
  <c r="E335" i="5"/>
  <c r="B335" i="5"/>
  <c r="A335" i="5"/>
  <c r="F336" i="5"/>
  <c r="A336" i="5" a="1"/>
  <c r="C336" i="5" a="1"/>
  <c r="B336" i="5" a="1"/>
  <c r="E336" i="5" a="1"/>
  <c r="F337" i="5" a="1"/>
  <c r="F337" i="5" l="1"/>
  <c r="E336" i="5"/>
  <c r="B336" i="5"/>
  <c r="C336" i="5"/>
  <c r="A336" i="5"/>
  <c r="A337" i="5" a="1"/>
  <c r="F338" i="5" a="1"/>
  <c r="B337" i="5" a="1"/>
  <c r="E337" i="5" a="1"/>
  <c r="C337" i="5" a="1"/>
  <c r="C337" i="5" l="1"/>
  <c r="E337" i="5"/>
  <c r="B337" i="5"/>
  <c r="F338" i="5"/>
  <c r="A337" i="5"/>
  <c r="A338" i="5" a="1"/>
  <c r="C338" i="5" a="1"/>
  <c r="B338" i="5" a="1"/>
  <c r="E338" i="5" a="1"/>
  <c r="F339" i="5" a="1"/>
  <c r="F339" i="5" l="1"/>
  <c r="E338" i="5"/>
  <c r="B338" i="5"/>
  <c r="C338" i="5"/>
  <c r="A338" i="5"/>
  <c r="E339" i="5" a="1"/>
  <c r="F340" i="5" a="1"/>
  <c r="B339" i="5" a="1"/>
  <c r="C339" i="5" a="1"/>
  <c r="A339" i="5" a="1"/>
  <c r="A339" i="5" l="1"/>
  <c r="C339" i="5"/>
  <c r="B339" i="5"/>
  <c r="F340" i="5"/>
  <c r="E339" i="5"/>
  <c r="A340" i="5" a="1"/>
  <c r="C340" i="5" a="1"/>
  <c r="F341" i="5" a="1"/>
  <c r="B340" i="5" a="1"/>
  <c r="E340" i="5" a="1"/>
  <c r="E340" i="5" l="1"/>
  <c r="B340" i="5"/>
  <c r="F341" i="5"/>
  <c r="C340" i="5"/>
  <c r="A340" i="5"/>
  <c r="A341" i="5" a="1"/>
  <c r="C341" i="5" a="1"/>
  <c r="B341" i="5" a="1"/>
  <c r="F342" i="5" a="1"/>
  <c r="E341" i="5" a="1"/>
  <c r="E341" i="5" l="1"/>
  <c r="F342" i="5"/>
  <c r="B341" i="5"/>
  <c r="C341" i="5"/>
  <c r="A341" i="5"/>
  <c r="B342" i="5" a="1"/>
  <c r="E342" i="5" a="1"/>
  <c r="C342" i="5" a="1"/>
  <c r="A342" i="5" a="1"/>
  <c r="F343" i="5" a="1"/>
  <c r="F343" i="5" l="1"/>
  <c r="A342" i="5"/>
  <c r="C342" i="5"/>
  <c r="E342" i="5"/>
  <c r="B342" i="5"/>
  <c r="C343" i="5" a="1"/>
  <c r="A343" i="5" a="1"/>
  <c r="F344" i="5" a="1"/>
  <c r="B343" i="5" a="1"/>
  <c r="E343" i="5" a="1"/>
  <c r="E343" i="5" l="1"/>
  <c r="B343" i="5"/>
  <c r="F344" i="5"/>
  <c r="A343" i="5"/>
  <c r="C343" i="5"/>
  <c r="B344" i="5" a="1"/>
  <c r="C344" i="5" a="1"/>
  <c r="F345" i="5" a="1"/>
  <c r="E344" i="5" a="1"/>
  <c r="A344" i="5" a="1"/>
  <c r="A344" i="5" l="1"/>
  <c r="E344" i="5"/>
  <c r="F345" i="5"/>
  <c r="C344" i="5"/>
  <c r="B344" i="5"/>
  <c r="A345" i="5" a="1"/>
  <c r="B345" i="5" a="1"/>
  <c r="F346" i="5" a="1"/>
  <c r="E345" i="5" a="1"/>
  <c r="C345" i="5" a="1"/>
  <c r="C345" i="5" l="1"/>
  <c r="E345" i="5"/>
  <c r="F346" i="5"/>
  <c r="B345" i="5"/>
  <c r="A345" i="5"/>
  <c r="A346" i="5" a="1"/>
  <c r="B346" i="5" a="1"/>
  <c r="E346" i="5" a="1"/>
  <c r="F347" i="5" a="1"/>
  <c r="C346" i="5" a="1"/>
  <c r="C346" i="5" l="1"/>
  <c r="F347" i="5"/>
  <c r="E346" i="5"/>
  <c r="B346" i="5"/>
  <c r="A346" i="5"/>
  <c r="E347" i="5" a="1"/>
  <c r="A347" i="5" a="1"/>
  <c r="F348" i="5" a="1"/>
  <c r="C347" i="5" a="1"/>
  <c r="B347" i="5" a="1"/>
  <c r="B347" i="5" l="1"/>
  <c r="C347" i="5"/>
  <c r="F348" i="5"/>
  <c r="A347" i="5"/>
  <c r="E347" i="5"/>
  <c r="C348" i="5" a="1"/>
  <c r="A348" i="5" a="1"/>
  <c r="B348" i="5" a="1"/>
  <c r="F349" i="5" a="1"/>
  <c r="E348" i="5" a="1"/>
  <c r="E348" i="5" l="1"/>
  <c r="F349" i="5"/>
  <c r="B348" i="5"/>
  <c r="A348" i="5"/>
  <c r="C348" i="5"/>
  <c r="F350" i="5" a="1"/>
  <c r="A349" i="5" a="1"/>
  <c r="B349" i="5" a="1"/>
  <c r="E349" i="5" a="1"/>
  <c r="C349" i="5" a="1"/>
  <c r="C349" i="5" l="1"/>
  <c r="E349" i="5"/>
  <c r="B349" i="5"/>
  <c r="A349" i="5"/>
  <c r="F350" i="5"/>
  <c r="C350" i="5" a="1"/>
  <c r="B350" i="5" a="1"/>
  <c r="E350" i="5" a="1"/>
  <c r="A350" i="5" a="1"/>
  <c r="F351" i="5" a="1"/>
  <c r="F351" i="5" l="1"/>
  <c r="A350" i="5"/>
  <c r="E350" i="5"/>
  <c r="B350" i="5"/>
  <c r="C350" i="5"/>
  <c r="C351" i="5" a="1"/>
  <c r="F352" i="5" a="1"/>
  <c r="E351" i="5" a="1"/>
  <c r="B351" i="5" a="1"/>
  <c r="A351" i="5" a="1"/>
  <c r="A351" i="5" l="1"/>
  <c r="B351" i="5"/>
  <c r="E351" i="5"/>
  <c r="F352" i="5"/>
  <c r="C351" i="5"/>
  <c r="B352" i="5" a="1"/>
  <c r="F353" i="5" a="1"/>
  <c r="A352" i="5" a="1"/>
  <c r="C352" i="5" a="1"/>
  <c r="E352" i="5" a="1"/>
  <c r="E352" i="5" l="1"/>
  <c r="C352" i="5"/>
  <c r="A352" i="5"/>
  <c r="F353" i="5"/>
  <c r="B352" i="5"/>
  <c r="B353" i="5" a="1"/>
  <c r="C353" i="5" a="1"/>
  <c r="E353" i="5" a="1"/>
  <c r="F354" i="5" a="1"/>
  <c r="A353" i="5" a="1"/>
  <c r="A353" i="5" l="1"/>
  <c r="F354" i="5"/>
  <c r="E353" i="5"/>
  <c r="C353" i="5"/>
  <c r="B353" i="5"/>
  <c r="F355" i="5" a="1"/>
  <c r="B354" i="5" a="1"/>
  <c r="A354" i="5" a="1"/>
  <c r="E354" i="5" a="1"/>
  <c r="C354" i="5" a="1"/>
  <c r="C354" i="5" l="1"/>
  <c r="E354" i="5"/>
  <c r="A354" i="5"/>
  <c r="B354" i="5"/>
  <c r="F355" i="5"/>
  <c r="A355" i="5" a="1"/>
  <c r="B355" i="5" a="1"/>
  <c r="C355" i="5" a="1"/>
  <c r="F356" i="5" a="1"/>
  <c r="E355" i="5" a="1"/>
  <c r="E355" i="5" l="1"/>
  <c r="F356" i="5"/>
  <c r="C355" i="5"/>
  <c r="B355" i="5"/>
  <c r="A355" i="5"/>
  <c r="B356" i="5" a="1"/>
  <c r="E356" i="5" a="1"/>
  <c r="C356" i="5" a="1"/>
  <c r="A356" i="5" a="1"/>
  <c r="F357" i="5" a="1"/>
  <c r="F357" i="5" l="1"/>
  <c r="A356" i="5"/>
  <c r="C356" i="5"/>
  <c r="E356" i="5"/>
  <c r="B356" i="5"/>
  <c r="C357" i="5" a="1"/>
  <c r="A357" i="5" a="1"/>
  <c r="F358" i="5" a="1"/>
  <c r="E357" i="5" a="1"/>
  <c r="B357" i="5" a="1"/>
  <c r="B357" i="5" l="1"/>
  <c r="E357" i="5"/>
  <c r="F358" i="5"/>
  <c r="A357" i="5"/>
  <c r="C357" i="5"/>
  <c r="B358" i="5" a="1"/>
  <c r="F359" i="5" a="1"/>
  <c r="A358" i="5" a="1"/>
  <c r="E358" i="5" a="1"/>
  <c r="C358" i="5" a="1"/>
  <c r="C358" i="5" l="1"/>
  <c r="E358" i="5"/>
  <c r="A358" i="5"/>
  <c r="F359" i="5"/>
  <c r="B358" i="5"/>
  <c r="C359" i="5" a="1"/>
  <c r="A359" i="5" a="1"/>
  <c r="B359" i="5" a="1"/>
  <c r="E359" i="5" a="1"/>
  <c r="F360" i="5" a="1"/>
  <c r="F360" i="5" l="1"/>
  <c r="E359" i="5"/>
  <c r="B359" i="5"/>
  <c r="A359" i="5"/>
  <c r="C359" i="5"/>
  <c r="E360" i="5" a="1"/>
  <c r="B360" i="5" a="1"/>
  <c r="F361" i="5" a="1"/>
  <c r="C360" i="5" a="1"/>
  <c r="A360" i="5" a="1"/>
  <c r="A360" i="5" l="1"/>
  <c r="C360" i="5"/>
  <c r="F361" i="5"/>
  <c r="B360" i="5"/>
  <c r="E360" i="5"/>
  <c r="A361" i="5" a="1"/>
  <c r="C361" i="5" a="1"/>
  <c r="E361" i="5" a="1"/>
  <c r="B361" i="5" a="1"/>
  <c r="F362" i="5" a="1"/>
  <c r="F362" i="5" l="1"/>
  <c r="B361" i="5"/>
  <c r="E361" i="5"/>
  <c r="C361" i="5"/>
  <c r="A361" i="5"/>
  <c r="B362" i="5" a="1"/>
  <c r="E362" i="5" a="1"/>
  <c r="F363" i="5" a="1"/>
  <c r="C362" i="5" a="1"/>
  <c r="A362" i="5" a="1"/>
  <c r="A362" i="5" l="1"/>
  <c r="C362" i="5"/>
  <c r="F363" i="5"/>
  <c r="E362" i="5"/>
  <c r="B362" i="5"/>
  <c r="F364" i="5" a="1"/>
  <c r="A363" i="5" a="1"/>
  <c r="E363" i="5" a="1"/>
  <c r="C363" i="5" a="1"/>
  <c r="B363" i="5" a="1"/>
  <c r="B363" i="5" l="1"/>
  <c r="C363" i="5"/>
  <c r="E363" i="5"/>
  <c r="A363" i="5"/>
  <c r="F364" i="5"/>
  <c r="E364" i="5" a="1"/>
  <c r="C364" i="5" a="1"/>
  <c r="F365" i="5" a="1"/>
  <c r="B364" i="5" a="1"/>
  <c r="A364" i="5" a="1"/>
  <c r="A364" i="5" l="1"/>
  <c r="B364" i="5"/>
  <c r="F365" i="5"/>
  <c r="C364" i="5"/>
  <c r="E364" i="5"/>
  <c r="E365" i="5" a="1"/>
  <c r="C365" i="5" a="1"/>
  <c r="F366" i="5" a="1"/>
  <c r="B365" i="5" a="1"/>
  <c r="A365" i="5" a="1"/>
  <c r="A365" i="5" l="1"/>
  <c r="B365" i="5"/>
  <c r="F366" i="5"/>
  <c r="C365" i="5"/>
  <c r="E365" i="5"/>
  <c r="B366" i="5" a="1"/>
  <c r="F367" i="5" a="1"/>
  <c r="E366" i="5" a="1"/>
  <c r="C366" i="5" a="1"/>
  <c r="A366" i="5" a="1"/>
  <c r="A366" i="5" l="1"/>
  <c r="C366" i="5"/>
  <c r="E366" i="5"/>
  <c r="F367" i="5"/>
  <c r="B366" i="5"/>
  <c r="C367" i="5" a="1"/>
  <c r="B367" i="5" a="1"/>
  <c r="E367" i="5" a="1"/>
  <c r="F368" i="5" a="1"/>
  <c r="A367" i="5" a="1"/>
  <c r="A367" i="5" l="1"/>
  <c r="F368" i="5"/>
  <c r="E367" i="5"/>
  <c r="B367" i="5"/>
  <c r="C367" i="5"/>
  <c r="E368" i="5" a="1"/>
  <c r="B368" i="5" a="1"/>
  <c r="A368" i="5" a="1"/>
  <c r="C368" i="5" a="1"/>
  <c r="F369" i="5" a="1"/>
  <c r="F369" i="5" l="1"/>
  <c r="C368" i="5"/>
  <c r="A368" i="5"/>
  <c r="B368" i="5"/>
  <c r="E368" i="5"/>
  <c r="E369" i="5" a="1"/>
  <c r="F370" i="5" a="1"/>
  <c r="B369" i="5" a="1"/>
  <c r="C369" i="5" a="1"/>
  <c r="A369" i="5" a="1"/>
  <c r="A369" i="5" l="1"/>
  <c r="C369" i="5"/>
  <c r="B369" i="5"/>
  <c r="F370" i="5"/>
  <c r="E369" i="5"/>
  <c r="C370" i="5" a="1"/>
  <c r="E370" i="5" a="1"/>
  <c r="F371" i="5" a="1"/>
  <c r="B370" i="5" a="1"/>
  <c r="A370" i="5" a="1"/>
  <c r="A370" i="5" l="1"/>
  <c r="B370" i="5"/>
  <c r="F371" i="5"/>
  <c r="E370" i="5"/>
  <c r="C370" i="5"/>
  <c r="A371" i="5" a="1"/>
  <c r="E371" i="5" a="1"/>
  <c r="C371" i="5" a="1"/>
  <c r="F372" i="5" a="1"/>
  <c r="B371" i="5" a="1"/>
  <c r="B371" i="5" l="1"/>
  <c r="F372" i="5"/>
  <c r="C371" i="5"/>
  <c r="E371" i="5"/>
  <c r="A371" i="5"/>
  <c r="E372" i="5" a="1"/>
  <c r="A372" i="5" a="1"/>
  <c r="F373" i="5" a="1"/>
  <c r="B372" i="5" a="1"/>
  <c r="C372" i="5" a="1"/>
  <c r="C372" i="5" l="1"/>
  <c r="B372" i="5"/>
  <c r="F373" i="5"/>
  <c r="A372" i="5"/>
  <c r="E372" i="5"/>
  <c r="B373" i="5" a="1"/>
  <c r="F374" i="5" a="1"/>
  <c r="A373" i="5" a="1"/>
  <c r="E373" i="5" a="1"/>
  <c r="C373" i="5" a="1"/>
  <c r="C373" i="5" l="1"/>
  <c r="E373" i="5"/>
  <c r="A373" i="5"/>
  <c r="F374" i="5"/>
  <c r="B373" i="5"/>
  <c r="B374" i="5" a="1"/>
  <c r="A374" i="5" a="1"/>
  <c r="E374" i="5" a="1"/>
  <c r="C374" i="5" a="1"/>
  <c r="F375" i="5" a="1"/>
  <c r="F375" i="5" l="1"/>
  <c r="C374" i="5"/>
  <c r="E374" i="5"/>
  <c r="A374" i="5"/>
  <c r="B374" i="5"/>
  <c r="F376" i="5" a="1"/>
  <c r="A375" i="5" a="1"/>
  <c r="C375" i="5" a="1"/>
  <c r="B375" i="5" a="1"/>
  <c r="E375" i="5" a="1"/>
  <c r="E375" i="5" l="1"/>
  <c r="B375" i="5"/>
  <c r="C375" i="5"/>
  <c r="A375" i="5"/>
  <c r="F376" i="5"/>
  <c r="C376" i="5" a="1"/>
  <c r="F377" i="5" a="1"/>
  <c r="E376" i="5" a="1"/>
  <c r="A376" i="5" a="1"/>
  <c r="B376" i="5" a="1"/>
  <c r="B376" i="5" l="1"/>
  <c r="A376" i="5"/>
  <c r="E376" i="5"/>
  <c r="F377" i="5"/>
  <c r="C376" i="5"/>
  <c r="C377" i="5" a="1"/>
  <c r="B377" i="5" a="1"/>
  <c r="F378" i="5" a="1"/>
  <c r="E377" i="5" a="1"/>
  <c r="A377" i="5" a="1"/>
  <c r="A377" i="5" l="1"/>
  <c r="E377" i="5"/>
  <c r="F378" i="5"/>
  <c r="B377" i="5"/>
  <c r="C377" i="5"/>
  <c r="E378" i="5" a="1"/>
  <c r="F379" i="5" a="1"/>
  <c r="A378" i="5" a="1"/>
  <c r="C378" i="5" a="1"/>
  <c r="B378" i="5" a="1"/>
  <c r="B378" i="5" l="1"/>
  <c r="C378" i="5"/>
  <c r="A378" i="5"/>
  <c r="F379" i="5"/>
  <c r="E378" i="5"/>
  <c r="F380" i="5" a="1"/>
  <c r="C379" i="5" a="1"/>
  <c r="B379" i="5" a="1"/>
  <c r="A379" i="5" a="1"/>
  <c r="E379" i="5" a="1"/>
  <c r="E379" i="5" l="1"/>
  <c r="A379" i="5"/>
  <c r="B379" i="5"/>
  <c r="C379" i="5"/>
  <c r="F380" i="5"/>
  <c r="B380" i="5" a="1"/>
  <c r="F381" i="5" a="1"/>
  <c r="C380" i="5" a="1"/>
  <c r="A380" i="5" a="1"/>
  <c r="E380" i="5" a="1"/>
  <c r="E380" i="5" l="1"/>
  <c r="A380" i="5"/>
  <c r="C380" i="5"/>
  <c r="F381" i="5"/>
  <c r="B380" i="5"/>
  <c r="A381" i="5" a="1"/>
  <c r="F382" i="5" a="1"/>
  <c r="E381" i="5" a="1"/>
  <c r="B381" i="5" a="1"/>
  <c r="C381" i="5" a="1"/>
  <c r="C381" i="5" l="1"/>
  <c r="B381" i="5"/>
  <c r="E381" i="5"/>
  <c r="F382" i="5"/>
  <c r="A381" i="5"/>
  <c r="B382" i="5" a="1"/>
  <c r="A382" i="5" a="1"/>
  <c r="F383" i="5" a="1"/>
  <c r="E382" i="5" a="1"/>
  <c r="C382" i="5" a="1"/>
  <c r="C382" i="5" l="1"/>
  <c r="E382" i="5"/>
  <c r="F383" i="5"/>
  <c r="A382" i="5"/>
  <c r="B382" i="5"/>
  <c r="B383" i="5" a="1"/>
  <c r="A383" i="5" a="1"/>
  <c r="E383" i="5" a="1"/>
  <c r="C383" i="5" a="1"/>
  <c r="F384" i="5" a="1"/>
  <c r="F384" i="5" l="1"/>
  <c r="C383" i="5"/>
  <c r="E383" i="5"/>
  <c r="A383" i="5"/>
  <c r="B383" i="5"/>
  <c r="A384" i="5" a="1"/>
  <c r="E384" i="5" a="1"/>
  <c r="B384" i="5" a="1"/>
  <c r="C384" i="5" a="1"/>
  <c r="F385" i="5" a="1"/>
  <c r="F385" i="5" l="1"/>
  <c r="C384" i="5"/>
  <c r="B384" i="5"/>
  <c r="E384" i="5"/>
  <c r="A384" i="5"/>
  <c r="A385" i="5" a="1"/>
  <c r="E385" i="5" a="1"/>
  <c r="C385" i="5" a="1"/>
  <c r="F386" i="5" a="1"/>
  <c r="B385" i="5" a="1"/>
  <c r="B385" i="5" l="1"/>
  <c r="F386" i="5"/>
  <c r="C385" i="5"/>
  <c r="E385" i="5"/>
  <c r="A385" i="5"/>
  <c r="E386" i="5" a="1"/>
  <c r="F387" i="5" a="1"/>
  <c r="B386" i="5" a="1"/>
  <c r="C386" i="5" a="1"/>
  <c r="A386" i="5" a="1"/>
  <c r="A386" i="5" l="1"/>
  <c r="C386" i="5"/>
  <c r="B386" i="5"/>
  <c r="F387" i="5"/>
  <c r="E386" i="5"/>
  <c r="A387" i="5" a="1"/>
  <c r="C387" i="5" a="1"/>
  <c r="B387" i="5" a="1"/>
  <c r="F388" i="5" a="1"/>
  <c r="E387" i="5" a="1"/>
  <c r="E387" i="5" l="1"/>
  <c r="F388" i="5"/>
  <c r="B387" i="5"/>
  <c r="C387" i="5"/>
  <c r="A387" i="5"/>
  <c r="C388" i="5" a="1"/>
  <c r="F389" i="5" a="1"/>
  <c r="B388" i="5" a="1"/>
  <c r="A388" i="5" a="1"/>
  <c r="E388" i="5" a="1"/>
  <c r="E388" i="5" l="1"/>
  <c r="A388" i="5"/>
  <c r="B388" i="5"/>
  <c r="F389" i="5"/>
  <c r="C388" i="5"/>
  <c r="A389" i="5" a="1"/>
  <c r="B389" i="5" a="1"/>
  <c r="E389" i="5" a="1"/>
  <c r="F390" i="5" a="1"/>
  <c r="C389" i="5" a="1"/>
  <c r="C389" i="5" l="1"/>
  <c r="F390" i="5"/>
  <c r="E389" i="5"/>
  <c r="B389" i="5"/>
  <c r="A389" i="5"/>
  <c r="C390" i="5" a="1"/>
  <c r="A390" i="5" a="1"/>
  <c r="F391" i="5" a="1"/>
  <c r="B390" i="5" a="1"/>
  <c r="E390" i="5" a="1"/>
  <c r="E390" i="5" l="1"/>
  <c r="B390" i="5"/>
  <c r="F391" i="5"/>
  <c r="A390" i="5"/>
  <c r="C390" i="5"/>
  <c r="F392" i="5" a="1"/>
  <c r="A391" i="5" a="1"/>
  <c r="C391" i="5" a="1"/>
  <c r="E391" i="5" a="1"/>
  <c r="B391" i="5" a="1"/>
  <c r="B391" i="5" l="1"/>
  <c r="E391" i="5"/>
  <c r="C391" i="5"/>
  <c r="A391" i="5"/>
  <c r="F392" i="5"/>
  <c r="E392" i="5" a="1"/>
  <c r="B392" i="5" a="1"/>
  <c r="C392" i="5" a="1"/>
  <c r="F393" i="5" a="1"/>
  <c r="A392" i="5" a="1"/>
  <c r="A392" i="5" l="1"/>
  <c r="F393" i="5"/>
  <c r="C392" i="5"/>
  <c r="B392" i="5"/>
  <c r="E392" i="5"/>
  <c r="E393" i="5" a="1"/>
  <c r="A393" i="5" a="1"/>
  <c r="F394" i="5" a="1"/>
  <c r="B393" i="5" a="1"/>
  <c r="C393" i="5" a="1"/>
  <c r="C393" i="5" l="1"/>
  <c r="B393" i="5"/>
  <c r="F394" i="5"/>
  <c r="A393" i="5"/>
  <c r="E393" i="5"/>
  <c r="E394" i="5" a="1"/>
  <c r="F395" i="5" a="1"/>
  <c r="B394" i="5" a="1"/>
  <c r="C394" i="5" a="1"/>
  <c r="A394" i="5" a="1"/>
  <c r="A394" i="5" l="1"/>
  <c r="C394" i="5"/>
  <c r="B394" i="5"/>
  <c r="F395" i="5"/>
  <c r="E394" i="5"/>
  <c r="B395" i="5" a="1"/>
  <c r="C395" i="5" a="1"/>
  <c r="F396" i="5" a="1"/>
  <c r="A395" i="5" a="1"/>
  <c r="E395" i="5" a="1"/>
  <c r="E395" i="5" l="1"/>
  <c r="A395" i="5"/>
  <c r="F396" i="5"/>
  <c r="C395" i="5"/>
  <c r="B395" i="5"/>
  <c r="C396" i="5" a="1"/>
  <c r="A396" i="5" a="1"/>
  <c r="F397" i="5" a="1"/>
  <c r="E396" i="5" a="1"/>
  <c r="B396" i="5" a="1"/>
  <c r="B396" i="5" l="1"/>
  <c r="E396" i="5"/>
  <c r="F397" i="5"/>
  <c r="A396" i="5"/>
  <c r="C396" i="5"/>
  <c r="F398" i="5" a="1"/>
  <c r="B397" i="5" a="1"/>
  <c r="E397" i="5" a="1"/>
  <c r="C397" i="5" a="1"/>
  <c r="A397" i="5" a="1"/>
  <c r="A397" i="5" l="1"/>
  <c r="C397" i="5"/>
  <c r="E397" i="5"/>
  <c r="B397" i="5"/>
  <c r="F398" i="5"/>
  <c r="E398" i="5" a="1"/>
  <c r="C398" i="5" a="1"/>
  <c r="A398" i="5" a="1"/>
  <c r="F399" i="5" a="1"/>
  <c r="B398" i="5" a="1"/>
  <c r="B398" i="5" l="1"/>
  <c r="F399" i="5"/>
  <c r="A398" i="5"/>
  <c r="C398" i="5"/>
  <c r="E398" i="5"/>
  <c r="C399" i="5" a="1"/>
  <c r="E399" i="5" a="1"/>
  <c r="B399" i="5" a="1"/>
  <c r="F400" i="5" a="1"/>
  <c r="A399" i="5" a="1"/>
  <c r="A399" i="5" l="1"/>
  <c r="F400" i="5"/>
  <c r="B399" i="5"/>
  <c r="E399" i="5"/>
  <c r="C399" i="5"/>
  <c r="B400" i="5" a="1"/>
  <c r="E400" i="5" a="1"/>
  <c r="F401" i="5" a="1"/>
  <c r="C400" i="5" a="1"/>
  <c r="A400" i="5" a="1"/>
  <c r="A400" i="5" l="1"/>
  <c r="C400" i="5"/>
  <c r="F401" i="5"/>
  <c r="E400" i="5"/>
  <c r="B400" i="5"/>
  <c r="A401" i="5" a="1"/>
  <c r="E401" i="5" a="1"/>
  <c r="B401" i="5" a="1"/>
  <c r="C401" i="5" a="1"/>
  <c r="F402" i="5" a="1"/>
  <c r="F402" i="5" l="1"/>
  <c r="C401" i="5"/>
  <c r="B401" i="5"/>
  <c r="E401" i="5"/>
  <c r="A401" i="5"/>
  <c r="B402" i="5" a="1"/>
  <c r="C402" i="5" a="1"/>
  <c r="F403" i="5" a="1"/>
  <c r="E402" i="5" a="1"/>
  <c r="A402" i="5" a="1"/>
  <c r="A402" i="5" l="1"/>
  <c r="E402" i="5"/>
  <c r="F403" i="5"/>
  <c r="C402" i="5"/>
  <c r="B402" i="5"/>
  <c r="C403" i="5" a="1"/>
  <c r="A403" i="5" a="1"/>
  <c r="B403" i="5" a="1"/>
  <c r="E403" i="5" a="1"/>
  <c r="F404" i="5" a="1"/>
  <c r="F404" i="5" l="1"/>
  <c r="E403" i="5"/>
  <c r="B403" i="5"/>
  <c r="A403" i="5"/>
  <c r="C403" i="5"/>
  <c r="E404" i="5" a="1"/>
  <c r="A404" i="5" a="1"/>
  <c r="F405" i="5" a="1"/>
  <c r="C404" i="5" a="1"/>
  <c r="B404" i="5" a="1"/>
  <c r="B404" i="5" l="1"/>
  <c r="C404" i="5"/>
  <c r="F405" i="5"/>
  <c r="A404" i="5"/>
  <c r="E404" i="5"/>
  <c r="F406" i="5" a="1"/>
  <c r="B405" i="5" a="1"/>
  <c r="A405" i="5" a="1"/>
  <c r="C405" i="5" a="1"/>
  <c r="E405" i="5" a="1"/>
  <c r="E405" i="5" l="1"/>
  <c r="C405" i="5"/>
  <c r="A405" i="5"/>
  <c r="B405" i="5"/>
  <c r="F406" i="5"/>
  <c r="A406" i="5" a="1"/>
  <c r="E406" i="5" a="1"/>
  <c r="B406" i="5" a="1"/>
  <c r="C406" i="5" a="1"/>
  <c r="F407" i="5" a="1"/>
  <c r="F407" i="5" l="1"/>
  <c r="C406" i="5"/>
  <c r="B406" i="5"/>
  <c r="E406" i="5"/>
  <c r="A406" i="5"/>
  <c r="C407" i="5" a="1"/>
  <c r="E407" i="5" a="1"/>
  <c r="F408" i="5" a="1"/>
  <c r="B407" i="5" a="1"/>
  <c r="A407" i="5" a="1"/>
  <c r="A407" i="5" l="1"/>
  <c r="B407" i="5"/>
  <c r="F408" i="5"/>
  <c r="E407" i="5"/>
  <c r="C407" i="5"/>
  <c r="B408" i="5" a="1"/>
  <c r="E408" i="5" a="1"/>
  <c r="C408" i="5" a="1"/>
  <c r="A408" i="5" a="1"/>
  <c r="F409" i="5" a="1"/>
  <c r="F409" i="5" l="1"/>
  <c r="A408" i="5"/>
  <c r="C408" i="5"/>
  <c r="E408" i="5"/>
  <c r="B408" i="5"/>
  <c r="F410" i="5" a="1"/>
  <c r="E409" i="5" a="1"/>
  <c r="C409" i="5" a="1"/>
  <c r="B409" i="5" a="1"/>
  <c r="A409" i="5" a="1"/>
  <c r="A409" i="5" l="1"/>
  <c r="B409" i="5"/>
  <c r="C409" i="5"/>
  <c r="E409" i="5"/>
  <c r="F410" i="5"/>
  <c r="A410" i="5" a="1"/>
  <c r="F411" i="5" a="1"/>
  <c r="C410" i="5" a="1"/>
  <c r="B410" i="5" a="1"/>
  <c r="E410" i="5" a="1"/>
  <c r="E410" i="5" l="1"/>
  <c r="B410" i="5"/>
  <c r="C410" i="5"/>
  <c r="F411" i="5"/>
  <c r="A410" i="5"/>
  <c r="B411" i="5" a="1"/>
  <c r="E411" i="5" a="1"/>
  <c r="A411" i="5" a="1"/>
  <c r="F412" i="5" a="1"/>
  <c r="C411" i="5" a="1"/>
  <c r="C411" i="5" l="1"/>
  <c r="F412" i="5"/>
  <c r="A411" i="5"/>
  <c r="E411" i="5"/>
  <c r="B411" i="5"/>
  <c r="B412" i="5" a="1"/>
  <c r="A412" i="5" a="1"/>
  <c r="F413" i="5" a="1"/>
  <c r="C412" i="5" a="1"/>
  <c r="E412" i="5" a="1"/>
  <c r="E412" i="5" l="1"/>
  <c r="C412" i="5"/>
  <c r="F413" i="5"/>
  <c r="A412" i="5"/>
  <c r="B412" i="5"/>
  <c r="F414" i="5" a="1"/>
  <c r="A413" i="5" a="1"/>
  <c r="B413" i="5" a="1"/>
  <c r="E413" i="5" a="1"/>
  <c r="C413" i="5" a="1"/>
  <c r="C413" i="5" l="1"/>
  <c r="E413" i="5"/>
  <c r="B413" i="5"/>
  <c r="A413" i="5"/>
  <c r="F414" i="5"/>
  <c r="B414" i="5" a="1"/>
  <c r="C414" i="5" a="1"/>
  <c r="A414" i="5" a="1"/>
  <c r="E414" i="5" a="1"/>
  <c r="F415" i="5" a="1"/>
  <c r="F415" i="5" l="1"/>
  <c r="E414" i="5"/>
  <c r="A414" i="5"/>
  <c r="C414" i="5"/>
  <c r="B414" i="5"/>
  <c r="E415" i="5" a="1"/>
  <c r="A415" i="5" a="1"/>
  <c r="C415" i="5" a="1"/>
  <c r="B415" i="5" a="1"/>
  <c r="F416" i="5" a="1"/>
  <c r="F416" i="5" l="1"/>
  <c r="B415" i="5"/>
  <c r="C415" i="5"/>
  <c r="A415" i="5"/>
  <c r="E415" i="5"/>
  <c r="C416" i="5" a="1"/>
  <c r="A416" i="5" a="1"/>
  <c r="F417" i="5" a="1"/>
  <c r="E416" i="5" a="1"/>
  <c r="B416" i="5" a="1"/>
  <c r="B416" i="5" l="1"/>
  <c r="E416" i="5"/>
  <c r="F417" i="5"/>
  <c r="A416" i="5"/>
  <c r="C416" i="5"/>
  <c r="A417" i="5" a="1"/>
  <c r="E417" i="5" a="1"/>
  <c r="F418" i="5" a="1"/>
  <c r="C417" i="5" a="1"/>
  <c r="B417" i="5" a="1"/>
  <c r="B417" i="5" l="1"/>
  <c r="C417" i="5"/>
  <c r="F418" i="5"/>
  <c r="E417" i="5"/>
  <c r="A417" i="5"/>
  <c r="F419" i="5" a="1"/>
  <c r="E418" i="5" a="1"/>
  <c r="C418" i="5" a="1"/>
  <c r="B418" i="5" a="1"/>
  <c r="A418" i="5" a="1"/>
  <c r="A418" i="5" l="1"/>
  <c r="B418" i="5"/>
  <c r="C418" i="5"/>
  <c r="E418" i="5"/>
  <c r="F419" i="5"/>
  <c r="C419" i="5" a="1"/>
  <c r="A419" i="5" a="1"/>
  <c r="E419" i="5" a="1"/>
  <c r="B419" i="5" a="1"/>
  <c r="F420" i="5" a="1"/>
  <c r="F420" i="5" l="1"/>
  <c r="B419" i="5"/>
  <c r="E419" i="5"/>
  <c r="A419" i="5"/>
  <c r="C419" i="5"/>
  <c r="F421" i="5" a="1"/>
  <c r="B420" i="5" a="1"/>
  <c r="E420" i="5" a="1"/>
  <c r="A420" i="5" a="1"/>
  <c r="C420" i="5" a="1"/>
  <c r="C420" i="5" l="1"/>
  <c r="A420" i="5"/>
  <c r="E420" i="5"/>
  <c r="B420" i="5"/>
  <c r="F421" i="5"/>
  <c r="B421" i="5" a="1"/>
  <c r="C421" i="5" a="1"/>
  <c r="F422" i="5" a="1"/>
  <c r="E421" i="5" a="1"/>
  <c r="A421" i="5" a="1"/>
  <c r="A421" i="5" l="1"/>
  <c r="E421" i="5"/>
  <c r="F422" i="5"/>
  <c r="C421" i="5"/>
  <c r="B421" i="5"/>
  <c r="E422" i="5" a="1"/>
  <c r="F423" i="5" a="1"/>
  <c r="A422" i="5" a="1"/>
  <c r="B422" i="5" a="1"/>
  <c r="C422" i="5" a="1"/>
  <c r="C422" i="5" l="1"/>
  <c r="B422" i="5"/>
  <c r="A422" i="5"/>
  <c r="F423" i="5"/>
  <c r="E422" i="5"/>
  <c r="B423" i="5" a="1"/>
  <c r="F424" i="5" a="1"/>
  <c r="C423" i="5" a="1"/>
  <c r="E423" i="5" a="1"/>
  <c r="A423" i="5" a="1"/>
  <c r="A423" i="5" l="1"/>
  <c r="E423" i="5"/>
  <c r="C423" i="5"/>
  <c r="F424" i="5"/>
  <c r="B423" i="5"/>
  <c r="A424" i="5" a="1"/>
  <c r="B424" i="5" a="1"/>
  <c r="F425" i="5" a="1"/>
  <c r="C424" i="5" a="1"/>
  <c r="E424" i="5" a="1"/>
  <c r="E424" i="5" l="1"/>
  <c r="C424" i="5"/>
  <c r="F425" i="5"/>
  <c r="B424" i="5"/>
  <c r="A424" i="5"/>
  <c r="C425" i="5" a="1"/>
  <c r="B425" i="5" a="1"/>
  <c r="F426" i="5" a="1"/>
  <c r="E425" i="5" a="1"/>
  <c r="A425" i="5" a="1"/>
  <c r="A425" i="5" l="1"/>
  <c r="E425" i="5"/>
  <c r="F426" i="5"/>
  <c r="B425" i="5"/>
  <c r="C425" i="5"/>
  <c r="B426" i="5" a="1"/>
  <c r="C426" i="5" a="1"/>
  <c r="E426" i="5" a="1"/>
  <c r="F427" i="5" a="1"/>
  <c r="A426" i="5" a="1"/>
  <c r="A426" i="5" l="1"/>
  <c r="F427" i="5"/>
  <c r="E426" i="5"/>
  <c r="C426" i="5"/>
  <c r="B426" i="5"/>
  <c r="B427" i="5" a="1"/>
  <c r="E427" i="5" a="1"/>
  <c r="C427" i="5" a="1"/>
  <c r="A427" i="5" a="1"/>
  <c r="F428" i="5" a="1"/>
  <c r="F428" i="5" l="1"/>
  <c r="A427" i="5"/>
  <c r="C427" i="5"/>
  <c r="E427" i="5"/>
  <c r="B427" i="5"/>
  <c r="A428" i="5" a="1"/>
  <c r="F429" i="5" a="1"/>
  <c r="B428" i="5" a="1"/>
  <c r="C428" i="5" a="1"/>
  <c r="E428" i="5" a="1"/>
  <c r="E428" i="5" l="1"/>
  <c r="C428" i="5"/>
  <c r="B428" i="5"/>
  <c r="F429" i="5"/>
  <c r="A428" i="5"/>
  <c r="C429" i="5" a="1"/>
  <c r="B429" i="5" a="1"/>
  <c r="A429" i="5" a="1"/>
  <c r="E429" i="5" a="1"/>
  <c r="F430" i="5" a="1"/>
  <c r="F430" i="5" l="1"/>
  <c r="E429" i="5"/>
  <c r="A429" i="5"/>
  <c r="B429" i="5"/>
  <c r="C429" i="5"/>
  <c r="A430" i="5" a="1"/>
  <c r="F431" i="5" a="1"/>
  <c r="B430" i="5" a="1"/>
  <c r="E430" i="5" a="1"/>
  <c r="C430" i="5" a="1"/>
  <c r="C430" i="5" l="1"/>
  <c r="E430" i="5"/>
  <c r="B430" i="5"/>
  <c r="F431" i="5"/>
  <c r="A430" i="5"/>
  <c r="C431" i="5" a="1"/>
  <c r="B431" i="5" a="1"/>
  <c r="A431" i="5" a="1"/>
  <c r="F432" i="5" a="1"/>
  <c r="E431" i="5" a="1"/>
  <c r="E431" i="5" l="1"/>
  <c r="F432" i="5"/>
  <c r="A431" i="5"/>
  <c r="B431" i="5"/>
  <c r="C431" i="5"/>
  <c r="C432" i="5" a="1"/>
  <c r="A432" i="5" a="1"/>
  <c r="B432" i="5" a="1"/>
  <c r="F433" i="5" a="1"/>
  <c r="E432" i="5" a="1"/>
  <c r="E432" i="5" l="1"/>
  <c r="F433" i="5"/>
  <c r="B432" i="5"/>
  <c r="A432" i="5"/>
  <c r="C432" i="5"/>
  <c r="C433" i="5" a="1"/>
  <c r="B433" i="5" a="1"/>
  <c r="E433" i="5" a="1"/>
  <c r="F434" i="5" a="1"/>
  <c r="A433" i="5" a="1"/>
  <c r="A433" i="5" l="1"/>
  <c r="F434" i="5"/>
  <c r="E433" i="5"/>
  <c r="B433" i="5"/>
  <c r="C433" i="5"/>
  <c r="A434" i="5" a="1"/>
  <c r="E434" i="5" a="1"/>
  <c r="B434" i="5" a="1"/>
  <c r="F435" i="5" a="1"/>
  <c r="C434" i="5" a="1"/>
  <c r="C434" i="5" l="1"/>
  <c r="F435" i="5"/>
  <c r="B434" i="5"/>
  <c r="E434" i="5"/>
  <c r="A434" i="5"/>
  <c r="E435" i="5" a="1"/>
  <c r="B435" i="5" a="1"/>
  <c r="F436" i="5" a="1"/>
  <c r="C435" i="5" a="1"/>
  <c r="A435" i="5" a="1"/>
  <c r="A435" i="5" l="1"/>
  <c r="C435" i="5"/>
  <c r="F436" i="5"/>
  <c r="B435" i="5"/>
  <c r="E435" i="5"/>
  <c r="A436" i="5" a="1"/>
  <c r="B436" i="5" a="1"/>
  <c r="C436" i="5" a="1"/>
  <c r="F437" i="5" a="1"/>
  <c r="E436" i="5" a="1"/>
  <c r="E436" i="5" l="1"/>
  <c r="F437" i="5"/>
  <c r="C436" i="5"/>
  <c r="B436" i="5"/>
  <c r="A436" i="5"/>
  <c r="E437" i="5" a="1"/>
  <c r="B437" i="5" a="1"/>
  <c r="C437" i="5" a="1"/>
  <c r="F438" i="5" a="1"/>
  <c r="A437" i="5" a="1"/>
  <c r="A437" i="5" l="1"/>
  <c r="F438" i="5"/>
  <c r="C437" i="5"/>
  <c r="B437" i="5"/>
  <c r="E437" i="5"/>
  <c r="E438" i="5" a="1"/>
  <c r="A438" i="5" a="1"/>
  <c r="C438" i="5" a="1"/>
  <c r="F439" i="5" a="1"/>
  <c r="B438" i="5" a="1"/>
  <c r="B438" i="5" l="1"/>
  <c r="F439" i="5"/>
  <c r="C438" i="5"/>
  <c r="A438" i="5"/>
  <c r="E438" i="5"/>
  <c r="B439" i="5" a="1"/>
  <c r="A439" i="5" a="1"/>
  <c r="E439" i="5" a="1"/>
  <c r="C439" i="5" a="1"/>
  <c r="F440" i="5" a="1"/>
  <c r="F440" i="5" l="1"/>
  <c r="C439" i="5"/>
  <c r="E439" i="5"/>
  <c r="A439" i="5"/>
  <c r="B439" i="5"/>
  <c r="E440" i="5" a="1"/>
  <c r="B440" i="5" a="1"/>
  <c r="C440" i="5" a="1"/>
  <c r="A440" i="5" a="1"/>
  <c r="F441" i="5" a="1"/>
  <c r="F441" i="5" l="1"/>
  <c r="A440" i="5"/>
  <c r="C440" i="5"/>
  <c r="B440" i="5"/>
  <c r="E440" i="5"/>
  <c r="F442" i="5" a="1"/>
  <c r="E441" i="5" a="1"/>
  <c r="C441" i="5" a="1"/>
  <c r="A441" i="5" a="1"/>
  <c r="B441" i="5" a="1"/>
  <c r="B441" i="5" l="1"/>
  <c r="A441" i="5"/>
  <c r="C441" i="5"/>
  <c r="E441" i="5"/>
  <c r="F442" i="5"/>
  <c r="C442" i="5" a="1"/>
  <c r="A442" i="5" a="1"/>
  <c r="F443" i="5" a="1"/>
  <c r="B442" i="5" a="1"/>
  <c r="E442" i="5" a="1"/>
  <c r="E442" i="5" l="1"/>
  <c r="B442" i="5"/>
  <c r="F443" i="5"/>
  <c r="A442" i="5"/>
  <c r="C442" i="5"/>
  <c r="F444" i="5" a="1"/>
  <c r="E443" i="5" a="1"/>
  <c r="C443" i="5" a="1"/>
  <c r="B443" i="5" a="1"/>
  <c r="A443" i="5" a="1"/>
  <c r="A443" i="5" l="1"/>
  <c r="B443" i="5"/>
  <c r="C443" i="5"/>
  <c r="E443" i="5"/>
  <c r="F444" i="5"/>
  <c r="C444" i="5" a="1"/>
  <c r="B444" i="5" a="1"/>
  <c r="E444" i="5" a="1"/>
  <c r="A444" i="5" a="1"/>
  <c r="F445" i="5" a="1"/>
  <c r="F445" i="5" l="1"/>
  <c r="A444" i="5"/>
  <c r="E444" i="5"/>
  <c r="B444" i="5"/>
  <c r="C444" i="5"/>
  <c r="C445" i="5" a="1"/>
  <c r="E445" i="5" a="1"/>
  <c r="A445" i="5" a="1"/>
  <c r="B445" i="5" a="1"/>
  <c r="F446" i="5" a="1"/>
  <c r="F446" i="5" l="1"/>
  <c r="B445" i="5"/>
  <c r="A445" i="5"/>
  <c r="E445" i="5"/>
  <c r="C445" i="5"/>
  <c r="C446" i="5" a="1"/>
  <c r="A446" i="5" a="1"/>
  <c r="E446" i="5" a="1"/>
  <c r="B446" i="5" a="1"/>
  <c r="F447" i="5" a="1"/>
  <c r="F447" i="5" l="1"/>
  <c r="B446" i="5"/>
  <c r="E446" i="5"/>
  <c r="A446" i="5"/>
  <c r="C446" i="5"/>
  <c r="C447" i="5" a="1"/>
  <c r="B447" i="5" a="1"/>
  <c r="A447" i="5" a="1"/>
  <c r="F448" i="5" a="1"/>
  <c r="E447" i="5" a="1"/>
  <c r="E447" i="5" l="1"/>
  <c r="F448" i="5"/>
  <c r="A447" i="5"/>
  <c r="B447" i="5"/>
  <c r="C447" i="5"/>
  <c r="B448" i="5" a="1"/>
  <c r="F449" i="5" a="1"/>
  <c r="E448" i="5" a="1"/>
  <c r="A448" i="5" a="1"/>
  <c r="C448" i="5" a="1"/>
  <c r="C448" i="5" l="1"/>
  <c r="A448" i="5"/>
  <c r="E448" i="5"/>
  <c r="F449" i="5"/>
  <c r="B448" i="5"/>
  <c r="C449" i="5" a="1"/>
  <c r="E449" i="5" a="1"/>
  <c r="A449" i="5" a="1"/>
  <c r="F450" i="5" a="1"/>
  <c r="B449" i="5" a="1"/>
  <c r="B449" i="5" l="1"/>
  <c r="F450" i="5"/>
  <c r="A449" i="5"/>
  <c r="E449" i="5"/>
  <c r="C449" i="5"/>
  <c r="A450" i="5" a="1"/>
  <c r="E450" i="5" a="1"/>
  <c r="B450" i="5" a="1"/>
  <c r="C450" i="5" a="1"/>
  <c r="F451" i="5" a="1"/>
  <c r="F451" i="5" l="1"/>
  <c r="C450" i="5"/>
  <c r="B450" i="5"/>
  <c r="E450" i="5"/>
  <c r="A450" i="5"/>
  <c r="A451" i="5" a="1"/>
  <c r="E451" i="5" a="1"/>
  <c r="B451" i="5" a="1"/>
  <c r="F452" i="5" a="1"/>
  <c r="C451" i="5" a="1"/>
  <c r="C451" i="5" l="1"/>
  <c r="F452" i="5"/>
  <c r="B451" i="5"/>
  <c r="E451" i="5"/>
  <c r="A451" i="5"/>
  <c r="A452" i="5" a="1"/>
  <c r="F453" i="5" a="1"/>
  <c r="E452" i="5" a="1"/>
  <c r="C452" i="5" a="1"/>
  <c r="B452" i="5" a="1"/>
  <c r="B452" i="5" l="1"/>
  <c r="C452" i="5"/>
  <c r="E452" i="5"/>
  <c r="F453" i="5"/>
  <c r="A452" i="5"/>
  <c r="C453" i="5" a="1"/>
  <c r="B453" i="5" a="1"/>
  <c r="E453" i="5" a="1"/>
  <c r="F454" i="5" a="1"/>
  <c r="A453" i="5" a="1"/>
  <c r="A453" i="5" l="1"/>
  <c r="F454" i="5"/>
  <c r="E453" i="5"/>
  <c r="B453" i="5"/>
  <c r="C453" i="5"/>
  <c r="C454" i="5" a="1"/>
  <c r="F455" i="5" a="1"/>
  <c r="A454" i="5" a="1"/>
  <c r="E454" i="5" a="1"/>
  <c r="B454" i="5" a="1"/>
  <c r="B454" i="5" l="1"/>
  <c r="E454" i="5"/>
  <c r="A454" i="5"/>
  <c r="F455" i="5"/>
  <c r="C454" i="5"/>
  <c r="B455" i="5" a="1"/>
  <c r="F456" i="5" a="1"/>
  <c r="C455" i="5" a="1"/>
  <c r="A455" i="5" a="1"/>
  <c r="E455" i="5" a="1"/>
  <c r="E455" i="5" l="1"/>
  <c r="A455" i="5"/>
  <c r="C455" i="5"/>
  <c r="F456" i="5"/>
  <c r="B455" i="5"/>
  <c r="C456" i="5" a="1"/>
  <c r="F457" i="5" a="1"/>
  <c r="E456" i="5" a="1"/>
  <c r="A456" i="5" a="1"/>
  <c r="B456" i="5" a="1"/>
  <c r="B456" i="5" l="1"/>
  <c r="A456" i="5"/>
  <c r="E456" i="5"/>
  <c r="F457" i="5"/>
  <c r="C456" i="5"/>
  <c r="B457" i="5" a="1"/>
  <c r="A457" i="5" a="1"/>
  <c r="C457" i="5" a="1"/>
  <c r="F458" i="5" a="1"/>
  <c r="E457" i="5" a="1"/>
  <c r="E457" i="5" l="1"/>
  <c r="F458" i="5"/>
  <c r="C457" i="5"/>
  <c r="A457" i="5"/>
  <c r="B457" i="5"/>
  <c r="E458" i="5" a="1"/>
  <c r="B458" i="5" a="1"/>
  <c r="F459" i="5" a="1"/>
  <c r="A458" i="5" a="1"/>
  <c r="C458" i="5" a="1"/>
  <c r="C458" i="5" l="1"/>
  <c r="A458" i="5"/>
  <c r="F459" i="5"/>
  <c r="B458" i="5"/>
  <c r="E458" i="5"/>
  <c r="F460" i="5" a="1"/>
  <c r="A459" i="5" a="1"/>
  <c r="E459" i="5" a="1"/>
  <c r="B459" i="5" a="1"/>
  <c r="C459" i="5" a="1"/>
  <c r="C459" i="5" l="1"/>
  <c r="B459" i="5"/>
  <c r="E459" i="5"/>
  <c r="A459" i="5"/>
  <c r="F460" i="5"/>
  <c r="C460" i="5" a="1"/>
  <c r="F461" i="5" a="1"/>
  <c r="E460" i="5" a="1"/>
  <c r="A460" i="5" a="1"/>
  <c r="B460" i="5" a="1"/>
  <c r="B460" i="5" l="1"/>
  <c r="A460" i="5"/>
  <c r="E460" i="5"/>
  <c r="F461" i="5"/>
  <c r="C460" i="5"/>
  <c r="F462" i="5" a="1"/>
  <c r="C461" i="5" a="1"/>
  <c r="B461" i="5" a="1"/>
  <c r="E461" i="5" a="1"/>
  <c r="A461" i="5" a="1"/>
  <c r="A461" i="5" l="1"/>
  <c r="E461" i="5"/>
  <c r="B461" i="5"/>
  <c r="C461" i="5"/>
  <c r="F462" i="5"/>
  <c r="A462" i="5" a="1"/>
  <c r="C462" i="5" a="1"/>
  <c r="B462" i="5" a="1"/>
  <c r="E462" i="5" a="1"/>
  <c r="F463" i="5" a="1"/>
  <c r="F463" i="5" l="1"/>
  <c r="E462" i="5"/>
  <c r="B462" i="5"/>
  <c r="C462" i="5"/>
  <c r="A462" i="5"/>
  <c r="C463" i="5" a="1"/>
  <c r="B463" i="5" a="1"/>
  <c r="A463" i="5" a="1"/>
  <c r="F464" i="5" a="1"/>
  <c r="E463" i="5" a="1"/>
  <c r="E463" i="5" l="1"/>
  <c r="F464" i="5"/>
  <c r="A463" i="5"/>
  <c r="B463" i="5"/>
  <c r="C463" i="5"/>
  <c r="C464" i="5" a="1"/>
  <c r="E464" i="5" a="1"/>
  <c r="F465" i="5" a="1"/>
  <c r="B464" i="5" a="1"/>
  <c r="A464" i="5" a="1"/>
  <c r="A464" i="5" l="1"/>
  <c r="B464" i="5"/>
  <c r="F465" i="5"/>
  <c r="E464" i="5"/>
  <c r="C464" i="5"/>
  <c r="F466" i="5" a="1"/>
  <c r="A465" i="5" a="1"/>
  <c r="E465" i="5" a="1"/>
  <c r="B465" i="5" a="1"/>
  <c r="C465" i="5" a="1"/>
  <c r="C465" i="5" l="1"/>
  <c r="B465" i="5"/>
  <c r="E465" i="5"/>
  <c r="A465" i="5"/>
  <c r="F466" i="5"/>
  <c r="E466" i="5" a="1"/>
  <c r="C466" i="5" a="1"/>
  <c r="A466" i="5" a="1"/>
  <c r="B466" i="5" a="1"/>
  <c r="F467" i="5" a="1"/>
  <c r="F467" i="5" l="1"/>
  <c r="B466" i="5"/>
  <c r="A466" i="5"/>
  <c r="C466" i="5"/>
  <c r="E466" i="5"/>
  <c r="E467" i="5" a="1"/>
  <c r="C467" i="5" a="1"/>
  <c r="A467" i="5" a="1"/>
  <c r="B467" i="5" a="1"/>
  <c r="F468" i="5" a="1"/>
  <c r="F468" i="5" l="1"/>
  <c r="B467" i="5"/>
  <c r="A467" i="5"/>
  <c r="C467" i="5"/>
  <c r="E467" i="5"/>
  <c r="E468" i="5" a="1"/>
  <c r="C468" i="5" a="1"/>
  <c r="F469" i="5" a="1"/>
  <c r="B468" i="5" a="1"/>
  <c r="A468" i="5" a="1"/>
  <c r="A468" i="5" l="1"/>
  <c r="B468" i="5"/>
  <c r="F469" i="5"/>
  <c r="C468" i="5"/>
  <c r="E468" i="5"/>
  <c r="C469" i="5" a="1"/>
  <c r="B469" i="5" a="1"/>
  <c r="F470" i="5" a="1"/>
  <c r="A469" i="5" a="1"/>
  <c r="E469" i="5" a="1"/>
  <c r="E469" i="5" l="1"/>
  <c r="A469" i="5"/>
  <c r="F470" i="5"/>
  <c r="B469" i="5"/>
  <c r="C469" i="5"/>
  <c r="A470" i="5" a="1"/>
  <c r="F471" i="5" a="1"/>
  <c r="C470" i="5" a="1"/>
  <c r="B470" i="5" a="1"/>
  <c r="E470" i="5" a="1"/>
  <c r="E470" i="5" l="1"/>
  <c r="B470" i="5"/>
  <c r="C470" i="5"/>
  <c r="F471" i="5"/>
  <c r="A470" i="5"/>
  <c r="B471" i="5" a="1"/>
  <c r="E471" i="5" a="1"/>
  <c r="C471" i="5" a="1"/>
  <c r="F472" i="5" a="1"/>
  <c r="A471" i="5" a="1"/>
  <c r="A471" i="5" l="1"/>
  <c r="F472" i="5"/>
  <c r="C471" i="5"/>
  <c r="E471" i="5"/>
  <c r="B471" i="5"/>
  <c r="B472" i="5" a="1"/>
  <c r="C472" i="5" a="1"/>
  <c r="E472" i="5" a="1"/>
  <c r="F473" i="5" a="1"/>
  <c r="A472" i="5" a="1"/>
  <c r="A472" i="5" l="1"/>
  <c r="F473" i="5"/>
  <c r="E472" i="5"/>
  <c r="C472" i="5"/>
  <c r="B472" i="5"/>
  <c r="F474" i="5" a="1"/>
  <c r="E473" i="5" a="1"/>
  <c r="C473" i="5" a="1"/>
  <c r="A473" i="5" a="1"/>
  <c r="B473" i="5" a="1"/>
  <c r="B473" i="5" l="1"/>
  <c r="A473" i="5"/>
  <c r="C473" i="5"/>
  <c r="E473" i="5"/>
  <c r="F474" i="5"/>
  <c r="E474" i="5" a="1"/>
  <c r="B474" i="5" a="1"/>
  <c r="A474" i="5" a="1"/>
  <c r="F475" i="5" a="1"/>
  <c r="C474" i="5" a="1"/>
  <c r="C474" i="5" l="1"/>
  <c r="F475" i="5"/>
  <c r="A474" i="5"/>
  <c r="B474" i="5"/>
  <c r="E474" i="5"/>
  <c r="C475" i="5" a="1"/>
  <c r="A475" i="5" a="1"/>
  <c r="E475" i="5" a="1"/>
  <c r="F476" i="5" a="1"/>
  <c r="B475" i="5" a="1"/>
  <c r="B475" i="5" l="1"/>
  <c r="F476" i="5"/>
  <c r="E475" i="5"/>
  <c r="A475" i="5"/>
  <c r="C475" i="5"/>
  <c r="E476" i="5" a="1"/>
  <c r="F477" i="5" a="1"/>
  <c r="B476" i="5" a="1"/>
  <c r="A476" i="5" a="1"/>
  <c r="C476" i="5" a="1"/>
  <c r="C476" i="5" l="1"/>
  <c r="A476" i="5"/>
  <c r="B476" i="5"/>
  <c r="F477" i="5"/>
  <c r="E476" i="5"/>
  <c r="C477" i="5" a="1"/>
  <c r="E477" i="5" a="1"/>
  <c r="F478" i="5" a="1"/>
  <c r="A477" i="5" a="1"/>
  <c r="B477" i="5" a="1"/>
  <c r="B477" i="5" l="1"/>
  <c r="A477" i="5"/>
  <c r="F478" i="5"/>
  <c r="E477" i="5"/>
  <c r="C477" i="5"/>
  <c r="E478" i="5" a="1"/>
  <c r="B478" i="5" a="1"/>
  <c r="A478" i="5" a="1"/>
  <c r="F479" i="5" a="1"/>
  <c r="C478" i="5" a="1"/>
  <c r="C478" i="5" l="1"/>
  <c r="F479" i="5"/>
  <c r="A478" i="5"/>
  <c r="B478" i="5"/>
  <c r="E478" i="5"/>
  <c r="A479" i="5" a="1"/>
  <c r="C479" i="5" a="1"/>
  <c r="F480" i="5" a="1"/>
  <c r="B479" i="5" a="1"/>
  <c r="E479" i="5" a="1"/>
  <c r="E479" i="5" l="1"/>
  <c r="B479" i="5"/>
  <c r="F480" i="5"/>
  <c r="C479" i="5"/>
  <c r="A479" i="5"/>
  <c r="B480" i="5" a="1"/>
  <c r="E480" i="5" a="1"/>
  <c r="C480" i="5" a="1"/>
  <c r="A480" i="5" a="1"/>
  <c r="F481" i="5" a="1"/>
  <c r="F481" i="5" l="1"/>
  <c r="A480" i="5"/>
  <c r="C480" i="5"/>
  <c r="E480" i="5"/>
  <c r="B480" i="5"/>
  <c r="C481" i="5" a="1"/>
  <c r="B481" i="5" a="1"/>
  <c r="E481" i="5" a="1"/>
  <c r="A481" i="5" a="1"/>
  <c r="F482" i="5" a="1"/>
  <c r="F482" i="5" l="1"/>
  <c r="A481" i="5"/>
  <c r="E481" i="5"/>
  <c r="B481" i="5"/>
  <c r="C481" i="5"/>
  <c r="E482" i="5" a="1"/>
  <c r="F483" i="5" a="1"/>
  <c r="C482" i="5" a="1"/>
  <c r="A482" i="5" a="1"/>
  <c r="B482" i="5" a="1"/>
  <c r="B482" i="5" l="1"/>
  <c r="A482" i="5"/>
  <c r="C482" i="5"/>
  <c r="F483" i="5"/>
  <c r="E482" i="5"/>
  <c r="B483" i="5" a="1"/>
  <c r="C483" i="5" a="1"/>
  <c r="F484" i="5" a="1"/>
  <c r="E483" i="5" a="1"/>
  <c r="A483" i="5" a="1"/>
  <c r="A483" i="5" l="1"/>
  <c r="E483" i="5"/>
  <c r="F484" i="5"/>
  <c r="C483" i="5"/>
  <c r="B483" i="5"/>
  <c r="B484" i="5" a="1"/>
  <c r="F485" i="5" a="1"/>
  <c r="E484" i="5" a="1"/>
  <c r="C484" i="5" a="1"/>
  <c r="A484" i="5" a="1"/>
  <c r="A484" i="5" l="1"/>
  <c r="C484" i="5"/>
  <c r="E484" i="5"/>
  <c r="F485" i="5"/>
  <c r="B484" i="5"/>
  <c r="B485" i="5" a="1"/>
  <c r="F486" i="5" a="1"/>
  <c r="C485" i="5" a="1"/>
  <c r="E485" i="5" a="1"/>
  <c r="A485" i="5" a="1"/>
  <c r="A485" i="5" l="1"/>
  <c r="E485" i="5"/>
  <c r="C485" i="5"/>
  <c r="F486" i="5"/>
  <c r="B485" i="5"/>
  <c r="B486" i="5" a="1"/>
  <c r="F487" i="5" a="1"/>
  <c r="A486" i="5" a="1"/>
  <c r="E486" i="5" a="1"/>
  <c r="C486" i="5" a="1"/>
  <c r="C486" i="5" l="1"/>
  <c r="E486" i="5"/>
  <c r="A486" i="5"/>
  <c r="F487" i="5"/>
  <c r="B486" i="5"/>
  <c r="C487" i="5" a="1"/>
  <c r="F488" i="5" a="1"/>
  <c r="A487" i="5" a="1"/>
  <c r="E487" i="5" a="1"/>
  <c r="B487" i="5" a="1"/>
  <c r="B487" i="5" l="1"/>
  <c r="E487" i="5"/>
  <c r="A487" i="5"/>
  <c r="F488" i="5"/>
  <c r="C487" i="5"/>
  <c r="A488" i="5" a="1"/>
  <c r="C488" i="5" a="1"/>
  <c r="B488" i="5" a="1"/>
  <c r="E488" i="5" a="1"/>
  <c r="F489" i="5" a="1"/>
  <c r="F489" i="5" l="1"/>
  <c r="E488" i="5"/>
  <c r="B488" i="5"/>
  <c r="C488" i="5"/>
  <c r="A488" i="5"/>
  <c r="B489" i="5" a="1"/>
  <c r="F490" i="5" a="1"/>
  <c r="E489" i="5" a="1"/>
  <c r="A489" i="5" a="1"/>
  <c r="C489" i="5" a="1"/>
  <c r="C489" i="5" l="1"/>
  <c r="A489" i="5"/>
  <c r="E489" i="5"/>
  <c r="F490" i="5"/>
  <c r="B489" i="5"/>
  <c r="A490" i="5" a="1"/>
  <c r="F491" i="5" a="1"/>
  <c r="C490" i="5" a="1"/>
  <c r="E490" i="5" a="1"/>
  <c r="B490" i="5" a="1"/>
  <c r="B490" i="5" l="1"/>
  <c r="E490" i="5"/>
  <c r="C490" i="5"/>
  <c r="F491" i="5"/>
  <c r="A490" i="5"/>
  <c r="A491" i="5" a="1"/>
  <c r="C491" i="5" a="1"/>
  <c r="F492" i="5" a="1"/>
  <c r="B491" i="5" a="1"/>
  <c r="E491" i="5" a="1"/>
  <c r="E491" i="5" l="1"/>
  <c r="B491" i="5"/>
  <c r="F492" i="5"/>
  <c r="C491" i="5"/>
  <c r="A491" i="5"/>
  <c r="A492" i="5" a="1"/>
  <c r="B492" i="5" a="1"/>
  <c r="C492" i="5" a="1"/>
  <c r="E492" i="5" a="1"/>
  <c r="F493" i="5" a="1"/>
  <c r="F493" i="5" l="1"/>
  <c r="E492" i="5"/>
  <c r="C492" i="5"/>
  <c r="B492" i="5"/>
  <c r="A492" i="5"/>
  <c r="E493" i="5" a="1"/>
  <c r="A493" i="5" a="1"/>
  <c r="B493" i="5" a="1"/>
  <c r="C493" i="5" a="1"/>
  <c r="F494" i="5" a="1"/>
  <c r="F494" i="5" l="1"/>
  <c r="C493" i="5"/>
  <c r="B493" i="5"/>
  <c r="A493" i="5"/>
  <c r="E493" i="5"/>
  <c r="B494" i="5" a="1"/>
  <c r="A494" i="5" a="1"/>
  <c r="C494" i="5" a="1"/>
  <c r="E494" i="5" a="1"/>
  <c r="F495" i="5" a="1"/>
  <c r="F495" i="5" l="1"/>
  <c r="E494" i="5"/>
  <c r="C494" i="5"/>
  <c r="A494" i="5"/>
  <c r="B494" i="5"/>
  <c r="C495" i="5" a="1"/>
  <c r="E495" i="5" a="1"/>
  <c r="B495" i="5" a="1"/>
  <c r="A495" i="5" a="1"/>
  <c r="F496" i="5" a="1"/>
  <c r="F496" i="5" l="1"/>
  <c r="A495" i="5"/>
  <c r="B495" i="5"/>
  <c r="E495" i="5"/>
  <c r="C495" i="5"/>
  <c r="E496" i="5" a="1"/>
  <c r="A496" i="5" a="1"/>
  <c r="F497" i="5" a="1"/>
  <c r="C496" i="5" a="1"/>
  <c r="B496" i="5" a="1"/>
  <c r="B496" i="5" l="1"/>
  <c r="C496" i="5"/>
  <c r="F497" i="5"/>
  <c r="A496" i="5"/>
  <c r="E496" i="5"/>
  <c r="B497" i="5" a="1"/>
  <c r="A497" i="5" a="1"/>
  <c r="F498" i="5" a="1"/>
  <c r="E497" i="5" a="1"/>
  <c r="C497" i="5" a="1"/>
  <c r="C497" i="5" l="1"/>
  <c r="E497" i="5"/>
  <c r="F498" i="5"/>
  <c r="A497" i="5"/>
  <c r="B497" i="5"/>
  <c r="E498" i="5" a="1"/>
  <c r="A498" i="5" a="1"/>
  <c r="F499" i="5" a="1"/>
  <c r="C498" i="5" a="1"/>
  <c r="B498" i="5" a="1"/>
  <c r="B498" i="5" l="1"/>
  <c r="C498" i="5"/>
  <c r="F499" i="5"/>
  <c r="A498" i="5"/>
  <c r="E498" i="5"/>
  <c r="E499" i="5" a="1"/>
  <c r="B499" i="5" a="1"/>
  <c r="C499" i="5" a="1"/>
  <c r="F500" i="5" a="1"/>
  <c r="A499" i="5" a="1"/>
  <c r="A499" i="5" l="1"/>
  <c r="F500" i="5"/>
  <c r="C499" i="5"/>
  <c r="B499" i="5"/>
  <c r="E499" i="5"/>
  <c r="C500" i="5" a="1"/>
  <c r="F501" i="5" a="1"/>
  <c r="A500" i="5" a="1"/>
  <c r="E500" i="5" a="1"/>
  <c r="B500" i="5" a="1"/>
  <c r="B500" i="5" l="1"/>
  <c r="E500" i="5"/>
  <c r="A500" i="5"/>
  <c r="F501" i="5"/>
  <c r="C500" i="5"/>
  <c r="C501" i="5" a="1"/>
  <c r="A501" i="5" a="1"/>
  <c r="E501" i="5" a="1"/>
  <c r="B501" i="5" a="1"/>
  <c r="F502" i="5" a="1"/>
  <c r="F502" i="5" l="1"/>
  <c r="B501" i="5"/>
  <c r="E501" i="5"/>
  <c r="A501" i="5"/>
  <c r="C501" i="5"/>
  <c r="C502" i="5" a="1"/>
  <c r="E502" i="5" a="1"/>
  <c r="F503" i="5" a="1"/>
  <c r="B502" i="5" a="1"/>
  <c r="A502" i="5" a="1"/>
  <c r="A502" i="5" l="1"/>
  <c r="B502" i="5"/>
  <c r="F503" i="5"/>
  <c r="E502" i="5"/>
  <c r="C502" i="5"/>
  <c r="E503" i="5" a="1"/>
  <c r="A503" i="5" a="1"/>
  <c r="B503" i="5" a="1"/>
  <c r="C503" i="5" a="1"/>
  <c r="F504" i="5" a="1"/>
  <c r="F504" i="5" l="1"/>
  <c r="C503" i="5"/>
  <c r="B503" i="5"/>
  <c r="A503" i="5"/>
  <c r="E503" i="5"/>
  <c r="C504" i="5" a="1"/>
  <c r="B504" i="5" a="1"/>
  <c r="E504" i="5" a="1"/>
  <c r="A504" i="5" a="1"/>
  <c r="F505" i="5" a="1"/>
  <c r="F505" i="5" l="1"/>
  <c r="A504" i="5"/>
  <c r="E504" i="5"/>
  <c r="B504" i="5"/>
  <c r="C504" i="5"/>
  <c r="F506" i="5" a="1"/>
  <c r="A505" i="5" a="1"/>
  <c r="B505" i="5" a="1"/>
  <c r="C505" i="5" a="1"/>
  <c r="E505" i="5" a="1"/>
  <c r="E505" i="5" l="1"/>
  <c r="C505" i="5"/>
  <c r="B505" i="5"/>
  <c r="A505" i="5"/>
  <c r="F506" i="5"/>
  <c r="C506" i="5" a="1"/>
  <c r="F507" i="5" a="1"/>
  <c r="B506" i="5" a="1"/>
  <c r="A506" i="5" a="1"/>
  <c r="E506" i="5" a="1"/>
  <c r="E506" i="5" l="1"/>
  <c r="A506" i="5"/>
  <c r="B506" i="5"/>
  <c r="F507" i="5"/>
  <c r="C506" i="5"/>
  <c r="A507" i="5" a="1"/>
  <c r="C507" i="5" a="1"/>
  <c r="B507" i="5" a="1"/>
  <c r="E507" i="5" a="1"/>
  <c r="F508" i="5" a="1"/>
  <c r="F508" i="5" l="1"/>
  <c r="E507" i="5"/>
  <c r="B507" i="5"/>
  <c r="C507" i="5"/>
  <c r="A507" i="5"/>
  <c r="A508" i="5" a="1"/>
  <c r="C508" i="5" a="1"/>
  <c r="B508" i="5" a="1"/>
  <c r="F509" i="5" a="1"/>
  <c r="E508" i="5" a="1"/>
  <c r="E508" i="5" l="1"/>
  <c r="F509" i="5"/>
  <c r="B508" i="5"/>
  <c r="C508" i="5"/>
  <c r="A508" i="5"/>
  <c r="E509" i="5" a="1"/>
  <c r="A509" i="5" a="1"/>
  <c r="B509" i="5" a="1"/>
  <c r="C509" i="5" a="1"/>
  <c r="F510" i="5" a="1"/>
  <c r="F510" i="5" l="1"/>
  <c r="C509" i="5"/>
  <c r="B509" i="5"/>
  <c r="A509" i="5"/>
  <c r="E509" i="5"/>
  <c r="E510" i="5" a="1"/>
  <c r="F511" i="5" a="1"/>
  <c r="C510" i="5" a="1"/>
  <c r="B510" i="5" a="1"/>
  <c r="A510" i="5" a="1"/>
  <c r="A510" i="5" l="1"/>
  <c r="B510" i="5"/>
  <c r="C510" i="5"/>
  <c r="F511" i="5"/>
  <c r="E510" i="5"/>
  <c r="E511" i="5" a="1"/>
  <c r="C511" i="5" a="1"/>
  <c r="A511" i="5" a="1"/>
  <c r="F512" i="5" a="1"/>
  <c r="B511" i="5" a="1"/>
  <c r="B511" i="5" l="1"/>
  <c r="F512" i="5"/>
  <c r="A511" i="5"/>
  <c r="C511" i="5"/>
  <c r="E511" i="5"/>
  <c r="E512" i="5" a="1"/>
  <c r="A512" i="5" a="1"/>
  <c r="F513" i="5" a="1"/>
  <c r="C512" i="5" a="1"/>
  <c r="B512" i="5" a="1"/>
  <c r="B512" i="5" l="1"/>
  <c r="C512" i="5"/>
  <c r="F513" i="5"/>
  <c r="A512" i="5"/>
  <c r="E512" i="5"/>
  <c r="C513" i="5" a="1"/>
  <c r="B513" i="5" a="1"/>
  <c r="A513" i="5" a="1"/>
  <c r="E513" i="5" a="1"/>
  <c r="F514" i="5" a="1"/>
  <c r="F514" i="5" l="1"/>
  <c r="E513" i="5"/>
  <c r="A513" i="5"/>
  <c r="B513" i="5"/>
  <c r="C513" i="5"/>
  <c r="B514" i="5" a="1"/>
  <c r="C514" i="5" a="1"/>
  <c r="A514" i="5" a="1"/>
  <c r="F515" i="5" a="1"/>
  <c r="E514" i="5" a="1"/>
  <c r="E514" i="5" l="1"/>
  <c r="F515" i="5"/>
  <c r="A514" i="5"/>
  <c r="C514" i="5"/>
  <c r="B514" i="5"/>
  <c r="A515" i="5" a="1"/>
  <c r="C515" i="5" a="1"/>
  <c r="F516" i="5" a="1"/>
  <c r="B515" i="5" a="1"/>
  <c r="E515" i="5" a="1"/>
  <c r="E515" i="5" l="1"/>
  <c r="B515" i="5"/>
  <c r="F516" i="5"/>
  <c r="C515" i="5"/>
  <c r="A515" i="5"/>
  <c r="A516" i="5" a="1"/>
  <c r="B516" i="5" a="1"/>
  <c r="C516" i="5" a="1"/>
  <c r="F517" i="5" a="1"/>
  <c r="E516" i="5" a="1"/>
  <c r="E516" i="5" l="1"/>
  <c r="F517" i="5"/>
  <c r="C516" i="5"/>
  <c r="B516" i="5"/>
  <c r="A516" i="5"/>
  <c r="C517" i="5" a="1"/>
  <c r="B517" i="5" a="1"/>
  <c r="A517" i="5" a="1"/>
  <c r="E517" i="5" a="1"/>
  <c r="F518" i="5" a="1"/>
  <c r="F518" i="5" l="1"/>
  <c r="E517" i="5"/>
  <c r="A517" i="5"/>
  <c r="B517" i="5"/>
  <c r="C517" i="5"/>
  <c r="B518" i="5" a="1"/>
  <c r="F519" i="5" a="1"/>
  <c r="C518" i="5" a="1"/>
  <c r="E518" i="5" a="1"/>
  <c r="A518" i="5" a="1"/>
  <c r="A518" i="5" l="1"/>
  <c r="E518" i="5"/>
  <c r="C518" i="5"/>
  <c r="F519" i="5"/>
  <c r="B518" i="5"/>
  <c r="E519" i="5" a="1"/>
  <c r="C519" i="5" a="1"/>
  <c r="F520" i="5" a="1"/>
  <c r="A519" i="5" a="1"/>
  <c r="B519" i="5" a="1"/>
  <c r="B519" i="5" l="1"/>
  <c r="A519" i="5"/>
  <c r="F520" i="5"/>
  <c r="C519" i="5"/>
  <c r="E519" i="5"/>
  <c r="B520" i="5" a="1"/>
  <c r="F521" i="5" a="1"/>
  <c r="C520" i="5" a="1"/>
  <c r="A520" i="5" a="1"/>
  <c r="E520" i="5" a="1"/>
  <c r="E520" i="5" l="1"/>
  <c r="A520" i="5"/>
  <c r="C520" i="5"/>
  <c r="F521" i="5"/>
  <c r="B520" i="5"/>
  <c r="F522" i="5" a="1"/>
  <c r="A521" i="5" a="1"/>
  <c r="C521" i="5" a="1"/>
  <c r="B521" i="5" a="1"/>
  <c r="E521" i="5" a="1"/>
  <c r="E521" i="5" l="1"/>
  <c r="B521" i="5"/>
  <c r="C521" i="5"/>
  <c r="A521" i="5"/>
  <c r="F522" i="5"/>
  <c r="A522" i="5" a="1"/>
  <c r="E522" i="5" a="1"/>
  <c r="B522" i="5" a="1"/>
  <c r="F523" i="5" a="1"/>
  <c r="C522" i="5" a="1"/>
  <c r="C522" i="5" l="1"/>
  <c r="F523" i="5"/>
  <c r="B522" i="5"/>
  <c r="E522" i="5"/>
  <c r="A522" i="5"/>
  <c r="F524" i="5" a="1"/>
  <c r="B523" i="5" a="1"/>
  <c r="E523" i="5" a="1"/>
  <c r="A523" i="5" a="1"/>
  <c r="C523" i="5" a="1"/>
  <c r="C523" i="5" l="1"/>
  <c r="A523" i="5"/>
  <c r="E523" i="5"/>
  <c r="B523" i="5"/>
  <c r="F524" i="5"/>
  <c r="B524" i="5" a="1"/>
  <c r="A524" i="5" a="1"/>
  <c r="C524" i="5" a="1"/>
  <c r="F525" i="5" a="1"/>
  <c r="E524" i="5" a="1"/>
  <c r="E524" i="5" l="1"/>
  <c r="F525" i="5"/>
  <c r="C524" i="5"/>
  <c r="A524" i="5"/>
  <c r="B524" i="5"/>
  <c r="C525" i="5" a="1"/>
  <c r="A525" i="5" a="1"/>
  <c r="F526" i="5" a="1"/>
  <c r="B525" i="5" a="1"/>
  <c r="E525" i="5" a="1"/>
  <c r="E525" i="5" l="1"/>
  <c r="B525" i="5"/>
  <c r="F526" i="5"/>
  <c r="A525" i="5"/>
  <c r="C525" i="5"/>
  <c r="B526" i="5" a="1"/>
  <c r="F527" i="5" a="1"/>
  <c r="C526" i="5" a="1"/>
  <c r="E526" i="5" a="1"/>
  <c r="A526" i="5" a="1"/>
  <c r="A526" i="5" l="1"/>
  <c r="E526" i="5"/>
  <c r="C526" i="5"/>
  <c r="F527" i="5"/>
  <c r="B526" i="5"/>
  <c r="F528" i="5" a="1"/>
  <c r="A527" i="5" a="1"/>
  <c r="B527" i="5" a="1"/>
  <c r="C527" i="5" a="1"/>
  <c r="E527" i="5" a="1"/>
  <c r="E527" i="5" l="1"/>
  <c r="C527" i="5"/>
  <c r="B527" i="5"/>
  <c r="A527" i="5"/>
  <c r="F528" i="5"/>
  <c r="C528" i="5" a="1"/>
  <c r="E528" i="5" a="1"/>
  <c r="A528" i="5" a="1"/>
  <c r="F529" i="5" a="1"/>
  <c r="B528" i="5" a="1"/>
  <c r="B528" i="5" l="1"/>
  <c r="F529" i="5"/>
  <c r="A528" i="5"/>
  <c r="E528" i="5"/>
  <c r="C528" i="5"/>
  <c r="E529" i="5" a="1"/>
  <c r="C529" i="5" a="1"/>
  <c r="B529" i="5" a="1"/>
  <c r="F530" i="5" a="1"/>
  <c r="A529" i="5" a="1"/>
  <c r="A529" i="5" l="1"/>
  <c r="F530" i="5"/>
  <c r="B529" i="5"/>
  <c r="C529" i="5"/>
  <c r="E529" i="5"/>
  <c r="C530" i="5" a="1"/>
  <c r="F531" i="5" a="1"/>
  <c r="B530" i="5" a="1"/>
  <c r="E530" i="5" a="1"/>
  <c r="A530" i="5" a="1"/>
  <c r="A530" i="5" l="1"/>
  <c r="E530" i="5"/>
  <c r="B530" i="5"/>
  <c r="F531" i="5"/>
  <c r="C530" i="5"/>
  <c r="A531" i="5" a="1"/>
  <c r="B531" i="5" a="1"/>
  <c r="F532" i="5" a="1"/>
  <c r="E531" i="5" a="1"/>
  <c r="C531" i="5" a="1"/>
  <c r="C531" i="5" l="1"/>
  <c r="E531" i="5"/>
  <c r="F532" i="5"/>
  <c r="B531" i="5"/>
  <c r="A531" i="5"/>
  <c r="A532" i="5" a="1"/>
  <c r="F533" i="5" a="1"/>
  <c r="C532" i="5" a="1"/>
  <c r="E532" i="5" a="1"/>
  <c r="B532" i="5" a="1"/>
  <c r="B532" i="5" l="1"/>
  <c r="E532" i="5"/>
  <c r="C532" i="5"/>
  <c r="F533" i="5"/>
  <c r="A532" i="5"/>
  <c r="F534" i="5" a="1"/>
  <c r="C533" i="5" a="1"/>
  <c r="B533" i="5" a="1"/>
  <c r="E533" i="5" a="1"/>
  <c r="A533" i="5" a="1"/>
  <c r="A533" i="5" l="1"/>
  <c r="E533" i="5"/>
  <c r="B533" i="5"/>
  <c r="C533" i="5"/>
  <c r="F534" i="5"/>
  <c r="B534" i="5" a="1"/>
  <c r="E534" i="5" a="1"/>
  <c r="F535" i="5" a="1"/>
  <c r="A534" i="5" a="1"/>
  <c r="C534" i="5" a="1"/>
  <c r="C534" i="5" l="1"/>
  <c r="A534" i="5"/>
  <c r="F535" i="5"/>
  <c r="E534" i="5"/>
  <c r="B534" i="5"/>
  <c r="C535" i="5" a="1"/>
  <c r="F536" i="5" a="1"/>
  <c r="A535" i="5" a="1"/>
  <c r="E535" i="5" a="1"/>
  <c r="B535" i="5" a="1"/>
  <c r="B535" i="5" l="1"/>
  <c r="E535" i="5"/>
  <c r="A535" i="5"/>
  <c r="F536" i="5"/>
  <c r="C535" i="5"/>
  <c r="B536" i="5" a="1"/>
  <c r="E536" i="5" a="1"/>
  <c r="C536" i="5" a="1"/>
  <c r="A536" i="5" a="1"/>
  <c r="F537" i="5" a="1"/>
  <c r="F537" i="5" l="1"/>
  <c r="A536" i="5"/>
  <c r="C536" i="5"/>
  <c r="E536" i="5"/>
  <c r="B536" i="5"/>
  <c r="B537" i="5" a="1"/>
  <c r="C537" i="5" a="1"/>
  <c r="F538" i="5" a="1"/>
  <c r="A537" i="5" a="1"/>
  <c r="E537" i="5" a="1"/>
  <c r="E537" i="5" l="1"/>
  <c r="A537" i="5"/>
  <c r="F538" i="5"/>
  <c r="C537" i="5"/>
  <c r="B537" i="5"/>
  <c r="E538" i="5" a="1"/>
  <c r="C538" i="5" a="1"/>
  <c r="F539" i="5" a="1"/>
  <c r="B538" i="5" a="1"/>
  <c r="A538" i="5" a="1"/>
  <c r="A538" i="5" l="1"/>
  <c r="B538" i="5"/>
  <c r="F539" i="5"/>
  <c r="C538" i="5"/>
  <c r="E538" i="5"/>
  <c r="C539" i="5" a="1"/>
  <c r="A539" i="5" a="1"/>
  <c r="E539" i="5" a="1"/>
  <c r="F540" i="5" a="1"/>
  <c r="B539" i="5" a="1"/>
  <c r="B539" i="5" l="1"/>
  <c r="F540" i="5"/>
  <c r="E539" i="5"/>
  <c r="A539" i="5"/>
  <c r="C539" i="5"/>
  <c r="B540" i="5" a="1"/>
  <c r="A540" i="5" a="1"/>
  <c r="C540" i="5" a="1"/>
  <c r="F541" i="5" a="1"/>
  <c r="E540" i="5" a="1"/>
  <c r="E540" i="5" l="1"/>
  <c r="F541" i="5"/>
  <c r="C540" i="5"/>
  <c r="A540" i="5"/>
  <c r="B540" i="5"/>
  <c r="A541" i="5" a="1"/>
  <c r="C541" i="5" a="1"/>
  <c r="F542" i="5" a="1"/>
  <c r="E541" i="5" a="1"/>
  <c r="B541" i="5" a="1"/>
  <c r="B541" i="5" l="1"/>
  <c r="E541" i="5"/>
  <c r="F542" i="5"/>
  <c r="C541" i="5"/>
  <c r="A541" i="5"/>
  <c r="C542" i="5" a="1"/>
  <c r="B542" i="5" a="1"/>
  <c r="E542" i="5" a="1"/>
  <c r="A542" i="5" a="1"/>
  <c r="F543" i="5" a="1"/>
  <c r="F543" i="5" l="1"/>
  <c r="A542" i="5"/>
  <c r="E542" i="5"/>
  <c r="B542" i="5"/>
  <c r="C542" i="5"/>
  <c r="C543" i="5" a="1"/>
  <c r="F544" i="5" a="1"/>
  <c r="B543" i="5" a="1"/>
  <c r="E543" i="5" a="1"/>
  <c r="A543" i="5" a="1"/>
  <c r="A543" i="5" l="1"/>
  <c r="E543" i="5"/>
  <c r="B543" i="5"/>
  <c r="F544" i="5"/>
  <c r="C543" i="5"/>
  <c r="A544" i="5" a="1"/>
  <c r="B544" i="5" a="1"/>
  <c r="C544" i="5" a="1"/>
  <c r="E544" i="5" a="1"/>
  <c r="F545" i="5" a="1"/>
  <c r="F545" i="5" l="1"/>
  <c r="E544" i="5"/>
  <c r="C544" i="5"/>
  <c r="B544" i="5"/>
  <c r="A544" i="5"/>
  <c r="E545" i="5" a="1"/>
  <c r="B545" i="5" a="1"/>
  <c r="F546" i="5" a="1"/>
  <c r="C545" i="5" a="1"/>
  <c r="A545" i="5" a="1"/>
  <c r="A545" i="5" l="1"/>
  <c r="C545" i="5"/>
  <c r="F546" i="5"/>
  <c r="B545" i="5"/>
  <c r="E545" i="5"/>
  <c r="A546" i="5" a="1"/>
  <c r="F547" i="5" a="1"/>
  <c r="B546" i="5" a="1"/>
  <c r="E546" i="5" a="1"/>
  <c r="C546" i="5" a="1"/>
  <c r="C546" i="5" l="1"/>
  <c r="E546" i="5"/>
  <c r="B546" i="5"/>
  <c r="F547" i="5"/>
  <c r="A546" i="5"/>
  <c r="C547" i="5" a="1"/>
  <c r="B547" i="5" a="1"/>
  <c r="F548" i="5" a="1"/>
  <c r="A547" i="5" a="1"/>
  <c r="E547" i="5" a="1"/>
  <c r="E547" i="5" l="1"/>
  <c r="A547" i="5"/>
  <c r="F548" i="5"/>
  <c r="B547" i="5"/>
  <c r="C547" i="5"/>
  <c r="C548" i="5" a="1"/>
  <c r="E548" i="5" a="1"/>
  <c r="A548" i="5" a="1"/>
  <c r="B548" i="5" a="1"/>
  <c r="F549" i="5" a="1"/>
  <c r="F549" i="5" l="1"/>
  <c r="B548" i="5"/>
  <c r="A548" i="5"/>
  <c r="E548" i="5"/>
  <c r="C548" i="5"/>
  <c r="C549" i="5" a="1"/>
  <c r="E549" i="5" a="1"/>
  <c r="F550" i="5" a="1"/>
  <c r="A549" i="5" a="1"/>
  <c r="B549" i="5" a="1"/>
  <c r="B549" i="5" l="1"/>
  <c r="A549" i="5"/>
  <c r="F550" i="5"/>
  <c r="E549" i="5"/>
  <c r="C549" i="5"/>
  <c r="C550" i="5" a="1"/>
  <c r="F551" i="5" a="1"/>
  <c r="A550" i="5" a="1"/>
  <c r="E550" i="5" a="1"/>
  <c r="B550" i="5" a="1"/>
  <c r="B550" i="5" l="1"/>
  <c r="E550" i="5"/>
  <c r="A550" i="5"/>
  <c r="F551" i="5"/>
  <c r="C550" i="5"/>
  <c r="E551" i="5" a="1"/>
  <c r="A551" i="5" a="1"/>
  <c r="C551" i="5" a="1"/>
  <c r="B551" i="5" a="1"/>
  <c r="F552" i="5" a="1"/>
  <c r="F552" i="5" l="1"/>
  <c r="B551" i="5"/>
  <c r="C551" i="5"/>
  <c r="A551" i="5"/>
  <c r="E551" i="5"/>
  <c r="F553" i="5" a="1"/>
  <c r="B552" i="5" a="1"/>
  <c r="A552" i="5" a="1"/>
  <c r="E552" i="5" a="1"/>
  <c r="C552" i="5" a="1"/>
  <c r="C552" i="5" l="1"/>
  <c r="E552" i="5"/>
  <c r="A552" i="5"/>
  <c r="B552" i="5"/>
  <c r="F553" i="5"/>
  <c r="F554" i="5" a="1"/>
  <c r="A553" i="5" a="1"/>
  <c r="B553" i="5" a="1"/>
  <c r="C553" i="5" a="1"/>
  <c r="E553" i="5" a="1"/>
  <c r="E553" i="5" l="1"/>
  <c r="C553" i="5"/>
  <c r="B553" i="5"/>
  <c r="A553" i="5"/>
  <c r="F554" i="5"/>
  <c r="F555" i="5" a="1"/>
  <c r="C554" i="5" a="1"/>
  <c r="A554" i="5" a="1"/>
  <c r="E554" i="5" a="1"/>
  <c r="B554" i="5" a="1"/>
  <c r="B554" i="5" l="1"/>
  <c r="E554" i="5"/>
  <c r="A554" i="5"/>
  <c r="C554" i="5"/>
  <c r="F555" i="5"/>
  <c r="A555" i="5" a="1"/>
  <c r="B555" i="5" a="1"/>
  <c r="F556" i="5" a="1"/>
  <c r="E555" i="5" a="1"/>
  <c r="C555" i="5" a="1"/>
  <c r="C555" i="5" l="1"/>
  <c r="E555" i="5"/>
  <c r="F556" i="5"/>
  <c r="B555" i="5"/>
  <c r="A555" i="5"/>
  <c r="F557" i="5" a="1"/>
  <c r="B556" i="5" a="1"/>
  <c r="E556" i="5" a="1"/>
  <c r="C556" i="5" a="1"/>
  <c r="A556" i="5" a="1"/>
  <c r="A556" i="5" l="1"/>
  <c r="C556" i="5"/>
  <c r="E556" i="5"/>
  <c r="B556" i="5"/>
  <c r="F557" i="5"/>
  <c r="C557" i="5" a="1"/>
  <c r="F558" i="5" a="1"/>
  <c r="B557" i="5" a="1"/>
  <c r="A557" i="5" a="1"/>
  <c r="E557" i="5" a="1"/>
  <c r="E557" i="5" l="1"/>
  <c r="A557" i="5"/>
  <c r="B557" i="5"/>
  <c r="F558" i="5"/>
  <c r="C557" i="5"/>
  <c r="C558" i="5" a="1"/>
  <c r="B558" i="5" a="1"/>
  <c r="F559" i="5" a="1"/>
  <c r="A558" i="5" a="1"/>
  <c r="E558" i="5" a="1"/>
  <c r="E558" i="5" l="1"/>
  <c r="A558" i="5"/>
  <c r="F559" i="5"/>
  <c r="B558" i="5"/>
  <c r="C558" i="5"/>
  <c r="B559" i="5" a="1"/>
  <c r="C559" i="5" a="1"/>
  <c r="F560" i="5" a="1"/>
  <c r="A559" i="5" a="1"/>
  <c r="E559" i="5" a="1"/>
  <c r="E559" i="5" l="1"/>
  <c r="A559" i="5"/>
  <c r="F560" i="5"/>
  <c r="C559" i="5"/>
  <c r="B559" i="5"/>
  <c r="F561" i="5" a="1"/>
  <c r="A560" i="5" a="1"/>
  <c r="C560" i="5" a="1"/>
  <c r="B560" i="5" a="1"/>
  <c r="E560" i="5" a="1"/>
  <c r="E560" i="5" l="1"/>
  <c r="B560" i="5"/>
  <c r="C560" i="5"/>
  <c r="A560" i="5"/>
  <c r="F561" i="5"/>
  <c r="F562" i="5" a="1"/>
  <c r="E561" i="5" a="1"/>
  <c r="B561" i="5" a="1"/>
  <c r="A561" i="5" a="1"/>
  <c r="C561" i="5" a="1"/>
  <c r="C561" i="5" l="1"/>
  <c r="A561" i="5"/>
  <c r="B561" i="5"/>
  <c r="E561" i="5"/>
  <c r="F562" i="5"/>
  <c r="C562" i="5" a="1"/>
  <c r="A562" i="5" a="1"/>
  <c r="B562" i="5" a="1"/>
  <c r="E562" i="5" a="1"/>
  <c r="F563" i="5" a="1"/>
  <c r="F563" i="5" l="1"/>
  <c r="E562" i="5"/>
  <c r="B562" i="5"/>
  <c r="A562" i="5"/>
  <c r="C562" i="5"/>
  <c r="B563" i="5" a="1"/>
  <c r="C563" i="5" a="1"/>
  <c r="A563" i="5" a="1"/>
  <c r="E563" i="5" a="1"/>
  <c r="F564" i="5" a="1"/>
  <c r="F564" i="5" l="1"/>
  <c r="E563" i="5"/>
  <c r="A563" i="5"/>
  <c r="C563" i="5"/>
  <c r="B563" i="5"/>
  <c r="E564" i="5" a="1"/>
  <c r="B564" i="5" a="1"/>
  <c r="C564" i="5" a="1"/>
  <c r="F565" i="5" a="1"/>
  <c r="A564" i="5" a="1"/>
  <c r="A564" i="5" l="1"/>
  <c r="F565" i="5"/>
  <c r="C564" i="5"/>
  <c r="B564" i="5"/>
  <c r="E564" i="5"/>
  <c r="E565" i="5" a="1"/>
  <c r="F566" i="5" a="1"/>
  <c r="C565" i="5" a="1"/>
  <c r="B565" i="5" a="1"/>
  <c r="A565" i="5" a="1"/>
  <c r="A565" i="5" l="1"/>
  <c r="B565" i="5"/>
  <c r="C565" i="5"/>
  <c r="F566" i="5"/>
  <c r="E565" i="5"/>
  <c r="A566" i="5" a="1"/>
  <c r="C566" i="5" a="1"/>
  <c r="F567" i="5" a="1"/>
  <c r="E566" i="5" a="1"/>
  <c r="B566" i="5" a="1"/>
  <c r="B566" i="5" l="1"/>
  <c r="E566" i="5"/>
  <c r="F567" i="5"/>
  <c r="C566" i="5"/>
  <c r="A566" i="5"/>
  <c r="C567" i="5" a="1"/>
  <c r="B567" i="5" a="1"/>
  <c r="A567" i="5" a="1"/>
  <c r="F568" i="5" a="1"/>
  <c r="E567" i="5" a="1"/>
  <c r="E567" i="5" l="1"/>
  <c r="F568" i="5"/>
  <c r="A567" i="5"/>
  <c r="B567" i="5"/>
  <c r="C567" i="5"/>
  <c r="F569" i="5" a="1"/>
  <c r="A568" i="5" a="1"/>
  <c r="C568" i="5" a="1"/>
  <c r="E568" i="5" a="1"/>
  <c r="B568" i="5" a="1"/>
  <c r="B568" i="5" l="1"/>
  <c r="E568" i="5"/>
  <c r="C568" i="5"/>
  <c r="A568" i="5"/>
  <c r="F569" i="5"/>
  <c r="A569" i="5" a="1"/>
  <c r="C569" i="5" a="1"/>
  <c r="F570" i="5" a="1"/>
  <c r="B569" i="5" a="1"/>
  <c r="E569" i="5" a="1"/>
  <c r="E569" i="5" l="1"/>
  <c r="B569" i="5"/>
  <c r="F570" i="5"/>
  <c r="C569" i="5"/>
  <c r="A569" i="5"/>
  <c r="F571" i="5" a="1"/>
  <c r="B570" i="5" a="1"/>
  <c r="C570" i="5" a="1"/>
  <c r="E570" i="5" a="1"/>
  <c r="A570" i="5" a="1"/>
  <c r="A570" i="5" l="1"/>
  <c r="E570" i="5"/>
  <c r="C570" i="5"/>
  <c r="B570" i="5"/>
  <c r="F571" i="5"/>
  <c r="B571" i="5" a="1"/>
  <c r="E571" i="5" a="1"/>
  <c r="F572" i="5" a="1"/>
  <c r="A571" i="5" a="1"/>
  <c r="C571" i="5" a="1"/>
  <c r="C571" i="5" l="1"/>
  <c r="A571" i="5"/>
  <c r="F572" i="5"/>
  <c r="E571" i="5"/>
  <c r="B571" i="5"/>
  <c r="E572" i="5" a="1"/>
  <c r="A572" i="5" a="1"/>
  <c r="C572" i="5" a="1"/>
  <c r="F573" i="5" a="1"/>
  <c r="B572" i="5" a="1"/>
  <c r="B572" i="5" l="1"/>
  <c r="F573" i="5"/>
  <c r="C572" i="5"/>
  <c r="A572" i="5"/>
  <c r="E572" i="5"/>
  <c r="B573" i="5" a="1"/>
  <c r="F574" i="5" a="1"/>
  <c r="A573" i="5" a="1"/>
  <c r="E573" i="5" a="1"/>
  <c r="C573" i="5" a="1"/>
  <c r="C573" i="5" l="1"/>
  <c r="E573" i="5"/>
  <c r="A573" i="5"/>
  <c r="F574" i="5"/>
  <c r="B573" i="5"/>
  <c r="F575" i="5" a="1"/>
  <c r="B574" i="5" a="1"/>
  <c r="E574" i="5" a="1"/>
  <c r="C574" i="5" a="1"/>
  <c r="A574" i="5" a="1"/>
  <c r="A574" i="5" l="1"/>
  <c r="C574" i="5"/>
  <c r="E574" i="5"/>
  <c r="B574" i="5"/>
  <c r="F575" i="5"/>
  <c r="E575" i="5" a="1"/>
  <c r="C575" i="5" a="1"/>
  <c r="F576" i="5" a="1"/>
  <c r="A575" i="5" a="1"/>
  <c r="B575" i="5" a="1"/>
  <c r="B575" i="5" l="1"/>
  <c r="A575" i="5"/>
  <c r="F576" i="5"/>
  <c r="C575" i="5"/>
  <c r="E575" i="5"/>
  <c r="B576" i="5" a="1"/>
  <c r="C576" i="5" a="1"/>
  <c r="A576" i="5" a="1"/>
  <c r="F577" i="5" a="1"/>
  <c r="E576" i="5" a="1"/>
  <c r="E576" i="5" l="1"/>
  <c r="F577" i="5"/>
  <c r="A576" i="5"/>
  <c r="C576" i="5"/>
  <c r="B576" i="5"/>
  <c r="F578" i="5" a="1"/>
  <c r="A577" i="5" a="1"/>
  <c r="B577" i="5" a="1"/>
  <c r="C577" i="5" a="1"/>
  <c r="E577" i="5" a="1"/>
  <c r="E577" i="5" l="1"/>
  <c r="C577" i="5"/>
  <c r="B577" i="5"/>
  <c r="A577" i="5"/>
  <c r="F578" i="5"/>
  <c r="C578" i="5" a="1"/>
  <c r="F579" i="5" a="1"/>
  <c r="E578" i="5" a="1"/>
  <c r="A578" i="5" a="1"/>
  <c r="B578" i="5" a="1"/>
  <c r="B578" i="5" l="1"/>
  <c r="A578" i="5"/>
  <c r="E578" i="5"/>
  <c r="F579" i="5"/>
  <c r="C578" i="5"/>
  <c r="C579" i="5" a="1"/>
  <c r="B579" i="5" a="1"/>
  <c r="F580" i="5" a="1"/>
  <c r="E579" i="5" a="1"/>
  <c r="A579" i="5" a="1"/>
  <c r="A579" i="5" l="1"/>
  <c r="E579" i="5"/>
  <c r="F580" i="5"/>
  <c r="B579" i="5"/>
  <c r="C579" i="5"/>
  <c r="A580" i="5" a="1"/>
  <c r="C580" i="5" a="1"/>
  <c r="B580" i="5" a="1"/>
  <c r="F581" i="5" a="1"/>
  <c r="E580" i="5" a="1"/>
  <c r="E580" i="5" l="1"/>
  <c r="F581" i="5"/>
  <c r="B580" i="5"/>
  <c r="C580" i="5"/>
  <c r="A580" i="5"/>
  <c r="C581" i="5" a="1"/>
  <c r="E581" i="5" a="1"/>
  <c r="A581" i="5" a="1"/>
  <c r="B581" i="5" a="1"/>
  <c r="F582" i="5" a="1"/>
  <c r="F582" i="5" l="1"/>
  <c r="B581" i="5"/>
  <c r="A581" i="5"/>
  <c r="E581" i="5"/>
  <c r="C581" i="5"/>
  <c r="F583" i="5" a="1"/>
  <c r="C582" i="5" a="1"/>
  <c r="E582" i="5" a="1"/>
  <c r="B582" i="5" a="1"/>
  <c r="A582" i="5" a="1"/>
  <c r="A582" i="5" l="1"/>
  <c r="B582" i="5"/>
  <c r="E582" i="5"/>
  <c r="C582" i="5"/>
  <c r="F583" i="5"/>
  <c r="F584" i="5" a="1"/>
  <c r="B583" i="5" a="1"/>
  <c r="E583" i="5" a="1"/>
  <c r="C583" i="5" a="1"/>
  <c r="A583" i="5" a="1"/>
  <c r="A583" i="5" l="1"/>
  <c r="C583" i="5"/>
  <c r="E583" i="5"/>
  <c r="B583" i="5"/>
  <c r="F584" i="5"/>
  <c r="B584" i="5" a="1"/>
  <c r="E584" i="5" a="1"/>
  <c r="F585" i="5" a="1"/>
  <c r="C584" i="5" a="1"/>
  <c r="A584" i="5" a="1"/>
  <c r="A584" i="5" l="1"/>
  <c r="C584" i="5"/>
  <c r="F585" i="5"/>
  <c r="E584" i="5"/>
  <c r="B584" i="5"/>
  <c r="A585" i="5" a="1"/>
  <c r="E585" i="5" a="1"/>
  <c r="F586" i="5" a="1"/>
  <c r="B585" i="5" a="1"/>
  <c r="C585" i="5" a="1"/>
  <c r="C585" i="5" l="1"/>
  <c r="B585" i="5"/>
  <c r="F586" i="5"/>
  <c r="E585" i="5"/>
  <c r="A585" i="5"/>
  <c r="F587" i="5" a="1"/>
  <c r="E586" i="5" a="1"/>
  <c r="B586" i="5" a="1"/>
  <c r="C586" i="5" a="1"/>
  <c r="A586" i="5" a="1"/>
  <c r="A586" i="5" l="1"/>
  <c r="C586" i="5"/>
  <c r="B586" i="5"/>
  <c r="E586" i="5"/>
  <c r="F587" i="5"/>
  <c r="E587" i="5" a="1"/>
  <c r="B587" i="5" a="1"/>
  <c r="A587" i="5" a="1"/>
  <c r="F588" i="5" a="1"/>
  <c r="C587" i="5" a="1"/>
  <c r="C587" i="5" l="1"/>
  <c r="F588" i="5"/>
  <c r="A587" i="5"/>
  <c r="B587" i="5"/>
  <c r="E587" i="5"/>
  <c r="C588" i="5" a="1"/>
  <c r="E588" i="5" a="1"/>
  <c r="A588" i="5" a="1"/>
  <c r="B588" i="5" a="1"/>
  <c r="F589" i="5" a="1"/>
  <c r="F589" i="5" l="1"/>
  <c r="B588" i="5"/>
  <c r="A588" i="5"/>
  <c r="E588" i="5"/>
  <c r="C588" i="5"/>
  <c r="C589" i="5" a="1"/>
  <c r="F590" i="5" a="1"/>
  <c r="E589" i="5" a="1"/>
  <c r="B589" i="5" a="1"/>
  <c r="A589" i="5" a="1"/>
  <c r="A589" i="5" l="1"/>
  <c r="B589" i="5"/>
  <c r="E589" i="5"/>
  <c r="F590" i="5"/>
  <c r="C589" i="5"/>
  <c r="C590" i="5" a="1"/>
  <c r="E590" i="5" a="1"/>
  <c r="A590" i="5" a="1"/>
  <c r="F591" i="5" a="1"/>
  <c r="B590" i="5" a="1"/>
  <c r="B590" i="5" l="1"/>
  <c r="F591" i="5"/>
  <c r="A590" i="5"/>
  <c r="E590" i="5"/>
  <c r="C590" i="5"/>
  <c r="B591" i="5" a="1"/>
  <c r="C591" i="5" a="1"/>
  <c r="A591" i="5" a="1"/>
  <c r="F592" i="5" a="1"/>
  <c r="E591" i="5" a="1"/>
  <c r="E591" i="5" l="1"/>
  <c r="F592" i="5"/>
  <c r="A591" i="5"/>
  <c r="C591" i="5"/>
  <c r="B591" i="5"/>
  <c r="C592" i="5" a="1"/>
  <c r="E592" i="5" a="1"/>
  <c r="F593" i="5" a="1"/>
  <c r="A592" i="5" a="1"/>
  <c r="B592" i="5" a="1"/>
  <c r="B592" i="5" l="1"/>
  <c r="A592" i="5"/>
  <c r="F593" i="5"/>
  <c r="E592" i="5"/>
  <c r="C592" i="5"/>
  <c r="A593" i="5" a="1"/>
  <c r="B593" i="5" a="1"/>
  <c r="F594" i="5" a="1"/>
  <c r="E593" i="5" a="1"/>
  <c r="C593" i="5" a="1"/>
  <c r="C593" i="5" l="1"/>
  <c r="E593" i="5"/>
  <c r="F594" i="5"/>
  <c r="B593" i="5"/>
  <c r="A593" i="5"/>
  <c r="E594" i="5" a="1"/>
  <c r="F595" i="5" a="1"/>
  <c r="C594" i="5" a="1"/>
  <c r="B594" i="5" a="1"/>
  <c r="A594" i="5" a="1"/>
  <c r="A594" i="5" l="1"/>
  <c r="B594" i="5"/>
  <c r="C594" i="5"/>
  <c r="F595" i="5"/>
  <c r="E594" i="5"/>
  <c r="F596" i="5" a="1"/>
  <c r="B595" i="5" a="1"/>
  <c r="E595" i="5" a="1"/>
  <c r="C595" i="5" a="1"/>
  <c r="A595" i="5" a="1"/>
  <c r="A595" i="5" l="1"/>
  <c r="C595" i="5"/>
  <c r="E595" i="5"/>
  <c r="B595" i="5"/>
  <c r="F596" i="5"/>
  <c r="E596" i="5" a="1"/>
  <c r="F597" i="5" a="1"/>
  <c r="C596" i="5" a="1"/>
  <c r="B596" i="5" a="1"/>
  <c r="A596" i="5" a="1"/>
  <c r="A596" i="5" l="1"/>
  <c r="B596" i="5"/>
  <c r="C596" i="5"/>
  <c r="F597" i="5"/>
  <c r="E596" i="5"/>
  <c r="E597" i="5" a="1"/>
  <c r="B597" i="5" a="1"/>
  <c r="C597" i="5" a="1"/>
  <c r="A597" i="5" a="1"/>
  <c r="F598" i="5" a="1"/>
  <c r="F598" i="5" l="1"/>
  <c r="A597" i="5"/>
  <c r="C597" i="5"/>
  <c r="B597" i="5"/>
  <c r="E597" i="5"/>
  <c r="E598" i="5" a="1"/>
  <c r="F599" i="5" a="1"/>
  <c r="B598" i="5" a="1"/>
  <c r="A598" i="5" a="1"/>
  <c r="C598" i="5" a="1"/>
  <c r="C598" i="5" l="1"/>
  <c r="A598" i="5"/>
  <c r="B598" i="5"/>
  <c r="F599" i="5"/>
  <c r="E598" i="5"/>
  <c r="F600" i="5" a="1"/>
  <c r="E599" i="5" a="1"/>
  <c r="B599" i="5" a="1"/>
  <c r="A599" i="5" a="1"/>
  <c r="C599" i="5" a="1"/>
  <c r="C599" i="5" l="1"/>
  <c r="A599" i="5"/>
  <c r="B599" i="5"/>
  <c r="E599" i="5"/>
  <c r="F600" i="5"/>
  <c r="F601" i="5" a="1"/>
  <c r="A600" i="5" a="1"/>
  <c r="C600" i="5" a="1"/>
  <c r="E600" i="5" a="1"/>
  <c r="B600" i="5" a="1"/>
  <c r="B600" i="5" l="1"/>
  <c r="E600" i="5"/>
  <c r="C600" i="5"/>
  <c r="A600" i="5"/>
  <c r="F601" i="5"/>
  <c r="A601" i="5" a="1"/>
  <c r="E601" i="5" a="1"/>
  <c r="C601" i="5" a="1"/>
  <c r="B601" i="5" a="1"/>
  <c r="F602" i="5" a="1"/>
  <c r="F602" i="5" l="1"/>
  <c r="B601" i="5"/>
  <c r="C601" i="5"/>
  <c r="E601" i="5"/>
  <c r="A601" i="5"/>
  <c r="F603" i="5" a="1"/>
  <c r="A602" i="5" a="1"/>
  <c r="C602" i="5" a="1"/>
  <c r="E602" i="5" a="1"/>
  <c r="B602" i="5" a="1"/>
  <c r="B602" i="5" l="1"/>
  <c r="E602" i="5"/>
  <c r="C602" i="5"/>
  <c r="A602" i="5"/>
  <c r="F603" i="5"/>
  <c r="E603" i="5" a="1"/>
  <c r="F604" i="5" a="1"/>
  <c r="A603" i="5" a="1"/>
  <c r="C603" i="5" a="1"/>
  <c r="B603" i="5" a="1"/>
  <c r="B603" i="5" l="1"/>
  <c r="C603" i="5"/>
  <c r="A603" i="5"/>
  <c r="F604" i="5"/>
  <c r="E603" i="5"/>
  <c r="B604" i="5" a="1"/>
  <c r="E604" i="5" a="1"/>
  <c r="A604" i="5" a="1"/>
  <c r="F605" i="5" a="1"/>
  <c r="C604" i="5" a="1"/>
  <c r="C604" i="5" l="1"/>
  <c r="F605" i="5"/>
  <c r="A604" i="5"/>
  <c r="E604" i="5"/>
  <c r="B604" i="5"/>
  <c r="F606" i="5" a="1"/>
  <c r="C605" i="5" a="1"/>
  <c r="E605" i="5" a="1"/>
  <c r="A605" i="5" a="1"/>
  <c r="B605" i="5" a="1"/>
  <c r="B605" i="5" l="1"/>
  <c r="A605" i="5"/>
  <c r="E605" i="5"/>
  <c r="C605" i="5"/>
  <c r="F606" i="5"/>
  <c r="F607" i="5" a="1"/>
  <c r="B606" i="5" a="1"/>
  <c r="A606" i="5" a="1"/>
  <c r="C606" i="5" a="1"/>
  <c r="E606" i="5" a="1"/>
  <c r="E606" i="5" l="1"/>
  <c r="C606" i="5"/>
  <c r="A606" i="5"/>
  <c r="B606" i="5"/>
  <c r="F607" i="5"/>
  <c r="B607" i="5" a="1"/>
  <c r="C607" i="5" a="1"/>
  <c r="A607" i="5" a="1"/>
  <c r="F608" i="5" a="1"/>
  <c r="E607" i="5" a="1"/>
  <c r="E607" i="5" l="1"/>
  <c r="F608" i="5"/>
  <c r="A607" i="5"/>
  <c r="C607" i="5"/>
  <c r="B607" i="5"/>
  <c r="B608" i="5" a="1"/>
  <c r="C608" i="5" a="1"/>
  <c r="A608" i="5" a="1"/>
  <c r="F609" i="5" a="1"/>
  <c r="E608" i="5" a="1"/>
  <c r="E608" i="5" l="1"/>
  <c r="F609" i="5"/>
  <c r="A608" i="5"/>
  <c r="C608" i="5"/>
  <c r="B608" i="5"/>
  <c r="B609" i="5" a="1"/>
  <c r="C609" i="5" a="1"/>
  <c r="E609" i="5" a="1"/>
  <c r="A609" i="5" a="1"/>
  <c r="F610" i="5" a="1"/>
  <c r="F610" i="5" l="1"/>
  <c r="A609" i="5"/>
  <c r="E609" i="5"/>
  <c r="C609" i="5"/>
  <c r="B609" i="5"/>
  <c r="F611" i="5" a="1"/>
  <c r="C610" i="5" a="1"/>
  <c r="B610" i="5" a="1"/>
  <c r="A610" i="5" a="1"/>
  <c r="E610" i="5" a="1"/>
  <c r="E610" i="5" l="1"/>
  <c r="A610" i="5"/>
  <c r="B610" i="5"/>
  <c r="C610" i="5"/>
  <c r="F611" i="5"/>
  <c r="E611" i="5" a="1"/>
  <c r="A611" i="5" a="1"/>
  <c r="C611" i="5" a="1"/>
  <c r="F612" i="5" a="1"/>
  <c r="B611" i="5" a="1"/>
  <c r="B611" i="5" l="1"/>
  <c r="F612" i="5"/>
  <c r="C611" i="5"/>
  <c r="A611" i="5"/>
  <c r="E611" i="5"/>
  <c r="E612" i="5" a="1"/>
  <c r="C612" i="5" a="1"/>
  <c r="A612" i="5" a="1"/>
  <c r="F613" i="5" a="1"/>
  <c r="B612" i="5" a="1"/>
  <c r="B612" i="5" l="1"/>
  <c r="F613" i="5"/>
  <c r="A612" i="5"/>
  <c r="C612" i="5"/>
  <c r="E612" i="5"/>
  <c r="A613" i="5" a="1"/>
  <c r="C613" i="5" a="1"/>
  <c r="F614" i="5" a="1"/>
  <c r="E613" i="5" a="1"/>
  <c r="B613" i="5" a="1"/>
  <c r="B613" i="5" l="1"/>
  <c r="E613" i="5"/>
  <c r="F614" i="5"/>
  <c r="C613" i="5"/>
  <c r="A613" i="5"/>
  <c r="C614" i="5" a="1"/>
  <c r="B614" i="5" a="1"/>
  <c r="E614" i="5" a="1"/>
  <c r="F615" i="5" a="1"/>
  <c r="A614" i="5" a="1"/>
  <c r="A614" i="5" l="1"/>
  <c r="F615" i="5"/>
  <c r="E614" i="5"/>
  <c r="B614" i="5"/>
  <c r="C614" i="5"/>
  <c r="C615" i="5" a="1"/>
  <c r="A615" i="5" a="1"/>
  <c r="B615" i="5" a="1"/>
  <c r="F616" i="5" a="1"/>
  <c r="E615" i="5" a="1"/>
  <c r="E615" i="5" l="1"/>
  <c r="F616" i="5"/>
  <c r="B615" i="5"/>
  <c r="A615" i="5"/>
  <c r="C615" i="5"/>
  <c r="E616" i="5" a="1"/>
  <c r="C616" i="5" a="1"/>
  <c r="F617" i="5" a="1"/>
  <c r="A616" i="5" a="1"/>
  <c r="B616" i="5" a="1"/>
  <c r="B616" i="5" l="1"/>
  <c r="A616" i="5"/>
  <c r="F617" i="5"/>
  <c r="C616" i="5"/>
  <c r="E616" i="5"/>
  <c r="E617" i="5" a="1"/>
  <c r="B617" i="5" a="1"/>
  <c r="C617" i="5" a="1"/>
  <c r="F618" i="5" a="1"/>
  <c r="A617" i="5" a="1"/>
  <c r="A617" i="5" l="1"/>
  <c r="F618" i="5"/>
  <c r="C617" i="5"/>
  <c r="B617" i="5"/>
  <c r="E617" i="5"/>
  <c r="E618" i="5" a="1"/>
  <c r="F619" i="5" a="1"/>
  <c r="C618" i="5" a="1"/>
  <c r="A618" i="5" a="1"/>
  <c r="B618" i="5" a="1"/>
  <c r="B618" i="5" l="1"/>
  <c r="A618" i="5"/>
  <c r="C618" i="5"/>
  <c r="F619" i="5"/>
  <c r="E618" i="5"/>
  <c r="B619" i="5" a="1"/>
  <c r="E619" i="5" a="1"/>
  <c r="A619" i="5" a="1"/>
  <c r="F620" i="5" a="1"/>
  <c r="C619" i="5" a="1"/>
  <c r="C619" i="5" l="1"/>
  <c r="F620" i="5"/>
  <c r="A619" i="5"/>
  <c r="E619" i="5"/>
  <c r="B619" i="5"/>
  <c r="C620" i="5" a="1"/>
  <c r="F621" i="5" a="1"/>
  <c r="E620" i="5" a="1"/>
  <c r="A620" i="5" a="1"/>
  <c r="B620" i="5" a="1"/>
  <c r="B620" i="5" l="1"/>
  <c r="A620" i="5"/>
  <c r="E620" i="5"/>
  <c r="F621" i="5"/>
  <c r="C620" i="5"/>
  <c r="B621" i="5" a="1"/>
  <c r="C621" i="5" a="1"/>
  <c r="A621" i="5" a="1"/>
  <c r="F622" i="5" a="1"/>
  <c r="E621" i="5" a="1"/>
  <c r="E621" i="5" l="1"/>
  <c r="F622" i="5"/>
  <c r="A621" i="5"/>
  <c r="C621" i="5"/>
  <c r="B621" i="5"/>
  <c r="C622" i="5" a="1"/>
  <c r="B622" i="5" a="1"/>
  <c r="F623" i="5" a="1"/>
  <c r="A622" i="5" a="1"/>
  <c r="E622" i="5" a="1"/>
  <c r="E622" i="5" l="1"/>
  <c r="A622" i="5"/>
  <c r="F623" i="5"/>
  <c r="B622" i="5"/>
  <c r="C622" i="5"/>
  <c r="F624" i="5" a="1"/>
  <c r="C623" i="5" a="1"/>
  <c r="B623" i="5" a="1"/>
  <c r="A623" i="5" a="1"/>
  <c r="E623" i="5" a="1"/>
  <c r="E623" i="5" l="1"/>
  <c r="A623" i="5"/>
  <c r="B623" i="5"/>
  <c r="C623" i="5"/>
  <c r="F624" i="5"/>
  <c r="A624" i="5" a="1"/>
  <c r="E624" i="5" a="1"/>
  <c r="F625" i="5" a="1"/>
  <c r="C624" i="5" a="1"/>
  <c r="B624" i="5" a="1"/>
  <c r="B624" i="5" l="1"/>
  <c r="C624" i="5"/>
  <c r="F625" i="5"/>
  <c r="E624" i="5"/>
  <c r="A624" i="5"/>
  <c r="E625" i="5" a="1"/>
  <c r="C625" i="5" a="1"/>
  <c r="A625" i="5" a="1"/>
  <c r="B625" i="5" a="1"/>
  <c r="F626" i="5" a="1"/>
  <c r="F626" i="5" l="1"/>
  <c r="B625" i="5"/>
  <c r="A625" i="5"/>
  <c r="C625" i="5"/>
  <c r="E625" i="5"/>
  <c r="B626" i="5" a="1"/>
  <c r="C626" i="5" a="1"/>
  <c r="F627" i="5" a="1"/>
  <c r="E626" i="5" a="1"/>
  <c r="A626" i="5" a="1"/>
  <c r="A626" i="5" l="1"/>
  <c r="E626" i="5"/>
  <c r="F627" i="5"/>
  <c r="C626" i="5"/>
  <c r="B626" i="5"/>
  <c r="E627" i="5" a="1"/>
  <c r="C627" i="5" a="1"/>
  <c r="F628" i="5" a="1"/>
  <c r="B627" i="5" a="1"/>
  <c r="A627" i="5" a="1"/>
  <c r="A627" i="5" l="1"/>
  <c r="B627" i="5"/>
  <c r="F628" i="5"/>
  <c r="C627" i="5"/>
  <c r="E627" i="5"/>
  <c r="E628" i="5" a="1"/>
  <c r="A628" i="5" a="1"/>
  <c r="C628" i="5" a="1"/>
  <c r="F629" i="5" a="1"/>
  <c r="B628" i="5" a="1"/>
  <c r="B628" i="5" l="1"/>
  <c r="F629" i="5"/>
  <c r="C628" i="5"/>
  <c r="A628" i="5"/>
  <c r="E628" i="5"/>
  <c r="A629" i="5" a="1"/>
  <c r="F630" i="5" a="1"/>
  <c r="E629" i="5" a="1"/>
  <c r="B629" i="5" a="1"/>
  <c r="C629" i="5" a="1"/>
  <c r="C629" i="5" l="1"/>
  <c r="B629" i="5"/>
  <c r="E629" i="5"/>
  <c r="F630" i="5"/>
  <c r="A629" i="5"/>
  <c r="F631" i="5" a="1"/>
  <c r="B630" i="5" a="1"/>
  <c r="C630" i="5" a="1"/>
  <c r="A630" i="5" a="1"/>
  <c r="E630" i="5" a="1"/>
  <c r="E630" i="5" l="1"/>
  <c r="A630" i="5"/>
  <c r="C630" i="5"/>
  <c r="B630" i="5"/>
  <c r="F631" i="5"/>
  <c r="F632" i="5" a="1"/>
  <c r="E631" i="5" a="1"/>
  <c r="A631" i="5" a="1"/>
  <c r="B631" i="5" a="1"/>
  <c r="C631" i="5" a="1"/>
  <c r="C631" i="5" l="1"/>
  <c r="B631" i="5"/>
  <c r="A631" i="5"/>
  <c r="E631" i="5"/>
  <c r="F632" i="5"/>
  <c r="B632" i="5" a="1"/>
  <c r="F633" i="5" a="1"/>
  <c r="A632" i="5" a="1"/>
  <c r="C632" i="5" a="1"/>
  <c r="E632" i="5" a="1"/>
  <c r="E632" i="5" l="1"/>
  <c r="C632" i="5"/>
  <c r="A632" i="5"/>
  <c r="F633" i="5"/>
  <c r="B632" i="5"/>
  <c r="C633" i="5" a="1"/>
  <c r="F634" i="5" a="1"/>
  <c r="B633" i="5" a="1"/>
  <c r="A633" i="5" a="1"/>
  <c r="E633" i="5" a="1"/>
  <c r="E633" i="5" l="1"/>
  <c r="A633" i="5"/>
  <c r="B633" i="5"/>
  <c r="F634" i="5"/>
  <c r="C633" i="5"/>
  <c r="E634" i="5" a="1"/>
  <c r="C634" i="5" a="1"/>
  <c r="A634" i="5" a="1"/>
  <c r="F635" i="5" a="1"/>
  <c r="B634" i="5" a="1"/>
  <c r="B634" i="5" l="1"/>
  <c r="F635" i="5"/>
  <c r="A634" i="5"/>
  <c r="C634" i="5"/>
  <c r="E634" i="5"/>
  <c r="B635" i="5" a="1"/>
  <c r="C635" i="5" a="1"/>
  <c r="F636" i="5" a="1"/>
  <c r="A635" i="5" a="1"/>
  <c r="E635" i="5" a="1"/>
  <c r="E635" i="5" l="1"/>
  <c r="A635" i="5"/>
  <c r="F636" i="5"/>
  <c r="C635" i="5"/>
  <c r="B635" i="5"/>
  <c r="A636" i="5" a="1"/>
  <c r="C636" i="5" a="1"/>
  <c r="B636" i="5" a="1"/>
  <c r="E636" i="5" a="1"/>
  <c r="F637" i="5" a="1"/>
  <c r="F637" i="5" l="1"/>
  <c r="E636" i="5"/>
  <c r="B636" i="5"/>
  <c r="C636" i="5"/>
  <c r="A636" i="5"/>
  <c r="C637" i="5" a="1"/>
  <c r="E637" i="5" a="1"/>
  <c r="F638" i="5" a="1"/>
  <c r="A637" i="5" a="1"/>
  <c r="B637" i="5" a="1"/>
  <c r="B637" i="5" l="1"/>
  <c r="A637" i="5"/>
  <c r="F638" i="5"/>
  <c r="E637" i="5"/>
  <c r="C637" i="5"/>
  <c r="B638" i="5" a="1"/>
  <c r="A638" i="5" a="1"/>
  <c r="C638" i="5" a="1"/>
  <c r="F639" i="5" a="1"/>
  <c r="E638" i="5" a="1"/>
  <c r="E638" i="5" l="1"/>
  <c r="F639" i="5"/>
  <c r="C638" i="5"/>
  <c r="A638" i="5"/>
  <c r="B638" i="5"/>
  <c r="F640" i="5" a="1"/>
  <c r="B639" i="5" a="1"/>
  <c r="A639" i="5" a="1"/>
  <c r="E639" i="5" a="1"/>
  <c r="C639" i="5" a="1"/>
  <c r="C639" i="5" l="1"/>
  <c r="E639" i="5"/>
  <c r="A639" i="5"/>
  <c r="B639" i="5"/>
  <c r="F640" i="5"/>
  <c r="B640" i="5" a="1"/>
  <c r="A640" i="5" a="1"/>
  <c r="C640" i="5" a="1"/>
  <c r="E640" i="5" a="1"/>
  <c r="F641" i="5" a="1"/>
  <c r="F641" i="5" l="1"/>
  <c r="E640" i="5"/>
  <c r="C640" i="5"/>
  <c r="A640" i="5"/>
  <c r="B640" i="5"/>
  <c r="A641" i="5" a="1"/>
  <c r="B641" i="5" a="1"/>
  <c r="C641" i="5" a="1"/>
  <c r="F642" i="5" a="1"/>
  <c r="E641" i="5" a="1"/>
  <c r="E641" i="5" l="1"/>
  <c r="F642" i="5"/>
  <c r="C641" i="5"/>
  <c r="B641" i="5"/>
  <c r="A641" i="5"/>
  <c r="C642" i="5" a="1"/>
  <c r="E642" i="5" a="1"/>
  <c r="B642" i="5" a="1"/>
  <c r="F643" i="5" a="1"/>
  <c r="A642" i="5" a="1"/>
  <c r="A642" i="5" l="1"/>
  <c r="F643" i="5"/>
  <c r="B642" i="5"/>
  <c r="E642" i="5"/>
  <c r="C642" i="5"/>
  <c r="C643" i="5" a="1"/>
  <c r="A643" i="5" a="1"/>
  <c r="F644" i="5" a="1"/>
  <c r="E643" i="5" a="1"/>
  <c r="B643" i="5" a="1"/>
  <c r="B643" i="5" l="1"/>
  <c r="E643" i="5"/>
  <c r="F644" i="5"/>
  <c r="A643" i="5"/>
  <c r="C643" i="5"/>
  <c r="B644" i="5" a="1"/>
  <c r="E644" i="5" a="1"/>
  <c r="A644" i="5" a="1"/>
  <c r="C644" i="5" a="1"/>
  <c r="F645" i="5" a="1"/>
  <c r="F645" i="5" l="1"/>
  <c r="C644" i="5"/>
  <c r="A644" i="5"/>
  <c r="E644" i="5"/>
  <c r="B644" i="5"/>
  <c r="A645" i="5" a="1"/>
  <c r="F646" i="5" a="1"/>
  <c r="E645" i="5" a="1"/>
  <c r="B645" i="5" a="1"/>
  <c r="C645" i="5" a="1"/>
  <c r="C645" i="5" l="1"/>
  <c r="B645" i="5"/>
  <c r="E645" i="5"/>
  <c r="F646" i="5"/>
  <c r="A645" i="5"/>
  <c r="A646" i="5" a="1"/>
  <c r="B646" i="5" a="1"/>
  <c r="F647" i="5" a="1"/>
  <c r="E646" i="5" a="1"/>
  <c r="C646" i="5" a="1"/>
  <c r="C646" i="5" l="1"/>
  <c r="E646" i="5"/>
  <c r="F647" i="5"/>
  <c r="B646" i="5"/>
  <c r="A646" i="5"/>
  <c r="A647" i="5" a="1"/>
  <c r="C647" i="5" a="1"/>
  <c r="F648" i="5" a="1"/>
  <c r="B647" i="5" a="1"/>
  <c r="E647" i="5" a="1"/>
  <c r="E647" i="5" l="1"/>
  <c r="B647" i="5"/>
  <c r="F648" i="5"/>
  <c r="C647" i="5"/>
  <c r="A647" i="5"/>
  <c r="C648" i="5" a="1"/>
  <c r="E648" i="5" a="1"/>
  <c r="F649" i="5" a="1"/>
  <c r="B648" i="5" a="1"/>
  <c r="A648" i="5" a="1"/>
  <c r="A648" i="5" l="1"/>
  <c r="B648" i="5"/>
  <c r="F649" i="5"/>
  <c r="E648" i="5"/>
  <c r="C648" i="5"/>
  <c r="C649" i="5" a="1"/>
  <c r="F650" i="5" a="1"/>
  <c r="A649" i="5" a="1"/>
  <c r="E649" i="5" a="1"/>
  <c r="B649" i="5" a="1"/>
  <c r="B649" i="5" l="1"/>
  <c r="E649" i="5"/>
  <c r="A649" i="5"/>
  <c r="F650" i="5"/>
  <c r="C649" i="5"/>
  <c r="F651" i="5" a="1"/>
  <c r="E650" i="5" a="1"/>
  <c r="C650" i="5" a="1"/>
  <c r="B650" i="5" a="1"/>
  <c r="A650" i="5" a="1"/>
  <c r="A650" i="5" l="1"/>
  <c r="B650" i="5"/>
  <c r="C650" i="5"/>
  <c r="E650" i="5"/>
  <c r="F651" i="5"/>
  <c r="C651" i="5" a="1"/>
  <c r="B651" i="5" a="1"/>
  <c r="E651" i="5" a="1"/>
  <c r="A651" i="5" a="1"/>
  <c r="F652" i="5" a="1"/>
  <c r="F652" i="5" l="1"/>
  <c r="A651" i="5"/>
  <c r="E651" i="5"/>
  <c r="B651" i="5"/>
  <c r="C651" i="5"/>
  <c r="C652" i="5" a="1"/>
  <c r="A652" i="5" a="1"/>
  <c r="F653" i="5" a="1"/>
  <c r="E652" i="5" a="1"/>
  <c r="B652" i="5" a="1"/>
  <c r="B652" i="5" l="1"/>
  <c r="E652" i="5"/>
  <c r="F653" i="5"/>
  <c r="A652" i="5"/>
  <c r="C652" i="5"/>
  <c r="B653" i="5" a="1"/>
  <c r="E653" i="5" a="1"/>
  <c r="C653" i="5" a="1"/>
  <c r="A653" i="5" a="1"/>
  <c r="F654" i="5" a="1"/>
  <c r="F654" i="5" l="1"/>
  <c r="A653" i="5"/>
  <c r="C653" i="5"/>
  <c r="E653" i="5"/>
  <c r="B653" i="5"/>
  <c r="C654" i="5" a="1"/>
  <c r="B654" i="5" a="1"/>
  <c r="F655" i="5" a="1"/>
  <c r="A654" i="5" a="1"/>
  <c r="E654" i="5" a="1"/>
  <c r="E654" i="5" l="1"/>
  <c r="A654" i="5"/>
  <c r="F655" i="5"/>
  <c r="B654" i="5"/>
  <c r="C654" i="5"/>
  <c r="C655" i="5" a="1"/>
  <c r="E655" i="5" a="1"/>
  <c r="B655" i="5" a="1"/>
  <c r="F656" i="5" a="1"/>
  <c r="A655" i="5" a="1"/>
  <c r="A655" i="5" l="1"/>
  <c r="F656" i="5"/>
  <c r="B655" i="5"/>
  <c r="E655" i="5"/>
  <c r="C655" i="5"/>
  <c r="C656" i="5" a="1"/>
  <c r="F657" i="5" a="1"/>
  <c r="A656" i="5" a="1"/>
  <c r="B656" i="5" a="1"/>
  <c r="E656" i="5" a="1"/>
  <c r="E656" i="5" l="1"/>
  <c r="B656" i="5"/>
  <c r="A656" i="5"/>
  <c r="F657" i="5"/>
  <c r="C656" i="5"/>
  <c r="C657" i="5" a="1"/>
  <c r="F658" i="5" a="1"/>
  <c r="A657" i="5" a="1"/>
  <c r="B657" i="5" a="1"/>
  <c r="E657" i="5" a="1"/>
  <c r="E657" i="5" l="1"/>
  <c r="B657" i="5"/>
  <c r="A657" i="5"/>
  <c r="F658" i="5"/>
  <c r="C657" i="5"/>
  <c r="A658" i="5" a="1"/>
  <c r="E658" i="5" a="1"/>
  <c r="C658" i="5" a="1"/>
  <c r="F659" i="5" a="1"/>
  <c r="B658" i="5" a="1"/>
  <c r="B658" i="5" l="1"/>
  <c r="F659" i="5"/>
  <c r="C658" i="5"/>
  <c r="E658" i="5"/>
  <c r="A658" i="5"/>
  <c r="E659" i="5" a="1"/>
  <c r="F660" i="5" a="1"/>
  <c r="C659" i="5" a="1"/>
  <c r="B659" i="5" a="1"/>
  <c r="A659" i="5" a="1"/>
  <c r="A659" i="5" l="1"/>
  <c r="B659" i="5"/>
  <c r="C659" i="5"/>
  <c r="F660" i="5"/>
  <c r="E659" i="5"/>
  <c r="C660" i="5" a="1"/>
  <c r="E660" i="5" a="1"/>
  <c r="B660" i="5" a="1"/>
  <c r="F661" i="5" a="1"/>
  <c r="A660" i="5" a="1"/>
  <c r="A660" i="5" l="1"/>
  <c r="F661" i="5"/>
  <c r="B660" i="5"/>
  <c r="E660" i="5"/>
  <c r="C660" i="5"/>
  <c r="C661" i="5" a="1"/>
  <c r="F662" i="5" a="1"/>
  <c r="B661" i="5" a="1"/>
  <c r="E661" i="5" a="1"/>
  <c r="A661" i="5" a="1"/>
  <c r="A661" i="5" l="1"/>
  <c r="E661" i="5"/>
  <c r="B661" i="5"/>
  <c r="F662" i="5"/>
  <c r="C661" i="5"/>
  <c r="C662" i="5" a="1"/>
  <c r="A662" i="5" a="1"/>
  <c r="E662" i="5" a="1"/>
  <c r="B662" i="5" a="1"/>
  <c r="F663" i="5" a="1"/>
  <c r="F663" i="5" l="1"/>
  <c r="B662" i="5"/>
  <c r="E662" i="5"/>
  <c r="A662" i="5"/>
  <c r="C662" i="5"/>
  <c r="F664" i="5" a="1"/>
  <c r="C663" i="5" a="1"/>
  <c r="E663" i="5" a="1"/>
  <c r="B663" i="5" a="1"/>
  <c r="A663" i="5" a="1"/>
  <c r="A663" i="5" l="1"/>
  <c r="B663" i="5"/>
  <c r="E663" i="5"/>
  <c r="C663" i="5"/>
  <c r="F664" i="5"/>
  <c r="C664" i="5" a="1"/>
  <c r="F665" i="5" a="1"/>
  <c r="E664" i="5" a="1"/>
  <c r="B664" i="5" a="1"/>
  <c r="A664" i="5" a="1"/>
  <c r="A664" i="5" l="1"/>
  <c r="B664" i="5"/>
  <c r="E664" i="5"/>
  <c r="F665" i="5"/>
  <c r="C664" i="5"/>
  <c r="F666" i="5" a="1"/>
  <c r="B665" i="5" a="1"/>
  <c r="C665" i="5" a="1"/>
  <c r="A665" i="5" a="1"/>
  <c r="E665" i="5" a="1"/>
  <c r="E665" i="5" l="1"/>
  <c r="A665" i="5"/>
  <c r="C665" i="5"/>
  <c r="B665" i="5"/>
  <c r="F666" i="5"/>
  <c r="F667" i="5" a="1"/>
  <c r="E666" i="5" a="1"/>
  <c r="B666" i="5" a="1"/>
  <c r="A666" i="5" a="1"/>
  <c r="C666" i="5" a="1"/>
  <c r="C666" i="5" l="1"/>
  <c r="A666" i="5"/>
  <c r="B666" i="5"/>
  <c r="E666" i="5"/>
  <c r="F667" i="5"/>
  <c r="A667" i="5" a="1"/>
  <c r="F668" i="5" a="1"/>
  <c r="C667" i="5" a="1"/>
  <c r="E667" i="5" a="1"/>
  <c r="B667" i="5" a="1"/>
  <c r="B667" i="5" l="1"/>
  <c r="E667" i="5"/>
  <c r="C667" i="5"/>
  <c r="F668" i="5"/>
  <c r="A667" i="5"/>
  <c r="F669" i="5" a="1"/>
  <c r="E668" i="5" a="1"/>
  <c r="A668" i="5" a="1"/>
  <c r="C668" i="5" a="1"/>
  <c r="B668" i="5" a="1"/>
  <c r="B668" i="5" l="1"/>
  <c r="C668" i="5"/>
  <c r="A668" i="5"/>
  <c r="E668" i="5"/>
  <c r="F669" i="5"/>
  <c r="A669" i="5" a="1"/>
  <c r="B669" i="5" a="1"/>
  <c r="C669" i="5" a="1"/>
  <c r="F670" i="5" a="1"/>
  <c r="E669" i="5" a="1"/>
  <c r="E669" i="5" l="1"/>
  <c r="F670" i="5"/>
  <c r="C669" i="5"/>
  <c r="B669" i="5"/>
  <c r="A669" i="5"/>
  <c r="F671" i="5" a="1"/>
  <c r="B670" i="5" a="1"/>
  <c r="E670" i="5" a="1"/>
  <c r="C670" i="5" a="1"/>
  <c r="A670" i="5" a="1"/>
  <c r="A670" i="5" l="1"/>
  <c r="C670" i="5"/>
  <c r="E670" i="5"/>
  <c r="B670" i="5"/>
  <c r="F671" i="5"/>
  <c r="B671" i="5" a="1"/>
  <c r="E671" i="5" a="1"/>
  <c r="F672" i="5" a="1"/>
  <c r="C671" i="5" a="1"/>
  <c r="A671" i="5" a="1"/>
  <c r="A671" i="5" l="1"/>
  <c r="C671" i="5"/>
  <c r="F672" i="5"/>
  <c r="E671" i="5"/>
  <c r="B671" i="5"/>
  <c r="B672" i="5" a="1"/>
  <c r="E672" i="5" a="1"/>
  <c r="C672" i="5" a="1"/>
  <c r="F673" i="5" a="1"/>
  <c r="A672" i="5" a="1"/>
  <c r="A672" i="5" l="1"/>
  <c r="F673" i="5"/>
  <c r="C672" i="5"/>
  <c r="E672" i="5"/>
  <c r="B672" i="5"/>
  <c r="B673" i="5" a="1"/>
  <c r="F674" i="5" a="1"/>
  <c r="A673" i="5" a="1"/>
  <c r="C673" i="5" a="1"/>
  <c r="E673" i="5" a="1"/>
  <c r="E673" i="5" l="1"/>
  <c r="C673" i="5"/>
  <c r="A673" i="5"/>
  <c r="F674" i="5"/>
  <c r="B673" i="5"/>
  <c r="E674" i="5" a="1"/>
  <c r="C674" i="5" a="1"/>
  <c r="A674" i="5" a="1"/>
  <c r="B674" i="5" a="1"/>
  <c r="F675" i="5" a="1"/>
  <c r="F675" i="5" l="1"/>
  <c r="B674" i="5"/>
  <c r="A674" i="5"/>
  <c r="C674" i="5"/>
  <c r="E674" i="5"/>
  <c r="C675" i="5" a="1"/>
  <c r="F676" i="5" a="1"/>
  <c r="A675" i="5" a="1"/>
  <c r="B675" i="5" a="1"/>
  <c r="E675" i="5" a="1"/>
  <c r="E675" i="5" l="1"/>
  <c r="B675" i="5"/>
  <c r="A675" i="5"/>
  <c r="F676" i="5"/>
  <c r="C675" i="5"/>
  <c r="C676" i="5" a="1"/>
  <c r="B676" i="5" a="1"/>
  <c r="E676" i="5" a="1"/>
  <c r="F677" i="5" a="1"/>
  <c r="A676" i="5" a="1"/>
  <c r="A676" i="5" l="1"/>
  <c r="F677" i="5"/>
  <c r="E676" i="5"/>
  <c r="B676" i="5"/>
  <c r="C676" i="5"/>
  <c r="C677" i="5" a="1"/>
  <c r="A677" i="5" a="1"/>
  <c r="E677" i="5" a="1"/>
  <c r="F678" i="5" a="1"/>
  <c r="B677" i="5" a="1"/>
  <c r="B677" i="5" l="1"/>
  <c r="F678" i="5"/>
  <c r="E677" i="5"/>
  <c r="A677" i="5"/>
  <c r="C677" i="5"/>
  <c r="E678" i="5" a="1"/>
  <c r="A678" i="5" a="1"/>
  <c r="C678" i="5" a="1"/>
  <c r="B678" i="5" a="1"/>
  <c r="F679" i="5" a="1"/>
  <c r="F679" i="5" l="1"/>
  <c r="B678" i="5"/>
  <c r="C678" i="5"/>
  <c r="A678" i="5"/>
  <c r="E678" i="5"/>
  <c r="C679" i="5" a="1"/>
  <c r="A679" i="5" a="1"/>
  <c r="E679" i="5" a="1"/>
  <c r="B679" i="5" a="1"/>
  <c r="F680" i="5" a="1"/>
  <c r="F680" i="5" l="1"/>
  <c r="B679" i="5"/>
  <c r="E679" i="5"/>
  <c r="A679" i="5"/>
  <c r="C679" i="5"/>
  <c r="B680" i="5" a="1"/>
  <c r="A680" i="5" a="1"/>
  <c r="F681" i="5" a="1"/>
  <c r="E680" i="5" a="1"/>
  <c r="C680" i="5" a="1"/>
  <c r="C680" i="5" l="1"/>
  <c r="E680" i="5"/>
  <c r="F681" i="5"/>
  <c r="A680" i="5"/>
  <c r="B680" i="5"/>
  <c r="C681" i="5" a="1"/>
  <c r="B681" i="5" a="1"/>
  <c r="A681" i="5" a="1"/>
  <c r="F682" i="5" a="1"/>
  <c r="E681" i="5" a="1"/>
  <c r="E681" i="5" l="1"/>
  <c r="F682" i="5"/>
  <c r="A681" i="5"/>
  <c r="B681" i="5"/>
  <c r="C681" i="5"/>
  <c r="E682" i="5" a="1"/>
  <c r="A682" i="5" a="1"/>
  <c r="B682" i="5" a="1"/>
  <c r="F683" i="5" a="1"/>
  <c r="C682" i="5" a="1"/>
  <c r="C682" i="5" l="1"/>
  <c r="F683" i="5"/>
  <c r="B682" i="5"/>
  <c r="A682" i="5"/>
  <c r="E682" i="5"/>
  <c r="A683" i="5" a="1"/>
  <c r="B683" i="5" a="1"/>
  <c r="F684" i="5" a="1"/>
  <c r="E683" i="5" a="1"/>
  <c r="C683" i="5" a="1"/>
  <c r="C683" i="5" l="1"/>
  <c r="E683" i="5"/>
  <c r="F684" i="5"/>
  <c r="B683" i="5"/>
  <c r="A683" i="5"/>
  <c r="C684" i="5" a="1"/>
  <c r="B684" i="5" a="1"/>
  <c r="A684" i="5" a="1"/>
  <c r="F685" i="5" a="1"/>
  <c r="E684" i="5" a="1"/>
  <c r="E684" i="5" l="1"/>
  <c r="F685" i="5"/>
  <c r="A684" i="5"/>
  <c r="B684" i="5"/>
  <c r="C684" i="5"/>
  <c r="B685" i="5" a="1"/>
  <c r="E685" i="5" a="1"/>
  <c r="F686" i="5" a="1"/>
  <c r="A685" i="5" a="1"/>
  <c r="C685" i="5" a="1"/>
  <c r="C685" i="5" l="1"/>
  <c r="A685" i="5"/>
  <c r="F686" i="5"/>
  <c r="E685" i="5"/>
  <c r="B685" i="5"/>
  <c r="B686" i="5" a="1"/>
  <c r="C686" i="5" a="1"/>
  <c r="F687" i="5" a="1"/>
  <c r="A686" i="5" a="1"/>
  <c r="E686" i="5" a="1"/>
  <c r="E686" i="5" l="1"/>
  <c r="A686" i="5"/>
  <c r="F687" i="5"/>
  <c r="C686" i="5"/>
  <c r="B686" i="5"/>
  <c r="A687" i="5" a="1"/>
  <c r="E687" i="5" a="1"/>
  <c r="F688" i="5" a="1"/>
  <c r="B687" i="5" a="1"/>
  <c r="C687" i="5" a="1"/>
  <c r="C687" i="5" l="1"/>
  <c r="B687" i="5"/>
  <c r="F688" i="5"/>
  <c r="E687" i="5"/>
  <c r="A687" i="5"/>
  <c r="B688" i="5" a="1"/>
  <c r="E688" i="5" a="1"/>
  <c r="C688" i="5" a="1"/>
  <c r="F689" i="5" a="1"/>
  <c r="A688" i="5" a="1"/>
  <c r="A688" i="5" l="1"/>
  <c r="F689" i="5"/>
  <c r="C688" i="5"/>
  <c r="E688" i="5"/>
  <c r="B688" i="5"/>
  <c r="B689" i="5" a="1"/>
  <c r="A689" i="5" a="1"/>
  <c r="E689" i="5" a="1"/>
  <c r="F690" i="5" a="1"/>
  <c r="C689" i="5" a="1"/>
  <c r="C689" i="5" l="1"/>
  <c r="F690" i="5"/>
  <c r="E689" i="5"/>
  <c r="A689" i="5"/>
  <c r="B689" i="5"/>
  <c r="C690" i="5" a="1"/>
  <c r="E690" i="5" a="1"/>
  <c r="B690" i="5" a="1"/>
  <c r="F691" i="5" a="1"/>
  <c r="A690" i="5" a="1"/>
  <c r="A690" i="5" l="1"/>
  <c r="F691" i="5"/>
  <c r="B690" i="5"/>
  <c r="E690" i="5"/>
  <c r="C690" i="5"/>
  <c r="F692" i="5" a="1"/>
  <c r="C691" i="5" a="1"/>
  <c r="B691" i="5" a="1"/>
  <c r="E691" i="5" a="1"/>
  <c r="A691" i="5" a="1"/>
  <c r="A691" i="5" l="1"/>
  <c r="E691" i="5"/>
  <c r="B691" i="5"/>
  <c r="C691" i="5"/>
  <c r="F692" i="5"/>
  <c r="A692" i="5" a="1"/>
  <c r="F693" i="5" a="1"/>
  <c r="E692" i="5" a="1"/>
  <c r="B692" i="5" a="1"/>
  <c r="C692" i="5" a="1"/>
  <c r="C692" i="5" l="1"/>
  <c r="B692" i="5"/>
  <c r="E692" i="5"/>
  <c r="F693" i="5"/>
  <c r="A692" i="5"/>
  <c r="E693" i="5" a="1"/>
  <c r="A693" i="5" a="1"/>
  <c r="C693" i="5" a="1"/>
  <c r="F694" i="5" a="1"/>
  <c r="B693" i="5" a="1"/>
  <c r="B693" i="5" l="1"/>
  <c r="F694" i="5"/>
  <c r="C693" i="5"/>
  <c r="A693" i="5"/>
  <c r="E693" i="5"/>
  <c r="F695" i="5" a="1"/>
  <c r="C694" i="5" a="1"/>
  <c r="B694" i="5" a="1"/>
  <c r="E694" i="5" a="1"/>
  <c r="A694" i="5" a="1"/>
  <c r="A694" i="5" l="1"/>
  <c r="E694" i="5"/>
  <c r="B694" i="5"/>
  <c r="C694" i="5"/>
  <c r="F695" i="5"/>
  <c r="A695" i="5" a="1"/>
  <c r="E695" i="5" a="1"/>
  <c r="B695" i="5" a="1"/>
  <c r="C695" i="5" a="1"/>
  <c r="F696" i="5" a="1"/>
  <c r="F696" i="5" l="1"/>
  <c r="C695" i="5"/>
  <c r="B695" i="5"/>
  <c r="E695" i="5"/>
  <c r="A695" i="5"/>
  <c r="E696" i="5" a="1"/>
  <c r="A696" i="5" a="1"/>
  <c r="B696" i="5" a="1"/>
  <c r="C696" i="5" a="1"/>
  <c r="F697" i="5" a="1"/>
  <c r="F697" i="5" l="1"/>
  <c r="C696" i="5"/>
  <c r="B696" i="5"/>
  <c r="A696" i="5"/>
  <c r="E696" i="5"/>
  <c r="E697" i="5" a="1"/>
  <c r="C697" i="5" a="1"/>
  <c r="A697" i="5" a="1"/>
  <c r="F698" i="5" a="1"/>
  <c r="B697" i="5" a="1"/>
  <c r="B697" i="5" l="1"/>
  <c r="F698" i="5"/>
  <c r="A697" i="5"/>
  <c r="C697" i="5"/>
  <c r="E697" i="5"/>
  <c r="E698" i="5" a="1"/>
  <c r="B698" i="5" a="1"/>
  <c r="F699" i="5" a="1"/>
  <c r="C698" i="5" a="1"/>
  <c r="A698" i="5" a="1"/>
  <c r="A698" i="5" l="1"/>
  <c r="C698" i="5"/>
  <c r="F699" i="5"/>
  <c r="B698" i="5"/>
  <c r="E698" i="5"/>
  <c r="F700" i="5" a="1"/>
  <c r="A699" i="5" a="1"/>
  <c r="C699" i="5" a="1"/>
  <c r="B699" i="5" a="1"/>
  <c r="E699" i="5" a="1"/>
  <c r="E699" i="5" l="1"/>
  <c r="B699" i="5"/>
  <c r="C699" i="5"/>
  <c r="A699" i="5"/>
  <c r="F700" i="5"/>
  <c r="E700" i="5" a="1"/>
  <c r="C700" i="5" a="1"/>
  <c r="A700" i="5" a="1"/>
  <c r="F701" i="5" a="1"/>
  <c r="B700" i="5" a="1"/>
  <c r="B700" i="5" l="1"/>
  <c r="F701" i="5"/>
  <c r="A700" i="5"/>
  <c r="C700" i="5"/>
  <c r="E700" i="5"/>
  <c r="F702" i="5" a="1"/>
  <c r="A701" i="5" a="1"/>
  <c r="E701" i="5" a="1"/>
  <c r="B701" i="5" a="1"/>
  <c r="C701" i="5" a="1"/>
  <c r="C701" i="5" l="1"/>
  <c r="B701" i="5"/>
  <c r="E701" i="5"/>
  <c r="A701" i="5"/>
  <c r="F702" i="5"/>
  <c r="F703" i="5" a="1"/>
  <c r="B702" i="5" a="1"/>
  <c r="A702" i="5" a="1"/>
  <c r="C702" i="5" a="1"/>
  <c r="E702" i="5" a="1"/>
  <c r="E702" i="5" l="1"/>
  <c r="C702" i="5"/>
  <c r="A702" i="5"/>
  <c r="B702" i="5"/>
  <c r="F703" i="5"/>
  <c r="A703" i="5" a="1"/>
  <c r="B703" i="5" a="1"/>
  <c r="E703" i="5" a="1"/>
  <c r="C703" i="5" a="1"/>
  <c r="F704" i="5" a="1"/>
  <c r="F704" i="5" l="1"/>
  <c r="C703" i="5"/>
  <c r="E703" i="5"/>
  <c r="B703" i="5"/>
  <c r="A703" i="5"/>
  <c r="A704" i="5" a="1"/>
  <c r="B704" i="5" a="1"/>
  <c r="C704" i="5" a="1"/>
  <c r="F705" i="5" a="1"/>
  <c r="E704" i="5" a="1"/>
  <c r="E704" i="5" l="1"/>
  <c r="F705" i="5"/>
  <c r="C704" i="5"/>
  <c r="B704" i="5"/>
  <c r="A704" i="5"/>
  <c r="C705" i="5" a="1"/>
  <c r="A705" i="5" a="1"/>
  <c r="E705" i="5" a="1"/>
  <c r="B705" i="5" a="1"/>
  <c r="F706" i="5" a="1"/>
  <c r="F706" i="5" l="1"/>
  <c r="B705" i="5"/>
  <c r="E705" i="5"/>
  <c r="A705" i="5"/>
  <c r="C705" i="5"/>
  <c r="C706" i="5" a="1"/>
  <c r="A706" i="5" a="1"/>
  <c r="E706" i="5" a="1"/>
  <c r="B706" i="5" a="1"/>
  <c r="F707" i="5" a="1"/>
  <c r="F707" i="5" l="1"/>
  <c r="B706" i="5"/>
  <c r="E706" i="5"/>
  <c r="A706" i="5"/>
  <c r="C706" i="5"/>
  <c r="A707" i="5" a="1"/>
  <c r="F708" i="5" a="1"/>
  <c r="E707" i="5" a="1"/>
  <c r="B707" i="5" a="1"/>
  <c r="C707" i="5" a="1"/>
  <c r="C707" i="5" l="1"/>
  <c r="B707" i="5"/>
  <c r="E707" i="5"/>
  <c r="F708" i="5"/>
  <c r="A707" i="5"/>
  <c r="F709" i="5" a="1"/>
  <c r="B708" i="5" a="1"/>
  <c r="A708" i="5" a="1"/>
  <c r="C708" i="5" a="1"/>
  <c r="E708" i="5" a="1"/>
  <c r="E708" i="5" l="1"/>
  <c r="C708" i="5"/>
  <c r="A708" i="5"/>
  <c r="B708" i="5"/>
  <c r="F709" i="5"/>
  <c r="C709" i="5" a="1"/>
  <c r="F710" i="5" a="1"/>
  <c r="B709" i="5" a="1"/>
  <c r="A709" i="5" a="1"/>
  <c r="E709" i="5" a="1"/>
  <c r="E709" i="5" l="1"/>
  <c r="A709" i="5"/>
  <c r="B709" i="5"/>
  <c r="F710" i="5"/>
  <c r="C709" i="5"/>
  <c r="C710" i="5" a="1"/>
  <c r="E710" i="5" a="1"/>
  <c r="A710" i="5" a="1"/>
  <c r="B710" i="5" a="1"/>
  <c r="F711" i="5" a="1"/>
  <c r="F711" i="5" l="1"/>
  <c r="B710" i="5"/>
  <c r="A710" i="5"/>
  <c r="E710" i="5"/>
  <c r="C710" i="5"/>
  <c r="B711" i="5" a="1"/>
  <c r="A711" i="5" a="1"/>
  <c r="E711" i="5" a="1"/>
  <c r="F712" i="5" a="1"/>
  <c r="C711" i="5" a="1"/>
  <c r="C711" i="5" l="1"/>
  <c r="F712" i="5"/>
  <c r="E711" i="5"/>
  <c r="A711" i="5"/>
  <c r="B711" i="5"/>
  <c r="F713" i="5" a="1"/>
  <c r="C712" i="5" a="1"/>
  <c r="B712" i="5" a="1"/>
  <c r="A712" i="5" a="1"/>
  <c r="E712" i="5" a="1"/>
  <c r="E712" i="5" l="1"/>
  <c r="A712" i="5"/>
  <c r="B712" i="5"/>
  <c r="C712" i="5"/>
  <c r="F713" i="5"/>
  <c r="B713" i="5" a="1"/>
  <c r="C713" i="5" a="1"/>
  <c r="E713" i="5" a="1"/>
  <c r="A713" i="5" a="1"/>
  <c r="F714" i="5" a="1"/>
  <c r="F714" i="5" l="1"/>
  <c r="A713" i="5"/>
  <c r="E713" i="5"/>
  <c r="C713" i="5"/>
  <c r="B713" i="5"/>
  <c r="E714" i="5" a="1"/>
  <c r="B714" i="5" a="1"/>
  <c r="C714" i="5" a="1"/>
  <c r="F715" i="5" a="1"/>
  <c r="A714" i="5" a="1"/>
  <c r="A714" i="5" l="1"/>
  <c r="F715" i="5"/>
  <c r="C714" i="5"/>
  <c r="B714" i="5"/>
  <c r="E714" i="5"/>
  <c r="B715" i="5" a="1"/>
  <c r="C715" i="5" a="1"/>
  <c r="F716" i="5" a="1"/>
  <c r="A715" i="5" a="1"/>
  <c r="E715" i="5" a="1"/>
  <c r="E715" i="5" l="1"/>
  <c r="A715" i="5"/>
  <c r="F716" i="5"/>
  <c r="C715" i="5"/>
  <c r="B715" i="5"/>
  <c r="C716" i="5" a="1"/>
  <c r="F717" i="5" a="1"/>
  <c r="E716" i="5" a="1"/>
  <c r="A716" i="5" a="1"/>
  <c r="B716" i="5" a="1"/>
  <c r="B716" i="5" l="1"/>
  <c r="A716" i="5"/>
  <c r="E716" i="5"/>
  <c r="F717" i="5"/>
  <c r="C716" i="5"/>
  <c r="A717" i="5" a="1"/>
  <c r="F718" i="5" a="1"/>
  <c r="E717" i="5" a="1"/>
  <c r="B717" i="5" a="1"/>
  <c r="C717" i="5" a="1"/>
  <c r="C717" i="5" l="1"/>
  <c r="B717" i="5"/>
  <c r="E717" i="5"/>
  <c r="F718" i="5"/>
  <c r="A717" i="5"/>
  <c r="B718" i="5" a="1"/>
  <c r="F719" i="5" a="1"/>
  <c r="E718" i="5" a="1"/>
  <c r="A718" i="5" a="1"/>
  <c r="C718" i="5" a="1"/>
  <c r="C718" i="5" l="1"/>
  <c r="A718" i="5"/>
  <c r="E718" i="5"/>
  <c r="F719" i="5"/>
  <c r="B718" i="5"/>
  <c r="B719" i="5" a="1"/>
  <c r="F720" i="5" a="1"/>
  <c r="A719" i="5" a="1"/>
  <c r="C719" i="5" a="1"/>
  <c r="E719" i="5" a="1"/>
  <c r="E719" i="5" l="1"/>
  <c r="C719" i="5"/>
  <c r="A719" i="5"/>
  <c r="F720" i="5"/>
  <c r="B719" i="5"/>
  <c r="B720" i="5" a="1"/>
  <c r="F721" i="5" a="1"/>
  <c r="C720" i="5" a="1"/>
  <c r="E720" i="5" a="1"/>
  <c r="A720" i="5" a="1"/>
  <c r="A720" i="5" l="1"/>
  <c r="E720" i="5"/>
  <c r="C720" i="5"/>
  <c r="F721" i="5"/>
  <c r="B720" i="5"/>
  <c r="F722" i="5" a="1"/>
  <c r="B721" i="5" a="1"/>
  <c r="A721" i="5" a="1"/>
  <c r="C721" i="5" a="1"/>
  <c r="E721" i="5" a="1"/>
  <c r="E721" i="5" l="1"/>
  <c r="C721" i="5"/>
  <c r="A721" i="5"/>
  <c r="B721" i="5"/>
  <c r="F722" i="5"/>
  <c r="C722" i="5" a="1"/>
  <c r="F723" i="5" a="1"/>
  <c r="E722" i="5" a="1"/>
  <c r="B722" i="5" a="1"/>
  <c r="A722" i="5" a="1"/>
  <c r="A722" i="5" l="1"/>
  <c r="B722" i="5"/>
  <c r="E722" i="5"/>
  <c r="F723" i="5"/>
  <c r="C722" i="5"/>
  <c r="A723" i="5" a="1"/>
  <c r="B723" i="5" a="1"/>
  <c r="C723" i="5" a="1"/>
  <c r="F724" i="5" a="1"/>
  <c r="E723" i="5" a="1"/>
  <c r="E723" i="5" l="1"/>
  <c r="F724" i="5"/>
  <c r="C723" i="5"/>
  <c r="B723" i="5"/>
  <c r="A723" i="5"/>
  <c r="B724" i="5" a="1"/>
  <c r="A724" i="5" a="1"/>
  <c r="F725" i="5" a="1"/>
  <c r="C724" i="5" a="1"/>
  <c r="E724" i="5" a="1"/>
  <c r="E724" i="5" l="1"/>
  <c r="C724" i="5"/>
  <c r="F725" i="5"/>
  <c r="A724" i="5"/>
  <c r="B724" i="5"/>
  <c r="B725" i="5" a="1"/>
  <c r="E725" i="5" a="1"/>
  <c r="F726" i="5" a="1"/>
  <c r="C725" i="5" a="1"/>
  <c r="A725" i="5" a="1"/>
  <c r="A725" i="5" l="1"/>
  <c r="C725" i="5"/>
  <c r="F726" i="5"/>
  <c r="E725" i="5"/>
  <c r="B725" i="5"/>
  <c r="B726" i="5" a="1"/>
  <c r="E726" i="5" a="1"/>
  <c r="A726" i="5" a="1"/>
  <c r="F727" i="5" a="1"/>
  <c r="C726" i="5" a="1"/>
  <c r="C726" i="5" l="1"/>
  <c r="F727" i="5"/>
  <c r="A726" i="5"/>
  <c r="E726" i="5"/>
  <c r="B726" i="5"/>
  <c r="B727" i="5" a="1"/>
  <c r="E727" i="5" a="1"/>
  <c r="A727" i="5" a="1"/>
  <c r="F728" i="5" a="1"/>
  <c r="C727" i="5" a="1"/>
  <c r="C727" i="5" l="1"/>
  <c r="F728" i="5"/>
  <c r="A727" i="5"/>
  <c r="E727" i="5"/>
  <c r="B727" i="5"/>
  <c r="E728" i="5" a="1"/>
  <c r="A728" i="5" a="1"/>
  <c r="C728" i="5" a="1"/>
  <c r="B728" i="5" a="1"/>
  <c r="F729" i="5" a="1"/>
  <c r="F729" i="5" l="1"/>
  <c r="B728" i="5"/>
  <c r="C728" i="5"/>
  <c r="A728" i="5"/>
  <c r="E728" i="5"/>
  <c r="E729" i="5" a="1"/>
  <c r="F730" i="5" a="1"/>
  <c r="C729" i="5" a="1"/>
  <c r="B729" i="5" a="1"/>
  <c r="A729" i="5" a="1"/>
  <c r="A729" i="5" l="1"/>
  <c r="B729" i="5"/>
  <c r="C729" i="5"/>
  <c r="F730" i="5"/>
  <c r="E729" i="5"/>
  <c r="E730" i="5" a="1"/>
  <c r="B730" i="5" a="1"/>
  <c r="A730" i="5" a="1"/>
  <c r="C730" i="5" a="1"/>
  <c r="F731" i="5" a="1"/>
  <c r="F731" i="5" l="1"/>
  <c r="C730" i="5"/>
  <c r="A730" i="5"/>
  <c r="B730" i="5"/>
  <c r="E730" i="5"/>
  <c r="A731" i="5" a="1"/>
  <c r="E731" i="5" a="1"/>
  <c r="C731" i="5" a="1"/>
  <c r="B731" i="5" a="1"/>
  <c r="F732" i="5" a="1"/>
  <c r="F732" i="5" l="1"/>
  <c r="B731" i="5"/>
  <c r="C731" i="5"/>
  <c r="E731" i="5"/>
  <c r="A731" i="5"/>
  <c r="F733" i="5" a="1"/>
  <c r="E732" i="5" a="1"/>
  <c r="C732" i="5" a="1"/>
  <c r="B732" i="5" a="1"/>
  <c r="A732" i="5" a="1"/>
  <c r="A732" i="5" l="1"/>
  <c r="B732" i="5"/>
  <c r="C732" i="5"/>
  <c r="E732" i="5"/>
  <c r="F733" i="5"/>
  <c r="B733" i="5" a="1"/>
  <c r="A733" i="5" a="1"/>
  <c r="C733" i="5" a="1"/>
  <c r="F734" i="5" a="1"/>
  <c r="E733" i="5" a="1"/>
  <c r="E733" i="5" l="1"/>
  <c r="F734" i="5"/>
  <c r="C733" i="5"/>
  <c r="A733" i="5"/>
  <c r="B733" i="5"/>
  <c r="F735" i="5" a="1"/>
  <c r="E734" i="5" a="1"/>
  <c r="B734" i="5" a="1"/>
  <c r="C734" i="5" a="1"/>
  <c r="A734" i="5" a="1"/>
  <c r="A734" i="5" l="1"/>
  <c r="C734" i="5"/>
  <c r="B734" i="5"/>
  <c r="E734" i="5"/>
  <c r="F735" i="5"/>
  <c r="B735" i="5" a="1"/>
  <c r="E735" i="5" a="1"/>
  <c r="F736" i="5" a="1"/>
  <c r="A735" i="5" a="1"/>
  <c r="C735" i="5" a="1"/>
  <c r="C735" i="5" l="1"/>
  <c r="A735" i="5"/>
  <c r="F736" i="5"/>
  <c r="E735" i="5"/>
  <c r="B735" i="5"/>
  <c r="C736" i="5" a="1"/>
  <c r="F737" i="5" a="1"/>
  <c r="A736" i="5" a="1"/>
  <c r="B736" i="5" a="1"/>
  <c r="E736" i="5" a="1"/>
  <c r="E736" i="5" l="1"/>
  <c r="B736" i="5"/>
  <c r="A736" i="5"/>
  <c r="F737" i="5"/>
  <c r="C736" i="5"/>
  <c r="E737" i="5" a="1"/>
  <c r="F738" i="5" a="1"/>
  <c r="A737" i="5" a="1"/>
  <c r="C737" i="5" a="1"/>
  <c r="B737" i="5" a="1"/>
  <c r="B737" i="5" l="1"/>
  <c r="C737" i="5"/>
  <c r="A737" i="5"/>
  <c r="F738" i="5"/>
  <c r="E737" i="5"/>
  <c r="F739" i="5" a="1"/>
  <c r="E738" i="5" a="1"/>
  <c r="A738" i="5" a="1"/>
  <c r="C738" i="5" a="1"/>
  <c r="B738" i="5" a="1"/>
  <c r="B738" i="5" l="1"/>
  <c r="C738" i="5"/>
  <c r="A738" i="5"/>
  <c r="E738" i="5"/>
  <c r="F739" i="5"/>
  <c r="C739" i="5" a="1"/>
  <c r="A739" i="5" a="1"/>
  <c r="B739" i="5" a="1"/>
  <c r="F740" i="5" a="1"/>
  <c r="E739" i="5" a="1"/>
  <c r="E739" i="5" l="1"/>
  <c r="F740" i="5"/>
  <c r="B739" i="5"/>
  <c r="A739" i="5"/>
  <c r="C739" i="5"/>
  <c r="E740" i="5" a="1"/>
  <c r="B740" i="5" a="1"/>
  <c r="A740" i="5" a="1"/>
  <c r="F741" i="5" a="1"/>
  <c r="C740" i="5" a="1"/>
  <c r="C740" i="5" l="1"/>
  <c r="F741" i="5"/>
  <c r="A740" i="5"/>
  <c r="B740" i="5"/>
  <c r="E740" i="5"/>
  <c r="B741" i="5" a="1"/>
  <c r="F742" i="5" a="1"/>
  <c r="A741" i="5" a="1"/>
  <c r="C741" i="5" a="1"/>
  <c r="E741" i="5" a="1"/>
  <c r="E741" i="5" l="1"/>
  <c r="C741" i="5"/>
  <c r="A741" i="5"/>
  <c r="F742" i="5"/>
  <c r="B741" i="5"/>
  <c r="A742" i="5" a="1"/>
  <c r="C742" i="5" a="1"/>
  <c r="F743" i="5" a="1"/>
  <c r="B742" i="5" a="1"/>
  <c r="E742" i="5" a="1"/>
  <c r="E742" i="5" l="1"/>
  <c r="B742" i="5"/>
  <c r="F743" i="5"/>
  <c r="C742" i="5"/>
  <c r="A742" i="5"/>
  <c r="A743" i="5" a="1"/>
  <c r="B743" i="5" a="1"/>
  <c r="E743" i="5" a="1"/>
  <c r="C743" i="5" a="1"/>
  <c r="F744" i="5" a="1"/>
  <c r="F744" i="5" l="1"/>
  <c r="C743" i="5"/>
  <c r="E743" i="5"/>
  <c r="B743" i="5"/>
  <c r="A743" i="5"/>
  <c r="B744" i="5" a="1"/>
  <c r="E744" i="5" a="1"/>
  <c r="A744" i="5" a="1"/>
  <c r="C744" i="5" a="1"/>
  <c r="F745" i="5" a="1"/>
  <c r="F745" i="5" l="1"/>
  <c r="C744" i="5"/>
  <c r="A744" i="5"/>
  <c r="E744" i="5"/>
  <c r="B744" i="5"/>
  <c r="A745" i="5" a="1"/>
  <c r="C745" i="5" a="1"/>
  <c r="F746" i="5" a="1"/>
  <c r="B745" i="5" a="1"/>
  <c r="E745" i="5" a="1"/>
  <c r="E745" i="5" l="1"/>
  <c r="B745" i="5"/>
  <c r="F746" i="5"/>
  <c r="C745" i="5"/>
  <c r="A745" i="5"/>
  <c r="F747" i="5" a="1"/>
  <c r="E746" i="5" a="1"/>
  <c r="B746" i="5" a="1"/>
  <c r="A746" i="5" a="1"/>
  <c r="C746" i="5" a="1"/>
  <c r="C746" i="5" l="1"/>
  <c r="A746" i="5"/>
  <c r="B746" i="5"/>
  <c r="E746" i="5"/>
  <c r="F747" i="5"/>
  <c r="C747" i="5" a="1"/>
  <c r="B747" i="5" a="1"/>
  <c r="A747" i="5" a="1"/>
  <c r="E747" i="5" a="1"/>
  <c r="F748" i="5" a="1"/>
  <c r="F748" i="5" l="1"/>
  <c r="E747" i="5"/>
  <c r="A747" i="5"/>
  <c r="B747" i="5"/>
  <c r="C747" i="5"/>
  <c r="B748" i="5" a="1"/>
  <c r="C748" i="5" a="1"/>
  <c r="F749" i="5" a="1"/>
  <c r="E748" i="5" a="1"/>
  <c r="A748" i="5" a="1"/>
  <c r="A748" i="5" l="1"/>
  <c r="E748" i="5"/>
  <c r="F749" i="5"/>
  <c r="C748" i="5"/>
  <c r="B748" i="5"/>
  <c r="C749" i="5" a="1"/>
  <c r="F750" i="5" a="1"/>
  <c r="B749" i="5" a="1"/>
  <c r="E749" i="5" a="1"/>
  <c r="A749" i="5" a="1"/>
  <c r="A749" i="5" l="1"/>
  <c r="E749" i="5"/>
  <c r="B749" i="5"/>
  <c r="F750" i="5"/>
  <c r="C749" i="5"/>
  <c r="E750" i="5" a="1"/>
  <c r="B750" i="5" a="1"/>
  <c r="F751" i="5" a="1"/>
  <c r="C750" i="5" a="1"/>
  <c r="A750" i="5" a="1"/>
  <c r="A750" i="5" l="1"/>
  <c r="C750" i="5"/>
  <c r="F751" i="5"/>
  <c r="B750" i="5"/>
  <c r="E750" i="5"/>
  <c r="A751" i="5" a="1"/>
  <c r="F752" i="5" a="1"/>
  <c r="E751" i="5" a="1"/>
  <c r="C751" i="5" a="1"/>
  <c r="B751" i="5" a="1"/>
  <c r="B751" i="5" l="1"/>
  <c r="C751" i="5"/>
  <c r="E751" i="5"/>
  <c r="F752" i="5"/>
  <c r="A751" i="5"/>
  <c r="E752" i="5" a="1"/>
  <c r="C752" i="5" a="1"/>
  <c r="F753" i="5" a="1"/>
  <c r="A752" i="5" a="1"/>
  <c r="B752" i="5" a="1"/>
  <c r="B752" i="5" l="1"/>
  <c r="A752" i="5"/>
  <c r="F753" i="5"/>
  <c r="C752" i="5"/>
  <c r="E752" i="5"/>
  <c r="A753" i="5" a="1"/>
  <c r="B753" i="5" a="1"/>
  <c r="E753" i="5" a="1"/>
  <c r="F754" i="5" a="1"/>
  <c r="C753" i="5" a="1"/>
  <c r="C753" i="5" l="1"/>
  <c r="F754" i="5"/>
  <c r="E753" i="5"/>
  <c r="B753" i="5"/>
  <c r="A753" i="5"/>
  <c r="F755" i="5" a="1"/>
  <c r="A754" i="5" a="1"/>
  <c r="B754" i="5" a="1"/>
  <c r="C754" i="5" a="1"/>
  <c r="E754" i="5" a="1"/>
  <c r="E754" i="5" l="1"/>
  <c r="C754" i="5"/>
  <c r="B754" i="5"/>
  <c r="A754" i="5"/>
  <c r="F755" i="5"/>
  <c r="A755" i="5" a="1"/>
  <c r="F756" i="5" a="1"/>
  <c r="C755" i="5" a="1"/>
  <c r="B755" i="5" a="1"/>
  <c r="E755" i="5" a="1"/>
  <c r="E755" i="5" l="1"/>
  <c r="B755" i="5"/>
  <c r="C755" i="5"/>
  <c r="F756" i="5"/>
  <c r="A755" i="5"/>
  <c r="E756" i="5" a="1"/>
  <c r="A756" i="5" a="1"/>
  <c r="F757" i="5" a="1"/>
  <c r="C756" i="5" a="1"/>
  <c r="B756" i="5" a="1"/>
  <c r="B756" i="5" l="1"/>
  <c r="C756" i="5"/>
  <c r="F757" i="5"/>
  <c r="A756" i="5"/>
  <c r="E756" i="5"/>
  <c r="C757" i="5" a="1"/>
  <c r="F758" i="5" a="1"/>
  <c r="A757" i="5" a="1"/>
  <c r="B757" i="5" a="1"/>
  <c r="E757" i="5" a="1"/>
  <c r="E757" i="5" l="1"/>
  <c r="B757" i="5"/>
  <c r="A757" i="5"/>
  <c r="F758" i="5"/>
  <c r="C757" i="5"/>
  <c r="E758" i="5" a="1"/>
  <c r="B758" i="5" a="1"/>
  <c r="A758" i="5" a="1"/>
  <c r="C758" i="5" a="1"/>
  <c r="F759" i="5" a="1"/>
  <c r="F759" i="5" l="1"/>
  <c r="C758" i="5"/>
  <c r="A758" i="5"/>
  <c r="B758" i="5"/>
  <c r="E758" i="5"/>
  <c r="E759" i="5" a="1"/>
  <c r="C759" i="5" a="1"/>
  <c r="F760" i="5" a="1"/>
  <c r="B759" i="5" a="1"/>
  <c r="A759" i="5" a="1"/>
  <c r="A759" i="5" l="1"/>
  <c r="B759" i="5"/>
  <c r="F760" i="5"/>
  <c r="C759" i="5"/>
  <c r="E759" i="5"/>
  <c r="E760" i="5" a="1"/>
  <c r="F761" i="5" a="1"/>
  <c r="C760" i="5" a="1"/>
  <c r="A760" i="5" a="1"/>
  <c r="B760" i="5" a="1"/>
  <c r="B760" i="5" l="1"/>
  <c r="A760" i="5"/>
  <c r="C760" i="5"/>
  <c r="F761" i="5"/>
  <c r="E760" i="5"/>
  <c r="F762" i="5" a="1"/>
  <c r="E761" i="5" a="1"/>
  <c r="B761" i="5" a="1"/>
  <c r="C761" i="5" a="1"/>
  <c r="A761" i="5" a="1"/>
  <c r="A761" i="5" l="1"/>
  <c r="C761" i="5"/>
  <c r="B761" i="5"/>
  <c r="E761" i="5"/>
  <c r="F762" i="5"/>
  <c r="E762" i="5" a="1"/>
  <c r="B762" i="5" a="1"/>
  <c r="F763" i="5" a="1"/>
  <c r="C762" i="5" a="1"/>
  <c r="A762" i="5" a="1"/>
  <c r="A762" i="5" l="1"/>
  <c r="C762" i="5"/>
  <c r="F763" i="5"/>
  <c r="B762" i="5"/>
  <c r="E762" i="5"/>
  <c r="A763" i="5" a="1"/>
  <c r="F764" i="5" a="1"/>
  <c r="E763" i="5" a="1"/>
  <c r="B763" i="5" a="1"/>
  <c r="C763" i="5" a="1"/>
  <c r="C763" i="5" l="1"/>
  <c r="B763" i="5"/>
  <c r="E763" i="5"/>
  <c r="F764" i="5"/>
  <c r="A763" i="5"/>
  <c r="A764" i="5" a="1"/>
  <c r="E764" i="5" a="1"/>
  <c r="F765" i="5" a="1"/>
  <c r="C764" i="5" a="1"/>
  <c r="B764" i="5" a="1"/>
  <c r="B764" i="5" l="1"/>
  <c r="C764" i="5"/>
  <c r="F765" i="5"/>
  <c r="E764" i="5"/>
  <c r="A764" i="5"/>
  <c r="F766" i="5" a="1"/>
  <c r="B765" i="5" a="1"/>
  <c r="E765" i="5" a="1"/>
  <c r="C765" i="5" a="1"/>
  <c r="A765" i="5" a="1"/>
  <c r="A765" i="5" l="1"/>
  <c r="C765" i="5"/>
  <c r="E765" i="5"/>
  <c r="B765" i="5"/>
  <c r="F766" i="5"/>
  <c r="E766" i="5" a="1"/>
  <c r="B766" i="5" a="1"/>
  <c r="F767" i="5" a="1"/>
  <c r="A766" i="5" a="1"/>
  <c r="C766" i="5" a="1"/>
  <c r="C766" i="5" l="1"/>
  <c r="A766" i="5"/>
  <c r="F767" i="5"/>
  <c r="B766" i="5"/>
  <c r="E766" i="5"/>
  <c r="F768" i="5" a="1"/>
  <c r="C767" i="5" a="1"/>
  <c r="E767" i="5" a="1"/>
  <c r="B767" i="5" a="1"/>
  <c r="A767" i="5" a="1"/>
  <c r="A767" i="5" l="1"/>
  <c r="B767" i="5"/>
  <c r="E767" i="5"/>
  <c r="C767" i="5"/>
  <c r="F768" i="5"/>
  <c r="C768" i="5" a="1"/>
  <c r="B768" i="5" a="1"/>
  <c r="F769" i="5" a="1"/>
  <c r="E768" i="5" a="1"/>
  <c r="A768" i="5" a="1"/>
  <c r="A768" i="5" l="1"/>
  <c r="E768" i="5"/>
  <c r="F769" i="5"/>
  <c r="B768" i="5"/>
  <c r="C768" i="5"/>
  <c r="A769" i="5" a="1"/>
  <c r="E769" i="5" a="1"/>
  <c r="F770" i="5" a="1"/>
  <c r="B769" i="5" a="1"/>
  <c r="C769" i="5" a="1"/>
  <c r="C769" i="5" l="1"/>
  <c r="B769" i="5"/>
  <c r="F770" i="5"/>
  <c r="E769" i="5"/>
  <c r="A769" i="5"/>
  <c r="F771" i="5" a="1"/>
  <c r="E770" i="5" a="1"/>
  <c r="B770" i="5" a="1"/>
  <c r="C770" i="5" a="1"/>
  <c r="A770" i="5" a="1"/>
  <c r="A770" i="5" l="1"/>
  <c r="C770" i="5"/>
  <c r="B770" i="5"/>
  <c r="E770" i="5"/>
  <c r="F771" i="5"/>
  <c r="B771" i="5" a="1"/>
  <c r="A771" i="5" a="1"/>
  <c r="C771" i="5" a="1"/>
  <c r="E771" i="5" a="1"/>
  <c r="F772" i="5" a="1"/>
  <c r="F772" i="5" l="1"/>
  <c r="E771" i="5"/>
  <c r="C771" i="5"/>
  <c r="A771" i="5"/>
  <c r="B771" i="5"/>
  <c r="C772" i="5" a="1"/>
  <c r="E772" i="5" a="1"/>
  <c r="F773" i="5" a="1"/>
  <c r="B772" i="5" a="1"/>
  <c r="A772" i="5" a="1"/>
  <c r="A772" i="5" l="1"/>
  <c r="B772" i="5"/>
  <c r="F773" i="5"/>
  <c r="E772" i="5"/>
  <c r="C772" i="5"/>
  <c r="E773" i="5" a="1"/>
  <c r="C773" i="5" a="1"/>
  <c r="A773" i="5" a="1"/>
  <c r="F774" i="5" a="1"/>
  <c r="B773" i="5" a="1"/>
  <c r="B773" i="5" l="1"/>
  <c r="F774" i="5"/>
  <c r="A773" i="5"/>
  <c r="C773" i="5"/>
  <c r="E773" i="5"/>
  <c r="A774" i="5" a="1"/>
  <c r="B774" i="5" a="1"/>
  <c r="E774" i="5" a="1"/>
  <c r="C774" i="5" a="1"/>
  <c r="F775" i="5" a="1"/>
  <c r="F775" i="5" l="1"/>
  <c r="C774" i="5"/>
  <c r="E774" i="5"/>
  <c r="B774" i="5"/>
  <c r="A774" i="5"/>
  <c r="F776" i="5" a="1"/>
  <c r="C775" i="5" a="1"/>
  <c r="E775" i="5" a="1"/>
  <c r="A775" i="5" a="1"/>
  <c r="B775" i="5" a="1"/>
  <c r="B775" i="5" l="1"/>
  <c r="A775" i="5"/>
  <c r="E775" i="5"/>
  <c r="C775" i="5"/>
  <c r="F776" i="5"/>
  <c r="A776" i="5" a="1"/>
  <c r="F777" i="5" a="1"/>
  <c r="B776" i="5" a="1"/>
  <c r="C776" i="5" a="1"/>
  <c r="E776" i="5" a="1"/>
  <c r="E776" i="5" l="1"/>
  <c r="C776" i="5"/>
  <c r="B776" i="5"/>
  <c r="F777" i="5"/>
  <c r="A776" i="5"/>
  <c r="E777" i="5" a="1"/>
  <c r="F778" i="5" a="1"/>
  <c r="A777" i="5" a="1"/>
  <c r="C777" i="5" a="1"/>
  <c r="B777" i="5" a="1"/>
  <c r="B777" i="5" l="1"/>
  <c r="C777" i="5"/>
  <c r="A777" i="5"/>
  <c r="F778" i="5"/>
  <c r="E777" i="5"/>
  <c r="A778" i="5" a="1"/>
  <c r="E778" i="5" a="1"/>
  <c r="C778" i="5" a="1"/>
  <c r="F779" i="5" a="1"/>
  <c r="B778" i="5" a="1"/>
  <c r="B778" i="5" l="1"/>
  <c r="F779" i="5"/>
  <c r="C778" i="5"/>
  <c r="E778" i="5"/>
  <c r="A778" i="5"/>
  <c r="B779" i="5" a="1"/>
  <c r="C779" i="5" a="1"/>
  <c r="F780" i="5" a="1"/>
  <c r="A779" i="5" a="1"/>
  <c r="E779" i="5" a="1"/>
  <c r="E779" i="5" l="1"/>
  <c r="A779" i="5"/>
  <c r="F780" i="5"/>
  <c r="C779" i="5"/>
  <c r="B779" i="5"/>
  <c r="E780" i="5" a="1"/>
  <c r="C780" i="5" a="1"/>
  <c r="F781" i="5" a="1"/>
  <c r="A780" i="5" a="1"/>
  <c r="B780" i="5" a="1"/>
  <c r="B780" i="5" l="1"/>
  <c r="A780" i="5"/>
  <c r="F781" i="5"/>
  <c r="C780" i="5"/>
  <c r="E780" i="5"/>
  <c r="E781" i="5" a="1"/>
  <c r="B781" i="5" a="1"/>
  <c r="A781" i="5" a="1"/>
  <c r="C781" i="5" a="1"/>
  <c r="F782" i="5" a="1"/>
  <c r="F782" i="5" l="1"/>
  <c r="C781" i="5"/>
  <c r="A781" i="5"/>
  <c r="B781" i="5"/>
  <c r="E781" i="5"/>
  <c r="F783" i="5" a="1"/>
  <c r="E782" i="5" a="1"/>
  <c r="A782" i="5" a="1"/>
  <c r="B782" i="5" a="1"/>
  <c r="C782" i="5" a="1"/>
  <c r="C782" i="5" l="1"/>
  <c r="B782" i="5"/>
  <c r="A782" i="5"/>
  <c r="E782" i="5"/>
  <c r="F783" i="5"/>
  <c r="B783" i="5" a="1"/>
  <c r="E783" i="5" a="1"/>
  <c r="F784" i="5" a="1"/>
  <c r="A783" i="5" a="1"/>
  <c r="C783" i="5" a="1"/>
  <c r="C783" i="5" l="1"/>
  <c r="A783" i="5"/>
  <c r="F784" i="5"/>
  <c r="E783" i="5"/>
  <c r="B783" i="5"/>
  <c r="C784" i="5" a="1"/>
  <c r="E784" i="5" a="1"/>
  <c r="B784" i="5" a="1"/>
  <c r="F785" i="5" a="1"/>
  <c r="A784" i="5" a="1"/>
  <c r="A784" i="5" l="1"/>
  <c r="F785" i="5"/>
  <c r="B784" i="5"/>
  <c r="E784" i="5"/>
  <c r="C784" i="5"/>
  <c r="B785" i="5" a="1"/>
  <c r="E785" i="5" a="1"/>
  <c r="F786" i="5" a="1"/>
  <c r="A785" i="5" a="1"/>
  <c r="C785" i="5" a="1"/>
  <c r="C785" i="5" l="1"/>
  <c r="A785" i="5"/>
  <c r="F786" i="5"/>
  <c r="E785" i="5"/>
  <c r="B785" i="5"/>
  <c r="C786" i="5" a="1"/>
  <c r="A786" i="5" a="1"/>
  <c r="E786" i="5" a="1"/>
  <c r="F787" i="5" a="1"/>
  <c r="B786" i="5" a="1"/>
  <c r="B786" i="5" l="1"/>
  <c r="F787" i="5"/>
  <c r="E786" i="5"/>
  <c r="A786" i="5"/>
  <c r="C786" i="5"/>
  <c r="B787" i="5" a="1"/>
  <c r="F788" i="5" a="1"/>
  <c r="E787" i="5" a="1"/>
  <c r="C787" i="5" a="1"/>
  <c r="A787" i="5" a="1"/>
  <c r="A787" i="5" l="1"/>
  <c r="C787" i="5"/>
  <c r="E787" i="5"/>
  <c r="F788" i="5"/>
  <c r="B787" i="5"/>
  <c r="C788" i="5" a="1"/>
  <c r="A788" i="5" a="1"/>
  <c r="F789" i="5" a="1"/>
  <c r="B788" i="5" a="1"/>
  <c r="E788" i="5" a="1"/>
  <c r="E788" i="5" l="1"/>
  <c r="B788" i="5"/>
  <c r="F789" i="5"/>
  <c r="A788" i="5"/>
  <c r="C788" i="5"/>
  <c r="A789" i="5" a="1"/>
  <c r="E789" i="5" a="1"/>
  <c r="F790" i="5" a="1"/>
  <c r="B789" i="5" a="1"/>
  <c r="C789" i="5" a="1"/>
  <c r="C789" i="5" l="1"/>
  <c r="B789" i="5"/>
  <c r="F790" i="5"/>
  <c r="E789" i="5"/>
  <c r="A789" i="5"/>
  <c r="C790" i="5" a="1"/>
  <c r="E790" i="5" a="1"/>
  <c r="B790" i="5" a="1"/>
  <c r="F791" i="5" a="1"/>
  <c r="A790" i="5" a="1"/>
  <c r="A790" i="5" l="1"/>
  <c r="F791" i="5"/>
  <c r="B790" i="5"/>
  <c r="E790" i="5"/>
  <c r="C790" i="5"/>
  <c r="C791" i="5" a="1"/>
  <c r="A791" i="5" a="1"/>
  <c r="E791" i="5" a="1"/>
  <c r="F792" i="5" a="1"/>
  <c r="B791" i="5" a="1"/>
  <c r="B791" i="5" l="1"/>
  <c r="F792" i="5"/>
  <c r="E791" i="5"/>
  <c r="A791" i="5"/>
  <c r="C791" i="5"/>
  <c r="B792" i="5" a="1"/>
  <c r="F793" i="5" a="1"/>
  <c r="A792" i="5" a="1"/>
  <c r="E792" i="5" a="1"/>
  <c r="C792" i="5" a="1"/>
  <c r="C792" i="5" l="1"/>
  <c r="E792" i="5"/>
  <c r="A792" i="5"/>
  <c r="F793" i="5"/>
  <c r="B792" i="5"/>
  <c r="A793" i="5" a="1"/>
  <c r="B793" i="5" a="1"/>
  <c r="F794" i="5" a="1"/>
  <c r="E793" i="5" a="1"/>
  <c r="C793" i="5" a="1"/>
  <c r="C793" i="5" l="1"/>
  <c r="E793" i="5"/>
  <c r="F794" i="5"/>
  <c r="B793" i="5"/>
  <c r="A793" i="5"/>
  <c r="C794" i="5" a="1"/>
  <c r="F795" i="5" a="1"/>
  <c r="A794" i="5" a="1"/>
  <c r="B794" i="5" a="1"/>
  <c r="E794" i="5" a="1"/>
  <c r="E794" i="5" l="1"/>
  <c r="B794" i="5"/>
  <c r="A794" i="5"/>
  <c r="F795" i="5"/>
  <c r="C794" i="5"/>
  <c r="A795" i="5" a="1"/>
  <c r="F796" i="5" a="1"/>
  <c r="C795" i="5" a="1"/>
  <c r="E795" i="5" a="1"/>
  <c r="B795" i="5" a="1"/>
  <c r="B795" i="5" l="1"/>
  <c r="E795" i="5"/>
  <c r="C795" i="5"/>
  <c r="F796" i="5"/>
  <c r="A795" i="5"/>
  <c r="B796" i="5" a="1"/>
  <c r="C796" i="5" a="1"/>
  <c r="F797" i="5" a="1"/>
  <c r="E796" i="5" a="1"/>
  <c r="A796" i="5" a="1"/>
  <c r="A796" i="5" l="1"/>
  <c r="E796" i="5"/>
  <c r="F797" i="5"/>
  <c r="C796" i="5"/>
  <c r="B796" i="5"/>
  <c r="A797" i="5" a="1"/>
  <c r="F798" i="5" a="1"/>
  <c r="C797" i="5" a="1"/>
  <c r="E797" i="5" a="1"/>
  <c r="B797" i="5" a="1"/>
  <c r="B797" i="5" l="1"/>
  <c r="E797" i="5"/>
  <c r="C797" i="5"/>
  <c r="F798" i="5"/>
  <c r="A797" i="5"/>
  <c r="A798" i="5" a="1"/>
  <c r="E798" i="5" a="1"/>
  <c r="C798" i="5" a="1"/>
  <c r="B798" i="5" a="1"/>
  <c r="F799" i="5" a="1"/>
  <c r="F799" i="5" l="1"/>
  <c r="B798" i="5"/>
  <c r="C798" i="5"/>
  <c r="E798" i="5"/>
  <c r="A798" i="5"/>
  <c r="A799" i="5" a="1"/>
  <c r="E799" i="5" a="1"/>
  <c r="F800" i="5" a="1"/>
  <c r="B799" i="5" a="1"/>
  <c r="C799" i="5" a="1"/>
  <c r="C799" i="5" l="1"/>
  <c r="B799" i="5"/>
  <c r="F800" i="5"/>
  <c r="E799" i="5"/>
  <c r="A799" i="5"/>
  <c r="E800" i="5" a="1"/>
  <c r="C800" i="5" a="1"/>
  <c r="B800" i="5" a="1"/>
  <c r="F801" i="5" a="1"/>
  <c r="A800" i="5" a="1"/>
  <c r="A800" i="5" l="1"/>
  <c r="F801" i="5"/>
  <c r="B800" i="5"/>
  <c r="C800" i="5"/>
  <c r="E800" i="5"/>
  <c r="B801" i="5" a="1"/>
  <c r="E801" i="5" a="1"/>
  <c r="C801" i="5" a="1"/>
  <c r="A801" i="5" a="1"/>
  <c r="F802" i="5" a="1"/>
  <c r="F802" i="5" l="1"/>
  <c r="A801" i="5"/>
  <c r="C801" i="5"/>
  <c r="E801" i="5"/>
  <c r="B801" i="5"/>
  <c r="E802" i="5" a="1"/>
  <c r="A802" i="5" a="1"/>
  <c r="B802" i="5" a="1"/>
  <c r="C802" i="5" a="1"/>
  <c r="F803" i="5" a="1"/>
  <c r="F803" i="5" l="1"/>
  <c r="C802" i="5"/>
  <c r="B802" i="5"/>
  <c r="A802" i="5"/>
  <c r="E802" i="5"/>
  <c r="B803" i="5" a="1"/>
  <c r="C803" i="5" a="1"/>
  <c r="F804" i="5" a="1"/>
  <c r="A803" i="5" a="1"/>
  <c r="E803" i="5" a="1"/>
  <c r="E803" i="5" l="1"/>
  <c r="A803" i="5"/>
  <c r="F804" i="5"/>
  <c r="C803" i="5"/>
  <c r="B803" i="5"/>
  <c r="B804" i="5" a="1"/>
  <c r="E804" i="5" a="1"/>
  <c r="C804" i="5" a="1"/>
  <c r="F805" i="5" a="1"/>
  <c r="A804" i="5" a="1"/>
  <c r="A804" i="5" l="1"/>
  <c r="F805" i="5"/>
  <c r="C804" i="5"/>
  <c r="E804" i="5"/>
  <c r="B804" i="5"/>
  <c r="A805" i="5" a="1"/>
  <c r="E805" i="5" a="1"/>
  <c r="F806" i="5" a="1"/>
  <c r="C805" i="5" a="1"/>
  <c r="B805" i="5" a="1"/>
  <c r="B805" i="5" l="1"/>
  <c r="C805" i="5"/>
  <c r="F806" i="5"/>
  <c r="E805" i="5"/>
  <c r="A805" i="5"/>
  <c r="C806" i="5" a="1"/>
  <c r="A806" i="5" a="1"/>
  <c r="B806" i="5" a="1"/>
  <c r="F807" i="5" a="1"/>
  <c r="E806" i="5" a="1"/>
  <c r="E806" i="5" l="1"/>
  <c r="F807" i="5"/>
  <c r="B806" i="5"/>
  <c r="A806" i="5"/>
  <c r="C806" i="5"/>
  <c r="E807" i="5" a="1"/>
  <c r="A807" i="5" a="1"/>
  <c r="F808" i="5" a="1"/>
  <c r="B807" i="5" a="1"/>
  <c r="C807" i="5" a="1"/>
  <c r="C807" i="5" l="1"/>
  <c r="B807" i="5"/>
  <c r="F808" i="5"/>
  <c r="A807" i="5"/>
  <c r="E807" i="5"/>
  <c r="E808" i="5" a="1"/>
  <c r="F809" i="5" a="1"/>
  <c r="B808" i="5" a="1"/>
  <c r="A808" i="5" a="1"/>
  <c r="C808" i="5" a="1"/>
  <c r="C808" i="5" l="1"/>
  <c r="A808" i="5"/>
  <c r="B808" i="5"/>
  <c r="F809" i="5"/>
  <c r="E808" i="5"/>
  <c r="A809" i="5" a="1"/>
  <c r="F810" i="5" a="1"/>
  <c r="B809" i="5" a="1"/>
  <c r="C809" i="5" a="1"/>
  <c r="E809" i="5" a="1"/>
  <c r="E809" i="5" l="1"/>
  <c r="C809" i="5"/>
  <c r="B809" i="5"/>
  <c r="F810" i="5"/>
  <c r="A809" i="5"/>
  <c r="C810" i="5" a="1"/>
  <c r="F811" i="5" a="1"/>
  <c r="A810" i="5" a="1"/>
  <c r="B810" i="5" a="1"/>
  <c r="E810" i="5" a="1"/>
  <c r="E810" i="5" l="1"/>
  <c r="B810" i="5"/>
  <c r="A810" i="5"/>
  <c r="F811" i="5"/>
  <c r="C810" i="5"/>
  <c r="E811" i="5" a="1"/>
  <c r="A811" i="5" a="1"/>
  <c r="C811" i="5" a="1"/>
  <c r="B811" i="5" a="1"/>
  <c r="F812" i="5" a="1"/>
  <c r="F812" i="5" l="1"/>
  <c r="B811" i="5"/>
  <c r="C811" i="5"/>
  <c r="A811" i="5"/>
  <c r="E811" i="5"/>
  <c r="E812" i="5" a="1"/>
  <c r="B812" i="5" a="1"/>
  <c r="A812" i="5" a="1"/>
  <c r="C812" i="5" a="1"/>
  <c r="F813" i="5" a="1"/>
  <c r="F813" i="5" l="1"/>
  <c r="C812" i="5"/>
  <c r="A812" i="5"/>
  <c r="B812" i="5"/>
  <c r="E812" i="5"/>
  <c r="E813" i="5" a="1"/>
  <c r="C813" i="5" a="1"/>
  <c r="B813" i="5" a="1"/>
  <c r="A813" i="5" a="1"/>
  <c r="F814" i="5" a="1"/>
  <c r="F814" i="5" l="1"/>
  <c r="A813" i="5"/>
  <c r="B813" i="5"/>
  <c r="C813" i="5"/>
  <c r="E813" i="5"/>
  <c r="B814" i="5" a="1"/>
  <c r="E814" i="5" a="1"/>
  <c r="C814" i="5" a="1"/>
  <c r="A814" i="5" a="1"/>
  <c r="F815" i="5" a="1"/>
  <c r="F815" i="5" l="1"/>
  <c r="A814" i="5"/>
  <c r="C814" i="5"/>
  <c r="E814" i="5"/>
  <c r="B814" i="5"/>
  <c r="B815" i="5" a="1"/>
  <c r="C815" i="5" a="1"/>
  <c r="E815" i="5" a="1"/>
  <c r="F816" i="5" a="1"/>
  <c r="A815" i="5" a="1"/>
  <c r="A815" i="5" l="1"/>
  <c r="F816" i="5"/>
  <c r="E815" i="5"/>
  <c r="C815" i="5"/>
  <c r="B815" i="5"/>
  <c r="A816" i="5" a="1"/>
  <c r="E816" i="5" a="1"/>
  <c r="F817" i="5" a="1"/>
  <c r="B816" i="5" a="1"/>
  <c r="C816" i="5" a="1"/>
  <c r="C816" i="5" l="1"/>
  <c r="B816" i="5"/>
  <c r="F817" i="5"/>
  <c r="E816" i="5"/>
  <c r="A816" i="5"/>
  <c r="A817" i="5" a="1"/>
  <c r="B817" i="5" a="1"/>
  <c r="C817" i="5" a="1"/>
  <c r="E817" i="5" a="1"/>
  <c r="F818" i="5" a="1"/>
  <c r="F818" i="5" l="1"/>
  <c r="E817" i="5"/>
  <c r="C817" i="5"/>
  <c r="B817" i="5"/>
  <c r="A817" i="5"/>
  <c r="A818" i="5" a="1"/>
  <c r="B818" i="5" a="1"/>
  <c r="E818" i="5" a="1"/>
  <c r="F819" i="5" a="1"/>
  <c r="C818" i="5" a="1"/>
  <c r="C818" i="5" l="1"/>
  <c r="F819" i="5"/>
  <c r="E818" i="5"/>
  <c r="B818" i="5"/>
  <c r="A818" i="5"/>
  <c r="A819" i="5" a="1"/>
  <c r="E819" i="5" a="1"/>
  <c r="F820" i="5" a="1"/>
  <c r="C819" i="5" a="1"/>
  <c r="B819" i="5" a="1"/>
  <c r="B819" i="5" l="1"/>
  <c r="C819" i="5"/>
  <c r="F820" i="5"/>
  <c r="E819" i="5"/>
  <c r="A819" i="5"/>
  <c r="F821" i="5" a="1"/>
  <c r="A820" i="5" a="1"/>
  <c r="E820" i="5" a="1"/>
  <c r="B820" i="5" a="1"/>
  <c r="C820" i="5" a="1"/>
  <c r="C820" i="5" l="1"/>
  <c r="B820" i="5"/>
  <c r="E820" i="5"/>
  <c r="A820" i="5"/>
  <c r="F821" i="5"/>
  <c r="F822" i="5" a="1"/>
  <c r="B821" i="5" a="1"/>
  <c r="E821" i="5" a="1"/>
  <c r="C821" i="5" a="1"/>
  <c r="A821" i="5" a="1"/>
  <c r="A821" i="5" l="1"/>
  <c r="C821" i="5"/>
  <c r="E821" i="5"/>
  <c r="B821" i="5"/>
  <c r="F822" i="5"/>
  <c r="C822" i="5" a="1"/>
  <c r="A822" i="5" a="1"/>
  <c r="E822" i="5" a="1"/>
  <c r="B822" i="5" a="1"/>
  <c r="F823" i="5" a="1"/>
  <c r="F823" i="5" l="1"/>
  <c r="B822" i="5"/>
  <c r="E822" i="5"/>
  <c r="A822" i="5"/>
  <c r="C822" i="5"/>
  <c r="F824" i="5" a="1"/>
  <c r="E823" i="5" a="1"/>
  <c r="B823" i="5" a="1"/>
  <c r="A823" i="5" a="1"/>
  <c r="C823" i="5" a="1"/>
  <c r="C823" i="5" l="1"/>
  <c r="A823" i="5"/>
  <c r="B823" i="5"/>
  <c r="E823" i="5"/>
  <c r="F824" i="5"/>
  <c r="B824" i="5" a="1"/>
  <c r="C824" i="5" a="1"/>
  <c r="E824" i="5" a="1"/>
  <c r="A824" i="5" a="1"/>
  <c r="F825" i="5" a="1"/>
  <c r="F825" i="5" l="1"/>
  <c r="A824" i="5"/>
  <c r="E824" i="5"/>
  <c r="C824" i="5"/>
  <c r="B824" i="5"/>
  <c r="B825" i="5" a="1"/>
  <c r="F826" i="5" a="1"/>
  <c r="A825" i="5" a="1"/>
  <c r="E825" i="5" a="1"/>
  <c r="C825" i="5" a="1"/>
  <c r="C825" i="5" l="1"/>
  <c r="E825" i="5"/>
  <c r="A825" i="5"/>
  <c r="F826" i="5"/>
  <c r="B825" i="5"/>
  <c r="A826" i="5" a="1"/>
  <c r="E826" i="5" a="1"/>
  <c r="B826" i="5" a="1"/>
  <c r="C826" i="5" a="1"/>
  <c r="F827" i="5" a="1"/>
  <c r="F827" i="5" l="1"/>
  <c r="C826" i="5"/>
  <c r="B826" i="5"/>
  <c r="E826" i="5"/>
  <c r="A826" i="5"/>
  <c r="C827" i="5" a="1"/>
  <c r="F828" i="5" a="1"/>
  <c r="A827" i="5" a="1"/>
  <c r="E827" i="5" a="1"/>
  <c r="B827" i="5" a="1"/>
  <c r="B827" i="5" l="1"/>
  <c r="E827" i="5"/>
  <c r="A827" i="5"/>
  <c r="F828" i="5"/>
  <c r="C827" i="5"/>
  <c r="A828" i="5" a="1"/>
  <c r="B828" i="5" a="1"/>
  <c r="C828" i="5" a="1"/>
  <c r="E828" i="5" a="1"/>
  <c r="F829" i="5" a="1"/>
  <c r="F829" i="5" l="1"/>
  <c r="E828" i="5"/>
  <c r="C828" i="5"/>
  <c r="B828" i="5"/>
  <c r="A828" i="5"/>
  <c r="E829" i="5" a="1"/>
  <c r="B829" i="5" a="1"/>
  <c r="C829" i="5" a="1"/>
  <c r="F830" i="5" a="1"/>
  <c r="A829" i="5" a="1"/>
  <c r="A829" i="5" l="1"/>
  <c r="F830" i="5"/>
  <c r="C829" i="5"/>
  <c r="B829" i="5"/>
  <c r="E829" i="5"/>
  <c r="A830" i="5" a="1"/>
  <c r="F831" i="5" a="1"/>
  <c r="C830" i="5" a="1"/>
  <c r="E830" i="5" a="1"/>
  <c r="B830" i="5" a="1"/>
  <c r="B830" i="5" l="1"/>
  <c r="E830" i="5"/>
  <c r="C830" i="5"/>
  <c r="F831" i="5"/>
  <c r="A830" i="5"/>
  <c r="A831" i="5" a="1"/>
  <c r="F832" i="5" a="1"/>
  <c r="E831" i="5" a="1"/>
  <c r="B831" i="5" a="1"/>
  <c r="C831" i="5" a="1"/>
  <c r="C831" i="5" l="1"/>
  <c r="B831" i="5"/>
  <c r="E831" i="5"/>
  <c r="F832" i="5"/>
  <c r="A831" i="5"/>
  <c r="F833" i="5" a="1"/>
  <c r="B832" i="5" a="1"/>
  <c r="C832" i="5" a="1"/>
  <c r="A832" i="5" a="1"/>
  <c r="E832" i="5" a="1"/>
  <c r="E832" i="5" l="1"/>
  <c r="A832" i="5"/>
  <c r="C832" i="5"/>
  <c r="B832" i="5"/>
  <c r="F833" i="5"/>
  <c r="E833" i="5" a="1"/>
  <c r="B833" i="5" a="1"/>
  <c r="C833" i="5" a="1"/>
  <c r="A833" i="5" a="1"/>
  <c r="F834" i="5" a="1"/>
  <c r="F834" i="5" l="1"/>
  <c r="A833" i="5"/>
  <c r="C833" i="5"/>
  <c r="B833" i="5"/>
  <c r="E833" i="5"/>
  <c r="C834" i="5" a="1"/>
  <c r="B834" i="5" a="1"/>
  <c r="A834" i="5" a="1"/>
  <c r="F835" i="5" a="1"/>
  <c r="E834" i="5" a="1"/>
  <c r="E834" i="5" l="1"/>
  <c r="F835" i="5"/>
  <c r="A834" i="5"/>
  <c r="B834" i="5"/>
  <c r="C834" i="5"/>
  <c r="B835" i="5" a="1"/>
  <c r="C835" i="5" a="1"/>
  <c r="A835" i="5" a="1"/>
  <c r="E835" i="5" a="1"/>
  <c r="F836" i="5" a="1"/>
  <c r="F836" i="5" l="1"/>
  <c r="E835" i="5"/>
  <c r="A835" i="5"/>
  <c r="C835" i="5"/>
  <c r="B835" i="5"/>
  <c r="C836" i="5" a="1"/>
  <c r="B836" i="5" a="1"/>
  <c r="A836" i="5" a="1"/>
  <c r="F837" i="5" a="1"/>
  <c r="E836" i="5" a="1"/>
  <c r="E836" i="5" l="1"/>
  <c r="F837" i="5"/>
  <c r="A836" i="5"/>
  <c r="B836" i="5"/>
  <c r="C836" i="5"/>
  <c r="F838" i="5" a="1"/>
  <c r="C837" i="5" a="1"/>
  <c r="E837" i="5" a="1"/>
  <c r="B837" i="5" a="1"/>
  <c r="A837" i="5" a="1"/>
  <c r="A837" i="5" l="1"/>
  <c r="B837" i="5"/>
  <c r="E837" i="5"/>
  <c r="C837" i="5"/>
  <c r="F838" i="5"/>
  <c r="C838" i="5" a="1"/>
  <c r="A838" i="5" a="1"/>
  <c r="E838" i="5" a="1"/>
  <c r="F839" i="5" a="1"/>
  <c r="B838" i="5" a="1"/>
  <c r="B838" i="5" l="1"/>
  <c r="F839" i="5"/>
  <c r="E838" i="5"/>
  <c r="A838" i="5"/>
  <c r="C838" i="5"/>
  <c r="E839" i="5" a="1"/>
  <c r="C839" i="5" a="1"/>
  <c r="B839" i="5" a="1"/>
  <c r="A839" i="5" a="1"/>
  <c r="F840" i="5" a="1"/>
  <c r="F840" i="5" l="1"/>
  <c r="A839" i="5"/>
  <c r="B839" i="5"/>
  <c r="C839" i="5"/>
  <c r="E839" i="5"/>
  <c r="F841" i="5" a="1"/>
  <c r="C840" i="5" a="1"/>
  <c r="E840" i="5" a="1"/>
  <c r="B840" i="5" a="1"/>
  <c r="A840" i="5" a="1"/>
  <c r="A840" i="5" l="1"/>
  <c r="B840" i="5"/>
  <c r="E840" i="5"/>
  <c r="C840" i="5"/>
  <c r="F841" i="5"/>
  <c r="E841" i="5" a="1"/>
  <c r="C841" i="5" a="1"/>
  <c r="A841" i="5" a="1"/>
  <c r="F842" i="5" a="1"/>
  <c r="B841" i="5" a="1"/>
  <c r="B841" i="5" l="1"/>
  <c r="F842" i="5"/>
  <c r="A841" i="5"/>
  <c r="C841" i="5"/>
  <c r="E841" i="5"/>
  <c r="F843" i="5" a="1"/>
  <c r="C842" i="5" a="1"/>
  <c r="E842" i="5" a="1"/>
  <c r="A842" i="5" a="1"/>
  <c r="B842" i="5" a="1"/>
  <c r="B842" i="5" l="1"/>
  <c r="A842" i="5"/>
  <c r="E842" i="5"/>
  <c r="C842" i="5"/>
  <c r="F843" i="5"/>
  <c r="C843" i="5" a="1"/>
  <c r="E843" i="5" a="1"/>
  <c r="F844" i="5" a="1"/>
  <c r="B843" i="5" a="1"/>
  <c r="A843" i="5" a="1"/>
  <c r="A843" i="5" l="1"/>
  <c r="B843" i="5"/>
  <c r="F844" i="5"/>
  <c r="E843" i="5"/>
  <c r="C843" i="5"/>
  <c r="A844" i="5" a="1"/>
  <c r="C844" i="5" a="1"/>
  <c r="F845" i="5" a="1"/>
  <c r="E844" i="5" a="1"/>
  <c r="B844" i="5" a="1"/>
  <c r="B844" i="5" l="1"/>
  <c r="E844" i="5"/>
  <c r="F845" i="5"/>
  <c r="C844" i="5"/>
  <c r="A844" i="5"/>
  <c r="B845" i="5" a="1"/>
  <c r="E845" i="5" a="1"/>
  <c r="F846" i="5" a="1"/>
  <c r="C845" i="5" a="1"/>
  <c r="A845" i="5" a="1"/>
  <c r="A845" i="5" l="1"/>
  <c r="C845" i="5"/>
  <c r="F846" i="5"/>
  <c r="E845" i="5"/>
  <c r="B845" i="5"/>
  <c r="A846" i="5" a="1"/>
  <c r="F847" i="5" a="1"/>
  <c r="E846" i="5" a="1"/>
  <c r="B846" i="5" a="1"/>
  <c r="C846" i="5" a="1"/>
  <c r="C846" i="5" l="1"/>
  <c r="B846" i="5"/>
  <c r="E846" i="5"/>
  <c r="F847" i="5"/>
  <c r="A846" i="5"/>
  <c r="F848" i="5" a="1"/>
  <c r="A847" i="5" a="1"/>
  <c r="B847" i="5" a="1"/>
  <c r="C847" i="5" a="1"/>
  <c r="E847" i="5" a="1"/>
  <c r="E847" i="5" l="1"/>
  <c r="C847" i="5"/>
  <c r="B847" i="5"/>
  <c r="A847" i="5"/>
  <c r="F848" i="5"/>
  <c r="A848" i="5" a="1"/>
  <c r="C848" i="5" a="1"/>
  <c r="F849" i="5" a="1"/>
  <c r="B848" i="5" a="1"/>
  <c r="E848" i="5" a="1"/>
  <c r="E848" i="5" l="1"/>
  <c r="B848" i="5"/>
  <c r="F849" i="5"/>
  <c r="C848" i="5"/>
  <c r="A848" i="5"/>
  <c r="F850" i="5" a="1"/>
  <c r="B849" i="5" a="1"/>
  <c r="C849" i="5" a="1"/>
  <c r="A849" i="5" a="1"/>
  <c r="E849" i="5" a="1"/>
  <c r="E849" i="5" l="1"/>
  <c r="A849" i="5"/>
  <c r="C849" i="5"/>
  <c r="B849" i="5"/>
  <c r="F850" i="5"/>
  <c r="C850" i="5" a="1"/>
  <c r="A850" i="5" a="1"/>
  <c r="B850" i="5" a="1"/>
  <c r="F851" i="5" a="1"/>
  <c r="E850" i="5" a="1"/>
  <c r="E850" i="5" l="1"/>
  <c r="F851" i="5"/>
  <c r="B850" i="5"/>
  <c r="A850" i="5"/>
  <c r="C850" i="5"/>
  <c r="B851" i="5" a="1"/>
  <c r="C851" i="5" a="1"/>
  <c r="E851" i="5" a="1"/>
  <c r="A851" i="5" a="1"/>
  <c r="F852" i="5" a="1"/>
  <c r="F852" i="5" l="1"/>
  <c r="A851" i="5"/>
  <c r="E851" i="5"/>
  <c r="C851" i="5"/>
  <c r="B851" i="5"/>
  <c r="B852" i="5" a="1"/>
  <c r="A852" i="5" a="1"/>
  <c r="C852" i="5" a="1"/>
  <c r="F853" i="5" a="1"/>
  <c r="E852" i="5" a="1"/>
  <c r="E852" i="5" l="1"/>
  <c r="F853" i="5"/>
  <c r="C852" i="5"/>
  <c r="A852" i="5"/>
  <c r="B852" i="5"/>
  <c r="F854" i="5" a="1"/>
  <c r="E853" i="5" a="1"/>
  <c r="A853" i="5" a="1"/>
  <c r="C853" i="5" a="1"/>
  <c r="B853" i="5" a="1"/>
  <c r="B853" i="5" l="1"/>
  <c r="C853" i="5"/>
  <c r="A853" i="5"/>
  <c r="E853" i="5"/>
  <c r="F854" i="5"/>
  <c r="F855" i="5" a="1"/>
  <c r="A854" i="5" a="1"/>
  <c r="E854" i="5" a="1"/>
  <c r="C854" i="5" a="1"/>
  <c r="B854" i="5" a="1"/>
  <c r="B854" i="5" l="1"/>
  <c r="C854" i="5"/>
  <c r="E854" i="5"/>
  <c r="A854" i="5"/>
  <c r="F855" i="5"/>
  <c r="C855" i="5" a="1"/>
  <c r="F856" i="5" a="1"/>
  <c r="B855" i="5" a="1"/>
  <c r="A855" i="5" a="1"/>
  <c r="E855" i="5" a="1"/>
  <c r="E855" i="5" l="1"/>
  <c r="A855" i="5"/>
  <c r="B855" i="5"/>
  <c r="F856" i="5"/>
  <c r="C855" i="5"/>
  <c r="C856" i="5" a="1"/>
  <c r="F857" i="5" a="1"/>
  <c r="B856" i="5" a="1"/>
  <c r="A856" i="5" a="1"/>
  <c r="E856" i="5" a="1"/>
  <c r="E856" i="5" l="1"/>
  <c r="A856" i="5"/>
  <c r="B856" i="5"/>
  <c r="F857" i="5"/>
  <c r="C856" i="5"/>
  <c r="B857" i="5" a="1"/>
  <c r="E857" i="5" a="1"/>
  <c r="F858" i="5" a="1"/>
  <c r="C857" i="5" a="1"/>
  <c r="A857" i="5" a="1"/>
  <c r="A857" i="5" l="1"/>
  <c r="C857" i="5"/>
  <c r="F858" i="5"/>
  <c r="E857" i="5"/>
  <c r="B857" i="5"/>
  <c r="B858" i="5" a="1"/>
  <c r="F859" i="5" a="1"/>
  <c r="A858" i="5" a="1"/>
  <c r="C858" i="5" a="1"/>
  <c r="E858" i="5" a="1"/>
  <c r="E858" i="5" l="1"/>
  <c r="C858" i="5"/>
  <c r="A858" i="5"/>
  <c r="F859" i="5"/>
  <c r="B858" i="5"/>
  <c r="F860" i="5" a="1"/>
  <c r="E859" i="5" a="1"/>
  <c r="A859" i="5" a="1"/>
  <c r="C859" i="5" a="1"/>
  <c r="B859" i="5" a="1"/>
  <c r="B859" i="5" l="1"/>
  <c r="C859" i="5"/>
  <c r="A859" i="5"/>
  <c r="E859" i="5"/>
  <c r="F860" i="5"/>
  <c r="B860" i="5" a="1"/>
  <c r="C860" i="5" a="1"/>
  <c r="F861" i="5" a="1"/>
  <c r="A860" i="5" a="1"/>
  <c r="E860" i="5" a="1"/>
  <c r="E860" i="5" l="1"/>
  <c r="A860" i="5"/>
  <c r="F861" i="5"/>
  <c r="C860" i="5"/>
  <c r="B860" i="5"/>
  <c r="F862" i="5" a="1"/>
  <c r="A861" i="5" a="1"/>
  <c r="E861" i="5" a="1"/>
  <c r="C861" i="5" a="1"/>
  <c r="B861" i="5" a="1"/>
  <c r="B861" i="5" l="1"/>
  <c r="C861" i="5"/>
  <c r="E861" i="5"/>
  <c r="A861" i="5"/>
  <c r="F862" i="5"/>
  <c r="C862" i="5" a="1"/>
  <c r="B862" i="5" a="1"/>
  <c r="E862" i="5" a="1"/>
  <c r="F863" i="5" a="1"/>
  <c r="A862" i="5" a="1"/>
  <c r="A862" i="5" l="1"/>
  <c r="F863" i="5"/>
  <c r="E862" i="5"/>
  <c r="B862" i="5"/>
  <c r="C862" i="5"/>
  <c r="E863" i="5" a="1"/>
  <c r="A863" i="5" a="1"/>
  <c r="B863" i="5" a="1"/>
  <c r="F864" i="5" a="1"/>
  <c r="C863" i="5" a="1"/>
  <c r="C863" i="5" l="1"/>
  <c r="F864" i="5"/>
  <c r="B863" i="5"/>
  <c r="A863" i="5"/>
  <c r="E863" i="5"/>
  <c r="C864" i="5" a="1"/>
  <c r="E864" i="5" a="1"/>
  <c r="F865" i="5" a="1"/>
  <c r="B864" i="5" a="1"/>
  <c r="A864" i="5" a="1"/>
  <c r="A864" i="5" l="1"/>
  <c r="B864" i="5"/>
  <c r="F865" i="5"/>
  <c r="E864" i="5"/>
  <c r="C864" i="5"/>
  <c r="F866" i="5" a="1"/>
  <c r="B865" i="5" a="1"/>
  <c r="C865" i="5" a="1"/>
  <c r="E865" i="5" a="1"/>
  <c r="A865" i="5" a="1"/>
  <c r="A865" i="5" l="1"/>
  <c r="E865" i="5"/>
  <c r="C865" i="5"/>
  <c r="B865" i="5"/>
  <c r="F866" i="5"/>
  <c r="F867" i="5" a="1"/>
  <c r="B866" i="5" a="1"/>
  <c r="A866" i="5" a="1"/>
  <c r="E866" i="5" a="1"/>
  <c r="C866" i="5" a="1"/>
  <c r="C866" i="5" l="1"/>
  <c r="E866" i="5"/>
  <c r="A866" i="5"/>
  <c r="B866" i="5"/>
  <c r="F867" i="5"/>
  <c r="F868" i="5" a="1"/>
  <c r="C867" i="5" a="1"/>
  <c r="B867" i="5" a="1"/>
  <c r="E867" i="5" a="1"/>
  <c r="A867" i="5" a="1"/>
  <c r="A867" i="5" l="1"/>
  <c r="E867" i="5"/>
  <c r="B867" i="5"/>
  <c r="C867" i="5"/>
  <c r="F868" i="5"/>
  <c r="B868" i="5" a="1"/>
  <c r="E868" i="5" a="1"/>
  <c r="F869" i="5" a="1"/>
  <c r="A868" i="5" a="1"/>
  <c r="C868" i="5" a="1"/>
  <c r="C868" i="5" l="1"/>
  <c r="A868" i="5"/>
  <c r="F869" i="5"/>
  <c r="E868" i="5"/>
  <c r="B868" i="5"/>
  <c r="E869" i="5" a="1"/>
  <c r="A869" i="5" a="1"/>
  <c r="F870" i="5" a="1"/>
  <c r="C869" i="5" a="1"/>
  <c r="B869" i="5" a="1"/>
  <c r="B869" i="5" l="1"/>
  <c r="C869" i="5"/>
  <c r="F870" i="5"/>
  <c r="A869" i="5"/>
  <c r="E869" i="5"/>
  <c r="B870" i="5" a="1"/>
  <c r="A870" i="5" a="1"/>
  <c r="F871" i="5" a="1"/>
  <c r="C870" i="5" a="1"/>
  <c r="E870" i="5" a="1"/>
  <c r="E870" i="5" l="1"/>
  <c r="C870" i="5"/>
  <c r="F871" i="5"/>
  <c r="A870" i="5"/>
  <c r="B870" i="5"/>
  <c r="F872" i="5" a="1"/>
  <c r="E871" i="5" a="1"/>
  <c r="B871" i="5" a="1"/>
  <c r="C871" i="5" a="1"/>
  <c r="A871" i="5" a="1"/>
  <c r="A871" i="5" l="1"/>
  <c r="C871" i="5"/>
  <c r="B871" i="5"/>
  <c r="E871" i="5"/>
  <c r="F872" i="5"/>
  <c r="C872" i="5" a="1"/>
  <c r="F873" i="5" a="1"/>
  <c r="B872" i="5" a="1"/>
  <c r="A872" i="5" a="1"/>
  <c r="E872" i="5" a="1"/>
  <c r="E872" i="5" l="1"/>
  <c r="A872" i="5"/>
  <c r="B872" i="5"/>
  <c r="F873" i="5"/>
  <c r="C872" i="5"/>
  <c r="C873" i="5" a="1"/>
  <c r="A873" i="5" a="1"/>
  <c r="F874" i="5" a="1"/>
  <c r="E873" i="5" a="1"/>
  <c r="B873" i="5" a="1"/>
  <c r="B873" i="5" l="1"/>
  <c r="E873" i="5"/>
  <c r="F874" i="5"/>
  <c r="A873" i="5"/>
  <c r="C873" i="5"/>
  <c r="C874" i="5" a="1"/>
  <c r="B874" i="5" a="1"/>
  <c r="E874" i="5" a="1"/>
  <c r="A874" i="5" a="1"/>
  <c r="F875" i="5" a="1"/>
  <c r="F875" i="5" l="1"/>
  <c r="A874" i="5"/>
  <c r="E874" i="5"/>
  <c r="B874" i="5"/>
  <c r="C874" i="5"/>
  <c r="E875" i="5" a="1"/>
  <c r="F876" i="5" a="1"/>
  <c r="B875" i="5" a="1"/>
  <c r="C875" i="5" a="1"/>
  <c r="A875" i="5" a="1"/>
  <c r="A875" i="5" l="1"/>
  <c r="C875" i="5"/>
  <c r="B875" i="5"/>
  <c r="F876" i="5"/>
  <c r="E875" i="5"/>
  <c r="B876" i="5" a="1"/>
  <c r="E876" i="5" a="1"/>
  <c r="A876" i="5" a="1"/>
  <c r="F877" i="5" a="1"/>
  <c r="C876" i="5" a="1"/>
  <c r="C876" i="5" l="1"/>
  <c r="F877" i="5"/>
  <c r="A876" i="5"/>
  <c r="E876" i="5"/>
  <c r="B876" i="5"/>
  <c r="C877" i="5" a="1"/>
  <c r="A877" i="5" a="1"/>
  <c r="E877" i="5" a="1"/>
  <c r="F878" i="5" a="1"/>
  <c r="B877" i="5" a="1"/>
  <c r="B877" i="5" l="1"/>
  <c r="F878" i="5"/>
  <c r="E877" i="5"/>
  <c r="A877" i="5"/>
  <c r="C877" i="5"/>
  <c r="F879" i="5" a="1"/>
  <c r="A878" i="5" a="1"/>
  <c r="C878" i="5" a="1"/>
  <c r="B878" i="5" a="1"/>
  <c r="E878" i="5" a="1"/>
  <c r="E878" i="5" l="1"/>
  <c r="B878" i="5"/>
  <c r="C878" i="5"/>
  <c r="A878" i="5"/>
  <c r="F879" i="5"/>
  <c r="E879" i="5" a="1"/>
  <c r="F880" i="5" a="1"/>
  <c r="A879" i="5" a="1"/>
  <c r="B879" i="5" a="1"/>
  <c r="C879" i="5" a="1"/>
  <c r="C879" i="5" l="1"/>
  <c r="B879" i="5"/>
  <c r="A879" i="5"/>
  <c r="F880" i="5"/>
  <c r="E879" i="5"/>
  <c r="C880" i="5" a="1"/>
  <c r="B880" i="5" a="1"/>
  <c r="E880" i="5" a="1"/>
  <c r="A880" i="5" a="1"/>
  <c r="F881" i="5" a="1"/>
  <c r="F881" i="5" l="1"/>
  <c r="A880" i="5"/>
  <c r="E880" i="5"/>
  <c r="B880" i="5"/>
  <c r="C880" i="5"/>
  <c r="C881" i="5" a="1"/>
  <c r="F882" i="5" a="1"/>
  <c r="A881" i="5" a="1"/>
  <c r="E881" i="5" a="1"/>
  <c r="B881" i="5" a="1"/>
  <c r="B881" i="5" l="1"/>
  <c r="E881" i="5"/>
  <c r="A881" i="5"/>
  <c r="F882" i="5"/>
  <c r="C881" i="5"/>
  <c r="F883" i="5" a="1"/>
  <c r="B882" i="5" a="1"/>
  <c r="E882" i="5" a="1"/>
  <c r="A882" i="5" a="1"/>
  <c r="C882" i="5" a="1"/>
  <c r="C882" i="5" l="1"/>
  <c r="A882" i="5"/>
  <c r="E882" i="5"/>
  <c r="B882" i="5"/>
  <c r="F883" i="5"/>
  <c r="A883" i="5" a="1"/>
  <c r="E883" i="5" a="1"/>
  <c r="C883" i="5" a="1"/>
  <c r="B883" i="5" a="1"/>
  <c r="F884" i="5" a="1"/>
  <c r="F884" i="5" l="1"/>
  <c r="B883" i="5"/>
  <c r="C883" i="5"/>
  <c r="E883" i="5"/>
  <c r="A883" i="5"/>
  <c r="C884" i="5" a="1"/>
  <c r="B884" i="5" a="1"/>
  <c r="A884" i="5" a="1"/>
  <c r="E884" i="5" a="1"/>
  <c r="F885" i="5" a="1"/>
  <c r="F885" i="5" l="1"/>
  <c r="E884" i="5"/>
  <c r="A884" i="5"/>
  <c r="B884" i="5"/>
  <c r="C884" i="5"/>
  <c r="E885" i="5" a="1"/>
  <c r="B885" i="5" a="1"/>
  <c r="A885" i="5" a="1"/>
  <c r="C885" i="5" a="1"/>
  <c r="F886" i="5" a="1"/>
  <c r="F886" i="5" l="1"/>
  <c r="C885" i="5"/>
  <c r="A885" i="5"/>
  <c r="B885" i="5"/>
  <c r="E885" i="5"/>
  <c r="B886" i="5" a="1"/>
  <c r="C886" i="5" a="1"/>
  <c r="A886" i="5" a="1"/>
  <c r="E886" i="5" a="1"/>
  <c r="F887" i="5" a="1"/>
  <c r="F887" i="5" l="1"/>
  <c r="E886" i="5"/>
  <c r="A886" i="5"/>
  <c r="C886" i="5"/>
  <c r="B886" i="5"/>
  <c r="B887" i="5" a="1"/>
  <c r="E887" i="5" a="1"/>
  <c r="A887" i="5" a="1"/>
  <c r="C887" i="5" a="1"/>
  <c r="F888" i="5" a="1"/>
  <c r="F888" i="5" l="1"/>
  <c r="C887" i="5"/>
  <c r="A887" i="5"/>
  <c r="E887" i="5"/>
  <c r="B887" i="5"/>
  <c r="C888" i="5" a="1"/>
  <c r="B888" i="5" a="1"/>
  <c r="F889" i="5" a="1"/>
  <c r="A888" i="5" a="1"/>
  <c r="E888" i="5" a="1"/>
  <c r="E888" i="5" l="1"/>
  <c r="A888" i="5"/>
  <c r="F889" i="5"/>
  <c r="B888" i="5"/>
  <c r="C888" i="5"/>
  <c r="F890" i="5" a="1"/>
  <c r="B889" i="5" a="1"/>
  <c r="C889" i="5" a="1"/>
  <c r="E889" i="5" a="1"/>
  <c r="A889" i="5" a="1"/>
  <c r="A889" i="5" l="1"/>
  <c r="E889" i="5"/>
  <c r="C889" i="5"/>
  <c r="B889" i="5"/>
  <c r="F890" i="5"/>
  <c r="F891" i="5" a="1"/>
  <c r="A890" i="5" a="1"/>
  <c r="C890" i="5" a="1"/>
  <c r="B890" i="5" a="1"/>
  <c r="E890" i="5" a="1"/>
  <c r="E890" i="5" l="1"/>
  <c r="B890" i="5"/>
  <c r="C890" i="5"/>
  <c r="A890" i="5"/>
  <c r="F891" i="5"/>
  <c r="C891" i="5" a="1"/>
  <c r="E891" i="5" a="1"/>
  <c r="B891" i="5" a="1"/>
  <c r="A891" i="5" a="1"/>
  <c r="F892" i="5" a="1"/>
  <c r="F892" i="5" l="1"/>
  <c r="A891" i="5"/>
  <c r="B891" i="5"/>
  <c r="E891" i="5"/>
  <c r="C891" i="5"/>
  <c r="F893" i="5" a="1"/>
  <c r="B892" i="5" a="1"/>
  <c r="C892" i="5" a="1"/>
  <c r="E892" i="5" a="1"/>
  <c r="A892" i="5" a="1"/>
  <c r="A892" i="5" l="1"/>
  <c r="E892" i="5"/>
  <c r="C892" i="5"/>
  <c r="B892" i="5"/>
  <c r="F893" i="5"/>
  <c r="B893" i="5" a="1"/>
  <c r="C893" i="5" a="1"/>
  <c r="F894" i="5" a="1"/>
  <c r="A893" i="5" a="1"/>
  <c r="E893" i="5" a="1"/>
  <c r="E893" i="5" l="1"/>
  <c r="A893" i="5"/>
  <c r="F894" i="5"/>
  <c r="C893" i="5"/>
  <c r="B893" i="5"/>
  <c r="F895" i="5" a="1"/>
  <c r="E894" i="5" a="1"/>
  <c r="A894" i="5" a="1"/>
  <c r="C894" i="5" a="1"/>
  <c r="B894" i="5" a="1"/>
  <c r="B894" i="5" l="1"/>
  <c r="C894" i="5"/>
  <c r="A894" i="5"/>
  <c r="E894" i="5"/>
  <c r="F895" i="5"/>
  <c r="F896" i="5" a="1"/>
  <c r="B895" i="5" a="1"/>
  <c r="E895" i="5" a="1"/>
  <c r="A895" i="5" a="1"/>
  <c r="C895" i="5" a="1"/>
  <c r="C895" i="5" l="1"/>
  <c r="A895" i="5"/>
  <c r="E895" i="5"/>
  <c r="B895" i="5"/>
  <c r="F896" i="5"/>
  <c r="E896" i="5" a="1"/>
  <c r="A896" i="5" a="1"/>
  <c r="F897" i="5" a="1"/>
  <c r="C896" i="5" a="1"/>
  <c r="B896" i="5" a="1"/>
  <c r="B896" i="5" l="1"/>
  <c r="C896" i="5"/>
  <c r="F897" i="5"/>
  <c r="A896" i="5"/>
  <c r="E896" i="5"/>
  <c r="F898" i="5" a="1"/>
  <c r="C897" i="5" a="1"/>
  <c r="E897" i="5" a="1"/>
  <c r="A897" i="5" a="1"/>
  <c r="B897" i="5" a="1"/>
  <c r="B897" i="5" l="1"/>
  <c r="A897" i="5"/>
  <c r="E897" i="5"/>
  <c r="C897" i="5"/>
  <c r="F898" i="5"/>
  <c r="F899" i="5" a="1"/>
  <c r="E898" i="5" a="1"/>
  <c r="B898" i="5" a="1"/>
  <c r="C898" i="5" a="1"/>
  <c r="A898" i="5" a="1"/>
  <c r="A898" i="5" l="1"/>
  <c r="C898" i="5"/>
  <c r="B898" i="5"/>
  <c r="E898" i="5"/>
  <c r="F899" i="5"/>
  <c r="C899" i="5" a="1"/>
  <c r="E899" i="5" a="1"/>
  <c r="F900" i="5" a="1"/>
  <c r="A899" i="5" a="1"/>
  <c r="B899" i="5" a="1"/>
  <c r="B899" i="5" l="1"/>
  <c r="A899" i="5"/>
  <c r="F900" i="5"/>
  <c r="E899" i="5"/>
  <c r="C899" i="5"/>
  <c r="E900" i="5" a="1"/>
  <c r="F901" i="5" a="1"/>
  <c r="C900" i="5" a="1"/>
  <c r="A900" i="5" a="1"/>
  <c r="B900" i="5" a="1"/>
  <c r="B900" i="5" l="1"/>
  <c r="A900" i="5"/>
  <c r="C900" i="5"/>
  <c r="F901" i="5"/>
  <c r="E900" i="5"/>
  <c r="F902" i="5" a="1"/>
  <c r="C901" i="5" a="1"/>
  <c r="E901" i="5" a="1"/>
  <c r="A901" i="5" a="1"/>
  <c r="B901" i="5" a="1"/>
  <c r="B901" i="5" l="1"/>
  <c r="A901" i="5"/>
  <c r="E901" i="5"/>
  <c r="C901" i="5"/>
  <c r="F902" i="5"/>
  <c r="E902" i="5" a="1"/>
  <c r="C902" i="5" a="1"/>
  <c r="A902" i="5" a="1"/>
  <c r="B902" i="5" a="1"/>
  <c r="F903" i="5" a="1"/>
  <c r="F903" i="5" l="1"/>
  <c r="B902" i="5"/>
  <c r="A902" i="5"/>
  <c r="C902" i="5"/>
  <c r="E902" i="5"/>
  <c r="A903" i="5" a="1"/>
  <c r="C903" i="5" a="1"/>
  <c r="B903" i="5" a="1"/>
  <c r="E903" i="5" a="1"/>
  <c r="F904" i="5" a="1"/>
  <c r="F904" i="5" l="1"/>
  <c r="E903" i="5"/>
  <c r="B903" i="5"/>
  <c r="C903" i="5"/>
  <c r="A903" i="5"/>
  <c r="B904" i="5" a="1"/>
  <c r="E904" i="5" a="1"/>
  <c r="C904" i="5" a="1"/>
  <c r="A904" i="5" a="1"/>
  <c r="F905" i="5" a="1"/>
  <c r="F905" i="5" l="1"/>
  <c r="A904" i="5"/>
  <c r="C904" i="5"/>
  <c r="E904" i="5"/>
  <c r="B904" i="5"/>
  <c r="A905" i="5" a="1"/>
  <c r="E905" i="5" a="1"/>
  <c r="B905" i="5" a="1"/>
  <c r="F906" i="5" a="1"/>
  <c r="C905" i="5" a="1"/>
  <c r="C905" i="5" l="1"/>
  <c r="F906" i="5"/>
  <c r="B905" i="5"/>
  <c r="E905" i="5"/>
  <c r="A905" i="5"/>
  <c r="E906" i="5" a="1"/>
  <c r="C906" i="5" a="1"/>
  <c r="B906" i="5" a="1"/>
  <c r="A906" i="5" a="1"/>
  <c r="F907" i="5" a="1"/>
  <c r="F907" i="5" l="1"/>
  <c r="A906" i="5"/>
  <c r="B906" i="5"/>
  <c r="C906" i="5"/>
  <c r="E906" i="5"/>
  <c r="F908" i="5" a="1"/>
  <c r="A907" i="5" a="1"/>
  <c r="B907" i="5" a="1"/>
  <c r="E907" i="5" a="1"/>
  <c r="C907" i="5" a="1"/>
  <c r="C907" i="5" l="1"/>
  <c r="E907" i="5"/>
  <c r="B907" i="5"/>
  <c r="A907" i="5"/>
  <c r="F908" i="5"/>
  <c r="A908" i="5" a="1"/>
  <c r="F909" i="5" a="1"/>
  <c r="E908" i="5" a="1"/>
  <c r="C908" i="5" a="1"/>
  <c r="B908" i="5" a="1"/>
  <c r="B908" i="5" l="1"/>
  <c r="C908" i="5"/>
  <c r="E908" i="5"/>
  <c r="F909" i="5"/>
  <c r="A908" i="5"/>
  <c r="A909" i="5" a="1"/>
  <c r="E909" i="5" a="1"/>
  <c r="B909" i="5" a="1"/>
  <c r="C909" i="5" a="1"/>
  <c r="F910" i="5" a="1"/>
  <c r="F910" i="5" l="1"/>
  <c r="C909" i="5"/>
  <c r="B909" i="5"/>
  <c r="E909" i="5"/>
  <c r="A909" i="5"/>
  <c r="A910" i="5" a="1"/>
  <c r="B910" i="5" a="1"/>
  <c r="C910" i="5" a="1"/>
  <c r="F911" i="5" a="1"/>
  <c r="E910" i="5" a="1"/>
  <c r="E910" i="5" l="1"/>
  <c r="F911" i="5"/>
  <c r="C910" i="5"/>
  <c r="B910" i="5"/>
  <c r="A910" i="5"/>
  <c r="F912" i="5" a="1"/>
  <c r="C911" i="5" a="1"/>
  <c r="A911" i="5" a="1"/>
  <c r="E911" i="5" a="1"/>
  <c r="B911" i="5" a="1"/>
  <c r="B911" i="5" l="1"/>
  <c r="E911" i="5"/>
  <c r="A911" i="5"/>
  <c r="C911" i="5"/>
  <c r="F912" i="5"/>
  <c r="E912" i="5" a="1"/>
  <c r="C912" i="5" a="1"/>
  <c r="A912" i="5" a="1"/>
  <c r="F913" i="5" a="1"/>
  <c r="B912" i="5" a="1"/>
  <c r="B912" i="5" l="1"/>
  <c r="F913" i="5"/>
  <c r="A912" i="5"/>
  <c r="C912" i="5"/>
  <c r="E912" i="5"/>
  <c r="F914" i="5" a="1"/>
  <c r="C913" i="5" a="1"/>
  <c r="A913" i="5" a="1"/>
  <c r="E913" i="5" a="1"/>
  <c r="B913" i="5" a="1"/>
  <c r="B913" i="5" l="1"/>
  <c r="E913" i="5"/>
  <c r="A913" i="5"/>
  <c r="C913" i="5"/>
  <c r="F914" i="5"/>
  <c r="B914" i="5" a="1"/>
  <c r="F915" i="5" a="1"/>
  <c r="A914" i="5" a="1"/>
  <c r="E914" i="5" a="1"/>
  <c r="C914" i="5" a="1"/>
  <c r="C914" i="5" l="1"/>
  <c r="E914" i="5"/>
  <c r="A914" i="5"/>
  <c r="F915" i="5"/>
  <c r="B914" i="5"/>
  <c r="B915" i="5" a="1"/>
  <c r="A915" i="5" a="1"/>
  <c r="E915" i="5" a="1"/>
  <c r="C915" i="5" a="1"/>
  <c r="F916" i="5" a="1"/>
  <c r="F916" i="5" l="1"/>
  <c r="C915" i="5"/>
  <c r="E915" i="5"/>
  <c r="A915" i="5"/>
  <c r="B915" i="5"/>
  <c r="A916" i="5" a="1"/>
  <c r="F917" i="5" a="1"/>
  <c r="E916" i="5" a="1"/>
  <c r="B916" i="5" a="1"/>
  <c r="C916" i="5" a="1"/>
  <c r="C916" i="5" l="1"/>
  <c r="B916" i="5"/>
  <c r="E916" i="5"/>
  <c r="F917" i="5"/>
  <c r="A916" i="5"/>
  <c r="B917" i="5" a="1"/>
  <c r="A917" i="5" a="1"/>
  <c r="F918" i="5" a="1"/>
  <c r="C917" i="5" a="1"/>
  <c r="E917" i="5" a="1"/>
  <c r="E917" i="5" l="1"/>
  <c r="C917" i="5"/>
  <c r="F918" i="5"/>
  <c r="A917" i="5"/>
  <c r="B917" i="5"/>
  <c r="B918" i="5" a="1"/>
  <c r="C918" i="5" a="1"/>
  <c r="E918" i="5" a="1"/>
  <c r="A918" i="5" a="1"/>
  <c r="F919" i="5" a="1"/>
  <c r="F919" i="5" l="1"/>
  <c r="A918" i="5"/>
  <c r="E918" i="5"/>
  <c r="C918" i="5"/>
  <c r="B918" i="5"/>
  <c r="C919" i="5" a="1"/>
  <c r="F920" i="5" a="1"/>
  <c r="E919" i="5" a="1"/>
  <c r="A919" i="5" a="1"/>
  <c r="B919" i="5" a="1"/>
  <c r="B919" i="5" l="1"/>
  <c r="A919" i="5"/>
  <c r="E919" i="5"/>
  <c r="F920" i="5"/>
  <c r="C919" i="5"/>
  <c r="C920" i="5" a="1"/>
  <c r="B920" i="5" a="1"/>
  <c r="F921" i="5" a="1"/>
  <c r="A920" i="5" a="1"/>
  <c r="E920" i="5" a="1"/>
  <c r="E920" i="5" l="1"/>
  <c r="A920" i="5"/>
  <c r="F921" i="5"/>
  <c r="B920" i="5"/>
  <c r="C920" i="5"/>
  <c r="A921" i="5" a="1"/>
  <c r="E921" i="5" a="1"/>
  <c r="F922" i="5" a="1"/>
  <c r="B921" i="5" a="1"/>
  <c r="C921" i="5" a="1"/>
  <c r="C921" i="5" l="1"/>
  <c r="B921" i="5"/>
  <c r="F922" i="5"/>
  <c r="E921" i="5"/>
  <c r="A921" i="5"/>
  <c r="B922" i="5" a="1"/>
  <c r="A922" i="5" a="1"/>
  <c r="C922" i="5" a="1"/>
  <c r="F923" i="5" a="1"/>
  <c r="E922" i="5" a="1"/>
  <c r="E922" i="5" l="1"/>
  <c r="F923" i="5"/>
  <c r="C922" i="5"/>
  <c r="A922" i="5"/>
  <c r="B922" i="5"/>
  <c r="C923" i="5" a="1"/>
  <c r="A923" i="5" a="1"/>
  <c r="E923" i="5" a="1"/>
  <c r="F924" i="5" a="1"/>
  <c r="B923" i="5" a="1"/>
  <c r="B923" i="5" l="1"/>
  <c r="F924" i="5"/>
  <c r="E923" i="5"/>
  <c r="A923" i="5"/>
  <c r="C923" i="5"/>
  <c r="A924" i="5" a="1"/>
  <c r="B924" i="5" a="1"/>
  <c r="E924" i="5" a="1"/>
  <c r="F925" i="5" a="1"/>
  <c r="C924" i="5" a="1"/>
  <c r="C924" i="5" l="1"/>
  <c r="F925" i="5"/>
  <c r="E924" i="5"/>
  <c r="B924" i="5"/>
  <c r="A924" i="5"/>
  <c r="F926" i="5" a="1"/>
  <c r="E925" i="5" a="1"/>
  <c r="B925" i="5" a="1"/>
  <c r="C925" i="5" a="1"/>
  <c r="A925" i="5" a="1"/>
  <c r="A925" i="5" l="1"/>
  <c r="C925" i="5"/>
  <c r="B925" i="5"/>
  <c r="E925" i="5"/>
  <c r="F926" i="5"/>
  <c r="C926" i="5" a="1"/>
  <c r="E926" i="5" a="1"/>
  <c r="F927" i="5" a="1"/>
  <c r="B926" i="5" a="1"/>
  <c r="A926" i="5" a="1"/>
  <c r="A926" i="5" l="1"/>
  <c r="B926" i="5"/>
  <c r="F927" i="5"/>
  <c r="E926" i="5"/>
  <c r="C926" i="5"/>
  <c r="B927" i="5" a="1"/>
  <c r="A927" i="5" a="1"/>
  <c r="E927" i="5" a="1"/>
  <c r="F928" i="5" a="1"/>
  <c r="C927" i="5" a="1"/>
  <c r="C927" i="5" l="1"/>
  <c r="F928" i="5"/>
  <c r="E927" i="5"/>
  <c r="A927" i="5"/>
  <c r="B927" i="5"/>
  <c r="F929" i="5" a="1"/>
  <c r="C928" i="5" a="1"/>
  <c r="B928" i="5" a="1"/>
  <c r="A928" i="5" a="1"/>
  <c r="E928" i="5" a="1"/>
  <c r="E928" i="5" l="1"/>
  <c r="A928" i="5"/>
  <c r="B928" i="5"/>
  <c r="C928" i="5"/>
  <c r="F929" i="5"/>
  <c r="C929" i="5" a="1"/>
  <c r="A929" i="5" a="1"/>
  <c r="F930" i="5" a="1"/>
  <c r="E929" i="5" a="1"/>
  <c r="B929" i="5" a="1"/>
  <c r="B929" i="5" l="1"/>
  <c r="E929" i="5"/>
  <c r="F930" i="5"/>
  <c r="A929" i="5"/>
  <c r="C929" i="5"/>
  <c r="B930" i="5" a="1"/>
  <c r="C930" i="5" a="1"/>
  <c r="F931" i="5" a="1"/>
  <c r="A930" i="5" a="1"/>
  <c r="E930" i="5" a="1"/>
  <c r="E930" i="5" l="1"/>
  <c r="A930" i="5"/>
  <c r="F931" i="5"/>
  <c r="C930" i="5"/>
  <c r="B930" i="5"/>
  <c r="E931" i="5" a="1"/>
  <c r="B931" i="5" a="1"/>
  <c r="C931" i="5" a="1"/>
  <c r="F932" i="5" a="1"/>
  <c r="A931" i="5" a="1"/>
  <c r="A931" i="5" l="1"/>
  <c r="F932" i="5"/>
  <c r="C931" i="5"/>
  <c r="B931" i="5"/>
  <c r="E931" i="5"/>
  <c r="F933" i="5" a="1"/>
  <c r="B932" i="5" a="1"/>
  <c r="E932" i="5" a="1"/>
  <c r="A932" i="5" a="1"/>
  <c r="C932" i="5" a="1"/>
  <c r="C932" i="5" l="1"/>
  <c r="A932" i="5"/>
  <c r="E932" i="5"/>
  <c r="B932" i="5"/>
  <c r="F933" i="5"/>
  <c r="E933" i="5" a="1"/>
  <c r="B933" i="5" a="1"/>
  <c r="F934" i="5" a="1"/>
  <c r="C933" i="5" a="1"/>
  <c r="A933" i="5" a="1"/>
  <c r="A933" i="5" l="1"/>
  <c r="C933" i="5"/>
  <c r="F934" i="5"/>
  <c r="B933" i="5"/>
  <c r="E933" i="5"/>
  <c r="A934" i="5" a="1"/>
  <c r="F935" i="5" a="1"/>
  <c r="E934" i="5" a="1"/>
  <c r="B934" i="5" a="1"/>
  <c r="C934" i="5" a="1"/>
  <c r="C934" i="5" l="1"/>
  <c r="B934" i="5"/>
  <c r="E934" i="5"/>
  <c r="F935" i="5"/>
  <c r="A934" i="5"/>
  <c r="C935" i="5" a="1"/>
  <c r="E935" i="5" a="1"/>
  <c r="F936" i="5" a="1"/>
  <c r="B935" i="5" a="1"/>
  <c r="A935" i="5" a="1"/>
  <c r="A935" i="5" l="1"/>
  <c r="B935" i="5"/>
  <c r="F936" i="5"/>
  <c r="E935" i="5"/>
  <c r="C935" i="5"/>
  <c r="B936" i="5" a="1"/>
  <c r="F937" i="5" a="1"/>
  <c r="A936" i="5" a="1"/>
  <c r="C936" i="5" a="1"/>
  <c r="E936" i="5" a="1"/>
  <c r="E936" i="5" l="1"/>
  <c r="C936" i="5"/>
  <c r="A936" i="5"/>
  <c r="F937" i="5"/>
  <c r="B936" i="5"/>
  <c r="B937" i="5" a="1"/>
  <c r="E937" i="5" a="1"/>
  <c r="A937" i="5" a="1"/>
  <c r="F938" i="5" a="1"/>
  <c r="C937" i="5" a="1"/>
  <c r="C937" i="5" l="1"/>
  <c r="F938" i="5"/>
  <c r="A937" i="5"/>
  <c r="E937" i="5"/>
  <c r="B937" i="5"/>
  <c r="F939" i="5" a="1"/>
  <c r="B938" i="5" a="1"/>
  <c r="A938" i="5" a="1"/>
  <c r="E938" i="5" a="1"/>
  <c r="C938" i="5" a="1"/>
  <c r="C938" i="5" l="1"/>
  <c r="E938" i="5"/>
  <c r="A938" i="5"/>
  <c r="B938" i="5"/>
  <c r="F939" i="5"/>
  <c r="B939" i="5" a="1"/>
  <c r="E939" i="5" a="1"/>
  <c r="F940" i="5" a="1"/>
  <c r="A939" i="5" a="1"/>
  <c r="C939" i="5" a="1"/>
  <c r="C939" i="5" l="1"/>
  <c r="A939" i="5"/>
  <c r="F940" i="5"/>
  <c r="E939" i="5"/>
  <c r="B939" i="5"/>
  <c r="B940" i="5" a="1"/>
  <c r="A940" i="5" a="1"/>
  <c r="C940" i="5" a="1"/>
  <c r="F941" i="5" a="1"/>
  <c r="E940" i="5" a="1"/>
  <c r="E940" i="5" l="1"/>
  <c r="F941" i="5"/>
  <c r="C940" i="5"/>
  <c r="A940" i="5"/>
  <c r="B940" i="5"/>
  <c r="B941" i="5" a="1"/>
  <c r="A941" i="5" a="1"/>
  <c r="F942" i="5" a="1"/>
  <c r="E941" i="5" a="1"/>
  <c r="C941" i="5" a="1"/>
  <c r="C941" i="5" l="1"/>
  <c r="E941" i="5"/>
  <c r="F942" i="5"/>
  <c r="A941" i="5"/>
  <c r="B941" i="5"/>
  <c r="B942" i="5" a="1"/>
  <c r="E942" i="5" a="1"/>
  <c r="A942" i="5" a="1"/>
  <c r="F943" i="5" a="1"/>
  <c r="C942" i="5" a="1"/>
  <c r="C942" i="5" l="1"/>
  <c r="F943" i="5"/>
  <c r="A942" i="5"/>
  <c r="E942" i="5"/>
  <c r="B942" i="5"/>
  <c r="F944" i="5" a="1"/>
  <c r="B943" i="5" a="1"/>
  <c r="A943" i="5" a="1"/>
  <c r="C943" i="5" a="1"/>
  <c r="E943" i="5" a="1"/>
  <c r="E943" i="5" l="1"/>
  <c r="C943" i="5"/>
  <c r="A943" i="5"/>
  <c r="B943" i="5"/>
  <c r="F944" i="5"/>
  <c r="C944" i="5" a="1"/>
  <c r="B944" i="5" a="1"/>
  <c r="E944" i="5" a="1"/>
  <c r="F945" i="5" a="1"/>
  <c r="A944" i="5" a="1"/>
  <c r="A944" i="5" l="1"/>
  <c r="F945" i="5"/>
  <c r="E944" i="5"/>
  <c r="B944" i="5"/>
  <c r="C944" i="5"/>
  <c r="A945" i="5" a="1"/>
  <c r="B945" i="5" a="1"/>
  <c r="C945" i="5" a="1"/>
  <c r="E945" i="5" a="1"/>
  <c r="F946" i="5" a="1"/>
  <c r="F946" i="5" l="1"/>
  <c r="E945" i="5"/>
  <c r="C945" i="5"/>
  <c r="B945" i="5"/>
  <c r="A945" i="5"/>
  <c r="A946" i="5" a="1"/>
  <c r="E946" i="5" a="1"/>
  <c r="B946" i="5" a="1"/>
  <c r="C946" i="5" a="1"/>
  <c r="F947" i="5" a="1"/>
  <c r="F947" i="5" l="1"/>
  <c r="C946" i="5"/>
  <c r="B946" i="5"/>
  <c r="E946" i="5"/>
  <c r="A946" i="5"/>
  <c r="F948" i="5" a="1"/>
  <c r="A947" i="5" a="1"/>
  <c r="C947" i="5" a="1"/>
  <c r="E947" i="5" a="1"/>
  <c r="B947" i="5" a="1"/>
  <c r="B947" i="5" l="1"/>
  <c r="E947" i="5"/>
  <c r="C947" i="5"/>
  <c r="A947" i="5"/>
  <c r="F948" i="5"/>
  <c r="F949" i="5" a="1"/>
  <c r="C948" i="5" a="1"/>
  <c r="E948" i="5" a="1"/>
  <c r="A948" i="5" a="1"/>
  <c r="B948" i="5" a="1"/>
  <c r="B948" i="5" l="1"/>
  <c r="A948" i="5"/>
  <c r="E948" i="5"/>
  <c r="C948" i="5"/>
  <c r="F949" i="5"/>
  <c r="F950" i="5" a="1"/>
  <c r="B949" i="5" a="1"/>
  <c r="A949" i="5" a="1"/>
  <c r="E949" i="5" a="1"/>
  <c r="C949" i="5" a="1"/>
  <c r="C949" i="5" l="1"/>
  <c r="E949" i="5"/>
  <c r="A949" i="5"/>
  <c r="B949" i="5"/>
  <c r="F950" i="5"/>
  <c r="A950" i="5" a="1"/>
  <c r="C950" i="5" a="1"/>
  <c r="F951" i="5" a="1"/>
  <c r="B950" i="5" a="1"/>
  <c r="E950" i="5" a="1"/>
  <c r="E950" i="5" l="1"/>
  <c r="B950" i="5"/>
  <c r="F951" i="5"/>
  <c r="C950" i="5"/>
  <c r="A950" i="5"/>
  <c r="C951" i="5" a="1"/>
  <c r="A951" i="5" a="1"/>
  <c r="B951" i="5" a="1"/>
  <c r="E951" i="5" a="1"/>
  <c r="F952" i="5" a="1"/>
  <c r="F952" i="5" l="1"/>
  <c r="E951" i="5"/>
  <c r="B951" i="5"/>
  <c r="A951" i="5"/>
  <c r="C951" i="5"/>
  <c r="C952" i="5" a="1"/>
  <c r="B952" i="5" a="1"/>
  <c r="F953" i="5" a="1"/>
  <c r="E952" i="5" a="1"/>
  <c r="A952" i="5" a="1"/>
  <c r="A952" i="5" l="1"/>
  <c r="E952" i="5"/>
  <c r="F953" i="5"/>
  <c r="B952" i="5"/>
  <c r="C952" i="5"/>
  <c r="C953" i="5" a="1"/>
  <c r="E953" i="5" a="1"/>
  <c r="B953" i="5" a="1"/>
  <c r="A953" i="5" a="1"/>
  <c r="F954" i="5" a="1"/>
  <c r="F954" i="5" l="1"/>
  <c r="A953" i="5"/>
  <c r="B953" i="5"/>
  <c r="E953" i="5"/>
  <c r="C953" i="5"/>
  <c r="E954" i="5" a="1"/>
  <c r="B954" i="5" a="1"/>
  <c r="A954" i="5" a="1"/>
  <c r="C954" i="5" a="1"/>
  <c r="F955" i="5" a="1"/>
  <c r="F955" i="5" l="1"/>
  <c r="C954" i="5"/>
  <c r="A954" i="5"/>
  <c r="B954" i="5"/>
  <c r="E954" i="5"/>
  <c r="A955" i="5" a="1"/>
  <c r="C955" i="5" a="1"/>
  <c r="B955" i="5" a="1"/>
  <c r="E955" i="5" a="1"/>
  <c r="F956" i="5" a="1"/>
  <c r="F956" i="5" l="1"/>
  <c r="E955" i="5"/>
  <c r="B955" i="5"/>
  <c r="C955" i="5"/>
  <c r="A955" i="5"/>
  <c r="B956" i="5" a="1"/>
  <c r="E956" i="5" a="1"/>
  <c r="A956" i="5" a="1"/>
  <c r="C956" i="5" a="1"/>
  <c r="F957" i="5" a="1"/>
  <c r="F957" i="5" l="1"/>
  <c r="C956" i="5"/>
  <c r="A956" i="5"/>
  <c r="E956" i="5"/>
  <c r="B956" i="5"/>
  <c r="E957" i="5" a="1"/>
  <c r="A957" i="5" a="1"/>
  <c r="C957" i="5" a="1"/>
  <c r="B957" i="5" a="1"/>
  <c r="F958" i="5" a="1"/>
  <c r="F958" i="5" l="1"/>
  <c r="B957" i="5"/>
  <c r="C957" i="5"/>
  <c r="A957" i="5"/>
  <c r="E957" i="5"/>
  <c r="C958" i="5" a="1"/>
  <c r="E958" i="5" a="1"/>
  <c r="A958" i="5" a="1"/>
  <c r="B958" i="5" a="1"/>
  <c r="F959" i="5" a="1"/>
  <c r="F959" i="5" l="1"/>
  <c r="B958" i="5"/>
  <c r="A958" i="5"/>
  <c r="E958" i="5"/>
  <c r="C958" i="5"/>
  <c r="A959" i="5" a="1"/>
  <c r="B959" i="5" a="1"/>
  <c r="C959" i="5" a="1"/>
  <c r="E959" i="5" a="1"/>
  <c r="F960" i="5" a="1"/>
  <c r="F960" i="5" l="1"/>
  <c r="E959" i="5"/>
  <c r="C959" i="5"/>
  <c r="B959" i="5"/>
  <c r="A959" i="5"/>
  <c r="A960" i="5" a="1"/>
  <c r="C960" i="5" a="1"/>
  <c r="F961" i="5" a="1"/>
  <c r="B960" i="5" a="1"/>
  <c r="E960" i="5" a="1"/>
  <c r="E960" i="5" l="1"/>
  <c r="B960" i="5"/>
  <c r="F961" i="5"/>
  <c r="C960" i="5"/>
  <c r="A960" i="5"/>
  <c r="C961" i="5" a="1"/>
  <c r="E961" i="5" a="1"/>
  <c r="B961" i="5" a="1"/>
  <c r="A961" i="5" a="1"/>
  <c r="F962" i="5" a="1"/>
  <c r="F962" i="5" l="1"/>
  <c r="A961" i="5"/>
  <c r="B961" i="5"/>
  <c r="E961" i="5"/>
  <c r="C961" i="5"/>
  <c r="E962" i="5" a="1"/>
  <c r="F963" i="5" a="1"/>
  <c r="C962" i="5" a="1"/>
  <c r="B962" i="5" a="1"/>
  <c r="A962" i="5" a="1"/>
  <c r="A962" i="5" l="1"/>
  <c r="B962" i="5"/>
  <c r="C962" i="5"/>
  <c r="F963" i="5"/>
  <c r="E962" i="5"/>
  <c r="C963" i="5" a="1"/>
  <c r="A963" i="5" a="1"/>
  <c r="E963" i="5" a="1"/>
  <c r="F964" i="5" a="1"/>
  <c r="B963" i="5" a="1"/>
  <c r="B963" i="5" l="1"/>
  <c r="F964" i="5"/>
  <c r="E963" i="5"/>
  <c r="A963" i="5"/>
  <c r="C963" i="5"/>
  <c r="E964" i="5" a="1"/>
  <c r="B964" i="5" a="1"/>
  <c r="A964" i="5" a="1"/>
  <c r="F965" i="5" a="1"/>
  <c r="C964" i="5" a="1"/>
  <c r="C964" i="5" l="1"/>
  <c r="F965" i="5"/>
  <c r="A964" i="5"/>
  <c r="B964" i="5"/>
  <c r="E964" i="5"/>
  <c r="E965" i="5" a="1"/>
  <c r="C965" i="5" a="1"/>
  <c r="F966" i="5" a="1"/>
  <c r="B965" i="5" a="1"/>
  <c r="A965" i="5" a="1"/>
  <c r="A965" i="5" l="1"/>
  <c r="B965" i="5"/>
  <c r="F966" i="5"/>
  <c r="C965" i="5"/>
  <c r="E965" i="5"/>
  <c r="C966" i="5" a="1"/>
  <c r="F967" i="5" a="1"/>
  <c r="E966" i="5" a="1"/>
  <c r="A966" i="5" a="1"/>
  <c r="B966" i="5" a="1"/>
  <c r="B966" i="5" l="1"/>
  <c r="A966" i="5"/>
  <c r="E966" i="5"/>
  <c r="F967" i="5"/>
  <c r="C966" i="5"/>
  <c r="E967" i="5" a="1"/>
  <c r="C967" i="5" a="1"/>
  <c r="F968" i="5" a="1"/>
  <c r="B967" i="5" a="1"/>
  <c r="A967" i="5" a="1"/>
  <c r="A967" i="5" l="1"/>
  <c r="B967" i="5"/>
  <c r="F968" i="5"/>
  <c r="C967" i="5"/>
  <c r="E967" i="5"/>
  <c r="C968" i="5" a="1"/>
  <c r="A968" i="5" a="1"/>
  <c r="F969" i="5" a="1"/>
  <c r="B968" i="5" a="1"/>
  <c r="E968" i="5" a="1"/>
  <c r="E968" i="5" l="1"/>
  <c r="B968" i="5"/>
  <c r="F969" i="5"/>
  <c r="A968" i="5"/>
  <c r="C968" i="5"/>
  <c r="B969" i="5" a="1"/>
  <c r="A969" i="5" a="1"/>
  <c r="E969" i="5" a="1"/>
  <c r="C969" i="5" a="1"/>
  <c r="F970" i="5" a="1"/>
  <c r="F970" i="5" l="1"/>
  <c r="C969" i="5"/>
  <c r="E969" i="5"/>
  <c r="A969" i="5"/>
  <c r="B969" i="5"/>
  <c r="F971" i="5" a="1"/>
  <c r="C970" i="5" a="1"/>
  <c r="A970" i="5" a="1"/>
  <c r="B970" i="5" a="1"/>
  <c r="E970" i="5" a="1"/>
  <c r="E970" i="5" l="1"/>
  <c r="B970" i="5"/>
  <c r="A970" i="5"/>
  <c r="C970" i="5"/>
  <c r="F971" i="5"/>
  <c r="E971" i="5" a="1"/>
  <c r="C971" i="5" a="1"/>
  <c r="A971" i="5" a="1"/>
  <c r="B971" i="5" a="1"/>
  <c r="F972" i="5" a="1"/>
  <c r="F972" i="5" l="1"/>
  <c r="B971" i="5"/>
  <c r="A971" i="5"/>
  <c r="C971" i="5"/>
  <c r="E971" i="5"/>
  <c r="E972" i="5" a="1"/>
  <c r="F973" i="5" a="1"/>
  <c r="B972" i="5" a="1"/>
  <c r="C972" i="5" a="1"/>
  <c r="A972" i="5" a="1"/>
  <c r="A972" i="5" l="1"/>
  <c r="C972" i="5"/>
  <c r="B972" i="5"/>
  <c r="F973" i="5"/>
  <c r="E972" i="5"/>
  <c r="A973" i="5" a="1"/>
  <c r="B973" i="5" a="1"/>
  <c r="C973" i="5" a="1"/>
  <c r="E973" i="5" a="1"/>
  <c r="F974" i="5" a="1"/>
  <c r="F974" i="5" l="1"/>
  <c r="E973" i="5"/>
  <c r="C973" i="5"/>
  <c r="B973" i="5"/>
  <c r="A973" i="5"/>
  <c r="C974" i="5" a="1"/>
  <c r="E974" i="5" a="1"/>
  <c r="F975" i="5" a="1"/>
  <c r="B974" i="5" a="1"/>
  <c r="A974" i="5" a="1"/>
  <c r="A974" i="5" l="1"/>
  <c r="B974" i="5"/>
  <c r="F975" i="5"/>
  <c r="E974" i="5"/>
  <c r="C974" i="5"/>
  <c r="E975" i="5" a="1"/>
  <c r="F976" i="5" a="1"/>
  <c r="B975" i="5" a="1"/>
  <c r="C975" i="5" a="1"/>
  <c r="A975" i="5" a="1"/>
  <c r="A975" i="5" l="1"/>
  <c r="C975" i="5"/>
  <c r="B975" i="5"/>
  <c r="F976" i="5"/>
  <c r="E975" i="5"/>
  <c r="A976" i="5" a="1"/>
  <c r="B976" i="5" a="1"/>
  <c r="E976" i="5" a="1"/>
  <c r="C976" i="5" a="1"/>
  <c r="F977" i="5" a="1"/>
  <c r="F977" i="5" l="1"/>
  <c r="C976" i="5"/>
  <c r="E976" i="5"/>
  <c r="B976" i="5"/>
  <c r="A976" i="5"/>
  <c r="F978" i="5" a="1"/>
  <c r="A977" i="5" a="1"/>
  <c r="C977" i="5" a="1"/>
  <c r="B977" i="5" a="1"/>
  <c r="E977" i="5" a="1"/>
  <c r="E977" i="5" l="1"/>
  <c r="B977" i="5"/>
  <c r="C977" i="5"/>
  <c r="A977" i="5"/>
  <c r="F978" i="5"/>
  <c r="B978" i="5" a="1"/>
  <c r="C978" i="5" a="1"/>
  <c r="E978" i="5" a="1"/>
  <c r="F979" i="5" a="1"/>
  <c r="A978" i="5" a="1"/>
  <c r="A978" i="5" l="1"/>
  <c r="F979" i="5"/>
  <c r="E978" i="5"/>
  <c r="C978" i="5"/>
  <c r="B978" i="5"/>
  <c r="C979" i="5" a="1"/>
  <c r="B979" i="5" a="1"/>
  <c r="E979" i="5" a="1"/>
  <c r="F980" i="5" a="1"/>
  <c r="A979" i="5" a="1"/>
  <c r="A979" i="5" l="1"/>
  <c r="F980" i="5"/>
  <c r="E979" i="5"/>
  <c r="B979" i="5"/>
  <c r="C979" i="5"/>
  <c r="A980" i="5" a="1"/>
  <c r="B980" i="5" a="1"/>
  <c r="F981" i="5" a="1"/>
  <c r="C980" i="5" a="1"/>
  <c r="E980" i="5" a="1"/>
  <c r="E980" i="5" l="1"/>
  <c r="C980" i="5"/>
  <c r="F981" i="5"/>
  <c r="B980" i="5"/>
  <c r="A980" i="5"/>
  <c r="A981" i="5" a="1"/>
  <c r="E981" i="5" a="1"/>
  <c r="B981" i="5" a="1"/>
  <c r="C981" i="5" a="1"/>
  <c r="F982" i="5" a="1"/>
  <c r="F982" i="5" l="1"/>
  <c r="C981" i="5"/>
  <c r="B981" i="5"/>
  <c r="E981" i="5"/>
  <c r="A981" i="5"/>
  <c r="B982" i="5" a="1"/>
  <c r="E982" i="5" a="1"/>
  <c r="F983" i="5" a="1"/>
  <c r="A982" i="5" a="1"/>
  <c r="C982" i="5" a="1"/>
  <c r="C982" i="5" l="1"/>
  <c r="A982" i="5"/>
  <c r="F983" i="5"/>
  <c r="E982" i="5"/>
  <c r="B982" i="5"/>
  <c r="E983" i="5" a="1"/>
  <c r="F984" i="5" a="1"/>
  <c r="A983" i="5" a="1"/>
  <c r="B983" i="5" a="1"/>
  <c r="C983" i="5" a="1"/>
  <c r="C983" i="5" l="1"/>
  <c r="B983" i="5"/>
  <c r="A983" i="5"/>
  <c r="F984" i="5"/>
  <c r="E983" i="5"/>
  <c r="E984" i="5" a="1"/>
  <c r="A984" i="5" a="1"/>
  <c r="F985" i="5" a="1"/>
  <c r="C984" i="5" a="1"/>
  <c r="B984" i="5" a="1"/>
  <c r="B984" i="5" l="1"/>
  <c r="C984" i="5"/>
  <c r="F985" i="5"/>
  <c r="A984" i="5"/>
  <c r="E984" i="5"/>
  <c r="F986" i="5" a="1"/>
  <c r="E985" i="5" a="1"/>
  <c r="A985" i="5" a="1"/>
  <c r="C985" i="5" a="1"/>
  <c r="B985" i="5" a="1"/>
  <c r="B985" i="5" l="1"/>
  <c r="C985" i="5"/>
  <c r="A985" i="5"/>
  <c r="E985" i="5"/>
  <c r="F986" i="5"/>
  <c r="F987" i="5" a="1"/>
  <c r="C986" i="5" a="1"/>
  <c r="E986" i="5" a="1"/>
  <c r="A986" i="5" a="1"/>
  <c r="B986" i="5" a="1"/>
  <c r="B986" i="5" l="1"/>
  <c r="A986" i="5"/>
  <c r="E986" i="5"/>
  <c r="C986" i="5"/>
  <c r="F987" i="5"/>
  <c r="B987" i="5" a="1"/>
  <c r="E987" i="5" a="1"/>
  <c r="C987" i="5" a="1"/>
  <c r="F988" i="5" a="1"/>
  <c r="A987" i="5" a="1"/>
  <c r="A987" i="5" l="1"/>
  <c r="F988" i="5"/>
  <c r="C987" i="5"/>
  <c r="E987" i="5"/>
  <c r="B987" i="5"/>
  <c r="B988" i="5" a="1"/>
  <c r="C988" i="5" a="1"/>
  <c r="F989" i="5" a="1"/>
  <c r="E988" i="5" a="1"/>
  <c r="A988" i="5" a="1"/>
  <c r="A988" i="5" l="1"/>
  <c r="E988" i="5"/>
  <c r="F989" i="5"/>
  <c r="C988" i="5"/>
  <c r="B988" i="5"/>
  <c r="C989" i="5" a="1"/>
  <c r="A989" i="5" a="1"/>
  <c r="B989" i="5" a="1"/>
  <c r="F990" i="5" a="1"/>
  <c r="E989" i="5" a="1"/>
  <c r="E989" i="5" l="1"/>
  <c r="F990" i="5"/>
  <c r="B989" i="5"/>
  <c r="A989" i="5"/>
  <c r="C989" i="5"/>
  <c r="C990" i="5" a="1"/>
  <c r="B990" i="5" a="1"/>
  <c r="F991" i="5" a="1"/>
  <c r="E990" i="5" a="1"/>
  <c r="A990" i="5" a="1"/>
  <c r="A990" i="5" l="1"/>
  <c r="E990" i="5"/>
  <c r="F991" i="5"/>
  <c r="B990" i="5"/>
  <c r="C990" i="5"/>
  <c r="A991" i="5" a="1"/>
  <c r="C991" i="5" a="1"/>
  <c r="F992" i="5" a="1"/>
  <c r="B991" i="5" a="1"/>
  <c r="E991" i="5" a="1"/>
  <c r="E991" i="5" l="1"/>
  <c r="B991" i="5"/>
  <c r="F992" i="5"/>
  <c r="C991" i="5"/>
  <c r="A991" i="5"/>
  <c r="C992" i="5" a="1"/>
  <c r="B992" i="5" a="1"/>
  <c r="E992" i="5" a="1"/>
  <c r="A992" i="5" a="1"/>
  <c r="F993" i="5" a="1"/>
  <c r="F993" i="5" l="1"/>
  <c r="A992" i="5"/>
  <c r="E992" i="5"/>
  <c r="B992" i="5"/>
  <c r="C992" i="5"/>
  <c r="E993" i="5" a="1"/>
  <c r="A993" i="5" a="1"/>
  <c r="C993" i="5" a="1"/>
  <c r="F994" i="5" a="1"/>
  <c r="B993" i="5" a="1"/>
  <c r="B993" i="5" l="1"/>
  <c r="F994" i="5"/>
  <c r="C993" i="5"/>
  <c r="A993" i="5"/>
  <c r="E993" i="5"/>
  <c r="A994" i="5" a="1"/>
  <c r="C994" i="5" a="1"/>
  <c r="E994" i="5" a="1"/>
  <c r="F995" i="5" a="1"/>
  <c r="B994" i="5" a="1"/>
  <c r="B994" i="5" l="1"/>
  <c r="F995" i="5"/>
  <c r="E994" i="5"/>
  <c r="C994" i="5"/>
  <c r="A994" i="5"/>
  <c r="B995" i="5" a="1"/>
  <c r="C995" i="5" a="1"/>
  <c r="E995" i="5" a="1"/>
  <c r="A995" i="5" a="1"/>
  <c r="F996" i="5" a="1"/>
  <c r="F996" i="5" l="1"/>
  <c r="A995" i="5"/>
  <c r="E995" i="5"/>
  <c r="C995" i="5"/>
  <c r="B995" i="5"/>
  <c r="C996" i="5" a="1"/>
  <c r="F997" i="5" a="1"/>
  <c r="B996" i="5" a="1"/>
  <c r="E996" i="5" a="1"/>
  <c r="A996" i="5" a="1"/>
  <c r="A996" i="5" l="1"/>
  <c r="E996" i="5"/>
  <c r="B996" i="5"/>
  <c r="F997" i="5"/>
  <c r="C996" i="5"/>
  <c r="F998" i="5" a="1"/>
  <c r="E997" i="5" a="1"/>
  <c r="A997" i="5" a="1"/>
  <c r="B997" i="5" a="1"/>
  <c r="C997" i="5" a="1"/>
  <c r="C997" i="5" l="1"/>
  <c r="B997" i="5"/>
  <c r="A997" i="5"/>
  <c r="E997" i="5"/>
  <c r="F998" i="5"/>
  <c r="C998" i="5" a="1"/>
  <c r="A998" i="5" a="1"/>
  <c r="E998" i="5" a="1"/>
  <c r="B998" i="5" a="1"/>
  <c r="F999" i="5" a="1"/>
  <c r="F999" i="5" l="1"/>
  <c r="B998" i="5"/>
  <c r="E998" i="5"/>
  <c r="A998" i="5"/>
  <c r="C998" i="5"/>
  <c r="B999" i="5" a="1"/>
  <c r="E999" i="5" a="1"/>
  <c r="A999" i="5" a="1"/>
  <c r="F1000" i="5" a="1"/>
  <c r="C999" i="5" a="1"/>
  <c r="C999" i="5" l="1"/>
  <c r="F1000" i="5"/>
  <c r="A999" i="5"/>
  <c r="E999" i="5"/>
  <c r="B999" i="5"/>
  <c r="B1000" i="5" a="1"/>
  <c r="A1000" i="5" a="1"/>
  <c r="E1000" i="5" a="1"/>
  <c r="F1001" i="5" a="1"/>
  <c r="C1000" i="5" a="1"/>
  <c r="C1000" i="5" l="1"/>
  <c r="F1001" i="5"/>
  <c r="E1000" i="5"/>
  <c r="A1000" i="5"/>
  <c r="B1000" i="5"/>
  <c r="E1001" i="5" a="1"/>
  <c r="A1001" i="5" a="1"/>
  <c r="C1001" i="5" a="1"/>
  <c r="F1002" i="5" a="1"/>
  <c r="B1001" i="5" a="1"/>
  <c r="B1001" i="5" l="1"/>
  <c r="F1002" i="5"/>
  <c r="C1001" i="5"/>
  <c r="A1001" i="5"/>
  <c r="E1001" i="5"/>
  <c r="A1002" i="5" a="1"/>
  <c r="E1002" i="5" a="1"/>
  <c r="C1002" i="5" a="1"/>
  <c r="B1002" i="5" a="1"/>
  <c r="F1003" i="5" a="1"/>
  <c r="F1003" i="5" l="1"/>
  <c r="B1002" i="5"/>
  <c r="C1002" i="5"/>
  <c r="E1002" i="5"/>
  <c r="A1002" i="5"/>
  <c r="A1003" i="5" a="1"/>
  <c r="B1003" i="5" a="1"/>
  <c r="E1003" i="5" a="1"/>
  <c r="F1004" i="5" a="1"/>
  <c r="C1003" i="5" a="1"/>
  <c r="C1003" i="5" l="1"/>
  <c r="F1004" i="5"/>
  <c r="E1003" i="5"/>
  <c r="B1003" i="5"/>
  <c r="A1003" i="5"/>
  <c r="F1005" i="5" a="1"/>
  <c r="A1004" i="5" a="1"/>
  <c r="B1004" i="5" a="1"/>
  <c r="E1004" i="5" a="1"/>
  <c r="C1004" i="5" a="1"/>
  <c r="C1004" i="5" l="1"/>
  <c r="E1004" i="5"/>
  <c r="B1004" i="5"/>
  <c r="A1004" i="5"/>
  <c r="F1005" i="5"/>
  <c r="A1005" i="5" a="1"/>
  <c r="F1006" i="5" a="1"/>
  <c r="E1005" i="5" a="1"/>
  <c r="C1005" i="5" a="1"/>
  <c r="B1005" i="5" a="1"/>
  <c r="B1005" i="5" l="1"/>
  <c r="C1005" i="5"/>
  <c r="E1005" i="5"/>
  <c r="F1006" i="5"/>
  <c r="A1005" i="5"/>
  <c r="F1007" i="5" a="1"/>
  <c r="E1006" i="5" a="1"/>
  <c r="A1006" i="5" a="1"/>
  <c r="B1006" i="5" a="1"/>
  <c r="C1006" i="5" a="1"/>
  <c r="C1006" i="5" l="1"/>
  <c r="B1006" i="5"/>
  <c r="A1006" i="5"/>
  <c r="E1006" i="5"/>
  <c r="F1007" i="5"/>
  <c r="E1007" i="5" a="1"/>
  <c r="B1007" i="5" a="1"/>
  <c r="A1007" i="5" a="1"/>
  <c r="F1008" i="5" a="1"/>
  <c r="C1007" i="5" a="1"/>
  <c r="C1007" i="5" l="1"/>
  <c r="F1008" i="5"/>
  <c r="A1007" i="5"/>
  <c r="B1007" i="5"/>
  <c r="E1007" i="5"/>
  <c r="A1008" i="5" a="1"/>
  <c r="F1009" i="5" a="1"/>
  <c r="B1008" i="5" a="1"/>
  <c r="E1008" i="5" a="1"/>
  <c r="C1008" i="5" a="1"/>
  <c r="C1008" i="5" l="1"/>
  <c r="E1008" i="5"/>
  <c r="B1008" i="5"/>
  <c r="F1009" i="5"/>
  <c r="A1008" i="5"/>
  <c r="A1009" i="5" a="1"/>
  <c r="C1009" i="5" a="1"/>
  <c r="E1009" i="5" a="1"/>
  <c r="F1010" i="5" a="1"/>
  <c r="B1009" i="5" a="1"/>
  <c r="B1009" i="5" l="1"/>
  <c r="F1010" i="5"/>
  <c r="E1009" i="5"/>
  <c r="C1009" i="5"/>
  <c r="A1009" i="5"/>
  <c r="A1010" i="5" a="1"/>
  <c r="B1010" i="5" a="1"/>
  <c r="E1010" i="5" a="1"/>
  <c r="C1010" i="5" a="1"/>
  <c r="F1011" i="5" a="1"/>
  <c r="F1011" i="5" l="1"/>
  <c r="C1010" i="5"/>
  <c r="E1010" i="5"/>
  <c r="B1010" i="5"/>
  <c r="A1010" i="5"/>
  <c r="C1011" i="5" a="1"/>
  <c r="F1012" i="5" a="1"/>
  <c r="E1011" i="5" a="1"/>
  <c r="B1011" i="5" a="1"/>
  <c r="A1011" i="5" a="1"/>
  <c r="A1011" i="5" l="1"/>
  <c r="B1011" i="5"/>
  <c r="E1011" i="5"/>
  <c r="F1012" i="5"/>
  <c r="C1011" i="5"/>
  <c r="A1012" i="5" a="1"/>
  <c r="F1013" i="5" a="1"/>
  <c r="B1012" i="5" a="1"/>
  <c r="C1012" i="5" a="1"/>
  <c r="E1012" i="5" a="1"/>
  <c r="E1012" i="5" l="1"/>
  <c r="C1012" i="5"/>
  <c r="B1012" i="5"/>
  <c r="F1013" i="5"/>
  <c r="A1012" i="5"/>
  <c r="B1013" i="5" a="1"/>
  <c r="E1013" i="5" a="1"/>
  <c r="A1013" i="5" a="1"/>
  <c r="C1013" i="5" a="1"/>
  <c r="F1014" i="5" a="1"/>
  <c r="F1014" i="5" l="1"/>
  <c r="C1013" i="5"/>
  <c r="A1013" i="5"/>
  <c r="E1013" i="5"/>
  <c r="B1013" i="5"/>
  <c r="A1014" i="5" a="1"/>
  <c r="C1014" i="5" a="1"/>
  <c r="E1014" i="5" a="1"/>
  <c r="F1015" i="5" a="1"/>
  <c r="B1014" i="5" a="1"/>
  <c r="B1014" i="5" l="1"/>
  <c r="F1015" i="5"/>
  <c r="E1014" i="5"/>
  <c r="C1014" i="5"/>
  <c r="A1014" i="5"/>
  <c r="C1015" i="5" a="1"/>
  <c r="A1015" i="5" a="1"/>
  <c r="B1015" i="5" a="1"/>
  <c r="E1015" i="5" a="1"/>
  <c r="F1016" i="5" a="1"/>
  <c r="F1016" i="5" l="1"/>
  <c r="E1015" i="5"/>
  <c r="B1015" i="5"/>
  <c r="A1015" i="5"/>
  <c r="C1015" i="5"/>
  <c r="F1017" i="5" a="1"/>
  <c r="C1016" i="5" a="1"/>
  <c r="A1016" i="5" a="1"/>
  <c r="E1016" i="5" a="1"/>
  <c r="B1016" i="5" a="1"/>
  <c r="B1016" i="5" l="1"/>
  <c r="E1016" i="5"/>
  <c r="A1016" i="5"/>
  <c r="C1016" i="5"/>
  <c r="F1017" i="5"/>
  <c r="B1017" i="5" a="1"/>
  <c r="A1017" i="5" a="1"/>
  <c r="C1017" i="5" a="1"/>
  <c r="F1018" i="5" a="1"/>
  <c r="E1017" i="5" a="1"/>
  <c r="E1017" i="5" l="1"/>
  <c r="F1018" i="5"/>
  <c r="C1017" i="5"/>
  <c r="A1017" i="5"/>
  <c r="B1017" i="5"/>
  <c r="E1018" i="5" a="1"/>
  <c r="F1019" i="5" a="1"/>
  <c r="A1018" i="5" a="1"/>
  <c r="B1018" i="5" a="1"/>
  <c r="C1018" i="5" a="1"/>
  <c r="C1018" i="5" l="1"/>
  <c r="B1018" i="5"/>
  <c r="A1018" i="5"/>
  <c r="F1019" i="5"/>
  <c r="E1018" i="5"/>
  <c r="E1019" i="5" a="1"/>
  <c r="A1019" i="5" a="1"/>
  <c r="B1019" i="5" a="1"/>
  <c r="C1019" i="5" a="1"/>
  <c r="F1020" i="5" a="1"/>
  <c r="F1020" i="5" l="1"/>
  <c r="C1019" i="5"/>
  <c r="B1019" i="5"/>
  <c r="A1019" i="5"/>
  <c r="E1019" i="5"/>
  <c r="E1020" i="5" a="1"/>
  <c r="C1020" i="5" a="1"/>
  <c r="A1020" i="5" a="1"/>
  <c r="F1021" i="5" a="1"/>
  <c r="B1020" i="5" a="1"/>
  <c r="B1020" i="5" l="1"/>
  <c r="F1021" i="5"/>
  <c r="A1020" i="5"/>
  <c r="C1020" i="5"/>
  <c r="E1020" i="5"/>
  <c r="A1021" i="5" a="1"/>
  <c r="E1021" i="5" a="1"/>
  <c r="C1021" i="5" a="1"/>
  <c r="B1021" i="5" a="1"/>
  <c r="F1022" i="5" a="1"/>
  <c r="F1022" i="5" l="1"/>
  <c r="B1021" i="5"/>
  <c r="C1021" i="5"/>
  <c r="E1021" i="5"/>
  <c r="A1021" i="5"/>
  <c r="B1022" i="5" a="1"/>
  <c r="E1022" i="5" a="1"/>
  <c r="A1022" i="5" a="1"/>
  <c r="C1022" i="5" a="1"/>
  <c r="F1023" i="5" a="1"/>
  <c r="F1023" i="5" l="1"/>
  <c r="C1022" i="5"/>
  <c r="A1022" i="5"/>
  <c r="E1022" i="5"/>
  <c r="B1022" i="5"/>
  <c r="C1023" i="5" a="1"/>
  <c r="B1023" i="5" a="1"/>
  <c r="A1023" i="5" a="1"/>
  <c r="E1023" i="5" a="1"/>
  <c r="F1024" i="5" a="1"/>
  <c r="F1024" i="5" l="1"/>
  <c r="E1023" i="5"/>
  <c r="A1023" i="5"/>
  <c r="B1023" i="5"/>
  <c r="C1023" i="5"/>
  <c r="B1024" i="5" a="1"/>
  <c r="A1024" i="5" a="1"/>
  <c r="E1024" i="5" a="1"/>
  <c r="C1024" i="5" a="1"/>
  <c r="C1024" i="5" l="1"/>
  <c r="E1024" i="5"/>
  <c r="A1024" i="5"/>
  <c r="B102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Middleton - Smith</author>
  </authors>
  <commentList>
    <comment ref="AU2" authorId="0" shapeId="0" xr:uid="{9CED572E-0B33-4E31-950F-6DE3547BCAA5}">
      <text>
        <r>
          <rPr>
            <sz val="11"/>
            <color theme="1"/>
            <rFont val="Aptos Narrow"/>
            <family val="2"/>
            <scheme val="minor"/>
          </rPr>
          <t>Edward Middleton - Smith:
=IF(ISERROR(MIN(FILTER(tbl_Sourcing[Source Unit Cost], (tbl_Sourcing[Product Id]=[@[Collector Booster Box Product Id]])*(tbl_Sourcing[Active]=TRUE)))), "", MIN(FILTER(tbl_Sourcing[Source Unit Cost], (tbl_Sourcing[Product Id]=[@[Collector Booster Box Product Id]])*(tbl_Sourcing[Active]=TRUE))))</t>
        </r>
      </text>
    </comment>
    <comment ref="AV2" authorId="0" shapeId="0" xr:uid="{DEFFFC49-06CD-49DE-86E4-E10CCE301C72}">
      <text>
        <r>
          <rPr>
            <sz val="11"/>
            <color theme="1"/>
            <rFont val="Aptos Narrow"/>
            <family val="2"/>
            <scheme val="minor"/>
          </rPr>
          <t>Edward Middleton - Smith:
=IF(ISERROR(INDEX(FILTER(tbl_Sourcing[Source Name], (tbl_Sourcing[Product Id]=[@[Collector Booster Box Product Id]])*(tbl_Sourcing[Active]=TRUE)*(tbl_Sourcing[Source Unit Cost]=[@[Collector Booster Box Cost]])), 1)), "", INDEX(FILTER(tbl_Sourcing[Source Name], (tbl_Sourcing[Product Id]=[@[Collector Booster Box Product Id]])*(tbl_Sourcing[Active]=TRUE)*(tbl_Sourcing[Source Unit Cost]=[@[Collector Booster Box Cost]])), 1))</t>
        </r>
      </text>
    </comment>
    <comment ref="BP2" authorId="0" shapeId="0" xr:uid="{C22228FD-C42A-4159-92B6-7A3242E67091}">
      <text>
        <r>
          <rPr>
            <sz val="11"/>
            <color theme="1"/>
            <rFont val="Aptos Narrow"/>
            <family val="2"/>
            <scheme val="minor"/>
          </rPr>
          <t>Edward Middleton - Smith:
=[@[Play Booster Expected Market Value]]&gt;[@[Play Boost Sealed Market Value]]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Middleton - Smith</author>
  </authors>
  <commentList>
    <comment ref="G1" authorId="0" shapeId="0" xr:uid="{93D781B1-B1A5-4FE0-AB09-FF2127909C77}">
      <text>
        <r>
          <rPr>
            <sz val="11"/>
            <color theme="1"/>
            <rFont val="Aptos Narrow"/>
            <family val="2"/>
            <scheme val="minor"/>
          </rPr>
          <t>Edward Middleton - Smith:
=OR(tbl_Sourcing[@Active]=1, tbl_Sourcing[@Active]="1", tbl_Sourcing[@Active]=TRUE, tbl_Sourcing[@Active]="TRUE")</t>
        </r>
      </text>
    </comment>
    <comment ref="AV1" authorId="0" shapeId="0" xr:uid="{7401E64A-B7CE-4153-B7EF-6BE9DBE919B1}">
      <text>
        <r>
          <rPr>
            <sz val="11"/>
            <color theme="1"/>
            <rFont val="Aptos Narrow"/>
            <family val="2"/>
            <scheme val="minor"/>
          </rPr>
          <t>Edward Middleton - Smith:
=IF([@[Source Name]]="Card Market", [@[Index Card Market]], IF([@[Source Name]]="Chaos Cards", [@[Index Chaos Cards]]+MAX([Index Card Market]), IF([@[Source Name]]="Games Lore", [@[Index Games Lore]]+MAX([Index Card Market])+MAX([Index Chaos Cards]), IF([@[Source Name]]="Magic Madhouse", [@[Index Magic Madhouse]]+MAX([Index Card Market])+MAX([Index Chaos Cards])+MAX([Index Games Lore]), -1))))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<sst xmlns="http://schemas.openxmlformats.org/spreadsheetml/2006/main" count="7245" uniqueCount="2666">
  <si>
    <t>Rank</t>
  </si>
  <si>
    <t>Name</t>
  </si>
  <si>
    <t>CardMarket</t>
  </si>
  <si>
    <t>Companies House</t>
  </si>
  <si>
    <t>Domain</t>
  </si>
  <si>
    <t>YouTube</t>
  </si>
  <si>
    <t>Tierney Approved</t>
  </si>
  <si>
    <t>Notes</t>
  </si>
  <si>
    <t>Shuffle &amp; Skirmish</t>
  </si>
  <si>
    <t>Mana &amp; Miniatures</t>
  </si>
  <si>
    <t>Draw &amp; Deploy</t>
  </si>
  <si>
    <t>Sum of All Plays</t>
  </si>
  <si>
    <t>Shufflin' &amp; Scufflin'</t>
  </si>
  <si>
    <t>Gullen family favourite, Name clashes with content on YT</t>
  </si>
  <si>
    <t>Strategic Shuffle</t>
  </si>
  <si>
    <t>Deck Check</t>
  </si>
  <si>
    <t>Friendly Fire Gaming</t>
  </si>
  <si>
    <t>Tabletop Chronicles</t>
  </si>
  <si>
    <t>Critical Collection</t>
  </si>
  <si>
    <t>Expected Value Gaming</t>
  </si>
  <si>
    <t>Casual Competitive Gaming</t>
  </si>
  <si>
    <t>Juxtaposition
Mouthful
Lots of similar names</t>
  </si>
  <si>
    <t>Calculated Gaming</t>
  </si>
  <si>
    <t>Saturated name</t>
  </si>
  <si>
    <t>Plus One Gaming</t>
  </si>
  <si>
    <t>Calculate And Conquer</t>
  </si>
  <si>
    <t>Odds &amp; Minis</t>
  </si>
  <si>
    <t>Roll &amp; Calculate</t>
  </si>
  <si>
    <t>Tactical Table Gaming</t>
  </si>
  <si>
    <t>Measured Moves Gaming</t>
  </si>
  <si>
    <t>Tap That Gaming</t>
  </si>
  <si>
    <t>Too degrading to women?</t>
  </si>
  <si>
    <t>The Gaming Table</t>
  </si>
  <si>
    <t>Too long? "The Games Table" exists on CH</t>
  </si>
  <si>
    <t>Optimal Play Gaming</t>
  </si>
  <si>
    <t>Very saturated name</t>
  </si>
  <si>
    <t>The Hobby Hub</t>
  </si>
  <si>
    <t>Card It</t>
  </si>
  <si>
    <t>Index</t>
  </si>
  <si>
    <t>Set Type</t>
  </si>
  <si>
    <t>Buy Window (Months)</t>
  </si>
  <si>
    <t>Why</t>
  </si>
  <si>
    <t>Heavy Printing Months</t>
  </si>
  <si>
    <t>Tapering Months</t>
  </si>
  <si>
    <t>Final Print Run Months</t>
  </si>
  <si>
    <t>Sell Window (Months)</t>
  </si>
  <si>
    <t>Buy Window Month Start</t>
  </si>
  <si>
    <t>Buy Window Month End</t>
  </si>
  <si>
    <t>Heavy Printing Window Month Start</t>
  </si>
  <si>
    <t>Heavy Printing Window Month End</t>
  </si>
  <si>
    <t>Sell Window Month Start</t>
  </si>
  <si>
    <t>Sell Window Month End</t>
  </si>
  <si>
    <t>My Set Type</t>
  </si>
  <si>
    <t>Corresponding Scryfall Set Type(s)</t>
  </si>
  <si>
    <t>Set Name</t>
  </si>
  <si>
    <t>Card Count</t>
  </si>
  <si>
    <t>Released On</t>
  </si>
  <si>
    <t>Type Name</t>
  </si>
  <si>
    <t>Language Codes</t>
  </si>
  <si>
    <t>Standard Expansion</t>
  </si>
  <si>
    <t>18-24</t>
  </si>
  <si>
    <t>Approaching end of print, prices haven't spiked yet</t>
  </si>
  <si>
    <t>1-18</t>
  </si>
  <si>
    <t>24-30</t>
  </si>
  <si>
    <t>36-48+</t>
  </si>
  <si>
    <t>core, expansion</t>
  </si>
  <si>
    <t>Remastered</t>
  </si>
  <si>
    <t>3-6</t>
  </si>
  <si>
    <t>Usually stay expensive</t>
  </si>
  <si>
    <t>6-12</t>
  </si>
  <si>
    <t>18-36+</t>
  </si>
  <si>
    <t>masters</t>
  </si>
  <si>
    <t>Masters</t>
  </si>
  <si>
    <t>Avoid at retail</t>
  </si>
  <si>
    <t>Too expensive from launch</t>
  </si>
  <si>
    <t>24-60+</t>
  </si>
  <si>
    <t>Modern Horizons</t>
  </si>
  <si>
    <t>If prices dip below launch</t>
  </si>
  <si>
    <t>24-48+</t>
  </si>
  <si>
    <t>draft_innovation (filter by set name)</t>
  </si>
  <si>
    <t>Commander</t>
  </si>
  <si>
    <t>3-12</t>
  </si>
  <si>
    <t>Clearance phase</t>
  </si>
  <si>
    <t>12-18</t>
  </si>
  <si>
    <t>24+</t>
  </si>
  <si>
    <t>commander</t>
  </si>
  <si>
    <t>Universes Beyond</t>
  </si>
  <si>
    <t>Post-hype reality check</t>
  </si>
  <si>
    <t>?</t>
  </si>
  <si>
    <t>commander, expansion, draft_innovation (filter by set name)</t>
  </si>
  <si>
    <t>Micro-sets</t>
  </si>
  <si>
    <t>Never</t>
  </si>
  <si>
    <t>Too risky</t>
  </si>
  <si>
    <t>N/A</t>
  </si>
  <si>
    <t>arsenal, from_the_vault, spellbook, premium_deck</t>
  </si>
  <si>
    <t>Core</t>
  </si>
  <si>
    <t>Historical</t>
  </si>
  <si>
    <t>Play/Set Booster Box Buy Price</t>
  </si>
  <si>
    <t>Play/Set Booster From Box Buy Price</t>
  </si>
  <si>
    <t>Row number</t>
  </si>
  <si>
    <t>Months Since Release</t>
  </si>
  <si>
    <t>Set Type Record Index</t>
  </si>
  <si>
    <t>Buy Window Start</t>
  </si>
  <si>
    <t>Buy Window End</t>
  </si>
  <si>
    <t>Buy Now?</t>
  </si>
  <si>
    <t>Heavy Printing Window Start</t>
  </si>
  <si>
    <t>Heavy Printing Window End</t>
  </si>
  <si>
    <t>Heavy Printing Now?</t>
  </si>
  <si>
    <t>Sell Window Start</t>
  </si>
  <si>
    <t>Sell Window End</t>
  </si>
  <si>
    <t>Sell Now?</t>
  </si>
  <si>
    <t>CardMarket PSBBBP</t>
  </si>
  <si>
    <t>Chaos Cards PSBBBP</t>
  </si>
  <si>
    <t xml:space="preserve">Magic Madhouse PSBBBP </t>
  </si>
  <si>
    <t>MuddleIt PSBBBP</t>
  </si>
  <si>
    <t>PlusMarketing PSBBBP</t>
  </si>
  <si>
    <t>CardMarket PSBFBBP</t>
  </si>
  <si>
    <t>Chaos Cards PSBFBBP</t>
  </si>
  <si>
    <t>Magic Madhouse PSBFBBP</t>
  </si>
  <si>
    <t>MuddleIt PSBFBBP</t>
  </si>
  <si>
    <t>PlusMarketing PSBFBBP</t>
  </si>
  <si>
    <t>Play Booster Box Product Id</t>
  </si>
  <si>
    <t>Play Booster Product Id</t>
  </si>
  <si>
    <t>Collector Booster Box Product Id</t>
  </si>
  <si>
    <t>Collector Booster Product Id</t>
  </si>
  <si>
    <t>Play Booster Box Cost</t>
  </si>
  <si>
    <t>Play Booster Box Source Name</t>
  </si>
  <si>
    <t>Play Booster Box Size</t>
  </si>
  <si>
    <t>Play Booster Cost</t>
  </si>
  <si>
    <t>Play Booster Sell Price CardMarket</t>
  </si>
  <si>
    <t>Play Booster Sell Price FB Marketplace</t>
  </si>
  <si>
    <t>Play Booster CardMarket Profit</t>
  </si>
  <si>
    <t>Play Booster CardMarket Profit Margin (%)</t>
  </si>
  <si>
    <t>Collector Booster Box Cost</t>
  </si>
  <si>
    <t>Collector Booster Box Source Name</t>
  </si>
  <si>
    <t>Collector Booster Box Size</t>
  </si>
  <si>
    <t>Collector Booster Cost</t>
  </si>
  <si>
    <t>Collector Booster Sell Price CardMarket</t>
  </si>
  <si>
    <t>Collector Booster Sell Price FB Marketplace</t>
  </si>
  <si>
    <t>Collector Booster CardMarket Profit</t>
  </si>
  <si>
    <t>Collector Booster CardMarket Profit Margin (%)</t>
  </si>
  <si>
    <t>EV MTG Stocks Link</t>
  </si>
  <si>
    <t>Play Booster Expected Market Value MTG Stocks</t>
  </si>
  <si>
    <t>Play Booster Sealed Market Value MTG Stocks</t>
  </si>
  <si>
    <t>Play Booster Expected Value MTG Stocks</t>
  </si>
  <si>
    <t>Play Singles CardMarket Profit MTG Stocks</t>
  </si>
  <si>
    <t>Play Singles CardMarket Profit Margin (%) MTG Stocks</t>
  </si>
  <si>
    <t>Split Play? MTG Stocks</t>
  </si>
  <si>
    <t>EV Play BotBox Link</t>
  </si>
  <si>
    <t>Play Booster Expected Market Value BotBox</t>
  </si>
  <si>
    <t>Play Booster Sealed Market Value BotBox</t>
  </si>
  <si>
    <t>Play Booster Expected Value BotBox</t>
  </si>
  <si>
    <t>Play Singles CardMarket Profit BotBox</t>
  </si>
  <si>
    <t>Play Singles CardMarket Profit Margin (%) BotBox</t>
  </si>
  <si>
    <t>Split Play? BotBox</t>
  </si>
  <si>
    <t>EV Collector BotBox Link</t>
  </si>
  <si>
    <t>Collector Booster Expected Market Value MTG Stocks</t>
  </si>
  <si>
    <t>Collector Booster Sealed Market Value MTG Stocks</t>
  </si>
  <si>
    <t>Collector Booster Expected Value MTG Stocks</t>
  </si>
  <si>
    <t>Collector Singles CardMarket Profit MTG Stocks</t>
  </si>
  <si>
    <t>Collector Singles CardMarket Profit Margin (%) MTG Stocks</t>
  </si>
  <si>
    <t>Split Collector? MTG Stocks</t>
  </si>
  <si>
    <t>Collector Booster Expected Market Value BotBox</t>
  </si>
  <si>
    <t>Collector Booster Sealed Market Value BotBox</t>
  </si>
  <si>
    <t>Collector Booster Expected Value BotBox</t>
  </si>
  <si>
    <t>Collector Singles CardMarket Profit BotBox</t>
  </si>
  <si>
    <t>Collector Singles CardMarket Profit Margin (%) BotBox</t>
  </si>
  <si>
    <t>Split Collector? BotBox</t>
  </si>
  <si>
    <t>Buy?</t>
  </si>
  <si>
    <t>Max Profit Option</t>
  </si>
  <si>
    <t>Max Profit</t>
  </si>
  <si>
    <t>Max Profit Margin Option</t>
  </si>
  <si>
    <t>Max Profit Margin (%)</t>
  </si>
  <si>
    <t>Dominaria DOM</t>
  </si>
  <si>
    <t>en es fr de it pt ja ko ru 汉语 漢語</t>
  </si>
  <si>
    <t>https://www.mtgstocks.com/sets/291-dominaria#ev</t>
  </si>
  <si>
    <t>https://botbox.dev/products/dom/Dominaria%20Booster%20Pack?exc=0</t>
  </si>
  <si>
    <t>Marvel Super Heroes MSH</t>
  </si>
  <si>
    <t>Marvel Super Heroes Commander MSC</t>
  </si>
  <si>
    <t>Teenage Mutant Ninja Turtles TMT</t>
  </si>
  <si>
    <t>Teenage Mutant Ninja Turtles Source Material PZA</t>
  </si>
  <si>
    <t>Teenage Mutant Ninja Turtles Tokens TTMT</t>
  </si>
  <si>
    <t>Teenage Mutant Ninja Turtles Eternal TMC</t>
  </si>
  <si>
    <t>Teenage Mutant Ninja Turtles Eternal Tokens TTMC</t>
  </si>
  <si>
    <t>MagicFest 2026 PF26</t>
  </si>
  <si>
    <t>Avatar: The Last Airbender Tokens TTLA</t>
  </si>
  <si>
    <t>Avatar: The Last Airbender Beginner Box Front Cards FTLA</t>
  </si>
  <si>
    <t>Avatar: The Last Airbender Jumpstart Front Cards JTLA</t>
  </si>
  <si>
    <t>Avatar: The Last Airbender Eternal TLE</t>
  </si>
  <si>
    <t>Avatar: The Last Airbender Eternal Tokens TTLE</t>
  </si>
  <si>
    <t>Arena Powered Cube APCUBE</t>
  </si>
  <si>
    <t>Marvel Universe MAR</t>
  </si>
  <si>
    <t>Through the Omenpaths Bonus Sheet OMB</t>
  </si>
  <si>
    <t>Marvel Legends Series Inserts LMAR</t>
  </si>
  <si>
    <t>Marvel's Spider-Man Promos PSPM</t>
  </si>
  <si>
    <t>Marvel's Spider-Man Tokens TSPM</t>
  </si>
  <si>
    <t>Marvel's Spider-Man Eternal SPE</t>
  </si>
  <si>
    <t>Through the Omenpaths OM1</t>
  </si>
  <si>
    <t>Arena Anthology 4 AA4</t>
  </si>
  <si>
    <t>Arena Anthology 3 AA3</t>
  </si>
  <si>
    <t>2023 Heroes of the Realm PH23</t>
  </si>
  <si>
    <t>Arena Anthology 2 AA2</t>
  </si>
  <si>
    <t>Arena Anthology 1 AA1</t>
  </si>
  <si>
    <t>Edge of Eternities: Stellar Sights EOS</t>
  </si>
  <si>
    <t>Edge of Eternities Promos PEOE</t>
  </si>
  <si>
    <t>Edge of Eternities Tokens TEOE</t>
  </si>
  <si>
    <t>Alchemy: Edge of Eternities YEOE</t>
  </si>
  <si>
    <t>Edge of Eternities Art Series AEOE</t>
  </si>
  <si>
    <t>Edge of Eternities Commander EOC</t>
  </si>
  <si>
    <t>Edge of Eternities Commander Tokens TEOC</t>
  </si>
  <si>
    <t>Final Fantasy: Through the Ages FCA</t>
  </si>
  <si>
    <t>Final Fantasy Promos PFIN</t>
  </si>
  <si>
    <t>Final Fantasy Tokens TFIN</t>
  </si>
  <si>
    <t>Final Fantasy Regional Promos RFIN</t>
  </si>
  <si>
    <t>Final Fantasy Art Series AFIN</t>
  </si>
  <si>
    <t>Final Fantasy Commander FIC</t>
  </si>
  <si>
    <t>Final Fantasy Commander Tokens TFIC</t>
  </si>
  <si>
    <t>FIN Asia WPN Promo Tokens WFIN</t>
  </si>
  <si>
    <t>FIN Standard Showdown PSS5</t>
  </si>
  <si>
    <t>Pioneer Anthology 1 PA1</t>
  </si>
  <si>
    <t>Tarkir: Dragonstorm Promos PTDM</t>
  </si>
  <si>
    <t>Tarkir: Dragonstorm Tokens TTDM</t>
  </si>
  <si>
    <t>Alchemy: Tarkir YTDM</t>
  </si>
  <si>
    <t>Tarkir: Dragonstorm Art Series ATDM</t>
  </si>
  <si>
    <t>Tarkir: Dragonstorm Commander TDC</t>
  </si>
  <si>
    <t>Tarkir: Dragonstorm Commander Tokens TTDC</t>
  </si>
  <si>
    <t>Love Your LGS 2025 PLG25</t>
  </si>
  <si>
    <t>Year of the Snake 2025 PL25</t>
  </si>
  <si>
    <t>Aetherdrift Promos PDFT</t>
  </si>
  <si>
    <t>Aetherdrift Tokens TDFT</t>
  </si>
  <si>
    <t>Alchemy: Aetherdrift YDFT</t>
  </si>
  <si>
    <t>Aetherdrift Art Series ADFT</t>
  </si>
  <si>
    <t>Aetherdrift Commander DRC</t>
  </si>
  <si>
    <t>Aetherdrift Commander Tokens TDRC</t>
  </si>
  <si>
    <t>Japan Standard Cup PJSC</t>
  </si>
  <si>
    <t>Innistrad Remastered Tokens TINR</t>
  </si>
  <si>
    <t>Innistrad Remastered Art Series AINR</t>
  </si>
  <si>
    <t>Spotlight Series PSPL</t>
  </si>
  <si>
    <t>MagicFest 2025 PF25</t>
  </si>
  <si>
    <t>Wizards Play Network 2025 PW25</t>
  </si>
  <si>
    <t>Pioneer Masters PIO</t>
  </si>
  <si>
    <t>Foundations Promos PFDN</t>
  </si>
  <si>
    <t>Foundations Tokens TFDN</t>
  </si>
  <si>
    <t>Foundations Art Series AFDN</t>
  </si>
  <si>
    <t>Foundations Commander FDC</t>
  </si>
  <si>
    <t>Foundations Jumpstart J25</t>
  </si>
  <si>
    <t>Foundations Jumpstart Front Cards FJ25</t>
  </si>
  <si>
    <t>Foundations Front Cards FFDN</t>
  </si>
  <si>
    <t>Duskmourn: House of Horror Promos PDSK</t>
  </si>
  <si>
    <t>Duskmourn: House of Horror Tokens TDSK</t>
  </si>
  <si>
    <t>Alchemy: Duskmourn YDSK</t>
  </si>
  <si>
    <t>Duskmourn: House of Horror Commander DSC</t>
  </si>
  <si>
    <t>Duskmourn Commander Tokens TDSC</t>
  </si>
  <si>
    <t>Duskmourn: House of Horror Art Series ADSK</t>
  </si>
  <si>
    <t>Love Your LGS 2024 PLG24</t>
  </si>
  <si>
    <t>Mystery Booster 2 MB2</t>
  </si>
  <si>
    <t>Bloomburrow Promos PBLB</t>
  </si>
  <si>
    <t>Bloomburrow Tokens TBLB</t>
  </si>
  <si>
    <t>Alchemy: Bloomburrow YBLB</t>
  </si>
  <si>
    <t>Bloomburrow Art Series ABLB</t>
  </si>
  <si>
    <t>Bloomburrow Commander BLC</t>
  </si>
  <si>
    <t>Bloomburrow Commander Tokens TBLC</t>
  </si>
  <si>
    <t>Cowboy Bebop PCBB</t>
  </si>
  <si>
    <t>Assassin's Creed Tokens TACR</t>
  </si>
  <si>
    <t>Assassin's Creed Minigames MACR</t>
  </si>
  <si>
    <t>Assassin's Creed Art Series AACR</t>
  </si>
  <si>
    <t>Modern Horizons 3 Promos PMH3</t>
  </si>
  <si>
    <t>Modern Horizons 3 Tokens TMH3</t>
  </si>
  <si>
    <t>Modern Horizons 3 Substitute Cards SMH3</t>
  </si>
  <si>
    <t>Modern Horizons 3 Commander M3C</t>
  </si>
  <si>
    <t>Modern Horizons 3 Commander Tokens TM3C</t>
  </si>
  <si>
    <t>Modern Horizons 3 Art Series AMH3</t>
  </si>
  <si>
    <t>Modern Horizons 2 Timeshifts H2R</t>
  </si>
  <si>
    <t>Breaking News OTP</t>
  </si>
  <si>
    <t>Breaking News Tokens TOTP</t>
  </si>
  <si>
    <t>Outlaws of Thunder Junction Promos POTJ</t>
  </si>
  <si>
    <t>Outlaws of Thunder Junction Tokens TOTJ</t>
  </si>
  <si>
    <t>Alchemy: Outlaws of Thunder Junction YOTJ</t>
  </si>
  <si>
    <t>Outlaws of Thunder Junction Art Series AOTJ</t>
  </si>
  <si>
    <t>The Big Score BIG</t>
  </si>
  <si>
    <t>The Big Score Promos PBIG</t>
  </si>
  <si>
    <t>The Big Score Tokens TBIG</t>
  </si>
  <si>
    <t>Outlaws of Thunder Junction Commander OTC</t>
  </si>
  <si>
    <t>Outlaws of Thunder Junction Commander Tokens TOTC</t>
  </si>
  <si>
    <t>Fallout PIP</t>
  </si>
  <si>
    <t>Fallout Tokens TPIP</t>
  </si>
  <si>
    <t>Murders at Karlov Manor Promos PMKM</t>
  </si>
  <si>
    <t>Murders at Karlov Manor Tokens TMKM</t>
  </si>
  <si>
    <t>Alchemy: Murders at Karlov Manor YMKM</t>
  </si>
  <si>
    <t>Ravnica: Clue Edition CLU</t>
  </si>
  <si>
    <t>Ravnica: Clue Edition Front Cards FCLU</t>
  </si>
  <si>
    <t>MKM Standard Showdown PSS4</t>
  </si>
  <si>
    <t>Murders at Karlov Manor Art Series AMKM</t>
  </si>
  <si>
    <t>MKM Japanese Promo Tokens WMKM</t>
  </si>
  <si>
    <t>Murders at Karlov Manor Commander MKC</t>
  </si>
  <si>
    <t>Murders at Karlov Manor Commander Tokens TMKC</t>
  </si>
  <si>
    <t>Year of the Dragon 2024 PL24</t>
  </si>
  <si>
    <t>Ravnica Remastered Tokens TRVR</t>
  </si>
  <si>
    <t>MagicFest 2024 PF24</t>
  </si>
  <si>
    <t>Wizards Play Network 2024 PW24</t>
  </si>
  <si>
    <t>Special Guests SPG</t>
  </si>
  <si>
    <t>The Lost Caverns of Ixalan Promos PLCI</t>
  </si>
  <si>
    <t>The Lost Caverns of Ixalan Tokens TLCI</t>
  </si>
  <si>
    <t>Alchemy: Ixalan YLCI</t>
  </si>
  <si>
    <t>The Lost Caverns of Ixalan Art Series ALCI</t>
  </si>
  <si>
    <t>The Lost Caverns of Ixalan Substitute Cards SLCI</t>
  </si>
  <si>
    <t>Jurassic World Collection REX</t>
  </si>
  <si>
    <t>Jurassic World Collection Tokens TREX</t>
  </si>
  <si>
    <t>The Lost Caverns of Ixalan Commander LCC</t>
  </si>
  <si>
    <t>The Lost Caverns of Ixalan Commander Tokens TLCC</t>
  </si>
  <si>
    <t>Doctor Who WHO</t>
  </si>
  <si>
    <t>Doctor Who Tokens TWHO</t>
  </si>
  <si>
    <t>Magic × Duel Masters Promos PMDA</t>
  </si>
  <si>
    <t>Wilds of Eldraine: Enchanting Tales WOT</t>
  </si>
  <si>
    <t>Wilds of Eldraine Promos PWOE</t>
  </si>
  <si>
    <t>Wilds of Eldraine Tokens TWOE</t>
  </si>
  <si>
    <t>Alchemy: Wilds of Eldraine YWOE</t>
  </si>
  <si>
    <t>Wilds of Eldraine Commander WOC</t>
  </si>
  <si>
    <t>Wilds of Eldraine Commander Tokens TWOC</t>
  </si>
  <si>
    <t>WOE Japanese Promo Tokens WWOE</t>
  </si>
  <si>
    <t>Wilds of Eldraine Art Series AWOE</t>
  </si>
  <si>
    <t>Commander Masters Tokens TCMM</t>
  </si>
  <si>
    <t>Commander Masters Art Series ACMM</t>
  </si>
  <si>
    <t>2022 Heroes of the Realm PH22</t>
  </si>
  <si>
    <t>Explorer Anthology 3 EA3</t>
  </si>
  <si>
    <t>Historic Anthology 7 HA7</t>
  </si>
  <si>
    <t>MagicFest 2023 PF23</t>
  </si>
  <si>
    <t>Tales of Middle-earth Promos PLTR</t>
  </si>
  <si>
    <t>Tales of Middle-earth Tokens TLTR</t>
  </si>
  <si>
    <t>Tales of Middle-earth Deluxe Commander Kit PLTC</t>
  </si>
  <si>
    <t>Tales of Middle-earth Commander LTC</t>
  </si>
  <si>
    <t>Tales of Middle-earth Commander Tokens TLTC</t>
  </si>
  <si>
    <t>Tales of Middle-earth Scene Box ALTC</t>
  </si>
  <si>
    <t>Tales of Middle-earth Art Series ALTR</t>
  </si>
  <si>
    <t>Tales of Middle-earth Front Cards FLTR</t>
  </si>
  <si>
    <t>The Lord of the Rings: Tales of Middle-earth Minigames MLTR</t>
  </si>
  <si>
    <t>March of the Machine: The Aftermath MAT</t>
  </si>
  <si>
    <t>March of the Machine: The Aftermath Promos PMAT</t>
  </si>
  <si>
    <t>Multiverse Legends MUL</t>
  </si>
  <si>
    <t>Multiverse Legends Tokens TMUL</t>
  </si>
  <si>
    <t>March of the Machine Promos PMOM</t>
  </si>
  <si>
    <t>March of the Machine Tokens TMOM</t>
  </si>
  <si>
    <t>March of the Machine Jumpstart Front Cards FMOM</t>
  </si>
  <si>
    <t>March of the Machine Commander MOC</t>
  </si>
  <si>
    <t>March of the Machine Commander Tokens TMOC</t>
  </si>
  <si>
    <t>MOM Japanese Promo Tokens WMOM</t>
  </si>
  <si>
    <t>March of the Machine Art Series AMOM</t>
  </si>
  <si>
    <t>March of the Machine Substitute Cards SMOM</t>
  </si>
  <si>
    <t>Shadows over Innistrad Remastered SIR</t>
  </si>
  <si>
    <t>Shadows of the Past SIS</t>
  </si>
  <si>
    <t>Unknown Event UNK</t>
  </si>
  <si>
    <t>Black Lotus Unknown Planechase PUNK</t>
  </si>
  <si>
    <t>Year of the Rabbit 2023 PL23</t>
  </si>
  <si>
    <t>Phyrexia: All Will Be One Promos PONE</t>
  </si>
  <si>
    <t>Phyrexia: All Will Be One Tokens TONE</t>
  </si>
  <si>
    <t>Alchemy: Phyrexia YONE</t>
  </si>
  <si>
    <t>Phyrexia: All Will Be One Commander ONC</t>
  </si>
  <si>
    <t>Phyrexia: All Will Be One Commander Tokens TONC</t>
  </si>
  <si>
    <t>Phyrexia: All Will Be One Minigames MONE</t>
  </si>
  <si>
    <t>Phyrexia: All Will Be One Art Series AONE</t>
  </si>
  <si>
    <t>Phyrexia: All Will Be One Jumpstart Front Cards FONE</t>
  </si>
  <si>
    <t>ONE Japanese Promo Tokens WONE</t>
  </si>
  <si>
    <t>Dominaria Remastered DMR</t>
  </si>
  <si>
    <t>Dominaria Remastered Tokens TDMR</t>
  </si>
  <si>
    <t>Regional Championship Qualifiers 2023 PR23</t>
  </si>
  <si>
    <t>Wizards Play Network 2023 PW23</t>
  </si>
  <si>
    <t>Judge Gift Cards 2023 P23</t>
  </si>
  <si>
    <t>Explorer Anthology 2 EA2</t>
  </si>
  <si>
    <t>Starter Commander Decks SCD</t>
  </si>
  <si>
    <t>Starter Commander Deck Tokens TSCD</t>
  </si>
  <si>
    <t>Jumpstart 2022 J22</t>
  </si>
  <si>
    <t>Jumpstart 2022 Front Cards FJ22</t>
  </si>
  <si>
    <t>30th Anniversary Edition 30A</t>
  </si>
  <si>
    <t>30th Anniversary Play Promos P30A</t>
  </si>
  <si>
    <t>30th Anniversary Tokens T30A</t>
  </si>
  <si>
    <t>30th Anniversary Celebration Tokyo P30T</t>
  </si>
  <si>
    <t>30th Anniversary History Promos P30H</t>
  </si>
  <si>
    <t>30th Anniversary Misc Promos P30M</t>
  </si>
  <si>
    <t>Eternal Weekend PEWK</t>
  </si>
  <si>
    <t>The Brothers' War Retro Artifacts BRR</t>
  </si>
  <si>
    <t>The Brothers' War Promos PBRO</t>
  </si>
  <si>
    <t>The Brothers' War Tokens TBRO</t>
  </si>
  <si>
    <t>Alchemy: The Brothers' War YBRO</t>
  </si>
  <si>
    <t>The Brothers' War Commander BRC</t>
  </si>
  <si>
    <t>The Brothers' War Commander Tokens TBRC</t>
  </si>
  <si>
    <t>Transformers BOT</t>
  </si>
  <si>
    <t>Transformers Tokens TBOT</t>
  </si>
  <si>
    <t>The Brothers' War Southeast Asia Tokens PTBRO</t>
  </si>
  <si>
    <t>The Brothers' War Substitute Cards SBRO</t>
  </si>
  <si>
    <t>The Brothers' War Art Series ABRO</t>
  </si>
  <si>
    <t>The Brothers' War Minigames MBRO</t>
  </si>
  <si>
    <t>The Brothers' War Jumpstart Front Cards FBRO</t>
  </si>
  <si>
    <t>Game Night: Free-for-All GN3</t>
  </si>
  <si>
    <t>Game Night: Free-for-All Tokens TGN3</t>
  </si>
  <si>
    <t>Unfinity UNF</t>
  </si>
  <si>
    <t>Unfinity Tokens TUNF</t>
  </si>
  <si>
    <t>Unfinity Sticker Sheets SUNF</t>
  </si>
  <si>
    <t>Warhammer 40,000 Commander 40K</t>
  </si>
  <si>
    <t>Warhammer 40,000 Tokens T40K</t>
  </si>
  <si>
    <t>Regional Championship Qualifiers 2022 PRCQ</t>
  </si>
  <si>
    <t>Dominaria United Promos PDMU</t>
  </si>
  <si>
    <t>Dominaria United Tokens TDMU</t>
  </si>
  <si>
    <t>Alchemy: Dominaria YDMU</t>
  </si>
  <si>
    <t>Dominaria United Southeast Asia Tokens PTDMU</t>
  </si>
  <si>
    <t>Dominaria United Jumpstart Front Cards FDMU</t>
  </si>
  <si>
    <t>DMU Japanese Promo Tokens WDMU</t>
  </si>
  <si>
    <t>Dominaria United Art Series ADMU</t>
  </si>
  <si>
    <t>Dominaria United Commander DMC</t>
  </si>
  <si>
    <t>Dominaria United Commander Tokens TDMC</t>
  </si>
  <si>
    <t>Dominaria United Minigames MDMU</t>
  </si>
  <si>
    <t>Summer Vacation Promos 2022 PSVC</t>
  </si>
  <si>
    <t>2021 Heroes of the Realm PH21</t>
  </si>
  <si>
    <t>Explorer Anthology 1 EA1</t>
  </si>
  <si>
    <t>Historic Anthology 6 HA6</t>
  </si>
  <si>
    <t>Store Championships SCH</t>
  </si>
  <si>
    <t>Double Masters 2022 2X2</t>
  </si>
  <si>
    <t>Double Masters 2022 Tokens T2X2</t>
  </si>
  <si>
    <t>Alchemy Horizons: Baldur's Gate HBG</t>
  </si>
  <si>
    <t>Love Your LGS 2022 PLG22</t>
  </si>
  <si>
    <t>Commander Legends: Battle for Baldur's Gate CLB</t>
  </si>
  <si>
    <t>Battle for Baldur's Gate Promos PCLB</t>
  </si>
  <si>
    <t>Battle for Baldur's Gate Tokens TCLB</t>
  </si>
  <si>
    <t>Commander Legends: Battle for Baldur's Gate Minigames MCLB</t>
  </si>
  <si>
    <t>Battle for Baldur's Gate Oversized Cards OCLB</t>
  </si>
  <si>
    <t>Battle for Baldur's Gate Art Series ACLB</t>
  </si>
  <si>
    <t>Streets of New Capenna Promos PSNC</t>
  </si>
  <si>
    <t>Streets of New Capenna Southeast Asia Tokens PTSNC</t>
  </si>
  <si>
    <t>Streets of New Capenna Tokens TSNC</t>
  </si>
  <si>
    <t>Alchemy: New Capenna YSNC</t>
  </si>
  <si>
    <t>New Capenna Commander NCC</t>
  </si>
  <si>
    <t>New Capenna Commander Promos PNCC</t>
  </si>
  <si>
    <t>New Capenna Commander Tokens TNCC</t>
  </si>
  <si>
    <t>Streets of New Capenna Minigames MSNC</t>
  </si>
  <si>
    <t>Game Day Promos GDY</t>
  </si>
  <si>
    <t>Challenger Decks 2022 Q07</t>
  </si>
  <si>
    <t>Wizards Play Network 2022 PW22</t>
  </si>
  <si>
    <t>Year of the Tiger 2022 PL22</t>
  </si>
  <si>
    <t>Kamigawa: Neon Dynasty Promos PNEO</t>
  </si>
  <si>
    <t>Kamigawa: Neon Dynasty Tokens TNEO</t>
  </si>
  <si>
    <t>Alchemy: Kamigawa YNEO</t>
  </si>
  <si>
    <t>Kamigawa: Neon Dynasty Minigames MNEO</t>
  </si>
  <si>
    <t>Kamigawa: Neon Dynasty Substitute Cards SNEO</t>
  </si>
  <si>
    <t>Neon Dynasty Commander NEC</t>
  </si>
  <si>
    <t>Neon Dynasty Commander Tokens TNEC</t>
  </si>
  <si>
    <t>New Capenna Art Series ASNC</t>
  </si>
  <si>
    <t>Neon Dynasty Art Series ANEO</t>
  </si>
  <si>
    <t>Commander Collection: Black CC2</t>
  </si>
  <si>
    <t>Innistrad: Double Feature DBL</t>
  </si>
  <si>
    <t>Judge Gift Cards 2022 P22</t>
  </si>
  <si>
    <t>Alchemy: Innistrad YMID</t>
  </si>
  <si>
    <t>Innistrad: Crimson Vow Promos PVOW</t>
  </si>
  <si>
    <t>Innistrad: Crimson Vow Tokens TVOW</t>
  </si>
  <si>
    <t>Innistrad: Crimson Vow Minigames MVOW</t>
  </si>
  <si>
    <t>Innistrad: Crimson Vow Substitute Cards SVOW</t>
  </si>
  <si>
    <t>Crimson Vow Art Series AVOW</t>
  </si>
  <si>
    <t>Crimson Vow Commander VOC</t>
  </si>
  <si>
    <t>Crimson Vow Commander Tokens TVOC</t>
  </si>
  <si>
    <t>Crimson Vow Commander Display Commanders OVOC</t>
  </si>
  <si>
    <t>Pioneer Challenger Decks 2021 Q06</t>
  </si>
  <si>
    <t>Innistrad: Midnight Hunt Promos PMID</t>
  </si>
  <si>
    <t>Innistrad: Midnight Hunt Tokens TMID</t>
  </si>
  <si>
    <t>Innistrad: Midnight Hunt Substitute Cards SMID</t>
  </si>
  <si>
    <t>Midnight Hunt Commander MIC</t>
  </si>
  <si>
    <t>Midnight Hunt Commander Tokens TMIC</t>
  </si>
  <si>
    <t>Midnight Hunt Commander Display Commanders OMIC</t>
  </si>
  <si>
    <t>Midnight Hunt Art Series AMID</t>
  </si>
  <si>
    <t>Innistrad: Midnight Hunt Minigames MMID</t>
  </si>
  <si>
    <t>Jumpstart: Historic Horizons J21</t>
  </si>
  <si>
    <t>Mystery Booster Playtest Cards 2021 CMB2</t>
  </si>
  <si>
    <t>2020 Heroes of the Realm PH20</t>
  </si>
  <si>
    <t>Adventures in the Forgotten Realms AFR</t>
  </si>
  <si>
    <t>Adventures in the Forgotten Realms Promos PAFR</t>
  </si>
  <si>
    <t>Adventures in the Forgotten Realms Tokens TAFR</t>
  </si>
  <si>
    <t>Forgotten Realms Oversized Cards OAFR</t>
  </si>
  <si>
    <t>Adventures in the Forgotten Realms Art Series AAFR</t>
  </si>
  <si>
    <t>Forgotten Realms Commander AFC</t>
  </si>
  <si>
    <t>Forgotten Realms Commander Tokens TAFC</t>
  </si>
  <si>
    <t>Forgotten Realms Commander Display Commanders OAFC</t>
  </si>
  <si>
    <t>Adventures in the Forgotten Realms Minigames MAFR</t>
  </si>
  <si>
    <t>Chromatic Cube CHROMATIC</t>
  </si>
  <si>
    <t>Love Your LGS 2021 PLG21</t>
  </si>
  <si>
    <t>Wizards Play Network 2021 PW21</t>
  </si>
  <si>
    <t>Modern Horizons 2 Promos PMH2</t>
  </si>
  <si>
    <t>Modern Horizons 2 Tokens TMH2</t>
  </si>
  <si>
    <t>Modern Horizons 2 Art Series AMH2</t>
  </si>
  <si>
    <t>Modern Horizons 2 Minigames MMH2</t>
  </si>
  <si>
    <t>Modern Horizons 1 Timeshifts H1R</t>
  </si>
  <si>
    <t>Historic Anthology 5 HA5</t>
  </si>
  <si>
    <t>Strixhaven Mystical Archive STA</t>
  </si>
  <si>
    <t>Strixhaven: School of Mages Promos PSTX</t>
  </si>
  <si>
    <t>Strixhaven: School of Mages Tokens TSTX</t>
  </si>
  <si>
    <t>Strixhaven: School of Mages Substitute Cards SSTX</t>
  </si>
  <si>
    <t>Strixhaven: School of Mages Minigames MSTX</t>
  </si>
  <si>
    <t>Strixhaven Art Series ASTX</t>
  </si>
  <si>
    <t>Commander 2021 C21</t>
  </si>
  <si>
    <t>Commander 2021 Tokens TC21</t>
  </si>
  <si>
    <t>Commander 2021 Display Commanders OC21</t>
  </si>
  <si>
    <t>Time Spiral Remastered TSR</t>
  </si>
  <si>
    <t>Time Spiral Remastered Promos PTSR</t>
  </si>
  <si>
    <t>Time Spiral Remastered Tokens TTSR</t>
  </si>
  <si>
    <t>Historic Anthology 4 HA4</t>
  </si>
  <si>
    <t>Kaldheim Promos PKHM</t>
  </si>
  <si>
    <t>Kaldheim Tokens TKHM</t>
  </si>
  <si>
    <t>Kaldheim Minigames MKHM</t>
  </si>
  <si>
    <t>Kaldheim Substitute Cards SKHM</t>
  </si>
  <si>
    <t>Kaldheim Commander KHC</t>
  </si>
  <si>
    <t>Kaldheim Commander Tokens TKHC</t>
  </si>
  <si>
    <t>Kaldheim Art Series AKHM</t>
  </si>
  <si>
    <t>Year of the Ox 2021 PL21</t>
  </si>
  <si>
    <t>Judge Gift Cards 2021 PJ21</t>
  </si>
  <si>
    <t>Commander Collection: Green CC1</t>
  </si>
  <si>
    <t>Commander Legends CMR</t>
  </si>
  <si>
    <t>Commander Legends Promos PCMR</t>
  </si>
  <si>
    <t>Commander Legends Tokens TCMR</t>
  </si>
  <si>
    <t>Kaladesh Remastered KLR</t>
  </si>
  <si>
    <t>The List PLST</t>
  </si>
  <si>
    <t>The List (Unfinity Foil Edition) ULST</t>
  </si>
  <si>
    <t>Zendikar Rising ZNR</t>
  </si>
  <si>
    <t>Zendikar Rising Expeditions ZNE</t>
  </si>
  <si>
    <t>Zendikar Rising Promos PZNR</t>
  </si>
  <si>
    <t>Zendikar Rising Tokens TZNR</t>
  </si>
  <si>
    <t>Zendikar Rising Art Series AZNR</t>
  </si>
  <si>
    <t>Zendikar Rising Minigames MZNR</t>
  </si>
  <si>
    <t>Zendikar Rising Commander ZNC</t>
  </si>
  <si>
    <t>Zendikar Rising Commander Tokens TZNC</t>
  </si>
  <si>
    <t>Zendikar Rising Substitute Cards SZNR</t>
  </si>
  <si>
    <t>Live the Dream LIVETHEDREAM</t>
  </si>
  <si>
    <t>Tinkerer's Cube TINKERER</t>
  </si>
  <si>
    <t>Amonkhet Remastered AKR</t>
  </si>
  <si>
    <t>Arena Beginner Set ANB</t>
  </si>
  <si>
    <t>Double Masters 2XM</t>
  </si>
  <si>
    <t>Double Masters Tokens T2XM</t>
  </si>
  <si>
    <t>2019 Heroes of the Realm PH19</t>
  </si>
  <si>
    <t>Jumpstart JMP</t>
  </si>
  <si>
    <t>Jumpstart Arena Exclusives AJMP</t>
  </si>
  <si>
    <t>Jumpstart Front Cards FJMP</t>
  </si>
  <si>
    <t>Core Set 2021 M21</t>
  </si>
  <si>
    <t>Core Set 2021 Promos PM21</t>
  </si>
  <si>
    <t>Core Set 2021 Tokens TM21</t>
  </si>
  <si>
    <t>Signature Spellbook: Chandra SS3</t>
  </si>
  <si>
    <t>MTG Arena Cube ARENA</t>
  </si>
  <si>
    <t>Historic Anthology 3 HA3</t>
  </si>
  <si>
    <t>Love Your LGS 2020 PLG20</t>
  </si>
  <si>
    <t>Ikoria: Lair of Behemoths IKO</t>
  </si>
  <si>
    <t>Ikoria: Lair of Behemoths Promos PIKO</t>
  </si>
  <si>
    <t>Ikoria: Lair of Behemoths Tokens TIKO</t>
  </si>
  <si>
    <t>Commander 2020 C20</t>
  </si>
  <si>
    <t>Commander 2020 Tokens TC20</t>
  </si>
  <si>
    <t>Commander 2020 Oversized OC20</t>
  </si>
  <si>
    <t>Historic Anthology 2 HA2</t>
  </si>
  <si>
    <t>Unsanctioned UND</t>
  </si>
  <si>
    <t>Unsanctioned Tokens TUND</t>
  </si>
  <si>
    <t>Theros Beyond Death THB</t>
  </si>
  <si>
    <t>Theros Beyond Death Promos PTHB</t>
  </si>
  <si>
    <t>Theros Beyond Death Tokens TTHB</t>
  </si>
  <si>
    <t>MagicFest 2020 PF20</t>
  </si>
  <si>
    <t>Judge Gift Cards 2020 J20</t>
  </si>
  <si>
    <t>Secret Lair Drop SLD</t>
  </si>
  <si>
    <t>Secret Lair Showcase Planes PSSC</t>
  </si>
  <si>
    <t>Secret Lair Promo SLP</t>
  </si>
  <si>
    <t>Secret Lair Countdown SLC</t>
  </si>
  <si>
    <t>Universes Within SLX</t>
  </si>
  <si>
    <t>Secret Lair: Ultimate Edition SLU</t>
  </si>
  <si>
    <t>Historic Anthology 1 HA1</t>
  </si>
  <si>
    <t>Game Night 2019 GN2</t>
  </si>
  <si>
    <t>Game Night 2019 Tokens TGN2</t>
  </si>
  <si>
    <t>Mystery Booster Playtest Cards 2019 CMB1</t>
  </si>
  <si>
    <t>Ponies: The Galloping PTG</t>
  </si>
  <si>
    <t>Throne of Eldraine Promos PELD</t>
  </si>
  <si>
    <t>Throne of Eldraine Tokens TELD</t>
  </si>
  <si>
    <t>Planeswalker Championship Promos PWCS</t>
  </si>
  <si>
    <t>Grixis Cube GRIXIS</t>
  </si>
  <si>
    <t>Commander 2019 C19</t>
  </si>
  <si>
    <t>Commander 2019 Tokens TC19</t>
  </si>
  <si>
    <t>Commander 2019 Oversized OC19</t>
  </si>
  <si>
    <t>2018 Heroes of the Realm PH18</t>
  </si>
  <si>
    <t>San Diego Comic-Con 2019 PS19</t>
  </si>
  <si>
    <t>Core Set 2020 M20</t>
  </si>
  <si>
    <t>Core Set 2020 Promos PM20</t>
  </si>
  <si>
    <t>Core Set 2020 Tokens TM20</t>
  </si>
  <si>
    <t>M20 Promo Packs PPP1</t>
  </si>
  <si>
    <t>Signature Spellbook: Gideon SS2</t>
  </si>
  <si>
    <t>Modern Horizons MH1</t>
  </si>
  <si>
    <t>Modern Horizons Promos PMH1</t>
  </si>
  <si>
    <t>Modern Horizons Tokens TMH1</t>
  </si>
  <si>
    <t>Modern Horizons Art Series AMH1</t>
  </si>
  <si>
    <t>War of the Spark Promos PWAR</t>
  </si>
  <si>
    <t>War of the Spark Tokens TWAR</t>
  </si>
  <si>
    <t>Judge Gift Cards 2019 J19</t>
  </si>
  <si>
    <t>RNA Guild Kit GK2</t>
  </si>
  <si>
    <t>RNA Guild Kit Tokens TGK2</t>
  </si>
  <si>
    <t>Ravnica Allegiance RNA</t>
  </si>
  <si>
    <t>Ravnica Allegiance Promos PRNA</t>
  </si>
  <si>
    <t>Ravnica Allegiance Tokens TRNA</t>
  </si>
  <si>
    <t>RNA Ravnica Weekend PRW2</t>
  </si>
  <si>
    <t>MagicFest 2019 PF19</t>
  </si>
  <si>
    <t>Ultimate Masters UMA</t>
  </si>
  <si>
    <t>Ultimate Box Topper PUMA</t>
  </si>
  <si>
    <t>Ultimate Masters Tokens TUMA</t>
  </si>
  <si>
    <t>Game Night GNT</t>
  </si>
  <si>
    <t>GRN Guild Kit GK1</t>
  </si>
  <si>
    <t>GRN Guild Kit Tokens TGK1</t>
  </si>
  <si>
    <t>Guilds of Ravnica GRN</t>
  </si>
  <si>
    <t>Guilds of Ravnica Promos PGRN</t>
  </si>
  <si>
    <t>Guilds of Ravnica Tokens TGRN</t>
  </si>
  <si>
    <t>GRN Ravnica Weekend PRWK</t>
  </si>
  <si>
    <t>Mythic Edition MED</t>
  </si>
  <si>
    <t>Mythic Edition Tokens TMED</t>
  </si>
  <si>
    <t>Commander 2018 C18</t>
  </si>
  <si>
    <t>Commander 2018 Tokens TC18</t>
  </si>
  <si>
    <t>Commander 2018 Oversized OC18</t>
  </si>
  <si>
    <t>Pro Tour Cube PROTOUR</t>
  </si>
  <si>
    <t>2017 Heroes of the Realm PH17</t>
  </si>
  <si>
    <t>San Diego Comic-Con 2018 PS18</t>
  </si>
  <si>
    <t>Arena New Player Experience ANA</t>
  </si>
  <si>
    <t>Arena New Player Experience Extras XANA</t>
  </si>
  <si>
    <t>Arena New Player Experience Cards OANA</t>
  </si>
  <si>
    <t>MTG Arena Promos PANA</t>
  </si>
  <si>
    <t>Core Set 2019 M19</t>
  </si>
  <si>
    <t>Core Set 2019 Promos PM19</t>
  </si>
  <si>
    <t>Core Set 2019 Tokens TM19</t>
  </si>
  <si>
    <t>M19 Gift Pack G18</t>
  </si>
  <si>
    <t>M19 Standard Showdown PSS3</t>
  </si>
  <si>
    <t>Global Series Jiang Yanggu &amp; Mu Yanling GS1</t>
  </si>
  <si>
    <t>Signature Spellbook: Jace SS1</t>
  </si>
  <si>
    <t>Vintage Cube VINTAGE</t>
  </si>
  <si>
    <t>Commander Anthology Volume II CM2</t>
  </si>
  <si>
    <t>Commander Anthology Volume II Tokens TCM2</t>
  </si>
  <si>
    <t>Battlebond BBD</t>
  </si>
  <si>
    <t>Battlebond Promos PBBD</t>
  </si>
  <si>
    <t>Battlebond Tokens TBBD</t>
  </si>
  <si>
    <t>Uncommon Cube UNCOMMON</t>
  </si>
  <si>
    <t>Dominaria Promos PDOM</t>
  </si>
  <si>
    <t>Dominaria Tokens TDOM</t>
  </si>
  <si>
    <t>Duel Decks: Elves vs. Inventors DDU</t>
  </si>
  <si>
    <t>Duel Decks: Elves vs. Inventors Tokens TDDU</t>
  </si>
  <si>
    <t>Masters 25 A25</t>
  </si>
  <si>
    <t>Masters 25 Tokens TA25</t>
  </si>
  <si>
    <t>Lunar New Year 2018 PLNY</t>
  </si>
  <si>
    <t>Nationals Promos PNAT</t>
  </si>
  <si>
    <t>Rivals of Ixalan RIX</t>
  </si>
  <si>
    <t>Rivals of Ixalan Promos PRIX</t>
  </si>
  <si>
    <t>Rivals of Ixalan Tokens TRIX</t>
  </si>
  <si>
    <t>Judge Gift Cards 2018 J18</t>
  </si>
  <si>
    <t>Friday Night Magic 2018 F18</t>
  </si>
  <si>
    <t>Unstable UST</t>
  </si>
  <si>
    <t>Unstable Promos PUST</t>
  </si>
  <si>
    <t>Unstable Tokens TUST</t>
  </si>
  <si>
    <t>From the Vault: Transform V17</t>
  </si>
  <si>
    <t>Explorers of Ixalan E02</t>
  </si>
  <si>
    <t>Iconic Masters IMA</t>
  </si>
  <si>
    <t>Iconic Masters Tokens TIMA</t>
  </si>
  <si>
    <t>Duel Decks: Merfolk vs. Goblins DDT</t>
  </si>
  <si>
    <t>Duel Decks: Merfolk vs. Goblins Tokens TDDT</t>
  </si>
  <si>
    <t>2017 Gift Pack G17</t>
  </si>
  <si>
    <t>Ixalan XLN</t>
  </si>
  <si>
    <t>Ixalan Promos PXLN</t>
  </si>
  <si>
    <t>Ixalan Tokens TXLN</t>
  </si>
  <si>
    <t>XLN Treasure Chest PXTC</t>
  </si>
  <si>
    <t>XLN Standard Showdown PSS2</t>
  </si>
  <si>
    <t>HasCon 2017 H17</t>
  </si>
  <si>
    <t>2016 Heroes of the Realm PHTR</t>
  </si>
  <si>
    <t>Modern Cube MODERN</t>
  </si>
  <si>
    <t>Commander 2017 C17</t>
  </si>
  <si>
    <t>Commander 2017 Tokens TC17</t>
  </si>
  <si>
    <t>Commander 2017 Oversized OC17</t>
  </si>
  <si>
    <t>San Diego Comic-Con 2017 PS17</t>
  </si>
  <si>
    <t>Hour of Devastation HOU</t>
  </si>
  <si>
    <t>Hour of Devastation Promos PHOU</t>
  </si>
  <si>
    <t>Hour of Devastation Tokens THOU</t>
  </si>
  <si>
    <t>Archenemy: Nicol Bolas E01</t>
  </si>
  <si>
    <t>Archenemy: Nicol Bolas Tokens TE01</t>
  </si>
  <si>
    <t>Archenemy: Nicol Bolas Schemes OE01</t>
  </si>
  <si>
    <t>Commander Anthology CMA</t>
  </si>
  <si>
    <t>Commander Anthology Tokens TCMA</t>
  </si>
  <si>
    <t>Amonkhet AKH</t>
  </si>
  <si>
    <t>Amonkhet Invocations MP2</t>
  </si>
  <si>
    <t>Amonkhet Promos PAKH</t>
  </si>
  <si>
    <t>Amonkhet Tokens TAKH</t>
  </si>
  <si>
    <t>Welcome Deck 2017 W17</t>
  </si>
  <si>
    <t>Legacy Cube LEGACY</t>
  </si>
  <si>
    <t>Duel Decks: Mind vs. Might DDS</t>
  </si>
  <si>
    <t>Duel Decks: Mind vs. Might Tokens TDDS</t>
  </si>
  <si>
    <t>Modern Masters 2017 MM3</t>
  </si>
  <si>
    <t>Modern Masters 2017 Tokens TMM3</t>
  </si>
  <si>
    <t>Aether Revolt AER</t>
  </si>
  <si>
    <t>Aether Revolt Promos PAER</t>
  </si>
  <si>
    <t>Aether Revolt Tokens TAER</t>
  </si>
  <si>
    <t>League Tokens 2017 L17</t>
  </si>
  <si>
    <t>Friday Night Magic 2017 F17</t>
  </si>
  <si>
    <t>Judge Gift Cards 2017 J17</t>
  </si>
  <si>
    <t>Planechase Anthology PCA</t>
  </si>
  <si>
    <t>Planechase Anthology Tokens TPCA</t>
  </si>
  <si>
    <t>Planechase Anthology Planes OPCA</t>
  </si>
  <si>
    <t>Treasure Chest PZ2</t>
  </si>
  <si>
    <t>Twisted Color Pie TWISTED</t>
  </si>
  <si>
    <t>Commander 2016 C16</t>
  </si>
  <si>
    <t>Commander 2016 Tokens TC16</t>
  </si>
  <si>
    <t>Commander 2016 Oversized OC16</t>
  </si>
  <si>
    <t>San Diego Comic-Con 2016 PS16</t>
  </si>
  <si>
    <t>Kaladesh KLD</t>
  </si>
  <si>
    <t>Kaladesh Inventions MPS</t>
  </si>
  <si>
    <t>Kaladesh Promos PKLD</t>
  </si>
  <si>
    <t>Kaladesh Tokens TKLD</t>
  </si>
  <si>
    <t>Duel Decks: Nissa vs. Ob Nixilis DDR</t>
  </si>
  <si>
    <t>Conspiracy: Take the Crown CN2</t>
  </si>
  <si>
    <t>Conspiracy: Take the Crown Tokens TCN2</t>
  </si>
  <si>
    <t>From the Vault: Lore V16</t>
  </si>
  <si>
    <t>Eldritch Moon EMN</t>
  </si>
  <si>
    <t>Eldritch Moon Promos PEMN</t>
  </si>
  <si>
    <t>Eldritch Moon Tokens TEMN</t>
  </si>
  <si>
    <t>Eternal Masters EMA</t>
  </si>
  <si>
    <t>Eternal Masters Tokens TEMA</t>
  </si>
  <si>
    <t>Shadows over Innistrad SOI</t>
  </si>
  <si>
    <t>Shadows over Innistrad Promos PSOI</t>
  </si>
  <si>
    <t>Shadows over Innistrad Tokens TSOI</t>
  </si>
  <si>
    <t>Welcome Deck 2016 W16</t>
  </si>
  <si>
    <t>Duel Decks: Blessed vs. Cursed DDQ</t>
  </si>
  <si>
    <t>Oath of the Gatewatch Promos POGW</t>
  </si>
  <si>
    <t>Oath of the Gatewatch Tokens TOGW</t>
  </si>
  <si>
    <t>League Tokens 2016 L16</t>
  </si>
  <si>
    <t>Judge Gift Cards 2016 J16</t>
  </si>
  <si>
    <t>Friday Night Magic 2016 F16</t>
  </si>
  <si>
    <t>Legendary Cube Prize Pack PZ1</t>
  </si>
  <si>
    <t>Commander 2015 C15</t>
  </si>
  <si>
    <t>Commander 2015 Tokens TC15</t>
  </si>
  <si>
    <t>Commander 2015 Oversized OC15</t>
  </si>
  <si>
    <t>Battle for Zendikar BFZ</t>
  </si>
  <si>
    <t>Zendikar Expeditions EXP</t>
  </si>
  <si>
    <t>Battle for Zendikar Promos PBFZ</t>
  </si>
  <si>
    <t>Battle for Zendikar Tokens TBFZ</t>
  </si>
  <si>
    <t>BFZ Standard Series PSS1</t>
  </si>
  <si>
    <t>Duel Decks: Zendikar vs. Eldrazi DDP</t>
  </si>
  <si>
    <t>From the Vault: Angels V15</t>
  </si>
  <si>
    <t>Magic Origins ORI</t>
  </si>
  <si>
    <t>Magic Origins Promos PORI</t>
  </si>
  <si>
    <t>Magic Origins Tokens TORI</t>
  </si>
  <si>
    <t>Magic Origins Clash Pack CP3</t>
  </si>
  <si>
    <t>San Diego Comic-Con 2015 PS15</t>
  </si>
  <si>
    <t>Modern Masters 2015 MM2</t>
  </si>
  <si>
    <t>Modern Masters 2015 Tokens TMM2</t>
  </si>
  <si>
    <t>Tempest Remastered TPR</t>
  </si>
  <si>
    <t>Dragons of Tarkir DTK</t>
  </si>
  <si>
    <t>Dragons of Tarkir Promos PDTK</t>
  </si>
  <si>
    <t>Dragons of Tarkir Tokens TDTK</t>
  </si>
  <si>
    <t>Tarkir Dragonfury PTKDF</t>
  </si>
  <si>
    <t>Duel Decks: Elspeth vs. Kiora DDO</t>
  </si>
  <si>
    <t>Fate Reforged FRF</t>
  </si>
  <si>
    <t>Fate Reforged Promos PFRF</t>
  </si>
  <si>
    <t>Fate Reforged Tokens TFRF</t>
  </si>
  <si>
    <t>Fate Reforged Clash Pack CP2</t>
  </si>
  <si>
    <t>Ugin's Fate UGIN</t>
  </si>
  <si>
    <t>League Tokens 2015 L15</t>
  </si>
  <si>
    <t>Friday Night Magic 2015 F15</t>
  </si>
  <si>
    <t>Judge Gift Cards 2015 J15</t>
  </si>
  <si>
    <t>Duel Decks Anthology: Elves vs. Goblins EVG</t>
  </si>
  <si>
    <t>Duel Decks Anthology: Elves vs. Goblins Tokens TEVG</t>
  </si>
  <si>
    <t>Duel Decks Anthology: Garruk vs. Liliana GVL</t>
  </si>
  <si>
    <t>Duel Decks Anthology: Garruk vs. Liliana Tokens TGVL</t>
  </si>
  <si>
    <t>Duel Decks Anthology: Jace vs. Chandra JVC</t>
  </si>
  <si>
    <t>Duel Decks Anthology: Jace vs. Chandra Tokens TJVC</t>
  </si>
  <si>
    <t>Duel Decks Anthology: Divine vs. Demonic DVD</t>
  </si>
  <si>
    <t>Duel Decks Anthology: Divine vs. Demonic Tokens TDVD</t>
  </si>
  <si>
    <t>Commander 2014 C14</t>
  </si>
  <si>
    <t>Commander 2014 Tokens TC14</t>
  </si>
  <si>
    <t>Commander 2014 Oversized OC14</t>
  </si>
  <si>
    <t>Khans of Tarkir KTK</t>
  </si>
  <si>
    <t>Khans of Tarkir Promos PKTK</t>
  </si>
  <si>
    <t>Khans of Tarkir Tokens TKTK</t>
  </si>
  <si>
    <t>Duel Decks: Speed vs. Cunning DDN</t>
  </si>
  <si>
    <t>From the Vault: Annihilation V14</t>
  </si>
  <si>
    <t>Magic 2015 M15</t>
  </si>
  <si>
    <t>Magic 2015 Promos PM15</t>
  </si>
  <si>
    <t>Magic 2015 Tokens TM15</t>
  </si>
  <si>
    <t>Magic 2015 Clash Pack CP1</t>
  </si>
  <si>
    <t>M15 Prerelease Challenge PPC1</t>
  </si>
  <si>
    <t>Duels of the Planeswalkers 2015 Promos PDP15</t>
  </si>
  <si>
    <t>San Diego Comic-Con 2014 PS14</t>
  </si>
  <si>
    <t>Vintage Masters VMA</t>
  </si>
  <si>
    <t>Conspiracy CNS</t>
  </si>
  <si>
    <t>Conspiracy Promos PCNS</t>
  </si>
  <si>
    <t>Conspiracy Tokens TCNS</t>
  </si>
  <si>
    <t>Modern Event Deck 2014 MD1</t>
  </si>
  <si>
    <t>Modern Event Deck 2014 Tokens TMD1</t>
  </si>
  <si>
    <t>Journey into Nyx JOU</t>
  </si>
  <si>
    <t>Journey into Nyx Promos PJOU</t>
  </si>
  <si>
    <t>Journey into Nyx Tokens TJOU</t>
  </si>
  <si>
    <t>Defeat a God TDAG</t>
  </si>
  <si>
    <t>Journey into Nyx Hero's Path THP3</t>
  </si>
  <si>
    <t>Duel Decks: Jace vs. Vraska DDM</t>
  </si>
  <si>
    <t>Duel Decks: Jace vs. Vraska Tokens TDDM</t>
  </si>
  <si>
    <t>Born of the Gods BNG</t>
  </si>
  <si>
    <t>Born of the Gods Promos PBNG</t>
  </si>
  <si>
    <t>Born of the Gods Tokens TBNG</t>
  </si>
  <si>
    <t>Battle the Horde TBTH</t>
  </si>
  <si>
    <t>Born of the Gods Hero's Path THP2</t>
  </si>
  <si>
    <t>League Tokens 2014 L14</t>
  </si>
  <si>
    <t>Judge Gift Cards 2014 J14</t>
  </si>
  <si>
    <t>Friday Night Magic 2014 F14</t>
  </si>
  <si>
    <t>Commander 2013 C13</t>
  </si>
  <si>
    <t>Commander 2013 Oversized OC13</t>
  </si>
  <si>
    <t>Theros THS</t>
  </si>
  <si>
    <t>Theros Promos PTHS</t>
  </si>
  <si>
    <t>Theros Tokens TTHS</t>
  </si>
  <si>
    <t>Face the Hydra TFTH</t>
  </si>
  <si>
    <t>Theros Hero's Path THP1</t>
  </si>
  <si>
    <t>Duel Decks: Heroes vs. Monsters DDL</t>
  </si>
  <si>
    <t>Duel Decks: Heroes vs. Monsters Tokens TDDL</t>
  </si>
  <si>
    <t>From the Vault: Twenty V13</t>
  </si>
  <si>
    <t>Magic 2014 M14</t>
  </si>
  <si>
    <t>Magic 2014 Promos PM14</t>
  </si>
  <si>
    <t>Magic 2014 Tokens TM14</t>
  </si>
  <si>
    <t>San Diego Comic-Con 2013 PSDC</t>
  </si>
  <si>
    <t>Modern Masters MMA</t>
  </si>
  <si>
    <t>Modern Masters Tokens TMMA</t>
  </si>
  <si>
    <t>Dragon's Maze DGM</t>
  </si>
  <si>
    <t>Dragon's Maze Promos PDGM</t>
  </si>
  <si>
    <t>Dragon's Maze Tokens TDGM</t>
  </si>
  <si>
    <t>World Magic Cup Qualifiers WMC</t>
  </si>
  <si>
    <t>Duel Decks: Sorin vs. Tibalt DDK</t>
  </si>
  <si>
    <t>Duel Decks: Sorin vs. Tibalt Tokens TDDK</t>
  </si>
  <si>
    <t>Gatecrash GTC</t>
  </si>
  <si>
    <t>Gatecrash Promos PGTC</t>
  </si>
  <si>
    <t>Gatecrash Tokens TGTC</t>
  </si>
  <si>
    <t>Duels of the Planeswalkers 2014 Promos PDP14</t>
  </si>
  <si>
    <t>League Tokens 2013 L13</t>
  </si>
  <si>
    <t>Judge Gift Cards 2013 J13</t>
  </si>
  <si>
    <t>Friday Night Magic 2013 F13</t>
  </si>
  <si>
    <t>Commander's Arsenal CM1</t>
  </si>
  <si>
    <t>Commander's Arsenal Oversized OCM1</t>
  </si>
  <si>
    <t>Return to Ravnica RTR</t>
  </si>
  <si>
    <t>Return to Ravnica Promos PRTR</t>
  </si>
  <si>
    <t>Return to Ravnica Tokens TRTR</t>
  </si>
  <si>
    <t>Duel Decks: Izzet vs. Golgari DDJ</t>
  </si>
  <si>
    <t>Duel Decks: Izzet vs. Golgari Tokens TDDJ</t>
  </si>
  <si>
    <t>From the Vault: Realms V12</t>
  </si>
  <si>
    <t>Magic 2013 M13</t>
  </si>
  <si>
    <t>Magic 2013 Promos PM13</t>
  </si>
  <si>
    <t>Magic 2013 Tokens TM13</t>
  </si>
  <si>
    <t>Planechase 2012 PC2</t>
  </si>
  <si>
    <t>Planechase 2012 Planes OPC2</t>
  </si>
  <si>
    <t>Avacyn Restored AVR</t>
  </si>
  <si>
    <t>Avacyn Restored Promos PAVR</t>
  </si>
  <si>
    <t>Avacyn Restored Tokens TAVR</t>
  </si>
  <si>
    <t>Open the Helvault PHEL</t>
  </si>
  <si>
    <t>Duel Decks: Venser vs. Koth DDI</t>
  </si>
  <si>
    <t>Duel Decks: Venser vs. Koth Tokens TDDI</t>
  </si>
  <si>
    <t>Dark Ascension DKA</t>
  </si>
  <si>
    <t>Dark Ascension Promos PDKA</t>
  </si>
  <si>
    <t>Dark Ascension Tokens TDKA</t>
  </si>
  <si>
    <t>Wizards Play Network 2012 PW12</t>
  </si>
  <si>
    <t>Duels of the Planeswalkers 2013 Promos PDP13</t>
  </si>
  <si>
    <t>IDW Comics Inserts PIDW</t>
  </si>
  <si>
    <t>League Tokens 2012 L12</t>
  </si>
  <si>
    <t>Judge Gift Cards 2012 J12</t>
  </si>
  <si>
    <t>Friday Night Magic 2012 F12</t>
  </si>
  <si>
    <t>Premium Deck Series: Graveborn PD3</t>
  </si>
  <si>
    <t>Innistrad ISD</t>
  </si>
  <si>
    <t>Innistrad Promos PISD</t>
  </si>
  <si>
    <t>Innistrad Tokens TISD</t>
  </si>
  <si>
    <t>Duel Decks: Ajani vs. Nicol Bolas DDH</t>
  </si>
  <si>
    <t>Duel Decks: Ajani vs. Nicol Bolas Tokens TDDH</t>
  </si>
  <si>
    <t>From the Vault: Legends V11</t>
  </si>
  <si>
    <t>Magic 2012 M12</t>
  </si>
  <si>
    <t>Magic 2012 Promos PM12</t>
  </si>
  <si>
    <t>Magic 2012 Tokens TM12</t>
  </si>
  <si>
    <t>Commander 2011 CMD</t>
  </si>
  <si>
    <t>Commander 2011 Launch Party PCMD</t>
  </si>
  <si>
    <t>Commander 2011 Oversized OCMD</t>
  </si>
  <si>
    <t>Duel Decks: Mirrodin Pure vs. New Phyrexia TD2</t>
  </si>
  <si>
    <t>New Phyrexia NPH</t>
  </si>
  <si>
    <t>New Phyrexia Promos PNPH</t>
  </si>
  <si>
    <t>New Phyrexia Tokens TNPH</t>
  </si>
  <si>
    <t>Duel Decks: Knights vs. Dragons DDG</t>
  </si>
  <si>
    <t>Duel Decks: Knights vs. Dragons Tokens TDDG</t>
  </si>
  <si>
    <t>Mirrodin Besieged MBS</t>
  </si>
  <si>
    <t>Mirrodin Besieged Promos PMBS</t>
  </si>
  <si>
    <t>Mirrodin Besieged Tokens TMBS</t>
  </si>
  <si>
    <t>Masters Edition IV ME4</t>
  </si>
  <si>
    <t>Magic Premiere Shop 2011 PMPS11</t>
  </si>
  <si>
    <t>Wizards Play Network 2011 PW11</t>
  </si>
  <si>
    <t>Duels of the Planeswalkers 2012 Promos PDP12</t>
  </si>
  <si>
    <t>Salvat 2011 PS11</t>
  </si>
  <si>
    <t>Legacy Championship OLGC</t>
  </si>
  <si>
    <t>Judge Gift Cards 2011 G11</t>
  </si>
  <si>
    <t>Magic Player Rewards 2011 P11</t>
  </si>
  <si>
    <t>Friday Night Magic 2011 F11</t>
  </si>
  <si>
    <t>Premium Deck Series: Fire and Lightning PD2</t>
  </si>
  <si>
    <t>Magic Online Theme Decks TD0</t>
  </si>
  <si>
    <t>Scars of Mirrodin SOM</t>
  </si>
  <si>
    <t>Scars of Mirrodin Promos PSOM</t>
  </si>
  <si>
    <t>Scars of Mirrodin Tokens TSOM</t>
  </si>
  <si>
    <t>Duel Decks: Elspeth vs. Tezzeret DDF</t>
  </si>
  <si>
    <t>Duel Decks: Elspeth vs. Tezzeret Tokens TDDF</t>
  </si>
  <si>
    <t>From the Vault: Relics V10</t>
  </si>
  <si>
    <t>Magic 2011 M11</t>
  </si>
  <si>
    <t>Magic 2011 Promos PM11</t>
  </si>
  <si>
    <t>Magic 2011 Tokens TM11</t>
  </si>
  <si>
    <t>Archenemy ARC</t>
  </si>
  <si>
    <t>Archenemy Schemes OARC</t>
  </si>
  <si>
    <t>Duels of the Planeswalkers DPA</t>
  </si>
  <si>
    <t>Rise of the Eldrazi ROE</t>
  </si>
  <si>
    <t>Rise of the Eldrazi Promos PROE</t>
  </si>
  <si>
    <t>Rise of the Eldrazi Tokens TROE</t>
  </si>
  <si>
    <t>Duel Decks: Phyrexia vs. the Coalition DDE</t>
  </si>
  <si>
    <t>Duel Decks: Phyrexia vs. the Coalition Tokens TDDE</t>
  </si>
  <si>
    <t>Worldwake WWK</t>
  </si>
  <si>
    <t>Worldwake Promos PWWK</t>
  </si>
  <si>
    <t>Worldwake Tokens TWWK</t>
  </si>
  <si>
    <t>Duels of the Planeswalkers 2010 Promos PDP10</t>
  </si>
  <si>
    <t>Magic Premiere Shop 2010 PMPS10</t>
  </si>
  <si>
    <t>Magic Player Rewards 2010 P10</t>
  </si>
  <si>
    <t>Judge Gift Cards 2010 G10</t>
  </si>
  <si>
    <t>Friday Night Magic 2010 F10</t>
  </si>
  <si>
    <t>Premium Deck Series: Slivers H09</t>
  </si>
  <si>
    <t>Duel Decks: Garruk vs. Liliana DDD</t>
  </si>
  <si>
    <t>Duel Decks: Garruk vs. Liliana Tokens TDDD</t>
  </si>
  <si>
    <t>Zendikar ZEN</t>
  </si>
  <si>
    <t>Zendikar Promos PZEN</t>
  </si>
  <si>
    <t>Zendikar Tokens TZEN</t>
  </si>
  <si>
    <t>Masters Edition III ME3</t>
  </si>
  <si>
    <t>Planechase HOP</t>
  </si>
  <si>
    <t>Planechase Promos PHOP</t>
  </si>
  <si>
    <t>Planechase Planes OHOP</t>
  </si>
  <si>
    <t>From the Vault: Exiled V09</t>
  </si>
  <si>
    <t>Magic 2010 M10</t>
  </si>
  <si>
    <t>Magic 2010 Promos PM10</t>
  </si>
  <si>
    <t>Magic 2010 Tokens TM10</t>
  </si>
  <si>
    <t>Alara Reborn ARB</t>
  </si>
  <si>
    <t>Alara Reborn Promos PARB</t>
  </si>
  <si>
    <t>Alara Reborn Tokens TARB</t>
  </si>
  <si>
    <t>Duel Decks: Divine vs. Demonic DDC</t>
  </si>
  <si>
    <t>Duel Decks: Divine vs. Demonic Tokens TDDC</t>
  </si>
  <si>
    <t>URL/Convention Promos PURL</t>
  </si>
  <si>
    <t>Conflux CON</t>
  </si>
  <si>
    <t>Conflux Promos PCON</t>
  </si>
  <si>
    <t>Conflux Tokens TCON</t>
  </si>
  <si>
    <t>Duels of the Planeswalkers 2009 Promos PDTP</t>
  </si>
  <si>
    <t>Magic Premiere Shop 2009 PMPS09</t>
  </si>
  <si>
    <t>Friday Night Magic 2009 F09</t>
  </si>
  <si>
    <t>Magic Player Rewards 2009 P09</t>
  </si>
  <si>
    <t>Judge Gift Cards 2009 G09</t>
  </si>
  <si>
    <t>Duel Decks: Jace vs. Chandra DD2</t>
  </si>
  <si>
    <t>Duel Decks: Jace vs. Chandra Tokens TDD2</t>
  </si>
  <si>
    <t>Shards of Alara ALA</t>
  </si>
  <si>
    <t>Shards of Alara Promos PALA</t>
  </si>
  <si>
    <t>Shards of Alara Tokens TALA</t>
  </si>
  <si>
    <t>Masters Edition II ME2</t>
  </si>
  <si>
    <t>From the Vault: Dragons DRB</t>
  </si>
  <si>
    <t>Eventide EVE</t>
  </si>
  <si>
    <t>Eventide Promos PEVE</t>
  </si>
  <si>
    <t>Eventide Tokens TEVE</t>
  </si>
  <si>
    <t>Shadowmoor SHM</t>
  </si>
  <si>
    <t>Shadowmoor Promos PSHM</t>
  </si>
  <si>
    <t>Shadowmoor Tokens TSHM</t>
  </si>
  <si>
    <t>15th Anniversary Cards P15A</t>
  </si>
  <si>
    <t>Morningtide MOR</t>
  </si>
  <si>
    <t>Morningtide Promos PMOR</t>
  </si>
  <si>
    <t>Morningtide Tokens TMOR</t>
  </si>
  <si>
    <t>Magic Premiere Shop 2008 PMPS08</t>
  </si>
  <si>
    <t>Magic Player Rewards 2008 P08</t>
  </si>
  <si>
    <t>Friday Night Magic 2008 F08</t>
  </si>
  <si>
    <t>Judge Gift Cards 2008 G08</t>
  </si>
  <si>
    <t>Duel Decks: Elves vs. Goblins DD1</t>
  </si>
  <si>
    <t>Duel Decks: Elves vs. Goblins Tokens TDD1</t>
  </si>
  <si>
    <t>Lorwyn LRW</t>
  </si>
  <si>
    <t>Lorwyn Promos PLRW</t>
  </si>
  <si>
    <t>Lorwyn Tokens TLRW</t>
  </si>
  <si>
    <t>Masters Edition ME1</t>
  </si>
  <si>
    <t>Tenth Edition 10E</t>
  </si>
  <si>
    <t>Tenth Edition Promos P10E</t>
  </si>
  <si>
    <t>Tenth Edition Tokens T10E</t>
  </si>
  <si>
    <t>Future Sight FUT</t>
  </si>
  <si>
    <t>Future Sight Promos PFUT</t>
  </si>
  <si>
    <t>Grand Prix Promos PGPX</t>
  </si>
  <si>
    <t>Pro Tour Promos PPRO</t>
  </si>
  <si>
    <t>Planar Chaos PLC</t>
  </si>
  <si>
    <t>Planar Chaos Promos PPLC</t>
  </si>
  <si>
    <t>Magic Premiere Shop 2007 PMPS07</t>
  </si>
  <si>
    <t>Judge Gift Cards 2007 G07</t>
  </si>
  <si>
    <t>Magic Player Rewards 2007 P07</t>
  </si>
  <si>
    <t>Friday Night Magic 2007 F07</t>
  </si>
  <si>
    <t>Happy Holidays HHO</t>
  </si>
  <si>
    <t>Time Spiral TSP</t>
  </si>
  <si>
    <t>Time Spiral Promos PTSP</t>
  </si>
  <si>
    <t>Time Spiral Timeshifted TSB</t>
  </si>
  <si>
    <t>Coldsnap CSP</t>
  </si>
  <si>
    <t>Coldsnap Promos PCSP</t>
  </si>
  <si>
    <t>Coldsnap Theme Decks CST</t>
  </si>
  <si>
    <t>Dissension DIS</t>
  </si>
  <si>
    <t>Dissension Promos PDIS</t>
  </si>
  <si>
    <t>Champs and States PCMP</t>
  </si>
  <si>
    <t>Guildpact GPT</t>
  </si>
  <si>
    <t>Guildpact Promos PGPT</t>
  </si>
  <si>
    <t>Magic Premiere Shop 2006 PMPS06</t>
  </si>
  <si>
    <t>Arena League 2006 PAL06</t>
  </si>
  <si>
    <t>Junior APAC Series PJAS</t>
  </si>
  <si>
    <t>Friday Night Magic 2006 F06</t>
  </si>
  <si>
    <t>Hachette UK PHUK</t>
  </si>
  <si>
    <t>Judge Gift Cards 2006 G06</t>
  </si>
  <si>
    <t>DCI Promos DCI</t>
  </si>
  <si>
    <t>Magic Player Rewards 2006 P06</t>
  </si>
  <si>
    <t>Two-Headed Giant Tournament P2HG</t>
  </si>
  <si>
    <t>Magic Premiere Shop 2005 PMPS</t>
  </si>
  <si>
    <t>Ravnica: City of Guilds RAV</t>
  </si>
  <si>
    <t>Ravnica: City of Guilds Promos PRAV</t>
  </si>
  <si>
    <t>Salvat 2005 PSAL</t>
  </si>
  <si>
    <t>Ninth Edition 9ED</t>
  </si>
  <si>
    <t>Ninth Edition Promos P9ED</t>
  </si>
  <si>
    <t>Saviors of Kamigawa SOK</t>
  </si>
  <si>
    <t>Saviors of Kamigawa Promos PSOK</t>
  </si>
  <si>
    <t>Betrayers of Kamigawa BOK</t>
  </si>
  <si>
    <t>Betrayers of Kamigawa Promos PBOK</t>
  </si>
  <si>
    <t>Arena League 2005 PAL05</t>
  </si>
  <si>
    <t>Junior Series Europe PJSE</t>
  </si>
  <si>
    <t>Friday Night Magic 2005 F05</t>
  </si>
  <si>
    <t>Magic Player Rewards 2005 P05</t>
  </si>
  <si>
    <t>Judge Gift Cards 2005 G05</t>
  </si>
  <si>
    <t>Unhinged UNH</t>
  </si>
  <si>
    <t>Unhinged Promos PUNH</t>
  </si>
  <si>
    <t>Champions of Kamigawa CHK</t>
  </si>
  <si>
    <t>Champions of Kamigawa Promos PCHK</t>
  </si>
  <si>
    <t>World Championship Decks 2004 WC04</t>
  </si>
  <si>
    <t>Fifth Dawn 5DN</t>
  </si>
  <si>
    <t>Fifth Dawn Promos P5DN</t>
  </si>
  <si>
    <t>Darksteel DST</t>
  </si>
  <si>
    <t>Darksteel Promos PDST</t>
  </si>
  <si>
    <t>Arena League 2004 PAL04</t>
  </si>
  <si>
    <t>Judge Gift Cards 2004 G04</t>
  </si>
  <si>
    <t>Magic Player Rewards 2004 P04</t>
  </si>
  <si>
    <t>Friday Night Magic 2004 F04</t>
  </si>
  <si>
    <t>Mirrodin MRD</t>
  </si>
  <si>
    <t>Mirrodin Promos PMRD</t>
  </si>
  <si>
    <t>World Championship Decks 2003 WC03</t>
  </si>
  <si>
    <t>Eighth Edition 8ED</t>
  </si>
  <si>
    <t>Eighth Edition Promos P8ED</t>
  </si>
  <si>
    <t>Scourge SCG</t>
  </si>
  <si>
    <t>Scourge Promos PSCG</t>
  </si>
  <si>
    <t>Legions LGN</t>
  </si>
  <si>
    <t>Legions Promos PLGN</t>
  </si>
  <si>
    <t>Magic Online Avatars PMOA</t>
  </si>
  <si>
    <t>Japan Junior Tournament PJJT</t>
  </si>
  <si>
    <t>Arena League 2003 PAL03</t>
  </si>
  <si>
    <t>Judge Gift Cards 2003 G03</t>
  </si>
  <si>
    <t>Magic Player Rewards 2003 P03</t>
  </si>
  <si>
    <t>Friday Night Magic 2003 F03</t>
  </si>
  <si>
    <t>Vintage Championship OVNT</t>
  </si>
  <si>
    <t>World Championship Decks 2002 WC02</t>
  </si>
  <si>
    <t>Onslaught ONS</t>
  </si>
  <si>
    <t>Onslaught Promos PONS</t>
  </si>
  <si>
    <t>Hobby Japan Promos JP1</t>
  </si>
  <si>
    <t>Magic Online Promos PRM</t>
  </si>
  <si>
    <t>Judgment JUD</t>
  </si>
  <si>
    <t>Judgment Promos PJUD</t>
  </si>
  <si>
    <t>Torment TOR</t>
  </si>
  <si>
    <t>Torment Promos PTOR</t>
  </si>
  <si>
    <t>Arena League 2002 PAL02</t>
  </si>
  <si>
    <t>Magic Player Rewards 2002 PR2</t>
  </si>
  <si>
    <t>Judge Gift Cards 2002 G02</t>
  </si>
  <si>
    <t>Friday Night Magic 2002 F02</t>
  </si>
  <si>
    <t>Deckmasters DKM</t>
  </si>
  <si>
    <t>Odyssey ODY</t>
  </si>
  <si>
    <t>Odyssey Promos PODY</t>
  </si>
  <si>
    <t>World Championship Decks 2001 WC01</t>
  </si>
  <si>
    <t>Sega Dreamcast Cards PSDG</t>
  </si>
  <si>
    <t>Apocalypse APC</t>
  </si>
  <si>
    <t>Apocalypse Promos PAPC</t>
  </si>
  <si>
    <t>Seventh Edition 7ED</t>
  </si>
  <si>
    <t>Planeshift PLS</t>
  </si>
  <si>
    <t>Planeshift Promos PPLS</t>
  </si>
  <si>
    <t>Arena League 2001 PAL01</t>
  </si>
  <si>
    <t>Magic Player Rewards 2001 MPR</t>
  </si>
  <si>
    <t>Judge Gift Cards 2001 G01</t>
  </si>
  <si>
    <t>Friday Night Magic 2001 F01</t>
  </si>
  <si>
    <t>Invasion INV</t>
  </si>
  <si>
    <t>Invasion Promos PINV</t>
  </si>
  <si>
    <t>Beatdown Box Set BTD</t>
  </si>
  <si>
    <t>World Championship Decks 2000 WC00</t>
  </si>
  <si>
    <t>Prophecy PCY</t>
  </si>
  <si>
    <t>Prophecy Promos PPCY</t>
  </si>
  <si>
    <t>Starter 2000 S00</t>
  </si>
  <si>
    <t>Nemesis NEM</t>
  </si>
  <si>
    <t>Nemesis Promos PNEM</t>
  </si>
  <si>
    <t>European Land Program PELP</t>
  </si>
  <si>
    <t>Arena League 2000 PAL00</t>
  </si>
  <si>
    <t>Judge Gift Cards 2000 G00</t>
  </si>
  <si>
    <t>Friday Night Magic 2000 FNM</t>
  </si>
  <si>
    <t>Junior Super Series PSUS</t>
  </si>
  <si>
    <t>Battle Royale Box Set BRB</t>
  </si>
  <si>
    <t>Mercadian Masques MMQ</t>
  </si>
  <si>
    <t>Mercadian Masques Promos PMMQ</t>
  </si>
  <si>
    <t>Wizards of the Coast Online Store PWOS</t>
  </si>
  <si>
    <t>World Championship Decks 1999 WC99</t>
  </si>
  <si>
    <t>World Championship Promos PWOR</t>
  </si>
  <si>
    <t>Guru PGRU</t>
  </si>
  <si>
    <t>Starter 1999 S99</t>
  </si>
  <si>
    <t>Urza's Destiny UDS</t>
  </si>
  <si>
    <t>Urza's Destiny Promos PUDS</t>
  </si>
  <si>
    <t>Portal Three Kingdoms PTK</t>
  </si>
  <si>
    <t>Portal: Three Kingdoms Promos PPTK</t>
  </si>
  <si>
    <t>Classic Sixth Edition 6ED</t>
  </si>
  <si>
    <t>Urza's Legacy ULG</t>
  </si>
  <si>
    <t>Urza's Legacy Promos PULG</t>
  </si>
  <si>
    <t>Arena League 1999 PAL99</t>
  </si>
  <si>
    <t>Judge Gift Cards 1999 G99</t>
  </si>
  <si>
    <t>Anthologies ATH</t>
  </si>
  <si>
    <t>Urza's Saga USG</t>
  </si>
  <si>
    <t>Urza's Saga Promos PUSG</t>
  </si>
  <si>
    <t>Asia Pacific Land Program PALP</t>
  </si>
  <si>
    <t>World Championship Decks 1998 WC98</t>
  </si>
  <si>
    <t>Unglued UGL</t>
  </si>
  <si>
    <t>Unglued Tokens TUGL</t>
  </si>
  <si>
    <t>Portal Second Age P02</t>
  </si>
  <si>
    <t>Exodus EXO</t>
  </si>
  <si>
    <t>Exodus Promos PEXO</t>
  </si>
  <si>
    <t>Stronghold STH</t>
  </si>
  <si>
    <t>Stronghold Promos PSTH</t>
  </si>
  <si>
    <t>Judge Gift Cards 1998 JGP</t>
  </si>
  <si>
    <t>Tempest TMP</t>
  </si>
  <si>
    <t>Tempest Promos PTMP</t>
  </si>
  <si>
    <t>World Championship Decks 1997 WC97</t>
  </si>
  <si>
    <t>Weatherlight WTH</t>
  </si>
  <si>
    <t>Oversized League Prizes OLEP</t>
  </si>
  <si>
    <t>Vanguard Series PVAN</t>
  </si>
  <si>
    <t>Portal POR</t>
  </si>
  <si>
    <t>Astral Cards PAST</t>
  </si>
  <si>
    <t>MicroProse Promos PMIC</t>
  </si>
  <si>
    <t>Fifth Edition 5ED</t>
  </si>
  <si>
    <t>Visions VIS</t>
  </si>
  <si>
    <t>Multiverse Gift Box MGB</t>
  </si>
  <si>
    <t>Introductory Two-Player Set ITP</t>
  </si>
  <si>
    <t>Mirage MIR</t>
  </si>
  <si>
    <t>Redemption Program PRED</t>
  </si>
  <si>
    <t>Celebration Cards PCEL</t>
  </si>
  <si>
    <t>Arena League 1996 PARL</t>
  </si>
  <si>
    <t>DCI Legend Membership PLGM</t>
  </si>
  <si>
    <t>Rivals Quick Start Set RQS</t>
  </si>
  <si>
    <t>Alliances ALL</t>
  </si>
  <si>
    <t>Pro Tour Collector Set PTC</t>
  </si>
  <si>
    <t>Oversized 90's Promos O90P</t>
  </si>
  <si>
    <t>Homelands HML</t>
  </si>
  <si>
    <t>Renaissance REN</t>
  </si>
  <si>
    <t>Rinascimento RIN</t>
  </si>
  <si>
    <t>Chronicles CHR</t>
  </si>
  <si>
    <t>Chronicles Foreign Black Border BCHR</t>
  </si>
  <si>
    <t>Ice Age ICE</t>
  </si>
  <si>
    <t>Fourth Edition 4ED</t>
  </si>
  <si>
    <t>Fourth Edition Foreign Black Border 4BB</t>
  </si>
  <si>
    <t>Media and Collaboration Promos PMEI</t>
  </si>
  <si>
    <t>Fallen Empires FEM</t>
  </si>
  <si>
    <t>HarperPrism Book Promos PHPR</t>
  </si>
  <si>
    <t>The Dark DRK</t>
  </si>
  <si>
    <t>Dragon Con PDRC</t>
  </si>
  <si>
    <t>Summer Magic / Edgar SUM</t>
  </si>
  <si>
    <t>Legends LEG</t>
  </si>
  <si>
    <t>Revised Edition 3ED</t>
  </si>
  <si>
    <t>Foreign Black Border FBB</t>
  </si>
  <si>
    <t>Antiquities ATQ</t>
  </si>
  <si>
    <t>Arabian Nights ARN</t>
  </si>
  <si>
    <t>Intl. Collectors' Edition CEI</t>
  </si>
  <si>
    <t>Collectors' Edition CED</t>
  </si>
  <si>
    <t>Unlimited Edition 2ED</t>
  </si>
  <si>
    <t>Limited Edition Beta LEB</t>
  </si>
  <si>
    <t>Limited Edition Alpha LEA</t>
  </si>
  <si>
    <t>en es fr de it pt ja ko ru</t>
  </si>
  <si>
    <t>War of the Spark WAR</t>
  </si>
  <si>
    <t>https://www.mtgstocks.com/sets/324-war-of-the-spark#ev</t>
  </si>
  <si>
    <t>https://botbox.dev/products/war/War%20of%20the%20Spark%20Booster%20Pack?exc=0</t>
  </si>
  <si>
    <t>Oath of the Gatewatch OGW</t>
  </si>
  <si>
    <t>https://www.mtgstocks.com/sets/255-oath-of-the-gatewatch#ev</t>
  </si>
  <si>
    <t>https://botbox.dev/products/ogw/Oath%20of%20the%20Gatewatch%20Booster%20Pack?exc=0</t>
  </si>
  <si>
    <t>Bloomburrow BLB</t>
  </si>
  <si>
    <t>https://www.mtgstocks.com/sets/1906-bloomburrow#ev</t>
  </si>
  <si>
    <t>https://botbox.dev/products/blb/Bloomburrow%20Play%20Booster%20Pack?exc=0</t>
  </si>
  <si>
    <t>https://botbox.dev/products/blb/Bloomburrow%20Collector%20Booster%20Pack?exc=0</t>
  </si>
  <si>
    <t>Commander Masters CMM</t>
  </si>
  <si>
    <t>https://botbox.dev/products/cmm/Commander%20Masters%20Set%20Booster%20Pack?exc=0</t>
  </si>
  <si>
    <t>https://botbox.dev/products/cmm/Commander%20Masters%20Collector%20Booster%20Pack?exc=0</t>
  </si>
  <si>
    <t>Marvel's Spider-Man SPM</t>
  </si>
  <si>
    <t>https://www.mtgstocks.com/sets/2262-marvels-spider-man#ev</t>
  </si>
  <si>
    <t>https://botbox.dev/products/spm/Marvels%20Spider%20Man%20Play%20Booster%20Pack?exc=0</t>
  </si>
  <si>
    <t>https://botbox.dev/products/spm/Marvels%20Spider%20Man%20Collector%20Booster%20Pack?exc=0</t>
  </si>
  <si>
    <t>The Lord of the Rings: Tales of Middle-earth LTR</t>
  </si>
  <si>
    <t>https://botbox.dev/products/ltr/The%20Lord%20of%20the%20Rings%20Tales%20of%20Middle%20earth%20Set%20Booster%20Pack?exc=0</t>
  </si>
  <si>
    <t>https://botbox.dev/products/ltr/The%20Lord%20of%20the%20Rings%20Tales%20of%20Middle%20earth%20Collector%20Booster%20Pack?exc=0</t>
  </si>
  <si>
    <t>Modern Horizons 3 MH3</t>
  </si>
  <si>
    <t>https://www.mtgstocks.com/sets/1903-modern-horizons-3#ev</t>
  </si>
  <si>
    <t>https://botbox.dev/products/mh3/Modern%20Horizons%203%20Play%20Booster%20Pack?exc=0</t>
  </si>
  <si>
    <t>https://botbox.dev/products/mh3/Modern%20Horizons%203%20Collector%20Booster%20Pack?exc=0</t>
  </si>
  <si>
    <t>Final Fantasy FIN</t>
  </si>
  <si>
    <t>https://www.mtgstocks.com/sets/2197-universes-beyond-final-fantasy#ev</t>
  </si>
  <si>
    <t>https://botbox.dev/products/fin/Final%20Fantasy%20Play%20Booster%20Pack?exc=0</t>
  </si>
  <si>
    <t>https://botbox.dev/products/fin/Final%20Fantasy%20Collector%20Booster%20Pack?exc=0</t>
  </si>
  <si>
    <t>The Brothers' War BRO</t>
  </si>
  <si>
    <t>https://botbox.dev/products/bro/The%20Brothers'%20War%20Set%20Booster%20Pack?exc=0</t>
  </si>
  <si>
    <t>https://botbox.dev/products/bro/The%20Brothers'%20War%20Collector%20Booster%20Pack?exc=0</t>
  </si>
  <si>
    <t>Dominaria United DMU</t>
  </si>
  <si>
    <t>https://botbox.dev/products/dmu/Dominaria%20United%20Set%20Booster%20Pack?exc=0</t>
  </si>
  <si>
    <t>https://botbox.dev/products/dmu/Dominaria%20United%20Collector%20Booster%20Pack?exc=0</t>
  </si>
  <si>
    <t>Wilds of Eldraine WOE</t>
  </si>
  <si>
    <t>https://botbox.dev/products/woe/Wilds%20of%20Eldraine%20Set%20Booster%20Pack?exc=0</t>
  </si>
  <si>
    <t>https://botbox.dev/products/woe/Wilds%20of%20Eldraine%20Collector%20Booster%20Pack?exc=0</t>
  </si>
  <si>
    <t>Ravnica Remastered RVR</t>
  </si>
  <si>
    <t>https://botbox.dev/products/rvr/Ravnica%20Remastered%20Draft%20Booster%20Pack?exc=0</t>
  </si>
  <si>
    <t>https://botbox.dev/products/rvr/Ravnica%20Remastered%20Collector%20Booster%20Pack?exc=0</t>
  </si>
  <si>
    <t>Edge of Eternities EOE</t>
  </si>
  <si>
    <t>https://www.mtgstocks.com/sets/2231-edge-of-eternities#ev</t>
  </si>
  <si>
    <t>https://botbox.dev/products/eoe/Edge%20of%20Eternities%20Play%20Booster%20Pack?exc=0</t>
  </si>
  <si>
    <t>https://botbox.dev/products/eoe/Edge%20of%20Eternities%20Collector%20Booster%20Pack?exc=0</t>
  </si>
  <si>
    <t>Avatar: The Last Airbender TLA</t>
  </si>
  <si>
    <t>https://www.mtgstocks.com/sets/1377-avatar-the-last-airbender#ev</t>
  </si>
  <si>
    <t>https://botbox.dev/products/tla/Avatar%20The%20Last%20Airbender%20Play%20Booster%20Pack?exc=0</t>
  </si>
  <si>
    <t>https://botbox.dev/products/tla/Avatar%20The%20Last%20Airbender%20Collector%20Booster%20Pack?exc=0</t>
  </si>
  <si>
    <t>Tarkir: Dragonstorm TDM</t>
  </si>
  <si>
    <t>https://www.mtgstocks.com/sets/2229-tarkir-dragonstorm#ev</t>
  </si>
  <si>
    <t>https://botbox.dev/products/tdm/Tarkir%20Dragonstorm%20Play%20Booster%20Pack?exc=0</t>
  </si>
  <si>
    <t>https://botbox.dev/products/tdm/Tarkir%20Dragonstorm%20Collector%20Booster%20Pack?exc=0</t>
  </si>
  <si>
    <t>Innistrad Remastered INR</t>
  </si>
  <si>
    <t>https://www.mtgstocks.com/sets/2098-innistrad-remastered#ev</t>
  </si>
  <si>
    <t>https://botbox.dev/products/inr/Innistrad%20Remastered%20Play%20Booster%20Pack?exc=0</t>
  </si>
  <si>
    <t>https://botbox.dev/products/inr/Innistrad%20Remastered%20Collector%20Booster%20Pack?exc=0</t>
  </si>
  <si>
    <t>Modern Horizons 2 MH2</t>
  </si>
  <si>
    <t>https://www.mtgstocks.com/sets/363-modern-horizons-2#ev</t>
  </si>
  <si>
    <t>https://botbox.dev/products/mh2/Modern%20Horizons%202%20Set%20Booster%20Pack?exc=0</t>
  </si>
  <si>
    <t>https://botbox.dev/products/mh2/Modern%20Horizons%202%20Collector%20Booster%20Pack?exc=0</t>
  </si>
  <si>
    <t>Lorwyn Eclipsed ECL</t>
  </si>
  <si>
    <t>Throne of Eldraine ELD</t>
  </si>
  <si>
    <t>https://botbox.dev/products/eld/Throne%20of%20Eldraine%20Draft%20Booster%20Pack?exc=0</t>
  </si>
  <si>
    <t>https://botbox.dev/products/eld/Throne%20of%20Eldraine%20Collector%20Booster%20Pack?exc=0</t>
  </si>
  <si>
    <t>Innistrad: Midnight Hunt MID</t>
  </si>
  <si>
    <t>https://botbox.dev/products/mid/Innistrad%20Midnight%20Hunt%20Set%20Booster%20Pack?exc=0</t>
  </si>
  <si>
    <t>https://botbox.dev/products/mid/Innistrad%20Midnight%20Hunt%20Collector%20Booster%20Pack?exc=0</t>
  </si>
  <si>
    <t>Phyrexia: All Will Be One ONE</t>
  </si>
  <si>
    <t>.</t>
  </si>
  <si>
    <t>https://botbox.dev/products/one/Phyrexia%20All%20Will%20Be%20One%20Set%20Booster%20Pack?exc=0</t>
  </si>
  <si>
    <t>https://botbox.dev/products/one/Phyrexia%20All%20Will%20Be%20One%20Collector%20Booster%20Pack?exc=0</t>
  </si>
  <si>
    <t>The Lost Caverns of Ixalan LCI</t>
  </si>
  <si>
    <t>https://botbox.dev/products/lci/The%20Lost%20Caverns%20of%20Ixalan%20Set%20Booster%20Pack?exc=0</t>
  </si>
  <si>
    <t>https://botbox.dev/products/lci/The%20Lost%20Caverns%20of%20Ixalan%20Collector%20Booster%20Pack?exc=0</t>
  </si>
  <si>
    <t>Murders at Karlov Manor MKM</t>
  </si>
  <si>
    <t>https://www.mtgstocks.com/sets/1868-murders-at-karlov-manor#ev</t>
  </si>
  <si>
    <t>https://botbox.dev/products/mkm/Murders%20at%20Karlov%20Manor%20Play%20Booster%20Pack?exc=0</t>
  </si>
  <si>
    <t>https://botbox.dev/products/mkm/Murders%20at%20Karlov%20Manor%20Collector%20Booster%20Pack?exc=0</t>
  </si>
  <si>
    <t>Foundations FDN</t>
  </si>
  <si>
    <t>https://botbox.dev/products/fdn/Foundations%20Play%20Booster%20Pack?exc=0</t>
  </si>
  <si>
    <t>https://botbox.dev/products/fdn/Foundations%20Collector%20Booster%20Pack?exc=0</t>
  </si>
  <si>
    <t>Kaldheim KHM</t>
  </si>
  <si>
    <t>https://botbox.dev/products/khm/Kaldheim%20Set%20Booster%20Pack?exc=0</t>
  </si>
  <si>
    <t>https://botbox.dev/products/khm/Kaldheim%20Collector%20Booster%20Pack?exc=0</t>
  </si>
  <si>
    <t>Innistrad: Crimson Vow VOW</t>
  </si>
  <si>
    <t>https://botbox.dev/products/vow/Innistrad%20Crimson%20Vow%20Set%20Booster%20Pack?exc=0</t>
  </si>
  <si>
    <t>https://botbox.dev/products/vow/Innistrad%20Crimson%20Vow%20Collector%20Booster%20Pack?exc=0</t>
  </si>
  <si>
    <t>March of the Machine MOM</t>
  </si>
  <si>
    <t>https://botbox.dev/products/mom/March%20of%20the%20Machine%20Set%20Booster%20Pack?exc=0</t>
  </si>
  <si>
    <t>https://botbox.dev/products/mom/March%20of%20the%20Machine%20Collector%20Booster%20Pack?exc=0</t>
  </si>
  <si>
    <t>Strixhaven: School of Mages STX</t>
  </si>
  <si>
    <t>https://botbox.dev/products/stx/Strixhaven%20School%20of%20Mages%20Set%20Booster%20Pack?exc=0</t>
  </si>
  <si>
    <t>https://botbox.dev/products/stx/Strixhaven%20School%20of%20Mages%20Collector%20Booster%20Pack?exc=0</t>
  </si>
  <si>
    <t>Kamigawa: Neon Dynasty NEO</t>
  </si>
  <si>
    <t>https://botbox.dev/products/neo/Kamigawa%20Neon%20Dynasty%20Set%20Booster%20Pack?exc=0</t>
  </si>
  <si>
    <t>https://botbox.dev/products/neo/Kamigawa%20Neon%20Dynasty%20Collector%20Booster%20Pack?exc=0</t>
  </si>
  <si>
    <t>Duskmourn: House of Horror DSK</t>
  </si>
  <si>
    <t>https://www.mtgstocks.com/sets/1998-duskmourn-house-of-horror#ev</t>
  </si>
  <si>
    <t>https://botbox.dev/products/dsk/Duskmourn%20House%20of%20Horror%20Play%20Booster%20Pack?exc=0</t>
  </si>
  <si>
    <t>https://botbox.dev/products/dsk/Duskmourn%20House%20of%20Horror%20Collector%20Booster%20Pack?exc=0</t>
  </si>
  <si>
    <t>Streets of New Capenna SNC</t>
  </si>
  <si>
    <t>https://botbox.dev/products/snc/Streets%20of%20New%20Capenna%20Set%20Booster%20Pack?exc=0</t>
  </si>
  <si>
    <t>https://botbox.dev/products/snc/Streets%20of%20New%20Capenna%20Collector%20Booster%20Pack?exc=0</t>
  </si>
  <si>
    <t>Aetherdrift DFT</t>
  </si>
  <si>
    <t>https://www.mtgstocks.com/sets/2097-aetherdrift#ev</t>
  </si>
  <si>
    <t>https://botbox.dev/products/dft/Aetherdrift%20Play%20Booster%20Pack?exc=0</t>
  </si>
  <si>
    <t>https://botbox.dev/products/dft/Aetherdrift%20Collector%20Booster%20Pack?exc=0</t>
  </si>
  <si>
    <t>Outlaws of Thunder Junction OTJ</t>
  </si>
  <si>
    <t>https://www.mtgstocks.com/sets/1901-outlaws-of-thunder-junction#ev</t>
  </si>
  <si>
    <t>https://botbox.dev/products/otj/Outlaws%20of%20Thunder%20Junction%20Play%20Booster%20Pack?exc=0</t>
  </si>
  <si>
    <t>https://botbox.dev/products/otj/Outlaws%20of%20Thunder%20Junction%20Collector%20Booster%20Pack?exc=0</t>
  </si>
  <si>
    <t>Assassin's Creed ACR</t>
  </si>
  <si>
    <t>https://botbox.dev/products/acr/Assassins%20Creed%20Beyond%20Booster%20Pack?exc=0</t>
  </si>
  <si>
    <t>https://botbox.dev/products/acr/Assassins%20Creed%20Collector%20Booster%20Pack?exc=0</t>
  </si>
  <si>
    <t>Order ID</t>
  </si>
  <si>
    <t>Customer Name</t>
  </si>
  <si>
    <t>Platform</t>
  </si>
  <si>
    <t>Delivery Address</t>
  </si>
  <si>
    <t>Date</t>
  </si>
  <si>
    <t>CardMarket Sale ID</t>
  </si>
  <si>
    <t>Total Value GBP</t>
  </si>
  <si>
    <t>Include In Statistics</t>
  </si>
  <si>
    <t>Tierney Gullen</t>
  </si>
  <si>
    <t>Tierney Gullen, Russet, Sawbridge Road, Grandborough, CV23 8DN</t>
  </si>
  <si>
    <t>Bethany Davies
20A Southway
LE8 4BB Leicester
United Kingdom</t>
  </si>
  <si>
    <t>callum-mysticwarren</t>
  </si>
  <si>
    <t>Gathering-The-Magic</t>
  </si>
  <si>
    <t>Disneydayna55</t>
  </si>
  <si>
    <t>BrettUKHolt</t>
  </si>
  <si>
    <t>AsadoSiopao</t>
  </si>
  <si>
    <t>DiabloBlade1122</t>
  </si>
  <si>
    <t>KrombopulosKatie</t>
  </si>
  <si>
    <t>Pokemaniac91</t>
  </si>
  <si>
    <t>LeFrog</t>
  </si>
  <si>
    <t>Order Item Id</t>
  </si>
  <si>
    <t>Order Id</t>
  </si>
  <si>
    <t>Product Id</t>
  </si>
  <si>
    <t>Quantity</t>
  </si>
  <si>
    <t>Order Ref</t>
  </si>
  <si>
    <t>Product Name</t>
  </si>
  <si>
    <t>Subtotal Price</t>
  </si>
  <si>
    <t>Order Included In Statistics</t>
  </si>
  <si>
    <t>Pack Size</t>
  </si>
  <si>
    <t>Is Booster Box</t>
  </si>
  <si>
    <t>Is Booster</t>
  </si>
  <si>
    <t>Is Set or Play Booster</t>
  </si>
  <si>
    <t>Is Collector</t>
  </si>
  <si>
    <t>Is Precon</t>
  </si>
  <si>
    <t>Min Cost</t>
  </si>
  <si>
    <t>Best Source</t>
  </si>
  <si>
    <t>Profit CardMarket</t>
  </si>
  <si>
    <t>Dragon Shield Perfect-Fit Inner Sleeves Top-Loading Clear Standard Size Pack of 100</t>
  </si>
  <si>
    <t>MTG Aetherdrift Collector Booster</t>
  </si>
  <si>
    <t>MTG Aetherdrift Collector Booster Box</t>
  </si>
  <si>
    <t>MTG Aetherdrift Eternal Might Precon</t>
  </si>
  <si>
    <t>MTG Aetherdrift Living Energy Precon</t>
  </si>
  <si>
    <t>MTG Aetherdrift Play Booster</t>
  </si>
  <si>
    <t>MTG Aetherdrift Play Booster Box</t>
  </si>
  <si>
    <t>MTG Assassin's Creed Beyond Booster</t>
  </si>
  <si>
    <t>MTG Assassin's Creed Beyond Booster Box</t>
  </si>
  <si>
    <t>MTG Assassin's Creed Beyond Collector Booster</t>
  </si>
  <si>
    <t>MTG Assassin's Creed Beyond Collector Booster Box</t>
  </si>
  <si>
    <t>MTG Avatar: The Last Airbender Collector Booster</t>
  </si>
  <si>
    <t>MTG Avatar: The Last Airbender Collector Booster Box</t>
  </si>
  <si>
    <t>MTG Avatar: The Last Airbender Play Booster</t>
  </si>
  <si>
    <t>MTG Avatar: The Last Airbender Play Booster Box</t>
  </si>
  <si>
    <t>MTG Bloomburrow Animated Army Precon</t>
  </si>
  <si>
    <t>MTG Bloomburrow Collector Booster</t>
  </si>
  <si>
    <t>MTG Bloomburrow Collector Booster Box</t>
  </si>
  <si>
    <t>MTG Bloomburrow Family Matters Precon</t>
  </si>
  <si>
    <t>MTG Bloomburrow Peace Offering Precon</t>
  </si>
  <si>
    <t>MTG Bloomburrow Play Booster</t>
  </si>
  <si>
    <t>MTG Bloomburrow Play Booster Box</t>
  </si>
  <si>
    <t>MTG Bloomburrow Squirreled Away Precon</t>
  </si>
  <si>
    <t>MTG Commander Legends: Battle for Baldur's Gate Draconic Dissent Precon</t>
  </si>
  <si>
    <t>MTG Commander Legends: Battle for Baldur's Gate Exit from Exile Precon</t>
  </si>
  <si>
    <t>MTG Commander Legends: Battle for Baldur's Gate Mind Flayarrrs Precon</t>
  </si>
  <si>
    <t>MTG Commander Legends: Battle for Baldur's Gate Party Time Precon</t>
  </si>
  <si>
    <t>MTG Commander Masters Collector Booster</t>
  </si>
  <si>
    <t>MTG Commander Masters Collector Booster Box</t>
  </si>
  <si>
    <t>MTG Commander Masters Eldrazi Unbound Precon</t>
  </si>
  <si>
    <t>MTG Commander Masters Enduring Enchantments Precon</t>
  </si>
  <si>
    <t>MTG Commander Masters Planeswalker Party Precon</t>
  </si>
  <si>
    <t>MTG Commander Masters Set Booster</t>
  </si>
  <si>
    <t>MTG Commander Masters Set Booster Box</t>
  </si>
  <si>
    <t>MTG Commander Masters Sliver Swarm Precon</t>
  </si>
  <si>
    <t>MTG Doctor Who Blast from the Past Precon</t>
  </si>
  <si>
    <t>MTG Doctor Who Masters of Evil Precon</t>
  </si>
  <si>
    <t>MTG Doctor Who Paradox Power Precon</t>
  </si>
  <si>
    <t>MTG Doctor Who Timey-Wimey Precon</t>
  </si>
  <si>
    <t>MTG Dominaria DOM Booster</t>
  </si>
  <si>
    <t>MTG Dominaria DOM Booster Box</t>
  </si>
  <si>
    <t>MTG Dominaria United DMU Collector Booster</t>
  </si>
  <si>
    <t>MTG Dominaria United DMU Collector Booster Box</t>
  </si>
  <si>
    <t>MTG Dominaria United DMU Set Booster</t>
  </si>
  <si>
    <t>MTG Dominaria United DMU Set Booster Box</t>
  </si>
  <si>
    <t>MTG Dominaria United Legends' Legacy Precon</t>
  </si>
  <si>
    <t>MTG Dominaria United Painbow Precon</t>
  </si>
  <si>
    <t>MTG Duskmourn: House of Horror Collector Booster</t>
  </si>
  <si>
    <t>MTG Duskmourn: House of Horror Collector Booster Box</t>
  </si>
  <si>
    <t>MTG Duskmourn: House of Horror Death Toll Precon</t>
  </si>
  <si>
    <t>MTG Duskmourn: House of Horror Endless Punishment Precon</t>
  </si>
  <si>
    <t>MTG Duskmourn: House of Horror Jump Scare Precon</t>
  </si>
  <si>
    <t>MTG Duskmourn: House of Horror Miracle Worker Precon</t>
  </si>
  <si>
    <t>MTG Duskmourn: House of Horror Play Booster</t>
  </si>
  <si>
    <t>MTG Duskmourn: House of Horror Play Booster Box</t>
  </si>
  <si>
    <t>MTG Edge of Eternities Collector Booster</t>
  </si>
  <si>
    <t>MTG Edge of Eternities Collector Booster Box</t>
  </si>
  <si>
    <t>MTG Edge of Eternities Counter Intelligence Precon</t>
  </si>
  <si>
    <t>MTG Edge of Eternities Play Booster</t>
  </si>
  <si>
    <t>MTG Edge of Eternities Play Booster Box</t>
  </si>
  <si>
    <t>MTG Edge of Eternities World Shaper Precon</t>
  </si>
  <si>
    <t>MTG Fallout Hail, Caesar Precon</t>
  </si>
  <si>
    <t>MTG Fallout Mutant Menace Precon</t>
  </si>
  <si>
    <t>MTG Fallout Science! Precon</t>
  </si>
  <si>
    <t>MTG Fallout Scrappy Survivors Precon</t>
  </si>
  <si>
    <t>MTG Final Fantasy Collector Booster</t>
  </si>
  <si>
    <t>MTG Final Fantasy Collector Booster Box</t>
  </si>
  <si>
    <t>MTG Final Fantasy Counter Blitz Precon</t>
  </si>
  <si>
    <t>MTG Final Fantasy Limit Break Precon</t>
  </si>
  <si>
    <t>MTG Final Fantasy Play Booster</t>
  </si>
  <si>
    <t>MTG Final Fantasy Play Booster Box</t>
  </si>
  <si>
    <t>MTG Final Fantasy Revival Trance Precon</t>
  </si>
  <si>
    <t>MTG Final Fantasy Scions &amp; Spellcraft Precon</t>
  </si>
  <si>
    <t>MTG Foundations Collector Booster</t>
  </si>
  <si>
    <t>MTG Foundations Collector Booster Box</t>
  </si>
  <si>
    <t>MTG Foundations Play Booster</t>
  </si>
  <si>
    <t>MTG Foundations Play Booster Box</t>
  </si>
  <si>
    <t>MTG Guilds of Ravnica Booster</t>
  </si>
  <si>
    <t>MTG Guilds of Ravnica Booster Box</t>
  </si>
  <si>
    <t>MTG Innistrad Remastered INR Collector Booster</t>
  </si>
  <si>
    <t>MTG Innistrad Remastered INR Collector Booster Box</t>
  </si>
  <si>
    <t>MTG Innistrad Remastered INR Play Booster</t>
  </si>
  <si>
    <t>MTG Innistrad Remastered INR Play Booster Box</t>
  </si>
  <si>
    <t>MTG Innistrad: Crimson Vow Collector Booster</t>
  </si>
  <si>
    <t>MTG Innistrad: Crimson Vow Collector Booster Box</t>
  </si>
  <si>
    <t>MTG Innistrad: Crimson Vow Set Booster</t>
  </si>
  <si>
    <t>MTG Innistrad: Crimson Vow Set Booster Box</t>
  </si>
  <si>
    <t>MTG Innistrad: Midnight Hunt Collector Booster</t>
  </si>
  <si>
    <t>MTG Innistrad: Midnight Hunt Collector Booster Box</t>
  </si>
  <si>
    <t>MTG Innistrad: Midnight Hunt Set Booster</t>
  </si>
  <si>
    <t>MTG Innistrad: Midnight Hunt Set Booster Box</t>
  </si>
  <si>
    <t>MTG Kaldheim Collector Booster</t>
  </si>
  <si>
    <t>MTG Kaldheim Collector Booster Box</t>
  </si>
  <si>
    <t>MTG Kaldheim Set Booster</t>
  </si>
  <si>
    <t>MTG Kaldheim Set Booster Box</t>
  </si>
  <si>
    <t>MTG Kamigawa: Neon Dynasty Buckle Up Precon</t>
  </si>
  <si>
    <t>MTG Kamigawa: Neon Dynasty Collector Booster</t>
  </si>
  <si>
    <t>MTG Kamigawa: Neon Dynasty Collector Booster Box</t>
  </si>
  <si>
    <t>MTG Kamigawa: Neon Dynasty Set Booster</t>
  </si>
  <si>
    <t>MTG Kamigawa: Neon Dynasty Set Booster Box</t>
  </si>
  <si>
    <t>MTG Kamigawa: Neon Dynasty Upgrades Unleashed Precon</t>
  </si>
  <si>
    <t>MTG Lorwyn Eclipsed Blight Curse Precon</t>
  </si>
  <si>
    <t>MTG Lorwyn Eclipsed Collector Booster</t>
  </si>
  <si>
    <t>MTG Lorwyn Eclipsed Collector Booster Box</t>
  </si>
  <si>
    <t>MTG Lorwyn Eclipsed Dance of the Elements Precon</t>
  </si>
  <si>
    <t>MTG Lorwyn Eclipsed Play Booster</t>
  </si>
  <si>
    <t>MTG Lorwyn Eclipsed Play Booster Box</t>
  </si>
  <si>
    <t>MTG March of the Machine Call for Backup Precon</t>
  </si>
  <si>
    <t>MTG March of the Machine Cavalry Charge Precon</t>
  </si>
  <si>
    <t>MTG March of the Machine Divine Convocation Precon</t>
  </si>
  <si>
    <t>MTG March of the Machine Growing Threat Precon</t>
  </si>
  <si>
    <t>MTG March of the Machine MOM Collector Booster</t>
  </si>
  <si>
    <t>MTG March of the Machine MOM Collector Booster Box</t>
  </si>
  <si>
    <t>MTG March of the Machine MOM Set Booster</t>
  </si>
  <si>
    <t>MTG March of the Machine MOM Set Booster Box</t>
  </si>
  <si>
    <t>MTG March of the Machine Tinker Time Precon</t>
  </si>
  <si>
    <t>MTG Marvel's Spider-Man Collector Booster</t>
  </si>
  <si>
    <t>MTG Marvel's Spider-Man Collector Booster Box</t>
  </si>
  <si>
    <t>MTG Marvel's Spider-Man Play Booster</t>
  </si>
  <si>
    <t>MTG Marvel's Spider-Man Play Booster Box</t>
  </si>
  <si>
    <t>MTG Marvel's Super Heroes Avengers Assemble Collector Precon</t>
  </si>
  <si>
    <t>MTG Marvel's Super Heroes Avengers Assemble Precon</t>
  </si>
  <si>
    <t xml:space="preserve">MTG Marvel's Super Heroes Collector Booster </t>
  </si>
  <si>
    <t>MTG Marvel's Super Heroes Collector Booster Box</t>
  </si>
  <si>
    <t>MTG Marvel's Super Heroes Doom Prevails Collector Precon</t>
  </si>
  <si>
    <t>MTG Marvel's Super Heroes Doom Prevails Precon</t>
  </si>
  <si>
    <t>MTG Marvel's Super Heroes Jumpstart Booster</t>
  </si>
  <si>
    <t>MTG Marvel's Super Heroes Jumpstart Booster Box</t>
  </si>
  <si>
    <t>MTG Marvel's Super Heroes Play Booster</t>
  </si>
  <si>
    <t>MTG Marvel's Super Heroes Play Booster Box</t>
  </si>
  <si>
    <t>MTG Marvel's Super Heroes The Fantastic Four Collector Precon</t>
  </si>
  <si>
    <t>MTG Marvel's Super Heroes The Fantastic Four Precon</t>
  </si>
  <si>
    <t>MTG Marvel's Super Heroes Wakanda Forever Collector Precon</t>
  </si>
  <si>
    <t>MTG Marvel's Super Heroes Wakanda Forever Precon</t>
  </si>
  <si>
    <t>MTG Modern Horizons 2 MH2 Collector Booster</t>
  </si>
  <si>
    <t>MTG Modern Horizons 2 MH2 Collector Booster Box</t>
  </si>
  <si>
    <t>MTG Modern Horizons 2 MH2 Set Booster</t>
  </si>
  <si>
    <t>MTG Modern Horizons 2 MH2 Set Booster Box</t>
  </si>
  <si>
    <t>MTG Modern Horizons 3 Creative Energy Precon</t>
  </si>
  <si>
    <t>MTG Modern Horizons 3 Eldrazi Incursion Precon</t>
  </si>
  <si>
    <t>MTG Modern Horizons 3 Graveyard Overdrive Precon</t>
  </si>
  <si>
    <t>MTG Modern Horizons 3 MH3 Collector Booster</t>
  </si>
  <si>
    <t>MTG Modern Horizons 3 MH3 Collector Booster Box</t>
  </si>
  <si>
    <t>MTG Modern Horizons 3 MH3 Play Booster</t>
  </si>
  <si>
    <t>MTG Modern Horizons 3 MH3 Play Booster Box</t>
  </si>
  <si>
    <t>MTG Modern Horizons 3 Tricky Terrain Precon</t>
  </si>
  <si>
    <t>MTG Murders at Karlov Manor Blame Game Precon</t>
  </si>
  <si>
    <t>MTG Murders at Karlov Manor Collector Booster</t>
  </si>
  <si>
    <t>MTG Murders at Karlov Manor Collector Booster Box</t>
  </si>
  <si>
    <t>MTG Murders at Karlov Manor Deadly Disguise Precon</t>
  </si>
  <si>
    <t>MTG Murders at Karlov Manor Deep Clue Sea Precon</t>
  </si>
  <si>
    <t>MTG Murders at Karlov Manor Play Booster</t>
  </si>
  <si>
    <t>MTG Murders at Karlov Manor Play Booster Box</t>
  </si>
  <si>
    <t>MTG Murders at Karlov Manor Revenant Recon Precon</t>
  </si>
  <si>
    <t>MTG Oath of the Gatewatch Booster</t>
  </si>
  <si>
    <t>MTG Oath of the Gatewatch Booster Box</t>
  </si>
  <si>
    <t>MTG Outlaws of Thunder Junction Collector Booster</t>
  </si>
  <si>
    <t>MTG Outlaws of Thunder Junction Collector Booster Box</t>
  </si>
  <si>
    <t>MTG Outlaws of Thunder Junction Desert Bloom Precon</t>
  </si>
  <si>
    <t>MTG Outlaws of Thunder Junction Grand Larceny Precon</t>
  </si>
  <si>
    <t>MTG Outlaws of Thunder Junction Most Wanted Precon</t>
  </si>
  <si>
    <t>MTG Outlaws of Thunder Junction Play Booster</t>
  </si>
  <si>
    <t>MTG Outlaws of Thunder Junction Play Booster Box</t>
  </si>
  <si>
    <t>MTG Outlaws of Thunder Junction Quick Draw Precon</t>
  </si>
  <si>
    <t>MTG Phyrexia: All Will Be One Collector Booster</t>
  </si>
  <si>
    <t>MTG Phyrexia: All Will Be One Collector Booster Box</t>
  </si>
  <si>
    <t>MTG Phyrexia: All Will Be One Corrupting Influence Precon</t>
  </si>
  <si>
    <t>MTG Phyrexia: All Will Be One Rebellion Rising Precon</t>
  </si>
  <si>
    <t>MTG Phyrexia: All Will Be One Set Booster</t>
  </si>
  <si>
    <t>MTG Phyrexia: All Will Be One Set Booster Box</t>
  </si>
  <si>
    <t>MTG Ravnica Remastered Collector Booster</t>
  </si>
  <si>
    <t>MTG Ravnica Remastered Collector Booster Box</t>
  </si>
  <si>
    <t>MTG Ravnica Remastered Draft Booster</t>
  </si>
  <si>
    <t>MTG Ravnica Remastered Draft Booster Box</t>
  </si>
  <si>
    <t>MTG Rivals of Ixalan Booster</t>
  </si>
  <si>
    <t>MTG Rivals of Ixalan Booster Box</t>
  </si>
  <si>
    <t>MTG Starter Commander Chaos Incarnate Precon</t>
  </si>
  <si>
    <t>MTG Starter Commander Draconic Destruction Precon</t>
  </si>
  <si>
    <t>MTG Starter Commander First Flight Precon</t>
  </si>
  <si>
    <t>MTG Starter Commander Grave Danger Precon</t>
  </si>
  <si>
    <t>MTG Starter Commander Token Triumph Precon</t>
  </si>
  <si>
    <t>MTG Streets of New Capenna Bedecked Brokers Precon</t>
  </si>
  <si>
    <t>MTG Streets of New Capenna Cabaretti Cacophony Precon</t>
  </si>
  <si>
    <t>MTG Streets of New Capenna Collector Booster</t>
  </si>
  <si>
    <t>MTG Streets of New Capenna Collector Booster Box</t>
  </si>
  <si>
    <t>MTG Streets of New Capenna Maestros Massacre Precon</t>
  </si>
  <si>
    <t>MTG Streets of New Capenna Obscurra Operation Precon</t>
  </si>
  <si>
    <t>MTG Streets of New Capenna Riveteers Rampage Precon</t>
  </si>
  <si>
    <t>MTG Streets of New Capenna Set Booster</t>
  </si>
  <si>
    <t>MTG Streets of New Capenna Set Booster Box</t>
  </si>
  <si>
    <t>MTG Strixhaven: School of Magic Collector Booster</t>
  </si>
  <si>
    <t>MTG Strixhaven: School of Magic Collector Booster Box</t>
  </si>
  <si>
    <t>MTG Strixhaven: School of Magic Set Booster</t>
  </si>
  <si>
    <t>MTG Strixhaven: School of Magic Set Booster Box</t>
  </si>
  <si>
    <t>MTG Tarkir Dragonstorm Abzan Armor Precon</t>
  </si>
  <si>
    <t>MTG Tarkir Dragonstorm Jeskai Striker Precon</t>
  </si>
  <si>
    <t>MTG Tarkir Dragonstorm Mardu Surge Precon</t>
  </si>
  <si>
    <t>MTG Tarkir Dragonstorm Sultai Arisen Precon</t>
  </si>
  <si>
    <t>MTG Tarkir Dragonstorm Temur Roar Precon</t>
  </si>
  <si>
    <t>MTG Tarkir: Dragonstorm TDM Collector Booster</t>
  </si>
  <si>
    <t>MTG Tarkir: Dragonstorm TDM Collector Booster Box</t>
  </si>
  <si>
    <t>MTG Tarkir: Dragonstorm TDM Play Booster</t>
  </si>
  <si>
    <t>MTG Tarkir: Dragonstorm TDM Play Booster Box</t>
  </si>
  <si>
    <t>MTG Teenage Mutant Ninja Turtles Collector Booster</t>
  </si>
  <si>
    <t>MTG Teenage Mutant Ninja Turtles Collector Booster Box</t>
  </si>
  <si>
    <t>MTG Teenage Mutant Ninja Turtles Play Booster</t>
  </si>
  <si>
    <t>MTG Teenage Mutant Ninja Turtles Play Booster Box</t>
  </si>
  <si>
    <t>MTG The Brothers' War Collector Booster</t>
  </si>
  <si>
    <t>MTG The Brothers' War Collector Booster Box</t>
  </si>
  <si>
    <t>MTG The Brothers' War Mishra's Burnished Banner Precon</t>
  </si>
  <si>
    <t>MTG The Brothers' War Set Booster</t>
  </si>
  <si>
    <t>MTG The Brothers' War Set Booster Box</t>
  </si>
  <si>
    <t>MTG The Brothers' War Urza's Iron Alliance Precon</t>
  </si>
  <si>
    <t>MTG The Lord of the Rings: Tales of Middle-earth Elven Council Precon</t>
  </si>
  <si>
    <t>MTG The Lord of the Rings: Tales of Middle-earth Food and Fellowship Precon</t>
  </si>
  <si>
    <t>MTG The Lord of the Rings: Tales of Middle-earth LTR Collector Booster</t>
  </si>
  <si>
    <t>MTG The Lord of the Rings: Tales of Middle-earth LTR Collector Booster Box</t>
  </si>
  <si>
    <t>MTG The Lord of the Rings: Tales of Middle-earth LTR Set Booster</t>
  </si>
  <si>
    <t>MTG The Lord of the Rings: Tales of Middle-earth LTR Set Booster Box</t>
  </si>
  <si>
    <t>MTG The Lord of the Rings: Tales of Middle-earth Riders of Rohan Precon</t>
  </si>
  <si>
    <t>MTG The Lord of the Rings: Tales of Middle-earth The Hosts of Mordor Precon</t>
  </si>
  <si>
    <t>MTG The Lost Caverns of Ixalan Ahoy Mateys Precon</t>
  </si>
  <si>
    <t>MTG The Lost Caverns of Ixalan Blood Rites Precon</t>
  </si>
  <si>
    <t>MTG The Lost Caverns of Ixalan Explorers of the Deep Precon</t>
  </si>
  <si>
    <t>MTG The Lost Caverns of Ixalan LCI Collector Booster</t>
  </si>
  <si>
    <t>MTG The Lost Caverns of Ixalan LCI Collector Booster Box</t>
  </si>
  <si>
    <t>MTG The Lost Caverns of Ixalan LCI Set Booster</t>
  </si>
  <si>
    <t>MTG The Lost Caverns of Ixalan LCI Set Booster Box</t>
  </si>
  <si>
    <t>MTG The Lost Caverns of Ixalan Veloci-Ramp-Tor Precon</t>
  </si>
  <si>
    <t>MTG Theros Beyond Death THB Booster</t>
  </si>
  <si>
    <t>MTG Theros Beyond Death THB Booster Box</t>
  </si>
  <si>
    <t>MTG Theros Beyond Death THB Collector Booster</t>
  </si>
  <si>
    <t>MTG Theros Beyond Death THB Collector Booster Box</t>
  </si>
  <si>
    <t>MTG Throne of Eldraine Booster</t>
  </si>
  <si>
    <t>MTG Throne of Eldraine Booster Box</t>
  </si>
  <si>
    <t>MTG Throne of Eldraine Collector Booster</t>
  </si>
  <si>
    <t>MTG Throne of Eldraine Collector Booster Box</t>
  </si>
  <si>
    <t>MTG War of the Spark Booster</t>
  </si>
  <si>
    <t>MTG War of the Spark Booster Box</t>
  </si>
  <si>
    <t>MTG Warhammer 40k Forces of the Imperium Precon</t>
  </si>
  <si>
    <t>MTG Warhammer 40k Necron Dynasties Precon</t>
  </si>
  <si>
    <t>MTG Warhammer 40k The Ruinous Powers Precon</t>
  </si>
  <si>
    <t>MTG Warhammer 40k Tyranid Swarm Precon</t>
  </si>
  <si>
    <t>MTG Wilds of Eldraine Collector Booster</t>
  </si>
  <si>
    <t>MTG Wilds of Eldraine Collector Booster Box</t>
  </si>
  <si>
    <t>MTG Wilds of Eldraine Fae Dominion Precon</t>
  </si>
  <si>
    <t>MTG Wilds of Eldraine Set Booster</t>
  </si>
  <si>
    <t>MTG Wilds of Eldraine Set Booster Box</t>
  </si>
  <si>
    <t>MTG Wilds of Eldraine Virtue and Valor Precon</t>
  </si>
  <si>
    <t>Pokémon Mega Evolution Phantasmal Flames Booster</t>
  </si>
  <si>
    <t>Pokémon Mega Evolution Phantasmal Flames Booster Box</t>
  </si>
  <si>
    <t>Pokémon Mega Evolution Phantasmal Flames: Hydrapple Premium Checklane Blister</t>
  </si>
  <si>
    <t>Pokémon Scarlet &amp; Violet Paldea Evolved Booster</t>
  </si>
  <si>
    <t>Pokémon Scarlet &amp; Violet Paradox Rift Booster</t>
  </si>
  <si>
    <t>Pokémon Scarlet &amp; Violet Temporal Forces Booster</t>
  </si>
  <si>
    <t>Sourcing Id</t>
  </si>
  <si>
    <t>Source Name</t>
  </si>
  <si>
    <t>Source Link</t>
  </si>
  <si>
    <t>Source Unit Cost</t>
  </si>
  <si>
    <t>Active</t>
  </si>
  <si>
    <t>Min Order Value</t>
  </si>
  <si>
    <t>Sale Price</t>
  </si>
  <si>
    <t>Index Card Market</t>
  </si>
  <si>
    <t>Index Chaos Cards</t>
  </si>
  <si>
    <t>Index Games Lore</t>
  </si>
  <si>
    <t>Index Magic Madhouse</t>
  </si>
  <si>
    <t>Index New Realities Gaming</t>
  </si>
  <si>
    <t>Index Column16</t>
  </si>
  <si>
    <t>Index Column17</t>
  </si>
  <si>
    <t>Index Column18</t>
  </si>
  <si>
    <t>Index Column19</t>
  </si>
  <si>
    <t>Index Column20</t>
  </si>
  <si>
    <t>Index Column21</t>
  </si>
  <si>
    <t>Index Column212</t>
  </si>
  <si>
    <t>Index Column213</t>
  </si>
  <si>
    <t>Index Column214</t>
  </si>
  <si>
    <t>Index Column215</t>
  </si>
  <si>
    <t>Index Column216</t>
  </si>
  <si>
    <t>Index Column217</t>
  </si>
  <si>
    <t>Index Column218</t>
  </si>
  <si>
    <t>Index Column219</t>
  </si>
  <si>
    <t>Index Column220</t>
  </si>
  <si>
    <t>Index Column221</t>
  </si>
  <si>
    <t>Index Column8</t>
  </si>
  <si>
    <t>Index Column9</t>
  </si>
  <si>
    <t>Index Column10</t>
  </si>
  <si>
    <t>Index Column11</t>
  </si>
  <si>
    <t>Index Column12</t>
  </si>
  <si>
    <t>Index Column13</t>
  </si>
  <si>
    <t>Index Column14</t>
  </si>
  <si>
    <t>Index Column15</t>
  </si>
  <si>
    <t>Index Column4</t>
  </si>
  <si>
    <t>Index Column5</t>
  </si>
  <si>
    <t>Index Column6</t>
  </si>
  <si>
    <t>Index Column7</t>
  </si>
  <si>
    <t>Index Column2</t>
  </si>
  <si>
    <t>Index Column22</t>
  </si>
  <si>
    <t>Index Column3</t>
  </si>
  <si>
    <t>Index Column1</t>
  </si>
  <si>
    <t>Index Scraping Record</t>
  </si>
  <si>
    <t>Ashdown Gaming</t>
  </si>
  <si>
    <t>https://ashdowngaming.co.uk/collections/magic-the-gathering/products/magic-the-gathering-aetherdrift-commander-deck-living-energy</t>
  </si>
  <si>
    <t>https://ashdowngaming.co.uk/collections/magic-the-gathering/products/magic-the-gathering-aetherdrift-play-booster-box</t>
  </si>
  <si>
    <t>https://ashdowngaming.co.uk/collections/magic-the-gathering/products/magic-the-gathering-avatar-collectors-booster-box</t>
  </si>
  <si>
    <t>https://ashdowngaming.co.uk/collections/magic-the-gathering/products/magic-the-gathering-final-fantasy-commander-deck-counter-blitz</t>
  </si>
  <si>
    <t>https://ashdowngaming.co.uk/collections/magic-the-gathering/products/magic-the-gathering-final-fantasy-commander-deck-limit-break</t>
  </si>
  <si>
    <t>https://ashdowngaming.co.uk/collections/magic-the-gathering/products/magic-the-gathering-final-fantasy-play-booster-box-in-store</t>
  </si>
  <si>
    <t>https://ashdowngaming.co.uk/collections/magic-the-gathering/products/magic-the-gathering-final-fantasy-commander-deck-revival-trance</t>
  </si>
  <si>
    <t>https://ashdowngaming.co.uk/collections/magic-the-gathering/products/magic-the-gathering-final-fantasy-commander-deck-scions-and-spellcraft</t>
  </si>
  <si>
    <t>https://ashdowngaming.co.uk/collections/magic-the-gathering/products/magic-the-gathering-innistrad-remastered-play-booster-box</t>
  </si>
  <si>
    <t>https://ashdowngaming.co.uk/collections/magic-the-gathering/products/lorwyn-eclipsed-commander-decks-dance-of-the-elements</t>
  </si>
  <si>
    <t>https://ashdowngaming.co.uk/collections/magic-the-gathering/products/magic-the-gathering-spider-man-collectors-booster-box</t>
  </si>
  <si>
    <t>https://ashdowngaming.co.uk/collections/magic-the-gathering/products/magic-the-gathering-modern-horizons-3-commander-deck-creative-energy</t>
  </si>
  <si>
    <t>https://ashdowngaming.co.uk/collections/magic-the-gathering/products/magic-the-gathering-modern-horizons-3-commander-deck-graveyard-overdrive</t>
  </si>
  <si>
    <t>https://ashdowngaming.co.uk/collections/magic-the-gathering/products/magic-the-gathering-modern-horizons-3-commander-deck-tricky-terrain</t>
  </si>
  <si>
    <t>https://ashdowngaming.co.uk/collections/magic-the-gathering/products/magic-the-gathering-tarkir-dragonstorm-commander-deck-jeskai-striker</t>
  </si>
  <si>
    <t>https://ashdowngaming.co.uk/collections/magic-the-gathering/products/mtg-teenage-mutant-ninja-turtles-collector-booster-12-preorder-cutoff-14-11-25</t>
  </si>
  <si>
    <t>https://ashdowngaming.co.uk/collections/magic-the-gathering/products/mtg-teenage-mutant-ninja-turtles-play-booster-30-preorder-cutoff-14-11-25</t>
  </si>
  <si>
    <t>Axion Now</t>
  </si>
  <si>
    <t>https://axionnow.com/products/aetherdrift-collector-booster-display</t>
  </si>
  <si>
    <t>https://axionnow.com/products/aetherdrift-play-booster-display</t>
  </si>
  <si>
    <t>https://axionnow.com/products/avatar-the-last-airbender-collector-booster-display-1</t>
  </si>
  <si>
    <t>https://axionnow.com/products/avatar-the-last-airbender-collector-booster-display</t>
  </si>
  <si>
    <t>https://axionnow.com/products/final-fantasy-collector-booster-display</t>
  </si>
  <si>
    <t>https://axionnow.com/products/final-fantasy-play-booster-display</t>
  </si>
  <si>
    <t>https://axionnow.com/products/innistrad-remastered-play-booster-display</t>
  </si>
  <si>
    <t>https://axionnow.com/products/marvels-spider-man-play-booster-display</t>
  </si>
  <si>
    <t>https://axionnow.com/products/tarkir-dragonstorm-play-booster-display</t>
  </si>
  <si>
    <t>https://axionnow.com/products/teenage-mutant-ninja-turtles-collector-booster-display</t>
  </si>
  <si>
    <t>https://axionnow.com/products/teenage-mutant-ninja-turtles-booster-display</t>
  </si>
  <si>
    <t>Bremner TCG</t>
  </si>
  <si>
    <t>https://www.bremnertcg.co.uk/products/phantasmal-flames-booster-box</t>
  </si>
  <si>
    <t>Card Market</t>
  </si>
  <si>
    <t>https://www.cardmarket.com/en/Magic/Products/Boosters/Aetherdrift-Collector-Booster?sellerCountry=13&amp;language=1</t>
  </si>
  <si>
    <t>https://www.cardmarket.com/en/Magic/Products/Booster-Boxes/Aetherdrift-Collector-Booster-Box?sellerCountry=13&amp;language=1</t>
  </si>
  <si>
    <t/>
  </si>
  <si>
    <t>https://www.cardmarket.com/en/Magic/Products/Preconstructed-Decks/Commander-Aetherdrift-Eternal-Might-Commander-Deck?sellerCountry=13&amp;language=1</t>
  </si>
  <si>
    <t>https://www.cardmarket.com/en/Magic/Products/Preconstructed-Decks/Commander-Aetherdrift-Living-Energy-Commander-Deck?sellerCountry=13&amp;language=1</t>
  </si>
  <si>
    <t>https://www.cardmarket.com/en/Magic/Products/Boosters/Aetherdrift-Play-Booster?sellerCountry=13&amp;language=1</t>
  </si>
  <si>
    <t>https://www.cardmarket.com/en/Magic/Products/Booster-Boxes/Aetherdrift-Play-Booster-Box?sellerCountry=13&amp;language=1</t>
  </si>
  <si>
    <t>https://www.cardmarket.com/en/Magic/Products/Boosters/Universes-Beyond-Assassins-Creed-Beyond-Booster?sellerCountry=13&amp;language=1</t>
  </si>
  <si>
    <t>https://www.cardmarket.com/en/Magic/Products/Booster-Boxes/Universes-Beyond-Assassins-Creed-Beyond-Booster-Display?sellerCountry=13&amp;language=1</t>
  </si>
  <si>
    <t>https://www.cardmarket.com/en/Magic/Products/Boosters/Universes-Beyond-Assassins-Creed-Collector-Booster?sellerCountry=13&amp;language=1</t>
  </si>
  <si>
    <t>https://www.cardmarket.com/en/Magic/Products/Booster-Boxes/Universes-Beyond-Assassins-Creed-Collector-Booster-Box?sellerCountry=13&amp;language=1</t>
  </si>
  <si>
    <t>https://www.cardmarket.com/en/Magic/Products/Boosters/Magic-The-Gathering-Avatar-The-Last-Airbender-Collector-Booster?sellerCountry=13&amp;language=1</t>
  </si>
  <si>
    <t>https://www.cardmarket.com/en/Magic/Products/Booster-Boxes/Magic-The-Gathering-Avatar-The-Last-Airbender-Collector-Booster-Box?sellerCountry=13&amp;language=1</t>
  </si>
  <si>
    <t>https://www.cardmarket.com/en/Magic/Products/Boosters/Magic-The-Gathering-Avatar-The-Last-Airbender-Play-Booster?sellerCountry=13&amp;language=1</t>
  </si>
  <si>
    <t>https://www.cardmarket.com/en/Magic/Products/Booster-Boxes/Magic-The-Gathering-Avatar-The-Last-Airbender-Play-Booster-Box?sellerCountry=13&amp;language=1</t>
  </si>
  <si>
    <t>https://www.cardmarket.com/en/Magic/Products/Preconstructed-Decks/Commander-Bloomburrow-Animated-Army-Commander-Deck?sellerCountry=13&amp;language=1</t>
  </si>
  <si>
    <t>https://www.cardmarket.com/en/Magic/Products/Boosters/Bloomburrow-Collector-Booster?sellerCountry=13&amp;language=1</t>
  </si>
  <si>
    <t>https://www.cardmarket.com/en/Magic/Products/Booster-Boxes/Bloomburrow-Collector-Booster-Box?sellerCountry=13&amp;language=1</t>
  </si>
  <si>
    <t>https://www.cardmarket.com/en/Magic/Products/Preconstructed-Decks/Commander-Bloomburrow-Family-Matters-Commander-Deck?sellerCountry=13&amp;language=1</t>
  </si>
  <si>
    <t>https://www.cardmarket.com/en/Magic/Products/Preconstructed-Decks/Commander-Bloomburrow-Peace-Offering-Commander-Deck?sellerCountry=13&amp;language=1</t>
  </si>
  <si>
    <t>https://www.cardmarket.com/en/Magic/Products/Boosters/Bloomburrow-Play-Booster?sellerCountry=13&amp;language=1</t>
  </si>
  <si>
    <t>https://www.cardmarket.com/en/Magic/Products/Booster-Boxes/Bloomburrow-Play-Booster-Box?sellerCountry=13&amp;language=1</t>
  </si>
  <si>
    <t>https://www.cardmarket.com/en/Magic/Products/Preconstructed-Decks/Commander-Bloomburrow-Squirreled-Away-Commander-Deck?sellerCountry=13&amp;language=1</t>
  </si>
  <si>
    <t>https://www.cardmarket.com/en/Magic/Products/Preconstructed-Decks/Commander-Legends-Battle-for-Baldurs-Gate-Draconic-Dissent-Deck?sellerCountry=13&amp;language=1</t>
  </si>
  <si>
    <t>https://www.cardmarket.com/en/Magic/Products/Preconstructed-Decks/Commander-Legends-Battle-for-Baldurs-Gate-Exit-from-Exile-Deck?sellerCountry=13&amp;language=1</t>
  </si>
  <si>
    <t>https://www.cardmarket.com/en/Magic/Products/Preconstructed-Decks/Commander-Legends-Battle-for-Baldurs-Gate-Mind-Flayarrrs-Deck?sellerCountry=13&amp;language=1</t>
  </si>
  <si>
    <t>https://www.cardmarket.com/en/Magic/Products/Preconstructed-Decks/Commander-Legends-Battle-for-Baldurs-Gate-Party-Time-Deck?sellerCountry=13&amp;language=1</t>
  </si>
  <si>
    <t>https://www.cardmarket.com/en/Magic/Products/Boosters/Commander-Masters-Collector-Booster?sellerCountry=13&amp;language=1</t>
  </si>
  <si>
    <t>https://www.cardmarket.com/en/Magic/Products/Booster-Boxes/Commander-Masters-Collector-Booster-Box?sellerCountry=13&amp;language=1</t>
  </si>
  <si>
    <t>https://www.cardmarket.com/en/Magic/Products/Preconstructed-Decks/Commander-Masters-Eldrazi-Unbound-Commander-Deck?sellerCountry=13&amp;language=1</t>
  </si>
  <si>
    <t>https://www.cardmarket.com/en/Magic/Products/Preconstructed-Decks/Commander-Masters-Enduring-Enchantments-Commander-Deck?sellerCountry=13&amp;language=1</t>
  </si>
  <si>
    <t>https://www.cardmarket.com/en/Magic/Products/Preconstructed-Decks/Commander-Masters-Planeswalker-Party-Commander-Deck?sellerCountry=13&amp;language=1</t>
  </si>
  <si>
    <t>https://www.cardmarket.com/en/Magic/Products/Boosters/Commander-Masters-Set-Booster?sellerCountry=13&amp;language=1</t>
  </si>
  <si>
    <t>https://www.cardmarket.com/en/Magic/Products/Booster-Boxes/Commander-Masters-Set-Booster-Box?sellerCountry=13&amp;language=1</t>
  </si>
  <si>
    <t>https://www.cardmarket.com/en/Magic/Products/Preconstructed-Decks/Commander-Masters-Sliver-Swarm-Commander-Deck?sellerCountry=13&amp;language=1</t>
  </si>
  <si>
    <t>https://www.cardmarket.com/en/Magic/Products/Preconstructed-Decks/Universes-Beyond-Doctor-Who-Blast-from-the-Past-Commander-Deck?sellerCountry=13&amp;language=1</t>
  </si>
  <si>
    <t>https://www.cardmarket.com/en/Magic/Products/Preconstructed-Decks/Universes-Beyond-Doctor-Who-Masters-of-Evil-Commander-Deck?sellerCountry=13&amp;language=1</t>
  </si>
  <si>
    <t>https://www.cardmarket.com/en/Magic/Products/Preconstructed-Decks/Universes-Beyond-Doctor-Who-Paradox-Power-Commander-Deck?sellerCountry=13&amp;language=1</t>
  </si>
  <si>
    <t>https://www.cardmarket.com/en/Magic/Products/Preconstructed-Decks/Universes-Beyond-Doctor-Who-Timey-Wimey-Commander-Deck?sellerCountry=13&amp;language=1</t>
  </si>
  <si>
    <t>https://www.cardmarket.com/en/Magic/Products/Boosters/Dominaria-Booster?sellerCountry=13&amp;language=1</t>
  </si>
  <si>
    <t>https://www.cardmarket.com/en/Magic/Products/Boosters/Dominaria-United-Collector-Booster?sellerCountry=13&amp;language=1</t>
  </si>
  <si>
    <t>https://www.cardmarket.com/en/Magic/Products/Booster-Boxes/Dominaria-United-Collector-Booster-Box?sellerCountry=13&amp;language=1</t>
  </si>
  <si>
    <t>https://www.cardmarket.com/en/Magic/Products/Boosters/Dominaria-United-Set-Booster?sellerCountry=13&amp;language=1</t>
  </si>
  <si>
    <t>https://www.cardmarket.com/en/Magic/Products/Booster-Boxes/Dominaria-United-Set-Booster-Box?sellerCountry=13&amp;language=1</t>
  </si>
  <si>
    <t>https://www.cardmarket.com/en/Magic/Products/Preconstructed-Decks/Commander-Dominaria-United-Legends-Legacy-Deck?sellerCountry=13&amp;language=1</t>
  </si>
  <si>
    <t>https://www.cardmarket.com/en/Magic/Products/Preconstructed-Decks/Commander-Dominaria-United-Painbow-Deck?sellerCountry=13&amp;language=1</t>
  </si>
  <si>
    <t>https://www.cardmarket.com/en/Magic/Products/Boosters/Duskmourn-House-of-Horror-Collector-Booster?sellerCountry=13&amp;language=1</t>
  </si>
  <si>
    <t>https://www.cardmarket.com/en/Magic/Products/Booster-Boxes/Duskmourn-House-of-Horror-Collector-Booster-Box?sellerCountry=13&amp;language=1</t>
  </si>
  <si>
    <t>https://www.cardmarket.com/en/Magic/Products/Preconstructed-Decks/Commander-Duskmourn-House-of-Horror-Death-Toll-Commander-Deck?sellerCountry=13&amp;language=1</t>
  </si>
  <si>
    <t>https://www.cardmarket.com/en/Magic/Products/Preconstructed-Decks/Commander-Duskmourn-House-of-Horror-Endless-Punishment-Commander-Deck?sellerCountry=13&amp;language=1</t>
  </si>
  <si>
    <t>https://www.cardmarket.com/en/Magic/Products/Preconstructed-Decks/Commander-Duskmourn-House-of-Horror-Jump-Scare-Commander-Deck?sellerCountry=13&amp;language=1</t>
  </si>
  <si>
    <t>https://www.cardmarket.com/en/Magic/Products/Preconstructed-Decks/Commander-Duskmourn-House-of-Horror-Miracle-Worker-Commander-Deck?sellerCountry=13&amp;language=1</t>
  </si>
  <si>
    <t>https://www.cardmarket.com/en/Magic/Products/Boosters/Duskmourn-House-of-Horror-Play-Booster?sellerCountry=13&amp;language=1</t>
  </si>
  <si>
    <t>https://www.cardmarket.com/en/Magic/Products/Booster-Boxes/Duskmourn-House-of-Horror-Play-Booster-Box?sellerCountry=13&amp;language=1</t>
  </si>
  <si>
    <t>https://www.cardmarket.com/en/Magic/Products/Boosters/Edge-of-Eternities-Collector-Booster?sellerCountry=13&amp;language=1</t>
  </si>
  <si>
    <t>https://www.cardmarket.com/en/Magic/Products/Booster-Boxes/Edge-of-Eternities-Collector-Booster-Box?sellerCountry=13&amp;language=1</t>
  </si>
  <si>
    <t>https://www.cardmarket.com/en/Magic/Products/Preconstructed-Decks/Commander-Edge-of-Eternities-Counter-Intelligence-Commander-Deck?sellerCountry=13&amp;language=1</t>
  </si>
  <si>
    <t>https://www.cardmarket.com/en/Magic/Products/Boosters/Edge-of-Eternities-Play-Booster?sellerCountry=13&amp;language=1</t>
  </si>
  <si>
    <t>https://www.cardmarket.com/en/Magic/Products/Booster-Boxes/Edge-of-Eternities-Play-Booster-Box?sellerCountry=13&amp;language=1</t>
  </si>
  <si>
    <t>https://www.cardmarket.com/en/Magic/Products/Preconstructed-Decks/Commander-Edge-of-Eternities-World-Shaper-Commander-Deck?sellerCountry=13&amp;language=1</t>
  </si>
  <si>
    <t>https://www.cardmarket.com/en/Magic/Products/Preconstructed-Decks/Universes-Beyond-Fallout-Hail-Caesar-Commander-Deck?sellerCountry=13&amp;language=1</t>
  </si>
  <si>
    <t>https://www.cardmarket.com/en/Magic/Products/Preconstructed-Decks/Universes-Beyond-Fallout-Mutant-Menace-Commander-Deck?sellerCountry=13&amp;language=1</t>
  </si>
  <si>
    <t>https://www.cardmarket.com/en/Magic/Products/Preconstructed-Decks/Universes-Beyond-Fallout-Science-Commander-Deck?sellerCountry=13&amp;language=1</t>
  </si>
  <si>
    <t>https://www.cardmarket.com/en/Magic/Products/Preconstructed-Decks/Universes-Beyond-Fallout-Scrappy-Survivors-Commander-Deck?sellerCountry=13&amp;language=1</t>
  </si>
  <si>
    <t>https://www.cardmarket.com/en/Magic/Products/Boosters/Magic-The-Gathering-FINAL-FANTASY-Collector-Booster?sellerCountry=13&amp;language=1</t>
  </si>
  <si>
    <t>https://www.cardmarket.com/en/Magic/Products/Booster-Boxes/Magic-The-Gathering-FINAL-FANTASY-Collector-Booster-Box?sellerCountry=13&amp;language=1</t>
  </si>
  <si>
    <t>https://www.cardmarket.com/en/Magic/Products/Preconstructed-Decks/Commander-Magic-The-Gathering-FINAL-FANTASY-Counter-Blitz-Commander-Deck?sellerCountry=13&amp;language=1</t>
  </si>
  <si>
    <t>https://www.cardmarket.com/en/Magic/Products/Preconstructed-Decks/Commander-Magic-The-Gathering-FINAL-FANTASY-Limit-Break-Commander-Deck?sellerCountry=13&amp;language=1</t>
  </si>
  <si>
    <t>https://www.cardmarket.com/en/Magic/Products/Boosters/Magic-The-Gathering-FINAL-FANTASY-Play-Booster?sellerCountry=13&amp;language=1</t>
  </si>
  <si>
    <t>https://www.cardmarket.com/en/Magic/Products/Booster-Boxes/Magic-The-Gathering-FINAL-FANTASY-Play-Booster-Box?sellerCountry=13&amp;language=1</t>
  </si>
  <si>
    <t>https://www.cardmarket.com/en/Magic/Products/Preconstructed-Decks/Commander-Magic-The-Gathering-FINAL-FANTASY-Revival-Trance-Commander-Deck?sellerCountry=13&amp;language=1</t>
  </si>
  <si>
    <t>https://www.cardmarket.com/en/Magic/Products/Preconstructed-Decks/Commander-Magic-The-Gathering-FINAL-FANTASY-Scions-Spellcraft-Commander-Deck?sellerCountry=13&amp;language=1</t>
  </si>
  <si>
    <t>https://www.cardmarket.com/en/Magic/Products/Boosters/Magic-The-Gathering-Foundations-Collector-Booster?sellerCountry=13&amp;language=1</t>
  </si>
  <si>
    <t>https://www.cardmarket.com/en/Magic/Products/Booster-Boxes/Magic-The-Gathering-Foundations-Collector-Booster-Box?sellerCountry=13&amp;language=1</t>
  </si>
  <si>
    <t>https://www.cardmarket.com/en/Magic/Products/Boosters/Magic-The-Gathering-Foundations-Play-Booster?sellerCountry=13&amp;language=1</t>
  </si>
  <si>
    <t>https://www.cardmarket.com/en/Magic/Products/Booster-Boxes/Magic-The-Gathering-Foundations-Play-Booster-Box?sellerCountry=13&amp;language=1</t>
  </si>
  <si>
    <t>https://www.cardmarket.com/en/Magic/Products/Boosters/Guilds-of-Ravnica-Booster?sellerCountry=13&amp;language=1</t>
  </si>
  <si>
    <t>https://www.cardmarket.com/en/Magic/Products/Boosters/Innistrad-Remastered-Collector-Booster?sellerCountry=13&amp;language=1</t>
  </si>
  <si>
    <t>https://www.cardmarket.com/en/Magic/Products/Booster-Boxes/Innistrad-Remastered-Collector-Booster-Box?sellerCountry=13&amp;language=1</t>
  </si>
  <si>
    <t>https://www.cardmarket.com/en/Magic/Products/Boosters/Innistrad-Remastered-Play-Booster?sellerCountry=13&amp;language=1</t>
  </si>
  <si>
    <t>https://www.cardmarket.com/en/Magic/Products/Booster-Boxes/Innistrad-Remastered-Play-Booster-Box?sellerCountry=13&amp;language=1</t>
  </si>
  <si>
    <t>https://www.cardmarket.com/en/Magic/Products/Boosters/Innistrad-Crimson-Vow-Collector-Booster?sellerCountry=13&amp;language=1</t>
  </si>
  <si>
    <t>https://www.cardmarket.com/en/Magic/Products/Booster-Boxes/Innistrad-Crimson-Vow-Collector-Booster-Box?sellerCountry=13&amp;language=1</t>
  </si>
  <si>
    <t>https://www.cardmarket.com/en/Magic/Products/Boosters/Innistrad-Crimson-Vow-Set-Booster?sellerCountry=13&amp;language=1</t>
  </si>
  <si>
    <t>https://www.cardmarket.com/en/Magic/Products/Booster-Boxes/Innistrad-Crimson-Vow-Set-Booster-Box?sellerCountry=13&amp;language=1</t>
  </si>
  <si>
    <t>https://www.cardmarket.com/en/Magic/Products/Boosters/Innistrad-Midnight-Hunt-Collector-Booster?sellerCountry=13&amp;language=1</t>
  </si>
  <si>
    <t>https://www.cardmarket.com/en/Magic/Products/Booster-Boxes/Innistrad-Midnight-Hunt-Collector-Booster-Box?sellerCountry=13&amp;language=1</t>
  </si>
  <si>
    <t>https://www.cardmarket.com/en/Magic/Products/Boosters/Innistrad-Midnight-Hunt-Set-Booster?sellerCountry=13&amp;language=1</t>
  </si>
  <si>
    <t>https://www.cardmarket.com/en/Magic/Products/Booster-Boxes/Innistrad-Midnight-Hunt-Set-Booster-Box?sellerCountry=13&amp;language=1</t>
  </si>
  <si>
    <t>https://www.cardmarket.com/en/Magic/Products/Boosters/Kaldheim-Collector-Booster?sellerCountry=13&amp;language=1</t>
  </si>
  <si>
    <t>https://www.cardmarket.com/en/Magic/Products/Booster-Boxes/Kaldheim-Collector-Booster-Box?sellerCountry=13&amp;language=1</t>
  </si>
  <si>
    <t>https://www.cardmarket.com/en/Magic/Products/Boosters/Kaldheim-Set-Booster?sellerCountry=13&amp;language=1</t>
  </si>
  <si>
    <t>https://www.cardmarket.com/en/Magic/Products/Booster-Boxes/Kaldheim-Set-Booster-Box?sellerCountry=13&amp;language=1</t>
  </si>
  <si>
    <t>https://www.cardmarket.com/en/Magic/Products/Preconstructed-Decks/Commander-Kamigawa-Neon-Dynasty-Buckle-Up-Deck?sellerCountry=13&amp;language=1</t>
  </si>
  <si>
    <t>https://www.cardmarket.com/en/Magic/Products/Boosters/Kamigawa-Neon-Dynasty-Collector-Booster?sellerCountry=13&amp;language=1</t>
  </si>
  <si>
    <t>https://www.cardmarket.com/en/Magic/Products/Booster-Boxes/Kamigawa-Neon-Dynasty-Collector-Booster-Box?sellerCountry=13&amp;language=1</t>
  </si>
  <si>
    <t>https://www.cardmarket.com/en/Magic/Products/Boosters/Kamigawa-Neon-Dynasty-Set-Booster?sellerCountry=13&amp;language=1</t>
  </si>
  <si>
    <t>https://www.cardmarket.com/en/Magic/Products/Booster-Boxes/Kamigawa-Neon-Dynasty-Set-Booster-Box?sellerCountry=13&amp;language=1</t>
  </si>
  <si>
    <t>https://www.cardmarket.com/en/Magic/Products/Preconstructed-Decks/Commander-Kamigawa-Neon-Dynasty-Upgrades-Unleashed-Deck?sellerCountry=13&amp;language=1</t>
  </si>
  <si>
    <t>https://www.cardmarket.com/en/Magic/Products/Boosters/Lorwyn-Eclipsed-Collector-Booster?sellerCountry=13&amp;language=1</t>
  </si>
  <si>
    <t>https://www.cardmarket.com/en/Magic/Products/Booster-Boxes/Lorwyn-Eclipsed-Collector-Booster-Box?sellerCountry=13&amp;language=1</t>
  </si>
  <si>
    <t>https://www.cardmarket.com/en/Magic/Products/Boosters/Lorwyn-Eclipsed-Play-Booster?sellerCountry=13&amp;language=1</t>
  </si>
  <si>
    <t>https://www.cardmarket.com/en/Magic/Products/Booster-Boxes/Lorwyn-Eclipsed-Play-Booster-Box?sellerCountry=13&amp;language=1</t>
  </si>
  <si>
    <t>https://www.cardmarket.com/en/Magic/Products/Preconstructed-Decks/Commander-March-of-the-Machine-Call-for-Backup-Commander-Deck?sellerCountry=13&amp;language=1</t>
  </si>
  <si>
    <t>https://www.cardmarket.com/en/Magic/Products/Preconstructed-Decks/Commander-March-of-the-Machine-Cavalry-Charge-Commander-Deck?sellerCountry=13&amp;language=1</t>
  </si>
  <si>
    <t>https://www.cardmarket.com/en/Magic/Products/Preconstructed-Decks/Commander-March-of-the-Machine-Divine-Convocation-Commander-Deck?sellerCountry=13&amp;language=1</t>
  </si>
  <si>
    <t>https://www.cardmarket.com/en/Magic/Products/Preconstructed-Decks/Commander-March-of-the-Machine-Growing-Threat-Commander-Deck?sellerCountry=13&amp;language=1</t>
  </si>
  <si>
    <t>https://www.cardmarket.com/en/Magic/Products/Boosters/March-of-the-Machine-Collector-Booster?sellerCountry=13&amp;language=1</t>
  </si>
  <si>
    <t>https://www.cardmarket.com/en/Magic/Products/Booster-Boxes/March-of-the-Machine-Collector-Booster-Box?sellerCountry=13&amp;language=1</t>
  </si>
  <si>
    <t>https://www.cardmarket.com/en/Magic/Products/Boosters/March-of-the-Machine-Set-Booster?sellerCountry=13&amp;language=1</t>
  </si>
  <si>
    <t>https://www.cardmarket.com/en/Magic/Products/Booster-Boxes/March-of-the-Machine-Set-Booster-Box?sellerCountry=13&amp;language=1</t>
  </si>
  <si>
    <t>https://www.cardmarket.com/en/Magic/Products/Preconstructed-Decks/Commander-March-of-the-Machine-Tinker-Time-Commander-Deck?sellerCountry=13&amp;language=1</t>
  </si>
  <si>
    <t>https://www.cardmarket.com/en/Magic/Products/Boosters/Magic-The-Gathering-Marvels-Spider-Man-Collector-Booster?sellerCountry=13&amp;language=1</t>
  </si>
  <si>
    <t>https://www.cardmarket.com/en/Magic/Products/Booster-Boxes/Magic-The-Gathering-Marvels-Spider-Man-Collector-Booster-Box?sellerCountry=13&amp;language=1</t>
  </si>
  <si>
    <t>https://www.cardmarket.com/en/Magic/Products/Boosters/Magic-The-Gathering-Marvels-Spider-Man-Play-Booster?sellerCountry=13&amp;language=1</t>
  </si>
  <si>
    <t>https://www.cardmarket.com/en/Magic/Products/Booster-Boxes/Magic-The-Gathering-Marvels-Spider-Man-Play-Booster-Box?sellerCountry=13&amp;language=1</t>
  </si>
  <si>
    <t>https://www.cardmarket.com/en/Magic/Products/Boosters/Modern-Horizons-2-Collector-Booster?sellerCountry=13&amp;language=1</t>
  </si>
  <si>
    <t>https://www.cardmarket.com/en/Magic/Products/Booster-Boxes/Modern-Horizons-2-Collector-Booster-Box?sellerCountry=13&amp;language=1</t>
  </si>
  <si>
    <t>https://www.cardmarket.com/en/Magic/Products/Boosters/Modern-Horizons-2-Set-Booster?sellerCountry=13&amp;language=1</t>
  </si>
  <si>
    <t>https://www.cardmarket.com/en/Magic/Products/Booster-Boxes/Modern-Horizons-2-Set-Booster-Box?sellerCountry=13&amp;language=1</t>
  </si>
  <si>
    <t>https://www.cardmarket.com/en/Magic/Products/Preconstructed-Decks/Commander-Modern-Horizons-3-Creative-Energy-Commander-Deck?sellerCountry=13&amp;language=1</t>
  </si>
  <si>
    <t>https://www.cardmarket.com/en/Magic/Products/Preconstructed-Decks/Commander-Modern-Horizons-3-Eldrazi-Incursion-Commander-Deck?sellerCountry=13&amp;language=1</t>
  </si>
  <si>
    <t>https://www.cardmarket.com/en/Magic/Products/Preconstructed-Decks/Commander-Modern-Horizons-3-Graveyard-Overdrive-Commander-Deck?sellerCountry=13&amp;language=1</t>
  </si>
  <si>
    <t>https://www.cardmarket.com/en/Magic/Products/Boosters/Modern-Horizons-3-Collector-Booster?sellerCountry=13&amp;language=1</t>
  </si>
  <si>
    <t>https://www.cardmarket.com/en/Magic/Products/Booster-Boxes/Modern-Horizons-3-Collector-Booster-Box?sellerCountry=13&amp;language=1</t>
  </si>
  <si>
    <t>https://www.cardmarket.com/en/Magic/Products/Boosters/Modern-Horizons-3-Play-Booster?sellerCountry=13&amp;language=1</t>
  </si>
  <si>
    <t>https://www.cardmarket.com/en/Magic/Products/Booster-Boxes/Modern-Horizons-3-Play-Booster-Box?sellerCountry=13&amp;language=1</t>
  </si>
  <si>
    <t>https://www.cardmarket.com/en/Magic/Products/Preconstructed-Decks/Commander-Modern-Horizons-3-Tricky-Terrain-Commander-Deck?sellerCountry=13&amp;language=1</t>
  </si>
  <si>
    <t>https://www.cardmarket.com/en/Magic/Products/Preconstructed-Decks/Commander-Murders-at-Karlov-Manor-Blame-Game-Commander-Deck?sellerCountry=13&amp;language=1</t>
  </si>
  <si>
    <t>https://www.cardmarket.com/en/Magic/Products/Boosters/Murders-at-Karlov-Manor-Collector-Booster?sellerCountry=13&amp;language=1</t>
  </si>
  <si>
    <t>https://www.cardmarket.com/en/Magic/Products/Booster-Boxes/Murders-at-Karlov-Manor-Collector-Booster-Box?sellerCountry=13&amp;language=1</t>
  </si>
  <si>
    <t>https://www.cardmarket.com/en/Magic/Products/Preconstructed-Decks/Commander-Murders-at-Karlov-Manor-Deadly-Disguise-Commander-Deck?sellerCountry=13&amp;language=1</t>
  </si>
  <si>
    <t>https://www.cardmarket.com/en/Magic/Products/Preconstructed-Decks/Commander-Murders-at-Karlov-Manor-Deep-Clue-Sea-Commander-Deck?sellerCountry=13&amp;language=1</t>
  </si>
  <si>
    <t>https://www.cardmarket.com/en/Magic/Products/Boosters/Murders-at-Karlov-Manor-Play-Booster?sellerCountry=13&amp;language=1</t>
  </si>
  <si>
    <t>https://www.cardmarket.com/en/Magic/Products/Booster-Boxes/Murders-at-Karlov-Manor-Play-Booster-Box?sellerCountry=13&amp;language=1</t>
  </si>
  <si>
    <t>https://www.cardmarket.com/en/Magic/Products/Preconstructed-Decks/Commander-Murders-at-Karlov-Manor-Revenant-Recon-Commander-Deck?sellerCountry=13&amp;language=1</t>
  </si>
  <si>
    <t>https://www.cardmarket.com/en/Magic/Products/Boosters/Oath-of-the-Gatewatch-Booster?sellerCountry=13&amp;language=1</t>
  </si>
  <si>
    <t>https://www.cardmarket.com/en/Magic/Products/Booster-Boxes/Oath-of-the-Gatewatch-Booster-Box?sellerCountry=13&amp;language=1</t>
  </si>
  <si>
    <t>https://www.cardmarket.com/en/Magic/Products/Boosters/Outlaws-of-Thunder-Junction-Collector-Booster?sellerCountry=13&amp;language=1</t>
  </si>
  <si>
    <t>https://www.cardmarket.com/en/Magic/Products/Booster-Boxes/Outlaws-of-Thunder-Junction-Collector-Booster-Box?sellerCountry=13&amp;language=1</t>
  </si>
  <si>
    <t>https://www.cardmarket.com/en/Magic/Products/Preconstructed-Decks/Commander-Outlaws-of-Thunder-Junction-Desert-Bloom-Commander-Deck?sellerCountry=13&amp;language=1</t>
  </si>
  <si>
    <t>https://www.cardmarket.com/en/Magic/Products/Preconstructed-Decks/Commander-Outlaws-of-Thunder-Junction-Grand-Larceny-Commander-Deck?sellerCountry=13&amp;language=1</t>
  </si>
  <si>
    <t>https://www.cardmarket.com/en/Magic/Products/Preconstructed-Decks/Commander-Outlaws-of-Thunder-Junction-Most-Wanted-Commander-Deck?sellerCountry=13&amp;language=1</t>
  </si>
  <si>
    <t>https://www.cardmarket.com/en/Magic/Products/Boosters/Outlaws-of-Thunder-Junction-Play-Booster?sellerCountry=13&amp;language=1</t>
  </si>
  <si>
    <t>https://www.cardmarket.com/en/Magic/Products/Booster-Boxes/Outlaws-of-Thunder-Junction-Play-Booster-Box?sellerCountry=13&amp;language=1</t>
  </si>
  <si>
    <t>https://www.cardmarket.com/en/Magic/Products/Preconstructed-Decks/Commander-Outlaws-of-Thunder-Junction-Quick-Draw-Commander-Deck?sellerCountry=13&amp;language=1</t>
  </si>
  <si>
    <t>https://www.cardmarket.com/en/Magic/Products/Boosters/Phyrexia-All-Will-Be-One-Collector-Booster?sellerCountry=13&amp;language=1</t>
  </si>
  <si>
    <t>https://www.cardmarket.com/en/Magic/Products/Booster-Boxes/Phyrexia-All-Will-Be-One-Collector-Booster-Box?sellerCountry=13&amp;language=1</t>
  </si>
  <si>
    <t>https://www.cardmarket.com/en/Magic/Products/Preconstructed-Decks/Commander-Phyrexia-All-Will-Be-One-Corrupting-Influence-Commander-Deck?sellerCountry=13&amp;language=1</t>
  </si>
  <si>
    <t>https://www.cardmarket.com/en/Magic/Products/Preconstructed-Decks/Commander-Phyrexia-All-Will-Be-One-Rebellion-Rising-Commander-Deck?sellerCountry=13&amp;language=1</t>
  </si>
  <si>
    <t>https://www.cardmarket.com/en/Magic/Products/Boosters/Phyrexia-All-Will-Be-One-Set-Booster?sellerCountry=13&amp;language=1</t>
  </si>
  <si>
    <t>https://www.cardmarket.com/en/Magic/Products/Booster-Boxes/Phyrexia-All-Will-Be-One-Set-Booster-Box?sellerCountry=13&amp;language=1</t>
  </si>
  <si>
    <t>https://www.cardmarket.com/en/Magic/Products/Boosters/Ravnica-Remastered-Collector-Booster?sellerCountry=13&amp;language=1</t>
  </si>
  <si>
    <t>https://www.cardmarket.com/en/Magic/Products/Booster-Boxes/Ravnica-Remastered-Collector-Booster-Box?sellerCountry=13&amp;language=1</t>
  </si>
  <si>
    <t>https://www.cardmarket.com/en/Magic/Products/Boosters/Ravnica-Remastered-Draft-Booster?sellerCountry=13&amp;language=1</t>
  </si>
  <si>
    <t>https://www.cardmarket.com/en/Magic/Products/Booster-Boxes/Ravnica-Remastered-Draft-Booster-Box?sellerCountry=13&amp;language=1</t>
  </si>
  <si>
    <t>https://www.cardmarket.com/en/Magic/Products/Boosters/Rivals-of-Ixalan-Booster?sellerCountry=13&amp;language=1</t>
  </si>
  <si>
    <t>https://www.cardmarket.com/en/Magic/Products/Preconstructed-Decks/Starter-Commander-Decks-Chaos-Incarnate-Commander-Deck?sellerCountry=13&amp;language=1</t>
  </si>
  <si>
    <t>https://www.cardmarket.com/en/Magic/Products/Preconstructed-Decks/Starter-Commander-Decks-Draconic-Destruction-Commander-Deck?sellerCountry=13&amp;language=1</t>
  </si>
  <si>
    <t>https://www.cardmarket.com/en/Magic/Products/Preconstructed-Decks/Starter-Commander-Decks-First-Flight-Commander-Deck?sellerCountry=13&amp;language=1</t>
  </si>
  <si>
    <t>https://www.cardmarket.com/en/Magic/Products/Preconstructed-Decks/Starter-Commander-Decks-Grave-Danger-Commander-Deck?sellerCountry=13&amp;language=1</t>
  </si>
  <si>
    <t>https://www.cardmarket.com/en/Magic/Products/Preconstructed-Decks/Starter-Commander-Decks-Token-Triumph-Commander-Deck?sellerCountry=13&amp;language=1</t>
  </si>
  <si>
    <t>https://www.cardmarket.com/en/Magic/Products/Preconstructed-Decks/Commander-Streets-of-New-Capenna-Bedecked-Brokers-Deck-Minimum-Waste?sellerCountry=13&amp;language=1</t>
  </si>
  <si>
    <t>https://www.cardmarket.com/en/Magic/Products/Preconstructed-Decks/Commander-Streets-of-New-Capenna-Cabaretti-Cacophony-Deck?sellerCountry=13&amp;language=1</t>
  </si>
  <si>
    <t>https://www.cardmarket.com/en/Magic/Products/Boosters/Streets-of-New-Capenna-Collector-Booster?sellerCountry=13&amp;language=1</t>
  </si>
  <si>
    <t>https://www.cardmarket.com/en/Magic/Products/Booster-Boxes/Streets-of-New-Capenna-Collector-Booster-Box?sellerCountry=13&amp;language=1</t>
  </si>
  <si>
    <t>https://www.cardmarket.com/en/Magic/Products/Preconstructed-Decks/Commander-Streets-of-New-Capenna-Maestros-Massacre-Deck?sellerCountry=13&amp;language=1</t>
  </si>
  <si>
    <t>https://www.cardmarket.com/en/Magic/Products/Preconstructed-Decks/Commander-Streets-of-New-Capenna-Obscura-Operation-Deck?sellerCountry=13&amp;language=1</t>
  </si>
  <si>
    <t>https://www.cardmarket.com/en/Magic/Products/Preconstructed-Decks/Commander-Streets-of-New-Capenna-Riveteers-Rampage-Deck?sellerCountry=13&amp;language=1</t>
  </si>
  <si>
    <t>https://www.cardmarket.com/en/Magic/Products/Boosters/Streets-of-New-Capenna-Set-Booster?sellerCountry=13&amp;language=1</t>
  </si>
  <si>
    <t>https://www.cardmarket.com/en/Magic/Products/Booster-Boxes/Streets-of-New-Capenna-Set-Booster-Box?sellerCountry=13&amp;language=1</t>
  </si>
  <si>
    <t>https://www.cardmarket.com/en/Magic/Products/Boosters/Strixhaven-School-of-Mages-Collector-Booster?sellerCountry=13&amp;language=1</t>
  </si>
  <si>
    <t>https://www.cardmarket.com/en/Magic/Products/Booster-Boxes/Strixhaven-School-of-Mages-Collector-Booster-Box?sellerCountry=13&amp;language=1</t>
  </si>
  <si>
    <t>https://www.cardmarket.com/en/Magic/Products/Boosters/Strixhaven-School-of-Mages-Set-Booster?sellerCountry=13&amp;language=1</t>
  </si>
  <si>
    <t>https://www.cardmarket.com/en/Magic/Products/Booster-Boxes/Strixhaven-School-of-Mages-Set-Booster-Box?sellerCountry=13&amp;language=1</t>
  </si>
  <si>
    <t>https://www.cardmarket.com/en/Magic/Products/Preconstructed-Decks/Commander-Tarkir-Dragonstorm-Abzan-Armor-Commander-Deck?sellerCountry=13&amp;language=1</t>
  </si>
  <si>
    <t>https://www.cardmarket.com/en/Magic/Products/Preconstructed-Decks/Commander-Tarkir-Dragonstorm-Jeskai-Striker-Commander-Deck?sellerCountry=13&amp;language=1</t>
  </si>
  <si>
    <t>https://www.cardmarket.com/en/Magic/Products/Preconstructed-Decks/Commander-Tarkir-Dragonstorm-Mardu-Surge-Commander-Deck?sellerCountry=13&amp;language=1</t>
  </si>
  <si>
    <t>https://www.cardmarket.com/en/Magic/Products/Preconstructed-Decks/Commander-Tarkir-Dragonstorm-Sultai-Arisen-Commander-Deck?sellerCountry=13&amp;language=1</t>
  </si>
  <si>
    <t>https://www.cardmarket.com/en/Magic/Products/Preconstructed-Decks/Commander-Tarkir-Dragonstorm-Temur-Roar-Commander-Deck?sellerCountry=13&amp;language=1</t>
  </si>
  <si>
    <t>https://www.cardmarket.com/en/Magic/Products/Boosters/Tarkir-Dragonstorm-Collector-Booster?sellerCountry=13&amp;language=1</t>
  </si>
  <si>
    <t>https://www.cardmarket.com/en/Magic/Products/Booster-Boxes/Tarkir-Dragonstorm-Collector-Booster-Box?sellerCountry=13&amp;language=1</t>
  </si>
  <si>
    <t>https://www.cardmarket.com/en/Magic/Products/Boosters/Tarkir-Dragonstorm-Play-Booster?sellerCountry=13&amp;language=1</t>
  </si>
  <si>
    <t>https://www.cardmarket.com/en/Magic/Products/Booster-Boxes/Tarkir-Dragonstorm-Play-Booster-Box?sellerCountry=13&amp;language=1</t>
  </si>
  <si>
    <t>https://www.cardmarket.com/en/Magic/Products/Boosters/The-Brothers-War-Collector-Booster?sellerCountry=13&amp;language=1</t>
  </si>
  <si>
    <t>https://www.cardmarket.com/en/Magic/Products/Booster-Boxes/The-Brothers-War-Collector-Booster-Box?sellerCountry=13&amp;language=1</t>
  </si>
  <si>
    <t>https://www.cardmarket.com/en/Magic/Products/Preconstructed-Decks/Commander-The-Brothers-War-Mishras-Burnished-Banner-Commander-Deck?sellerCountry=13&amp;language=1</t>
  </si>
  <si>
    <t>https://www.cardmarket.com/en/Magic/Products/Boosters/The-Brothers-War-Set-Booster?sellerCountry=13&amp;language=1</t>
  </si>
  <si>
    <t>https://www.cardmarket.com/en/Magic/Products/Booster-Boxes/The-Brothers-War-Set-Booster-Box?sellerCountry=13&amp;language=1</t>
  </si>
  <si>
    <t>https://www.cardmarket.com/en/Magic/Products/Preconstructed-Decks/Commander-The-Brothers-War-Urzas-Iron-Alliance-Commander-Deck?sellerCountry=13&amp;language=1</t>
  </si>
  <si>
    <t>https://www.cardmarket.com/en/Magic/Products/Preconstructed-Decks/Commander-The-Lord-of-the-Rings-Tales-of-Middle-earth-Elven-Council-Commander-Deck?sellerCountry=13&amp;language=1</t>
  </si>
  <si>
    <t>https://www.cardmarket.com/en/Magic/Products/Preconstructed-Decks/Commander-The-Lord-of-the-Rings-Tales-of-Middle-earth-Food-and-Fellowship-Commander-Deck?sellerCountry=13&amp;language=1</t>
  </si>
  <si>
    <t>https://www.cardmarket.com/en/Magic/Products/Boosters/The-Lord-of-the-Rings-Tales-of-Middle-earth-Collector-Booster?sellerCountry=13&amp;language=1</t>
  </si>
  <si>
    <t>https://www.cardmarket.com/en/Magic/Products/Booster-Boxes/The-Lord-of-the-Rings-Tales-of-Middle-earth-Collector-Booster-Box?sellerCountry=13&amp;language=1</t>
  </si>
  <si>
    <t>https://www.cardmarket.com/en/Magic/Products/Boosters/The-Lord-of-the-Rings-Tales-of-Middle-earth-Set-Booster?sellerCountry=13&amp;language=1</t>
  </si>
  <si>
    <t>https://www.cardmarket.com/en/Magic/Products/Booster-Boxes/The-Lord-of-the-Rings-Tales-of-Middle-earth-Set-Booster-Box?sellerCountry=13&amp;language=1</t>
  </si>
  <si>
    <t>https://www.cardmarket.com/en/Magic/Products/Preconstructed-Decks/Commander-The-Lord-of-the-Rings-Tales-of-Middle-earth-Riders-of-Rohan-Commander-Deck?sellerCountry=13&amp;language=1</t>
  </si>
  <si>
    <t>https://www.cardmarket.com/en/Magic/Products/Preconstructed-Decks/Commander-The-Lord-of-the-Rings-Tales-of-Middle-earth-The-Hosts-of-Mordor-Commander-Deck?sellerCountry=13&amp;language=1</t>
  </si>
  <si>
    <t>https://www.cardmarket.com/en/Magic/Products/Preconstructed-Decks/Commander-The-Lost-Caverns-of-Ixalan-Ahoy-Mateys-Commander-Deck?sellerCountry=13&amp;language=1</t>
  </si>
  <si>
    <t>https://www.cardmarket.com/en/Magic/Products/Preconstructed-Decks/Commander-The-Lost-Caverns-of-Ixalan-Blood-Rites-Commander-Deck?sellerCountry=13&amp;language=1</t>
  </si>
  <si>
    <t>https://www.cardmarket.com/en/Magic/Products/Preconstructed-Decks/Commander-The-Lost-Caverns-of-Ixalan-Explorers-of-the-Deep-Commander-Deck?sellerCountry=13&amp;language=1</t>
  </si>
  <si>
    <t>https://www.cardmarket.com/en/Magic/Products/Boosters/The-Lost-Caverns-of-Ixalan-Collector-Booster?sellerCountry=13&amp;language=1</t>
  </si>
  <si>
    <t>https://www.cardmarket.com/en/Magic/Products/Booster-Boxes/The-Lost-Caverns-of-Ixalan-Collector-Booster-Box?sellerCountry=13&amp;language=1</t>
  </si>
  <si>
    <t>https://www.cardmarket.com/en/Magic/Products/Boosters/The-Lost-Caverns-of-Ixalan-Set-Booster?sellerCountry=13&amp;language=1</t>
  </si>
  <si>
    <t>https://www.cardmarket.com/en/Magic/Products/Booster-Boxes/The-Lost-Caverns-of-Ixalan-Set-Booster-Box?sellerCountry=13&amp;language=1</t>
  </si>
  <si>
    <t>https://www.cardmarket.com/en/Magic/Products/Preconstructed-Decks/Commander-The-Lost-Caverns-of-Ixalan-Veloci-Ramp-Tor-Commander-Deck?sellerCountry=13&amp;language=1</t>
  </si>
  <si>
    <t>https://www.cardmarket.com/en/Magic/Products/Boosters/Theros-Beyond-Death-Booster?sellerCountry=13&amp;language=1</t>
  </si>
  <si>
    <t>https://www.cardmarket.com/en/Magic/Products/Boosters/Theros-Beyond-Death-Collector-Booster?sellerCountry=13&amp;language=1</t>
  </si>
  <si>
    <t>https://www.cardmarket.com/en/Magic/Products/Booster-Boxes/Theros-Beyond-Death-Collector-Booster-Box?sellerCountry=13&amp;language=1</t>
  </si>
  <si>
    <t>https://www.cardmarket.com/en/Magic/Products/Boosters/Throne-of-Eldraine-Booster?sellerCountry=13&amp;language=1</t>
  </si>
  <si>
    <t>https://www.cardmarket.com/en/Magic/Products/Booster-Boxes/Throne-of-Eldraine-Booster-Box?sellerCountry=13&amp;language=1</t>
  </si>
  <si>
    <t>https://www.cardmarket.com/en/Magic/Products/Boosters/Throne-of-Eldraine-Collector-Booster?sellerCountry=13&amp;language=1</t>
  </si>
  <si>
    <t>https://www.cardmarket.com/en/Magic/Products/Booster-Boxes/Throne-of-Eldraine-Collector-Booster-Box?sellerCountry=13&amp;language=1</t>
  </si>
  <si>
    <t>https://www.cardmarket.com/en/Magic/Products/Boosters/War-of-the-Spark-Booster?sellerCountry=13&amp;language=1</t>
  </si>
  <si>
    <t>https://www.cardmarket.com/en/Magic/Products/Booster-Boxes/War-of-the-Spark-Booster-Box?sellerCountry=13&amp;language=1</t>
  </si>
  <si>
    <t>https://www.cardmarket.com/en/Magic/Products/Preconstructed-Decks/Universes-Beyond-Warhammer-40000-Forces-of-the-Imperium-Commander-Deck?sellerCountry=13&amp;language=1</t>
  </si>
  <si>
    <t>https://www.cardmarket.com/en/Magic/Products/Preconstructed-Decks/Universes-Beyond-Warhammer-40000-Necron-Dynasties-Commander-Deck?sellerCountry=13&amp;language=1</t>
  </si>
  <si>
    <t>https://www.cardmarket.com/en/Magic/Products/Preconstructed-Decks/Universes-Beyond-Warhammer-40000-The-Ruinous-Powers-Commander-Deck?sellerCountry=13&amp;language=1</t>
  </si>
  <si>
    <t>https://www.cardmarket.com/en/Magic/Products/Preconstructed-Decks/Universes-Beyond-Warhammer-40000-Tyranid-Swarm-Commander-Deck?sellerCountry=13&amp;language=1</t>
  </si>
  <si>
    <t>https://www.cardmarket.com/en/Magic/Products/Boosters/Wilds-of-Eldraine-Collector-Booster?sellerCountry=13&amp;language=1</t>
  </si>
  <si>
    <t>https://www.cardmarket.com/en/Magic/Products/Booster-Boxes/Wilds-of-Eldraine-Collector-Booster-Box?sellerCountry=13&amp;language=1</t>
  </si>
  <si>
    <t>https://www.cardmarket.com/en/Magic/Products/Preconstructed-Decks/Commander-Wilds-of-Eldraine-Fae-Dominion-Commander-Deck?sellerCountry=13&amp;language=1</t>
  </si>
  <si>
    <t>https://www.cardmarket.com/en/Magic/Products/Boosters/Wilds-of-Eldraine-Set-Booster?sellerCountry=13&amp;language=1</t>
  </si>
  <si>
    <t>https://www.cardmarket.com/en/Magic/Products/Booster-Boxes/Wilds-of-Eldraine-Set-Booster-Box?sellerCountry=13&amp;language=1</t>
  </si>
  <si>
    <t>https://www.cardmarket.com/en/Magic/Products/Preconstructed-Decks/Commander-Wilds-of-Eldraine-Virtue-and-Valor-Commander-Deck?sellerCountry=13&amp;language=1</t>
  </si>
  <si>
    <t>Card Market Packs x Box Size</t>
  </si>
  <si>
    <t>Chaos Cards</t>
  </si>
  <si>
    <t>https://www.chaoscards.co.uk/prod/booster-boxes-magic/magic-the-gathering-aetherdrift-collector-booster-box-12-packs</t>
  </si>
  <si>
    <t>https://www.chaoscards.co.uk/prod/commander-magic/magic-the-gathering-aetherdrift-commander-deck-living-energy</t>
  </si>
  <si>
    <t>https://www.chaoscards.co.uk/prod/booster-boxes-magic/magic-the-gathering-aetherdrift-play-booster-box-30-packs</t>
  </si>
  <si>
    <t>https://www.chaoscards.co.uk/prod/booster-boxes-magic/magic-the-gathering-assassins-creed-beyond-booster-box-24-packs</t>
  </si>
  <si>
    <t>https://www.chaoscards.co.uk/prod/booster-boxes-magic/magic-the-gathering-assassins-creed-collector-booster-box-12-packs</t>
  </si>
  <si>
    <t>https://www.chaoscards.co.uk/prod/booster-boxes-magic/magic-the-gathering-avatar-the-last-airbender-collector-booster-box-12-packs</t>
  </si>
  <si>
    <t>https://www.chaoscards.co.uk/prod/booster-boxes-magic/magic-the-gathering-avatar-the-last-airbender-play-booster-box-30-packs</t>
  </si>
  <si>
    <t>https://www.chaoscards.co.uk/prod/commander-magic/magic-the-gathering-bloomburrow-commander-deck-animated-army</t>
  </si>
  <si>
    <t>https://www.chaoscards.co.uk/prod/booster-boxes-magic/magic-the-gathering-bloomburrow-collector-booster-box-12-packs</t>
  </si>
  <si>
    <t>https://www.chaoscards.co.uk/prod/commander-magic/magic-the-gathering-bloomburrow-commander-deck-family-matters</t>
  </si>
  <si>
    <t>https://www.chaoscards.co.uk/prod/commander-magic/magic-the-gathering-bloomburrow-commander-deck-peace-offering</t>
  </si>
  <si>
    <t>https://www.chaoscards.co.uk/prod/booster-boxes-magic/magic-the-gathering-bloomburrow-play-booster-box-36-packs</t>
  </si>
  <si>
    <t>https://www.chaoscards.co.uk/prod/commander-magic/magic-the-gathering-bloomburrow-commander-deck-squirreled-away</t>
  </si>
  <si>
    <t>https://www.chaoscards.co.uk/prod/booster-boxes-magic/magic-the-gathering-commander-masters-collector-booster-box-4-packs</t>
  </si>
  <si>
    <t>https://www.chaoscards.co.uk/prod/commander-magic/magic-the-gathering-commander-masters-commander-deck-enduring-enchantments</t>
  </si>
  <si>
    <t>https://www.chaoscards.co.uk/prod/commander-magic/magic-the-gathering-commander-masters-commander-deck-planeswalker-party</t>
  </si>
  <si>
    <t>https://www.chaoscards.co.uk/prod/booster-boxes-magic/magic-the-gathering-commander-masters-set-booster-box-24-packs</t>
  </si>
  <si>
    <t>https://www.chaoscards.co.uk/prod/commander-magic/magic-the-gathering-doctor-who-commander-deck-blast-from-the-past</t>
  </si>
  <si>
    <t>https://www.chaoscards.co.uk/prod/commander-magic/magic-the-gathering-doctor-who-commander-deck-paradox-power</t>
  </si>
  <si>
    <t>https://www.chaoscards.co.uk/prod/booster-boxes-magic/magic-the-gathering-dominaria-booster-box-36-packs</t>
  </si>
  <si>
    <t>https://www.chaoscards.co.uk/prod/booster-boxes-magic/magic-the-gathering-dominaria-united-collector-booster-box-12-packs</t>
  </si>
  <si>
    <t>https://www.chaoscards.co.uk/prod/booster-boxes-magic/magic-the-gathering-dominaria-united-set-booster-box-30-packs</t>
  </si>
  <si>
    <t>https://www.chaoscards.co.uk/prod/booster-boxes-magic/magic-the-gathering-duskmourn-house-of-horror-collector-booster-box-12-packs</t>
  </si>
  <si>
    <t>https://www.chaoscards.co.uk/prod/booster-boxes-magic/magic-the-gathering-duskmourn-house-of-horror-play-booster-box-36-packs</t>
  </si>
  <si>
    <t>https://www.chaoscards.co.uk/prod/booster-boxes-magic/magic-the-gathering-edge-of-eternities-collector-booster-box-12-packs</t>
  </si>
  <si>
    <t>https://www.chaoscards.co.uk/prod/booster-boxes-magic/magic-the-gathering-edge-of-eternities-play-booster-box-30-packs</t>
  </si>
  <si>
    <t>https://www.chaoscards.co.uk/prod/booster-boxes-magic/magic-the-gathering-universes-beyond-final-fantasy-collector-booster-box-12-packs</t>
  </si>
  <si>
    <t>https://www.chaoscards.co.uk/prod/commander-magic/magic-the-gathering-universes-beyond-final-fantasy-commander-deck-counter-blitz</t>
  </si>
  <si>
    <t>https://www.chaoscards.co.uk/prod/commander-magic/magic-the-gathering-universes-beyond-final-fantasy-commander-deck-limit-break</t>
  </si>
  <si>
    <t>https://www.chaoscards.co.uk/prod/booster-boxes-magic/magic-the-gathering-universes-beyond-final-fantasy-play-booster-box-30-packs</t>
  </si>
  <si>
    <t>https://www.chaoscards.co.uk/prod/commander-magic/magic-the-gathering-universes-beyond-final-fantasy-commander-deck-revival-trance</t>
  </si>
  <si>
    <t>https://www.chaoscards.co.uk/prod/commander-magic/magic-the-gathering-universes-beyond-final-fantasy-commander-deck-scions-spellcraft</t>
  </si>
  <si>
    <t>https://www.chaoscards.co.uk/prod/booster-boxes-magic/magic-the-gathering-foundations-collector-booster-box-12-packs</t>
  </si>
  <si>
    <t>https://www.chaoscards.co.uk/prod/booster-boxes-magic/magic-the-gathering-foundations-play-booster-box-36-packs</t>
  </si>
  <si>
    <t>https://www.chaoscards.co.uk/prod/booster-boxes-magic/magic-the-gathering-innistrad-remastered-collector-booster-box-12-packs</t>
  </si>
  <si>
    <t>https://www.chaoscards.co.uk/prod/booster-boxes-magic/magic-the-gathering-innistrad-remastered-play-booster-box-36-packs</t>
  </si>
  <si>
    <t>https://www.chaoscards.co.uk/prod/booster-boxes-magic/magic-the-gathering-innistrad-crimson-vow-collector-booster-box-12-packs</t>
  </si>
  <si>
    <t>https://www.chaoscards.co.uk/prod/booster-boxes-magic/magic-the-gathering-innistrad-crimson-vow-set-booster-box-30-packs</t>
  </si>
  <si>
    <t>https://www.chaoscards.co.uk/prod/booster-boxes-magic/magic-the-gathering-innistrad-midnight-hunt-collector-booster-box-12-packs</t>
  </si>
  <si>
    <t>https://www.chaoscards.co.uk/prod/booster-boxes-magic/magic-the-gathering-innistrad-midnight-hunt-set-booster-box-30-packs</t>
  </si>
  <si>
    <t>https://www.chaoscards.co.uk/prod/booster-boxes-magic/magic-the-gathering-kaldheim-collectors-booster-box-12-packs</t>
  </si>
  <si>
    <t>https://www.chaoscards.co.uk/prod/booster-boxes-magic/magic-the-gathering-kaldheim-set-booster-box-30-pack</t>
  </si>
  <si>
    <t>https://www.chaoscards.co.uk/prod/booster-boxes-magic/magic-the-gathering-kamigawa-neon-dynasty-collector-booster-box-12-packs</t>
  </si>
  <si>
    <t>https://www.chaoscards.co.uk/prod/booster-boxes-magic/magic-the-gathering-kamigawa-neon-dynasty-set-booster-box-30-packs</t>
  </si>
  <si>
    <t>https://www.chaoscards.co.uk/prod/booster-boxes-magic/magic-the-gathering-lorwyn-eclipsed-collector-booster-box-12-packs</t>
  </si>
  <si>
    <t>https://www.chaoscards.co.uk/prod/booster-boxes-magic/magic-the-gathering-lorwyn-eclipsed-play-booster-box-30-packs</t>
  </si>
  <si>
    <t>https://www.chaoscards.co.uk/prod/booster-boxes-magic/magic-the-gathering-march-of-the-machine-collector-booster-box-12-packs</t>
  </si>
  <si>
    <t>https://www.chaoscards.co.uk/prod/booster-boxes-magic/magic-the-gathering-march-of-the-machine-set-booster-box-30-packs</t>
  </si>
  <si>
    <t>https://www.chaoscards.co.uk/prod/commander-magic/magic-the-gathering-march-of-the-machine-commander-deck-tinker-time</t>
  </si>
  <si>
    <t>https://www.chaoscards.co.uk/prod/booster-boxes-magic/magic-the-gathering-marvels-spider-man-collector-booster-box-12-packs</t>
  </si>
  <si>
    <t>https://www.chaoscards.co.uk/prod/booster-boxes-magic/magic-the-gathering-marvels-spider-man-play-booster-box-30-packs</t>
  </si>
  <si>
    <t>https://www.chaoscards.co.uk/prod/booster-boxes-magic/magic-the-gathering-collector-booster-box-modern-horizons-2</t>
  </si>
  <si>
    <t>https://www.chaoscards.co.uk/prod/booster-boxes-magic/magic-the-gathering-set-booster-box-modern-horizons-2</t>
  </si>
  <si>
    <t>https://www.chaoscards.co.uk/prod/commander-magic/magic-the-gathering-modern-horizons-3-commander-deck-creative-energy</t>
  </si>
  <si>
    <t>https://www.chaoscards.co.uk/prod/commander-magic/magic-the-gathering-modern-horizons-3-commander-deck-graveyard-overdrive</t>
  </si>
  <si>
    <t>https://www.chaoscards.co.uk/prod/booster-boxes-magic/magic-the-gathering-modern-horizons-3-collector-booster-box-12-packs</t>
  </si>
  <si>
    <t>https://www.chaoscards.co.uk/prod/booster-boxes-magic/magic-the-gathering-modern-horizons-3-play-booster-box-36-packs</t>
  </si>
  <si>
    <t>https://www.chaoscards.co.uk/prod/commander-magic/magic-the-gathering-modern-horizons-3-commander-deck-tricky-terrain</t>
  </si>
  <si>
    <t>https://www.chaoscards.co.uk/prod/booster-boxes-magic/magic-the-gathering-murders-at-karlov-manor-collector-booster-box-12-packs</t>
  </si>
  <si>
    <t>https://www.chaoscards.co.uk/prod/booster-boxes-magic/magic-the-gathering-murders-at-karlov-manor-play-booster-box-36-packs</t>
  </si>
  <si>
    <t>https://www.chaoscards.co.uk/prod/booster-boxes-magic/magic-the-gathering-oath-of-the-gatewatch-sealed-booster-box-36-packs</t>
  </si>
  <si>
    <t>https://www.chaoscards.co.uk/prod/booster-boxes-magic/magic-the-gathering-outlaws-of-thunder-junction-collector-booster-box-12-packs</t>
  </si>
  <si>
    <t>https://www.chaoscards.co.uk/prod/booster-boxes-magic/magic-the-gathering-outlaws-of-thunder-junction-play-booster-box-36-packs</t>
  </si>
  <si>
    <t>https://www.chaoscards.co.uk/prod/booster-boxes-magic/magic-the-gathering-phyrexia-all-will-be-one-collector-booster-box-12-packs</t>
  </si>
  <si>
    <t>https://www.chaoscards.co.uk/prod/booster-boxes-magic/magic-the-gathering-phyrexia-all-will-be-one-set-booster-box-30-packs</t>
  </si>
  <si>
    <t>https://www.chaoscards.co.uk/prod/booster-boxes-magic/magic-the-gathering-ravnica-remastered-collector-booster-box-12-packs</t>
  </si>
  <si>
    <t>https://www.chaoscards.co.uk/prod/booster-boxes-magic/magic-the-gathering-ravnica-remastered-draft-booster-box-36-packs</t>
  </si>
  <si>
    <t>https://www.chaoscards.co.uk/prod/booster-boxes-magic/magic-the-gathering-streets-of-new-capenna-collector-booster-box-12-packs</t>
  </si>
  <si>
    <t>https://www.chaoscards.co.uk/prod/booster-boxes-magic/magic-the-gathering-streets-of-new-capenna-set-booster-box-30-packs</t>
  </si>
  <si>
    <t>https://www.chaoscards.co.uk/prod/booster-boxes-magic/magic-the-gathering-strixhaven-school-of-mages-collector-booster-box-12-packs</t>
  </si>
  <si>
    <t>https://www.chaoscards.co.uk/prod/booster-boxes-magic/magic-the-gathering-secrets-of-strixhaven-play-booster-box-30-packs</t>
  </si>
  <si>
    <t>https://www.chaoscards.co.uk/prod/commander-magic/magic-the-gathering-tarkir-dragonstorm-commander-deck-jeskai-striker</t>
  </si>
  <si>
    <t>https://www.chaoscards.co.uk/prod/commander-magic/magic-the-gathering-tarkir-dragonstorm-commander-deck-mardu-surge</t>
  </si>
  <si>
    <t>https://www.chaoscards.co.uk/prod/commander-magic/magic-the-gathering-tarkir-dragonstorm-commander-deck-sultai-arisen</t>
  </si>
  <si>
    <t>https://www.chaoscards.co.uk/prod/commander-magic/magic-the-gathering-tarkir-dragonstorm-commander-deck-temur-roar</t>
  </si>
  <si>
    <t>https://www.chaoscards.co.uk/prod/booster-boxes-magic/magic-the-gathering-tarkir-dragonstorm-collector-booster-box-12-packs</t>
  </si>
  <si>
    <t>https://www.chaoscards.co.uk/prod/booster-boxes-magic/magic-the-gathering-tarkir-dragonstorm-play-booster-box-30-packs</t>
  </si>
  <si>
    <t>https://www.chaoscards.co.uk/prod/booster-boxes-magic/magic-the-gathering-the-brothers-war-collector-booster-box-12-packs</t>
  </si>
  <si>
    <t>https://www.chaoscards.co.uk/prod/booster-boxes-magic/magic-the-gathering-the-brothers-war-set-booster-box-30-packs</t>
  </si>
  <si>
    <t>https://www.chaoscards.co.uk/prod/booster-boxes-magic/magic-the-gathering-lord-of-the-rings-tales-of-middle-earth-collector-booster-box-12-packs</t>
  </si>
  <si>
    <t>https://www.chaoscards.co.uk/prod/booster-boxes-magic/magic-the-gathering-lord-of-the-rings-tales-of-middle-earth-set-booster-box-30-packs</t>
  </si>
  <si>
    <t>https://www.chaoscards.co.uk/prod/booster-boxes-magic/magic-the-gathering-the-lost-caverns-of-ixalan-collector-booster-box-12-packs</t>
  </si>
  <si>
    <t>https://www.chaoscards.co.uk/prod/booster-boxes-magic/magic-the-gathering-the-lost-caverns-of-ixalan-set-booster-box-30-packs</t>
  </si>
  <si>
    <t>https://www.chaoscards.co.uk/prod/booster-boxes-magic/magic-the-gathering-theros-beyond-death-collector-booster-box-12-packs</t>
  </si>
  <si>
    <t>https://www.chaoscards.co.uk/prod/booster-boxes-magic/magic-the-gathering-throne-of-eldraine-booster-box-36-packs</t>
  </si>
  <si>
    <t>https://www.chaoscards.co.uk/prod/booster-boxes-magic/magic-the-gathering-throne-of-eldraine-collector-booster-box-12-packs-1-183231</t>
  </si>
  <si>
    <t>https://www.chaoscards.co.uk/prod/booster-boxes-magic/magic-the-gathering-war-of-the-spark-booster-box-36-packs</t>
  </si>
  <si>
    <t>https://www.chaoscards.co.uk/prod/commander-magic/magic-the-gathering-warhammer-40k-the-ruinous-powers-commander-deck</t>
  </si>
  <si>
    <t>https://www.chaoscards.co.uk/prod/booster-boxes-magic/magic-the-gathering-wilds-of-eldraine-collector-booster-box-12-packs</t>
  </si>
  <si>
    <t>https://www.chaoscards.co.uk/prod/booster-boxes-magic/magic-the-gathering-wilds-of-eldraine-set-booster-box-30-packs</t>
  </si>
  <si>
    <t>Cob And Pip</t>
  </si>
  <si>
    <t>https://cobandpip.co.uk/products/magic-the-gathering-duskmourn-house-of-horror-booster-box-new-sealed-uk</t>
  </si>
  <si>
    <t>https://cobandpip.co.uk/products/magic-the-gathering-sealed-booster-box</t>
  </si>
  <si>
    <t>Crazy Gamer</t>
  </si>
  <si>
    <t>https://crazygamer.uk/magic-the-gathering-mtg-mtg-sealed-c-79_647/magic-the-gathering-aetherdrift-collector-booster-display-p-20342</t>
  </si>
  <si>
    <t>https://crazygamer.uk/magic-the-gathering-mtg-mtg-sealed-c-79_647/mtg-magic-the-gathering-aetherdrift-commander-deck-p-20344</t>
  </si>
  <si>
    <t>https://crazygamer.uk/magic-the-gathering-mtg-mtg-sealed-c-79_647/magic-the-gathering-mtg-aetherdrift-play-booster-box-p-20341</t>
  </si>
  <si>
    <t>https://crazygamer.uk/magic-the-gathering-mtg-mtg-sealed-c-79_647/mtg-assassins-creed-universe-beyond-booster-box-p-24576</t>
  </si>
  <si>
    <t>Distro GG</t>
  </si>
  <si>
    <t>https://distro.gg/products/magic-the-gathering-avatar-the-last-airbender-play-booster-box</t>
  </si>
  <si>
    <t>https://distro.gg/products/magic-the-gathering-bloomburrow---play-booster-box-36-packs</t>
  </si>
  <si>
    <t>https://distro.gg/products/magic-the-gathering-commander-masters-set-booster-box-24</t>
  </si>
  <si>
    <t>https://distro.gg/products/magic-the-gathering-duskmourn-house-of-horror---play-booster-box-36-packs</t>
  </si>
  <si>
    <t>https://distro.gg/products/magic-the-gathering-edge-of-eternities-collector-booster-box</t>
  </si>
  <si>
    <t>https://distro.gg/products/magic-the-gathering-edge-of-eternities-play-booster-box</t>
  </si>
  <si>
    <t>https://distro.gg/products/magic-the-gathering-final-fantasy-collector-booster-box</t>
  </si>
  <si>
    <t>https://distro.gg/products/magic-the-gathering-final-fantasy-play-booster-box-30-packs</t>
  </si>
  <si>
    <t>https://distro.gg/products/magic-the-gathering-kamigawa-neon-dynasty-set-booster-box-30-packs</t>
  </si>
  <si>
    <t>https://distro.gg/products/magic-the-gathering-lorwyn-eclipsed-commander-deck-blight-curse</t>
  </si>
  <si>
    <t>https://distro.gg/products/magic-the-gathering-lorwyn-eclipsed-collector-booster</t>
  </si>
  <si>
    <t>https://distro.gg/products/magic-the-gathering-lorwyn-eclipsed-commander-deck-dance-of-the-elements</t>
  </si>
  <si>
    <t>https://distro.gg/products/magic-the-gathering-lorwyn-eclipsed-play-booster</t>
  </si>
  <si>
    <t>https://distro.gg/products/magic-the-gathering-marvels-spiderman-play-booster-box</t>
  </si>
  <si>
    <t>https://distro.gg/products/magic-the-gathering-modern-horizons-3---play-booster-box-36-packs</t>
  </si>
  <si>
    <t>https://distro.gg/products/magic-the-gathering-tarkir-dragonstorm-play-booster-box-30-packs</t>
  </si>
  <si>
    <t>https://distro.gg/products/magic-the-gathering-tmnt-collector-booster</t>
  </si>
  <si>
    <t>https://distro.gg/products/magic-the-gathering-tmnt-play-booster-box</t>
  </si>
  <si>
    <t>https://distro.gg/products/magic-the-gathering-lord-of-the-rings-tales-of-middle-earth-set-booster-box-30-packs</t>
  </si>
  <si>
    <t>Double Sleeved</t>
  </si>
  <si>
    <t>https://www.doublesleeved.co.uk/products/mtg-aetherdrift-collector-booster-box?_pos=11&amp;_fid=173add3df&amp;_ss=c</t>
  </si>
  <si>
    <t>https://www.doublesleeved.co.uk/products/mtg-avatar-the-last-airbender-collector-booster-box?_pos=12&amp;_fid=173add3df&amp;_ss=c</t>
  </si>
  <si>
    <t>https://www.doublesleeved.co.uk/products/mtg-bloomburrow-collector-booster-box?_pos=14&amp;_fid=173add3df&amp;_ss=c</t>
  </si>
  <si>
    <t>https://www.doublesleeved.co.uk/products/mtg-bloomburrow-play-booster-box?_pos=3&amp;_sid=2defcea60&amp;_ss=r</t>
  </si>
  <si>
    <t>https://www.doublesleeved.co.uk/products/mtg-commander-masters-2023-collector-booster-box?_pos=21&amp;_fid=173add3df&amp;_ss=c</t>
  </si>
  <si>
    <t>https://www.doublesleeved.co.uk/products/mtg-commander-masters-2023-set-booster-box?_pos=23&amp;_fid=173add3df&amp;_ss=c</t>
  </si>
  <si>
    <t>https://www.doublesleeved.co.uk/products/mtg-dominaria-united-collector-booster-box?_pos=30&amp;_fid=173add3df&amp;_ss=c</t>
  </si>
  <si>
    <t>https://www.doublesleeved.co.uk/products/mtg-lord-of-the-rings-collector-booster-box?_pos=5&amp;_fid=173add3df&amp;_ss=c</t>
  </si>
  <si>
    <t>https://www.doublesleeved.co.uk/products/mtg-lord-of-the-rings-set-booster-box?_pos=9&amp;_fid=173add3df&amp;_ss=c</t>
  </si>
  <si>
    <t>Firestorm Games</t>
  </si>
  <si>
    <t>https://www.firestormgames.co.uk/mtg:-aetherdrift-collector-booster-box</t>
  </si>
  <si>
    <t>https://www.firestormgames.co.uk/mtg:-aetherdrift-commander-deck-eternal-might</t>
  </si>
  <si>
    <t>https://www.firestormgames.co.uk/mtg:-aetherdrift-commander-deck-living-energy</t>
  </si>
  <si>
    <t>https://www.firestormgames.co.uk/mtg:-aetherdrift-play-booster-box</t>
  </si>
  <si>
    <t>https://www.firestormgames.co.uk/magic:-the-gathering---avatar:-the-last-airbender-play-booster-box</t>
  </si>
  <si>
    <t>https://www.firestormgames.co.uk/magic:-the-gathering---duskmourn:-house-of-horrors-play-booster-box</t>
  </si>
  <si>
    <t>https://www.firestormgames.co.uk/mtg:-edge-of-eternities-collector-booster-box</t>
  </si>
  <si>
    <t>https://www.firestormgames.co.uk/mtg:-edge-of-eternities-commander-deck---counter-intelligence</t>
  </si>
  <si>
    <t>https://www.firestormgames.co.uk/mtg:-edge-of-eternities-play-booster-box</t>
  </si>
  <si>
    <t>https://www.firestormgames.co.uk/mtg:-edge-of-eternities-commander-deck---world-shaper</t>
  </si>
  <si>
    <t>https://www.firestormgames.co.uk/mtg:-final-fantasy-play-booster-box</t>
  </si>
  <si>
    <t>https://www.firestormgames.co.uk/mtg:-final-fantasy-commander-deck---revival-trance</t>
  </si>
  <si>
    <t>https://www.firestormgames.co.uk/mtg:-foundations-collector-booster-box</t>
  </si>
  <si>
    <t>https://www.firestormgames.co.uk/mtg:-innistrad-remastered-play-booster-box</t>
  </si>
  <si>
    <t>https://www.firestormgames.co.uk/mtg:-march-of-the-machine-collector-booster-box</t>
  </si>
  <si>
    <t>https://www.firestormgames.co.uk/mtg:-march-of-the-machine-set-booster-box</t>
  </si>
  <si>
    <t>https://www.firestormgames.co.uk/mtg:-marvels-spider-man-collector-booster-box</t>
  </si>
  <si>
    <t>https://www.firestormgames.co.uk/mtg:-marvels-spider-man-play-booster-box</t>
  </si>
  <si>
    <t>https://www.firestormgames.co.uk/mtg:-marvel-super-heroes-collector-commander-deck---avengers-assemble</t>
  </si>
  <si>
    <t>https://www.firestormgames.co.uk/mtg:-marvel-super-heroes-commander-deck---avengers-assemble</t>
  </si>
  <si>
    <t>https://www.firestormgames.co.uk/mtg:-marvel-super-heroes-collector-booster-box</t>
  </si>
  <si>
    <t>https://www.firestormgames.co.uk/mtg:-marvel-super-heroes-collector-commander-deck---doom-prevails</t>
  </si>
  <si>
    <t>https://www.firestormgames.co.uk/mtg:-marvel-super-heroes-commander-deck---doom-prevails</t>
  </si>
  <si>
    <t>https://www.firestormgames.co.uk/mtg:-marvel-super-heroes-play-booster-box</t>
  </si>
  <si>
    <t>https://www.firestormgames.co.uk/mtg:-marvel-super-heroes-collector-commander-deck---the-fantastic-four</t>
  </si>
  <si>
    <t>https://www.firestormgames.co.uk/mtg:-marvel-super-heroes-commander-deck---the-fantastic-four</t>
  </si>
  <si>
    <t>https://www.firestormgames.co.uk/mtg:-marvel-super-heroes-collector-commander-deck---wakanda-forever</t>
  </si>
  <si>
    <t>https://www.firestormgames.co.uk/mtg:-marvel-super-heroes-commander-deck---wakanda-forever</t>
  </si>
  <si>
    <t>https://www.firestormgames.co.uk/mtg:-modern-horizons-3-commander-deck---creative-energy</t>
  </si>
  <si>
    <t>https://www.firestormgames.co.uk/mtg:-modern-horizons-3-commander-deck---graveyard-overdrive</t>
  </si>
  <si>
    <t>https://www.firestormgames.co.uk/mtg:-teenage-mutant-ninja-turtles-collector-booster-box</t>
  </si>
  <si>
    <t>https://www.firestormgames.co.uk/mtg:-teenage-mutant-ninja-turtles-play-booster-box</t>
  </si>
  <si>
    <t>Games Lore</t>
  </si>
  <si>
    <t>https://www.gameslore.com/mtg-aetherdrift-collector-booster-pack.html</t>
  </si>
  <si>
    <t>https://www.gameslore.com/mtg-aetherdrift-collector-booster-display.html</t>
  </si>
  <si>
    <t>https://www.gameslore.com/mtg-aetherdrift-play-booster-pack.html</t>
  </si>
  <si>
    <t>https://www.gameslore.com/mtg-aetherdrift-play-booster-display.html</t>
  </si>
  <si>
    <t>https://www.gameslore.com/mtg-assassin-s-creed-booster-pack.html</t>
  </si>
  <si>
    <t>https://www.gameslore.com/mtg-assassin-s-creed-booster-display.html</t>
  </si>
  <si>
    <t>https://www.gameslore.com/mtg-commander-masters-commander-planeswalker-party-deck.html</t>
  </si>
  <si>
    <t>https://www.gameslore.com/mtg-commander-masters-set-booster-pack.html</t>
  </si>
  <si>
    <t>https://www.gameslore.com/mtg-commander-masters-set-booster-display.html</t>
  </si>
  <si>
    <t>https://www.gameslore.com/mtg-dominaria-united-collector-booster-pack.html</t>
  </si>
  <si>
    <t>https://www.gameslore.com/mtg-dominaria-united-collector-booster-display.html</t>
  </si>
  <si>
    <t>https://www.gameslore.com/mtg-duskmourn-play-booster-pack.html</t>
  </si>
  <si>
    <t>https://www.gameslore.com/mtg-duskmourn-play-booster-display.html</t>
  </si>
  <si>
    <t>https://www.gameslore.com/mtg-innistrad-remastered-collector-booster-pack.html</t>
  </si>
  <si>
    <t>https://www.gameslore.com/mtg-innistrad-remastered-play-booster-pack.html</t>
  </si>
  <si>
    <t>https://www.gameslore.com/mtg-innistrad-remastered-play-booster-display.html</t>
  </si>
  <si>
    <t>https://www.gameslore.com/mtg-innistrad-midnight-hunt-collector-booster-pack.html</t>
  </si>
  <si>
    <t>https://www.gameslore.com/mtg-innistrad-midnight-hunt-collector-booster-display.html</t>
  </si>
  <si>
    <t>https://www.gameslore.com/mtg-modern-horizons-3-creative-energy-commander-deck.html</t>
  </si>
  <si>
    <t>https://www.gameslore.com/mtg-modern-horizons-3-graveyard-overdrive-commander-deck.html</t>
  </si>
  <si>
    <t>https://www.gameslore.com/mtg-modern-horizons-3-collector-s-booster-pack.html</t>
  </si>
  <si>
    <t>https://www.gameslore.com/mtg-modern-horizons-3-play-booster-pack.html</t>
  </si>
  <si>
    <t>https://www.gameslore.com/mtg-modern-horizons-3-play-booster-display.html</t>
  </si>
  <si>
    <t>https://www.gameslore.com/mtg-murders-at-karlov-manor-collector-booster-pack.html</t>
  </si>
  <si>
    <t>https://www.gameslore.com/mtg-murders-at-karlov-manor-collector-booster-display.html</t>
  </si>
  <si>
    <t>https://www.gameslore.com/mtg-murders-at-karlov-manor-play-booster-pack.html</t>
  </si>
  <si>
    <t>https://www.gameslore.com/mtg-murders-at-karlov-manor-play-booster-display.html</t>
  </si>
  <si>
    <t>https://www.gameslore.com/mtg-outlaws-of-thunder-junction-play-booster-pack.html</t>
  </si>
  <si>
    <t>https://www.gameslore.com/mtg-outlaws-of-thunder-junction-play-booster-display.html</t>
  </si>
  <si>
    <t>https://www.gameslore.com/mtg-ravnica-remastered-draft-booster-pack.html</t>
  </si>
  <si>
    <t>https://www.gameslore.com/mtg-ravnica-remastered-draft-booster-display.html</t>
  </si>
  <si>
    <t>https://www.gameslore.com/mtg-streets-of-new-capenna-collector-booster-pack.html</t>
  </si>
  <si>
    <t>https://www.gameslore.com/mtg-streets-of-new-capenna-collector-booster-display.html</t>
  </si>
  <si>
    <t>https://www.gameslore.com/mtg-streets-of-new-capenna-set-booster-pack.html</t>
  </si>
  <si>
    <t>Games Lore Packs x Box Size</t>
  </si>
  <si>
    <t>Gathering Games</t>
  </si>
  <si>
    <t>https://gatheringgames.co.uk/products/magic-the-gathering-aetherdrift-collector-booster-box</t>
  </si>
  <si>
    <t>https://gatheringgames.co.uk/products/magic-the-gathering-aetherdrift-play-booster</t>
  </si>
  <si>
    <t>https://gatheringgames.co.uk/products/magic-the-gathering-universes-beyond-assassins-creed-beyond-booster-box</t>
  </si>
  <si>
    <t>https://gatheringgames.co.uk/products/magic-the-gathering-universes-beyond-assassins-creed-collector-booster-box</t>
  </si>
  <si>
    <t>https://gatheringgames.co.uk/products/magic-the-gathering-avatar-the-last-airbender-play-booster-box</t>
  </si>
  <si>
    <t>https://gatheringgames.co.uk/products/magic-the-gathering-bloomburrow-collector-booster-box</t>
  </si>
  <si>
    <t>https://gatheringgames.co.uk/products/magic-the-gathering-bloomburrow-play-booster-box</t>
  </si>
  <si>
    <t>https://gatheringgames.co.uk/products/magic-the-gathering-commander-masters-collector-booster</t>
  </si>
  <si>
    <t>https://gatheringgames.co.uk/products/magic-the-gathering-commander-masters-set-booster-box</t>
  </si>
  <si>
    <t>https://gatheringgames.co.uk/products/magic-the-gathering-dominaria-united-collector-boosters-box</t>
  </si>
  <si>
    <t>https://gatheringgames.co.uk/products/mtg-dominaria-united-set-boosters-box</t>
  </si>
  <si>
    <t>https://gatheringgames.co.uk/products/magic-the-gathering-duskmourn-house-of-horrors-collector-booster-box</t>
  </si>
  <si>
    <t>https://gatheringgames.co.uk/products/magic-the-gathering-duskmourn-house-of-horrors-play-booster-box</t>
  </si>
  <si>
    <t>https://gatheringgames.co.uk/products/magic-the-gathering-edge-of-eternities-collector-booster-box</t>
  </si>
  <si>
    <t>https://gatheringgames.co.uk/products/magic-the-gathering-edge-of-eternities-play-booster-box</t>
  </si>
  <si>
    <t>https://gatheringgames.co.uk/products/magic-the-gathering-final-fantasy-collector-booster-box</t>
  </si>
  <si>
    <t>https://gatheringgames.co.uk/products/magic-the-gathering-final-fantasy-play-booster-box</t>
  </si>
  <si>
    <t>https://gatheringgames.co.uk/products/magic-the-gathering-foundations-play-booster</t>
  </si>
  <si>
    <t>https://gatheringgames.co.uk/products/magic-the-gathering-nnistrad-remastered-collector-booster-box</t>
  </si>
  <si>
    <t>https://gatheringgames.co.uk/products/magic-the-gathering-innistrad-remastered-play-booster</t>
  </si>
  <si>
    <t>https://gatheringgames.co.uk/products/magic-the-gathering-innistrad-midnight-hunt-set-booster-box-30-packs</t>
  </si>
  <si>
    <t>https://gatheringgames.co.uk/products/magic-the-gathering-kamigawa-neon-dynasty-collector-booster-box-12-packs</t>
  </si>
  <si>
    <t>https://gatheringgames.co.uk/products/magic-the-gathering-kamigawa-neon-dynasty-set-booster-box-30-packs</t>
  </si>
  <si>
    <t>https://gatheringgames.co.uk/products/magic-the-gathering-lorwyn-eclipsed-collector-booster-box</t>
  </si>
  <si>
    <t>https://gatheringgames.co.uk/products/magic-the-gathering-lorwyn-eclipsed-play-booster-box</t>
  </si>
  <si>
    <t>https://gatheringgames.co.uk/products/magic-the-gathering-march-of-the-machine-collector-booster-box</t>
  </si>
  <si>
    <t>https://gatheringgames.co.uk/products/magic-the-gathering-march-of-the-machine-set-booster-box</t>
  </si>
  <si>
    <t>https://gatheringgames.co.uk/products/magic-the-gathering-marvel-spider-man-collector-booster-box</t>
  </si>
  <si>
    <t>https://gatheringgames.co.uk/products/magic-the-gathering-marvel-spider-man-play-booster-box</t>
  </si>
  <si>
    <t>https://gatheringgames.co.uk/products/magic-the-gathering-marvel-super-heroes-collector-booster-box</t>
  </si>
  <si>
    <t>https://gatheringgames.co.uk/products/magic-the-gathering-marvel-super-heroes-jumpstart-booster-box</t>
  </si>
  <si>
    <t>https://gatheringgames.co.uk/products/magic-the-gathering-marvel-super-heroes-play-booster-box</t>
  </si>
  <si>
    <t>https://gatheringgames.co.uk/products/magic-the-gathering-modern-horizons-2-set-booster-box</t>
  </si>
  <si>
    <t>https://gatheringgames.co.uk/products/magic-the-gathering-modern-horizons-3-collector-booster-box</t>
  </si>
  <si>
    <t>https://gatheringgames.co.uk/products/magic-the-gathering-modern-horizons-3-play-booster-box</t>
  </si>
  <si>
    <t>https://gatheringgames.co.uk/products/magic-the-gathering-murders-at-karlov-manor-collector-booster-box</t>
  </si>
  <si>
    <t>https://gatheringgames.co.uk/products/magic-the-gathering-murders-at-karlov-manor-play-booster-box</t>
  </si>
  <si>
    <t>https://gatheringgames.co.uk/products/magic-the-gathering-outlaws-of-thunder-collector-booster-box</t>
  </si>
  <si>
    <t>https://gatheringgames.co.uk/products/magic-the-gathering-outlaws-of-thunder-junction-play-booster-box</t>
  </si>
  <si>
    <t>https://gatheringgames.co.uk/products/magic-the-gathering-phyrexia-all-will-be-one-collector-booster-box</t>
  </si>
  <si>
    <t>https://gatheringgames.co.uk/products/magic-the-gathering-phyrexia-all-will-be-one-set-booster-box</t>
  </si>
  <si>
    <t>https://gatheringgames.co.uk/products/magic-the-gathering-ravnica-remastered-collector-booster-box</t>
  </si>
  <si>
    <t>https://gatheringgames.co.uk/products/magic-the-gathering-ravnica-remastered-draft-booster-box</t>
  </si>
  <si>
    <t>https://gatheringgames.co.uk/products/magic-the-gathering-streets-of-new-capenna-collector-booster-box-12-packs</t>
  </si>
  <si>
    <t>https://gatheringgames.co.uk/products/magic-the-gathering-streets-of-new-capenna-set-booster-box-30-packs</t>
  </si>
  <si>
    <t>https://gatheringgames.co.uk/products/magic-the-gathering-tarkir-dragonstorm-collector-booster-box</t>
  </si>
  <si>
    <t>https://gatheringgames.co.uk/products/magic-the-gathering-tarkir-dragonstorm-play-booster-box</t>
  </si>
  <si>
    <t>https://gatheringgames.co.uk/products/magic-the-gathering-teenage-mutant-ninja-turtles-collector-booster-box</t>
  </si>
  <si>
    <t>https://gatheringgames.co.uk/products/magic-the-gathering-teenage-mutant-ninja-turtles-play-booster-box</t>
  </si>
  <si>
    <t>https://gatheringgames.co.uk/products/magic-the-gathering-the-brothers-war-collector-boosters</t>
  </si>
  <si>
    <t>https://gatheringgames.co.uk/products/magic-the-gathering-the-brothers-war-set-boosters</t>
  </si>
  <si>
    <t>https://gatheringgames.co.uk/products/magic-the-gathering-lord-of-the-rings-tales-of-middle-earth-collector-booster-box</t>
  </si>
  <si>
    <t>https://gatheringgames.co.uk/products/copy-of-magic-the-gathering-lord-of-the-rings-tales-of-middle-earth-set-booster</t>
  </si>
  <si>
    <t>https://gatheringgames.co.uk/products/magic-the-gathering-lost-caverns-of-ixalan-collector-booster-box</t>
  </si>
  <si>
    <t>https://gatheringgames.co.uk/products/magic-the-gathering-lost-caverns-of-ixalan-set-booster-box</t>
  </si>
  <si>
    <t>https://gatheringgames.co.uk/products/magic-the-gathering-wilds-of-eldraine-set-booster-box</t>
  </si>
  <si>
    <t>Hills Cards</t>
  </si>
  <si>
    <t>https://www.hillscards.co.uk/trading-card-games-c78/sealed-products-c92/boosters-c98/magic-the-gathering-avatar-the-last-airbender-collector-booster-box-sealed-box-of-12-packs-p88248</t>
  </si>
  <si>
    <t>https://www.hillscards.co.uk/trading-card-games-c78/sealed-products-c92/boosters-c98/magic-the-gathering-avatar-the-last-airbender-play-booster-sealead-box-of-30-packs-p88250</t>
  </si>
  <si>
    <t>https://www.hillscards.co.uk/trading-card-games-c78/sealed-products-c92/boosters-c98/magic-the-gathering-innistrad-crimson-vow-set-booster-box-p67912</t>
  </si>
  <si>
    <t>https://www.hillscards.co.uk/trading-card-games-c78/sealed-products-c92/boosters-c98/magic-the-gathering-lorwyn-eclipsed-collector-booster-box-sealed-box-of-12-packs-p88498</t>
  </si>
  <si>
    <t>https://www.hillscards.co.uk/trading-card-games-c78/sealed-products-c92/boosters-c98/magic-the-gathering-lorwyn-eclipsed-play-booster-box-sealead-box-of-30-packs-p88499</t>
  </si>
  <si>
    <t>https://www.hillscards.co.uk/trading-card-games-c78/sealed-products-c92/boosters-c98/magic-the-gathering-the-brothers-war-collector-booster-box-sealed-box-of-12-packs-p71785</t>
  </si>
  <si>
    <t>https://www.hillscards.co.uk/trading-card-games-c78/sealed-products-c92/decks-c97/magic-the-gathering-the-brothers-war-commander-deck-mishras-burnished-banner-p71790</t>
  </si>
  <si>
    <t>https://www.hillscards.co.uk/trading-card-games-c78/sealed-products-c92/boosters-c98/magic-the-gathering-the-brothers-war-set-booster-box-sealed-box-of-30-packs-p71787</t>
  </si>
  <si>
    <t>https://www.hillscards.co.uk/trading-card-games-c78/sealed-products-c92/decks-c97/magic-the-gathering-the-brothers-war-commander-deck-urzas-iron-alliance-p71789</t>
  </si>
  <si>
    <t>Hill's Cards</t>
  </si>
  <si>
    <t>https://www.hillscards.co.uk/trading-card-games-c78/sealed-products-c92/boosters-c98/magic-the-gathering-teenage-mutant-ninja-turtles-collector-booster-box-sealed-box-of-12-packs-p88720</t>
  </si>
  <si>
    <t>https://www.hillscards.co.uk/trading-card-games-c78/sealed-products-c92/boosters-c98/magic-the-gathering-teenage-mutant-ninja-turtles-play-booster-sealed-box-of-30-packs-p88721</t>
  </si>
  <si>
    <t>Hokey Poke Games</t>
  </si>
  <si>
    <t>https://wholesale.hokeypokegames.co.uk/mtg/TKRMTG-COPY-magic-the-gathering-tarkir-dragonstorm-play-booster</t>
  </si>
  <si>
    <t>https://wholesale.hokeypokegames.co.uk/mtg/magic-the-gathering-assassins-creed-booster-box</t>
  </si>
  <si>
    <t>https://wholesale.hokeypokegames.co.uk/mtg/MTGAVATARPLAY-magic-the-gathering-the-last-airbender-play-booster-box</t>
  </si>
  <si>
    <t>https://wholesale.hokeypokegames.co.uk/mtg/magic-the-gathering-edge-of-eternities-booster-box</t>
  </si>
  <si>
    <t>https://wholesale.hokeypokegames.co.uk/mtg/FFMTG-final-fantasy-en-play-booster-display-30ct</t>
  </si>
  <si>
    <t>https://wholesale.hokeypokegames.co.uk/mtg/magic-the-gathering-guilds-of-ravnica-booster-box</t>
  </si>
  <si>
    <t>https://wholesale.hokeypokegames.co.uk/mtg/magic-the-gathering-lorwyn-eclipsed-play-booster-box</t>
  </si>
  <si>
    <t>https://wholesale.hokeypokegames.co.uk/mtg/TKRMTG-magic-the-gathering-tarkir-dragonstorm-play-booster</t>
  </si>
  <si>
    <t>Jet Cards</t>
  </si>
  <si>
    <t>https://jetcards.uk/collections/magic-the-gathering/products/magic-the-gathering-aetherdrift-collector-booster-box-12-packs</t>
  </si>
  <si>
    <t>https://jetcards.uk/collections/magic-the-gathering/products/magic-the-gathering-aetherdrift-commander-deck-eternal-might</t>
  </si>
  <si>
    <t>https://jetcards.uk/collections/magic-the-gathering/products/magic-the-gathering-aetherdrift-commander-deck-living-energy</t>
  </si>
  <si>
    <t>https://jetcards.uk/collections/magic-the-gathering/products/magic-the-gathering-aetherdrift-play-booster-box-30-packs</t>
  </si>
  <si>
    <t>https://jetcards.uk/collections/magic-the-gathering/products/magic-the-gathering-avatar-the-last-airbender-play-booster-box-30-packs</t>
  </si>
  <si>
    <t>https://jetcards.uk/collections/magic-the-gathering/products/magic-the-gathering-bloomburrow-commander-deck-animated-army</t>
  </si>
  <si>
    <t>https://jetcards.uk/collections/magic-the-gathering/products/magic-the-gathering-bloomburrow-collector-booster-box-12-packs</t>
  </si>
  <si>
    <t>https://jetcards.uk/collections/magic-the-gathering/products/magic-the-gathering-bloomburrow-commander-deck-family-matters</t>
  </si>
  <si>
    <t>https://jetcards.uk/collections/magic-the-gathering/products/magic-the-gathering-bloomburrow-commander-deck-peace-offering</t>
  </si>
  <si>
    <t>https://jetcards.uk/collections/magic-the-gathering/products/magic-the-gathering-bloomburrow-play-booster-box-36-packs</t>
  </si>
  <si>
    <t>https://jetcards.uk/collections/magic-the-gathering/products/magic-the-gathering-bloomburrow-commander-deck-squirreled-away</t>
  </si>
  <si>
    <t>https://jetcards.uk/collections/magic-the-gathering/products/magic-the-gathering-commander-masters-collector-booster-box-4-packs</t>
  </si>
  <si>
    <t>https://jetcards.uk/collections/magic-the-gathering/products/magic-the-gathering-commander-masters-set-booster-box-24-packs</t>
  </si>
  <si>
    <t>Latest</t>
  </si>
  <si>
    <t>Card Market UGluck</t>
  </si>
  <si>
    <t>Card Market CARDITshop</t>
  </si>
  <si>
    <t>Loaded Dice</t>
  </si>
  <si>
    <t>https://www.loadeddice.uk/products/magic-the-gathering-aetherdrift-commander-deck-eternal-might-pre-order</t>
  </si>
  <si>
    <t>https://www.loadeddice.uk/products/magic-the-gathering-aetherdrift-commander-deck-living-energy-pre-order</t>
  </si>
  <si>
    <t>https://www.loadeddice.uk/products/magic-the-gathering-avatar-the-last-airbender-play-booster-box</t>
  </si>
  <si>
    <t>https://www.loadeddice.uk/products/mtg-edge-of-eternities-commander-deck-counter-intelligence</t>
  </si>
  <si>
    <t>https://www.loadeddice.uk/products/magic-the-gathering-edge-of-eternities-play-booster-box</t>
  </si>
  <si>
    <t>https://www.loadeddice.uk/products/mtg-edge-of-eternities-commander-deck-world-shaper</t>
  </si>
  <si>
    <t>https://www.loadeddice.uk/products/magic-the-gathering-final-fantasy-collector-booster-box</t>
  </si>
  <si>
    <t>https://www.loadeddice.uk/products/magic-the-gathering-foundations-play-booster-box-release-date-15-11-24</t>
  </si>
  <si>
    <t>https://www.loadeddice.uk/products/magic-the-gathering-innistrad-remastered-collector-booster-box-release-date-24-01-25</t>
  </si>
  <si>
    <t>https://www.loadeddice.uk/products/mtg-lorwyn-eclipsed-commander-deck-blight-curse</t>
  </si>
  <si>
    <t>https://www.loadeddice.uk/products/mtg-lorwyn-eclipsed-commander-deck-dance-of-the-elements</t>
  </si>
  <si>
    <t>https://www.loadeddice.uk/products/mtg-lorwyn-eclipsed-play-booster-box</t>
  </si>
  <si>
    <t>https://www.loadeddice.uk/products/mtg-marvels-spider-man-play-booster-box</t>
  </si>
  <si>
    <t>https://www.loadeddice.uk/products/mtg-marvel-super-heroes-collector-commander-deck-avengers-assemble</t>
  </si>
  <si>
    <t>https://www.loadeddice.uk/products/mtg-marvel-super-heroes-commander-deck-avengers-assemble</t>
  </si>
  <si>
    <t>https://www.loadeddice.uk/products/magic-the-gathering-marvel-super-heroes-collector-booster-box</t>
  </si>
  <si>
    <t>https://www.loadeddice.uk/products/mtg-marvel-super-heroes-collector-commander-deck-doom-prevails</t>
  </si>
  <si>
    <t>https://www.loadeddice.uk/products/mtg-marvel-super-heroes-commander-deck-doom-prevails</t>
  </si>
  <si>
    <t>https://www.loadeddice.uk/products/magic-the-gathering-marvel-super-heroes-play-booster-box</t>
  </si>
  <si>
    <t>https://www.loadeddice.uk/products/mtg-marvel-super-heroes-collector-commander-deck-the-fantastic-four</t>
  </si>
  <si>
    <t>https://www.loadeddice.uk/products/mtg-marvel-super-heroes-commander-deck-the-fantastic-four</t>
  </si>
  <si>
    <t>https://www.loadeddice.uk/products/mtg-marvel-super-heroes-collector-commander-deck-wakanda-forever</t>
  </si>
  <si>
    <t>https://www.loadeddice.uk/products/mtg-marvel-super-heroes-commander-deck-wakanda-forever</t>
  </si>
  <si>
    <t>https://www.loadeddice.uk/products/magic-the-gathering-modern-horizons-3-play-booster-box</t>
  </si>
  <si>
    <t>https://www.loadeddice.uk/products/magic-the-gathering-phyrexia-all-will-be-one-set-booster-box</t>
  </si>
  <si>
    <t>https://www.loadeddice.uk/products/magic-the-gathering-ravnica-remastered-collector-booster-box</t>
  </si>
  <si>
    <t>https://www.loadeddice.uk/products/magic-the-gathering-tarkir-dragonstorm-commander-deck-abzan-armor-pre-order</t>
  </si>
  <si>
    <t>https://www.loadeddice.uk/products/magic-the-gathering-tarkir-dragonstorm-commander-deck-jeskai-striker-pre-order</t>
  </si>
  <si>
    <t>https://www.loadeddice.uk/products/magic-the-gathering-tarkir-dragonstorm-commander-deck-mardu-surge-pre-order</t>
  </si>
  <si>
    <t>https://www.loadeddice.uk/products/magic-the-gathering-tarkir-dragonstorm-commander-deck-temur-roar-pre-order</t>
  </si>
  <si>
    <t>https://www.loadeddice.uk/products/mtg-teenage-mutant-ninja-turtles-play-booster-box</t>
  </si>
  <si>
    <t>https://www.loadeddice.uk/products/magic-the-gathering-lord-of-the-rings-tales-of-middle-earth-set-booster-box</t>
  </si>
  <si>
    <t>https://www.loadeddice.uk/products/magic-the-gathering-lost-caverns-of-ixalan-set-booster-box-release-date-17-11-23</t>
  </si>
  <si>
    <t>London Magic Traders</t>
  </si>
  <si>
    <t>https://londonmagictraders.com/products/living-energy-commander-deck-aetherdrift-mtg-sealed-1</t>
  </si>
  <si>
    <t>https://londonmagictraders.com/products/animated-army-commander-deck-bloomburrow-mtg-sealed</t>
  </si>
  <si>
    <t>https://londonmagictraders.com/products/family-matters-commander-deck-bloomburrow-mtg-sealed</t>
  </si>
  <si>
    <t>https://londonmagictraders.com/products/counter-blitz-commander-deck-final-fantasy-magic-mtg-sealed</t>
  </si>
  <si>
    <t>https://londonmagictraders.com/products/limit-break-commander-deck-final-fantasy-magic-mtg-sealed</t>
  </si>
  <si>
    <t>https://londonmagictraders.com/products/revival-trance-commander-deck-final-fantasy-magic-mtg-sealed</t>
  </si>
  <si>
    <t>https://londonmagictraders.com/products/scions-spellcraft-commander-deck-final-fantasy-magic-mtg-sealed</t>
  </si>
  <si>
    <t>https://londonmagictraders.com/products/graveyard-overdrive-deck-commander-modern-horizons-3-mtg-sealed-1</t>
  </si>
  <si>
    <t>https://londonmagictraders.com/products/abzan-armor-commander-deck-tarkir-dragonstorm-mtg-sealed</t>
  </si>
  <si>
    <t>https://londonmagictraders.com/products/mardu-surge-commander-deck-tarkir-dragonstorm-mtg-sealed</t>
  </si>
  <si>
    <t>https://londonmagictraders.com/products/sultai-arisen-commander-deck-tarkir-dragonstorm-mtg-sealed</t>
  </si>
  <si>
    <t>https://londonmagictraders.com/products/explorers-of-the-deep-commander-deck-the-lost-caverns-of-ixalan-mtg-sealed-1</t>
  </si>
  <si>
    <t>Magic Madhouse</t>
  </si>
  <si>
    <t>https://magicmadhouse.co.uk/magic-the-gathering-aetherdrift-commander-deck-living-energy-aetherdrift</t>
  </si>
  <si>
    <t>https://magicmadhouse.co.uk/magic-the-gathering-bloomburrow-commander-deck-animated-army-bloomburrow</t>
  </si>
  <si>
    <t>https://magicmadhouse.co.uk/magic-the-gathering-bloomburrow-commander-deck-family-matters-bloomburrow</t>
  </si>
  <si>
    <t>https://magicmadhouse.co.uk/magic-the-gathering-bloomburrow-commander-deck-peace-offering-bloomburrow</t>
  </si>
  <si>
    <t>https://magicmadhouse.co.uk/magic-the-gathering-bloomburrow-commander-deck-squirreled-away-bloomburrow</t>
  </si>
  <si>
    <t>https://magicmadhouse.co.uk/magic-the-gathering-commander-legends-battle-for-baldurs-gate-commander-deck-draconic-dissent-commander-legends-battle-for-baldurs-gate</t>
  </si>
  <si>
    <t>https://magicmadhouse.co.uk/magic-the-gathering-commander-legends-battle-for-baldurs-gate-commander-deck-exit-from-exile-commander-legends-battle-for-baldurs-gate</t>
  </si>
  <si>
    <t>https://magicmadhouse.co.uk/magic-the-gathering-commander-masters-commander-deck-enduring-enchantments-commander-masters</t>
  </si>
  <si>
    <t>https://magicmadhouse.co.uk/magic-the-gathering-commander-masters-commander-deck-planeswalker-party-commander-masters</t>
  </si>
  <si>
    <t>https://magicmadhouse.co.uk/magic-the-gathering-commander-masters-commander-deck-sliver-swarm-commander-masters</t>
  </si>
  <si>
    <t>https://magicmadhouse.co.uk/magic-the-gathering-doctor-who-commander-deck-blast-from-the-past-universes-beyond-doctor-who</t>
  </si>
  <si>
    <t>https://magicmadhouse.co.uk/magic-the-gathering-doctor-who-commander-deck-masters-of-evil-universes-beyond-doctor-who</t>
  </si>
  <si>
    <t>https://magicmadhouse.co.uk/magic-the-gathering-doctor-who-commander-deck-paradox-power-universes-beyond-doctor-who</t>
  </si>
  <si>
    <t>https://magicmadhouse.co.uk/magic-the-gathering-doctor-who-commander-deck-timey-wimey-universes-beyond-doctor-who</t>
  </si>
  <si>
    <t>https://magicmadhouse.co.uk/magic-the-gathering-edge-of-eternities-commander-deck-counter-intelligence-edge-of-eternities</t>
  </si>
  <si>
    <t>https://magicmadhouse.co.uk/magic-the-gathering-edge-of-eternities-commander-deck-world-shaper-edge-of-eternities</t>
  </si>
  <si>
    <t>https://magicmadhouse.co.uk/magic-the-gathering-fallout-commander-deck-mutant-menace-universes-beyond-fallout</t>
  </si>
  <si>
    <t>https://magicmadhouse.co.uk/magic-the-gathering-fallout-commander-deck-science-universes-beyond-fallout</t>
  </si>
  <si>
    <t>https://magicmadhouse.co.uk/magic-the-gathering-fallout-commander-deck-scrappy-survivors-universes-beyond-fallout</t>
  </si>
  <si>
    <t>https://magicmadhouse.co.uk/magic-the-gathering-final-fantasy-commander-deck-counter-blitz-final-fantasy</t>
  </si>
  <si>
    <t>https://magicmadhouse.co.uk/magic-the-gathering-final-fantasy-commander-deck-limit-break-final-fantasy</t>
  </si>
  <si>
    <t>https://magicmadhouse.co.uk/magic-the-gathering-final-fantasy-commander-deck-revival-trance-final-fantasy</t>
  </si>
  <si>
    <t>https://magicmadhouse.co.uk/magic-the-gathering-final-fantasy-commander-deck-scions-spellcraft-final-fantasy</t>
  </si>
  <si>
    <t>https://magicmadhouse.co.uk/magic-the-gathering-kamigawa-neon-dynasty-commander-deck-buckle-up-kamigawa-neon-dynasty</t>
  </si>
  <si>
    <t>https://magicmadhouse.co.uk/magic-the-gathering-kamigawa-neon-dynasty-commander-deck-upgrades-unleashed-kamigawa-neon-dynasty</t>
  </si>
  <si>
    <t>https://magicmadhouse.co.uk/magic-the-gathering-march-of-the-machine-commander-deck-tinker-time-march-of-the-machine</t>
  </si>
  <si>
    <t>https://magicmadhouse.co.uk/magic-the-gathering-modern-horizons-3-commander-deck-creative-energy-modern-horizons-3</t>
  </si>
  <si>
    <t>https://magicmadhouse.co.uk/magic-the-gathering-modern-horizons-3-commander-deck-eldrazi-incursion-modern-horizons-3</t>
  </si>
  <si>
    <t>https://magicmadhouse.co.uk/magic-the-gathering-modern-horizons-3-commander-deck-graveyard-overdrive-modern-horizons-3</t>
  </si>
  <si>
    <t>https://magicmadhouse.co.uk/magic-the-gathering-modern-horizons-3-commander-deck-tricky-terrain-modern-horizons-3</t>
  </si>
  <si>
    <t>https://magicmadhouse.co.uk/magic-the-gathering-murders-at-karlov-manor-commander-deck-deadly-disguise-murders-at-karlov-manor</t>
  </si>
  <si>
    <t>https://magicmadhouse.co.uk/magic-the-gathering-outlaws-of-thunder-junction-commander-deck-desert-bloom-outlaws-of-thunder-junction</t>
  </si>
  <si>
    <t>https://magicmadhouse.co.uk/magic-the-gathering-outlaws-of-thunder-junction-commander-deck-grand-larceny-outlaws-of-thunder-junction</t>
  </si>
  <si>
    <t>https://magicmadhouse.co.uk/magic-the-gathering-outlaws-of-thunder-junction-commander-deck-most-wanted-outlaws-of-thunder-junction</t>
  </si>
  <si>
    <t>https://magicmadhouse.co.uk/magic-the-gathering-phyrexia-all-will-be-one-commander-deck-corrupting-influence-phyrexia-all-will-be-one</t>
  </si>
  <si>
    <t>https://magicmadhouse.co.uk/magic-the-gathering-streets-of-new-capenna-commander-deck-bedecked-brokers-streets-of-new-capenna</t>
  </si>
  <si>
    <t>https://magicmadhouse.co.uk/magic-the-gathering-tarkir-dragonstorm-commander-deck-abzan-armor-tarkir-dragonstorm</t>
  </si>
  <si>
    <t>https://magicmadhouse.co.uk/magic-the-gathering-tarkir-dragonstorm-commander-deck-jeskai-striker-tarkir-dragonstorm</t>
  </si>
  <si>
    <t>https://magicmadhouse.co.uk/magic-the-gathering-tarkir-dragonstorm-commander-deck-sultai-arisen-tarkir-dragonstorm</t>
  </si>
  <si>
    <t>https://magicmadhouse.co.uk/magic-the-gathering-tarkir-dragonstorm-commander-deck-temur-roar-tarkir-dragonstorm</t>
  </si>
  <si>
    <t>https://magicmadhouse.co.uk/magic-the-gathering-the-brothers-war-commander-deck-mishras-burnished-banner-the-brothers-war</t>
  </si>
  <si>
    <t>https://magicmadhouse.co.uk/magic-the-gathering-lost-caverns-of-ixalan-commander-deck-blood-rites-lost-caverns-of-ixalan</t>
  </si>
  <si>
    <t>https://magicmadhouse.co.uk/magic-the-gathering-lost-caverns-of-ixalan-commander-deck-explorers-of-the-deep-lost-caverns-of-ixalan</t>
  </si>
  <si>
    <t>https://magicmadhouse.co.uk/magic-the-gathering-lost-caverns-of-ixalan-commander-deck-veloci-ramp-tor-lost-caverns-of-ixalan</t>
  </si>
  <si>
    <t>Muddle It</t>
  </si>
  <si>
    <t>New Realities Gaming</t>
  </si>
  <si>
    <t>https://www.newrealitiesgaming.com/product/magic-the-gathering-aetherdrift-collector-booster-box/2485?cp=true&amp;sa=false&amp;sbp=false&amp;q=false&amp;category_id=LFRBPSLQVSXEQAZ7GZ4Y7DIU</t>
  </si>
  <si>
    <t>https://www.newrealitiesgaming.com/product/magic-the-gathering-aetherdrift-play-booster-box/2484?cp=true&amp;sa=false&amp;sbp=false&amp;q=false&amp;category_id=LFRBPSLQVSXEQAZ7GZ4Y7DIU</t>
  </si>
  <si>
    <t>https://www.newrealitiesgaming.com/product/magic-the-gathering-assassins-creed-beyond-booster-box/931?cp=true&amp;sa=false&amp;sbp=false&amp;q=false&amp;category_id=LFRBPSLQVSXEQAZ7GZ4Y7DIU</t>
  </si>
  <si>
    <t>https://www.newrealitiesgaming.com/product/magic-the-gathering-assassins-creed-collector-booster-box/934?cp=true&amp;sa=false&amp;sbp=false&amp;q=false&amp;category_id=LFRBPSLQVSXEQAZ7GZ4Y7DIU</t>
  </si>
  <si>
    <t>https://www.newrealitiesgaming.com/product/magic-the-gathering-avatar-the-last-airbender-collector-booster-box/BQYJY3ZJHLW5KCM72AWXKM5Q?cp=true&amp;sa=false&amp;sbp=false&amp;q=false&amp;category_id=LFRBPSLQVSXEQAZ7GZ4Y7DIU</t>
  </si>
  <si>
    <t>https://www.newrealitiesgaming.com/product/magic-the-gathering-avatar-the-last-airbender-play-booster-box/KRYGO6TLQPL6XFOGRKDVDXY7?cp=true&amp;sa=false&amp;sbp=false&amp;q=false&amp;category_id=LFRBPSLQVSXEQAZ7GZ4Y7DIU</t>
  </si>
  <si>
    <t>https://www.newrealitiesgaming.com/product/magic-the-gathering-bloomburrow-play-booster-box/973?cp=true&amp;sa=false&amp;sbp=false&amp;q=false&amp;category_id=LFRBPSLQVSXEQAZ7GZ4Y7DIU</t>
  </si>
  <si>
    <t>https://www.newrealitiesgaming.com/product/mtg-commander-masters-set-booster-box/XQ2HPI6U4BF6SPNH2F4CFBGP?cp=true&amp;sa=false&amp;sbp=false&amp;q=false&amp;category_id=LFRBPSLQVSXEQAZ7GZ4Y7DIU</t>
  </si>
  <si>
    <t>https://www.newrealitiesgaming.com/product/magic-the-gathering-doctor-who-commander-deck-blast-from-the-past/2783?cp=true&amp;sa=false&amp;sbp=false&amp;q=false&amp;category_id=WURPHNIAJY3EMKY2GR74TAZH</t>
  </si>
  <si>
    <t>https://www.newrealitiesgaming.com/product/magic-the-gathering-doctor-who-commander-deck-masters-of-evil/2781?cp=true&amp;sa=false&amp;sbp=false&amp;q=false&amp;category_id=WURPHNIAJY3EMKY2GR74TAZH</t>
  </si>
  <si>
    <t>https://www.newrealitiesgaming.com/product/magic-the-gathering-doctor-who-commander-deck-timey-wimey/2782?cp=true&amp;sa=false&amp;sbp=false&amp;q=false&amp;category_id=WURPHNIAJY3EMKY2GR74TAZH</t>
  </si>
  <si>
    <t>https://www.newrealitiesgaming.com/product/magic-the-gathering-dominaria-united-set-booster-box/MXI2762SHRCYUMYFEKGZM2GT?cp=true&amp;sa=false&amp;sbp=false&amp;q=false&amp;category_id=LFRBPSLQVSXEQAZ7GZ4Y7DIU</t>
  </si>
  <si>
    <t>https://www.newrealitiesgaming.com/product/magic-the-gathering-duskmourn-play-booster-box/1165?cp=true&amp;sa=false&amp;sbp=false&amp;q=false&amp;category_id=LFRBPSLQVSXEQAZ7GZ4Y7DIU</t>
  </si>
  <si>
    <t>https://www.newrealitiesgaming.com/product/magic-the-gathering-edge-of-eternities-collector-booster-box/2864?cp=true&amp;sa=false&amp;sbp=false&amp;q=false&amp;category_id=LFRBPSLQVSXEQAZ7GZ4Y7DIU</t>
  </si>
  <si>
    <t>https://www.newrealitiesgaming.com/product/magic-the-gathering-edge-of-eternities-commander-deck-counter-intelligence/2867?cp=true&amp;sa=false&amp;sbp=false&amp;q=false&amp;category_id=WURPHNIAJY3EMKY2GR74TAZH</t>
  </si>
  <si>
    <t>https://www.newrealitiesgaming.com/product/magic-the-gathering-edge-of-eternities-commander-deck-world-shaper/2875?cp=true&amp;sa=false&amp;sbp=false&amp;q=false&amp;category_id=WURPHNIAJY3EMKY2GR74TAZH</t>
  </si>
  <si>
    <t>https://www.newrealitiesgaming.com/product/magic-the-gathering-final-fantasy-commander-deck-counter-blitz/2772?cp=true&amp;sa=false&amp;sbp=false&amp;q=false&amp;category_id=WURPHNIAJY3EMKY2GR74TAZH</t>
  </si>
  <si>
    <t>https://www.newrealitiesgaming.com/product/magic-the-gathering-final-fantasy-commander-deck-limit-break/2769?cp=true&amp;sa=false&amp;sbp=false&amp;q=false&amp;category_id=WURPHNIAJY3EMKY2GR74TAZH</t>
  </si>
  <si>
    <t>https://www.newrealitiesgaming.com/product/magic-the-gathering-final-fantasy-play-booster-box/2764?cp=true&amp;sa=false&amp;sbp=false&amp;q=false&amp;category_id=LFRBPSLQVSXEQAZ7GZ4Y7DIU</t>
  </si>
  <si>
    <t>https://www.newrealitiesgaming.com/product/magic-the-gathering-final-fantasy-commander-deck-revival-trance/2770?cp=true&amp;sa=false&amp;sbp=false&amp;q=false&amp;category_id=WURPHNIAJY3EMKY2GR74TAZH</t>
  </si>
  <si>
    <t>https://www.newrealitiesgaming.com/product/magic-the-gathering-final-fantasy-commander-deck-scions-spellcraft/2771?cp=true&amp;sa=false&amp;sbp=false&amp;q=false&amp;category_id=WURPHNIAJY3EMKY2GR74TAZH</t>
  </si>
  <si>
    <t>https://www.newrealitiesgaming.com/product/magic-the-gathering-foundations-play-booster-box/1558?cp=true&amp;sa=false&amp;sbp=false&amp;q=false&amp;category_id=LFRBPSLQVSXEQAZ7GZ4Y7DIU</t>
  </si>
  <si>
    <t>https://www.newrealitiesgaming.com/product/magic-the-gathering-innistrad-remastered-collector-booster-box/2304?cp=true&amp;sa=false&amp;sbp=false&amp;q=false&amp;category_id=LFRBPSLQVSXEQAZ7GZ4Y7DIU</t>
  </si>
  <si>
    <t>https://www.newrealitiesgaming.com/product/magic-the-gathering-innistrad-remastered-play-booster-box/2302?cp=true&amp;sa=false&amp;sbp=false&amp;q=false&amp;category_id=LFRBPSLQVSXEQAZ7GZ4Y7DIU</t>
  </si>
  <si>
    <t>https://www.newrealitiesgaming.com/product/magic-the-gathering-kaldheim-collector-booster-box/3087?cp=true&amp;sa=false&amp;sbp=false&amp;q=false&amp;category_id=LFRBPSLQVSXEQAZ7GZ4Y7DIU</t>
  </si>
  <si>
    <t>https://www.newrealitiesgaming.com/product/magic-the-gathering-kamigawa-neon-dynasty-set-booster-box/2688?cp=true&amp;sa=false&amp;sbp=false&amp;q=false&amp;category_id=LFRBPSLQVSXEQAZ7GZ4Y7DIU</t>
  </si>
  <si>
    <t>https://www.newrealitiesgaming.com/product/magic-the-gathering-kamigawa-neon-dynasty-commander-deck-upgrades-unleashed/U4B4C6PUYKO2IBALQO7RDQBV?cp=true&amp;sa=false&amp;sbp=false&amp;q=false&amp;category_id=WURPHNIAJY3EMKY2GR74TAZH</t>
  </si>
  <si>
    <t>https://www.newrealitiesgaming.com/product/magic-the-gathering-lorwyn-eclipsed-commander-deck-blight-curse/USAWW4XGZP64B5XJSENZVYLW?cp=true&amp;sa=false&amp;sbp=false&amp;q=false&amp;category_id=WURPHNIAJY3EMKY2GR74TAZH</t>
  </si>
  <si>
    <t>https://www.newrealitiesgaming.com/product/magic-the-gathering-lorwyn-eclipsed-collector-booster-box/WKWMT7GCPFL3NW66PTBCPSUZ?cp=true&amp;sa=false&amp;sbp=false&amp;q=false&amp;category_id=LFRBPSLQVSXEQAZ7GZ4Y7DIU</t>
  </si>
  <si>
    <t>https://www.newrealitiesgaming.com/product/magic-the-gathering-lorwyn-eclipsed-commander-deck-dance-of-the-elements/UATPMW4ULPFLTZHRQGWSH43K?cp=true&amp;sa=false&amp;sbp=false&amp;q=false&amp;category_id=WURPHNIAJY3EMKY2GR74TAZH</t>
  </si>
  <si>
    <t>https://www.newrealitiesgaming.com/product/magic-the-gathering-marvel-s-spider-man-collector-booster-box/2877?cp=true&amp;sa=false&amp;sbp=false&amp;q=false&amp;category_id=LFRBPSLQVSXEQAZ7GZ4Y7DIU</t>
  </si>
  <si>
    <t>https://www.newrealitiesgaming.com/product/magic-the-gathering-marvel-s-spider-man-play-booster-box/2881?cp=true&amp;sa=false&amp;sbp=false&amp;q=false&amp;category_id=LFRBPSLQVSXEQAZ7GZ4Y7DIU</t>
  </si>
  <si>
    <t>https://www.newrealitiesgaming.com/product/magic-the-gathering-modern-horizons-2-collector-booster-box/3089?cp=true&amp;sa=false&amp;sbp=false&amp;q=false&amp;category_id=LFRBPSLQVSXEQAZ7GZ4Y7DIU</t>
  </si>
  <si>
    <t>https://www.newrealitiesgaming.com/product/magic-the-gathering-modern-horizons-3-play-booster-box/758?cp=true&amp;sa=false&amp;sbp=false&amp;q=false&amp;category_id=LFRBPSLQVSXEQAZ7GZ4Y7DIU</t>
  </si>
  <si>
    <t>https://www.newrealitiesgaming.com/product/magic-the-gathering-murders-at-karlov-manor-collector-booster-box/617?cp=true&amp;sa=false&amp;sbp=false&amp;q=false&amp;category_id=LFRBPSLQVSXEQAZ7GZ4Y7DIU</t>
  </si>
  <si>
    <t>https://www.newrealitiesgaming.com/product/magic-the-gathering-muders-at-karlov-manor-play-booster-box/619?cp=true&amp;sa=false&amp;sbp=false&amp;q=false&amp;category_id=LFRBPSLQVSXEQAZ7GZ4Y7DIU</t>
  </si>
  <si>
    <t>https://www.newrealitiesgaming.com/product/magic-the-gathering-outlaws-of-thunder-junction-collector-booster-box/722?cp=true&amp;sa=false&amp;sbp=false&amp;q=false&amp;category_id=LFRBPSLQVSXEQAZ7GZ4Y7DIU</t>
  </si>
  <si>
    <t>https://www.newrealitiesgaming.com/product/magic-the-gathering-outlaws-of-thunder-junction-play-booster-box/724?cp=true&amp;sa=false&amp;sbp=false&amp;q=false&amp;category_id=LFRBPSLQVSXEQAZ7GZ4Y7DIU</t>
  </si>
  <si>
    <t>https://www.newrealitiesgaming.com/product/magic-the-gathering-ravnica-remastered-draft-booster-box/600?cp=true&amp;sa=false&amp;sbp=false&amp;q=false&amp;category_id=LFRBPSLQVSXEQAZ7GZ4Y7DIU</t>
  </si>
  <si>
    <t>https://www.newrealitiesgaming.com/product/magic-the-gathering-streets-of-new-capenna-commander-deck-bedecked-brokers/IATSIJD7U7KSMD6H7ZGK7QZH?cp=true&amp;sa=false&amp;sbp=false&amp;q=false&amp;category_id=WURPHNIAJY3EMKY2GR74TAZH</t>
  </si>
  <si>
    <t>https://www.newrealitiesgaming.com/product/mtg-c-streets-of-new-capenna-commander-deck-cabaretti-cacophony/K3QLOPYHL4KLR7WNK7MM5YQL?cp=true&amp;sa=false&amp;sbp=false&amp;q=false&amp;category_id=WURPHNIAJY3EMKY2GR74TAZH</t>
  </si>
  <si>
    <t>https://www.newrealitiesgaming.com/product/magic-the-gathering-streets-of-new-capenna-commander-deck-maestros-massacre/Q2APUX4BP5DU2Q2BXIMCANW3?cp=true&amp;sa=false&amp;sbp=false&amp;q=false&amp;category_id=WURPHNIAJY3EMKY2GR74TAZH</t>
  </si>
  <si>
    <t>https://www.newrealitiesgaming.com/product/magic-the-gathering-streets-of-new-capenna-commander-deck-obscura-operation/U5233TTN3HULWDDIC5HUUEG7?cp=true&amp;sa=false&amp;sbp=false&amp;q=false&amp;category_id=WURPHNIAJY3EMKY2GR74TAZH</t>
  </si>
  <si>
    <t>https://www.newrealitiesgaming.com/product/magic-the-gathering-streets-of-new-capenna-commander-deck-riveteer-s-rampage/EFVBQ5IIFDNY6FCO64V4KRH7?cp=true&amp;sa=false&amp;sbp=false&amp;q=false&amp;category_id=WURPHNIAJY3EMKY2GR74TAZH</t>
  </si>
  <si>
    <t>https://www.newrealitiesgaming.com/product/magic-the-gathering-strixhaven-collector-booster-box/3088?cp=true&amp;sa=false&amp;sbp=false&amp;q=false&amp;category_id=LFRBPSLQVSXEQAZ7GZ4Y7DIU</t>
  </si>
  <si>
    <t>https://www.newrealitiesgaming.com/product/magic-the-gathering-tarkir-dragonstorm-commander-deck-abzan-armor/2789?cp=true&amp;sa=false&amp;sbp=false&amp;q=false&amp;category_id=WURPHNIAJY3EMKY2GR74TAZH</t>
  </si>
  <si>
    <t>https://www.newrealitiesgaming.com/product/magic-the-gathering-tarkir-dragonstorm-commander-deck-jeskai-striker/2790?cp=true&amp;sa=false&amp;sbp=false&amp;q=false&amp;category_id=WURPHNIAJY3EMKY2GR74TAZH</t>
  </si>
  <si>
    <t>https://www.newrealitiesgaming.com/product/magic-the-gathering-tarkir-dragonstorm-commander-deck-mardu-surge/2792?cp=true&amp;sa=false&amp;sbp=false&amp;q=false&amp;category_id=WURPHNIAJY3EMKY2GR74TAZH</t>
  </si>
  <si>
    <t>https://www.newrealitiesgaming.com/product/magic-the-gathering-tarkir-dragonstorm-commander-deck-sultai-arisen/2791?cp=true&amp;sa=false&amp;sbp=false&amp;q=false&amp;category_id=WURPHNIAJY3EMKY2GR74TAZH</t>
  </si>
  <si>
    <t>https://www.newrealitiesgaming.com/product/magic-the-gathering-tarkir-dragonstorm-commander-deck-temur-roar/2793?cp=true&amp;sa=false&amp;sbp=false&amp;q=false&amp;category_id=WURPHNIAJY3EMKY2GR74TAZH</t>
  </si>
  <si>
    <t>https://www.newrealitiesgaming.com/product/magic-the-gathering-tarkir-dragonstorm-collector-booster-box/2786?cp=true&amp;sa=false&amp;sbp=false&amp;q=false&amp;category_id=LFRBPSLQVSXEQAZ7GZ4Y7DIU</t>
  </si>
  <si>
    <t>https://www.newrealitiesgaming.com/product/magic-the-gathering-lord-of-the-rings-set-booster-box/876?cp=true&amp;sa=false&amp;sbp=false&amp;q=false&amp;category_id=LFRBPSLQVSXEQAZ7GZ4Y7DIU</t>
  </si>
  <si>
    <t>https://www.newrealitiesgaming.com/product/magic-the-gathering-lost-caverns-of-ixalan-set-booster-box/1103?cp=true&amp;sa=false&amp;sbp=false&amp;q=false&amp;category_id=LFRBPSLQVSXEQAZ7GZ4Y7DIU</t>
  </si>
  <si>
    <t>Plus Marketing</t>
  </si>
  <si>
    <t>The Game Collection</t>
  </si>
  <si>
    <t>https://collect.thegamecollection.net/products/magic-the-gathering-assassin-s-creed-beyond-booster-box</t>
  </si>
  <si>
    <t>https://collect.thegamecollection.net/products/magic-the-gathering-assassins-creed-collector-booster-box-12-pcs</t>
  </si>
  <si>
    <t>https://collect.thegamecollection.net/products/magic-the-gathering-avatar-the-last-airbender-play-booster</t>
  </si>
  <si>
    <t>https://collect.thegamecollection.net/products/magic-the-gathering-bloomburrow-play-booster-36-count</t>
  </si>
  <si>
    <t>https://collect.thegamecollection.net/products/magic-the-gathering-duskmourn-house-of-horror-commander-deck-death-toll</t>
  </si>
  <si>
    <t>https://collect.thegamecollection.net/products/magic-the-gathering-duskmourn-house-of-horror-play-booster-36-count</t>
  </si>
  <si>
    <t>https://collect.thegamecollection.net/products/magic-the-gathering-edge-of-eternities-collector-booster-12-count</t>
  </si>
  <si>
    <t>https://collect.thegamecollection.net/products/magic-the-gathering-edge-of-eternities-commander-deck-counter-intelligence</t>
  </si>
  <si>
    <t>https://collect.thegamecollection.net/products/magic-the-gathering-edge-of-eternities-play-booster-30-count</t>
  </si>
  <si>
    <t>https://collect.thegamecollection.net/products/magic-the-gathering-edge-of-eternities-commander-deck-world-shaper</t>
  </si>
  <si>
    <t>https://collect.thegamecollection.net/products/magic-the-gathering-fallout-commander-deck-hail-caesar</t>
  </si>
  <si>
    <t>https://collect.thegamecollection.net/products/magic-the-gathering-fallout-commander-deck-science</t>
  </si>
  <si>
    <t>https://collect.thegamecollection.net/products/magic-the-gathering-final-fantasy-commander-deck-counter-blitz</t>
  </si>
  <si>
    <t>https://collect.thegamecollection.net/products/magic-the-gathering-final-fantasy-commander-deck-limit-break</t>
  </si>
  <si>
    <t>https://collect.thegamecollection.net/products/magic-the-gathering-final-fantasy-play-booster-30-count-1</t>
  </si>
  <si>
    <t>https://collect.thegamecollection.net/products/magic-the-gathering-final-fantasy-commander-deck-revival-trance</t>
  </si>
  <si>
    <t>https://collect.thegamecollection.net/products/magic-the-gathering-final-fantasy-commander-deck-scions-spellcraft</t>
  </si>
  <si>
    <t>https://collect.thegamecollection.net/products/magic-the-gathering-foundations-play-booster-box-36-pcs</t>
  </si>
  <si>
    <t>https://collect.thegamecollection.net/products/magic-the-gathering-lorwyn-eclipsed-commander-deck-blight-curse</t>
  </si>
  <si>
    <t>https://collect.thegamecollection.net/products/magic-the-gathering-lorwyn-eclipsed-collector-booster-12-count</t>
  </si>
  <si>
    <t>https://collect.thegamecollection.net/products/magic-the-gathering-lorwyn-eclipsed-commander-deck-dance-of-the-elements</t>
  </si>
  <si>
    <t>https://collect.thegamecollection.net/products/magic-the-gathering-lorwyn-eclipsed-play-booster-30-count</t>
  </si>
  <si>
    <t>https://collect.thegamecollection.net/products/magic-the-gathering-lorwyn-eclipsed-play-booster-30-count-1</t>
  </si>
  <si>
    <t>https://collect.thegamecollection.net/products/magic-the-gathering-marvel-spider-man-collector-booster-12-count</t>
  </si>
  <si>
    <t>https://collect.thegamecollection.net/products/magic-the-gathering-marvel-spider-man-play-booster-30-count</t>
  </si>
  <si>
    <t>https://collect.thegamecollection.net/products/magic-the-gathering-marvel-super-heroes-collector-deck-avengers-assemble</t>
  </si>
  <si>
    <t>https://collect.thegamecollection.net/products/magic-the-gathering-marvel-super-heroes-commander-deck-avengers-assemble</t>
  </si>
  <si>
    <t>https://collect.thegamecollection.net/products/magic-the-gathering-marvel-super-heroes-collector-booster-12-count</t>
  </si>
  <si>
    <t>https://collect.thegamecollection.net/products/magic-the-gathering-marvel-super-heroes-collector-deck-doom-prevails</t>
  </si>
  <si>
    <t>https://collect.thegamecollection.net/products/magic-the-gathering-marvel-super-heroes-commander-deck-doom-prevails</t>
  </si>
  <si>
    <t>https://collect.thegamecollection.net/products/magic-the-gathering-marvel-super-heroes-jumpstart-booster-box-24</t>
  </si>
  <si>
    <t>https://collect.thegamecollection.net/products/magic-the-gathering-marvel-super-heroes-play-booster-30-count</t>
  </si>
  <si>
    <t>https://collect.thegamecollection.net/products/magic-the-gathering-marvel-super-heroes-collector-deck-the-fantastic-four</t>
  </si>
  <si>
    <t>https://collect.thegamecollection.net/products/magic-the-gathering-marvel-super-heroes-commander-deck-the-fantastic-four</t>
  </si>
  <si>
    <t>https://collect.thegamecollection.net/products/magic-the-gathering-marvel-super-heroes-collector-deck-wakanda-forever</t>
  </si>
  <si>
    <t>https://collect.thegamecollection.net/products/magic-the-gathering-marvel-super-heroes-commander-deck-wakanda-forever</t>
  </si>
  <si>
    <t>https://collect.thegamecollection.net/products/magic-the-gathering-modern-horizons-iii-commander-deck-creative-energy</t>
  </si>
  <si>
    <t>https://collect.thegamecollection.net/products/magic-the-gathering-modern-horizons-iii-commander-deck-graveyard-overdrive</t>
  </si>
  <si>
    <t>https://collect.thegamecollection.net/products/magic-the-gathering-modern-horizon-3-collector-booster-box-12-pcs</t>
  </si>
  <si>
    <t>https://collect.thegamecollection.net/products/magic-the-gathering-modern-horizons-3-play-booster-36-count</t>
  </si>
  <si>
    <t>https://collect.thegamecollection.net/products/magic-the-gathering-murders-at-karlov-manor-play-booster-36-count</t>
  </si>
  <si>
    <t>https://collect.thegamecollection.net/products/magic-the-gathering-outlaws-of-thunder-junction-play-booster-36-count</t>
  </si>
  <si>
    <t>https://collect.thegamecollection.net/products/magic-the-gathering-phyrexia-all-will-be-one-set-booster-30-count</t>
  </si>
  <si>
    <t>https://collect.thegamecollection.net/products/magic-the-gathering-tarkir-dragonstorm-commander-deck-abzan-armor</t>
  </si>
  <si>
    <t>https://collect.thegamecollection.net/products/magic-the-gathering-tarkir-dragonstorm-commander-deck-jeskai-striker</t>
  </si>
  <si>
    <t>https://collect.thegamecollection.net/products/magic-the-gathering-tarkir-dragonstorm-commander-deck-mardu-surge</t>
  </si>
  <si>
    <t>https://collect.thegamecollection.net/products/magic-the-gathering-tarkir-dragonstorm-commander-deck-sulati-arisen</t>
  </si>
  <si>
    <t>https://collect.thegamecollection.net/products/magic-the-gathering-tarkir-dragonstorm-commander-deck-temur-roar</t>
  </si>
  <si>
    <t>https://collect.thegamecollection.net/products/magic-the-gathering-tarkir-dragonstorm-collector-booster-box</t>
  </si>
  <si>
    <t>https://collect.thegamecollection.net/products/magic-the-gathering-tarkir-dragonstorm-play-booster-30-count</t>
  </si>
  <si>
    <t>https://collect.thegamecollection.net/products/magic-the-gathering-teenage-mutant-ninja-turtles-collectors-booster-display</t>
  </si>
  <si>
    <t>https://collect.thegamecollection.net/products/magic-the-gathering-teenage-mutant-ninja-turtles-play-booster-display</t>
  </si>
  <si>
    <t>https://collect.thegamecollection.net/products/magic-the-gathering-the-lord-of-the-rings-tales-of-middle-earth-set-booster-30-count</t>
  </si>
  <si>
    <t>Total Cards</t>
  </si>
  <si>
    <t>https://totalcards.net/collections/magic-the-gathering-booster-boxes/products/magic-the-gathering-aetherdrift-collector-booster-box-12-packs</t>
  </si>
  <si>
    <t>https://totalcards.net/collections/magic-the-gathering-booster-boxes/products/magic-the-gathering-aetherdrift-play-booster-box-30-packs</t>
  </si>
  <si>
    <t>https://totalcards.net/collections/magic-the-gathering-booster-boxes/products/magic-the-gathering-universes-beyond-assassin-s-creed-beyond-booster-box-24-packs</t>
  </si>
  <si>
    <t>https://totalcards.net/collections/magic-the-gathering-booster-boxes/products/magic-the-gathering-universes-beyond-assassin-s-creed-collector-booster-box-12-packs</t>
  </si>
  <si>
    <t>https://totalcards.net/collections/magic-the-gathering-booster-boxes/products/magic-the-gathering-avatar-the-last-airbender-collector-booster-box-12-packs</t>
  </si>
  <si>
    <t>https://totalcards.net/collections/magic-the-gathering-booster-boxes/products/magic-the-gathering-avatar-the-last-airbender-play-booster-box-30-packs</t>
  </si>
  <si>
    <t>https://totalcards.net/collections/magic-the-gathering-booster-boxes/products/magic-the-gathering-bloomburrow-collector-booster-box-12-packs</t>
  </si>
  <si>
    <t>https://totalcards.net/collections/magic-the-gathering-booster-boxes/products/magic-the-gathering-bloomburrow-play-booster-box-36-packs</t>
  </si>
  <si>
    <t>https://totalcards.net/products/magic-the-gathering-commander-masters-collector-booster-box-4-packs?_pos=3&amp;_sid=bae878257&amp;_ss=r</t>
  </si>
  <si>
    <t>https://totalcards.net/collections/magic-the-gathering-booster-boxes/products/magic-the-gathering-commander-masters-set-booster-box-24-packs</t>
  </si>
  <si>
    <t>https://totalcards.net/collections/magic-the-gathering-booster-boxes/products/magic-the-gathering-dominaria-booster-box</t>
  </si>
  <si>
    <t>https://totalcards.net/collections/magic-the-gathering-booster-boxes/products/magic-the-gathering-dominaria-united-collector-booster-box-12-packs</t>
  </si>
  <si>
    <t>https://totalcards.net/collections/magic-the-gathering-booster-boxes/products/magic-the-gathering-dominaria-united-set-booster-box-30-packs</t>
  </si>
  <si>
    <t>https://totalcards.net/collections/magic-the-gathering-booster-boxes/products/magic-the-gathering-duskmourn-house-of-horror-collector-booster-box-12-packs</t>
  </si>
  <si>
    <t>https://totalcards.net/collections/magic-the-gathering-booster-boxes/products/magic-the-gathering-duskmourn-house-of-horror-play-booster-box-36-packs</t>
  </si>
  <si>
    <t>https://totalcards.net/collections/magic-the-gathering-booster-boxes/products/magic-the-gathering-edge-of-eternities-collector-booster-box-12-packs</t>
  </si>
  <si>
    <t>https://totalcards.net/collections/magic-the-gathering-booster-boxes/products/magic-the-gathering-edge-of-eternities-play-booster-box-30-packs</t>
  </si>
  <si>
    <t>https://totalcards.net/collections/magic-the-gathering-booster-boxes/products/magic-the-gathering-universes-beyond-final-fantasy-collector-booster-box-12-packs</t>
  </si>
  <si>
    <t>https://totalcards.net/collections/magic-the-gathering-booster-boxes/products/magic-the-gathering-universes-beyond-final-fantasy-play-booster-box-30-packs</t>
  </si>
  <si>
    <t>https://totalcards.net/collections/magic-the-gathering-booster-boxes/products/magic-the-gathering-foundations-collector-booster-box-12-packs</t>
  </si>
  <si>
    <t>https://totalcards.net/collections/magic-the-gathering-booster-boxes/products/magic-the-gathering-foundations-play-booster-box-36-packs</t>
  </si>
  <si>
    <t>https://totalcards.net/collections/magic-the-gathering-booster-boxes/products/magic-the-gathering-guilds-of-ravnica-booster-box-36-packs</t>
  </si>
  <si>
    <t>https://totalcards.net/collections/magic-the-gathering-booster-boxes/products/magic-the-gathering-innistrad-remastered-collector-booster-box-12-packs</t>
  </si>
  <si>
    <t>https://totalcards.net/collections/magic-the-gathering-booster-boxes/products/magic-the-gathering-innistrad-remastered-play-booster-box-36-packs</t>
  </si>
  <si>
    <t>https://totalcards.net/collections/magic-the-gathering-booster-boxes/products/magic-the-gathering-innistrad-crimson-vow-collector-booster-box-12-packs</t>
  </si>
  <si>
    <t>https://totalcards.net/collections/magic-the-gathering-booster-boxes/products/magic-the-gathering-innistrad-crimson-vow-set-booster-box-30-packs</t>
  </si>
  <si>
    <t>https://totalcards.net/collections/magic-the-gathering-booster-boxes/products/magic-the-gathering-innistrad-midnight-hunt-collector-booster-box-12-packs</t>
  </si>
  <si>
    <t>https://totalcards.net/collections/magic-the-gathering-booster-boxes/products/magic-the-gathering-innistrad-midnight-hunt-set-booster-box-30-packs</t>
  </si>
  <si>
    <t>https://totalcards.net/collections/magic-the-gathering-booster-boxes/products/magic-the-gathering-kaldheim-collector-booster-box-12-packs</t>
  </si>
  <si>
    <t>https://totalcards.net/collections/magic-the-gathering-booster-boxes/products/magic-the-gathering-kaldheim-set-booster-box-30-packs</t>
  </si>
  <si>
    <t>https://totalcards.net/collections/magic-the-gathering-booster-boxes/products/magic-the-gathering-kamigawa-neon-dynasty-collector-booster-box-12-packs</t>
  </si>
  <si>
    <t>https://totalcards.net/collections/magic-the-gathering-booster-boxes/products/magic-the-gathering-kamigawa-neon-dynasty-set-booster-box-30-packs</t>
  </si>
  <si>
    <t>https://totalcards.net/collections/magic-the-gathering-booster-boxes/products/magic-the-gathering-lorwyn-eclipsed-collector-booster-box-12-packs</t>
  </si>
  <si>
    <t>https://totalcards.net/collections/magic-the-gathering-booster-boxes/products/magic-the-gathering-lorwyn-eclipsed-play-booster-box-30-packs</t>
  </si>
  <si>
    <t>https://totalcards.net/collections/magic-the-gathering-booster-boxes/products/magic-the-gathering-march-of-the-machine-collector-booster-box-12-packs</t>
  </si>
  <si>
    <t>https://totalcards.net/collections/magic-the-gathering-booster-boxes/products/magic-the-gathering-march-of-the-machine-set-booster-box-30-packs</t>
  </si>
  <si>
    <t>https://totalcards.net/collections/magic-the-gathering-booster-boxes/products/magic-the-gathering-marvels-spider-man-collector-booster-box-12-packs</t>
  </si>
  <si>
    <t>https://totalcards.net/collections/magic-the-gathering-booster-boxes/products/magic-the-gathering-marvels-spider-man-play-booster-box-30-packs</t>
  </si>
  <si>
    <t>https://totalcards.net/collections/magic-the-gathering-booster-boxes/products/magic-the-gathering-marvel-super-heroes-collector-booster-box-12-packs</t>
  </si>
  <si>
    <t>https://totalcards.net/collections/magic-the-gathering-booster-boxes/products/magic-the-gathering-marvel-super-heroes-play-booster-box-30-packs</t>
  </si>
  <si>
    <t>https://totalcards.net/collections/magic-the-gathering-booster-boxes/products/magic-the-gathering-modern-horizons-2-collector-booster-box-12-packs</t>
  </si>
  <si>
    <t>https://totalcards.net/collections/magic-the-gathering-booster-boxes/products/magic-the-gathering-modern-horizons-2-set-booster-box-30-packs</t>
  </si>
  <si>
    <t>https://totalcards.net/collections/magic-the-gathering-booster-boxes/products/magic-the-gathering-modern-horizons-3-collector-booster-box-12-packs</t>
  </si>
  <si>
    <t>https://totalcards.net/collections/magic-the-gathering-booster-boxes/products/magic-the-gathering-modern-horizons-3-play-booster-box-36-packs</t>
  </si>
  <si>
    <t>https://totalcards.net/collections/magic-the-gathering-booster-boxes/products/magic-the-gathering-murders-at-karlov-manor-collector-booster-box-12-packs</t>
  </si>
  <si>
    <t>https://totalcards.net/collections/magic-the-gathering-booster-boxes/products/magic-the-gatherinng-murders-at-karlov-manor-play-booster-box-36-packs</t>
  </si>
  <si>
    <t>https://totalcards.net/collections/magic-the-gathering-booster-boxes/products/magic-the-gathering-outlaws-of-thunder-junction-collector-booster-box-12-packs</t>
  </si>
  <si>
    <t>https://totalcards.net/collections/magic-the-gathering-booster-boxes/products/magic-the-gathering-outlaws-of-thunder-junction-play-booster-box-36-packs</t>
  </si>
  <si>
    <t>https://totalcards.net/collections/magic-the-gathering-booster-boxes/products/magic-the-gathering-phyrexia-all-will-be-one-set-booster-box-30-packs</t>
  </si>
  <si>
    <t>https://totalcards.net/collections/magic-the-gathering-booster-boxes/products/magic-the-gathering-ravnica-remastered-collector-booster-box-12-packs</t>
  </si>
  <si>
    <t>https://totalcards.net/collections/magic-the-gathering-booster-boxes/products/magic-the-gathering-ravnica-remastered-draft-booster-box-36-packs</t>
  </si>
  <si>
    <t>https://totalcards.net/collections/magic-the-gathering-booster-boxes/products/magic-the-gathering-rivals-of-ixalan-booster-box</t>
  </si>
  <si>
    <t>https://totalcards.net/collections/magic-the-gathering-booster-boxes/products/magic-the-gathering-streets-of-new-capenna-collector-booster-box-12-packs</t>
  </si>
  <si>
    <t>https://totalcards.net/collections/magic-the-gathering-booster-boxes/products/magic-the-gathering-streets-of-new-capenna-set-booster-box-30-packs</t>
  </si>
  <si>
    <t>https://totalcards.net/collections/magic-the-gathering-booster-boxes/products/magic-the-gathering-strixhaven-school-of-mages-collector-booster-box-12-packs</t>
  </si>
  <si>
    <t>https://totalcards.net/collections/magic-the-gathering-booster-boxes/products/magic-the-gathering-strixhaven-school-of-mages-set-booster-box-30-packs</t>
  </si>
  <si>
    <t>https://totalcards.net/collections/magic-the-gathering-booster-boxes/products/magic-the-gathering-tarkir-dragonstorm-collector-booster-box-12-packs</t>
  </si>
  <si>
    <t>https://totalcards.net/collections/magic-the-gathering-booster-boxes/products/magic-the-gathering-tarkir-dragonstorm-play-booster-box-30-packs</t>
  </si>
  <si>
    <t>https://totalcards.net/collections/magic-the-gathering-booster-boxes/products/magic-the-gathering-universes-beyond-teenage-mutant-ninja-turtles-collector-booster-box-12-packs</t>
  </si>
  <si>
    <t>https://totalcards.net/collections/magic-the-gathering-booster-boxes/products/magic-the-gathering-universes-beyond-teenage-mutant-ninja-turtles-play-booster-box-30-packs</t>
  </si>
  <si>
    <t>https://totalcards.net/collections/magic-the-gathering-booster-boxes/products/magic-the-gathering-the-brothers-war-collector-booster-box-12-packs</t>
  </si>
  <si>
    <t>https://totalcards.net/collections/magic-the-gathering-booster-boxes/products/magic-the-gathering-the-brothers-war-set-booster-box-30-packs</t>
  </si>
  <si>
    <t>https://totalcards.net/collections/magic-the-gathering-booster-boxes/products/magic-the-gathering-the-lord-of-the-rings-tales-of-middle-earth-collector-booster-box-12-packs</t>
  </si>
  <si>
    <t>https://totalcards.net/collections/magic-the-gathering-booster-boxes/products/magic-the-gathering-the-lord-of-the-rings-tales-of-middle-earth-set-booster-box-30-packs</t>
  </si>
  <si>
    <t>https://totalcards.net/collections/magic-the-gathering-booster-boxes/products/magic-the-gathering-the-lost-caverns-of-ixalan-collector-booster-box-12-packs</t>
  </si>
  <si>
    <t>https://totalcards.net/collections/magic-the-gathering-booster-boxes/products/magic-the-gathering-theros-beyond-death-booster-box-36-packs</t>
  </si>
  <si>
    <t>https://totalcards.net/collections/magic-the-gathering-booster-boxes/products/magic-the-gathering-theros-beyond-death-collector-booster-box-12-boosters</t>
  </si>
  <si>
    <t>https://totalcards.net/collections/magic-the-gathering-booster-boxes/products/magic-the-gathering-throne-of-eldraine-booster-box-36-packs</t>
  </si>
  <si>
    <t>https://totalcards.net/collections/magic-the-gathering-booster-boxes/products/magic-the-gathering-throne-of-eldraine-collector-booster-box-12-boosters</t>
  </si>
  <si>
    <t>https://totalcards.net/collections/magic-the-gathering-booster-boxes/products/magic-the-gathering-war-of-the-spark-booster-box-36-packs</t>
  </si>
  <si>
    <t>https://totalcards.net/collections/magic-the-gathering-booster-boxes/products/magic-the-gathering-wilds-of-eldraine-collector-booster-box-12-packs</t>
  </si>
  <si>
    <t>https://totalcards.net/collections/magic-the-gathering-booster-boxes/products/magic-the-gathering-wilds-of-eldraine-set-booster-box-30-packs</t>
  </si>
  <si>
    <t>Travelling Man</t>
  </si>
  <si>
    <t>https://travellingman.com/collections/magic-the-gathering/products/magic-the-gathering-aetherdrift-play-booster-box</t>
  </si>
  <si>
    <t>https://travellingman.com/collections/magic-the-gathering/products/magic-the-gathering-assassins-creed-beyond-booster-box</t>
  </si>
  <si>
    <t>https://travellingman.com/collections/magic-the-gathering/products/magic-the-gathering-assassins-creed-collector-booster-box</t>
  </si>
  <si>
    <t>https://travellingman.com/collections/magic-the-gathering/products/magic-the-gathering-avatar-the-last-airbender-play-booster-box</t>
  </si>
  <si>
    <t>https://travellingman.com/collections/magic-the-gathering/products/magic-the-gathering-bloomburrow-play-booster-box</t>
  </si>
  <si>
    <t>https://travellingman.com/collections/magic-the-gathering/products/magic-the-gathering-dominaria-united-collector-booster-box</t>
  </si>
  <si>
    <t>https://travellingman.com/collections/magic-the-gathering/products/magic-the-gathering-dominaria-united-set-booster-box</t>
  </si>
  <si>
    <t>https://travellingman.com/collections/magic-the-gathering/products/magic-the-gathering-duskmourn-house-of-horror-collector-booster-box</t>
  </si>
  <si>
    <t>https://travellingman.com/collections/magic-the-gathering/products/magic-the-gathering-duskmourn-house-of-horror-play-booster-box</t>
  </si>
  <si>
    <t>https://travellingman.com/collections/magic-the-gathering/products/magic-the-gathering-edge-of-eternities-collector-booster-box</t>
  </si>
  <si>
    <t>https://travellingman.com/collections/magic-the-gathering/products/magic-the-gathering-edge-of-eternities-play-booster-box</t>
  </si>
  <si>
    <t>https://travellingman.com/collections/magic-the-gathering/products/magic-the-gathering-final-fantasy-japanese-collector-booster-box</t>
  </si>
  <si>
    <t>https://travellingman.com/collections/magic-the-gathering/products/magic-the-gathering-final-fantasy-play-booster-box</t>
  </si>
  <si>
    <t>https://travellingman.com/collections/magic-the-gathering/products/magic-the-gathering-foundations-play-booster-box</t>
  </si>
  <si>
    <t>https://travellingman.com/collections/magic-the-gathering/products/magic-the-gathering-guilds-of-ravnica-booster-box</t>
  </si>
  <si>
    <t>https://travellingman.com/collections/magic-the-gathering/products/magic-the-gathering-innistrad-remastered-play-booster-box</t>
  </si>
  <si>
    <t>https://travellingman.com/collections/magic-the-gathering/products/magic-the-gathering-innistrad-crimson-vow-set-booster-box</t>
  </si>
  <si>
    <t>https://travellingman.com/collections/magic-the-gathering/products/magic-the-gathering-innistrad-midnight-hunt-collector-booster-box</t>
  </si>
  <si>
    <t>https://travellingman.com/collections/magic-the-gathering/products/magic-the-gathering-innistrad-midnight-hunt-set-booster-box</t>
  </si>
  <si>
    <t>https://travellingman.com/collections/magic-the-gathering/products/magic-the-gathering-kaldheim-set-booster-box</t>
  </si>
  <si>
    <t>https://travellingman.com/collections/magic-the-gathering/products/magic-the-gathering-kamigawa-neon-dynasty-collector-booster-box</t>
  </si>
  <si>
    <t>https://travellingman.com/collections/magic-the-gathering/products/magic-the-gathering-kamigawa-neon-dynasty-set-booster-box</t>
  </si>
  <si>
    <t>https://travellingman.com/collections/magic-the-gathering/products/magic-the-gathering-lorwyn-eclipsed-collector-booster-box</t>
  </si>
  <si>
    <t>https://travellingman.com/collections/magic-the-gathering/products/magic-the-gathering-lorwyn-eclipsed-play-booster-box</t>
  </si>
  <si>
    <t>https://travellingman.com/collections/magic-the-gathering/products/magic-the-gathering-march-of-the-machine-set-booster-box</t>
  </si>
  <si>
    <t>https://travellingman.com/collections/magic-the-gathering/products/magic-the-gathering-marvels-spider-man-collector-booster-box</t>
  </si>
  <si>
    <t>https://travellingman.com/collections/magic-the-gathering/products/magic-the-gathering-marvels-spider-man-play-booster-box</t>
  </si>
  <si>
    <t>https://travellingman.com/collections/magic-the-gathering/products/magic-the-gathering-modern-horizons-2-collector-booster-box</t>
  </si>
  <si>
    <t>https://travellingman.com/collections/magic-the-gathering/products/magic-the-gathering-modern-horizons-set-booster-box</t>
  </si>
  <si>
    <t>https://travellingman.com/collections/magic-the-gathering/products/magic-the-gathering-modern-horizon-3-play-booster-box</t>
  </si>
  <si>
    <t>https://travellingman.com/collections/magic-the-gathering/products/magic-the-gathering-murders-at-karlov-manor-play-booster-box</t>
  </si>
  <si>
    <t>https://travellingman.com/collections/magic-the-gathering/products/magic-the-gathering-outlaws-of-thunder-junction-play-booster-box</t>
  </si>
  <si>
    <t>https://travellingman.com/collections/magic-the-gathering/products/magic-the-gathering-phyrexia-all-will-be-one-set-booster-box</t>
  </si>
  <si>
    <t>https://travellingman.com/collections/magic-the-gathering/products/magic-the-gathering-ravnica-remastered-draft-booster-box</t>
  </si>
  <si>
    <t>https://travellingman.com/collections/magic-the-gathering/products/magic-the-gathering-streets-of-new-capenna-collector-booster-box</t>
  </si>
  <si>
    <t>https://travellingman.com/collections/magic-the-gathering/products/magic-the-gathering-streets-of-new-capenna-set-booster-box</t>
  </si>
  <si>
    <t>https://travellingman.com/collections/magic-the-gathering/products/magic-the-gathering-tarkir-dragonstorm-play-booster-box</t>
  </si>
  <si>
    <t>https://travellingman.com/collections/magic-the-gathering/products/magic-the-gathering-teenage-mutant-ninja-turtles-collector-booster-box</t>
  </si>
  <si>
    <t>https://travellingman.com/collections/magic-the-gathering/products/magic-the-gathering-teenage-mutant-ninja-turtles-play-booster-box</t>
  </si>
  <si>
    <t>https://travellingman.com/collections/magic-the-gathering/products/magic-the-gathering-the-brothers-war-set-booster-box</t>
  </si>
  <si>
    <t>https://travellingman.com/collections/magic-the-gathering/products/magic-the-gathering-the-lost-caverns-of-ixalan-set-booster-box</t>
  </si>
  <si>
    <t>https://travellingman.com/collections/magic-the-gathering/products/mtg-theros-beyond-death-booster-box</t>
  </si>
  <si>
    <t>https://travellingman.com/collections/magic-the-gathering/products/magic-the-gathering-theros-beyond-death-collector-booster-box</t>
  </si>
  <si>
    <t>https://travellingman.com/collections/magic-the-gathering/products/magic-the-gathering-throne-of-eldraine-booster-box</t>
  </si>
  <si>
    <t>https://travellingman.com/collections/magic-the-gathering/products/magic-the-gathering-war-of-the-spark-booster-box</t>
  </si>
  <si>
    <t>https://travellingman.com/collections/magic-the-gathering/products/magic-the-gathering-wilds-of-eldraine-set-booster-box</t>
  </si>
  <si>
    <t>Wayland Games</t>
  </si>
  <si>
    <t>https://www.waylandgames.co.uk/mtg-aetherdrift-commander-deck-eternal-might-wtcd41330001-ete</t>
  </si>
  <si>
    <t>https://www.waylandgames.co.uk/mtg-aetherdrift-commander-deck-living-energy-wtcd41330001-liv</t>
  </si>
  <si>
    <t>https://www.waylandgames.co.uk/mtg-aetherdrift-play-booster-box-wtcd41310001-box</t>
  </si>
  <si>
    <t>https://www.waylandgames.co.uk/mtg-avatar-the-last-airbender-collector-booster-box-wtc-d45820000-box</t>
  </si>
  <si>
    <t>https://www.waylandgames.co.uk/mtg-avatar-the-last-airbender-play-booster-box-wtc-d45800001-box</t>
  </si>
  <si>
    <t>https://www.waylandgames.co.uk/mtg-commander-masters-commander-deck-planeswalker-party-wtcd20160001-c</t>
  </si>
  <si>
    <t>https://www.waylandgames.co.uk/mtg-duskmourn-house-of-horror-play-booster-box-wtcd34440001-box</t>
  </si>
  <si>
    <t>https://www.waylandgames.co.uk/mtg-edge-of-eternities-collector-booster-box-wtcd44490000-box</t>
  </si>
  <si>
    <t>https://www.waylandgames.co.uk/mtg-edge-of-eternities-commander-deck-counter-intelligence-wtcd44500001-b</t>
  </si>
  <si>
    <t>https://www.waylandgames.co.uk/mtg-edge-of-eternities-play-booster-box-wtcd44470001-box</t>
  </si>
  <si>
    <t>https://www.waylandgames.co.uk/mtg-edge-of-eternities-commander-deck-world-shaper-wtcd44500001-a</t>
  </si>
  <si>
    <t>https://www.waylandgames.co.uk/mtg-final-fantasy-collector-booster-box-wtcd38440000-box</t>
  </si>
  <si>
    <t>https://www.waylandgames.co.uk/mtg-final-fantasy-commander-deck-counter-blitz-wtcd38450001-b</t>
  </si>
  <si>
    <t>https://www.waylandgames.co.uk/mtg-final-fantasy-commander-deck-limit-break-wtcd38450001-c</t>
  </si>
  <si>
    <t>https://www.waylandgames.co.uk/mtg-final-fantasy-play-booster-box-wtcd38420001-box</t>
  </si>
  <si>
    <t>https://www.waylandgames.co.uk/mtg-final-fantasy-commander-deck-scions-spellcraft-wtcd38450001-a</t>
  </si>
  <si>
    <t>https://www.waylandgames.co.uk/mtg-lorwyn-eclipsed-commander-deck-blight-curse-wtcd50750001-a</t>
  </si>
  <si>
    <t>https://www.waylandgames.co.uk/mtg-lorwyn-eclipsed-commander-deck-dance-of-the-elements-wtcd50750001-b</t>
  </si>
  <si>
    <t>https://www.waylandgames.co.uk/mtg-lorwyn-eclipsed-play-booster-box-wtcd50710001-box</t>
  </si>
  <si>
    <t>https://www.waylandgames.co.uk/mtg-marvels-spider-man-collector-booster-box-wtcd45270000-box</t>
  </si>
  <si>
    <t>https://www.waylandgames.co.uk/mtg-marvels-spider-man-play-booster-box-wtcd45240001-box</t>
  </si>
  <si>
    <t>https://www.waylandgames.co.uk/mtg-marvel-super-heroes-collector-commander-deck-avengers-assemble-wtcd53620000-a</t>
  </si>
  <si>
    <t>https://www.waylandgames.co.uk/mtg-marvel-super-heroes-commander-deck-avengers-assemble-wtcd53610001-a</t>
  </si>
  <si>
    <t>https://www.waylandgames.co.uk/mtg-marvel-super-heroes-collector-booster-box-wtcd53580000-box</t>
  </si>
  <si>
    <t>https://www.waylandgames.co.uk/mtg-marvel-super-heroes-collector-commander-deck-doom-prevails-wtcd53620000-d</t>
  </si>
  <si>
    <t>https://www.waylandgames.co.uk/mtg-marvel-super-heroes-commander-deck-doom-prevails-wtcd53610001-d</t>
  </si>
  <si>
    <t>https://www.waylandgames.co.uk/mtg-marvel-super-heroes-play-booster-box-wtcd53560001-box</t>
  </si>
  <si>
    <t>https://www.waylandgames.co.uk/mtg-marvel-super-heroes-collector-commander-deck-the-fantastic-four-wtcd53620000-c</t>
  </si>
  <si>
    <t>https://www.waylandgames.co.uk/mtg-marvel-super-heroes-commander-deck-the-fantastic-four-wtcd53610001-c</t>
  </si>
  <si>
    <t>https://www.waylandgames.co.uk/mtg-marvel-super-heroes-collector-commander-deck-wakanda-forever-wtcd53620000-b</t>
  </si>
  <si>
    <t>https://www.waylandgames.co.uk/mtg-marvel-super-heroes-commander-deck-wakanda-forever-wtcd53610001-b</t>
  </si>
  <si>
    <t>https://www.waylandgames.co.uk/mtg-modern-horizons-3-commander-deck-creative-energy-wtcd32930001-cre</t>
  </si>
  <si>
    <t>https://www.waylandgames.co.uk/mtg-modern-horizons-3-commander-deck-graveyard-overdrive-wtcd32930001-gra</t>
  </si>
  <si>
    <t>https://www.waylandgames.co.uk/mtg-modern-horizons-3-play-booster-box-wtcd32900001-box</t>
  </si>
  <si>
    <t>https://www.waylandgames.co.uk/mtg-ravnica-remastered-draft-booster-box-wtcd23760001-box</t>
  </si>
  <si>
    <t>https://www.waylandgames.co.uk/mtg-tarkir-dragonstorm-commander-deck-abzan-armor-wtcd42750001-a</t>
  </si>
  <si>
    <t>https://www.waylandgames.co.uk/mtg-tarkir-dragonstorm-commander-deck-jeskai-striker-wtcd42750001-b</t>
  </si>
  <si>
    <t>https://www.waylandgames.co.uk/mtg-tarkir-dragonstorm-commander-deck-mardu-surge-wtcd42750001-d</t>
  </si>
  <si>
    <t>https://www.waylandgames.co.uk/mtg-tarkir-dragonstorm-commander-deck-sultai-arisen-wtcd42750001-c</t>
  </si>
  <si>
    <t>https://www.waylandgames.co.uk/mtg-tarkir-dragonstorm-commander-deck-temur-roar-wtcd42750001-e</t>
  </si>
  <si>
    <t>https://www.waylandgames.co.uk/mtg-teenage-mutant-ninja-turtles-collector-booster-box-wtcd51650000-box</t>
  </si>
  <si>
    <t>https://www.waylandgames.co.uk/mtg-teenage-mutant-ninja-turtles-play-booster-box-wtcd51630001-box</t>
  </si>
  <si>
    <t>Woo Cards</t>
  </si>
  <si>
    <t>https://woocards.co.uk/shop/magic-the-gathering/booster-box-magic-the-gathering/mtg-final-fantasy-play-booster-box/</t>
  </si>
  <si>
    <t>Supplier Id</t>
  </si>
  <si>
    <t>Contact Name</t>
  </si>
  <si>
    <t>Locations</t>
  </si>
  <si>
    <t>Currency Code Accepted</t>
  </si>
  <si>
    <t>URL</t>
  </si>
  <si>
    <t>Good</t>
  </si>
  <si>
    <t>Approved</t>
  </si>
  <si>
    <t>On Bot Manual</t>
  </si>
  <si>
    <t>On Bot Auto</t>
  </si>
  <si>
    <t>Count Products</t>
  </si>
  <si>
    <t>UK</t>
  </si>
  <si>
    <t>https://ashdowngaming.co.uk/</t>
  </si>
  <si>
    <t>Asmodee</t>
  </si>
  <si>
    <t>Only accepts VAT registered companies</t>
  </si>
  <si>
    <t>https://www.asmodee.co.uk/pages/new-account-application</t>
  </si>
  <si>
    <t>https://axionnow.com/collections/booster-boxes</t>
  </si>
  <si>
    <t>Blackfire</t>
  </si>
  <si>
    <t>Europe to UK</t>
  </si>
  <si>
    <t>Requires brick-and-mortar store; £5k per 6 months spending; possible 20% VAT import fees</t>
  </si>
  <si>
    <t>blackfire.eu</t>
  </si>
  <si>
    <t>Bliss</t>
  </si>
  <si>
    <t>Not yet approved</t>
  </si>
  <si>
    <t>World</t>
  </si>
  <si>
    <t>https://cobandpip.co.uk/</t>
  </si>
  <si>
    <t>https://crazygamer.uk/</t>
  </si>
  <si>
    <t>https://distro.gg/categories/magic-the-gathering</t>
  </si>
  <si>
    <t>https://www.doublesleeved.co.uk/</t>
  </si>
  <si>
    <t>Entoyment</t>
  </si>
  <si>
    <t>https://entoyment.co.uk/</t>
  </si>
  <si>
    <t>Eterna Cards</t>
  </si>
  <si>
    <t>https://eternacards.co.uk/collections/pokemon-booster-boxes</t>
  </si>
  <si>
    <t>https://www.firestormgames.co.uk/</t>
  </si>
  <si>
    <t>https://www.gameslore.com/</t>
  </si>
  <si>
    <t>https://gatheringgames.co.uk/</t>
  </si>
  <si>
    <t>Geek Retreat</t>
  </si>
  <si>
    <t>Truro, Birmingham (UK)</t>
  </si>
  <si>
    <t>https://www.hillscards.co.uk/</t>
  </si>
  <si>
    <t>https://wholesale.hokeypokegames.co.uk/</t>
  </si>
  <si>
    <t>Invicta</t>
  </si>
  <si>
    <t>They want monthly purchases but have limited MTG products</t>
  </si>
  <si>
    <t>https://invictatcg.co.uk/wholesale-login/</t>
  </si>
  <si>
    <t>Japan 2 UK</t>
  </si>
  <si>
    <t>Japan (UK)</t>
  </si>
  <si>
    <t>https://www.japan2uk.com/</t>
  </si>
  <si>
    <t>https://jetcards.uk/</t>
  </si>
  <si>
    <t>https://www.loadeddice.uk/</t>
  </si>
  <si>
    <t>https://londonmagictraders.com/collections/mtg-sealed</t>
  </si>
  <si>
    <t>Mallet's</t>
  </si>
  <si>
    <t>Truro</t>
  </si>
  <si>
    <t>Obsidia TCG</t>
  </si>
  <si>
    <t>Can access their retail store, but useless prices</t>
  </si>
  <si>
    <t>https://www.obsidia-distribution.co.uk/</t>
  </si>
  <si>
    <t>Poke UK</t>
  </si>
  <si>
    <t>https://pokeuk.co.uk/pokemon-booster-boxes/</t>
  </si>
  <si>
    <t>https://www.thegamecollection.net/</t>
  </si>
  <si>
    <t>The Magic Card Trader</t>
  </si>
  <si>
    <t>https://www.themagiccardtrader.com/</t>
  </si>
  <si>
    <t>Titan Cards</t>
  </si>
  <si>
    <t>https://titancards.co.uk/</t>
  </si>
  <si>
    <t>On waitlist for account creation</t>
  </si>
  <si>
    <t>https://totalcards.net/</t>
  </si>
  <si>
    <t>https://travellingman.com/</t>
  </si>
  <si>
    <t>Troll Trader Cards</t>
  </si>
  <si>
    <t>https://www.trolltradercards.com/catalog/magic_products-booster_boxes/100</t>
  </si>
  <si>
    <t>VR Distribution</t>
  </si>
  <si>
    <t>Requires 2 business relationships</t>
  </si>
  <si>
    <t>https://www.vrdist.co.uk/signup/start</t>
  </si>
  <si>
    <t>https://www.waylandgames.co.uk/</t>
  </si>
  <si>
    <t>Statistics</t>
  </si>
  <si>
    <t>Order count</t>
  </si>
  <si>
    <t>Item count</t>
  </si>
  <si>
    <t>Mean items per order</t>
  </si>
  <si>
    <t>Cost of drive to and from post office</t>
  </si>
  <si>
    <t>Shipping fee surplus</t>
  </si>
  <si>
    <t>Cost of packaging</t>
  </si>
  <si>
    <t>Packing duration</t>
  </si>
  <si>
    <t>My hourly rate</t>
  </si>
  <si>
    <t>Shipping salary</t>
  </si>
  <si>
    <t>Shipping cost per order</t>
  </si>
  <si>
    <t>Shipping cost per item</t>
  </si>
  <si>
    <t>Mailbox monthly fee</t>
  </si>
  <si>
    <t>Cost of drive to and from mailbox</t>
  </si>
  <si>
    <t>Toll fee on drive (1 way only)</t>
  </si>
  <si>
    <t>Mean packages per month</t>
  </si>
  <si>
    <t>Mean mailbox visits per month</t>
  </si>
  <si>
    <t>Package handling cost per item</t>
  </si>
  <si>
    <t>Play/Set Booster From Box Sell Price</t>
  </si>
  <si>
    <t>MuddleIt</t>
  </si>
  <si>
    <t>PlusMarketing</t>
  </si>
  <si>
    <t>FB Marketplace</t>
  </si>
  <si>
    <t>CardMarket Profit</t>
  </si>
  <si>
    <t>Mega Evolutions 2: Phantasmal Flames Booster Box</t>
  </si>
  <si>
    <t>Mega Evolutions Booster Box</t>
  </si>
  <si>
    <t>Paradox Rift Booster Box</t>
  </si>
  <si>
    <t>Paldea Evolved Booster Box</t>
  </si>
  <si>
    <t xml:space="preserve">Scarlet &amp; Violet Booster Box </t>
  </si>
  <si>
    <t>Obsidian Flames Booster Box</t>
  </si>
  <si>
    <t>From</t>
  </si>
  <si>
    <t>Unit Cost</t>
  </si>
  <si>
    <t>SKU</t>
  </si>
  <si>
    <t>Received?</t>
  </si>
  <si>
    <t>Purpose</t>
  </si>
  <si>
    <t>Chaos Cards - singles</t>
  </si>
  <si>
    <t>Deck building content</t>
  </si>
  <si>
    <t>Unicorn Cards</t>
  </si>
  <si>
    <t>Unicorn Cards - singles</t>
  </si>
  <si>
    <t>Big Orbit Cards</t>
  </si>
  <si>
    <t>Big Orbit Cards - singles</t>
  </si>
  <si>
    <t>53.19 - 1.8</t>
  </si>
  <si>
    <t>Modular Worlds</t>
  </si>
  <si>
    <t>Dragon Shield Sealable Transparent Inner Sleeves</t>
  </si>
  <si>
    <t>Inventory Management</t>
  </si>
  <si>
    <t>Comic Con (MCM?)</t>
  </si>
  <si>
    <t>Comic Con ticket</t>
  </si>
  <si>
    <t>13.76 each</t>
  </si>
  <si>
    <t>Cdr precons fin £75 and tdm £48.99</t>
  </si>
  <si>
    <t>Modular worlds</t>
  </si>
  <si>
    <t>???</t>
  </si>
  <si>
    <t>Retroblast Coffee</t>
  </si>
  <si>
    <t>Singles</t>
  </si>
  <si>
    <t xml:space="preserve">Cdr precon the lost caverns of ixalan blood rites £80, booster packs x2 war of the spark £8.45, x2 innistrad remastered £6.99 </t>
  </si>
  <si>
    <t>The Scrum</t>
  </si>
  <si>
    <t>The Scrum - sleeves, pkm booster packs</t>
  </si>
  <si>
    <t>Inventory management and boosters bought by egg</t>
  </si>
  <si>
    <t>Sold: 1, Used: 2</t>
  </si>
  <si>
    <t>PKM booster packs</t>
  </si>
  <si>
    <t>MTG AND PKM booster packs - 4x MTG Foundations Booster Pack £4.50, 4x MTG The Lost Caverns of Ixalan Booster Pack £5.95, 1x PKM Scarlet &amp; Violet Paradox Rift Booster Pack £5.50, 1x PKM Scarlet &amp; Violet Temporal Forces Booster Pack £5.50, 1x PKM Scarlet &amp; Violet Paldea Evolved Booster Pack £8, 1x PKM Mega Evolution Phatasmal Flames Premium Checklane £6.99</t>
  </si>
  <si>
    <t>Deck building content (MTG) + Sales inventory (PKM)</t>
  </si>
  <si>
    <t>Cards</t>
  </si>
  <si>
    <t>Languages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</si>
</sst>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£-809]#,##0.00"/>
  </numFmts>
  <fonts count="6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6"/>
      <name val="Yu Gothic"/>
      <family val="2"/>
      <charset val="128"/>
    </font>
    <font>
      <sz val="10"/>
      <color rgb="FF000000"/>
      <name val="Aptos Narrow"/>
      <charset val="1"/>
    </font>
    <font>
      <sz val="10"/>
      <color theme="1"/>
      <name val="Aptos Narrow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wrapText="1"/>
    </xf>
    <xf numFmtId="0" fontId="0" fillId="0" borderId="0" xfId="0">
      <extLst>
        <ext xmlns:xfpb="http://schemas.microsoft.com/office/spreadsheetml/2022/featurepropertybag" uri="{C7286773-470A-42A8-94C5-96B5CB345126}">
          <xfpb:xfComplement i="0"/>
        </ext>
      </extLst>
    </xf>
    <xf numFmtId="14" fontId="0" fillId="0" borderId="0" xfId="0" applyNumberFormat="1"/>
    <xf numFmtId="1" fontId="0" fillId="0" borderId="0" xfId="0" applyNumberFormat="1"/>
    <xf numFmtId="49" fontId="0" fillId="0" borderId="0" xfId="0" applyNumberFormat="1"/>
    <xf numFmtId="0" fontId="0" fillId="0" borderId="0" xfId="0" applyNumberFormat="1"/>
    <xf numFmtId="0" fontId="2" fillId="0" borderId="0" xfId="0" applyFont="1"/>
    <xf numFmtId="0" fontId="1" fillId="0" borderId="0" xfId="1"/>
    <xf numFmtId="14" fontId="1" fillId="0" borderId="0" xfId="1" applyNumberFormat="1"/>
    <xf numFmtId="164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20" fontId="0" fillId="0" borderId="0" xfId="0" applyNumberFormat="1"/>
    <xf numFmtId="164" fontId="1" fillId="0" borderId="0" xfId="1" applyNumberFormat="1"/>
    <xf numFmtId="2" fontId="0" fillId="0" borderId="0" xfId="0" applyNumberFormat="1" applyAlignment="1">
      <alignment wrapText="1"/>
    </xf>
    <xf numFmtId="9" fontId="0" fillId="0" borderId="0" xfId="0" applyNumberFormat="1"/>
    <xf numFmtId="9" fontId="0" fillId="0" borderId="0" xfId="0" applyNumberFormat="1" applyAlignment="1">
      <alignment wrapText="1"/>
    </xf>
    <xf numFmtId="10" fontId="0" fillId="0" borderId="0" xfId="0" applyNumberFormat="1"/>
    <xf numFmtId="10" fontId="0" fillId="0" borderId="0" xfId="0" applyNumberFormat="1" applyAlignment="1">
      <alignment wrapText="1"/>
    </xf>
    <xf numFmtId="2" fontId="1" fillId="0" borderId="0" xfId="1" applyNumberFormat="1"/>
    <xf numFmtId="0" fontId="0" fillId="0" borderId="0" xfId="0" applyNumberFormat="1" applyAlignment="1">
      <alignment wrapText="1"/>
    </xf>
    <xf numFmtId="0" fontId="4" fillId="0" borderId="0" xfId="0" applyFont="1"/>
    <xf numFmtId="0" fontId="5" fillId="0" borderId="0" xfId="0" applyFont="1"/>
    <xf numFmtId="0" fontId="0" fillId="0" borderId="0" xfId="0" applyFill="1"/>
  </cellXfs>
  <cellStyles count="2">
    <cellStyle name="Hyperlink" xfId="1" builtinId="8"/>
    <cellStyle name="Normal" xfId="0" builtinId="0"/>
  </cellStyles>
  <dxfs count="161"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164" formatCode="[$£-809]#,##0.00"/>
    </dxf>
    <dxf>
      <numFmt numFmtId="164" formatCode="[$£-809]#,##0.00"/>
    </dxf>
    <dxf>
      <numFmt numFmtId="164" formatCode="[$£-809]#,##0.00"/>
    </dxf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4" formatCode="0.00%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3" formatCode="0%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4" formatCode="0.00%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2" formatCode="0.00"/>
    </dxf>
    <dxf>
      <numFmt numFmtId="2" formatCode="0.00"/>
    </dxf>
    <dxf>
      <numFmt numFmtId="2" formatCode="0.00"/>
    </dxf>
    <dxf>
      <numFmt numFmtId="164" formatCode="[$£-809]#,##0.00"/>
    </dxf>
    <dxf>
      <numFmt numFmtId="13" formatCode="0%"/>
    </dxf>
    <dxf>
      <numFmt numFmtId="164" formatCode="[$£-809]#,##0.00"/>
    </dxf>
    <dxf>
      <numFmt numFmtId="164" formatCode="[$£-809]#,##0.00"/>
    </dxf>
    <dxf>
      <numFmt numFmtId="2" formatCode="0.00"/>
    </dxf>
    <dxf>
      <numFmt numFmtId="2" formatCode="0.00"/>
    </dxf>
    <dxf>
      <numFmt numFmtId="164" formatCode="[$£-809]#,##0.00"/>
    </dxf>
    <dxf>
      <numFmt numFmtId="13" formatCode="0%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" formatCode="0"/>
    </dxf>
    <dxf>
      <numFmt numFmtId="164" formatCode="[$£-809]#,##0.00"/>
    </dxf>
    <dxf>
      <numFmt numFmtId="164" formatCode="[$£-809]#,##0.00"/>
    </dxf>
    <dxf>
      <numFmt numFmtId="13" formatCode="0%"/>
    </dxf>
    <dxf>
      <numFmt numFmtId="164" formatCode="[$£-809]#,##0.00"/>
    </dxf>
    <dxf>
      <numFmt numFmtId="0" formatCode="General"/>
    </dxf>
    <dxf>
      <numFmt numFmtId="164" formatCode="[$£-809]#,##0.00"/>
    </dxf>
    <dxf>
      <numFmt numFmtId="164" formatCode="[$£-809]#,##0.00"/>
    </dxf>
    <dxf>
      <numFmt numFmtId="1" formatCode="0"/>
    </dxf>
    <dxf>
      <numFmt numFmtId="164" formatCode="[$£-809]#,##0.00"/>
    </dxf>
    <dxf>
      <numFmt numFmtId="164" formatCode="[$£-809]#,##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164" formatCode="[$£-809]#,##0.0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alignment wrapText="1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0" formatCode="General"/>
    </dxf>
    <dxf>
      <numFmt numFmtId="0" formatCode="General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EE9EF5A-C24E-904D-A242-EC43A6716FCA}" name="Table2" displayName="Table2" ref="A1:H25" totalsRowShown="0">
  <autoFilter ref="A1:H25" xr:uid="{4EE9EF5A-C24E-904D-A242-EC43A6716FCA}"/>
  <sortState xmlns:xlrd2="http://schemas.microsoft.com/office/spreadsheetml/2017/richdata2" ref="A2:H25">
    <sortCondition ref="A1:A25"/>
  </sortState>
  <tableColumns count="8">
    <tableColumn id="1" xr3:uid="{3C44E69E-5D26-B04A-A176-4F08CAE617AB}" name="Rank"/>
    <tableColumn id="8" xr3:uid="{7FCB67CC-64C2-704F-BDB3-7424153C2CCA}" name="Name"/>
    <tableColumn id="2" xr3:uid="{1D48A629-B63D-B141-8299-E401BE6D1476}" name="CardMarket"/>
    <tableColumn id="3" xr3:uid="{1FEFFD38-DC70-154E-BD2E-86AC8DDB436F}" name="Companies House"/>
    <tableColumn id="4" xr3:uid="{C1DB781C-3D8B-AD47-97A0-1191C3E99F6E}" name="Domain"/>
    <tableColumn id="5" xr3:uid="{EB379431-2557-2A4B-AB48-5E3FA0F7FEA1}" name="YouTube"/>
    <tableColumn id="7" xr3:uid="{3A832545-DEB6-424E-9DD9-E4612B473CBA}" name="Tierney Approved"/>
    <tableColumn id="6" xr3:uid="{DA36AFD5-1897-9D4B-B800-980EAB35726D}" name="Notes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E5E8411-4855-4674-AA72-4525C49054B0}" name="tbl_Supplier" displayName="tbl_Supplier" ref="A1:M40" totalsRowShown="0">
  <autoFilter ref="A1:M40" xr:uid="{BE5E8411-4855-4674-AA72-4525C49054B0}"/>
  <sortState xmlns:xlrd2="http://schemas.microsoft.com/office/spreadsheetml/2017/richdata2" ref="A2:M40">
    <sortCondition ref="B1:B40"/>
  </sortState>
  <tableColumns count="13">
    <tableColumn id="1" xr3:uid="{46844FA4-61AF-415D-94D1-DF0C8FDE76CD}" name="Supplier Id"/>
    <tableColumn id="2" xr3:uid="{1F6F91A6-B00B-4EBC-A036-3247195FB0F8}" name="Name"/>
    <tableColumn id="3" xr3:uid="{67F58706-0E6C-40BF-91A7-B7D2A779A8E3}" name="Contact Name"/>
    <tableColumn id="4" xr3:uid="{5E8FAEA6-A766-45E5-950B-1DF30C460BEC}" name="Locations"/>
    <tableColumn id="5" xr3:uid="{FFE064CB-6E23-49B3-847F-E87F27F82D3B}" name="Currency Code Accepted"/>
    <tableColumn id="6" xr3:uid="{DA6657F0-DE4D-43CF-A912-A8C32804613E}" name="Notes"/>
    <tableColumn id="7" xr3:uid="{BF1258C2-F696-4633-ACB8-ECBCCFBF5CE9}" name="URL" dataCellStyle="Hyperlink"/>
    <tableColumn id="8" xr3:uid="{095FAB57-9BC3-48CE-AABE-6F809CA981A9}" name="Good"/>
    <tableColumn id="10" xr3:uid="{AFED3003-BBFF-4C06-8C36-09208AD730E0}" name="Approved"/>
    <tableColumn id="9" xr3:uid="{6AF39E40-527A-497C-911A-13A163095959}" name="Active"/>
    <tableColumn id="11" xr3:uid="{A6DC7F5E-A8CF-476C-877F-85829B17D710}" name="On Bot Manual"/>
    <tableColumn id="12" xr3:uid="{EA767D1B-3990-4AC8-8B10-BDBE95B1F2B7}" name="On Bot Auto"/>
    <tableColumn id="13" xr3:uid="{D8249978-9667-4588-BAAF-9D21D371F8C3}" name="Count Products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DCC965-4DB1-B74D-9962-604C58F5D098}" name="Table4" displayName="Table4" ref="A1:I24" totalsRowShown="0">
  <autoFilter ref="A1:I24" xr:uid="{1ADCC965-4DB1-B74D-9962-604C58F5D098}"/>
  <tableColumns count="9">
    <tableColumn id="1" xr3:uid="{7DDA0626-0097-8A42-986A-3B54DE44F040}" name="Date"/>
    <tableColumn id="2" xr3:uid="{1332699F-B7AF-ED48-A437-917903C301F5}" name="From"/>
    <tableColumn id="3" xr3:uid="{19062E1F-7C87-B348-A889-F4778AA32062}" name="Name"/>
    <tableColumn id="4" xr3:uid="{B9B0D7EC-9008-5942-A1B2-F90E217830A1}" name="Quantity"/>
    <tableColumn id="5" xr3:uid="{75F15FF0-5732-004F-9FAB-6FB27031CAC8}" name="Unit Cost"/>
    <tableColumn id="6" xr3:uid="{FACC2923-0EA0-A947-94B4-EEFE6B0D6967}" name="Notes"/>
    <tableColumn id="7" xr3:uid="{75BDDCEF-08AE-8040-ADEA-4526CCE751A4}" name="SKU"/>
    <tableColumn id="8" xr3:uid="{77EDA8BA-4856-9047-B2A7-23653700762B}" name="Received?"/>
    <tableColumn id="9" xr3:uid="{B21B860B-6BBC-2F41-AC50-A77150D5982C}" name="Purpos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B0BAE4-71D6-F547-A3E8-FF60A939E0B4}" name="tbl_MTG_Set_Type" displayName="tbl_MTG_Set_Type" ref="A1:N9" totalsRowShown="0">
  <autoFilter ref="A1:N9" xr:uid="{4CB0BAE4-71D6-F547-A3E8-FF60A939E0B4}"/>
  <tableColumns count="14">
    <tableColumn id="1" xr3:uid="{9A16FC75-3E5D-C84C-BDEB-9D01B8E2F61E}" name="Index"/>
    <tableColumn id="8" xr3:uid="{83094B20-07D3-3C4F-B40A-7471B6B310D9}" name="Set Type"/>
    <tableColumn id="2" xr3:uid="{CAD72F48-1F50-4547-B88D-4325720EF28C}" name="Buy Window (Months)" dataDxfId="160"/>
    <tableColumn id="6" xr3:uid="{A93B2FCA-0074-744D-BC1F-A7D9F1AC78E9}" name="Why"/>
    <tableColumn id="5" xr3:uid="{4BD66D0E-EDAC-164A-8AA8-9C0A4ADDF86E}" name="Heavy Printing Months" dataDxfId="159"/>
    <tableColumn id="4" xr3:uid="{B04DB485-E7B6-0549-8190-B9EFE4A520D9}" name="Tapering Months" dataDxfId="158"/>
    <tableColumn id="7" xr3:uid="{00B90037-761A-CE4B-B34C-15F4A036EF11}" name="Final Print Run Months" dataDxfId="157"/>
    <tableColumn id="3" xr3:uid="{D26FFDA1-D0F8-8A48-B8F7-9D57B76941FF}" name="Sell Window (Months)" dataDxfId="156"/>
    <tableColumn id="9" xr3:uid="{64517D7E-011B-4317-9FAB-922E76AABBA8}" name="Buy Window Month Start" dataDxfId="155"/>
    <tableColumn id="10" xr3:uid="{EBCFEC36-6C59-4697-84E2-5873846950DB}" name="Buy Window Month End" dataDxfId="154"/>
    <tableColumn id="11" xr3:uid="{E36C6D5A-472F-4FEA-879E-297D3D9BEF39}" name="Heavy Printing Window Month Start" dataDxfId="153">
      <calculatedColumnFormula array="1">_xlfn.NUMBERVALUE(INDEX(_xlfn.TEXTSPLIT(tbl_MTG_Set_Type[[#This Row],[Heavy Printing Months]], "-"), 1), ".", ",")</calculatedColumnFormula>
    </tableColumn>
    <tableColumn id="12" xr3:uid="{9ACB7DC7-B04F-426F-BFCB-9E79596D15C8}" name="Heavy Printing Window Month End" dataDxfId="152">
      <calculatedColumnFormula array="1">_xlfn.NUMBERVALUE(INDEX(_xlfn.TEXTSPLIT(tbl_MTG_Set_Type[[#This Row],[Heavy Printing Months]], "-"), COLUMNS(_xlfn.TEXTSPLIT(tbl_MTG_Set_Type[[#This Row],[Heavy Printing Months]], "-"))), ".", ",")</calculatedColumnFormula>
    </tableColumn>
    <tableColumn id="13" xr3:uid="{D9417BFC-C058-4CD7-B4D1-E7FD5D7A6C9C}" name="Sell Window Month Start" dataDxfId="151"/>
    <tableColumn id="14" xr3:uid="{0A1F92C9-B8D4-4E37-B5BC-FB480C7F1DD5}" name="Sell Window Month End" dataDxfId="15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0E77D1-B50C-D14F-A1E6-7653A03D604D}" name="tbl_MTG_Scryfall_Set_Type_Map" displayName="tbl_MTG_Scryfall_Set_Type_Map" ref="Q1:R8" totalsRowShown="0">
  <autoFilter ref="Q1:R8" xr:uid="{8A0E77D1-B50C-D14F-A1E6-7653A03D604D}"/>
  <tableColumns count="2">
    <tableColumn id="1" xr3:uid="{4F257827-EA2E-7849-93DB-915070502F2E}" name="My Set Type"/>
    <tableColumn id="2" xr3:uid="{2A487903-902D-ED42-9FB3-57F757936E92}" name="Corresponding Scryfall Set Type(s)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C584164-7CBB-4807-A384-B9D1C3D92C73}" name="Table1" displayName="Table1" ref="W1:AA2" insertRow="1" totalsRowShown="0">
  <autoFilter ref="W1:AA2" xr:uid="{4C584164-7CBB-4807-A384-B9D1C3D92C73}"/>
  <tableColumns count="5">
    <tableColumn id="1" xr3:uid="{55619DED-DCA0-42D5-9D8F-98C8919062D2}" name="Set Name"/>
    <tableColumn id="2" xr3:uid="{CEEC49E8-A7BA-45C6-89B8-9A24C72F1734}" name="Card Count"/>
    <tableColumn id="3" xr3:uid="{9168851D-7C45-48B4-8579-FACC3FE954C0}" name="Released On"/>
    <tableColumn id="4" xr3:uid="{AA3AEB86-0D53-44D5-A8AD-C477C39C92CF}" name="Type Name"/>
    <tableColumn id="5" xr3:uid="{24CB4006-72F6-4FAE-A637-F3FA4F1C4C2B}" name="Language Codes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9D2CC45-3375-4D10-AC5A-31BD625569FE}" name="tbl_MTG_Set" displayName="tbl_MTG_Set" ref="A2:CH1024" totalsRowShown="0" headerRowDxfId="132">
  <autoFilter ref="A2:CH1024" xr:uid="{39D2CC45-3375-4D10-AC5A-31BD625569FE}">
    <filterColumn colId="34">
      <filters>
        <filter val="42"/>
        <filter val="46"/>
        <filter val="47"/>
        <filter val="48"/>
        <filter val="49"/>
        <filter val="50"/>
        <filter val="51"/>
        <filter val="52"/>
        <filter val="53"/>
        <filter val="54"/>
        <filter val="55"/>
        <filter val="56"/>
        <filter val="57"/>
        <filter val="58"/>
        <filter val="59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0"/>
        <filter val="71"/>
        <filter val="73"/>
        <filter val="74"/>
        <filter val="75"/>
        <filter val="76"/>
        <filter val="77"/>
        <filter val="78"/>
        <filter val="79"/>
        <filter val="80"/>
      </filters>
    </filterColumn>
  </autoFilter>
  <sortState xmlns:xlrd2="http://schemas.microsoft.com/office/spreadsheetml/2017/richdata2" ref="A3:CH1024">
    <sortCondition descending="1" ref="BB2:BB1024"/>
  </sortState>
  <tableColumns count="86">
    <tableColumn id="1" xr3:uid="{674793CE-1168-4D3D-A1D8-4A98460D7E8A}" name="Index"/>
    <tableColumn id="25" xr3:uid="{337E7DA1-A994-4DF8-A5A8-FE9ABC023B87}" name="Set Name"/>
    <tableColumn id="2" xr3:uid="{7331EA52-79BC-449E-9094-B9E8C0DF46F5}" name="Card Count"/>
    <tableColumn id="3" xr3:uid="{75C41172-C071-4B6E-9578-E105C58BB5F2}" name="Released On" dataDxfId="131"/>
    <tableColumn id="4" xr3:uid="{52672827-3AF6-4E85-879A-ADDCA395F64B}" name="Type Name"/>
    <tableColumn id="5" xr3:uid="{43D733F2-D043-40E6-9368-93C5A8F6FABE}" name="Language Codes"/>
    <tableColumn id="6" xr3:uid="{604CEAAB-E102-408F-BA2F-9DA734101660}" name="Row number"/>
    <tableColumn id="7" xr3:uid="{3B2575B5-A903-4DAF-B921-9A20BBD68A4A}" name="Months Since Release" dataDxfId="130">
      <calculatedColumnFormula>MONTH(NOW())+12*YEAR(NOW())-MONTH(tbl_MTG_Set[[#This Row],[Released On]])-12*YEAR(tbl_MTG_Set[[#This Row],[Released On]])</calculatedColumnFormula>
    </tableColumn>
    <tableColumn id="14" xr3:uid="{27E54B64-C4D8-F94B-A4D4-34E1A130AF2A}" name="Set Type Record Index" dataDxfId="129">
      <calculatedColumnFormula>_xlfn.XLOOKUP(tbl_MTG_Set[[#This Row],[Type Name]], tbl_MTG_Set_Type[Set Type], tbl_MTG_Set_Type[Index], "(Set Type not found)")</calculatedColumnFormula>
    </tableColumn>
    <tableColumn id="11" xr3:uid="{7F881520-31A4-4596-85E4-CA8F81BC31B5}" name="Buy Window Month Start" dataDxfId="128">
      <calculatedColumnFormula>_xlfn.XLOOKUP(tbl_MTG_Set[[#This Row],[Type Name]], tbl_MTG_Set_Type[Set Type], tbl_MTG_Set_Type[Buy Window Month Start], "(Set Type not found)")</calculatedColumnFormula>
    </tableColumn>
    <tableColumn id="16" xr3:uid="{8A5A38F6-0717-4FF8-86B0-20A5FD46D2C4}" name="Buy Window Start" dataDxfId="127">
      <calculatedColumnFormula>tbl_MTG_Set[[#This Row],[Released On]]+tbl_MTG_Set[[#This Row],[Buy Window Month Start]]*365.25/12</calculatedColumnFormula>
    </tableColumn>
    <tableColumn id="8" xr3:uid="{15810F92-96D4-41C9-9162-8BD203FBE34D}" name="Buy Window Month End" dataDxfId="126">
      <calculatedColumnFormula>_xlfn.XLOOKUP(tbl_MTG_Set[[#This Row],[Type Name]], tbl_MTG_Set_Type[Set Type], tbl_MTG_Set_Type[Buy Window Month End], "(Set Type not found)", 0, 1)</calculatedColumnFormula>
    </tableColumn>
    <tableColumn id="17" xr3:uid="{02386A8A-C541-4809-9F75-EFB6D8440217}" name="Buy Window End" dataDxfId="125">
      <calculatedColumnFormula>tbl_MTG_Set[[#This Row],[Released On]]+tbl_MTG_Set[[#This Row],[Buy Window Month End]]*365.25/12</calculatedColumnFormula>
    </tableColumn>
    <tableColumn id="22" xr3:uid="{B52E19E9-52F2-479B-9329-452BED6070E8}" name="Buy Now?" dataDxfId="124">
      <calculatedColumnFormula>AND(NOW()&gt;=tbl_MTG_Set[[#This Row],[Buy Window Start]], NOW()&lt;=tbl_MTG_Set[[#This Row],[Buy Window End]])</calculatedColumnFormula>
    </tableColumn>
    <tableColumn id="12" xr3:uid="{5C682A39-5DEB-4E47-A507-E5BE08514E31}" name="Heavy Printing Window Month Start" dataDxfId="123">
      <calculatedColumnFormula>_xlfn.XLOOKUP(tbl_MTG_Set[[#This Row],[Type Name]], tbl_MTG_Set_Type[Set Type], tbl_MTG_Set_Type[Heavy Printing Window Month Start], "(Set Type not found)", 0, 1)</calculatedColumnFormula>
    </tableColumn>
    <tableColumn id="20" xr3:uid="{2B34512A-8535-46E4-BC31-EC381FDDA104}" name="Heavy Printing Window Start" dataDxfId="122">
      <calculatedColumnFormula>tbl_MTG_Set[[#This Row],[Released On]]+tbl_MTG_Set[[#This Row],[Heavy Printing Window Month Start]]*365.25/12</calculatedColumnFormula>
    </tableColumn>
    <tableColumn id="9" xr3:uid="{269C6014-E047-4C50-8B0F-1837D5508CEE}" name="Heavy Printing Window Month End" dataDxfId="121">
      <calculatedColumnFormula>_xlfn.XLOOKUP(tbl_MTG_Set[[#This Row],[Type Name]], tbl_MTG_Set_Type[Set Type], tbl_MTG_Set_Type[Heavy Printing Window Month End], "(Set Type not found)", 0, 1)</calculatedColumnFormula>
    </tableColumn>
    <tableColumn id="19" xr3:uid="{4363282C-FDFD-40E6-862B-C9DCB5868A64}" name="Heavy Printing Window End" dataDxfId="120">
      <calculatedColumnFormula>tbl_MTG_Set[[#This Row],[Released On]]+tbl_MTG_Set[[#This Row],[Heavy Printing Window Month End]]*365.25/12</calculatedColumnFormula>
    </tableColumn>
    <tableColumn id="23" xr3:uid="{D5FFEEE8-C1C7-4F25-8892-D606C1FDCE83}" name="Heavy Printing Now?" dataDxfId="119">
      <calculatedColumnFormula>AND(NOW()&gt;=tbl_MTG_Set[[#This Row],[Heavy Printing Window Start]], NOW()&lt;=tbl_MTG_Set[[#This Row],[Heavy Printing Window End]])</calculatedColumnFormula>
    </tableColumn>
    <tableColumn id="13" xr3:uid="{83D9EA6A-30E9-4A55-895F-01AD120DE145}" name="Sell Window Month Start" dataDxfId="118">
      <calculatedColumnFormula>_xlfn.XLOOKUP(tbl_MTG_Set[[#This Row],[Type Name]], tbl_MTG_Set_Type[Set Type], tbl_MTG_Set_Type[Sell Window Month Start], "(Set Type not found)", 0, 1)</calculatedColumnFormula>
    </tableColumn>
    <tableColumn id="18" xr3:uid="{1D8616DE-002E-4C30-9DAB-EF9AE6B6C76C}" name="Sell Window Start" dataDxfId="117">
      <calculatedColumnFormula>tbl_MTG_Set[[#This Row],[Released On]]+tbl_MTG_Set[[#This Row],[Sell Window Month Start]]*365.25/12</calculatedColumnFormula>
    </tableColumn>
    <tableColumn id="10" xr3:uid="{B8057FE2-E755-474F-ADDA-7DAE8D37BB1A}" name="Sell Window Month End" dataDxfId="116">
      <calculatedColumnFormula>_xlfn.XLOOKUP(tbl_MTG_Set[[#This Row],[Type Name]], tbl_MTG_Set_Type[Set Type], tbl_MTG_Set_Type[Sell Window Month End], "(Set Type not found)", 0, 1)</calculatedColumnFormula>
    </tableColumn>
    <tableColumn id="21" xr3:uid="{9947C606-3E44-4CA2-B847-1070C91112C8}" name="Sell Window End" dataDxfId="115">
      <calculatedColumnFormula>tbl_MTG_Set[[#This Row],[Released On]]+tbl_MTG_Set[[#This Row],[Sell Window Month End]]*365.25/12</calculatedColumnFormula>
    </tableColumn>
    <tableColumn id="24" xr3:uid="{444B8028-B53E-4684-89C8-70B6FDC04A4E}" name="Sell Now?" dataDxfId="114">
      <calculatedColumnFormula>AND(NOW()&gt;=tbl_MTG_Set[[#This Row],[Sell Window Start]], NOW()&lt;=tbl_MTG_Set[[#This Row],[Sell Window End]])</calculatedColumnFormula>
    </tableColumn>
    <tableColumn id="15" xr3:uid="{3632DF1D-B31A-464A-BF40-3CC665BCC691}" name="CardMarket PSBBBP" dataDxfId="113"/>
    <tableColumn id="26" xr3:uid="{9F8865AB-8EDF-954F-BCF1-431A327EEE76}" name="Chaos Cards PSBBBP" dataDxfId="112"/>
    <tableColumn id="27" xr3:uid="{26D3275F-96CC-1344-9142-A143F39431B8}" name="Magic Madhouse PSBBBP " dataDxfId="111"/>
    <tableColumn id="34" xr3:uid="{99DD408D-F4EC-BC43-BAFE-EBE507D82684}" name="MuddleIt PSBBBP" dataDxfId="110"/>
    <tableColumn id="35" xr3:uid="{04D16782-75F0-AE40-A847-1E76C2EB9AA4}" name="PlusMarketing PSBBBP" dataDxfId="109"/>
    <tableColumn id="32" xr3:uid="{831ABF48-16CB-864E-85B8-86575D46652C}" name="CardMarket PSBFBBP" dataDxfId="108"/>
    <tableColumn id="31" xr3:uid="{16C7EC4F-6922-BA4C-B8C3-6D9DC79D544D}" name="Chaos Cards PSBFBBP" dataDxfId="107"/>
    <tableColumn id="29" xr3:uid="{813E3690-E33C-6941-BC01-CC5FCCC6496A}" name="Magic Madhouse PSBFBBP" dataDxfId="106"/>
    <tableColumn id="37" xr3:uid="{1E1E08FF-D78A-D44B-9564-F3DA726D1203}" name="MuddleIt PSBFBBP" dataDxfId="105"/>
    <tableColumn id="36" xr3:uid="{3A53B8AC-DD2E-E846-A00E-D9B2E16B8E1E}" name="PlusMarketing PSBFBBP" dataDxfId="104"/>
    <tableColumn id="40" xr3:uid="{BC24F7A3-2C50-479A-9F1D-1E49C8D42C79}" name="Play Booster Box Product Id" dataDxfId="103"/>
    <tableColumn id="64" xr3:uid="{D96966F0-1BA0-408C-BF87-826CBBFD1FA9}" name="Play Booster Product Id" dataDxfId="102"/>
    <tableColumn id="50" xr3:uid="{80EAB529-385D-4BE0-9222-00D9AB97DE0D}" name="Collector Booster Box Product Id" dataDxfId="101"/>
    <tableColumn id="41" xr3:uid="{9CF96564-E24E-4ACA-8676-8BCE3DF6777A}" name="Collector Booster Product Id" dataDxfId="100"/>
    <tableColumn id="38" xr3:uid="{46A2BC07-9D4F-4C45-A1DD-00DF4E13CBE3}" name="Play Booster Box Cost" dataDxfId="99">
      <calculatedColumnFormula array="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calculatedColumnFormula>
    </tableColumn>
    <tableColumn id="39" xr3:uid="{582FD476-74D8-4420-A242-E8B2D940D392}" name="Play Booster Box Source Name" dataDxfId="98">
      <calculatedColumnFormula array="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calculatedColumnFormula>
    </tableColumn>
    <tableColumn id="45" xr3:uid="{42C5C111-62B9-4EEE-B353-38DB5B6911A2}" name="Play Booster Box Size" dataDxfId="97">
      <calculatedColumnFormula>_xlfn.XLOOKUP(tbl_MTG_Set[[#This Row],[Play Booster Box Product Id]], tbl_Product[Product Id], tbl_Product[Pack Size])</calculatedColumnFormula>
    </tableColumn>
    <tableColumn id="43" xr3:uid="{20A3D9F8-EC47-462F-AC03-2AB572F759A5}" name="Play Booster Cost" dataDxfId="96">
      <calculatedColumnFormula>(tbl_MTG_Set[[#This Row],[Play Booster Box Cost]]+v_Item_Shipping_Cost_In)/tbl_MTG_Set[[#This Row],[Play Booster Box Size]]</calculatedColumnFormula>
    </tableColumn>
    <tableColumn id="28" xr3:uid="{A60492C5-0DBF-3642-AE79-9FA96C6A823F}" name="Play Booster Sell Price CardMarket" dataDxfId="95">
      <calculatedColumnFormula array="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calculatedColumnFormula>
    </tableColumn>
    <tableColumn id="30" xr3:uid="{A6C68A31-BE84-1545-9B73-6FA696741A7B}" name="Play Booster Sell Price FB Marketplace" dataDxfId="94"/>
    <tableColumn id="33" xr3:uid="{69F3334F-458D-C046-B3E8-499D0117706A}" name="Play Booster CardMarket Profit" dataDxfId="93"/>
    <tableColumn id="66" xr3:uid="{867EDED1-DF23-4CF3-9622-9659E02D8234}" name="Play Booster CardMarket Profit Margin (%)" dataDxfId="92">
      <calculatedColumnFormula>tbl_MTG_Set[[#This Row],[Play Booster CardMarket Profit]]/tbl_MTG_Set[[#This Row],[Play Booster Cost]]</calculatedColumnFormula>
    </tableColumn>
    <tableColumn id="57" xr3:uid="{8401DF63-05EC-49DE-A1B8-8475B4F40448}" name="Collector Booster Box Cost" dataDxfId="91">
      <calculatedColumnFormula>_xlfn.XLOOKUP(tbl_MTG_Set[[#This Row],[Collector Booster Box Product Id]], tbl_Product[Product Id], tbl_Product[Min Cost])</calculatedColumnFormula>
    </tableColumn>
    <tableColumn id="56" xr3:uid="{3222F05F-61FD-45A3-8A70-8E34D01DB5AE}" name="Collector Booster Box Source Name" dataDxfId="90">
      <calculatedColumnFormula>_xlfn.XLOOKUP(tbl_MTG_Set[[#This Row],[Collector Booster Box Product Id]], tbl_Product[Product Id], tbl_Product[Best Source])</calculatedColumnFormula>
    </tableColumn>
    <tableColumn id="55" xr3:uid="{F56477DC-83BA-404E-A732-A431F9BEEBE3}" name="Collector Booster Box Size" dataDxfId="89">
      <calculatedColumnFormula>_xlfn.XLOOKUP(tbl_MTG_Set[[#This Row],[Collector Booster Box Product Id]], tbl_Product[Product Id], tbl_Product[Pack Size])</calculatedColumnFormula>
    </tableColumn>
    <tableColumn id="54" xr3:uid="{EA3504C9-A1CC-448E-B7D1-031C7ABAFB87}" name="Collector Booster Cost" dataDxfId="88">
      <calculatedColumnFormula>(tbl_MTG_Set[[#This Row],[Collector Booster Box Cost]] + v_Item_Shipping_Cost_In) / tbl_MTG_Set[[#This Row],[Collector Booster Box Size]]</calculatedColumnFormula>
    </tableColumn>
    <tableColumn id="53" xr3:uid="{71E47BA2-F16B-4E8B-9D45-00D449E42573}" name="Collector Booster Sell Price CardMarket" dataDxfId="87">
      <calculatedColumnFormula array="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calculatedColumnFormula>
    </tableColumn>
    <tableColumn id="52" xr3:uid="{2961140D-F587-4743-8037-3C435B457F7B}" name="Collector Booster Sell Price FB Marketplace" dataDxfId="86"/>
    <tableColumn id="51" xr3:uid="{A556EE53-8CE2-4995-94CF-71DAF451BCD6}" name="Collector Booster CardMarket Profit" dataDxfId="85">
      <calculatedColumnFormula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calculatedColumnFormula>
    </tableColumn>
    <tableColumn id="67" xr3:uid="{605E5444-117C-4F5B-BAA8-E905789725CA}" name="Collector Booster CardMarket Profit Margin (%)" dataDxfId="84">
      <calculatedColumnFormula>tbl_MTG_Set[[#This Row],[Collector Booster CardMarket Profit]]/tbl_MTG_Set[[#This Row],[Collector Booster Cost]]</calculatedColumnFormula>
    </tableColumn>
    <tableColumn id="48" xr3:uid="{4F8CE184-2912-4609-A2FD-1E4B2313F577}" name="EV MTG Stocks Link" dataDxfId="83"/>
    <tableColumn id="46" xr3:uid="{1D85DB0C-A128-49CD-8757-E27F80402EC9}" name="Play Booster Expected Market Value MTG Stocks" dataDxfId="82"/>
    <tableColumn id="47" xr3:uid="{C6AC33F9-8A81-4FD8-8F58-A8109E4F9C9E}" name="Play Booster Sealed Market Value MTG Stocks" dataDxfId="81"/>
    <tableColumn id="81" xr3:uid="{D7E14E46-4F3B-4D48-9CF0-47868771C206}" name="Play Booster Expected Value MTG Stocks" dataDxfId="80">
      <calculatedColumnFormula>tbl_MTG_Set[[#This Row],[Play Booster Sell Price CardMarket]]*tbl_MTG_Set[[#This Row],[Play Booster Expected Market Value MTG Stocks]]/tbl_MTG_Set[[#This Row],[Play Booster Sealed Market Value MTG Stocks]]</calculatedColumnFormula>
    </tableColumn>
    <tableColumn id="82" xr3:uid="{0760BA47-6658-4FEF-8E77-8C59EB16B4BE}" name="Play Singles CardMarket Profit MTG Stocks" dataDxfId="79">
      <calculatedColumnFormula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calculatedColumnFormula>
    </tableColumn>
    <tableColumn id="80" xr3:uid="{F9D378B9-0410-48A3-8A91-8BDC82D007D1}" name="Play Singles CardMarket Profit Margin (%) MTG Stocks" dataDxfId="78">
      <calculatedColumnFormula>tbl_MTG_Set[[#This Row],[Play Singles CardMarket Profit MTG Stocks]]/tbl_MTG_Set[[#This Row],[Play Booster Cost]]</calculatedColumnFormula>
    </tableColumn>
    <tableColumn id="79" xr3:uid="{1786545E-8D80-43D7-B719-132548E89F42}" name="Split Play? MTG Stocks" dataDxfId="77">
      <calculatedColumnFormula>tbl_MTG_Set[[#This Row],[Play Singles CardMarket Profit MTG Stocks]]&gt;0</calculatedColumnFormula>
    </tableColumn>
    <tableColumn id="75" xr3:uid="{80A8A65D-80CD-4A2B-9889-6582FAA7A2F5}" name="EV Play BotBox Link" dataDxfId="76"/>
    <tableColumn id="74" xr3:uid="{A68159B1-4B2F-41FF-8180-FEDE0EB90101}" name="Play Booster Expected Market Value BotBox" dataDxfId="75"/>
    <tableColumn id="73" xr3:uid="{5F841A11-FE64-4C3D-A171-CA1F71D1BC6A}" name="Play Booster Sealed Market Value BotBox" dataDxfId="74"/>
    <tableColumn id="44" xr3:uid="{02403D53-175A-47A4-96E6-3177C4231CB8}" name="Play Booster Expected Value BotBox" dataDxfId="73">
      <calculatedColumnFormula>tbl_MTG_Set[[#This Row],[Play Booster Sell Price CardMarket]]*tbl_MTG_Set[[#This Row],[Play Booster Expected Market Value BotBox]]/tbl_MTG_Set[[#This Row],[Play Booster Sealed Market Value BotBox]]</calculatedColumnFormula>
    </tableColumn>
    <tableColumn id="42" xr3:uid="{61E5E143-013F-4FC3-8818-B15A088E2D68}" name="Play Singles CardMarket Profit BotBox" dataDxfId="72">
      <calculatedColumnFormula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calculatedColumnFormula>
    </tableColumn>
    <tableColumn id="69" xr3:uid="{C46EF72A-3AC4-4D39-84B9-8EE7F5A14FC4}" name="Play Singles CardMarket Profit Margin (%) BotBox" dataDxfId="71">
      <calculatedColumnFormula>tbl_MTG_Set[[#This Row],[Play Singles CardMarket Profit BotBox]]/tbl_MTG_Set[[#This Row],[Play Booster Cost]]</calculatedColumnFormula>
    </tableColumn>
    <tableColumn id="49" xr3:uid="{2014E315-3C3E-42F8-AD37-60E3DCDA63D4}" name="Split Play? BotBox" dataDxfId="70">
      <calculatedColumnFormula>tbl_MTG_Set[[#This Row],[Play Singles CardMarket Profit BotBox]]&gt;0</calculatedColumnFormula>
    </tableColumn>
    <tableColumn id="76" xr3:uid="{910D8A91-9F4B-4F3E-B423-126203421CAE}" name="EV Collector BotBox Link" dataDxfId="69"/>
    <tableColumn id="59" xr3:uid="{75315775-15BE-4905-8AA5-7DAF320D4525}" name="Collector Booster Expected Market Value MTG Stocks" dataDxfId="68"/>
    <tableColumn id="60" xr3:uid="{9FAB1A38-9361-434C-9A6C-FDF07A6F4F5C}" name="Collector Booster Sealed Market Value MTG Stocks" dataDxfId="67"/>
    <tableColumn id="86" xr3:uid="{A6E4FB61-849F-469D-9420-88E3C9EABB17}" name="Collector Booster Expected Value MTG Stocks" dataDxfId="66">
      <calculatedColumnFormula>tbl_MTG_Set[[#This Row],[Collector Booster Sell Price CardMarket]]*tbl_MTG_Set[[#This Row],[Collector Booster Expected Market Value MTG Stocks]]/tbl_MTG_Set[[#This Row],[Collector Booster Sealed Market Value MTG Stocks]]</calculatedColumnFormula>
    </tableColumn>
    <tableColumn id="85" xr3:uid="{93E09DF7-D6E3-43D7-8CE2-568FB84D459E}" name="Collector Singles CardMarket Profit MTG Stocks" dataDxfId="65">
      <calculatedColumnFormula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calculatedColumnFormula>
    </tableColumn>
    <tableColumn id="84" xr3:uid="{80539CBC-BC7B-4D7C-8CD6-F10FB03BDF6C}" name="Collector Singles CardMarket Profit Margin (%) MTG Stocks" dataDxfId="64">
      <calculatedColumnFormula>tbl_MTG_Set[[#This Row],[Collector Singles CardMarket Profit MTG Stocks]]/tbl_MTG_Set[[#This Row],[Collector Booster Cost]]</calculatedColumnFormula>
    </tableColumn>
    <tableColumn id="83" xr3:uid="{60C8D97C-7BEF-4CBF-8641-3E3493F17BDB}" name="Split Collector? MTG Stocks" dataDxfId="63">
      <calculatedColumnFormula>tbl_MTG_Set[[#This Row],[Collector Singles CardMarket Profit MTG Stocks]]&gt;0</calculatedColumnFormula>
    </tableColumn>
    <tableColumn id="78" xr3:uid="{CC65F18E-80BB-410F-9A9D-873248881C52}" name="Collector Booster Expected Market Value BotBox" dataDxfId="62"/>
    <tableColumn id="77" xr3:uid="{452B3B15-23E7-4EFB-A8E3-C0CA56552E39}" name="Collector Booster Sealed Market Value BotBox" dataDxfId="61"/>
    <tableColumn id="61" xr3:uid="{C81DCA0E-B0FA-4C34-86F6-D83C3027D926}" name="Collector Booster Expected Value BotBox" dataDxfId="60">
      <calculatedColumnFormula>tbl_MTG_Set[[#This Row],[Collector Booster Sell Price CardMarket]]*tbl_MTG_Set[[#This Row],[Collector Booster Expected Market Value BotBox]]/tbl_MTG_Set[[#This Row],[Collector Booster Sealed Market Value BotBox]]</calculatedColumnFormula>
    </tableColumn>
    <tableColumn id="62" xr3:uid="{0409F563-EBA6-47D8-9D25-412E16C1009E}" name="Collector Singles CardMarket Profit BotBox" dataDxfId="59">
      <calculatedColumnFormula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calculatedColumnFormula>
    </tableColumn>
    <tableColumn id="68" xr3:uid="{1227216F-26A6-416E-A854-30DA4594CC99}" name="Collector Singles CardMarket Profit Margin (%) BotBox" dataDxfId="58">
      <calculatedColumnFormula>tbl_MTG_Set[[#This Row],[Collector Singles CardMarket Profit BotBox]]/tbl_MTG_Set[[#This Row],[Collector Booster Cost]]</calculatedColumnFormula>
    </tableColumn>
    <tableColumn id="63" xr3:uid="{6FE8B73D-39DB-4793-8BD0-0D11CE5F0D50}" name="Split Collector? BotBox" dataDxfId="57">
      <calculatedColumnFormula>tbl_MTG_Set[[#This Row],[Collector Singles CardMarket Profit BotBox]]&gt;0</calculatedColumnFormula>
    </tableColumn>
    <tableColumn id="65" xr3:uid="{7478BA5D-F017-49B0-8C5E-8C505DCFF722}" name="Buy?" dataDxfId="56">
      <calculatedColumnFormula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calculatedColumnFormula>
    </tableColumn>
    <tableColumn id="58" xr3:uid="{892905AB-A74C-417E-9510-481E5AF70CF6}" name="Max Profit Option" dataDxfId="55">
      <calculatedColumnFormula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calculatedColumnFormula>
    </tableColumn>
    <tableColumn id="70" xr3:uid="{3A73F0C0-D6A1-4713-8621-5C93A5A26ED6}" name="Max Profit" dataDxfId="54">
      <calculatedColumnFormula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calculatedColumnFormula>
    </tableColumn>
    <tableColumn id="71" xr3:uid="{97F1776E-746A-4011-ADE6-716907E39400}" name="Max Profit Margin Option" dataDxfId="53">
      <calculatedColumnFormula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calculatedColumnFormula>
    </tableColumn>
    <tableColumn id="72" xr3:uid="{828519E6-0811-4EA8-ABC6-F97F3113F10D}" name="Max Profit Margin (%)" dataDxfId="52">
      <calculatedColumnFormula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BE53E12-477C-3848-8758-D9EA5F209142}" name="tbl_Sales_Order" displayName="tbl_Sales_Order" ref="A1:H16" totalsRowShown="0">
  <autoFilter ref="A1:H16" xr:uid="{6BE53E12-477C-3848-8758-D9EA5F209142}"/>
  <tableColumns count="8">
    <tableColumn id="1" xr3:uid="{2DAC04CF-97A1-0B47-B58D-9954C731E26F}" name="Order ID"/>
    <tableColumn id="2" xr3:uid="{2D20C5E3-CA3F-734A-8CC3-051D3EFE91F3}" name="Customer Name"/>
    <tableColumn id="3" xr3:uid="{0B728093-6A67-A648-916A-0F0CE4503535}" name="Platform"/>
    <tableColumn id="4" xr3:uid="{787EAE5E-102F-DF4D-B9E5-22A5C23B1EA3}" name="Delivery Address"/>
    <tableColumn id="5" xr3:uid="{76B3D25E-92B4-3544-9EDA-10EAA84C7983}" name="Date" dataDxfId="51"/>
    <tableColumn id="6" xr3:uid="{4CCDBC0B-EDDC-B842-8DBB-ADB3892C19FB}" name="CardMarket Sale ID"/>
    <tableColumn id="7" xr3:uid="{67FA019F-2A3C-A041-8944-8DDDDBD75452}" name="Total Value GBP"/>
    <tableColumn id="8" xr3:uid="{D42F8916-4CC0-E244-A31C-E372579F5D10}" name="Include In Statistic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D8E0AEC-1315-4643-98DE-A004DD3F98F8}" name="tbl_Sales_Order_Item" displayName="tbl_Sales_Order_Item" ref="A1:H48" totalsRowShown="0">
  <autoFilter ref="A1:H48" xr:uid="{DD8E0AEC-1315-4643-98DE-A004DD3F98F8}"/>
  <tableColumns count="8">
    <tableColumn id="1" xr3:uid="{FBA51531-E3A7-4344-BFB5-88344A382EE4}" name="Order Item Id"/>
    <tableColumn id="2" xr3:uid="{1E3B6BB7-4249-D34C-BA12-63A023FCE008}" name="Order Id"/>
    <tableColumn id="3" xr3:uid="{0146CE78-8AD1-E845-97E0-64D48BACD549}" name="Product Id"/>
    <tableColumn id="4" xr3:uid="{D89266B8-7E2D-5E49-B2ED-911310FAA01E}" name="Quantity"/>
    <tableColumn id="6" xr3:uid="{A9D7CE3F-7039-E849-9AFC-B959312A2FB9}" name="Order Ref" dataDxfId="50">
      <calculatedColumnFormula>_xlfn.XLOOKUP(tbl_Sales_Order_Item[[#This Row],[Order Id]], 'Sales Order'!A:A, 'Sales Order'!F:F)</calculatedColumnFormula>
    </tableColumn>
    <tableColumn id="5" xr3:uid="{754F4F2C-D446-4249-8B42-AE9DADF42AA9}" name="Product Name" dataDxfId="49">
      <calculatedColumnFormula>_xlfn.XLOOKUP(tbl_Sales_Order_Item[[#This Row],[Product Id]],Product!A:A,Product!B:B)</calculatedColumnFormula>
    </tableColumn>
    <tableColumn id="7" xr3:uid="{800ABA11-981E-6143-B1B8-5ED4A5B14720}" name="Subtotal Price"/>
    <tableColumn id="8" xr3:uid="{F95BDF17-B9AA-4848-B619-6D8CF65AA2C5}" name="Order Included In Statistics" dataDxfId="48">
      <calculatedColumnFormula>IF(_xlfn.XLOOKUP(tbl_Sales_Order_Item[[#This Row],[Order Id]], 'Sales Order'!A:A, 'Sales Order'!H:H)=0, FALSE, TRUE)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F1225FC-B038-054A-9501-669EF07C3456}" name="tbl_Product" displayName="tbl_Product" ref="A1:K256" totalsRowShown="0">
  <autoFilter ref="A1:K256" xr:uid="{AF1225FC-B038-054A-9501-669EF07C3456}"/>
  <sortState xmlns:xlrd2="http://schemas.microsoft.com/office/spreadsheetml/2017/richdata2" ref="A2:K256">
    <sortCondition ref="B1:B256"/>
  </sortState>
  <tableColumns count="11">
    <tableColumn id="1" xr3:uid="{61BDAE9A-039B-FF4C-ABF6-2A8EE1158B3B}" name="Product Id"/>
    <tableColumn id="2" xr3:uid="{5802992E-5BB4-AE4E-878C-A8095B68EF9D}" name="Name"/>
    <tableColumn id="3" xr3:uid="{DB44EF04-145F-4082-B994-C96B2FE30A6C}" name="Pack Size"/>
    <tableColumn id="4" xr3:uid="{0A21EA13-4013-491D-88EF-ED65A16B91F0}" name="Is Booster Box"/>
    <tableColumn id="11" xr3:uid="{836EA9B3-5A25-4B9A-994A-CA71104CF349}" name="Is Booster"/>
    <tableColumn id="5" xr3:uid="{E998BD2C-7C55-4CB2-9374-ED7D5E19D651}" name="Is Set or Play Booster"/>
    <tableColumn id="6" xr3:uid="{E3ADFB51-557A-4CE0-9F13-17DA4A4A4652}" name="Is Collector"/>
    <tableColumn id="7" xr3:uid="{72E55111-F82C-4C7B-A3BB-9F5020FD9C6C}" name="Is Precon"/>
    <tableColumn id="8" xr3:uid="{8BCD8E2B-7932-49DE-BB71-E3A4E4400D5B}" name="Min Cost" dataDxfId="46">
      <calculatedColumnFormula array="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calculatedColumnFormula>
    </tableColumn>
    <tableColumn id="9" xr3:uid="{311944BE-2F3A-40FC-A88E-EA479D289431}" name="Best Source" dataDxfId="45">
      <calculatedColumnFormula array="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calculatedColumnFormula>
    </tableColumn>
    <tableColumn id="10" xr3:uid="{C2AD8AFF-B306-4242-BC25-C3AC633FAFEC}" name="Profit CardMarket" dataDxfId="44">
      <calculatedColumnFormula array="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B611CBC-5A19-41EF-9968-B4D31A85D3BC}" name="tbl_Sourcing" displayName="tbl_Sourcing" ref="A1:AX1020" totalsRowShown="0">
  <autoFilter ref="A1:AX1020" xr:uid="{5B611CBC-5A19-41EF-9968-B4D31A85D3BC}"/>
  <sortState xmlns:xlrd2="http://schemas.microsoft.com/office/spreadsheetml/2017/richdata2" ref="A2:AX1020">
    <sortCondition ref="C1:C1020"/>
  </sortState>
  <tableColumns count="50">
    <tableColumn id="1" xr3:uid="{C1D66AAB-9047-4996-A012-38DC743C0250}" name="Sourcing Id"/>
    <tableColumn id="2" xr3:uid="{6FC43E20-A3AE-41CA-A53E-82592F90B83F}" name="Product Id"/>
    <tableColumn id="3" xr3:uid="{0F85C190-438F-4781-B15C-DC3C912272FE}" name="Source Name"/>
    <tableColumn id="4" xr3:uid="{142F858A-03B3-4FE1-876E-3C44DB303B04}" name="Source Link"/>
    <tableColumn id="5" xr3:uid="{3747024B-3056-43B5-BEF0-E9171CB7DC51}" name="Source Unit Cost"/>
    <tableColumn id="7" xr3:uid="{F3A9AE9D-E96F-4DDB-8CFB-8536739CA7C2}" name="Active"/>
    <tableColumn id="8" xr3:uid="{2732B532-3A88-4C0B-BF86-48849AA5D96A}" name="Min Order Value" dataDxfId="42"/>
    <tableColumn id="6" xr3:uid="{96E537F1-5C44-427A-BFDD-B6A9418B0F17}" name="Sale Price"/>
    <tableColumn id="9" xr3:uid="{5241CD1F-CF32-42DB-83D6-2AEE96653550}" name="Notes"/>
    <tableColumn id="10" xr3:uid="{E8D9CB6E-D915-44F4-B38B-30FD21BF5328}" name="Product Name" dataDxfId="41">
      <calculatedColumnFormula>_xlfn.XLOOKUP(tbl_Sourcing[[#This Row],[Product Id]], tbl_Product[Product Id], tbl_Product[Name])</calculatedColumnFormula>
    </tableColumn>
    <tableColumn id="11" xr3:uid="{D9B1523D-552B-43AF-BC69-5FAD4BA54FC4}" name="Index Card Market" dataDxfId="40"/>
    <tableColumn id="12" xr3:uid="{B8EB206B-F99A-4FFB-AA15-A233E04CE905}" name="Index Chaos Cards" dataDxfId="39"/>
    <tableColumn id="13" xr3:uid="{747F2F62-1167-41A1-A1E4-9C5691CE9588}" name="Index Games Lore" dataDxfId="38"/>
    <tableColumn id="14" xr3:uid="{CDDC9E23-F119-46C1-9934-E6E0DD37E6FE}" name="Index Magic Madhouse" dataDxfId="37"/>
    <tableColumn id="17" xr3:uid="{2DDBE295-D87D-49E0-96A4-B4D8C83610D8}" name="Index New Realities Gaming" dataDxfId="36"/>
    <tableColumn id="35" xr3:uid="{0B87109D-9D9C-49EE-BDF9-59416CADC096}" name="Index Column16" dataDxfId="35"/>
    <tableColumn id="36" xr3:uid="{84E0BB04-0B5B-4AC9-9483-3119C991ED77}" name="Index Column17" dataDxfId="34"/>
    <tableColumn id="37" xr3:uid="{D6515E87-2F11-416C-B81C-FDD87A51D320}" name="Index Column18" dataDxfId="33"/>
    <tableColumn id="38" xr3:uid="{89D44071-FF11-41D1-BD14-311D148AB433}" name="Index Column19" dataDxfId="32"/>
    <tableColumn id="39" xr3:uid="{DF2885C5-B4FD-4559-87F3-2E2446ED4209}" name="Index Column20" dataDxfId="31"/>
    <tableColumn id="40" xr3:uid="{C581A41D-7A58-44CB-9CE3-D632E3587A82}" name="Index Column21" dataDxfId="30"/>
    <tableColumn id="41" xr3:uid="{CAF3E3C8-2F9E-44C7-8680-FB6339AD5D2F}" name="Index Column212" dataDxfId="29"/>
    <tableColumn id="42" xr3:uid="{A9527856-DDC8-42F3-8624-7A95ED449CD7}" name="Index Column213" dataDxfId="28"/>
    <tableColumn id="43" xr3:uid="{2A9E6024-5F56-4544-BFB3-14B9686D31E5}" name="Index Column214" dataDxfId="27"/>
    <tableColumn id="44" xr3:uid="{96B0263B-E074-4E0A-B3D3-7DE01BC49299}" name="Index Column215" dataDxfId="26"/>
    <tableColumn id="45" xr3:uid="{6C4C04C2-C739-4415-9B15-9D57BB589684}" name="Index Column216" dataDxfId="25"/>
    <tableColumn id="46" xr3:uid="{450DE5B2-F0F4-43E3-B698-5ABB9AF8637E}" name="Index Column217" dataDxfId="24"/>
    <tableColumn id="47" xr3:uid="{F009A24F-E0BA-45E5-A3AE-44835E3D3B78}" name="Index Column218" dataDxfId="23"/>
    <tableColumn id="48" xr3:uid="{B0877032-0FEB-4DC3-A5AA-E07A455ACE6B}" name="Index Column219" dataDxfId="22"/>
    <tableColumn id="49" xr3:uid="{D0B8E840-C8FB-4A62-A69E-825EFF090116}" name="Index Column220" dataDxfId="21"/>
    <tableColumn id="50" xr3:uid="{F1758CC6-3F4C-42EE-A345-06F4B4CC8F4A}" name="Index Column221" dataDxfId="20"/>
    <tableColumn id="27" xr3:uid="{7F383E60-5662-4D28-8E35-06E1401BF631}" name="Index Column8" dataDxfId="19"/>
    <tableColumn id="28" xr3:uid="{604FDEFE-BF14-4C95-9BC7-B8B4753F09BD}" name="Index Column9" dataDxfId="18"/>
    <tableColumn id="29" xr3:uid="{685A5191-A0F8-465B-98E2-9B714F7D8341}" name="Index Column10" dataDxfId="17"/>
    <tableColumn id="30" xr3:uid="{1D6288EC-4AE6-4362-A71C-98275676D519}" name="Index Column11" dataDxfId="16"/>
    <tableColumn id="31" xr3:uid="{B85FA758-4D25-4920-81F7-30C0C06864E4}" name="Index Column12" dataDxfId="15"/>
    <tableColumn id="32" xr3:uid="{6A241F3E-8913-4131-B85B-8C7EDA8E2588}" name="Index Column13" dataDxfId="14"/>
    <tableColumn id="33" xr3:uid="{02FEDEC7-E8F3-4BE0-ABBE-D641EBCC939C}" name="Index Column14" dataDxfId="13"/>
    <tableColumn id="34" xr3:uid="{6DCA98BB-0868-4953-A181-360BB0386526}" name="Index Column15" dataDxfId="12"/>
    <tableColumn id="23" xr3:uid="{12D30C68-5AD2-4237-8223-CECB4778E19D}" name="Index Column4" dataDxfId="11"/>
    <tableColumn id="24" xr3:uid="{F6C7BD65-1267-4A99-88D9-DDABD24F6C29}" name="Index Column5" dataDxfId="10"/>
    <tableColumn id="25" xr3:uid="{9EC91FBD-5344-4AAC-B974-6316931C753A}" name="Index Column6" dataDxfId="9"/>
    <tableColumn id="26" xr3:uid="{0DCA5263-F9AA-495D-936B-29899F019281}" name="Index Column7" dataDxfId="8"/>
    <tableColumn id="20" xr3:uid="{FBFDB396-00CC-478F-9A29-2484DD0F5198}" name="Index Column2" dataDxfId="7"/>
    <tableColumn id="22" xr3:uid="{30339996-62C5-44BE-90BC-D0B304538354}" name="Index Column22" dataDxfId="6"/>
    <tableColumn id="21" xr3:uid="{243E488E-32C2-47C4-BB1E-959C49C77705}" name="Index Column3" dataDxfId="5"/>
    <tableColumn id="19" xr3:uid="{3830B387-967E-4980-A959-95E5828DCA81}" name="Index Column1" dataDxfId="4"/>
    <tableColumn id="15" xr3:uid="{FB4ECAF9-2341-4B93-8778-3CAE809520C1}" name="Index Scraping Record" dataDxfId="3">
      <calculatedColumnFormula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calculatedColumnFormula>
    </tableColumn>
    <tableColumn id="16" xr3:uid="{0279719C-A38B-4CD7-822D-9C57B0DBBAEF}" name="Is Booster" dataDxfId="2">
      <calculatedColumnFormula>_xlfn.XLOOKUP(tbl_Sourcing[[#This Row],[Product Id]], tbl_Product[Product Id], tbl_Product[Is Set or Play Booster])</calculatedColumnFormula>
    </tableColumn>
    <tableColumn id="18" xr3:uid="{3B5F7909-2518-48A1-B2CC-D393D18B1744}" name="Is Precon" dataDxfId="1">
      <calculatedColumnFormula>_xlfn.XLOOKUP(tbl_Sourcing[[#This Row],[Product Id]], tbl_Product[Product Id], tbl_Product[Is Precon])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scryfall.com/cubes/uncommon" TargetMode="External"/><Relationship Id="rId3182" Type="http://schemas.openxmlformats.org/officeDocument/2006/relationships/hyperlink" Target="https://scryfall.com/sets/gpt" TargetMode="External"/><Relationship Id="rId3042" Type="http://schemas.openxmlformats.org/officeDocument/2006/relationships/hyperlink" Target="https://scryfall.com/sets/tshm" TargetMode="External"/><Relationship Id="rId170" Type="http://schemas.openxmlformats.org/officeDocument/2006/relationships/hyperlink" Target="https://scryfall.com/sets/tfic" TargetMode="External"/><Relationship Id="rId987" Type="http://schemas.openxmlformats.org/officeDocument/2006/relationships/hyperlink" Target="https://scryfall.com/sets/t2x2" TargetMode="External"/><Relationship Id="rId2668" Type="http://schemas.openxmlformats.org/officeDocument/2006/relationships/hyperlink" Target="https://scryfall.com/sets/j12" TargetMode="External"/><Relationship Id="rId2875" Type="http://schemas.openxmlformats.org/officeDocument/2006/relationships/hyperlink" Target="https://scryfall.com/sets/pmps10" TargetMode="External"/><Relationship Id="rId3719" Type="http://schemas.openxmlformats.org/officeDocument/2006/relationships/hyperlink" Target="https://scryfall.com/sets/ptc" TargetMode="External"/><Relationship Id="rId847" Type="http://schemas.openxmlformats.org/officeDocument/2006/relationships/hyperlink" Target="https://scryfall.com/sets/pbro" TargetMode="External"/><Relationship Id="rId1477" Type="http://schemas.openxmlformats.org/officeDocument/2006/relationships/hyperlink" Target="https://scryfall.com/sets/ss3" TargetMode="External"/><Relationship Id="rId1684" Type="http://schemas.openxmlformats.org/officeDocument/2006/relationships/hyperlink" Target="https://scryfall.com/sets/prna" TargetMode="External"/><Relationship Id="rId1891" Type="http://schemas.openxmlformats.org/officeDocument/2006/relationships/hyperlink" Target="https://scryfall.com/sets/tust" TargetMode="External"/><Relationship Id="rId2528" Type="http://schemas.openxmlformats.org/officeDocument/2006/relationships/hyperlink" Target="https://scryfall.com/sets/tdgm" TargetMode="External"/><Relationship Id="rId2735" Type="http://schemas.openxmlformats.org/officeDocument/2006/relationships/hyperlink" Target="https://scryfall.com/sets/tnph" TargetMode="External"/><Relationship Id="rId2942" Type="http://schemas.openxmlformats.org/officeDocument/2006/relationships/hyperlink" Target="https://scryfall.com/sets/arb" TargetMode="External"/><Relationship Id="rId707" Type="http://schemas.openxmlformats.org/officeDocument/2006/relationships/hyperlink" Target="https://scryfall.com/sets/wmom" TargetMode="External"/><Relationship Id="rId914" Type="http://schemas.openxmlformats.org/officeDocument/2006/relationships/hyperlink" Target="https://scryfall.com/sets/t40k" TargetMode="External"/><Relationship Id="rId1337" Type="http://schemas.openxmlformats.org/officeDocument/2006/relationships/hyperlink" Target="https://scryfall.com/sets/pkhm" TargetMode="External"/><Relationship Id="rId1544" Type="http://schemas.openxmlformats.org/officeDocument/2006/relationships/hyperlink" Target="https://scryfall.com/sets/sld" TargetMode="External"/><Relationship Id="rId1751" Type="http://schemas.openxmlformats.org/officeDocument/2006/relationships/hyperlink" Target="https://scryfall.com/sets/oc18" TargetMode="External"/><Relationship Id="rId2802" Type="http://schemas.openxmlformats.org/officeDocument/2006/relationships/hyperlink" Target="https://scryfall.com/sets/psom" TargetMode="External"/><Relationship Id="rId43" Type="http://schemas.openxmlformats.org/officeDocument/2006/relationships/hyperlink" Target="https://scryfall.com/sets/ttla" TargetMode="External"/><Relationship Id="rId1404" Type="http://schemas.openxmlformats.org/officeDocument/2006/relationships/hyperlink" Target="https://scryfall.com/sets/tznr" TargetMode="External"/><Relationship Id="rId1611" Type="http://schemas.openxmlformats.org/officeDocument/2006/relationships/hyperlink" Target="https://scryfall.com/sets/oc19" TargetMode="External"/><Relationship Id="rId3369" Type="http://schemas.openxmlformats.org/officeDocument/2006/relationships/hyperlink" Target="https://scryfall.com/sets/pal03" TargetMode="External"/><Relationship Id="rId3576" Type="http://schemas.openxmlformats.org/officeDocument/2006/relationships/hyperlink" Target="https://scryfall.com/sets/pptk" TargetMode="External"/><Relationship Id="rId497" Type="http://schemas.openxmlformats.org/officeDocument/2006/relationships/hyperlink" Target="https://scryfall.com/sets/mkc" TargetMode="External"/><Relationship Id="rId2178" Type="http://schemas.openxmlformats.org/officeDocument/2006/relationships/hyperlink" Target="https://scryfall.com/sets/c15" TargetMode="External"/><Relationship Id="rId2385" Type="http://schemas.openxmlformats.org/officeDocument/2006/relationships/hyperlink" Target="https://scryfall.com/sets/cns" TargetMode="External"/><Relationship Id="rId3229" Type="http://schemas.openxmlformats.org/officeDocument/2006/relationships/hyperlink" Target="https://scryfall.com/sets/rav" TargetMode="External"/><Relationship Id="rId3783" Type="http://schemas.openxmlformats.org/officeDocument/2006/relationships/hyperlink" Target="https://scryfall.com/sets/atq" TargetMode="External"/><Relationship Id="rId357" Type="http://schemas.openxmlformats.org/officeDocument/2006/relationships/hyperlink" Target="https://scryfall.com/sets/blc" TargetMode="External"/><Relationship Id="rId1194" Type="http://schemas.openxmlformats.org/officeDocument/2006/relationships/hyperlink" Target="https://scryfall.com/sets/mmid" TargetMode="External"/><Relationship Id="rId2038" Type="http://schemas.openxmlformats.org/officeDocument/2006/relationships/hyperlink" Target="https://scryfall.com/sets/taer" TargetMode="External"/><Relationship Id="rId2592" Type="http://schemas.openxmlformats.org/officeDocument/2006/relationships/hyperlink" Target="https://scryfall.com/sets/tddj" TargetMode="External"/><Relationship Id="rId3436" Type="http://schemas.openxmlformats.org/officeDocument/2006/relationships/hyperlink" Target="https://scryfall.com/sets/dkm" TargetMode="External"/><Relationship Id="rId3643" Type="http://schemas.openxmlformats.org/officeDocument/2006/relationships/hyperlink" Target="https://scryfall.com/sets/jgp" TargetMode="External"/><Relationship Id="rId217" Type="http://schemas.openxmlformats.org/officeDocument/2006/relationships/hyperlink" Target="https://scryfall.com/sets/pl25" TargetMode="External"/><Relationship Id="rId564" Type="http://schemas.openxmlformats.org/officeDocument/2006/relationships/hyperlink" Target="https://scryfall.com/sets/who" TargetMode="External"/><Relationship Id="rId771" Type="http://schemas.openxmlformats.org/officeDocument/2006/relationships/hyperlink" Target="https://scryfall.com/sets/fone" TargetMode="External"/><Relationship Id="rId2245" Type="http://schemas.openxmlformats.org/officeDocument/2006/relationships/hyperlink" Target="https://scryfall.com/sets/dtk" TargetMode="External"/><Relationship Id="rId2452" Type="http://schemas.openxmlformats.org/officeDocument/2006/relationships/hyperlink" Target="https://scryfall.com/sets/l14" TargetMode="External"/><Relationship Id="rId3503" Type="http://schemas.openxmlformats.org/officeDocument/2006/relationships/hyperlink" Target="https://scryfall.com/sets/ppcy" TargetMode="External"/><Relationship Id="rId3710" Type="http://schemas.openxmlformats.org/officeDocument/2006/relationships/hyperlink" Target="https://scryfall.com/sets/rqs" TargetMode="External"/><Relationship Id="rId424" Type="http://schemas.openxmlformats.org/officeDocument/2006/relationships/hyperlink" Target="https://scryfall.com/sets/potj" TargetMode="External"/><Relationship Id="rId631" Type="http://schemas.openxmlformats.org/officeDocument/2006/relationships/hyperlink" Target="https://scryfall.com/sets/pf23" TargetMode="External"/><Relationship Id="rId1054" Type="http://schemas.openxmlformats.org/officeDocument/2006/relationships/hyperlink" Target="https://scryfall.com/sets/msnc" TargetMode="External"/><Relationship Id="rId1261" Type="http://schemas.openxmlformats.org/officeDocument/2006/relationships/hyperlink" Target="https://scryfall.com/sets/tmh2" TargetMode="External"/><Relationship Id="rId2105" Type="http://schemas.openxmlformats.org/officeDocument/2006/relationships/hyperlink" Target="https://scryfall.com/sets/cn2" TargetMode="External"/><Relationship Id="rId2312" Type="http://schemas.openxmlformats.org/officeDocument/2006/relationships/hyperlink" Target="https://scryfall.com/sets/jvc" TargetMode="External"/><Relationship Id="rId1121" Type="http://schemas.openxmlformats.org/officeDocument/2006/relationships/hyperlink" Target="https://scryfall.com/sets/ymid" TargetMode="External"/><Relationship Id="rId3086" Type="http://schemas.openxmlformats.org/officeDocument/2006/relationships/hyperlink" Target="https://scryfall.com/sets/plrw" TargetMode="External"/><Relationship Id="rId3293" Type="http://schemas.openxmlformats.org/officeDocument/2006/relationships/hyperlink" Target="https://scryfall.com/sets/wc04" TargetMode="External"/><Relationship Id="rId1938" Type="http://schemas.openxmlformats.org/officeDocument/2006/relationships/hyperlink" Target="https://scryfall.com/sets/h17" TargetMode="External"/><Relationship Id="rId3153" Type="http://schemas.openxmlformats.org/officeDocument/2006/relationships/hyperlink" Target="https://scryfall.com/sets/ptsp" TargetMode="External"/><Relationship Id="rId3360" Type="http://schemas.openxmlformats.org/officeDocument/2006/relationships/hyperlink" Target="https://scryfall.com/sets/pmoa" TargetMode="External"/><Relationship Id="rId281" Type="http://schemas.openxmlformats.org/officeDocument/2006/relationships/hyperlink" Target="https://scryfall.com/sets/tfdn" TargetMode="External"/><Relationship Id="rId3013" Type="http://schemas.openxmlformats.org/officeDocument/2006/relationships/hyperlink" Target="https://scryfall.com/sets/me2" TargetMode="External"/><Relationship Id="rId141" Type="http://schemas.openxmlformats.org/officeDocument/2006/relationships/hyperlink" Target="https://scryfall.com/sets/teoc" TargetMode="External"/><Relationship Id="rId3220" Type="http://schemas.openxmlformats.org/officeDocument/2006/relationships/hyperlink" Target="https://scryfall.com/sets/p2hg" TargetMode="External"/><Relationship Id="rId7" Type="http://schemas.openxmlformats.org/officeDocument/2006/relationships/hyperlink" Target="https://scryfall.com/sets/msc" TargetMode="External"/><Relationship Id="rId2779" Type="http://schemas.openxmlformats.org/officeDocument/2006/relationships/hyperlink" Target="https://scryfall.com/sets/g11" TargetMode="External"/><Relationship Id="rId2986" Type="http://schemas.openxmlformats.org/officeDocument/2006/relationships/hyperlink" Target="https://scryfall.com/sets/f09" TargetMode="External"/><Relationship Id="rId958" Type="http://schemas.openxmlformats.org/officeDocument/2006/relationships/hyperlink" Target="https://scryfall.com/sets/tdmc" TargetMode="External"/><Relationship Id="rId1588" Type="http://schemas.openxmlformats.org/officeDocument/2006/relationships/hyperlink" Target="https://scryfall.com/sets/eld" TargetMode="External"/><Relationship Id="rId1795" Type="http://schemas.openxmlformats.org/officeDocument/2006/relationships/hyperlink" Target="https://scryfall.com/sets/pss3" TargetMode="External"/><Relationship Id="rId2639" Type="http://schemas.openxmlformats.org/officeDocument/2006/relationships/hyperlink" Target="https://scryfall.com/sets/dka" TargetMode="External"/><Relationship Id="rId2846" Type="http://schemas.openxmlformats.org/officeDocument/2006/relationships/hyperlink" Target="https://scryfall.com/sets/proe" TargetMode="External"/><Relationship Id="rId87" Type="http://schemas.openxmlformats.org/officeDocument/2006/relationships/hyperlink" Target="https://scryfall.com/sets/spe" TargetMode="External"/><Relationship Id="rId818" Type="http://schemas.openxmlformats.org/officeDocument/2006/relationships/hyperlink" Target="https://scryfall.com/sets/p30a" TargetMode="External"/><Relationship Id="rId1448" Type="http://schemas.openxmlformats.org/officeDocument/2006/relationships/hyperlink" Target="https://scryfall.com/sets/ph19" TargetMode="External"/><Relationship Id="rId1655" Type="http://schemas.openxmlformats.org/officeDocument/2006/relationships/hyperlink" Target="https://scryfall.com/sets/amh1" TargetMode="External"/><Relationship Id="rId2706" Type="http://schemas.openxmlformats.org/officeDocument/2006/relationships/hyperlink" Target="https://scryfall.com/sets/pm12" TargetMode="External"/><Relationship Id="rId1308" Type="http://schemas.openxmlformats.org/officeDocument/2006/relationships/hyperlink" Target="https://scryfall.com/sets/c21" TargetMode="External"/><Relationship Id="rId1862" Type="http://schemas.openxmlformats.org/officeDocument/2006/relationships/hyperlink" Target="https://scryfall.com/sets/rix" TargetMode="External"/><Relationship Id="rId2913" Type="http://schemas.openxmlformats.org/officeDocument/2006/relationships/hyperlink" Target="https://scryfall.com/sets/me3" TargetMode="External"/><Relationship Id="rId1515" Type="http://schemas.openxmlformats.org/officeDocument/2006/relationships/hyperlink" Target="https://scryfall.com/sets/ha2" TargetMode="External"/><Relationship Id="rId1722" Type="http://schemas.openxmlformats.org/officeDocument/2006/relationships/hyperlink" Target="https://scryfall.com/sets/pgrn" TargetMode="External"/><Relationship Id="rId14" Type="http://schemas.openxmlformats.org/officeDocument/2006/relationships/hyperlink" Target="https://scryfall.com/sets/pza" TargetMode="External"/><Relationship Id="rId3687" Type="http://schemas.openxmlformats.org/officeDocument/2006/relationships/hyperlink" Target="https://scryfall.com/sets/mgb" TargetMode="External"/><Relationship Id="rId2289" Type="http://schemas.openxmlformats.org/officeDocument/2006/relationships/hyperlink" Target="https://scryfall.com/sets/j15" TargetMode="External"/><Relationship Id="rId2496" Type="http://schemas.openxmlformats.org/officeDocument/2006/relationships/hyperlink" Target="https://scryfall.com/sets/v13" TargetMode="External"/><Relationship Id="rId3547" Type="http://schemas.openxmlformats.org/officeDocument/2006/relationships/hyperlink" Target="https://scryfall.com/sets/pwos" TargetMode="External"/><Relationship Id="rId3754" Type="http://schemas.openxmlformats.org/officeDocument/2006/relationships/hyperlink" Target="https://scryfall.com/sets/pmei" TargetMode="External"/><Relationship Id="rId468" Type="http://schemas.openxmlformats.org/officeDocument/2006/relationships/hyperlink" Target="https://scryfall.com/sets/pmkm" TargetMode="External"/><Relationship Id="rId675" Type="http://schemas.openxmlformats.org/officeDocument/2006/relationships/hyperlink" Target="https://scryfall.com/sets/pmat" TargetMode="External"/><Relationship Id="rId882" Type="http://schemas.openxmlformats.org/officeDocument/2006/relationships/hyperlink" Target="https://scryfall.com/sets/abro" TargetMode="External"/><Relationship Id="rId1098" Type="http://schemas.openxmlformats.org/officeDocument/2006/relationships/hyperlink" Target="https://scryfall.com/sets/nec" TargetMode="External"/><Relationship Id="rId2149" Type="http://schemas.openxmlformats.org/officeDocument/2006/relationships/hyperlink" Target="https://scryfall.com/sets/ddq" TargetMode="External"/><Relationship Id="rId2356" Type="http://schemas.openxmlformats.org/officeDocument/2006/relationships/hyperlink" Target="https://scryfall.com/sets/m15" TargetMode="External"/><Relationship Id="rId2563" Type="http://schemas.openxmlformats.org/officeDocument/2006/relationships/hyperlink" Target="https://scryfall.com/sets/j13" TargetMode="External"/><Relationship Id="rId2770" Type="http://schemas.openxmlformats.org/officeDocument/2006/relationships/hyperlink" Target="https://scryfall.com/sets/pdp12" TargetMode="External"/><Relationship Id="rId3407" Type="http://schemas.openxmlformats.org/officeDocument/2006/relationships/hyperlink" Target="https://scryfall.com/sets/jud" TargetMode="External"/><Relationship Id="rId3614" Type="http://schemas.openxmlformats.org/officeDocument/2006/relationships/hyperlink" Target="https://scryfall.com/sets/wc98" TargetMode="External"/><Relationship Id="rId328" Type="http://schemas.openxmlformats.org/officeDocument/2006/relationships/hyperlink" Target="https://scryfall.com/sets/adsk" TargetMode="External"/><Relationship Id="rId535" Type="http://schemas.openxmlformats.org/officeDocument/2006/relationships/hyperlink" Target="https://scryfall.com/sets/tlci" TargetMode="External"/><Relationship Id="rId742" Type="http://schemas.openxmlformats.org/officeDocument/2006/relationships/hyperlink" Target="https://scryfall.com/sets/pone" TargetMode="External"/><Relationship Id="rId1165" Type="http://schemas.openxmlformats.org/officeDocument/2006/relationships/hyperlink" Target="https://scryfall.com/sets/mid" TargetMode="External"/><Relationship Id="rId1372" Type="http://schemas.openxmlformats.org/officeDocument/2006/relationships/hyperlink" Target="https://scryfall.com/sets/cmr" TargetMode="External"/><Relationship Id="rId2009" Type="http://schemas.openxmlformats.org/officeDocument/2006/relationships/hyperlink" Target="https://scryfall.com/sets/takh" TargetMode="External"/><Relationship Id="rId2216" Type="http://schemas.openxmlformats.org/officeDocument/2006/relationships/hyperlink" Target="https://scryfall.com/sets/ori" TargetMode="External"/><Relationship Id="rId2423" Type="http://schemas.openxmlformats.org/officeDocument/2006/relationships/hyperlink" Target="https://scryfall.com/sets/ddm" TargetMode="External"/><Relationship Id="rId2630" Type="http://schemas.openxmlformats.org/officeDocument/2006/relationships/hyperlink" Target="https://scryfall.com/sets/phel" TargetMode="External"/><Relationship Id="rId602" Type="http://schemas.openxmlformats.org/officeDocument/2006/relationships/hyperlink" Target="https://scryfall.com/sets/awoe" TargetMode="External"/><Relationship Id="rId1025" Type="http://schemas.openxmlformats.org/officeDocument/2006/relationships/hyperlink" Target="https://scryfall.com/sets/psnc" TargetMode="External"/><Relationship Id="rId1232" Type="http://schemas.openxmlformats.org/officeDocument/2006/relationships/hyperlink" Target="https://scryfall.com/sets/tafc" TargetMode="External"/><Relationship Id="rId3197" Type="http://schemas.openxmlformats.org/officeDocument/2006/relationships/hyperlink" Target="https://scryfall.com/sets/pjas" TargetMode="External"/><Relationship Id="rId3057" Type="http://schemas.openxmlformats.org/officeDocument/2006/relationships/hyperlink" Target="https://scryfall.com/sets/tmor" TargetMode="External"/><Relationship Id="rId185" Type="http://schemas.openxmlformats.org/officeDocument/2006/relationships/hyperlink" Target="https://scryfall.com/sets/tdm" TargetMode="External"/><Relationship Id="rId1909" Type="http://schemas.openxmlformats.org/officeDocument/2006/relationships/hyperlink" Target="https://scryfall.com/sets/ddt" TargetMode="External"/><Relationship Id="rId3264" Type="http://schemas.openxmlformats.org/officeDocument/2006/relationships/hyperlink" Target="https://scryfall.com/sets/pjse" TargetMode="External"/><Relationship Id="rId3471" Type="http://schemas.openxmlformats.org/officeDocument/2006/relationships/hyperlink" Target="https://scryfall.com/sets/mpr" TargetMode="External"/><Relationship Id="rId392" Type="http://schemas.openxmlformats.org/officeDocument/2006/relationships/hyperlink" Target="https://scryfall.com/sets/smh3" TargetMode="External"/><Relationship Id="rId2073" Type="http://schemas.openxmlformats.org/officeDocument/2006/relationships/hyperlink" Target="https://scryfall.com/sets/c16" TargetMode="External"/><Relationship Id="rId2280" Type="http://schemas.openxmlformats.org/officeDocument/2006/relationships/hyperlink" Target="https://scryfall.com/sets/ugin" TargetMode="External"/><Relationship Id="rId3124" Type="http://schemas.openxmlformats.org/officeDocument/2006/relationships/hyperlink" Target="https://scryfall.com/sets/plc" TargetMode="External"/><Relationship Id="rId3331" Type="http://schemas.openxmlformats.org/officeDocument/2006/relationships/hyperlink" Target="https://scryfall.com/sets/pmrd" TargetMode="External"/><Relationship Id="rId252" Type="http://schemas.openxmlformats.org/officeDocument/2006/relationships/hyperlink" Target="https://scryfall.com/sets/tinr" TargetMode="External"/><Relationship Id="rId2140" Type="http://schemas.openxmlformats.org/officeDocument/2006/relationships/hyperlink" Target="https://scryfall.com/sets/psoi" TargetMode="External"/><Relationship Id="rId112" Type="http://schemas.openxmlformats.org/officeDocument/2006/relationships/hyperlink" Target="https://scryfall.com/sets/aa1" TargetMode="External"/><Relationship Id="rId1699" Type="http://schemas.openxmlformats.org/officeDocument/2006/relationships/hyperlink" Target="https://scryfall.com/sets/uma" TargetMode="External"/><Relationship Id="rId2000" Type="http://schemas.openxmlformats.org/officeDocument/2006/relationships/hyperlink" Target="https://scryfall.com/sets/mp2" TargetMode="External"/><Relationship Id="rId2957" Type="http://schemas.openxmlformats.org/officeDocument/2006/relationships/hyperlink" Target="https://scryfall.com/sets/tddc" TargetMode="External"/><Relationship Id="rId929" Type="http://schemas.openxmlformats.org/officeDocument/2006/relationships/hyperlink" Target="https://scryfall.com/sets/tdmu" TargetMode="External"/><Relationship Id="rId1559" Type="http://schemas.openxmlformats.org/officeDocument/2006/relationships/hyperlink" Target="https://scryfall.com/sets/slx" TargetMode="External"/><Relationship Id="rId1766" Type="http://schemas.openxmlformats.org/officeDocument/2006/relationships/hyperlink" Target="https://scryfall.com/sets/ana" TargetMode="External"/><Relationship Id="rId1973" Type="http://schemas.openxmlformats.org/officeDocument/2006/relationships/hyperlink" Target="https://scryfall.com/sets/thou" TargetMode="External"/><Relationship Id="rId2817" Type="http://schemas.openxmlformats.org/officeDocument/2006/relationships/hyperlink" Target="https://scryfall.com/sets/v10" TargetMode="External"/><Relationship Id="rId58" Type="http://schemas.openxmlformats.org/officeDocument/2006/relationships/hyperlink" Target="https://scryfall.com/sets/ttle" TargetMode="External"/><Relationship Id="rId1419" Type="http://schemas.openxmlformats.org/officeDocument/2006/relationships/hyperlink" Target="https://scryfall.com/sets/tznc" TargetMode="External"/><Relationship Id="rId1626" Type="http://schemas.openxmlformats.org/officeDocument/2006/relationships/hyperlink" Target="https://scryfall.com/sets/pm20" TargetMode="External"/><Relationship Id="rId1833" Type="http://schemas.openxmlformats.org/officeDocument/2006/relationships/hyperlink" Target="https://scryfall.com/sets/pdom" TargetMode="External"/><Relationship Id="rId1900" Type="http://schemas.openxmlformats.org/officeDocument/2006/relationships/hyperlink" Target="https://scryfall.com/sets/e02" TargetMode="External"/><Relationship Id="rId3798" Type="http://schemas.openxmlformats.org/officeDocument/2006/relationships/hyperlink" Target="https://scryfall.com/sets/2ed" TargetMode="External"/><Relationship Id="rId3658" Type="http://schemas.openxmlformats.org/officeDocument/2006/relationships/hyperlink" Target="https://scryfall.com/sets/wth" TargetMode="External"/><Relationship Id="rId579" Type="http://schemas.openxmlformats.org/officeDocument/2006/relationships/hyperlink" Target="https://scryfall.com/sets/pwoe" TargetMode="External"/><Relationship Id="rId786" Type="http://schemas.openxmlformats.org/officeDocument/2006/relationships/hyperlink" Target="https://scryfall.com/sets/pr23" TargetMode="External"/><Relationship Id="rId993" Type="http://schemas.openxmlformats.org/officeDocument/2006/relationships/hyperlink" Target="https://scryfall.com/sets/hbg" TargetMode="External"/><Relationship Id="rId2467" Type="http://schemas.openxmlformats.org/officeDocument/2006/relationships/hyperlink" Target="https://scryfall.com/sets/oc13" TargetMode="External"/><Relationship Id="rId2674" Type="http://schemas.openxmlformats.org/officeDocument/2006/relationships/hyperlink" Target="https://scryfall.com/sets/pd3" TargetMode="External"/><Relationship Id="rId3518" Type="http://schemas.openxmlformats.org/officeDocument/2006/relationships/hyperlink" Target="https://scryfall.com/sets/pal00" TargetMode="External"/><Relationship Id="rId439" Type="http://schemas.openxmlformats.org/officeDocument/2006/relationships/hyperlink" Target="https://scryfall.com/sets/big" TargetMode="External"/><Relationship Id="rId646" Type="http://schemas.openxmlformats.org/officeDocument/2006/relationships/hyperlink" Target="https://scryfall.com/sets/pltc" TargetMode="External"/><Relationship Id="rId1069" Type="http://schemas.openxmlformats.org/officeDocument/2006/relationships/hyperlink" Target="https://scryfall.com/sets/pw22" TargetMode="External"/><Relationship Id="rId1276" Type="http://schemas.openxmlformats.org/officeDocument/2006/relationships/hyperlink" Target="https://scryfall.com/sets/ha5" TargetMode="External"/><Relationship Id="rId1483" Type="http://schemas.openxmlformats.org/officeDocument/2006/relationships/hyperlink" Target="https://scryfall.com/sets/ha3" TargetMode="External"/><Relationship Id="rId2327" Type="http://schemas.openxmlformats.org/officeDocument/2006/relationships/hyperlink" Target="https://scryfall.com/sets/c14" TargetMode="External"/><Relationship Id="rId2881" Type="http://schemas.openxmlformats.org/officeDocument/2006/relationships/hyperlink" Target="https://scryfall.com/sets/p10" TargetMode="External"/><Relationship Id="rId3725" Type="http://schemas.openxmlformats.org/officeDocument/2006/relationships/hyperlink" Target="https://scryfall.com/sets/hml" TargetMode="External"/><Relationship Id="rId506" Type="http://schemas.openxmlformats.org/officeDocument/2006/relationships/hyperlink" Target="https://scryfall.com/sets/pl24" TargetMode="External"/><Relationship Id="rId853" Type="http://schemas.openxmlformats.org/officeDocument/2006/relationships/hyperlink" Target="https://scryfall.com/sets/ybro" TargetMode="External"/><Relationship Id="rId1136" Type="http://schemas.openxmlformats.org/officeDocument/2006/relationships/hyperlink" Target="https://scryfall.com/sets/mvow" TargetMode="External"/><Relationship Id="rId1690" Type="http://schemas.openxmlformats.org/officeDocument/2006/relationships/hyperlink" Target="https://scryfall.com/sets/prw2" TargetMode="External"/><Relationship Id="rId2534" Type="http://schemas.openxmlformats.org/officeDocument/2006/relationships/hyperlink" Target="https://scryfall.com/sets/wmc" TargetMode="External"/><Relationship Id="rId2741" Type="http://schemas.openxmlformats.org/officeDocument/2006/relationships/hyperlink" Target="https://scryfall.com/sets/tddg" TargetMode="External"/><Relationship Id="rId713" Type="http://schemas.openxmlformats.org/officeDocument/2006/relationships/hyperlink" Target="https://scryfall.com/sets/amom" TargetMode="External"/><Relationship Id="rId920" Type="http://schemas.openxmlformats.org/officeDocument/2006/relationships/hyperlink" Target="https://scryfall.com/sets/prcq" TargetMode="External"/><Relationship Id="rId1343" Type="http://schemas.openxmlformats.org/officeDocument/2006/relationships/hyperlink" Target="https://scryfall.com/sets/mkhm" TargetMode="External"/><Relationship Id="rId1550" Type="http://schemas.openxmlformats.org/officeDocument/2006/relationships/hyperlink" Target="https://scryfall.com/sets/slp" TargetMode="External"/><Relationship Id="rId2601" Type="http://schemas.openxmlformats.org/officeDocument/2006/relationships/hyperlink" Target="https://scryfall.com/sets/m13" TargetMode="External"/><Relationship Id="rId1203" Type="http://schemas.openxmlformats.org/officeDocument/2006/relationships/hyperlink" Target="https://scryfall.com/sets/cmb2" TargetMode="External"/><Relationship Id="rId1410" Type="http://schemas.openxmlformats.org/officeDocument/2006/relationships/hyperlink" Target="https://scryfall.com/sets/aznr" TargetMode="External"/><Relationship Id="rId3168" Type="http://schemas.openxmlformats.org/officeDocument/2006/relationships/hyperlink" Target="https://scryfall.com/sets/cst" TargetMode="External"/><Relationship Id="rId3375" Type="http://schemas.openxmlformats.org/officeDocument/2006/relationships/hyperlink" Target="https://scryfall.com/sets/p03" TargetMode="External"/><Relationship Id="rId3582" Type="http://schemas.openxmlformats.org/officeDocument/2006/relationships/hyperlink" Target="https://scryfall.com/sets/ulg" TargetMode="External"/><Relationship Id="rId296" Type="http://schemas.openxmlformats.org/officeDocument/2006/relationships/hyperlink" Target="https://scryfall.com/sets/fj25" TargetMode="External"/><Relationship Id="rId2184" Type="http://schemas.openxmlformats.org/officeDocument/2006/relationships/hyperlink" Target="https://scryfall.com/sets/tc15" TargetMode="External"/><Relationship Id="rId2391" Type="http://schemas.openxmlformats.org/officeDocument/2006/relationships/hyperlink" Target="https://scryfall.com/sets/pcns" TargetMode="External"/><Relationship Id="rId3028" Type="http://schemas.openxmlformats.org/officeDocument/2006/relationships/hyperlink" Target="https://scryfall.com/sets/teve" TargetMode="External"/><Relationship Id="rId3235" Type="http://schemas.openxmlformats.org/officeDocument/2006/relationships/hyperlink" Target="https://scryfall.com/sets/psal" TargetMode="External"/><Relationship Id="rId3442" Type="http://schemas.openxmlformats.org/officeDocument/2006/relationships/hyperlink" Target="https://scryfall.com/sets/pody" TargetMode="External"/><Relationship Id="rId156" Type="http://schemas.openxmlformats.org/officeDocument/2006/relationships/hyperlink" Target="https://scryfall.com/sets/tfin" TargetMode="External"/><Relationship Id="rId363" Type="http://schemas.openxmlformats.org/officeDocument/2006/relationships/hyperlink" Target="https://scryfall.com/sets/pcbb" TargetMode="External"/><Relationship Id="rId570" Type="http://schemas.openxmlformats.org/officeDocument/2006/relationships/hyperlink" Target="https://scryfall.com/sets/pmda" TargetMode="External"/><Relationship Id="rId2044" Type="http://schemas.openxmlformats.org/officeDocument/2006/relationships/hyperlink" Target="https://scryfall.com/sets/l17" TargetMode="External"/><Relationship Id="rId2251" Type="http://schemas.openxmlformats.org/officeDocument/2006/relationships/hyperlink" Target="https://scryfall.com/sets/pdtk" TargetMode="External"/><Relationship Id="rId3302" Type="http://schemas.openxmlformats.org/officeDocument/2006/relationships/hyperlink" Target="https://scryfall.com/sets/p5dn" TargetMode="External"/><Relationship Id="rId223" Type="http://schemas.openxmlformats.org/officeDocument/2006/relationships/hyperlink" Target="https://scryfall.com/sets/pdft" TargetMode="External"/><Relationship Id="rId430" Type="http://schemas.openxmlformats.org/officeDocument/2006/relationships/hyperlink" Target="https://scryfall.com/sets/yotj" TargetMode="External"/><Relationship Id="rId1060" Type="http://schemas.openxmlformats.org/officeDocument/2006/relationships/hyperlink" Target="https://scryfall.com/sets/gdy" TargetMode="External"/><Relationship Id="rId2111" Type="http://schemas.openxmlformats.org/officeDocument/2006/relationships/hyperlink" Target="https://scryfall.com/sets/tcn2" TargetMode="External"/><Relationship Id="rId1877" Type="http://schemas.openxmlformats.org/officeDocument/2006/relationships/hyperlink" Target="https://scryfall.com/sets/f18" TargetMode="External"/><Relationship Id="rId2928" Type="http://schemas.openxmlformats.org/officeDocument/2006/relationships/hyperlink" Target="https://scryfall.com/sets/v09" TargetMode="External"/><Relationship Id="rId1737" Type="http://schemas.openxmlformats.org/officeDocument/2006/relationships/hyperlink" Target="https://scryfall.com/sets/tmed" TargetMode="External"/><Relationship Id="rId1944" Type="http://schemas.openxmlformats.org/officeDocument/2006/relationships/hyperlink" Target="https://scryfall.com/sets/phtr" TargetMode="External"/><Relationship Id="rId3092" Type="http://schemas.openxmlformats.org/officeDocument/2006/relationships/hyperlink" Target="https://scryfall.com/sets/tlrw" TargetMode="External"/><Relationship Id="rId29" Type="http://schemas.openxmlformats.org/officeDocument/2006/relationships/hyperlink" Target="https://scryfall.com/sets/ecl" TargetMode="External"/><Relationship Id="rId1804" Type="http://schemas.openxmlformats.org/officeDocument/2006/relationships/hyperlink" Target="https://scryfall.com/sets/ss1" TargetMode="External"/><Relationship Id="rId3769" Type="http://schemas.openxmlformats.org/officeDocument/2006/relationships/hyperlink" Target="https://scryfall.com/sets/sum" TargetMode="External"/><Relationship Id="rId897" Type="http://schemas.openxmlformats.org/officeDocument/2006/relationships/hyperlink" Target="https://scryfall.com/sets/tgn3" TargetMode="External"/><Relationship Id="rId2578" Type="http://schemas.openxmlformats.org/officeDocument/2006/relationships/hyperlink" Target="https://scryfall.com/sets/rtr" TargetMode="External"/><Relationship Id="rId2785" Type="http://schemas.openxmlformats.org/officeDocument/2006/relationships/hyperlink" Target="https://scryfall.com/sets/p11" TargetMode="External"/><Relationship Id="rId2992" Type="http://schemas.openxmlformats.org/officeDocument/2006/relationships/hyperlink" Target="https://scryfall.com/sets/g09" TargetMode="External"/><Relationship Id="rId3629" Type="http://schemas.openxmlformats.org/officeDocument/2006/relationships/hyperlink" Target="https://scryfall.com/sets/exo" TargetMode="External"/><Relationship Id="rId757" Type="http://schemas.openxmlformats.org/officeDocument/2006/relationships/hyperlink" Target="https://scryfall.com/sets/tonc" TargetMode="External"/><Relationship Id="rId964" Type="http://schemas.openxmlformats.org/officeDocument/2006/relationships/hyperlink" Target="https://scryfall.com/sets/psvc" TargetMode="External"/><Relationship Id="rId1387" Type="http://schemas.openxmlformats.org/officeDocument/2006/relationships/hyperlink" Target="https://scryfall.com/sets/plst" TargetMode="External"/><Relationship Id="rId1594" Type="http://schemas.openxmlformats.org/officeDocument/2006/relationships/hyperlink" Target="https://scryfall.com/sets/teld" TargetMode="External"/><Relationship Id="rId2438" Type="http://schemas.openxmlformats.org/officeDocument/2006/relationships/hyperlink" Target="https://scryfall.com/sets/tbng" TargetMode="External"/><Relationship Id="rId2645" Type="http://schemas.openxmlformats.org/officeDocument/2006/relationships/hyperlink" Target="https://scryfall.com/sets/pdka" TargetMode="External"/><Relationship Id="rId2852" Type="http://schemas.openxmlformats.org/officeDocument/2006/relationships/hyperlink" Target="https://scryfall.com/sets/troe" TargetMode="External"/><Relationship Id="rId93" Type="http://schemas.openxmlformats.org/officeDocument/2006/relationships/hyperlink" Target="https://scryfall.com/sets/aa4" TargetMode="External"/><Relationship Id="rId617" Type="http://schemas.openxmlformats.org/officeDocument/2006/relationships/hyperlink" Target="https://scryfall.com/sets/ph22" TargetMode="External"/><Relationship Id="rId824" Type="http://schemas.openxmlformats.org/officeDocument/2006/relationships/hyperlink" Target="https://scryfall.com/sets/p30t" TargetMode="External"/><Relationship Id="rId1247" Type="http://schemas.openxmlformats.org/officeDocument/2006/relationships/hyperlink" Target="https://scryfall.com/sets/plg21" TargetMode="External"/><Relationship Id="rId1454" Type="http://schemas.openxmlformats.org/officeDocument/2006/relationships/hyperlink" Target="https://scryfall.com/sets/jmp" TargetMode="External"/><Relationship Id="rId1661" Type="http://schemas.openxmlformats.org/officeDocument/2006/relationships/hyperlink" Target="https://scryfall.com/sets/pwar" TargetMode="External"/><Relationship Id="rId2505" Type="http://schemas.openxmlformats.org/officeDocument/2006/relationships/hyperlink" Target="https://scryfall.com/sets/tm14" TargetMode="External"/><Relationship Id="rId2712" Type="http://schemas.openxmlformats.org/officeDocument/2006/relationships/hyperlink" Target="https://scryfall.com/sets/cmd" TargetMode="External"/><Relationship Id="rId1107" Type="http://schemas.openxmlformats.org/officeDocument/2006/relationships/hyperlink" Target="https://scryfall.com/sets/aneo" TargetMode="External"/><Relationship Id="rId1314" Type="http://schemas.openxmlformats.org/officeDocument/2006/relationships/hyperlink" Target="https://scryfall.com/sets/oc21" TargetMode="External"/><Relationship Id="rId1521" Type="http://schemas.openxmlformats.org/officeDocument/2006/relationships/hyperlink" Target="https://scryfall.com/sets/tund" TargetMode="External"/><Relationship Id="rId3279" Type="http://schemas.openxmlformats.org/officeDocument/2006/relationships/hyperlink" Target="https://scryfall.com/sets/unh" TargetMode="External"/><Relationship Id="rId3486" Type="http://schemas.openxmlformats.org/officeDocument/2006/relationships/hyperlink" Target="https://scryfall.com/sets/pinv" TargetMode="External"/><Relationship Id="rId3693" Type="http://schemas.openxmlformats.org/officeDocument/2006/relationships/hyperlink" Target="https://scryfall.com/sets/mir" TargetMode="External"/><Relationship Id="rId20" Type="http://schemas.openxmlformats.org/officeDocument/2006/relationships/hyperlink" Target="https://scryfall.com/sets/ttmt" TargetMode="External"/><Relationship Id="rId2088" Type="http://schemas.openxmlformats.org/officeDocument/2006/relationships/hyperlink" Target="https://scryfall.com/sets/kld" TargetMode="External"/><Relationship Id="rId2295" Type="http://schemas.openxmlformats.org/officeDocument/2006/relationships/hyperlink" Target="https://scryfall.com/sets/evg" TargetMode="External"/><Relationship Id="rId3139" Type="http://schemas.openxmlformats.org/officeDocument/2006/relationships/hyperlink" Target="https://scryfall.com/sets/p07" TargetMode="External"/><Relationship Id="rId3346" Type="http://schemas.openxmlformats.org/officeDocument/2006/relationships/hyperlink" Target="https://scryfall.com/sets/scg" TargetMode="External"/><Relationship Id="rId267" Type="http://schemas.openxmlformats.org/officeDocument/2006/relationships/hyperlink" Target="https://scryfall.com/sets/pw25" TargetMode="External"/><Relationship Id="rId474" Type="http://schemas.openxmlformats.org/officeDocument/2006/relationships/hyperlink" Target="https://scryfall.com/sets/ymkm" TargetMode="External"/><Relationship Id="rId2155" Type="http://schemas.openxmlformats.org/officeDocument/2006/relationships/hyperlink" Target="https://scryfall.com/sets/pogw" TargetMode="External"/><Relationship Id="rId3553" Type="http://schemas.openxmlformats.org/officeDocument/2006/relationships/hyperlink" Target="https://scryfall.com/sets/pwor" TargetMode="External"/><Relationship Id="rId3760" Type="http://schemas.openxmlformats.org/officeDocument/2006/relationships/hyperlink" Target="https://scryfall.com/sets/phpr" TargetMode="External"/><Relationship Id="rId127" Type="http://schemas.openxmlformats.org/officeDocument/2006/relationships/hyperlink" Target="https://scryfall.com/sets/teoe" TargetMode="External"/><Relationship Id="rId681" Type="http://schemas.openxmlformats.org/officeDocument/2006/relationships/hyperlink" Target="https://scryfall.com/sets/mul" TargetMode="External"/><Relationship Id="rId2362" Type="http://schemas.openxmlformats.org/officeDocument/2006/relationships/hyperlink" Target="https://scryfall.com/sets/tm15" TargetMode="External"/><Relationship Id="rId3206" Type="http://schemas.openxmlformats.org/officeDocument/2006/relationships/hyperlink" Target="https://scryfall.com/sets/phuk" TargetMode="External"/><Relationship Id="rId3413" Type="http://schemas.openxmlformats.org/officeDocument/2006/relationships/hyperlink" Target="https://scryfall.com/sets/tor" TargetMode="External"/><Relationship Id="rId3620" Type="http://schemas.openxmlformats.org/officeDocument/2006/relationships/hyperlink" Target="https://scryfall.com/sets/tugl" TargetMode="External"/><Relationship Id="rId334" Type="http://schemas.openxmlformats.org/officeDocument/2006/relationships/hyperlink" Target="https://scryfall.com/sets/mb2" TargetMode="External"/><Relationship Id="rId541" Type="http://schemas.openxmlformats.org/officeDocument/2006/relationships/hyperlink" Target="https://scryfall.com/sets/alci" TargetMode="External"/><Relationship Id="rId1171" Type="http://schemas.openxmlformats.org/officeDocument/2006/relationships/hyperlink" Target="https://scryfall.com/sets/tmid" TargetMode="External"/><Relationship Id="rId2015" Type="http://schemas.openxmlformats.org/officeDocument/2006/relationships/hyperlink" Target="https://scryfall.com/cubes/legacy" TargetMode="External"/><Relationship Id="rId2222" Type="http://schemas.openxmlformats.org/officeDocument/2006/relationships/hyperlink" Target="https://scryfall.com/sets/tori" TargetMode="External"/><Relationship Id="rId401" Type="http://schemas.openxmlformats.org/officeDocument/2006/relationships/hyperlink" Target="https://scryfall.com/sets/tm3c" TargetMode="External"/><Relationship Id="rId1031" Type="http://schemas.openxmlformats.org/officeDocument/2006/relationships/hyperlink" Target="https://scryfall.com/sets/ptsnc" TargetMode="External"/><Relationship Id="rId1988" Type="http://schemas.openxmlformats.org/officeDocument/2006/relationships/hyperlink" Target="https://scryfall.com/sets/cma" TargetMode="External"/><Relationship Id="rId1848" Type="http://schemas.openxmlformats.org/officeDocument/2006/relationships/hyperlink" Target="https://scryfall.com/sets/a25" TargetMode="External"/><Relationship Id="rId3063" Type="http://schemas.openxmlformats.org/officeDocument/2006/relationships/hyperlink" Target="https://scryfall.com/sets/p08" TargetMode="External"/><Relationship Id="rId3270" Type="http://schemas.openxmlformats.org/officeDocument/2006/relationships/hyperlink" Target="https://scryfall.com/sets/p05" TargetMode="External"/><Relationship Id="rId191" Type="http://schemas.openxmlformats.org/officeDocument/2006/relationships/hyperlink" Target="https://scryfall.com/sets/ttdm" TargetMode="External"/><Relationship Id="rId1708" Type="http://schemas.openxmlformats.org/officeDocument/2006/relationships/hyperlink" Target="https://scryfall.com/sets/gnt" TargetMode="External"/><Relationship Id="rId1915" Type="http://schemas.openxmlformats.org/officeDocument/2006/relationships/hyperlink" Target="https://scryfall.com/sets/g17" TargetMode="External"/><Relationship Id="rId3130" Type="http://schemas.openxmlformats.org/officeDocument/2006/relationships/hyperlink" Target="https://scryfall.com/sets/pmps07" TargetMode="External"/><Relationship Id="rId2689" Type="http://schemas.openxmlformats.org/officeDocument/2006/relationships/hyperlink" Target="https://scryfall.com/sets/ddh" TargetMode="External"/><Relationship Id="rId2896" Type="http://schemas.openxmlformats.org/officeDocument/2006/relationships/hyperlink" Target="https://scryfall.com/sets/ddd" TargetMode="External"/><Relationship Id="rId868" Type="http://schemas.openxmlformats.org/officeDocument/2006/relationships/hyperlink" Target="https://scryfall.com/sets/tbot" TargetMode="External"/><Relationship Id="rId1498" Type="http://schemas.openxmlformats.org/officeDocument/2006/relationships/hyperlink" Target="https://scryfall.com/sets/tiko" TargetMode="External"/><Relationship Id="rId2549" Type="http://schemas.openxmlformats.org/officeDocument/2006/relationships/hyperlink" Target="https://scryfall.com/sets/pgtc" TargetMode="External"/><Relationship Id="rId2756" Type="http://schemas.openxmlformats.org/officeDocument/2006/relationships/hyperlink" Target="https://scryfall.com/sets/me4" TargetMode="External"/><Relationship Id="rId2963" Type="http://schemas.openxmlformats.org/officeDocument/2006/relationships/hyperlink" Target="https://scryfall.com/sets/purl" TargetMode="External"/><Relationship Id="rId3807" Type="http://schemas.openxmlformats.org/officeDocument/2006/relationships/hyperlink" Target="https://scryfall.com/sets/lea" TargetMode="External"/><Relationship Id="rId728" Type="http://schemas.openxmlformats.org/officeDocument/2006/relationships/hyperlink" Target="https://scryfall.com/sets/unk" TargetMode="External"/><Relationship Id="rId935" Type="http://schemas.openxmlformats.org/officeDocument/2006/relationships/hyperlink" Target="https://scryfall.com/sets/ydmu" TargetMode="External"/><Relationship Id="rId1358" Type="http://schemas.openxmlformats.org/officeDocument/2006/relationships/hyperlink" Target="https://scryfall.com/sets/akhm" TargetMode="External"/><Relationship Id="rId1565" Type="http://schemas.openxmlformats.org/officeDocument/2006/relationships/hyperlink" Target="https://scryfall.com/sets/slu" TargetMode="External"/><Relationship Id="rId1772" Type="http://schemas.openxmlformats.org/officeDocument/2006/relationships/hyperlink" Target="https://scryfall.com/sets/oana" TargetMode="External"/><Relationship Id="rId2409" Type="http://schemas.openxmlformats.org/officeDocument/2006/relationships/hyperlink" Target="https://scryfall.com/sets/pjou" TargetMode="External"/><Relationship Id="rId2616" Type="http://schemas.openxmlformats.org/officeDocument/2006/relationships/hyperlink" Target="https://scryfall.com/sets/opc2" TargetMode="External"/><Relationship Id="rId64" Type="http://schemas.openxmlformats.org/officeDocument/2006/relationships/hyperlink" Target="https://scryfall.com/sets/mar" TargetMode="External"/><Relationship Id="rId1218" Type="http://schemas.openxmlformats.org/officeDocument/2006/relationships/hyperlink" Target="https://scryfall.com/sets/tafr" TargetMode="External"/><Relationship Id="rId1425" Type="http://schemas.openxmlformats.org/officeDocument/2006/relationships/hyperlink" Target="https://scryfall.com/sets/sznr" TargetMode="External"/><Relationship Id="rId2823" Type="http://schemas.openxmlformats.org/officeDocument/2006/relationships/hyperlink" Target="https://scryfall.com/sets/m11" TargetMode="External"/><Relationship Id="rId1632" Type="http://schemas.openxmlformats.org/officeDocument/2006/relationships/hyperlink" Target="https://scryfall.com/sets/tm20" TargetMode="External"/><Relationship Id="rId2199" Type="http://schemas.openxmlformats.org/officeDocument/2006/relationships/hyperlink" Target="https://scryfall.com/sets/pbfz" TargetMode="External"/><Relationship Id="rId3597" Type="http://schemas.openxmlformats.org/officeDocument/2006/relationships/hyperlink" Target="https://scryfall.com/sets/ath" TargetMode="External"/><Relationship Id="rId3457" Type="http://schemas.openxmlformats.org/officeDocument/2006/relationships/hyperlink" Target="https://scryfall.com/sets/papc" TargetMode="External"/><Relationship Id="rId3664" Type="http://schemas.openxmlformats.org/officeDocument/2006/relationships/hyperlink" Target="https://scryfall.com/sets/pvan" TargetMode="External"/><Relationship Id="rId378" Type="http://schemas.openxmlformats.org/officeDocument/2006/relationships/hyperlink" Target="https://scryfall.com/sets/aacr" TargetMode="External"/><Relationship Id="rId585" Type="http://schemas.openxmlformats.org/officeDocument/2006/relationships/hyperlink" Target="https://scryfall.com/sets/twoe" TargetMode="External"/><Relationship Id="rId792" Type="http://schemas.openxmlformats.org/officeDocument/2006/relationships/hyperlink" Target="https://scryfall.com/sets/p23" TargetMode="External"/><Relationship Id="rId2059" Type="http://schemas.openxmlformats.org/officeDocument/2006/relationships/hyperlink" Target="https://scryfall.com/sets/tpca" TargetMode="External"/><Relationship Id="rId2266" Type="http://schemas.openxmlformats.org/officeDocument/2006/relationships/hyperlink" Target="https://scryfall.com/sets/pfrf" TargetMode="External"/><Relationship Id="rId2473" Type="http://schemas.openxmlformats.org/officeDocument/2006/relationships/hyperlink" Target="https://scryfall.com/sets/pths" TargetMode="External"/><Relationship Id="rId2680" Type="http://schemas.openxmlformats.org/officeDocument/2006/relationships/hyperlink" Target="https://scryfall.com/sets/isd" TargetMode="External"/><Relationship Id="rId3317" Type="http://schemas.openxmlformats.org/officeDocument/2006/relationships/hyperlink" Target="https://scryfall.com/sets/g04" TargetMode="External"/><Relationship Id="rId3524" Type="http://schemas.openxmlformats.org/officeDocument/2006/relationships/hyperlink" Target="https://scryfall.com/sets/g00" TargetMode="External"/><Relationship Id="rId3731" Type="http://schemas.openxmlformats.org/officeDocument/2006/relationships/hyperlink" Target="https://scryfall.com/sets/rin" TargetMode="External"/><Relationship Id="rId238" Type="http://schemas.openxmlformats.org/officeDocument/2006/relationships/hyperlink" Target="https://scryfall.com/sets/drc" TargetMode="External"/><Relationship Id="rId445" Type="http://schemas.openxmlformats.org/officeDocument/2006/relationships/hyperlink" Target="https://scryfall.com/sets/tbig" TargetMode="External"/><Relationship Id="rId652" Type="http://schemas.openxmlformats.org/officeDocument/2006/relationships/hyperlink" Target="https://scryfall.com/sets/tltc" TargetMode="External"/><Relationship Id="rId1075" Type="http://schemas.openxmlformats.org/officeDocument/2006/relationships/hyperlink" Target="https://scryfall.com/sets/neo" TargetMode="External"/><Relationship Id="rId1282" Type="http://schemas.openxmlformats.org/officeDocument/2006/relationships/hyperlink" Target="https://scryfall.com/sets/stx" TargetMode="External"/><Relationship Id="rId2126" Type="http://schemas.openxmlformats.org/officeDocument/2006/relationships/hyperlink" Target="https://scryfall.com/sets/temn" TargetMode="External"/><Relationship Id="rId2333" Type="http://schemas.openxmlformats.org/officeDocument/2006/relationships/hyperlink" Target="https://scryfall.com/sets/oc14" TargetMode="External"/><Relationship Id="rId2540" Type="http://schemas.openxmlformats.org/officeDocument/2006/relationships/hyperlink" Target="https://scryfall.com/sets/tddk" TargetMode="External"/><Relationship Id="rId305" Type="http://schemas.openxmlformats.org/officeDocument/2006/relationships/hyperlink" Target="https://scryfall.com/sets/dsk" TargetMode="External"/><Relationship Id="rId512" Type="http://schemas.openxmlformats.org/officeDocument/2006/relationships/hyperlink" Target="https://scryfall.com/sets/trvr" TargetMode="External"/><Relationship Id="rId1142" Type="http://schemas.openxmlformats.org/officeDocument/2006/relationships/hyperlink" Target="https://scryfall.com/sets/svow" TargetMode="External"/><Relationship Id="rId2400" Type="http://schemas.openxmlformats.org/officeDocument/2006/relationships/hyperlink" Target="https://scryfall.com/sets/tmd1" TargetMode="External"/><Relationship Id="rId1002" Type="http://schemas.openxmlformats.org/officeDocument/2006/relationships/hyperlink" Target="https://scryfall.com/sets/pclb" TargetMode="External"/><Relationship Id="rId1959" Type="http://schemas.openxmlformats.org/officeDocument/2006/relationships/hyperlink" Target="https://scryfall.com/sets/oc17" TargetMode="External"/><Relationship Id="rId3174" Type="http://schemas.openxmlformats.org/officeDocument/2006/relationships/hyperlink" Target="https://scryfall.com/sets/pdis" TargetMode="External"/><Relationship Id="rId1819" Type="http://schemas.openxmlformats.org/officeDocument/2006/relationships/hyperlink" Target="https://scryfall.com/sets/pbbd" TargetMode="External"/><Relationship Id="rId3381" Type="http://schemas.openxmlformats.org/officeDocument/2006/relationships/hyperlink" Target="https://scryfall.com/sets/f03" TargetMode="External"/><Relationship Id="rId2190" Type="http://schemas.openxmlformats.org/officeDocument/2006/relationships/hyperlink" Target="https://scryfall.com/sets/bfz" TargetMode="External"/><Relationship Id="rId3034" Type="http://schemas.openxmlformats.org/officeDocument/2006/relationships/hyperlink" Target="https://scryfall.com/sets/shm" TargetMode="External"/><Relationship Id="rId3241" Type="http://schemas.openxmlformats.org/officeDocument/2006/relationships/hyperlink" Target="https://scryfall.com/sets/p9ed" TargetMode="External"/><Relationship Id="rId162" Type="http://schemas.openxmlformats.org/officeDocument/2006/relationships/hyperlink" Target="https://scryfall.com/sets/afin" TargetMode="External"/><Relationship Id="rId2050" Type="http://schemas.openxmlformats.org/officeDocument/2006/relationships/hyperlink" Target="https://scryfall.com/sets/j17" TargetMode="External"/><Relationship Id="rId3101" Type="http://schemas.openxmlformats.org/officeDocument/2006/relationships/hyperlink" Target="https://scryfall.com/sets/p10e" TargetMode="External"/><Relationship Id="rId979" Type="http://schemas.openxmlformats.org/officeDocument/2006/relationships/hyperlink" Target="https://scryfall.com/sets/ha6" TargetMode="External"/><Relationship Id="rId839" Type="http://schemas.openxmlformats.org/officeDocument/2006/relationships/hyperlink" Target="https://scryfall.com/sets/bro" TargetMode="External"/><Relationship Id="rId1469" Type="http://schemas.openxmlformats.org/officeDocument/2006/relationships/hyperlink" Target="https://scryfall.com/sets/pm21" TargetMode="External"/><Relationship Id="rId2867" Type="http://schemas.openxmlformats.org/officeDocument/2006/relationships/hyperlink" Target="https://scryfall.com/sets/twwk" TargetMode="External"/><Relationship Id="rId1676" Type="http://schemas.openxmlformats.org/officeDocument/2006/relationships/hyperlink" Target="https://scryfall.com/sets/tgk2" TargetMode="External"/><Relationship Id="rId1883" Type="http://schemas.openxmlformats.org/officeDocument/2006/relationships/hyperlink" Target="https://scryfall.com/sets/ust" TargetMode="External"/><Relationship Id="rId2727" Type="http://schemas.openxmlformats.org/officeDocument/2006/relationships/hyperlink" Target="https://scryfall.com/sets/nph" TargetMode="External"/><Relationship Id="rId2934" Type="http://schemas.openxmlformats.org/officeDocument/2006/relationships/hyperlink" Target="https://scryfall.com/sets/pm10" TargetMode="External"/><Relationship Id="rId906" Type="http://schemas.openxmlformats.org/officeDocument/2006/relationships/hyperlink" Target="https://scryfall.com/sets/tunf" TargetMode="External"/><Relationship Id="rId1329" Type="http://schemas.openxmlformats.org/officeDocument/2006/relationships/hyperlink" Target="https://scryfall.com/sets/ha4" TargetMode="External"/><Relationship Id="rId1536" Type="http://schemas.openxmlformats.org/officeDocument/2006/relationships/hyperlink" Target="https://scryfall.com/sets/pf20" TargetMode="External"/><Relationship Id="rId1743" Type="http://schemas.openxmlformats.org/officeDocument/2006/relationships/hyperlink" Target="https://scryfall.com/sets/c18" TargetMode="External"/><Relationship Id="rId1950" Type="http://schemas.openxmlformats.org/officeDocument/2006/relationships/hyperlink" Target="https://scryfall.com/sets/c17" TargetMode="External"/><Relationship Id="rId35" Type="http://schemas.openxmlformats.org/officeDocument/2006/relationships/hyperlink" Target="https://scryfall.com/sets/pf26" TargetMode="External"/><Relationship Id="rId1603" Type="http://schemas.openxmlformats.org/officeDocument/2006/relationships/hyperlink" Target="https://scryfall.com/cubes/grixis" TargetMode="External"/><Relationship Id="rId1810" Type="http://schemas.openxmlformats.org/officeDocument/2006/relationships/hyperlink" Target="https://scryfall.com/sets/cm2" TargetMode="External"/><Relationship Id="rId3568" Type="http://schemas.openxmlformats.org/officeDocument/2006/relationships/hyperlink" Target="https://scryfall.com/sets/puds" TargetMode="External"/><Relationship Id="rId3775" Type="http://schemas.openxmlformats.org/officeDocument/2006/relationships/hyperlink" Target="https://scryfall.com/sets/leg" TargetMode="External"/><Relationship Id="rId489" Type="http://schemas.openxmlformats.org/officeDocument/2006/relationships/hyperlink" Target="https://scryfall.com/sets/amkm" TargetMode="External"/><Relationship Id="rId696" Type="http://schemas.openxmlformats.org/officeDocument/2006/relationships/hyperlink" Target="https://scryfall.com/sets/fmom" TargetMode="External"/><Relationship Id="rId2377" Type="http://schemas.openxmlformats.org/officeDocument/2006/relationships/hyperlink" Target="https://scryfall.com/sets/ps14" TargetMode="External"/><Relationship Id="rId2584" Type="http://schemas.openxmlformats.org/officeDocument/2006/relationships/hyperlink" Target="https://scryfall.com/sets/prtr" TargetMode="External"/><Relationship Id="rId2791" Type="http://schemas.openxmlformats.org/officeDocument/2006/relationships/hyperlink" Target="https://scryfall.com/sets/pd2" TargetMode="External"/><Relationship Id="rId3428" Type="http://schemas.openxmlformats.org/officeDocument/2006/relationships/hyperlink" Target="https://scryfall.com/sets/g02" TargetMode="External"/><Relationship Id="rId3635" Type="http://schemas.openxmlformats.org/officeDocument/2006/relationships/hyperlink" Target="https://scryfall.com/sets/sth" TargetMode="External"/><Relationship Id="rId349" Type="http://schemas.openxmlformats.org/officeDocument/2006/relationships/hyperlink" Target="https://scryfall.com/sets/yblb" TargetMode="External"/><Relationship Id="rId556" Type="http://schemas.openxmlformats.org/officeDocument/2006/relationships/hyperlink" Target="https://scryfall.com/sets/lcc" TargetMode="External"/><Relationship Id="rId763" Type="http://schemas.openxmlformats.org/officeDocument/2006/relationships/hyperlink" Target="https://scryfall.com/sets/mone" TargetMode="External"/><Relationship Id="rId1186" Type="http://schemas.openxmlformats.org/officeDocument/2006/relationships/hyperlink" Target="https://scryfall.com/sets/omic" TargetMode="External"/><Relationship Id="rId1393" Type="http://schemas.openxmlformats.org/officeDocument/2006/relationships/hyperlink" Target="https://scryfall.com/sets/ulst" TargetMode="External"/><Relationship Id="rId2237" Type="http://schemas.openxmlformats.org/officeDocument/2006/relationships/hyperlink" Target="https://scryfall.com/sets/tmm2" TargetMode="External"/><Relationship Id="rId2444" Type="http://schemas.openxmlformats.org/officeDocument/2006/relationships/hyperlink" Target="https://scryfall.com/sets/tbth" TargetMode="External"/><Relationship Id="rId209" Type="http://schemas.openxmlformats.org/officeDocument/2006/relationships/hyperlink" Target="https://scryfall.com/sets/ttdc" TargetMode="External"/><Relationship Id="rId416" Type="http://schemas.openxmlformats.org/officeDocument/2006/relationships/hyperlink" Target="https://scryfall.com/sets/otp" TargetMode="External"/><Relationship Id="rId970" Type="http://schemas.openxmlformats.org/officeDocument/2006/relationships/hyperlink" Target="https://scryfall.com/sets/ph21" TargetMode="External"/><Relationship Id="rId1046" Type="http://schemas.openxmlformats.org/officeDocument/2006/relationships/hyperlink" Target="https://scryfall.com/sets/pncc" TargetMode="External"/><Relationship Id="rId1253" Type="http://schemas.openxmlformats.org/officeDocument/2006/relationships/hyperlink" Target="https://scryfall.com/sets/mh2" TargetMode="External"/><Relationship Id="rId2651" Type="http://schemas.openxmlformats.org/officeDocument/2006/relationships/hyperlink" Target="https://scryfall.com/sets/pw12" TargetMode="External"/><Relationship Id="rId3702" Type="http://schemas.openxmlformats.org/officeDocument/2006/relationships/hyperlink" Target="https://scryfall.com/sets/parl" TargetMode="External"/><Relationship Id="rId623" Type="http://schemas.openxmlformats.org/officeDocument/2006/relationships/hyperlink" Target="https://scryfall.com/sets/ea3" TargetMode="External"/><Relationship Id="rId830" Type="http://schemas.openxmlformats.org/officeDocument/2006/relationships/hyperlink" Target="https://scryfall.com/sets/p30h" TargetMode="External"/><Relationship Id="rId1460" Type="http://schemas.openxmlformats.org/officeDocument/2006/relationships/hyperlink" Target="https://scryfall.com/sets/fjmp" TargetMode="External"/><Relationship Id="rId2304" Type="http://schemas.openxmlformats.org/officeDocument/2006/relationships/hyperlink" Target="https://scryfall.com/sets/gvl" TargetMode="External"/><Relationship Id="rId2511" Type="http://schemas.openxmlformats.org/officeDocument/2006/relationships/hyperlink" Target="https://scryfall.com/sets/psdc" TargetMode="External"/><Relationship Id="rId1113" Type="http://schemas.openxmlformats.org/officeDocument/2006/relationships/hyperlink" Target="https://scryfall.com/sets/dbl" TargetMode="External"/><Relationship Id="rId1320" Type="http://schemas.openxmlformats.org/officeDocument/2006/relationships/hyperlink" Target="https://scryfall.com/sets/ptsr" TargetMode="External"/><Relationship Id="rId3078" Type="http://schemas.openxmlformats.org/officeDocument/2006/relationships/hyperlink" Target="https://scryfall.com/sets/tdd1" TargetMode="External"/><Relationship Id="rId3285" Type="http://schemas.openxmlformats.org/officeDocument/2006/relationships/hyperlink" Target="https://scryfall.com/sets/chk" TargetMode="External"/><Relationship Id="rId3492" Type="http://schemas.openxmlformats.org/officeDocument/2006/relationships/hyperlink" Target="https://scryfall.com/sets/btd" TargetMode="External"/><Relationship Id="rId2094" Type="http://schemas.openxmlformats.org/officeDocument/2006/relationships/hyperlink" Target="https://scryfall.com/sets/pkld" TargetMode="External"/><Relationship Id="rId3145" Type="http://schemas.openxmlformats.org/officeDocument/2006/relationships/hyperlink" Target="https://scryfall.com/sets/f07" TargetMode="External"/><Relationship Id="rId3352" Type="http://schemas.openxmlformats.org/officeDocument/2006/relationships/hyperlink" Target="https://scryfall.com/sets/lgn" TargetMode="External"/><Relationship Id="rId273" Type="http://schemas.openxmlformats.org/officeDocument/2006/relationships/hyperlink" Target="https://scryfall.com/sets/pio" TargetMode="External"/><Relationship Id="rId480" Type="http://schemas.openxmlformats.org/officeDocument/2006/relationships/hyperlink" Target="https://scryfall.com/sets/clu" TargetMode="External"/><Relationship Id="rId2161" Type="http://schemas.openxmlformats.org/officeDocument/2006/relationships/hyperlink" Target="https://scryfall.com/sets/togw" TargetMode="External"/><Relationship Id="rId3005" Type="http://schemas.openxmlformats.org/officeDocument/2006/relationships/hyperlink" Target="https://scryfall.com/sets/pala" TargetMode="External"/><Relationship Id="rId3212" Type="http://schemas.openxmlformats.org/officeDocument/2006/relationships/hyperlink" Target="https://scryfall.com/sets/dci" TargetMode="External"/><Relationship Id="rId133" Type="http://schemas.openxmlformats.org/officeDocument/2006/relationships/hyperlink" Target="https://scryfall.com/sets/aeoe" TargetMode="External"/><Relationship Id="rId340" Type="http://schemas.openxmlformats.org/officeDocument/2006/relationships/hyperlink" Target="https://scryfall.com/sets/pblb" TargetMode="External"/><Relationship Id="rId2021" Type="http://schemas.openxmlformats.org/officeDocument/2006/relationships/hyperlink" Target="https://scryfall.com/sets/tdds" TargetMode="External"/><Relationship Id="rId200" Type="http://schemas.openxmlformats.org/officeDocument/2006/relationships/hyperlink" Target="https://scryfall.com/sets/atdm" TargetMode="External"/><Relationship Id="rId2978" Type="http://schemas.openxmlformats.org/officeDocument/2006/relationships/hyperlink" Target="https://scryfall.com/sets/pdtp" TargetMode="External"/><Relationship Id="rId1787" Type="http://schemas.openxmlformats.org/officeDocument/2006/relationships/hyperlink" Target="https://scryfall.com/sets/tm19" TargetMode="External"/><Relationship Id="rId1994" Type="http://schemas.openxmlformats.org/officeDocument/2006/relationships/hyperlink" Target="https://scryfall.com/sets/tcma" TargetMode="External"/><Relationship Id="rId2838" Type="http://schemas.openxmlformats.org/officeDocument/2006/relationships/hyperlink" Target="https://scryfall.com/sets/oarc" TargetMode="External"/><Relationship Id="rId79" Type="http://schemas.openxmlformats.org/officeDocument/2006/relationships/hyperlink" Target="https://scryfall.com/sets/pspm" TargetMode="External"/><Relationship Id="rId1647" Type="http://schemas.openxmlformats.org/officeDocument/2006/relationships/hyperlink" Target="https://scryfall.com/sets/pmh1" TargetMode="External"/><Relationship Id="rId1854" Type="http://schemas.openxmlformats.org/officeDocument/2006/relationships/hyperlink" Target="https://scryfall.com/sets/plny" TargetMode="External"/><Relationship Id="rId2905" Type="http://schemas.openxmlformats.org/officeDocument/2006/relationships/hyperlink" Target="https://scryfall.com/sets/pzen" TargetMode="External"/><Relationship Id="rId1507" Type="http://schemas.openxmlformats.org/officeDocument/2006/relationships/hyperlink" Target="https://scryfall.com/sets/tc20" TargetMode="External"/><Relationship Id="rId1714" Type="http://schemas.openxmlformats.org/officeDocument/2006/relationships/hyperlink" Target="https://scryfall.com/sets/gk1" TargetMode="External"/><Relationship Id="rId1921" Type="http://schemas.openxmlformats.org/officeDocument/2006/relationships/hyperlink" Target="https://scryfall.com/sets/xln" TargetMode="External"/><Relationship Id="rId3679" Type="http://schemas.openxmlformats.org/officeDocument/2006/relationships/hyperlink" Target="https://scryfall.com/sets/5ed" TargetMode="External"/><Relationship Id="rId2488" Type="http://schemas.openxmlformats.org/officeDocument/2006/relationships/hyperlink" Target="https://scryfall.com/sets/ddl" TargetMode="External"/><Relationship Id="rId1297" Type="http://schemas.openxmlformats.org/officeDocument/2006/relationships/hyperlink" Target="https://scryfall.com/sets/sstx" TargetMode="External"/><Relationship Id="rId2695" Type="http://schemas.openxmlformats.org/officeDocument/2006/relationships/hyperlink" Target="https://scryfall.com/sets/tddh" TargetMode="External"/><Relationship Id="rId3539" Type="http://schemas.openxmlformats.org/officeDocument/2006/relationships/hyperlink" Target="https://scryfall.com/sets/mmq" TargetMode="External"/><Relationship Id="rId3746" Type="http://schemas.openxmlformats.org/officeDocument/2006/relationships/hyperlink" Target="https://scryfall.com/sets/4ed" TargetMode="External"/><Relationship Id="rId667" Type="http://schemas.openxmlformats.org/officeDocument/2006/relationships/hyperlink" Target="https://scryfall.com/sets/mltr" TargetMode="External"/><Relationship Id="rId874" Type="http://schemas.openxmlformats.org/officeDocument/2006/relationships/hyperlink" Target="https://scryfall.com/sets/ptbro" TargetMode="External"/><Relationship Id="rId2348" Type="http://schemas.openxmlformats.org/officeDocument/2006/relationships/hyperlink" Target="https://scryfall.com/sets/ddn" TargetMode="External"/><Relationship Id="rId2555" Type="http://schemas.openxmlformats.org/officeDocument/2006/relationships/hyperlink" Target="https://scryfall.com/sets/pdp14" TargetMode="External"/><Relationship Id="rId2762" Type="http://schemas.openxmlformats.org/officeDocument/2006/relationships/hyperlink" Target="https://scryfall.com/sets/pmps11/ja" TargetMode="External"/><Relationship Id="rId3606" Type="http://schemas.openxmlformats.org/officeDocument/2006/relationships/hyperlink" Target="https://scryfall.com/sets/pusg" TargetMode="External"/><Relationship Id="rId527" Type="http://schemas.openxmlformats.org/officeDocument/2006/relationships/hyperlink" Target="https://scryfall.com/sets/lci" TargetMode="External"/><Relationship Id="rId734" Type="http://schemas.openxmlformats.org/officeDocument/2006/relationships/hyperlink" Target="https://scryfall.com/sets/punk" TargetMode="External"/><Relationship Id="rId941" Type="http://schemas.openxmlformats.org/officeDocument/2006/relationships/hyperlink" Target="https://scryfall.com/sets/fdmu" TargetMode="External"/><Relationship Id="rId1157" Type="http://schemas.openxmlformats.org/officeDocument/2006/relationships/hyperlink" Target="https://scryfall.com/sets/ovoc" TargetMode="External"/><Relationship Id="rId1364" Type="http://schemas.openxmlformats.org/officeDocument/2006/relationships/hyperlink" Target="https://scryfall.com/sets/pj21" TargetMode="External"/><Relationship Id="rId1571" Type="http://schemas.openxmlformats.org/officeDocument/2006/relationships/hyperlink" Target="https://scryfall.com/sets/gn2" TargetMode="External"/><Relationship Id="rId2208" Type="http://schemas.openxmlformats.org/officeDocument/2006/relationships/hyperlink" Target="https://scryfall.com/sets/ddp" TargetMode="External"/><Relationship Id="rId2415" Type="http://schemas.openxmlformats.org/officeDocument/2006/relationships/hyperlink" Target="https://scryfall.com/sets/tdag" TargetMode="External"/><Relationship Id="rId2622" Type="http://schemas.openxmlformats.org/officeDocument/2006/relationships/hyperlink" Target="https://scryfall.com/sets/pavr" TargetMode="External"/><Relationship Id="rId70" Type="http://schemas.openxmlformats.org/officeDocument/2006/relationships/hyperlink" Target="https://scryfall.com/sets/omb" TargetMode="External"/><Relationship Id="rId801" Type="http://schemas.openxmlformats.org/officeDocument/2006/relationships/hyperlink" Target="https://scryfall.com/sets/scd" TargetMode="External"/><Relationship Id="rId1017" Type="http://schemas.openxmlformats.org/officeDocument/2006/relationships/hyperlink" Target="https://scryfall.com/sets/oclb" TargetMode="External"/><Relationship Id="rId1224" Type="http://schemas.openxmlformats.org/officeDocument/2006/relationships/hyperlink" Target="https://scryfall.com/sets/aafr" TargetMode="External"/><Relationship Id="rId1431" Type="http://schemas.openxmlformats.org/officeDocument/2006/relationships/hyperlink" Target="https://scryfall.com/cubes/tinkerer" TargetMode="External"/><Relationship Id="rId3189" Type="http://schemas.openxmlformats.org/officeDocument/2006/relationships/hyperlink" Target="https://scryfall.com/sets/pmps06" TargetMode="External"/><Relationship Id="rId3396" Type="http://schemas.openxmlformats.org/officeDocument/2006/relationships/hyperlink" Target="https://scryfall.com/sets/pons" TargetMode="External"/><Relationship Id="rId3049" Type="http://schemas.openxmlformats.org/officeDocument/2006/relationships/hyperlink" Target="https://scryfall.com/sets/mor" TargetMode="External"/><Relationship Id="rId3256" Type="http://schemas.openxmlformats.org/officeDocument/2006/relationships/hyperlink" Target="https://scryfall.com/sets/pbok" TargetMode="External"/><Relationship Id="rId3463" Type="http://schemas.openxmlformats.org/officeDocument/2006/relationships/hyperlink" Target="https://scryfall.com/sets/pls" TargetMode="External"/><Relationship Id="rId177" Type="http://schemas.openxmlformats.org/officeDocument/2006/relationships/hyperlink" Target="https://scryfall.com/sets/pss5" TargetMode="External"/><Relationship Id="rId384" Type="http://schemas.openxmlformats.org/officeDocument/2006/relationships/hyperlink" Target="https://scryfall.com/sets/pmh3" TargetMode="External"/><Relationship Id="rId591" Type="http://schemas.openxmlformats.org/officeDocument/2006/relationships/hyperlink" Target="https://scryfall.com/sets/woc" TargetMode="External"/><Relationship Id="rId2065" Type="http://schemas.openxmlformats.org/officeDocument/2006/relationships/hyperlink" Target="https://scryfall.com/sets/pz2" TargetMode="External"/><Relationship Id="rId2272" Type="http://schemas.openxmlformats.org/officeDocument/2006/relationships/hyperlink" Target="https://scryfall.com/sets/tfrf" TargetMode="External"/><Relationship Id="rId3116" Type="http://schemas.openxmlformats.org/officeDocument/2006/relationships/hyperlink" Target="https://scryfall.com/sets/pgpx" TargetMode="External"/><Relationship Id="rId3670" Type="http://schemas.openxmlformats.org/officeDocument/2006/relationships/hyperlink" Target="https://scryfall.com/sets/past" TargetMode="External"/><Relationship Id="rId244" Type="http://schemas.openxmlformats.org/officeDocument/2006/relationships/hyperlink" Target="https://scryfall.com/sets/pjsc" TargetMode="External"/><Relationship Id="rId1081" Type="http://schemas.openxmlformats.org/officeDocument/2006/relationships/hyperlink" Target="https://scryfall.com/sets/pneo" TargetMode="External"/><Relationship Id="rId3323" Type="http://schemas.openxmlformats.org/officeDocument/2006/relationships/hyperlink" Target="https://scryfall.com/sets/f04" TargetMode="External"/><Relationship Id="rId3530" Type="http://schemas.openxmlformats.org/officeDocument/2006/relationships/hyperlink" Target="https://scryfall.com/sets/psus" TargetMode="External"/><Relationship Id="rId451" Type="http://schemas.openxmlformats.org/officeDocument/2006/relationships/hyperlink" Target="https://scryfall.com/sets/totc" TargetMode="External"/><Relationship Id="rId2132" Type="http://schemas.openxmlformats.org/officeDocument/2006/relationships/hyperlink" Target="https://scryfall.com/sets/tema" TargetMode="External"/><Relationship Id="rId104" Type="http://schemas.openxmlformats.org/officeDocument/2006/relationships/hyperlink" Target="https://scryfall.com/sets/ph23" TargetMode="External"/><Relationship Id="rId311" Type="http://schemas.openxmlformats.org/officeDocument/2006/relationships/hyperlink" Target="https://scryfall.com/sets/tdsk" TargetMode="External"/><Relationship Id="rId1898" Type="http://schemas.openxmlformats.org/officeDocument/2006/relationships/hyperlink" Target="https://scryfall.com/sets/e02" TargetMode="External"/><Relationship Id="rId2949" Type="http://schemas.openxmlformats.org/officeDocument/2006/relationships/hyperlink" Target="https://scryfall.com/sets/tarb" TargetMode="External"/><Relationship Id="rId1758" Type="http://schemas.openxmlformats.org/officeDocument/2006/relationships/hyperlink" Target="https://scryfall.com/sets/ph17" TargetMode="External"/><Relationship Id="rId2809" Type="http://schemas.openxmlformats.org/officeDocument/2006/relationships/hyperlink" Target="https://scryfall.com/sets/tsom" TargetMode="External"/><Relationship Id="rId1965" Type="http://schemas.openxmlformats.org/officeDocument/2006/relationships/hyperlink" Target="https://scryfall.com/sets/hou" TargetMode="External"/><Relationship Id="rId3180" Type="http://schemas.openxmlformats.org/officeDocument/2006/relationships/hyperlink" Target="https://scryfall.com/sets/pcmp" TargetMode="External"/><Relationship Id="rId1618" Type="http://schemas.openxmlformats.org/officeDocument/2006/relationships/hyperlink" Target="https://scryfall.com/sets/ph18" TargetMode="External"/><Relationship Id="rId1825" Type="http://schemas.openxmlformats.org/officeDocument/2006/relationships/hyperlink" Target="https://scryfall.com/sets/tbbd" TargetMode="External"/><Relationship Id="rId3040" Type="http://schemas.openxmlformats.org/officeDocument/2006/relationships/hyperlink" Target="https://scryfall.com/sets/tshm" TargetMode="External"/><Relationship Id="rId2599" Type="http://schemas.openxmlformats.org/officeDocument/2006/relationships/hyperlink" Target="https://scryfall.com/sets/v12" TargetMode="External"/><Relationship Id="rId778" Type="http://schemas.openxmlformats.org/officeDocument/2006/relationships/hyperlink" Target="https://scryfall.com/sets/dmr" TargetMode="External"/><Relationship Id="rId985" Type="http://schemas.openxmlformats.org/officeDocument/2006/relationships/hyperlink" Target="https://scryfall.com/sets/2x2" TargetMode="External"/><Relationship Id="rId2459" Type="http://schemas.openxmlformats.org/officeDocument/2006/relationships/hyperlink" Target="https://scryfall.com/sets/f14" TargetMode="External"/><Relationship Id="rId2666" Type="http://schemas.openxmlformats.org/officeDocument/2006/relationships/hyperlink" Target="https://scryfall.com/sets/j12" TargetMode="External"/><Relationship Id="rId2873" Type="http://schemas.openxmlformats.org/officeDocument/2006/relationships/hyperlink" Target="https://scryfall.com/sets/pdp10" TargetMode="External"/><Relationship Id="rId3717" Type="http://schemas.openxmlformats.org/officeDocument/2006/relationships/hyperlink" Target="https://scryfall.com/sets/ptc" TargetMode="External"/><Relationship Id="rId638" Type="http://schemas.openxmlformats.org/officeDocument/2006/relationships/hyperlink" Target="https://scryfall.com/sets/pltr" TargetMode="External"/><Relationship Id="rId845" Type="http://schemas.openxmlformats.org/officeDocument/2006/relationships/hyperlink" Target="https://scryfall.com/sets/pbro" TargetMode="External"/><Relationship Id="rId1268" Type="http://schemas.openxmlformats.org/officeDocument/2006/relationships/hyperlink" Target="https://scryfall.com/sets/mmh2" TargetMode="External"/><Relationship Id="rId1475" Type="http://schemas.openxmlformats.org/officeDocument/2006/relationships/hyperlink" Target="https://scryfall.com/sets/ss3" TargetMode="External"/><Relationship Id="rId1682" Type="http://schemas.openxmlformats.org/officeDocument/2006/relationships/hyperlink" Target="https://scryfall.com/sets/prna" TargetMode="External"/><Relationship Id="rId2319" Type="http://schemas.openxmlformats.org/officeDocument/2006/relationships/hyperlink" Target="https://scryfall.com/sets/dvd" TargetMode="External"/><Relationship Id="rId2526" Type="http://schemas.openxmlformats.org/officeDocument/2006/relationships/hyperlink" Target="https://scryfall.com/sets/pdgm" TargetMode="External"/><Relationship Id="rId2733" Type="http://schemas.openxmlformats.org/officeDocument/2006/relationships/hyperlink" Target="https://scryfall.com/sets/tnph" TargetMode="External"/><Relationship Id="rId705" Type="http://schemas.openxmlformats.org/officeDocument/2006/relationships/hyperlink" Target="https://scryfall.com/sets/tmoc" TargetMode="External"/><Relationship Id="rId1128" Type="http://schemas.openxmlformats.org/officeDocument/2006/relationships/hyperlink" Target="https://scryfall.com/sets/pvow" TargetMode="External"/><Relationship Id="rId1335" Type="http://schemas.openxmlformats.org/officeDocument/2006/relationships/hyperlink" Target="https://scryfall.com/sets/pkhm" TargetMode="External"/><Relationship Id="rId1542" Type="http://schemas.openxmlformats.org/officeDocument/2006/relationships/hyperlink" Target="https://scryfall.com/sets/j20" TargetMode="External"/><Relationship Id="rId2940" Type="http://schemas.openxmlformats.org/officeDocument/2006/relationships/hyperlink" Target="https://scryfall.com/sets/tm10" TargetMode="External"/><Relationship Id="rId912" Type="http://schemas.openxmlformats.org/officeDocument/2006/relationships/hyperlink" Target="https://scryfall.com/sets/40k" TargetMode="External"/><Relationship Id="rId2800" Type="http://schemas.openxmlformats.org/officeDocument/2006/relationships/hyperlink" Target="https://scryfall.com/sets/som" TargetMode="External"/><Relationship Id="rId41" Type="http://schemas.openxmlformats.org/officeDocument/2006/relationships/hyperlink" Target="https://scryfall.com/sets/ttla" TargetMode="External"/><Relationship Id="rId1402" Type="http://schemas.openxmlformats.org/officeDocument/2006/relationships/hyperlink" Target="https://scryfall.com/sets/pznr" TargetMode="External"/><Relationship Id="rId288" Type="http://schemas.openxmlformats.org/officeDocument/2006/relationships/hyperlink" Target="https://scryfall.com/sets/afdn" TargetMode="External"/><Relationship Id="rId3367" Type="http://schemas.openxmlformats.org/officeDocument/2006/relationships/hyperlink" Target="https://scryfall.com/sets/pal03" TargetMode="External"/><Relationship Id="rId3574" Type="http://schemas.openxmlformats.org/officeDocument/2006/relationships/hyperlink" Target="https://scryfall.com/sets/ptk" TargetMode="External"/><Relationship Id="rId3781" Type="http://schemas.openxmlformats.org/officeDocument/2006/relationships/hyperlink" Target="https://scryfall.com/sets/fbb" TargetMode="External"/><Relationship Id="rId495" Type="http://schemas.openxmlformats.org/officeDocument/2006/relationships/hyperlink" Target="https://scryfall.com/sets/wmkm" TargetMode="External"/><Relationship Id="rId2176" Type="http://schemas.openxmlformats.org/officeDocument/2006/relationships/hyperlink" Target="https://scryfall.com/sets/pz1" TargetMode="External"/><Relationship Id="rId2383" Type="http://schemas.openxmlformats.org/officeDocument/2006/relationships/hyperlink" Target="https://scryfall.com/sets/vma" TargetMode="External"/><Relationship Id="rId2590" Type="http://schemas.openxmlformats.org/officeDocument/2006/relationships/hyperlink" Target="https://scryfall.com/sets/ddj" TargetMode="External"/><Relationship Id="rId3227" Type="http://schemas.openxmlformats.org/officeDocument/2006/relationships/hyperlink" Target="https://scryfall.com/sets/rav" TargetMode="External"/><Relationship Id="rId3434" Type="http://schemas.openxmlformats.org/officeDocument/2006/relationships/hyperlink" Target="https://scryfall.com/sets/dkm" TargetMode="External"/><Relationship Id="rId3641" Type="http://schemas.openxmlformats.org/officeDocument/2006/relationships/hyperlink" Target="https://scryfall.com/sets/jgp" TargetMode="External"/><Relationship Id="rId148" Type="http://schemas.openxmlformats.org/officeDocument/2006/relationships/hyperlink" Target="https://scryfall.com/sets/fca" TargetMode="External"/><Relationship Id="rId355" Type="http://schemas.openxmlformats.org/officeDocument/2006/relationships/hyperlink" Target="https://scryfall.com/sets/blc" TargetMode="External"/><Relationship Id="rId562" Type="http://schemas.openxmlformats.org/officeDocument/2006/relationships/hyperlink" Target="https://scryfall.com/sets/who" TargetMode="External"/><Relationship Id="rId1192" Type="http://schemas.openxmlformats.org/officeDocument/2006/relationships/hyperlink" Target="https://scryfall.com/sets/amid" TargetMode="External"/><Relationship Id="rId2036" Type="http://schemas.openxmlformats.org/officeDocument/2006/relationships/hyperlink" Target="https://scryfall.com/sets/paer" TargetMode="External"/><Relationship Id="rId2243" Type="http://schemas.openxmlformats.org/officeDocument/2006/relationships/hyperlink" Target="https://scryfall.com/sets/tpr" TargetMode="External"/><Relationship Id="rId2450" Type="http://schemas.openxmlformats.org/officeDocument/2006/relationships/hyperlink" Target="https://scryfall.com/sets/l14" TargetMode="External"/><Relationship Id="rId3501" Type="http://schemas.openxmlformats.org/officeDocument/2006/relationships/hyperlink" Target="https://scryfall.com/sets/ppcy" TargetMode="External"/><Relationship Id="rId215" Type="http://schemas.openxmlformats.org/officeDocument/2006/relationships/hyperlink" Target="https://scryfall.com/sets/pl25" TargetMode="External"/><Relationship Id="rId422" Type="http://schemas.openxmlformats.org/officeDocument/2006/relationships/hyperlink" Target="https://scryfall.com/sets/potj" TargetMode="External"/><Relationship Id="rId1052" Type="http://schemas.openxmlformats.org/officeDocument/2006/relationships/hyperlink" Target="https://scryfall.com/sets/msnc" TargetMode="External"/><Relationship Id="rId2103" Type="http://schemas.openxmlformats.org/officeDocument/2006/relationships/hyperlink" Target="https://scryfall.com/sets/ddr" TargetMode="External"/><Relationship Id="rId2310" Type="http://schemas.openxmlformats.org/officeDocument/2006/relationships/hyperlink" Target="https://scryfall.com/sets/jvc" TargetMode="External"/><Relationship Id="rId1869" Type="http://schemas.openxmlformats.org/officeDocument/2006/relationships/hyperlink" Target="https://scryfall.com/sets/trix" TargetMode="External"/><Relationship Id="rId3084" Type="http://schemas.openxmlformats.org/officeDocument/2006/relationships/hyperlink" Target="https://scryfall.com/sets/lrw" TargetMode="External"/><Relationship Id="rId3291" Type="http://schemas.openxmlformats.org/officeDocument/2006/relationships/hyperlink" Target="https://scryfall.com/sets/pchk" TargetMode="External"/><Relationship Id="rId1729" Type="http://schemas.openxmlformats.org/officeDocument/2006/relationships/hyperlink" Target="https://scryfall.com/sets/prwk" TargetMode="External"/><Relationship Id="rId1936" Type="http://schemas.openxmlformats.org/officeDocument/2006/relationships/hyperlink" Target="https://scryfall.com/sets/pss2" TargetMode="External"/><Relationship Id="rId3151" Type="http://schemas.openxmlformats.org/officeDocument/2006/relationships/hyperlink" Target="https://scryfall.com/sets/tsp" TargetMode="External"/><Relationship Id="rId3011" Type="http://schemas.openxmlformats.org/officeDocument/2006/relationships/hyperlink" Target="https://scryfall.com/sets/tala" TargetMode="External"/><Relationship Id="rId5" Type="http://schemas.openxmlformats.org/officeDocument/2006/relationships/hyperlink" Target="https://scryfall.com/sets/msc" TargetMode="External"/><Relationship Id="rId889" Type="http://schemas.openxmlformats.org/officeDocument/2006/relationships/hyperlink" Target="https://scryfall.com/sets/fbro" TargetMode="External"/><Relationship Id="rId2777" Type="http://schemas.openxmlformats.org/officeDocument/2006/relationships/hyperlink" Target="https://scryfall.com/sets/olgc" TargetMode="External"/><Relationship Id="rId749" Type="http://schemas.openxmlformats.org/officeDocument/2006/relationships/hyperlink" Target="https://scryfall.com/sets/yone" TargetMode="External"/><Relationship Id="rId1379" Type="http://schemas.openxmlformats.org/officeDocument/2006/relationships/hyperlink" Target="https://scryfall.com/sets/tcmr" TargetMode="External"/><Relationship Id="rId1586" Type="http://schemas.openxmlformats.org/officeDocument/2006/relationships/hyperlink" Target="https://scryfall.com/sets/eld" TargetMode="External"/><Relationship Id="rId2984" Type="http://schemas.openxmlformats.org/officeDocument/2006/relationships/hyperlink" Target="https://scryfall.com/sets/f09" TargetMode="External"/><Relationship Id="rId609" Type="http://schemas.openxmlformats.org/officeDocument/2006/relationships/hyperlink" Target="https://scryfall.com/sets/tcmm" TargetMode="External"/><Relationship Id="rId956" Type="http://schemas.openxmlformats.org/officeDocument/2006/relationships/hyperlink" Target="https://scryfall.com/sets/tdmc" TargetMode="External"/><Relationship Id="rId1239" Type="http://schemas.openxmlformats.org/officeDocument/2006/relationships/hyperlink" Target="https://scryfall.com/sets/mafr" TargetMode="External"/><Relationship Id="rId1793" Type="http://schemas.openxmlformats.org/officeDocument/2006/relationships/hyperlink" Target="https://scryfall.com/sets/g18" TargetMode="External"/><Relationship Id="rId2637" Type="http://schemas.openxmlformats.org/officeDocument/2006/relationships/hyperlink" Target="https://scryfall.com/sets/tddi" TargetMode="External"/><Relationship Id="rId2844" Type="http://schemas.openxmlformats.org/officeDocument/2006/relationships/hyperlink" Target="https://scryfall.com/sets/roe" TargetMode="External"/><Relationship Id="rId85" Type="http://schemas.openxmlformats.org/officeDocument/2006/relationships/hyperlink" Target="https://scryfall.com/sets/tspm" TargetMode="External"/><Relationship Id="rId816" Type="http://schemas.openxmlformats.org/officeDocument/2006/relationships/hyperlink" Target="https://scryfall.com/sets/30a" TargetMode="External"/><Relationship Id="rId1446" Type="http://schemas.openxmlformats.org/officeDocument/2006/relationships/hyperlink" Target="https://scryfall.com/sets/t2xm" TargetMode="External"/><Relationship Id="rId1653" Type="http://schemas.openxmlformats.org/officeDocument/2006/relationships/hyperlink" Target="https://scryfall.com/sets/amh1" TargetMode="External"/><Relationship Id="rId1860" Type="http://schemas.openxmlformats.org/officeDocument/2006/relationships/hyperlink" Target="https://scryfall.com/sets/pnat" TargetMode="External"/><Relationship Id="rId2704" Type="http://schemas.openxmlformats.org/officeDocument/2006/relationships/hyperlink" Target="https://scryfall.com/sets/pm12" TargetMode="External"/><Relationship Id="rId2911" Type="http://schemas.openxmlformats.org/officeDocument/2006/relationships/hyperlink" Target="https://scryfall.com/sets/tzen" TargetMode="External"/><Relationship Id="rId1306" Type="http://schemas.openxmlformats.org/officeDocument/2006/relationships/hyperlink" Target="https://scryfall.com/sets/c21" TargetMode="External"/><Relationship Id="rId1513" Type="http://schemas.openxmlformats.org/officeDocument/2006/relationships/hyperlink" Target="https://scryfall.com/sets/ha2" TargetMode="External"/><Relationship Id="rId1720" Type="http://schemas.openxmlformats.org/officeDocument/2006/relationships/hyperlink" Target="https://scryfall.com/sets/grn" TargetMode="External"/><Relationship Id="rId12" Type="http://schemas.openxmlformats.org/officeDocument/2006/relationships/hyperlink" Target="https://scryfall.com/sets/tmt" TargetMode="External"/><Relationship Id="rId3478" Type="http://schemas.openxmlformats.org/officeDocument/2006/relationships/hyperlink" Target="https://scryfall.com/sets/g01" TargetMode="External"/><Relationship Id="rId3685" Type="http://schemas.openxmlformats.org/officeDocument/2006/relationships/hyperlink" Target="https://scryfall.com/sets/mgb" TargetMode="External"/><Relationship Id="rId399" Type="http://schemas.openxmlformats.org/officeDocument/2006/relationships/hyperlink" Target="https://scryfall.com/sets/tm3c" TargetMode="External"/><Relationship Id="rId2287" Type="http://schemas.openxmlformats.org/officeDocument/2006/relationships/hyperlink" Target="https://scryfall.com/sets/f15" TargetMode="External"/><Relationship Id="rId2494" Type="http://schemas.openxmlformats.org/officeDocument/2006/relationships/hyperlink" Target="https://scryfall.com/sets/v13" TargetMode="External"/><Relationship Id="rId3338" Type="http://schemas.openxmlformats.org/officeDocument/2006/relationships/hyperlink" Target="https://scryfall.com/sets/8ed" TargetMode="External"/><Relationship Id="rId3545" Type="http://schemas.openxmlformats.org/officeDocument/2006/relationships/hyperlink" Target="https://scryfall.com/sets/pwos" TargetMode="External"/><Relationship Id="rId3752" Type="http://schemas.openxmlformats.org/officeDocument/2006/relationships/hyperlink" Target="https://scryfall.com/sets/pmei" TargetMode="External"/><Relationship Id="rId259" Type="http://schemas.openxmlformats.org/officeDocument/2006/relationships/hyperlink" Target="https://scryfall.com/sets/ainr" TargetMode="External"/><Relationship Id="rId466" Type="http://schemas.openxmlformats.org/officeDocument/2006/relationships/hyperlink" Target="https://scryfall.com/sets/pmkm" TargetMode="External"/><Relationship Id="rId673" Type="http://schemas.openxmlformats.org/officeDocument/2006/relationships/hyperlink" Target="https://scryfall.com/sets/mat" TargetMode="External"/><Relationship Id="rId880" Type="http://schemas.openxmlformats.org/officeDocument/2006/relationships/hyperlink" Target="https://scryfall.com/sets/abro" TargetMode="External"/><Relationship Id="rId1096" Type="http://schemas.openxmlformats.org/officeDocument/2006/relationships/hyperlink" Target="https://scryfall.com/sets/sneo" TargetMode="External"/><Relationship Id="rId2147" Type="http://schemas.openxmlformats.org/officeDocument/2006/relationships/hyperlink" Target="https://scryfall.com/sets/w16" TargetMode="External"/><Relationship Id="rId2354" Type="http://schemas.openxmlformats.org/officeDocument/2006/relationships/hyperlink" Target="https://scryfall.com/sets/m15" TargetMode="External"/><Relationship Id="rId2561" Type="http://schemas.openxmlformats.org/officeDocument/2006/relationships/hyperlink" Target="https://scryfall.com/sets/l13" TargetMode="External"/><Relationship Id="rId3405" Type="http://schemas.openxmlformats.org/officeDocument/2006/relationships/hyperlink" Target="https://scryfall.com/sets/jud" TargetMode="External"/><Relationship Id="rId119" Type="http://schemas.openxmlformats.org/officeDocument/2006/relationships/hyperlink" Target="https://scryfall.com/sets/eos" TargetMode="External"/><Relationship Id="rId326" Type="http://schemas.openxmlformats.org/officeDocument/2006/relationships/hyperlink" Target="https://scryfall.com/sets/adsk" TargetMode="External"/><Relationship Id="rId533" Type="http://schemas.openxmlformats.org/officeDocument/2006/relationships/hyperlink" Target="https://scryfall.com/sets/tlci" TargetMode="External"/><Relationship Id="rId1163" Type="http://schemas.openxmlformats.org/officeDocument/2006/relationships/hyperlink" Target="https://scryfall.com/sets/mid" TargetMode="External"/><Relationship Id="rId1370" Type="http://schemas.openxmlformats.org/officeDocument/2006/relationships/hyperlink" Target="https://scryfall.com/sets/cc1" TargetMode="External"/><Relationship Id="rId2007" Type="http://schemas.openxmlformats.org/officeDocument/2006/relationships/hyperlink" Target="https://scryfall.com/sets/takh" TargetMode="External"/><Relationship Id="rId2214" Type="http://schemas.openxmlformats.org/officeDocument/2006/relationships/hyperlink" Target="https://scryfall.com/sets/v15" TargetMode="External"/><Relationship Id="rId3612" Type="http://schemas.openxmlformats.org/officeDocument/2006/relationships/hyperlink" Target="https://scryfall.com/sets/wc98" TargetMode="External"/><Relationship Id="rId740" Type="http://schemas.openxmlformats.org/officeDocument/2006/relationships/hyperlink" Target="https://scryfall.com/sets/one" TargetMode="External"/><Relationship Id="rId1023" Type="http://schemas.openxmlformats.org/officeDocument/2006/relationships/hyperlink" Target="https://scryfall.com/sets/snc" TargetMode="External"/><Relationship Id="rId2421" Type="http://schemas.openxmlformats.org/officeDocument/2006/relationships/hyperlink" Target="https://scryfall.com/sets/thp3" TargetMode="External"/><Relationship Id="rId600" Type="http://schemas.openxmlformats.org/officeDocument/2006/relationships/hyperlink" Target="https://scryfall.com/sets/wwoe" TargetMode="External"/><Relationship Id="rId1230" Type="http://schemas.openxmlformats.org/officeDocument/2006/relationships/hyperlink" Target="https://scryfall.com/sets/afc" TargetMode="External"/><Relationship Id="rId3195" Type="http://schemas.openxmlformats.org/officeDocument/2006/relationships/hyperlink" Target="https://scryfall.com/sets/pal06" TargetMode="External"/><Relationship Id="rId3055" Type="http://schemas.openxmlformats.org/officeDocument/2006/relationships/hyperlink" Target="https://scryfall.com/sets/tmor" TargetMode="External"/><Relationship Id="rId3262" Type="http://schemas.openxmlformats.org/officeDocument/2006/relationships/hyperlink" Target="https://scryfall.com/sets/pjse" TargetMode="External"/><Relationship Id="rId183" Type="http://schemas.openxmlformats.org/officeDocument/2006/relationships/hyperlink" Target="https://scryfall.com/sets/pa1" TargetMode="External"/><Relationship Id="rId390" Type="http://schemas.openxmlformats.org/officeDocument/2006/relationships/hyperlink" Target="https://scryfall.com/sets/tmh3" TargetMode="External"/><Relationship Id="rId1907" Type="http://schemas.openxmlformats.org/officeDocument/2006/relationships/hyperlink" Target="https://scryfall.com/sets/tima" TargetMode="External"/><Relationship Id="rId2071" Type="http://schemas.openxmlformats.org/officeDocument/2006/relationships/hyperlink" Target="https://scryfall.com/cubes/twisted" TargetMode="External"/><Relationship Id="rId3122" Type="http://schemas.openxmlformats.org/officeDocument/2006/relationships/hyperlink" Target="https://scryfall.com/sets/ppro" TargetMode="External"/><Relationship Id="rId250" Type="http://schemas.openxmlformats.org/officeDocument/2006/relationships/hyperlink" Target="https://scryfall.com/sets/inr" TargetMode="External"/><Relationship Id="rId110" Type="http://schemas.openxmlformats.org/officeDocument/2006/relationships/hyperlink" Target="https://scryfall.com/sets/aa1" TargetMode="External"/><Relationship Id="rId2888" Type="http://schemas.openxmlformats.org/officeDocument/2006/relationships/hyperlink" Target="https://scryfall.com/sets/f10" TargetMode="External"/><Relationship Id="rId1697" Type="http://schemas.openxmlformats.org/officeDocument/2006/relationships/hyperlink" Target="https://scryfall.com/sets/uma" TargetMode="External"/><Relationship Id="rId2748" Type="http://schemas.openxmlformats.org/officeDocument/2006/relationships/hyperlink" Target="https://scryfall.com/sets/pmbs" TargetMode="External"/><Relationship Id="rId2955" Type="http://schemas.openxmlformats.org/officeDocument/2006/relationships/hyperlink" Target="https://scryfall.com/sets/ddc" TargetMode="External"/><Relationship Id="rId927" Type="http://schemas.openxmlformats.org/officeDocument/2006/relationships/hyperlink" Target="https://scryfall.com/sets/pdmu" TargetMode="External"/><Relationship Id="rId1557" Type="http://schemas.openxmlformats.org/officeDocument/2006/relationships/hyperlink" Target="https://scryfall.com/sets/slc" TargetMode="External"/><Relationship Id="rId1764" Type="http://schemas.openxmlformats.org/officeDocument/2006/relationships/hyperlink" Target="https://scryfall.com/sets/ana" TargetMode="External"/><Relationship Id="rId1971" Type="http://schemas.openxmlformats.org/officeDocument/2006/relationships/hyperlink" Target="https://scryfall.com/sets/thou" TargetMode="External"/><Relationship Id="rId2608" Type="http://schemas.openxmlformats.org/officeDocument/2006/relationships/hyperlink" Target="https://scryfall.com/sets/tm13" TargetMode="External"/><Relationship Id="rId2815" Type="http://schemas.openxmlformats.org/officeDocument/2006/relationships/hyperlink" Target="https://scryfall.com/sets/tddf" TargetMode="External"/><Relationship Id="rId56" Type="http://schemas.openxmlformats.org/officeDocument/2006/relationships/hyperlink" Target="https://scryfall.com/sets/tle" TargetMode="External"/><Relationship Id="rId1417" Type="http://schemas.openxmlformats.org/officeDocument/2006/relationships/hyperlink" Target="https://scryfall.com/sets/znc" TargetMode="External"/><Relationship Id="rId1624" Type="http://schemas.openxmlformats.org/officeDocument/2006/relationships/hyperlink" Target="https://scryfall.com/sets/m20" TargetMode="External"/><Relationship Id="rId1831" Type="http://schemas.openxmlformats.org/officeDocument/2006/relationships/hyperlink" Target="https://scryfall.com/sets/dom" TargetMode="External"/><Relationship Id="rId3589" Type="http://schemas.openxmlformats.org/officeDocument/2006/relationships/hyperlink" Target="https://scryfall.com/sets/pal99" TargetMode="External"/><Relationship Id="rId3796" Type="http://schemas.openxmlformats.org/officeDocument/2006/relationships/hyperlink" Target="https://scryfall.com/sets/ced" TargetMode="External"/><Relationship Id="rId2398" Type="http://schemas.openxmlformats.org/officeDocument/2006/relationships/hyperlink" Target="https://scryfall.com/sets/md1" TargetMode="External"/><Relationship Id="rId3449" Type="http://schemas.openxmlformats.org/officeDocument/2006/relationships/hyperlink" Target="https://scryfall.com/sets/psdg" TargetMode="External"/><Relationship Id="rId577" Type="http://schemas.openxmlformats.org/officeDocument/2006/relationships/hyperlink" Target="https://scryfall.com/sets/wot" TargetMode="External"/><Relationship Id="rId2258" Type="http://schemas.openxmlformats.org/officeDocument/2006/relationships/hyperlink" Target="https://scryfall.com/sets/ptkdf" TargetMode="External"/><Relationship Id="rId3656" Type="http://schemas.openxmlformats.org/officeDocument/2006/relationships/hyperlink" Target="https://scryfall.com/sets/wth" TargetMode="External"/><Relationship Id="rId784" Type="http://schemas.openxmlformats.org/officeDocument/2006/relationships/hyperlink" Target="https://scryfall.com/sets/pr23" TargetMode="External"/><Relationship Id="rId991" Type="http://schemas.openxmlformats.org/officeDocument/2006/relationships/hyperlink" Target="https://scryfall.com/sets/hbg" TargetMode="External"/><Relationship Id="rId1067" Type="http://schemas.openxmlformats.org/officeDocument/2006/relationships/hyperlink" Target="https://scryfall.com/sets/q07" TargetMode="External"/><Relationship Id="rId2465" Type="http://schemas.openxmlformats.org/officeDocument/2006/relationships/hyperlink" Target="https://scryfall.com/sets/oc13" TargetMode="External"/><Relationship Id="rId2672" Type="http://schemas.openxmlformats.org/officeDocument/2006/relationships/hyperlink" Target="https://scryfall.com/sets/f12" TargetMode="External"/><Relationship Id="rId3309" Type="http://schemas.openxmlformats.org/officeDocument/2006/relationships/hyperlink" Target="https://scryfall.com/sets/pdst" TargetMode="External"/><Relationship Id="rId3516" Type="http://schemas.openxmlformats.org/officeDocument/2006/relationships/hyperlink" Target="https://scryfall.com/sets/pelp" TargetMode="External"/><Relationship Id="rId3723" Type="http://schemas.openxmlformats.org/officeDocument/2006/relationships/hyperlink" Target="https://scryfall.com/sets/o90p" TargetMode="External"/><Relationship Id="rId437" Type="http://schemas.openxmlformats.org/officeDocument/2006/relationships/hyperlink" Target="https://scryfall.com/sets/big" TargetMode="External"/><Relationship Id="rId644" Type="http://schemas.openxmlformats.org/officeDocument/2006/relationships/hyperlink" Target="https://scryfall.com/sets/pltc" TargetMode="External"/><Relationship Id="rId851" Type="http://schemas.openxmlformats.org/officeDocument/2006/relationships/hyperlink" Target="https://scryfall.com/sets/tbro" TargetMode="External"/><Relationship Id="rId1274" Type="http://schemas.openxmlformats.org/officeDocument/2006/relationships/hyperlink" Target="https://scryfall.com/sets/h1r" TargetMode="External"/><Relationship Id="rId1481" Type="http://schemas.openxmlformats.org/officeDocument/2006/relationships/hyperlink" Target="https://scryfall.com/cubes/arena" TargetMode="External"/><Relationship Id="rId2118" Type="http://schemas.openxmlformats.org/officeDocument/2006/relationships/hyperlink" Target="https://scryfall.com/sets/emn" TargetMode="External"/><Relationship Id="rId2325" Type="http://schemas.openxmlformats.org/officeDocument/2006/relationships/hyperlink" Target="https://scryfall.com/sets/c14" TargetMode="External"/><Relationship Id="rId2532" Type="http://schemas.openxmlformats.org/officeDocument/2006/relationships/hyperlink" Target="https://scryfall.com/sets/wmc" TargetMode="External"/><Relationship Id="rId504" Type="http://schemas.openxmlformats.org/officeDocument/2006/relationships/hyperlink" Target="https://scryfall.com/sets/pl24" TargetMode="External"/><Relationship Id="rId711" Type="http://schemas.openxmlformats.org/officeDocument/2006/relationships/hyperlink" Target="https://scryfall.com/sets/amom" TargetMode="External"/><Relationship Id="rId1134" Type="http://schemas.openxmlformats.org/officeDocument/2006/relationships/hyperlink" Target="https://scryfall.com/sets/tvow" TargetMode="External"/><Relationship Id="rId1341" Type="http://schemas.openxmlformats.org/officeDocument/2006/relationships/hyperlink" Target="https://scryfall.com/sets/tkhm" TargetMode="External"/><Relationship Id="rId1201" Type="http://schemas.openxmlformats.org/officeDocument/2006/relationships/hyperlink" Target="https://scryfall.com/sets/cmb2" TargetMode="External"/><Relationship Id="rId3099" Type="http://schemas.openxmlformats.org/officeDocument/2006/relationships/hyperlink" Target="https://scryfall.com/sets/10e" TargetMode="External"/><Relationship Id="rId3166" Type="http://schemas.openxmlformats.org/officeDocument/2006/relationships/hyperlink" Target="https://scryfall.com/sets/pcsp" TargetMode="External"/><Relationship Id="rId3373" Type="http://schemas.openxmlformats.org/officeDocument/2006/relationships/hyperlink" Target="https://scryfall.com/sets/g03" TargetMode="External"/><Relationship Id="rId3580" Type="http://schemas.openxmlformats.org/officeDocument/2006/relationships/hyperlink" Target="https://scryfall.com/sets/6ed" TargetMode="External"/><Relationship Id="rId294" Type="http://schemas.openxmlformats.org/officeDocument/2006/relationships/hyperlink" Target="https://scryfall.com/sets/j25" TargetMode="External"/><Relationship Id="rId2182" Type="http://schemas.openxmlformats.org/officeDocument/2006/relationships/hyperlink" Target="https://scryfall.com/sets/tc15" TargetMode="External"/><Relationship Id="rId3026" Type="http://schemas.openxmlformats.org/officeDocument/2006/relationships/hyperlink" Target="https://scryfall.com/sets/peve" TargetMode="External"/><Relationship Id="rId3233" Type="http://schemas.openxmlformats.org/officeDocument/2006/relationships/hyperlink" Target="https://scryfall.com/sets/prav" TargetMode="External"/><Relationship Id="rId154" Type="http://schemas.openxmlformats.org/officeDocument/2006/relationships/hyperlink" Target="https://scryfall.com/sets/tfin" TargetMode="External"/><Relationship Id="rId361" Type="http://schemas.openxmlformats.org/officeDocument/2006/relationships/hyperlink" Target="https://scryfall.com/sets/tblc" TargetMode="External"/><Relationship Id="rId2042" Type="http://schemas.openxmlformats.org/officeDocument/2006/relationships/hyperlink" Target="https://scryfall.com/sets/l17" TargetMode="External"/><Relationship Id="rId3440" Type="http://schemas.openxmlformats.org/officeDocument/2006/relationships/hyperlink" Target="https://scryfall.com/sets/ody" TargetMode="External"/><Relationship Id="rId2999" Type="http://schemas.openxmlformats.org/officeDocument/2006/relationships/hyperlink" Target="https://scryfall.com/sets/tdd2" TargetMode="External"/><Relationship Id="rId3300" Type="http://schemas.openxmlformats.org/officeDocument/2006/relationships/hyperlink" Target="https://scryfall.com/sets/p5dn" TargetMode="External"/><Relationship Id="rId221" Type="http://schemas.openxmlformats.org/officeDocument/2006/relationships/hyperlink" Target="https://scryfall.com/sets/pdft" TargetMode="External"/><Relationship Id="rId2859" Type="http://schemas.openxmlformats.org/officeDocument/2006/relationships/hyperlink" Target="https://scryfall.com/sets/tdde" TargetMode="External"/><Relationship Id="rId1668" Type="http://schemas.openxmlformats.org/officeDocument/2006/relationships/hyperlink" Target="https://scryfall.com/sets/j19" TargetMode="External"/><Relationship Id="rId1875" Type="http://schemas.openxmlformats.org/officeDocument/2006/relationships/hyperlink" Target="https://scryfall.com/sets/j18" TargetMode="External"/><Relationship Id="rId2719" Type="http://schemas.openxmlformats.org/officeDocument/2006/relationships/hyperlink" Target="https://scryfall.com/sets/ocmd" TargetMode="External"/><Relationship Id="rId1528" Type="http://schemas.openxmlformats.org/officeDocument/2006/relationships/hyperlink" Target="https://scryfall.com/sets/pthb" TargetMode="External"/><Relationship Id="rId2926" Type="http://schemas.openxmlformats.org/officeDocument/2006/relationships/hyperlink" Target="https://scryfall.com/sets/ohop" TargetMode="External"/><Relationship Id="rId3090" Type="http://schemas.openxmlformats.org/officeDocument/2006/relationships/hyperlink" Target="https://scryfall.com/sets/tlrw" TargetMode="External"/><Relationship Id="rId1735" Type="http://schemas.openxmlformats.org/officeDocument/2006/relationships/hyperlink" Target="https://scryfall.com/sets/med" TargetMode="External"/><Relationship Id="rId1942" Type="http://schemas.openxmlformats.org/officeDocument/2006/relationships/hyperlink" Target="https://scryfall.com/sets/phtr" TargetMode="External"/><Relationship Id="rId27" Type="http://schemas.openxmlformats.org/officeDocument/2006/relationships/hyperlink" Target="https://scryfall.com/sets/ttmc" TargetMode="External"/><Relationship Id="rId1802" Type="http://schemas.openxmlformats.org/officeDocument/2006/relationships/hyperlink" Target="https://scryfall.com/sets/ss1" TargetMode="External"/><Relationship Id="rId3767" Type="http://schemas.openxmlformats.org/officeDocument/2006/relationships/hyperlink" Target="https://scryfall.com/sets/pdrc" TargetMode="External"/><Relationship Id="rId688" Type="http://schemas.openxmlformats.org/officeDocument/2006/relationships/hyperlink" Target="https://scryfall.com/sets/pmom" TargetMode="External"/><Relationship Id="rId895" Type="http://schemas.openxmlformats.org/officeDocument/2006/relationships/hyperlink" Target="https://scryfall.com/sets/tgn3" TargetMode="External"/><Relationship Id="rId2369" Type="http://schemas.openxmlformats.org/officeDocument/2006/relationships/hyperlink" Target="https://scryfall.com/sets/ppc1" TargetMode="External"/><Relationship Id="rId2576" Type="http://schemas.openxmlformats.org/officeDocument/2006/relationships/hyperlink" Target="https://scryfall.com/sets/ocm1" TargetMode="External"/><Relationship Id="rId2783" Type="http://schemas.openxmlformats.org/officeDocument/2006/relationships/hyperlink" Target="https://scryfall.com/sets/p11" TargetMode="External"/><Relationship Id="rId2990" Type="http://schemas.openxmlformats.org/officeDocument/2006/relationships/hyperlink" Target="https://scryfall.com/sets/p09" TargetMode="External"/><Relationship Id="rId3627" Type="http://schemas.openxmlformats.org/officeDocument/2006/relationships/hyperlink" Target="https://scryfall.com/sets/exo" TargetMode="External"/><Relationship Id="rId548" Type="http://schemas.openxmlformats.org/officeDocument/2006/relationships/hyperlink" Target="https://scryfall.com/sets/rex" TargetMode="External"/><Relationship Id="rId755" Type="http://schemas.openxmlformats.org/officeDocument/2006/relationships/hyperlink" Target="https://scryfall.com/sets/onc" TargetMode="External"/><Relationship Id="rId962" Type="http://schemas.openxmlformats.org/officeDocument/2006/relationships/hyperlink" Target="https://scryfall.com/sets/mdmu" TargetMode="External"/><Relationship Id="rId1178" Type="http://schemas.openxmlformats.org/officeDocument/2006/relationships/hyperlink" Target="https://scryfall.com/sets/mic" TargetMode="External"/><Relationship Id="rId1385" Type="http://schemas.openxmlformats.org/officeDocument/2006/relationships/hyperlink" Target="https://scryfall.com/sets/klr" TargetMode="External"/><Relationship Id="rId1592" Type="http://schemas.openxmlformats.org/officeDocument/2006/relationships/hyperlink" Target="https://scryfall.com/sets/peld" TargetMode="External"/><Relationship Id="rId2229" Type="http://schemas.openxmlformats.org/officeDocument/2006/relationships/hyperlink" Target="https://scryfall.com/sets/cp3" TargetMode="External"/><Relationship Id="rId2436" Type="http://schemas.openxmlformats.org/officeDocument/2006/relationships/hyperlink" Target="https://scryfall.com/sets/pbng" TargetMode="External"/><Relationship Id="rId2643" Type="http://schemas.openxmlformats.org/officeDocument/2006/relationships/hyperlink" Target="https://scryfall.com/sets/pdka" TargetMode="External"/><Relationship Id="rId2850" Type="http://schemas.openxmlformats.org/officeDocument/2006/relationships/hyperlink" Target="https://scryfall.com/sets/troe" TargetMode="External"/><Relationship Id="rId91" Type="http://schemas.openxmlformats.org/officeDocument/2006/relationships/hyperlink" Target="https://scryfall.com/sets/om1" TargetMode="External"/><Relationship Id="rId408" Type="http://schemas.openxmlformats.org/officeDocument/2006/relationships/hyperlink" Target="https://scryfall.com/sets/h2r" TargetMode="External"/><Relationship Id="rId615" Type="http://schemas.openxmlformats.org/officeDocument/2006/relationships/hyperlink" Target="https://scryfall.com/sets/acmm" TargetMode="External"/><Relationship Id="rId822" Type="http://schemas.openxmlformats.org/officeDocument/2006/relationships/hyperlink" Target="https://scryfall.com/sets/t30a" TargetMode="External"/><Relationship Id="rId1038" Type="http://schemas.openxmlformats.org/officeDocument/2006/relationships/hyperlink" Target="https://scryfall.com/sets/ysnc" TargetMode="External"/><Relationship Id="rId1245" Type="http://schemas.openxmlformats.org/officeDocument/2006/relationships/hyperlink" Target="https://scryfall.com/cubes/chromatic" TargetMode="External"/><Relationship Id="rId1452" Type="http://schemas.openxmlformats.org/officeDocument/2006/relationships/hyperlink" Target="https://scryfall.com/sets/jmp" TargetMode="External"/><Relationship Id="rId2503" Type="http://schemas.openxmlformats.org/officeDocument/2006/relationships/hyperlink" Target="https://scryfall.com/sets/pm14" TargetMode="External"/><Relationship Id="rId1105" Type="http://schemas.openxmlformats.org/officeDocument/2006/relationships/hyperlink" Target="https://scryfall.com/sets/aneo" TargetMode="External"/><Relationship Id="rId1312" Type="http://schemas.openxmlformats.org/officeDocument/2006/relationships/hyperlink" Target="https://scryfall.com/sets/tc21" TargetMode="External"/><Relationship Id="rId2710" Type="http://schemas.openxmlformats.org/officeDocument/2006/relationships/hyperlink" Target="https://scryfall.com/sets/tm12" TargetMode="External"/><Relationship Id="rId3277" Type="http://schemas.openxmlformats.org/officeDocument/2006/relationships/hyperlink" Target="https://scryfall.com/sets/unh" TargetMode="External"/><Relationship Id="rId198" Type="http://schemas.openxmlformats.org/officeDocument/2006/relationships/hyperlink" Target="https://scryfall.com/sets/ytdm" TargetMode="External"/><Relationship Id="rId2086" Type="http://schemas.openxmlformats.org/officeDocument/2006/relationships/hyperlink" Target="https://scryfall.com/sets/ps16" TargetMode="External"/><Relationship Id="rId3484" Type="http://schemas.openxmlformats.org/officeDocument/2006/relationships/hyperlink" Target="https://scryfall.com/sets/inv" TargetMode="External"/><Relationship Id="rId3691" Type="http://schemas.openxmlformats.org/officeDocument/2006/relationships/hyperlink" Target="https://scryfall.com/sets/mir" TargetMode="External"/><Relationship Id="rId2293" Type="http://schemas.openxmlformats.org/officeDocument/2006/relationships/hyperlink" Target="https://scryfall.com/sets/evg" TargetMode="External"/><Relationship Id="rId3137" Type="http://schemas.openxmlformats.org/officeDocument/2006/relationships/hyperlink" Target="https://scryfall.com/sets/g07" TargetMode="External"/><Relationship Id="rId3344" Type="http://schemas.openxmlformats.org/officeDocument/2006/relationships/hyperlink" Target="https://scryfall.com/sets/scg" TargetMode="External"/><Relationship Id="rId3551" Type="http://schemas.openxmlformats.org/officeDocument/2006/relationships/hyperlink" Target="https://scryfall.com/sets/wc99" TargetMode="External"/><Relationship Id="rId265" Type="http://schemas.openxmlformats.org/officeDocument/2006/relationships/hyperlink" Target="https://scryfall.com/sets/pf25" TargetMode="External"/><Relationship Id="rId472" Type="http://schemas.openxmlformats.org/officeDocument/2006/relationships/hyperlink" Target="https://scryfall.com/sets/tmkm" TargetMode="External"/><Relationship Id="rId2153" Type="http://schemas.openxmlformats.org/officeDocument/2006/relationships/hyperlink" Target="https://scryfall.com/sets/ogw" TargetMode="External"/><Relationship Id="rId2360" Type="http://schemas.openxmlformats.org/officeDocument/2006/relationships/hyperlink" Target="https://scryfall.com/sets/pm15" TargetMode="External"/><Relationship Id="rId3204" Type="http://schemas.openxmlformats.org/officeDocument/2006/relationships/hyperlink" Target="https://scryfall.com/sets/phuk" TargetMode="External"/><Relationship Id="rId3411" Type="http://schemas.openxmlformats.org/officeDocument/2006/relationships/hyperlink" Target="https://scryfall.com/sets/tor" TargetMode="External"/><Relationship Id="rId125" Type="http://schemas.openxmlformats.org/officeDocument/2006/relationships/hyperlink" Target="https://scryfall.com/sets/teoe" TargetMode="External"/><Relationship Id="rId332" Type="http://schemas.openxmlformats.org/officeDocument/2006/relationships/hyperlink" Target="https://scryfall.com/sets/mb2" TargetMode="External"/><Relationship Id="rId2013" Type="http://schemas.openxmlformats.org/officeDocument/2006/relationships/hyperlink" Target="https://scryfall.com/cubes/legacy" TargetMode="External"/><Relationship Id="rId2220" Type="http://schemas.openxmlformats.org/officeDocument/2006/relationships/hyperlink" Target="https://scryfall.com/sets/pori" TargetMode="External"/><Relationship Id="rId1779" Type="http://schemas.openxmlformats.org/officeDocument/2006/relationships/hyperlink" Target="https://scryfall.com/sets/m19" TargetMode="External"/><Relationship Id="rId1986" Type="http://schemas.openxmlformats.org/officeDocument/2006/relationships/hyperlink" Target="https://scryfall.com/sets/oe01" TargetMode="External"/><Relationship Id="rId1639" Type="http://schemas.openxmlformats.org/officeDocument/2006/relationships/hyperlink" Target="https://scryfall.com/sets/ss2" TargetMode="External"/><Relationship Id="rId1846" Type="http://schemas.openxmlformats.org/officeDocument/2006/relationships/hyperlink" Target="https://scryfall.com/sets/tddu" TargetMode="External"/><Relationship Id="rId3061" Type="http://schemas.openxmlformats.org/officeDocument/2006/relationships/hyperlink" Target="https://scryfall.com/sets/pmps08/ja" TargetMode="External"/><Relationship Id="rId1706" Type="http://schemas.openxmlformats.org/officeDocument/2006/relationships/hyperlink" Target="https://scryfall.com/sets/tuma" TargetMode="External"/><Relationship Id="rId1913" Type="http://schemas.openxmlformats.org/officeDocument/2006/relationships/hyperlink" Target="https://scryfall.com/sets/tddt" TargetMode="External"/><Relationship Id="rId799" Type="http://schemas.openxmlformats.org/officeDocument/2006/relationships/hyperlink" Target="https://scryfall.com/sets/scd" TargetMode="External"/><Relationship Id="rId2687" Type="http://schemas.openxmlformats.org/officeDocument/2006/relationships/hyperlink" Target="https://scryfall.com/sets/tisd" TargetMode="External"/><Relationship Id="rId2894" Type="http://schemas.openxmlformats.org/officeDocument/2006/relationships/hyperlink" Target="https://scryfall.com/sets/ddd" TargetMode="External"/><Relationship Id="rId3738" Type="http://schemas.openxmlformats.org/officeDocument/2006/relationships/hyperlink" Target="https://scryfall.com/sets/chr" TargetMode="External"/><Relationship Id="rId659" Type="http://schemas.openxmlformats.org/officeDocument/2006/relationships/hyperlink" Target="https://scryfall.com/sets/altr" TargetMode="External"/><Relationship Id="rId866" Type="http://schemas.openxmlformats.org/officeDocument/2006/relationships/hyperlink" Target="https://scryfall.com/sets/bot" TargetMode="External"/><Relationship Id="rId1289" Type="http://schemas.openxmlformats.org/officeDocument/2006/relationships/hyperlink" Target="https://scryfall.com/sets/pstx" TargetMode="External"/><Relationship Id="rId1496" Type="http://schemas.openxmlformats.org/officeDocument/2006/relationships/hyperlink" Target="https://scryfall.com/sets/piko" TargetMode="External"/><Relationship Id="rId2547" Type="http://schemas.openxmlformats.org/officeDocument/2006/relationships/hyperlink" Target="https://scryfall.com/sets/pgtc" TargetMode="External"/><Relationship Id="rId519" Type="http://schemas.openxmlformats.org/officeDocument/2006/relationships/hyperlink" Target="https://scryfall.com/sets/pw24" TargetMode="External"/><Relationship Id="rId1149" Type="http://schemas.openxmlformats.org/officeDocument/2006/relationships/hyperlink" Target="https://scryfall.com/sets/voc" TargetMode="External"/><Relationship Id="rId1356" Type="http://schemas.openxmlformats.org/officeDocument/2006/relationships/hyperlink" Target="https://scryfall.com/sets/tkhc" TargetMode="External"/><Relationship Id="rId2754" Type="http://schemas.openxmlformats.org/officeDocument/2006/relationships/hyperlink" Target="https://scryfall.com/sets/tmbs" TargetMode="External"/><Relationship Id="rId2961" Type="http://schemas.openxmlformats.org/officeDocument/2006/relationships/hyperlink" Target="https://scryfall.com/sets/purl" TargetMode="External"/><Relationship Id="rId3805" Type="http://schemas.openxmlformats.org/officeDocument/2006/relationships/hyperlink" Target="https://scryfall.com/sets/leb" TargetMode="External"/><Relationship Id="rId726" Type="http://schemas.openxmlformats.org/officeDocument/2006/relationships/hyperlink" Target="https://scryfall.com/sets/sis" TargetMode="External"/><Relationship Id="rId933" Type="http://schemas.openxmlformats.org/officeDocument/2006/relationships/hyperlink" Target="https://scryfall.com/sets/ydmu" TargetMode="External"/><Relationship Id="rId1009" Type="http://schemas.openxmlformats.org/officeDocument/2006/relationships/hyperlink" Target="https://scryfall.com/sets/tclb" TargetMode="External"/><Relationship Id="rId1563" Type="http://schemas.openxmlformats.org/officeDocument/2006/relationships/hyperlink" Target="https://scryfall.com/sets/slu" TargetMode="External"/><Relationship Id="rId1770" Type="http://schemas.openxmlformats.org/officeDocument/2006/relationships/hyperlink" Target="https://scryfall.com/sets/xana" TargetMode="External"/><Relationship Id="rId2407" Type="http://schemas.openxmlformats.org/officeDocument/2006/relationships/hyperlink" Target="https://scryfall.com/sets/pjou" TargetMode="External"/><Relationship Id="rId2614" Type="http://schemas.openxmlformats.org/officeDocument/2006/relationships/hyperlink" Target="https://scryfall.com/sets/opc2" TargetMode="External"/><Relationship Id="rId2821" Type="http://schemas.openxmlformats.org/officeDocument/2006/relationships/hyperlink" Target="https://scryfall.com/sets/m11" TargetMode="External"/><Relationship Id="rId62" Type="http://schemas.openxmlformats.org/officeDocument/2006/relationships/hyperlink" Target="https://scryfall.com/cubes/apcube" TargetMode="External"/><Relationship Id="rId1216" Type="http://schemas.openxmlformats.org/officeDocument/2006/relationships/hyperlink" Target="https://scryfall.com/sets/tafr" TargetMode="External"/><Relationship Id="rId1423" Type="http://schemas.openxmlformats.org/officeDocument/2006/relationships/hyperlink" Target="https://scryfall.com/sets/sznr" TargetMode="External"/><Relationship Id="rId1630" Type="http://schemas.openxmlformats.org/officeDocument/2006/relationships/hyperlink" Target="https://scryfall.com/sets/tm20" TargetMode="External"/><Relationship Id="rId3388" Type="http://schemas.openxmlformats.org/officeDocument/2006/relationships/hyperlink" Target="https://scryfall.com/sets/wc02" TargetMode="External"/><Relationship Id="rId3595" Type="http://schemas.openxmlformats.org/officeDocument/2006/relationships/hyperlink" Target="https://scryfall.com/sets/g99" TargetMode="External"/><Relationship Id="rId2197" Type="http://schemas.openxmlformats.org/officeDocument/2006/relationships/hyperlink" Target="https://scryfall.com/sets/pbfz" TargetMode="External"/><Relationship Id="rId3248" Type="http://schemas.openxmlformats.org/officeDocument/2006/relationships/hyperlink" Target="https://scryfall.com/sets/psok" TargetMode="External"/><Relationship Id="rId3455" Type="http://schemas.openxmlformats.org/officeDocument/2006/relationships/hyperlink" Target="https://scryfall.com/sets/papc" TargetMode="External"/><Relationship Id="rId3662" Type="http://schemas.openxmlformats.org/officeDocument/2006/relationships/hyperlink" Target="https://scryfall.com/sets/olep" TargetMode="External"/><Relationship Id="rId169" Type="http://schemas.openxmlformats.org/officeDocument/2006/relationships/hyperlink" Target="https://scryfall.com/sets/tfic" TargetMode="External"/><Relationship Id="rId376" Type="http://schemas.openxmlformats.org/officeDocument/2006/relationships/hyperlink" Target="https://scryfall.com/sets/macr" TargetMode="External"/><Relationship Id="rId583" Type="http://schemas.openxmlformats.org/officeDocument/2006/relationships/hyperlink" Target="https://scryfall.com/sets/twoe" TargetMode="External"/><Relationship Id="rId790" Type="http://schemas.openxmlformats.org/officeDocument/2006/relationships/hyperlink" Target="https://scryfall.com/sets/p23" TargetMode="External"/><Relationship Id="rId2057" Type="http://schemas.openxmlformats.org/officeDocument/2006/relationships/hyperlink" Target="https://scryfall.com/sets/tpca" TargetMode="External"/><Relationship Id="rId2264" Type="http://schemas.openxmlformats.org/officeDocument/2006/relationships/hyperlink" Target="https://scryfall.com/sets/frf" TargetMode="External"/><Relationship Id="rId2471" Type="http://schemas.openxmlformats.org/officeDocument/2006/relationships/hyperlink" Target="https://scryfall.com/sets/pths" TargetMode="External"/><Relationship Id="rId3108" Type="http://schemas.openxmlformats.org/officeDocument/2006/relationships/hyperlink" Target="https://scryfall.com/sets/fut" TargetMode="External"/><Relationship Id="rId3315" Type="http://schemas.openxmlformats.org/officeDocument/2006/relationships/hyperlink" Target="https://scryfall.com/sets/g04" TargetMode="External"/><Relationship Id="rId3522" Type="http://schemas.openxmlformats.org/officeDocument/2006/relationships/hyperlink" Target="https://scryfall.com/sets/g00" TargetMode="External"/><Relationship Id="rId236" Type="http://schemas.openxmlformats.org/officeDocument/2006/relationships/hyperlink" Target="https://scryfall.com/sets/adft" TargetMode="External"/><Relationship Id="rId443" Type="http://schemas.openxmlformats.org/officeDocument/2006/relationships/hyperlink" Target="https://scryfall.com/sets/pbig" TargetMode="External"/><Relationship Id="rId650" Type="http://schemas.openxmlformats.org/officeDocument/2006/relationships/hyperlink" Target="https://scryfall.com/sets/ltc" TargetMode="External"/><Relationship Id="rId1073" Type="http://schemas.openxmlformats.org/officeDocument/2006/relationships/hyperlink" Target="https://scryfall.com/sets/pl22" TargetMode="External"/><Relationship Id="rId1280" Type="http://schemas.openxmlformats.org/officeDocument/2006/relationships/hyperlink" Target="https://scryfall.com/sets/stx" TargetMode="External"/><Relationship Id="rId2124" Type="http://schemas.openxmlformats.org/officeDocument/2006/relationships/hyperlink" Target="https://scryfall.com/sets/temn" TargetMode="External"/><Relationship Id="rId2331" Type="http://schemas.openxmlformats.org/officeDocument/2006/relationships/hyperlink" Target="https://scryfall.com/sets/tc14" TargetMode="External"/><Relationship Id="rId303" Type="http://schemas.openxmlformats.org/officeDocument/2006/relationships/hyperlink" Target="https://scryfall.com/sets/dsk" TargetMode="External"/><Relationship Id="rId1140" Type="http://schemas.openxmlformats.org/officeDocument/2006/relationships/hyperlink" Target="https://scryfall.com/sets/svow" TargetMode="External"/><Relationship Id="rId510" Type="http://schemas.openxmlformats.org/officeDocument/2006/relationships/hyperlink" Target="https://scryfall.com/sets/trvr" TargetMode="External"/><Relationship Id="rId1000" Type="http://schemas.openxmlformats.org/officeDocument/2006/relationships/hyperlink" Target="https://scryfall.com/sets/clb" TargetMode="External"/><Relationship Id="rId1957" Type="http://schemas.openxmlformats.org/officeDocument/2006/relationships/hyperlink" Target="https://scryfall.com/sets/oc17" TargetMode="External"/><Relationship Id="rId1817" Type="http://schemas.openxmlformats.org/officeDocument/2006/relationships/hyperlink" Target="https://scryfall.com/sets/bbd" TargetMode="External"/><Relationship Id="rId3172" Type="http://schemas.openxmlformats.org/officeDocument/2006/relationships/hyperlink" Target="https://scryfall.com/sets/dis" TargetMode="External"/><Relationship Id="rId3032" Type="http://schemas.openxmlformats.org/officeDocument/2006/relationships/hyperlink" Target="https://scryfall.com/sets/shm" TargetMode="External"/><Relationship Id="rId160" Type="http://schemas.openxmlformats.org/officeDocument/2006/relationships/hyperlink" Target="https://scryfall.com/sets/rfin/ja" TargetMode="External"/><Relationship Id="rId2798" Type="http://schemas.openxmlformats.org/officeDocument/2006/relationships/hyperlink" Target="https://scryfall.com/sets/td0" TargetMode="External"/><Relationship Id="rId977" Type="http://schemas.openxmlformats.org/officeDocument/2006/relationships/hyperlink" Target="https://scryfall.com/sets/ha6" TargetMode="External"/><Relationship Id="rId2658" Type="http://schemas.openxmlformats.org/officeDocument/2006/relationships/hyperlink" Target="https://scryfall.com/sets/pidw" TargetMode="External"/><Relationship Id="rId2865" Type="http://schemas.openxmlformats.org/officeDocument/2006/relationships/hyperlink" Target="https://scryfall.com/sets/pwwk" TargetMode="External"/><Relationship Id="rId3709" Type="http://schemas.openxmlformats.org/officeDocument/2006/relationships/hyperlink" Target="https://scryfall.com/sets/plgm" TargetMode="External"/><Relationship Id="rId837" Type="http://schemas.openxmlformats.org/officeDocument/2006/relationships/hyperlink" Target="https://scryfall.com/sets/pewk" TargetMode="External"/><Relationship Id="rId1467" Type="http://schemas.openxmlformats.org/officeDocument/2006/relationships/hyperlink" Target="https://scryfall.com/sets/pm21" TargetMode="External"/><Relationship Id="rId1674" Type="http://schemas.openxmlformats.org/officeDocument/2006/relationships/hyperlink" Target="https://scryfall.com/sets/tgk2" TargetMode="External"/><Relationship Id="rId1881" Type="http://schemas.openxmlformats.org/officeDocument/2006/relationships/hyperlink" Target="https://scryfall.com/sets/ust" TargetMode="External"/><Relationship Id="rId2518" Type="http://schemas.openxmlformats.org/officeDocument/2006/relationships/hyperlink" Target="https://scryfall.com/sets/tmma" TargetMode="External"/><Relationship Id="rId2725" Type="http://schemas.openxmlformats.org/officeDocument/2006/relationships/hyperlink" Target="https://scryfall.com/sets/td2" TargetMode="External"/><Relationship Id="rId2932" Type="http://schemas.openxmlformats.org/officeDocument/2006/relationships/hyperlink" Target="https://scryfall.com/sets/m10" TargetMode="External"/><Relationship Id="rId904" Type="http://schemas.openxmlformats.org/officeDocument/2006/relationships/hyperlink" Target="https://scryfall.com/sets/tunf" TargetMode="External"/><Relationship Id="rId1327" Type="http://schemas.openxmlformats.org/officeDocument/2006/relationships/hyperlink" Target="https://scryfall.com/sets/ttsr" TargetMode="External"/><Relationship Id="rId1534" Type="http://schemas.openxmlformats.org/officeDocument/2006/relationships/hyperlink" Target="https://scryfall.com/sets/tthb" TargetMode="External"/><Relationship Id="rId1741" Type="http://schemas.openxmlformats.org/officeDocument/2006/relationships/hyperlink" Target="https://scryfall.com/sets/c18" TargetMode="External"/><Relationship Id="rId33" Type="http://schemas.openxmlformats.org/officeDocument/2006/relationships/hyperlink" Target="https://scryfall.com/sets/pf26" TargetMode="External"/><Relationship Id="rId1601" Type="http://schemas.openxmlformats.org/officeDocument/2006/relationships/hyperlink" Target="https://scryfall.com/cubes/grixis" TargetMode="External"/><Relationship Id="rId3499" Type="http://schemas.openxmlformats.org/officeDocument/2006/relationships/hyperlink" Target="https://scryfall.com/sets/pcy" TargetMode="External"/><Relationship Id="rId3359" Type="http://schemas.openxmlformats.org/officeDocument/2006/relationships/hyperlink" Target="https://scryfall.com/sets/pmoa" TargetMode="External"/><Relationship Id="rId3566" Type="http://schemas.openxmlformats.org/officeDocument/2006/relationships/hyperlink" Target="https://scryfall.com/sets/uds" TargetMode="External"/><Relationship Id="rId487" Type="http://schemas.openxmlformats.org/officeDocument/2006/relationships/hyperlink" Target="https://scryfall.com/sets/pss4" TargetMode="External"/><Relationship Id="rId694" Type="http://schemas.openxmlformats.org/officeDocument/2006/relationships/hyperlink" Target="https://scryfall.com/sets/tmom" TargetMode="External"/><Relationship Id="rId2168" Type="http://schemas.openxmlformats.org/officeDocument/2006/relationships/hyperlink" Target="https://scryfall.com/sets/j16" TargetMode="External"/><Relationship Id="rId2375" Type="http://schemas.openxmlformats.org/officeDocument/2006/relationships/hyperlink" Target="https://scryfall.com/sets/pdp15" TargetMode="External"/><Relationship Id="rId3219" Type="http://schemas.openxmlformats.org/officeDocument/2006/relationships/hyperlink" Target="https://scryfall.com/sets/p2hg" TargetMode="External"/><Relationship Id="rId3773" Type="http://schemas.openxmlformats.org/officeDocument/2006/relationships/hyperlink" Target="https://scryfall.com/sets/leg" TargetMode="External"/><Relationship Id="rId347" Type="http://schemas.openxmlformats.org/officeDocument/2006/relationships/hyperlink" Target="https://scryfall.com/sets/yblb" TargetMode="External"/><Relationship Id="rId1184" Type="http://schemas.openxmlformats.org/officeDocument/2006/relationships/hyperlink" Target="https://scryfall.com/sets/tmic" TargetMode="External"/><Relationship Id="rId2028" Type="http://schemas.openxmlformats.org/officeDocument/2006/relationships/hyperlink" Target="https://scryfall.com/sets/tmm3" TargetMode="External"/><Relationship Id="rId2582" Type="http://schemas.openxmlformats.org/officeDocument/2006/relationships/hyperlink" Target="https://scryfall.com/sets/prtr" TargetMode="External"/><Relationship Id="rId3426" Type="http://schemas.openxmlformats.org/officeDocument/2006/relationships/hyperlink" Target="https://scryfall.com/sets/g02" TargetMode="External"/><Relationship Id="rId3633" Type="http://schemas.openxmlformats.org/officeDocument/2006/relationships/hyperlink" Target="https://scryfall.com/sets/pexo" TargetMode="External"/><Relationship Id="rId554" Type="http://schemas.openxmlformats.org/officeDocument/2006/relationships/hyperlink" Target="https://scryfall.com/sets/trex" TargetMode="External"/><Relationship Id="rId761" Type="http://schemas.openxmlformats.org/officeDocument/2006/relationships/hyperlink" Target="https://scryfall.com/sets/mone" TargetMode="External"/><Relationship Id="rId1391" Type="http://schemas.openxmlformats.org/officeDocument/2006/relationships/hyperlink" Target="https://scryfall.com/sets/ulst" TargetMode="External"/><Relationship Id="rId2235" Type="http://schemas.openxmlformats.org/officeDocument/2006/relationships/hyperlink" Target="https://scryfall.com/sets/mm2" TargetMode="External"/><Relationship Id="rId2442" Type="http://schemas.openxmlformats.org/officeDocument/2006/relationships/hyperlink" Target="https://scryfall.com/sets/tbth" TargetMode="External"/><Relationship Id="rId3700" Type="http://schemas.openxmlformats.org/officeDocument/2006/relationships/hyperlink" Target="https://scryfall.com/sets/pcel" TargetMode="External"/><Relationship Id="rId207" Type="http://schemas.openxmlformats.org/officeDocument/2006/relationships/hyperlink" Target="https://scryfall.com/sets/ttdc" TargetMode="External"/><Relationship Id="rId414" Type="http://schemas.openxmlformats.org/officeDocument/2006/relationships/hyperlink" Target="https://scryfall.com/sets/otp" TargetMode="External"/><Relationship Id="rId621" Type="http://schemas.openxmlformats.org/officeDocument/2006/relationships/hyperlink" Target="https://scryfall.com/sets/ea3" TargetMode="External"/><Relationship Id="rId1044" Type="http://schemas.openxmlformats.org/officeDocument/2006/relationships/hyperlink" Target="https://scryfall.com/sets/pncc" TargetMode="External"/><Relationship Id="rId1251" Type="http://schemas.openxmlformats.org/officeDocument/2006/relationships/hyperlink" Target="https://scryfall.com/sets/pw21" TargetMode="External"/><Relationship Id="rId2302" Type="http://schemas.openxmlformats.org/officeDocument/2006/relationships/hyperlink" Target="https://scryfall.com/sets/gvl" TargetMode="External"/><Relationship Id="rId1111" Type="http://schemas.openxmlformats.org/officeDocument/2006/relationships/hyperlink" Target="https://scryfall.com/sets/cc2" TargetMode="External"/><Relationship Id="rId3076" Type="http://schemas.openxmlformats.org/officeDocument/2006/relationships/hyperlink" Target="https://scryfall.com/sets/dd1" TargetMode="External"/><Relationship Id="rId3283" Type="http://schemas.openxmlformats.org/officeDocument/2006/relationships/hyperlink" Target="https://scryfall.com/sets/punh" TargetMode="External"/><Relationship Id="rId3490" Type="http://schemas.openxmlformats.org/officeDocument/2006/relationships/hyperlink" Target="https://scryfall.com/sets/btd" TargetMode="External"/><Relationship Id="rId1928" Type="http://schemas.openxmlformats.org/officeDocument/2006/relationships/hyperlink" Target="https://scryfall.com/sets/txln" TargetMode="External"/><Relationship Id="rId2092" Type="http://schemas.openxmlformats.org/officeDocument/2006/relationships/hyperlink" Target="https://scryfall.com/sets/mps" TargetMode="External"/><Relationship Id="rId3143" Type="http://schemas.openxmlformats.org/officeDocument/2006/relationships/hyperlink" Target="https://scryfall.com/sets/f07" TargetMode="External"/><Relationship Id="rId3350" Type="http://schemas.openxmlformats.org/officeDocument/2006/relationships/hyperlink" Target="https://scryfall.com/sets/pscg" TargetMode="External"/><Relationship Id="rId271" Type="http://schemas.openxmlformats.org/officeDocument/2006/relationships/hyperlink" Target="https://scryfall.com/sets/pio" TargetMode="External"/><Relationship Id="rId3003" Type="http://schemas.openxmlformats.org/officeDocument/2006/relationships/hyperlink" Target="https://scryfall.com/sets/ala" TargetMode="External"/><Relationship Id="rId131" Type="http://schemas.openxmlformats.org/officeDocument/2006/relationships/hyperlink" Target="https://scryfall.com/sets/yeoe" TargetMode="External"/><Relationship Id="rId3210" Type="http://schemas.openxmlformats.org/officeDocument/2006/relationships/hyperlink" Target="https://scryfall.com/sets/g06" TargetMode="External"/><Relationship Id="rId2769" Type="http://schemas.openxmlformats.org/officeDocument/2006/relationships/hyperlink" Target="https://scryfall.com/sets/pdp12" TargetMode="External"/><Relationship Id="rId2976" Type="http://schemas.openxmlformats.org/officeDocument/2006/relationships/hyperlink" Target="https://scryfall.com/sets/pdtp" TargetMode="External"/><Relationship Id="rId948" Type="http://schemas.openxmlformats.org/officeDocument/2006/relationships/hyperlink" Target="https://scryfall.com/sets/wdmu/ja" TargetMode="External"/><Relationship Id="rId1578" Type="http://schemas.openxmlformats.org/officeDocument/2006/relationships/hyperlink" Target="https://scryfall.com/sets/cmb1" TargetMode="External"/><Relationship Id="rId1785" Type="http://schemas.openxmlformats.org/officeDocument/2006/relationships/hyperlink" Target="https://scryfall.com/sets/pm19" TargetMode="External"/><Relationship Id="rId1992" Type="http://schemas.openxmlformats.org/officeDocument/2006/relationships/hyperlink" Target="https://scryfall.com/sets/tcma" TargetMode="External"/><Relationship Id="rId2629" Type="http://schemas.openxmlformats.org/officeDocument/2006/relationships/hyperlink" Target="https://scryfall.com/sets/phel" TargetMode="External"/><Relationship Id="rId2836" Type="http://schemas.openxmlformats.org/officeDocument/2006/relationships/hyperlink" Target="https://scryfall.com/sets/oarc" TargetMode="External"/><Relationship Id="rId77" Type="http://schemas.openxmlformats.org/officeDocument/2006/relationships/hyperlink" Target="https://scryfall.com/sets/spm" TargetMode="External"/><Relationship Id="rId808" Type="http://schemas.openxmlformats.org/officeDocument/2006/relationships/hyperlink" Target="https://scryfall.com/sets/j22" TargetMode="External"/><Relationship Id="rId1438" Type="http://schemas.openxmlformats.org/officeDocument/2006/relationships/hyperlink" Target="https://scryfall.com/sets/anb" TargetMode="External"/><Relationship Id="rId1645" Type="http://schemas.openxmlformats.org/officeDocument/2006/relationships/hyperlink" Target="https://scryfall.com/sets/pmh1" TargetMode="External"/><Relationship Id="rId1852" Type="http://schemas.openxmlformats.org/officeDocument/2006/relationships/hyperlink" Target="https://scryfall.com/sets/ta25" TargetMode="External"/><Relationship Id="rId2903" Type="http://schemas.openxmlformats.org/officeDocument/2006/relationships/hyperlink" Target="https://scryfall.com/sets/zen" TargetMode="External"/><Relationship Id="rId1505" Type="http://schemas.openxmlformats.org/officeDocument/2006/relationships/hyperlink" Target="https://scryfall.com/sets/tc20" TargetMode="External"/><Relationship Id="rId1712" Type="http://schemas.openxmlformats.org/officeDocument/2006/relationships/hyperlink" Target="https://scryfall.com/sets/gk1" TargetMode="External"/><Relationship Id="rId3677" Type="http://schemas.openxmlformats.org/officeDocument/2006/relationships/hyperlink" Target="https://scryfall.com/sets/pmic" TargetMode="External"/><Relationship Id="rId598" Type="http://schemas.openxmlformats.org/officeDocument/2006/relationships/hyperlink" Target="https://scryfall.com/sets/wwoe" TargetMode="External"/><Relationship Id="rId2279" Type="http://schemas.openxmlformats.org/officeDocument/2006/relationships/hyperlink" Target="https://scryfall.com/sets/ugin" TargetMode="External"/><Relationship Id="rId2486" Type="http://schemas.openxmlformats.org/officeDocument/2006/relationships/hyperlink" Target="https://scryfall.com/sets/thp1" TargetMode="External"/><Relationship Id="rId2693" Type="http://schemas.openxmlformats.org/officeDocument/2006/relationships/hyperlink" Target="https://scryfall.com/sets/tddh" TargetMode="External"/><Relationship Id="rId3537" Type="http://schemas.openxmlformats.org/officeDocument/2006/relationships/hyperlink" Target="https://scryfall.com/sets/brb" TargetMode="External"/><Relationship Id="rId3744" Type="http://schemas.openxmlformats.org/officeDocument/2006/relationships/hyperlink" Target="https://scryfall.com/sets/ice" TargetMode="External"/><Relationship Id="rId458" Type="http://schemas.openxmlformats.org/officeDocument/2006/relationships/hyperlink" Target="https://scryfall.com/sets/tpip" TargetMode="External"/><Relationship Id="rId665" Type="http://schemas.openxmlformats.org/officeDocument/2006/relationships/hyperlink" Target="https://scryfall.com/sets/fltr" TargetMode="External"/><Relationship Id="rId872" Type="http://schemas.openxmlformats.org/officeDocument/2006/relationships/hyperlink" Target="https://scryfall.com/sets/ptbro" TargetMode="External"/><Relationship Id="rId1088" Type="http://schemas.openxmlformats.org/officeDocument/2006/relationships/hyperlink" Target="https://scryfall.com/sets/yneo" TargetMode="External"/><Relationship Id="rId1295" Type="http://schemas.openxmlformats.org/officeDocument/2006/relationships/hyperlink" Target="https://scryfall.com/sets/sstx" TargetMode="External"/><Relationship Id="rId2139" Type="http://schemas.openxmlformats.org/officeDocument/2006/relationships/hyperlink" Target="https://scryfall.com/sets/psoi" TargetMode="External"/><Relationship Id="rId2346" Type="http://schemas.openxmlformats.org/officeDocument/2006/relationships/hyperlink" Target="https://scryfall.com/sets/tktk" TargetMode="External"/><Relationship Id="rId2553" Type="http://schemas.openxmlformats.org/officeDocument/2006/relationships/hyperlink" Target="https://scryfall.com/sets/tgtc" TargetMode="External"/><Relationship Id="rId2760" Type="http://schemas.openxmlformats.org/officeDocument/2006/relationships/hyperlink" Target="https://scryfall.com/sets/pmps11" TargetMode="External"/><Relationship Id="rId3604" Type="http://schemas.openxmlformats.org/officeDocument/2006/relationships/hyperlink" Target="https://scryfall.com/sets/pusg" TargetMode="External"/><Relationship Id="rId318" Type="http://schemas.openxmlformats.org/officeDocument/2006/relationships/hyperlink" Target="https://scryfall.com/sets/dsc" TargetMode="External"/><Relationship Id="rId525" Type="http://schemas.openxmlformats.org/officeDocument/2006/relationships/hyperlink" Target="https://scryfall.com/sets/lci" TargetMode="External"/><Relationship Id="rId732" Type="http://schemas.openxmlformats.org/officeDocument/2006/relationships/hyperlink" Target="https://scryfall.com/sets/punk" TargetMode="External"/><Relationship Id="rId1155" Type="http://schemas.openxmlformats.org/officeDocument/2006/relationships/hyperlink" Target="https://scryfall.com/sets/ovoc" TargetMode="External"/><Relationship Id="rId1362" Type="http://schemas.openxmlformats.org/officeDocument/2006/relationships/hyperlink" Target="https://scryfall.com/sets/pl21" TargetMode="External"/><Relationship Id="rId2206" Type="http://schemas.openxmlformats.org/officeDocument/2006/relationships/hyperlink" Target="https://scryfall.com/sets/pss1" TargetMode="External"/><Relationship Id="rId2413" Type="http://schemas.openxmlformats.org/officeDocument/2006/relationships/hyperlink" Target="https://scryfall.com/sets/tjou" TargetMode="External"/><Relationship Id="rId2620" Type="http://schemas.openxmlformats.org/officeDocument/2006/relationships/hyperlink" Target="https://scryfall.com/sets/pavr" TargetMode="External"/><Relationship Id="rId1015" Type="http://schemas.openxmlformats.org/officeDocument/2006/relationships/hyperlink" Target="https://scryfall.com/sets/oclb" TargetMode="External"/><Relationship Id="rId1222" Type="http://schemas.openxmlformats.org/officeDocument/2006/relationships/hyperlink" Target="https://scryfall.com/sets/oafr" TargetMode="External"/><Relationship Id="rId3187" Type="http://schemas.openxmlformats.org/officeDocument/2006/relationships/hyperlink" Target="https://scryfall.com/sets/pgpt" TargetMode="External"/><Relationship Id="rId3394" Type="http://schemas.openxmlformats.org/officeDocument/2006/relationships/hyperlink" Target="https://scryfall.com/sets/pons" TargetMode="External"/><Relationship Id="rId3047" Type="http://schemas.openxmlformats.org/officeDocument/2006/relationships/hyperlink" Target="https://scryfall.com/sets/mor" TargetMode="External"/><Relationship Id="rId175" Type="http://schemas.openxmlformats.org/officeDocument/2006/relationships/hyperlink" Target="https://scryfall.com/sets/wfin" TargetMode="External"/><Relationship Id="rId3254" Type="http://schemas.openxmlformats.org/officeDocument/2006/relationships/hyperlink" Target="https://scryfall.com/sets/pbok" TargetMode="External"/><Relationship Id="rId3461" Type="http://schemas.openxmlformats.org/officeDocument/2006/relationships/hyperlink" Target="https://scryfall.com/sets/pls" TargetMode="External"/><Relationship Id="rId382" Type="http://schemas.openxmlformats.org/officeDocument/2006/relationships/hyperlink" Target="https://scryfall.com/sets/mh3" TargetMode="External"/><Relationship Id="rId2063" Type="http://schemas.openxmlformats.org/officeDocument/2006/relationships/hyperlink" Target="https://scryfall.com/sets/opca" TargetMode="External"/><Relationship Id="rId2270" Type="http://schemas.openxmlformats.org/officeDocument/2006/relationships/hyperlink" Target="https://scryfall.com/sets/tfrf" TargetMode="External"/><Relationship Id="rId3114" Type="http://schemas.openxmlformats.org/officeDocument/2006/relationships/hyperlink" Target="https://scryfall.com/sets/pfut" TargetMode="External"/><Relationship Id="rId3321" Type="http://schemas.openxmlformats.org/officeDocument/2006/relationships/hyperlink" Target="https://scryfall.com/sets/p04" TargetMode="External"/><Relationship Id="rId242" Type="http://schemas.openxmlformats.org/officeDocument/2006/relationships/hyperlink" Target="https://scryfall.com/sets/tdrc" TargetMode="External"/><Relationship Id="rId2130" Type="http://schemas.openxmlformats.org/officeDocument/2006/relationships/hyperlink" Target="https://scryfall.com/sets/tema" TargetMode="External"/><Relationship Id="rId102" Type="http://schemas.openxmlformats.org/officeDocument/2006/relationships/hyperlink" Target="https://scryfall.com/sets/ph23" TargetMode="External"/><Relationship Id="rId1689" Type="http://schemas.openxmlformats.org/officeDocument/2006/relationships/hyperlink" Target="https://scryfall.com/sets/prw2" TargetMode="External"/><Relationship Id="rId1896" Type="http://schemas.openxmlformats.org/officeDocument/2006/relationships/hyperlink" Target="https://scryfall.com/sets/v17" TargetMode="External"/><Relationship Id="rId2947" Type="http://schemas.openxmlformats.org/officeDocument/2006/relationships/hyperlink" Target="https://scryfall.com/sets/parb" TargetMode="External"/><Relationship Id="rId919" Type="http://schemas.openxmlformats.org/officeDocument/2006/relationships/hyperlink" Target="https://scryfall.com/sets/prcq" TargetMode="External"/><Relationship Id="rId1549" Type="http://schemas.openxmlformats.org/officeDocument/2006/relationships/hyperlink" Target="https://scryfall.com/sets/pssc" TargetMode="External"/><Relationship Id="rId1756" Type="http://schemas.openxmlformats.org/officeDocument/2006/relationships/hyperlink" Target="https://scryfall.com/sets/ph17" TargetMode="External"/><Relationship Id="rId1963" Type="http://schemas.openxmlformats.org/officeDocument/2006/relationships/hyperlink" Target="https://scryfall.com/sets/ps17" TargetMode="External"/><Relationship Id="rId2807" Type="http://schemas.openxmlformats.org/officeDocument/2006/relationships/hyperlink" Target="https://scryfall.com/sets/tsom" TargetMode="External"/><Relationship Id="rId48" Type="http://schemas.openxmlformats.org/officeDocument/2006/relationships/hyperlink" Target="https://scryfall.com/sets/ftla" TargetMode="External"/><Relationship Id="rId1409" Type="http://schemas.openxmlformats.org/officeDocument/2006/relationships/hyperlink" Target="https://scryfall.com/sets/aznr" TargetMode="External"/><Relationship Id="rId1616" Type="http://schemas.openxmlformats.org/officeDocument/2006/relationships/hyperlink" Target="https://scryfall.com/sets/ph18" TargetMode="External"/><Relationship Id="rId1823" Type="http://schemas.openxmlformats.org/officeDocument/2006/relationships/hyperlink" Target="https://scryfall.com/sets/tbbd" TargetMode="External"/><Relationship Id="rId3788" Type="http://schemas.openxmlformats.org/officeDocument/2006/relationships/hyperlink" Target="https://scryfall.com/sets/arn" TargetMode="External"/><Relationship Id="rId2597" Type="http://schemas.openxmlformats.org/officeDocument/2006/relationships/hyperlink" Target="https://scryfall.com/sets/v12" TargetMode="External"/><Relationship Id="rId3648" Type="http://schemas.openxmlformats.org/officeDocument/2006/relationships/hyperlink" Target="https://scryfall.com/sets/ptmp" TargetMode="External"/><Relationship Id="rId569" Type="http://schemas.openxmlformats.org/officeDocument/2006/relationships/hyperlink" Target="https://scryfall.com/sets/pmda" TargetMode="External"/><Relationship Id="rId776" Type="http://schemas.openxmlformats.org/officeDocument/2006/relationships/hyperlink" Target="https://scryfall.com/sets/dmr" TargetMode="External"/><Relationship Id="rId983" Type="http://schemas.openxmlformats.org/officeDocument/2006/relationships/hyperlink" Target="https://scryfall.com/sets/sch" TargetMode="External"/><Relationship Id="rId1199" Type="http://schemas.openxmlformats.org/officeDocument/2006/relationships/hyperlink" Target="https://scryfall.com/sets/j21" TargetMode="External"/><Relationship Id="rId2457" Type="http://schemas.openxmlformats.org/officeDocument/2006/relationships/hyperlink" Target="https://scryfall.com/sets/f14" TargetMode="External"/><Relationship Id="rId2664" Type="http://schemas.openxmlformats.org/officeDocument/2006/relationships/hyperlink" Target="https://scryfall.com/sets/l12" TargetMode="External"/><Relationship Id="rId3508" Type="http://schemas.openxmlformats.org/officeDocument/2006/relationships/hyperlink" Target="https://scryfall.com/sets/nem" TargetMode="External"/><Relationship Id="rId429" Type="http://schemas.openxmlformats.org/officeDocument/2006/relationships/hyperlink" Target="https://scryfall.com/sets/yotj" TargetMode="External"/><Relationship Id="rId636" Type="http://schemas.openxmlformats.org/officeDocument/2006/relationships/hyperlink" Target="https://scryfall.com/sets/pltr" TargetMode="External"/><Relationship Id="rId1059" Type="http://schemas.openxmlformats.org/officeDocument/2006/relationships/hyperlink" Target="https://scryfall.com/sets/asnc" TargetMode="External"/><Relationship Id="rId1266" Type="http://schemas.openxmlformats.org/officeDocument/2006/relationships/hyperlink" Target="https://scryfall.com/sets/amh2" TargetMode="External"/><Relationship Id="rId1473" Type="http://schemas.openxmlformats.org/officeDocument/2006/relationships/hyperlink" Target="https://scryfall.com/sets/tm21" TargetMode="External"/><Relationship Id="rId2317" Type="http://schemas.openxmlformats.org/officeDocument/2006/relationships/hyperlink" Target="https://scryfall.com/sets/dvd" TargetMode="External"/><Relationship Id="rId2871" Type="http://schemas.openxmlformats.org/officeDocument/2006/relationships/hyperlink" Target="https://scryfall.com/sets/pdp10" TargetMode="External"/><Relationship Id="rId3715" Type="http://schemas.openxmlformats.org/officeDocument/2006/relationships/hyperlink" Target="https://scryfall.com/sets/all" TargetMode="External"/><Relationship Id="rId843" Type="http://schemas.openxmlformats.org/officeDocument/2006/relationships/hyperlink" Target="https://scryfall.com/sets/brr" TargetMode="External"/><Relationship Id="rId1126" Type="http://schemas.openxmlformats.org/officeDocument/2006/relationships/hyperlink" Target="https://scryfall.com/sets/vow" TargetMode="External"/><Relationship Id="rId1680" Type="http://schemas.openxmlformats.org/officeDocument/2006/relationships/hyperlink" Target="https://scryfall.com/sets/rna" TargetMode="External"/><Relationship Id="rId2524" Type="http://schemas.openxmlformats.org/officeDocument/2006/relationships/hyperlink" Target="https://scryfall.com/sets/pdgm" TargetMode="External"/><Relationship Id="rId2731" Type="http://schemas.openxmlformats.org/officeDocument/2006/relationships/hyperlink" Target="https://scryfall.com/sets/pnph" TargetMode="External"/><Relationship Id="rId703" Type="http://schemas.openxmlformats.org/officeDocument/2006/relationships/hyperlink" Target="https://scryfall.com/sets/tmoc" TargetMode="External"/><Relationship Id="rId910" Type="http://schemas.openxmlformats.org/officeDocument/2006/relationships/hyperlink" Target="https://scryfall.com/sets/sunf" TargetMode="External"/><Relationship Id="rId1333" Type="http://schemas.openxmlformats.org/officeDocument/2006/relationships/hyperlink" Target="https://scryfall.com/sets/khm" TargetMode="External"/><Relationship Id="rId1540" Type="http://schemas.openxmlformats.org/officeDocument/2006/relationships/hyperlink" Target="https://scryfall.com/sets/j20" TargetMode="External"/><Relationship Id="rId1400" Type="http://schemas.openxmlformats.org/officeDocument/2006/relationships/hyperlink" Target="https://scryfall.com/sets/pznr" TargetMode="External"/><Relationship Id="rId3298" Type="http://schemas.openxmlformats.org/officeDocument/2006/relationships/hyperlink" Target="https://scryfall.com/sets/5dn" TargetMode="External"/><Relationship Id="rId3158" Type="http://schemas.openxmlformats.org/officeDocument/2006/relationships/hyperlink" Target="https://scryfall.com/sets/tsb" TargetMode="External"/><Relationship Id="rId3365" Type="http://schemas.openxmlformats.org/officeDocument/2006/relationships/hyperlink" Target="https://scryfall.com/sets/pjjt/ja" TargetMode="External"/><Relationship Id="rId3572" Type="http://schemas.openxmlformats.org/officeDocument/2006/relationships/hyperlink" Target="https://scryfall.com/sets/ptk" TargetMode="External"/><Relationship Id="rId286" Type="http://schemas.openxmlformats.org/officeDocument/2006/relationships/hyperlink" Target="https://scryfall.com/sets/afdn" TargetMode="External"/><Relationship Id="rId493" Type="http://schemas.openxmlformats.org/officeDocument/2006/relationships/hyperlink" Target="https://scryfall.com/sets/wmkm" TargetMode="External"/><Relationship Id="rId2174" Type="http://schemas.openxmlformats.org/officeDocument/2006/relationships/hyperlink" Target="https://scryfall.com/sets/pz1" TargetMode="External"/><Relationship Id="rId2381" Type="http://schemas.openxmlformats.org/officeDocument/2006/relationships/hyperlink" Target="https://scryfall.com/sets/vma" TargetMode="External"/><Relationship Id="rId3018" Type="http://schemas.openxmlformats.org/officeDocument/2006/relationships/hyperlink" Target="https://scryfall.com/sets/drb" TargetMode="External"/><Relationship Id="rId3225" Type="http://schemas.openxmlformats.org/officeDocument/2006/relationships/hyperlink" Target="https://scryfall.com/sets/pmps" TargetMode="External"/><Relationship Id="rId3432" Type="http://schemas.openxmlformats.org/officeDocument/2006/relationships/hyperlink" Target="https://scryfall.com/sets/f02" TargetMode="External"/><Relationship Id="rId146" Type="http://schemas.openxmlformats.org/officeDocument/2006/relationships/hyperlink" Target="https://scryfall.com/sets/fca" TargetMode="External"/><Relationship Id="rId353" Type="http://schemas.openxmlformats.org/officeDocument/2006/relationships/hyperlink" Target="https://scryfall.com/sets/ablb" TargetMode="External"/><Relationship Id="rId560" Type="http://schemas.openxmlformats.org/officeDocument/2006/relationships/hyperlink" Target="https://scryfall.com/sets/tlcc" TargetMode="External"/><Relationship Id="rId1190" Type="http://schemas.openxmlformats.org/officeDocument/2006/relationships/hyperlink" Target="https://scryfall.com/sets/amid" TargetMode="External"/><Relationship Id="rId2034" Type="http://schemas.openxmlformats.org/officeDocument/2006/relationships/hyperlink" Target="https://scryfall.com/sets/paer" TargetMode="External"/><Relationship Id="rId2241" Type="http://schemas.openxmlformats.org/officeDocument/2006/relationships/hyperlink" Target="https://scryfall.com/sets/tpr" TargetMode="External"/><Relationship Id="rId213" Type="http://schemas.openxmlformats.org/officeDocument/2006/relationships/hyperlink" Target="https://scryfall.com/sets/plg25" TargetMode="External"/><Relationship Id="rId420" Type="http://schemas.openxmlformats.org/officeDocument/2006/relationships/hyperlink" Target="https://scryfall.com/sets/totp" TargetMode="External"/><Relationship Id="rId1050" Type="http://schemas.openxmlformats.org/officeDocument/2006/relationships/hyperlink" Target="https://scryfall.com/sets/tncc" TargetMode="External"/><Relationship Id="rId2101" Type="http://schemas.openxmlformats.org/officeDocument/2006/relationships/hyperlink" Target="https://scryfall.com/sets/tkld" TargetMode="External"/><Relationship Id="rId1867" Type="http://schemas.openxmlformats.org/officeDocument/2006/relationships/hyperlink" Target="https://scryfall.com/sets/prix" TargetMode="External"/><Relationship Id="rId2918" Type="http://schemas.openxmlformats.org/officeDocument/2006/relationships/hyperlink" Target="https://scryfall.com/sets/hop" TargetMode="External"/><Relationship Id="rId1727" Type="http://schemas.openxmlformats.org/officeDocument/2006/relationships/hyperlink" Target="https://scryfall.com/sets/tgrn" TargetMode="External"/><Relationship Id="rId1934" Type="http://schemas.openxmlformats.org/officeDocument/2006/relationships/hyperlink" Target="https://scryfall.com/sets/pss2" TargetMode="External"/><Relationship Id="rId3082" Type="http://schemas.openxmlformats.org/officeDocument/2006/relationships/hyperlink" Target="https://scryfall.com/sets/lrw" TargetMode="External"/><Relationship Id="rId19" Type="http://schemas.openxmlformats.org/officeDocument/2006/relationships/hyperlink" Target="https://scryfall.com/sets/ttmt" TargetMode="External"/><Relationship Id="rId3759" Type="http://schemas.openxmlformats.org/officeDocument/2006/relationships/hyperlink" Target="https://scryfall.com/sets/phpr" TargetMode="External"/><Relationship Id="rId3" Type="http://schemas.openxmlformats.org/officeDocument/2006/relationships/hyperlink" Target="https://scryfall.com/sets/msh" TargetMode="External"/><Relationship Id="rId887" Type="http://schemas.openxmlformats.org/officeDocument/2006/relationships/hyperlink" Target="https://scryfall.com/sets/mbro" TargetMode="External"/><Relationship Id="rId2568" Type="http://schemas.openxmlformats.org/officeDocument/2006/relationships/hyperlink" Target="https://scryfall.com/sets/f13" TargetMode="External"/><Relationship Id="rId2775" Type="http://schemas.openxmlformats.org/officeDocument/2006/relationships/hyperlink" Target="https://scryfall.com/sets/olgc" TargetMode="External"/><Relationship Id="rId2982" Type="http://schemas.openxmlformats.org/officeDocument/2006/relationships/hyperlink" Target="https://scryfall.com/sets/pmps09/ja" TargetMode="External"/><Relationship Id="rId3619" Type="http://schemas.openxmlformats.org/officeDocument/2006/relationships/hyperlink" Target="https://scryfall.com/sets/ugl" TargetMode="External"/><Relationship Id="rId747" Type="http://schemas.openxmlformats.org/officeDocument/2006/relationships/hyperlink" Target="https://scryfall.com/sets/tone" TargetMode="External"/><Relationship Id="rId954" Type="http://schemas.openxmlformats.org/officeDocument/2006/relationships/hyperlink" Target="https://scryfall.com/sets/dmc" TargetMode="External"/><Relationship Id="rId1377" Type="http://schemas.openxmlformats.org/officeDocument/2006/relationships/hyperlink" Target="https://scryfall.com/sets/pcmr" TargetMode="External"/><Relationship Id="rId1584" Type="http://schemas.openxmlformats.org/officeDocument/2006/relationships/hyperlink" Target="https://scryfall.com/sets/ptg" TargetMode="External"/><Relationship Id="rId1791" Type="http://schemas.openxmlformats.org/officeDocument/2006/relationships/hyperlink" Target="https://scryfall.com/sets/g18" TargetMode="External"/><Relationship Id="rId2428" Type="http://schemas.openxmlformats.org/officeDocument/2006/relationships/hyperlink" Target="https://scryfall.com/sets/tddm" TargetMode="External"/><Relationship Id="rId2635" Type="http://schemas.openxmlformats.org/officeDocument/2006/relationships/hyperlink" Target="https://scryfall.com/sets/tddi" TargetMode="External"/><Relationship Id="rId2842" Type="http://schemas.openxmlformats.org/officeDocument/2006/relationships/hyperlink" Target="https://scryfall.com/sets/dpa" TargetMode="External"/><Relationship Id="rId83" Type="http://schemas.openxmlformats.org/officeDocument/2006/relationships/hyperlink" Target="https://scryfall.com/sets/tspm" TargetMode="External"/><Relationship Id="rId607" Type="http://schemas.openxmlformats.org/officeDocument/2006/relationships/hyperlink" Target="https://scryfall.com/sets/cmm" TargetMode="External"/><Relationship Id="rId814" Type="http://schemas.openxmlformats.org/officeDocument/2006/relationships/hyperlink" Target="https://scryfall.com/sets/30a" TargetMode="External"/><Relationship Id="rId1237" Type="http://schemas.openxmlformats.org/officeDocument/2006/relationships/hyperlink" Target="https://scryfall.com/sets/oafc" TargetMode="External"/><Relationship Id="rId1444" Type="http://schemas.openxmlformats.org/officeDocument/2006/relationships/hyperlink" Target="https://scryfall.com/sets/t2xm" TargetMode="External"/><Relationship Id="rId1651" Type="http://schemas.openxmlformats.org/officeDocument/2006/relationships/hyperlink" Target="https://scryfall.com/sets/tmh1" TargetMode="External"/><Relationship Id="rId2702" Type="http://schemas.openxmlformats.org/officeDocument/2006/relationships/hyperlink" Target="https://scryfall.com/sets/m12" TargetMode="External"/><Relationship Id="rId1304" Type="http://schemas.openxmlformats.org/officeDocument/2006/relationships/hyperlink" Target="https://scryfall.com/sets/astx" TargetMode="External"/><Relationship Id="rId1511" Type="http://schemas.openxmlformats.org/officeDocument/2006/relationships/hyperlink" Target="https://scryfall.com/sets/oc20" TargetMode="External"/><Relationship Id="rId3269" Type="http://schemas.openxmlformats.org/officeDocument/2006/relationships/hyperlink" Target="https://scryfall.com/sets/p05" TargetMode="External"/><Relationship Id="rId3476" Type="http://schemas.openxmlformats.org/officeDocument/2006/relationships/hyperlink" Target="https://scryfall.com/sets/g01" TargetMode="External"/><Relationship Id="rId3683" Type="http://schemas.openxmlformats.org/officeDocument/2006/relationships/hyperlink" Target="https://scryfall.com/sets/vis" TargetMode="External"/><Relationship Id="rId10" Type="http://schemas.openxmlformats.org/officeDocument/2006/relationships/hyperlink" Target="https://scryfall.com/sets/tmt" TargetMode="External"/><Relationship Id="rId397" Type="http://schemas.openxmlformats.org/officeDocument/2006/relationships/hyperlink" Target="https://scryfall.com/sets/m3c" TargetMode="External"/><Relationship Id="rId2078" Type="http://schemas.openxmlformats.org/officeDocument/2006/relationships/hyperlink" Target="https://scryfall.com/sets/tc16" TargetMode="External"/><Relationship Id="rId2285" Type="http://schemas.openxmlformats.org/officeDocument/2006/relationships/hyperlink" Target="https://scryfall.com/sets/f15" TargetMode="External"/><Relationship Id="rId2492" Type="http://schemas.openxmlformats.org/officeDocument/2006/relationships/hyperlink" Target="https://scryfall.com/sets/tddl" TargetMode="External"/><Relationship Id="rId3129" Type="http://schemas.openxmlformats.org/officeDocument/2006/relationships/hyperlink" Target="https://scryfall.com/sets/pplc" TargetMode="External"/><Relationship Id="rId3336" Type="http://schemas.openxmlformats.org/officeDocument/2006/relationships/hyperlink" Target="https://scryfall.com/sets/wc03" TargetMode="External"/><Relationship Id="rId257" Type="http://schemas.openxmlformats.org/officeDocument/2006/relationships/hyperlink" Target="https://scryfall.com/sets/ainr" TargetMode="External"/><Relationship Id="rId464" Type="http://schemas.openxmlformats.org/officeDocument/2006/relationships/hyperlink" Target="https://scryfall.com/sets/mkm" TargetMode="External"/><Relationship Id="rId1094" Type="http://schemas.openxmlformats.org/officeDocument/2006/relationships/hyperlink" Target="https://scryfall.com/sets/sneo" TargetMode="External"/><Relationship Id="rId2145" Type="http://schemas.openxmlformats.org/officeDocument/2006/relationships/hyperlink" Target="https://scryfall.com/sets/w16" TargetMode="External"/><Relationship Id="rId3543" Type="http://schemas.openxmlformats.org/officeDocument/2006/relationships/hyperlink" Target="https://scryfall.com/sets/pmmq" TargetMode="External"/><Relationship Id="rId3750" Type="http://schemas.openxmlformats.org/officeDocument/2006/relationships/hyperlink" Target="https://scryfall.com/sets/4bb" TargetMode="External"/><Relationship Id="rId117" Type="http://schemas.openxmlformats.org/officeDocument/2006/relationships/hyperlink" Target="https://scryfall.com/sets/eos" TargetMode="External"/><Relationship Id="rId671" Type="http://schemas.openxmlformats.org/officeDocument/2006/relationships/hyperlink" Target="https://scryfall.com/sets/mat" TargetMode="External"/><Relationship Id="rId2352" Type="http://schemas.openxmlformats.org/officeDocument/2006/relationships/hyperlink" Target="https://scryfall.com/sets/v14" TargetMode="External"/><Relationship Id="rId3403" Type="http://schemas.openxmlformats.org/officeDocument/2006/relationships/hyperlink" Target="https://scryfall.com/sets/prm" TargetMode="External"/><Relationship Id="rId3610" Type="http://schemas.openxmlformats.org/officeDocument/2006/relationships/hyperlink" Target="https://scryfall.com/sets/palp" TargetMode="External"/><Relationship Id="rId324" Type="http://schemas.openxmlformats.org/officeDocument/2006/relationships/hyperlink" Target="https://scryfall.com/sets/tdsc" TargetMode="External"/><Relationship Id="rId531" Type="http://schemas.openxmlformats.org/officeDocument/2006/relationships/hyperlink" Target="https://scryfall.com/sets/plci" TargetMode="External"/><Relationship Id="rId1161" Type="http://schemas.openxmlformats.org/officeDocument/2006/relationships/hyperlink" Target="https://scryfall.com/sets/q06" TargetMode="External"/><Relationship Id="rId2005" Type="http://schemas.openxmlformats.org/officeDocument/2006/relationships/hyperlink" Target="https://scryfall.com/sets/pakh" TargetMode="External"/><Relationship Id="rId2212" Type="http://schemas.openxmlformats.org/officeDocument/2006/relationships/hyperlink" Target="https://scryfall.com/sets/v15" TargetMode="External"/><Relationship Id="rId1021" Type="http://schemas.openxmlformats.org/officeDocument/2006/relationships/hyperlink" Target="https://scryfall.com/sets/aclb" TargetMode="External"/><Relationship Id="rId1978" Type="http://schemas.openxmlformats.org/officeDocument/2006/relationships/hyperlink" Target="https://scryfall.com/sets/e01" TargetMode="External"/><Relationship Id="rId3193" Type="http://schemas.openxmlformats.org/officeDocument/2006/relationships/hyperlink" Target="https://scryfall.com/sets/pal06" TargetMode="External"/><Relationship Id="rId1838" Type="http://schemas.openxmlformats.org/officeDocument/2006/relationships/hyperlink" Target="https://scryfall.com/sets/tdom" TargetMode="External"/><Relationship Id="rId3053" Type="http://schemas.openxmlformats.org/officeDocument/2006/relationships/hyperlink" Target="https://scryfall.com/sets/pmor" TargetMode="External"/><Relationship Id="rId3260" Type="http://schemas.openxmlformats.org/officeDocument/2006/relationships/hyperlink" Target="https://scryfall.com/sets/pal05" TargetMode="External"/><Relationship Id="rId181" Type="http://schemas.openxmlformats.org/officeDocument/2006/relationships/hyperlink" Target="https://scryfall.com/sets/pa1" TargetMode="External"/><Relationship Id="rId1905" Type="http://schemas.openxmlformats.org/officeDocument/2006/relationships/hyperlink" Target="https://scryfall.com/sets/tima" TargetMode="External"/><Relationship Id="rId3120" Type="http://schemas.openxmlformats.org/officeDocument/2006/relationships/hyperlink" Target="https://scryfall.com/sets/ppro" TargetMode="External"/><Relationship Id="rId998" Type="http://schemas.openxmlformats.org/officeDocument/2006/relationships/hyperlink" Target="https://scryfall.com/sets/plg22" TargetMode="External"/><Relationship Id="rId2679" Type="http://schemas.openxmlformats.org/officeDocument/2006/relationships/hyperlink" Target="https://scryfall.com/sets/isd" TargetMode="External"/><Relationship Id="rId2886" Type="http://schemas.openxmlformats.org/officeDocument/2006/relationships/hyperlink" Target="https://scryfall.com/sets/f10" TargetMode="External"/><Relationship Id="rId858" Type="http://schemas.openxmlformats.org/officeDocument/2006/relationships/hyperlink" Target="https://scryfall.com/sets/brc" TargetMode="External"/><Relationship Id="rId1488" Type="http://schemas.openxmlformats.org/officeDocument/2006/relationships/hyperlink" Target="https://scryfall.com/sets/plg20" TargetMode="External"/><Relationship Id="rId1695" Type="http://schemas.openxmlformats.org/officeDocument/2006/relationships/hyperlink" Target="https://scryfall.com/sets/pf19" TargetMode="External"/><Relationship Id="rId2539" Type="http://schemas.openxmlformats.org/officeDocument/2006/relationships/hyperlink" Target="https://scryfall.com/sets/tddk" TargetMode="External"/><Relationship Id="rId2746" Type="http://schemas.openxmlformats.org/officeDocument/2006/relationships/hyperlink" Target="https://scryfall.com/sets/mbs" TargetMode="External"/><Relationship Id="rId2953" Type="http://schemas.openxmlformats.org/officeDocument/2006/relationships/hyperlink" Target="https://scryfall.com/sets/ddc" TargetMode="External"/><Relationship Id="rId718" Type="http://schemas.openxmlformats.org/officeDocument/2006/relationships/hyperlink" Target="https://scryfall.com/sets/smom" TargetMode="External"/><Relationship Id="rId925" Type="http://schemas.openxmlformats.org/officeDocument/2006/relationships/hyperlink" Target="https://scryfall.com/sets/pdmu" TargetMode="External"/><Relationship Id="rId1348" Type="http://schemas.openxmlformats.org/officeDocument/2006/relationships/hyperlink" Target="https://scryfall.com/sets/skhm" TargetMode="External"/><Relationship Id="rId1555" Type="http://schemas.openxmlformats.org/officeDocument/2006/relationships/hyperlink" Target="https://scryfall.com/sets/slc" TargetMode="External"/><Relationship Id="rId1762" Type="http://schemas.openxmlformats.org/officeDocument/2006/relationships/hyperlink" Target="https://scryfall.com/sets/ps18" TargetMode="External"/><Relationship Id="rId2606" Type="http://schemas.openxmlformats.org/officeDocument/2006/relationships/hyperlink" Target="https://scryfall.com/sets/pm13" TargetMode="External"/><Relationship Id="rId1208" Type="http://schemas.openxmlformats.org/officeDocument/2006/relationships/hyperlink" Target="https://scryfall.com/sets/ph20" TargetMode="External"/><Relationship Id="rId1415" Type="http://schemas.openxmlformats.org/officeDocument/2006/relationships/hyperlink" Target="https://scryfall.com/sets/mznr" TargetMode="External"/><Relationship Id="rId2813" Type="http://schemas.openxmlformats.org/officeDocument/2006/relationships/hyperlink" Target="https://scryfall.com/sets/tddf" TargetMode="External"/><Relationship Id="rId54" Type="http://schemas.openxmlformats.org/officeDocument/2006/relationships/hyperlink" Target="https://scryfall.com/sets/tle" TargetMode="External"/><Relationship Id="rId1622" Type="http://schemas.openxmlformats.org/officeDocument/2006/relationships/hyperlink" Target="https://scryfall.com/sets/ps19" TargetMode="External"/><Relationship Id="rId2189" Type="http://schemas.openxmlformats.org/officeDocument/2006/relationships/hyperlink" Target="https://scryfall.com/sets/bfz" TargetMode="External"/><Relationship Id="rId3587" Type="http://schemas.openxmlformats.org/officeDocument/2006/relationships/hyperlink" Target="https://scryfall.com/sets/pulg" TargetMode="External"/><Relationship Id="rId3794" Type="http://schemas.openxmlformats.org/officeDocument/2006/relationships/hyperlink" Target="https://scryfall.com/sets/ced" TargetMode="External"/><Relationship Id="rId2396" Type="http://schemas.openxmlformats.org/officeDocument/2006/relationships/hyperlink" Target="https://scryfall.com/sets/md1" TargetMode="External"/><Relationship Id="rId3447" Type="http://schemas.openxmlformats.org/officeDocument/2006/relationships/hyperlink" Target="https://scryfall.com/sets/wc01" TargetMode="External"/><Relationship Id="rId3654" Type="http://schemas.openxmlformats.org/officeDocument/2006/relationships/hyperlink" Target="https://scryfall.com/sets/wc97" TargetMode="External"/><Relationship Id="rId368" Type="http://schemas.openxmlformats.org/officeDocument/2006/relationships/hyperlink" Target="https://scryfall.com/sets/acr" TargetMode="External"/><Relationship Id="rId575" Type="http://schemas.openxmlformats.org/officeDocument/2006/relationships/hyperlink" Target="https://scryfall.com/sets/woe" TargetMode="External"/><Relationship Id="rId782" Type="http://schemas.openxmlformats.org/officeDocument/2006/relationships/hyperlink" Target="https://scryfall.com/sets/tdmr" TargetMode="External"/><Relationship Id="rId2049" Type="http://schemas.openxmlformats.org/officeDocument/2006/relationships/hyperlink" Target="https://scryfall.com/sets/j17" TargetMode="External"/><Relationship Id="rId2256" Type="http://schemas.openxmlformats.org/officeDocument/2006/relationships/hyperlink" Target="https://scryfall.com/sets/ptkdf" TargetMode="External"/><Relationship Id="rId2463" Type="http://schemas.openxmlformats.org/officeDocument/2006/relationships/hyperlink" Target="https://scryfall.com/sets/c13" TargetMode="External"/><Relationship Id="rId2670" Type="http://schemas.openxmlformats.org/officeDocument/2006/relationships/hyperlink" Target="https://scryfall.com/sets/f12" TargetMode="External"/><Relationship Id="rId3307" Type="http://schemas.openxmlformats.org/officeDocument/2006/relationships/hyperlink" Target="https://scryfall.com/sets/pdst" TargetMode="External"/><Relationship Id="rId3514" Type="http://schemas.openxmlformats.org/officeDocument/2006/relationships/hyperlink" Target="https://scryfall.com/sets/pelp" TargetMode="External"/><Relationship Id="rId3721" Type="http://schemas.openxmlformats.org/officeDocument/2006/relationships/hyperlink" Target="https://scryfall.com/sets/o90p" TargetMode="External"/><Relationship Id="rId228" Type="http://schemas.openxmlformats.org/officeDocument/2006/relationships/hyperlink" Target="https://scryfall.com/sets/tdft" TargetMode="External"/><Relationship Id="rId435" Type="http://schemas.openxmlformats.org/officeDocument/2006/relationships/hyperlink" Target="https://scryfall.com/sets/aotj" TargetMode="External"/><Relationship Id="rId642" Type="http://schemas.openxmlformats.org/officeDocument/2006/relationships/hyperlink" Target="https://scryfall.com/sets/tltr" TargetMode="External"/><Relationship Id="rId1065" Type="http://schemas.openxmlformats.org/officeDocument/2006/relationships/hyperlink" Target="https://scryfall.com/sets/q07" TargetMode="External"/><Relationship Id="rId1272" Type="http://schemas.openxmlformats.org/officeDocument/2006/relationships/hyperlink" Target="https://scryfall.com/sets/h1r" TargetMode="External"/><Relationship Id="rId2116" Type="http://schemas.openxmlformats.org/officeDocument/2006/relationships/hyperlink" Target="https://scryfall.com/sets/emn" TargetMode="External"/><Relationship Id="rId2323" Type="http://schemas.openxmlformats.org/officeDocument/2006/relationships/hyperlink" Target="https://scryfall.com/sets/tdvd" TargetMode="External"/><Relationship Id="rId2530" Type="http://schemas.openxmlformats.org/officeDocument/2006/relationships/hyperlink" Target="https://scryfall.com/sets/tdgm" TargetMode="External"/><Relationship Id="rId502" Type="http://schemas.openxmlformats.org/officeDocument/2006/relationships/hyperlink" Target="https://scryfall.com/sets/tmkc" TargetMode="External"/><Relationship Id="rId1132" Type="http://schemas.openxmlformats.org/officeDocument/2006/relationships/hyperlink" Target="https://scryfall.com/sets/tvow" TargetMode="External"/><Relationship Id="rId3097" Type="http://schemas.openxmlformats.org/officeDocument/2006/relationships/hyperlink" Target="https://scryfall.com/sets/10e" TargetMode="External"/><Relationship Id="rId1949" Type="http://schemas.openxmlformats.org/officeDocument/2006/relationships/hyperlink" Target="https://scryfall.com/sets/c17" TargetMode="External"/><Relationship Id="rId3164" Type="http://schemas.openxmlformats.org/officeDocument/2006/relationships/hyperlink" Target="https://scryfall.com/sets/pcsp" TargetMode="External"/><Relationship Id="rId292" Type="http://schemas.openxmlformats.org/officeDocument/2006/relationships/hyperlink" Target="https://scryfall.com/sets/fdc" TargetMode="External"/><Relationship Id="rId1809" Type="http://schemas.openxmlformats.org/officeDocument/2006/relationships/hyperlink" Target="https://scryfall.com/sets/cm2" TargetMode="External"/><Relationship Id="rId3371" Type="http://schemas.openxmlformats.org/officeDocument/2006/relationships/hyperlink" Target="https://scryfall.com/sets/g03" TargetMode="External"/><Relationship Id="rId2180" Type="http://schemas.openxmlformats.org/officeDocument/2006/relationships/hyperlink" Target="https://scryfall.com/sets/c15" TargetMode="External"/><Relationship Id="rId3024" Type="http://schemas.openxmlformats.org/officeDocument/2006/relationships/hyperlink" Target="https://scryfall.com/sets/peve" TargetMode="External"/><Relationship Id="rId3231" Type="http://schemas.openxmlformats.org/officeDocument/2006/relationships/hyperlink" Target="https://scryfall.com/sets/prav" TargetMode="External"/><Relationship Id="rId152" Type="http://schemas.openxmlformats.org/officeDocument/2006/relationships/hyperlink" Target="https://scryfall.com/sets/pfin" TargetMode="External"/><Relationship Id="rId2040" Type="http://schemas.openxmlformats.org/officeDocument/2006/relationships/hyperlink" Target="https://scryfall.com/sets/taer" TargetMode="External"/><Relationship Id="rId2997" Type="http://schemas.openxmlformats.org/officeDocument/2006/relationships/hyperlink" Target="https://scryfall.com/sets/dd2" TargetMode="External"/><Relationship Id="rId969" Type="http://schemas.openxmlformats.org/officeDocument/2006/relationships/hyperlink" Target="https://scryfall.com/sets/ph21" TargetMode="External"/><Relationship Id="rId1599" Type="http://schemas.openxmlformats.org/officeDocument/2006/relationships/hyperlink" Target="https://scryfall.com/sets/pwcs" TargetMode="External"/><Relationship Id="rId1459" Type="http://schemas.openxmlformats.org/officeDocument/2006/relationships/hyperlink" Target="https://scryfall.com/sets/ajmp" TargetMode="External"/><Relationship Id="rId2857" Type="http://schemas.openxmlformats.org/officeDocument/2006/relationships/hyperlink" Target="https://scryfall.com/sets/tdde" TargetMode="External"/><Relationship Id="rId98" Type="http://schemas.openxmlformats.org/officeDocument/2006/relationships/hyperlink" Target="https://scryfall.com/sets/aa3" TargetMode="External"/><Relationship Id="rId829" Type="http://schemas.openxmlformats.org/officeDocument/2006/relationships/hyperlink" Target="https://scryfall.com/sets/p30h" TargetMode="External"/><Relationship Id="rId1666" Type="http://schemas.openxmlformats.org/officeDocument/2006/relationships/hyperlink" Target="https://scryfall.com/sets/twar" TargetMode="External"/><Relationship Id="rId1873" Type="http://schemas.openxmlformats.org/officeDocument/2006/relationships/hyperlink" Target="https://scryfall.com/sets/j18" TargetMode="External"/><Relationship Id="rId2717" Type="http://schemas.openxmlformats.org/officeDocument/2006/relationships/hyperlink" Target="https://scryfall.com/sets/pcmd" TargetMode="External"/><Relationship Id="rId2924" Type="http://schemas.openxmlformats.org/officeDocument/2006/relationships/hyperlink" Target="https://scryfall.com/sets/ohop" TargetMode="External"/><Relationship Id="rId1319" Type="http://schemas.openxmlformats.org/officeDocument/2006/relationships/hyperlink" Target="https://scryfall.com/sets/tsr" TargetMode="External"/><Relationship Id="rId1526" Type="http://schemas.openxmlformats.org/officeDocument/2006/relationships/hyperlink" Target="https://scryfall.com/sets/thb" TargetMode="External"/><Relationship Id="rId1733" Type="http://schemas.openxmlformats.org/officeDocument/2006/relationships/hyperlink" Target="https://scryfall.com/sets/med" TargetMode="External"/><Relationship Id="rId1940" Type="http://schemas.openxmlformats.org/officeDocument/2006/relationships/hyperlink" Target="https://scryfall.com/sets/h17" TargetMode="External"/><Relationship Id="rId25" Type="http://schemas.openxmlformats.org/officeDocument/2006/relationships/hyperlink" Target="https://scryfall.com/sets/ttmc" TargetMode="External"/><Relationship Id="rId1800" Type="http://schemas.openxmlformats.org/officeDocument/2006/relationships/hyperlink" Target="https://scryfall.com/sets/gs1" TargetMode="External"/><Relationship Id="rId3698" Type="http://schemas.openxmlformats.org/officeDocument/2006/relationships/hyperlink" Target="https://scryfall.com/sets/pcel" TargetMode="External"/><Relationship Id="rId3558" Type="http://schemas.openxmlformats.org/officeDocument/2006/relationships/hyperlink" Target="https://scryfall.com/sets/pgru" TargetMode="External"/><Relationship Id="rId3765" Type="http://schemas.openxmlformats.org/officeDocument/2006/relationships/hyperlink" Target="https://scryfall.com/sets/pdrc" TargetMode="External"/><Relationship Id="rId479" Type="http://schemas.openxmlformats.org/officeDocument/2006/relationships/hyperlink" Target="https://scryfall.com/sets/clu" TargetMode="External"/><Relationship Id="rId686" Type="http://schemas.openxmlformats.org/officeDocument/2006/relationships/hyperlink" Target="https://scryfall.com/sets/tmul" TargetMode="External"/><Relationship Id="rId893" Type="http://schemas.openxmlformats.org/officeDocument/2006/relationships/hyperlink" Target="https://scryfall.com/sets/gn3" TargetMode="External"/><Relationship Id="rId2367" Type="http://schemas.openxmlformats.org/officeDocument/2006/relationships/hyperlink" Target="https://scryfall.com/sets/cp1" TargetMode="External"/><Relationship Id="rId2574" Type="http://schemas.openxmlformats.org/officeDocument/2006/relationships/hyperlink" Target="https://scryfall.com/sets/ocm1" TargetMode="External"/><Relationship Id="rId2781" Type="http://schemas.openxmlformats.org/officeDocument/2006/relationships/hyperlink" Target="https://scryfall.com/sets/g11" TargetMode="External"/><Relationship Id="rId3418" Type="http://schemas.openxmlformats.org/officeDocument/2006/relationships/hyperlink" Target="https://scryfall.com/sets/pal02" TargetMode="External"/><Relationship Id="rId3625" Type="http://schemas.openxmlformats.org/officeDocument/2006/relationships/hyperlink" Target="https://scryfall.com/sets/p02" TargetMode="External"/><Relationship Id="rId339" Type="http://schemas.openxmlformats.org/officeDocument/2006/relationships/hyperlink" Target="https://scryfall.com/sets/pblb" TargetMode="External"/><Relationship Id="rId546" Type="http://schemas.openxmlformats.org/officeDocument/2006/relationships/hyperlink" Target="https://scryfall.com/sets/slci" TargetMode="External"/><Relationship Id="rId753" Type="http://schemas.openxmlformats.org/officeDocument/2006/relationships/hyperlink" Target="https://scryfall.com/sets/onc" TargetMode="External"/><Relationship Id="rId1176" Type="http://schemas.openxmlformats.org/officeDocument/2006/relationships/hyperlink" Target="https://scryfall.com/sets/smid" TargetMode="External"/><Relationship Id="rId1383" Type="http://schemas.openxmlformats.org/officeDocument/2006/relationships/hyperlink" Target="https://scryfall.com/sets/klr" TargetMode="External"/><Relationship Id="rId2227" Type="http://schemas.openxmlformats.org/officeDocument/2006/relationships/hyperlink" Target="https://scryfall.com/sets/cp3" TargetMode="External"/><Relationship Id="rId2434" Type="http://schemas.openxmlformats.org/officeDocument/2006/relationships/hyperlink" Target="https://scryfall.com/sets/pbng" TargetMode="External"/><Relationship Id="rId406" Type="http://schemas.openxmlformats.org/officeDocument/2006/relationships/hyperlink" Target="https://scryfall.com/sets/amh3" TargetMode="External"/><Relationship Id="rId960" Type="http://schemas.openxmlformats.org/officeDocument/2006/relationships/hyperlink" Target="https://scryfall.com/sets/mdmu" TargetMode="External"/><Relationship Id="rId1036" Type="http://schemas.openxmlformats.org/officeDocument/2006/relationships/hyperlink" Target="https://scryfall.com/sets/tsnc" TargetMode="External"/><Relationship Id="rId1243" Type="http://schemas.openxmlformats.org/officeDocument/2006/relationships/hyperlink" Target="https://scryfall.com/cubes/chromatic" TargetMode="External"/><Relationship Id="rId1590" Type="http://schemas.openxmlformats.org/officeDocument/2006/relationships/hyperlink" Target="https://scryfall.com/sets/peld" TargetMode="External"/><Relationship Id="rId2641" Type="http://schemas.openxmlformats.org/officeDocument/2006/relationships/hyperlink" Target="https://scryfall.com/sets/dka" TargetMode="External"/><Relationship Id="rId613" Type="http://schemas.openxmlformats.org/officeDocument/2006/relationships/hyperlink" Target="https://scryfall.com/sets/acmm" TargetMode="External"/><Relationship Id="rId820" Type="http://schemas.openxmlformats.org/officeDocument/2006/relationships/hyperlink" Target="https://scryfall.com/sets/t30a" TargetMode="External"/><Relationship Id="rId1450" Type="http://schemas.openxmlformats.org/officeDocument/2006/relationships/hyperlink" Target="https://scryfall.com/sets/ph19" TargetMode="External"/><Relationship Id="rId2501" Type="http://schemas.openxmlformats.org/officeDocument/2006/relationships/hyperlink" Target="https://scryfall.com/sets/pm14" TargetMode="External"/><Relationship Id="rId1103" Type="http://schemas.openxmlformats.org/officeDocument/2006/relationships/hyperlink" Target="https://scryfall.com/sets/tnec" TargetMode="External"/><Relationship Id="rId1310" Type="http://schemas.openxmlformats.org/officeDocument/2006/relationships/hyperlink" Target="https://scryfall.com/sets/tc21" TargetMode="External"/><Relationship Id="rId3068" Type="http://schemas.openxmlformats.org/officeDocument/2006/relationships/hyperlink" Target="https://scryfall.com/sets/f08" TargetMode="External"/><Relationship Id="rId3275" Type="http://schemas.openxmlformats.org/officeDocument/2006/relationships/hyperlink" Target="https://scryfall.com/sets/g05" TargetMode="External"/><Relationship Id="rId3482" Type="http://schemas.openxmlformats.org/officeDocument/2006/relationships/hyperlink" Target="https://scryfall.com/sets/f01" TargetMode="External"/><Relationship Id="rId196" Type="http://schemas.openxmlformats.org/officeDocument/2006/relationships/hyperlink" Target="https://scryfall.com/sets/ytdm" TargetMode="External"/><Relationship Id="rId2084" Type="http://schemas.openxmlformats.org/officeDocument/2006/relationships/hyperlink" Target="https://scryfall.com/sets/ps16" TargetMode="External"/><Relationship Id="rId2291" Type="http://schemas.openxmlformats.org/officeDocument/2006/relationships/hyperlink" Target="https://scryfall.com/sets/j15" TargetMode="External"/><Relationship Id="rId3135" Type="http://schemas.openxmlformats.org/officeDocument/2006/relationships/hyperlink" Target="https://scryfall.com/sets/g07" TargetMode="External"/><Relationship Id="rId3342" Type="http://schemas.openxmlformats.org/officeDocument/2006/relationships/hyperlink" Target="https://scryfall.com/sets/p8ed" TargetMode="External"/><Relationship Id="rId263" Type="http://schemas.openxmlformats.org/officeDocument/2006/relationships/hyperlink" Target="https://scryfall.com/sets/pf25" TargetMode="External"/><Relationship Id="rId470" Type="http://schemas.openxmlformats.org/officeDocument/2006/relationships/hyperlink" Target="https://scryfall.com/sets/tmkm" TargetMode="External"/><Relationship Id="rId2151" Type="http://schemas.openxmlformats.org/officeDocument/2006/relationships/hyperlink" Target="https://scryfall.com/sets/ogw" TargetMode="External"/><Relationship Id="rId3202" Type="http://schemas.openxmlformats.org/officeDocument/2006/relationships/hyperlink" Target="https://scryfall.com/sets/f06" TargetMode="External"/><Relationship Id="rId123" Type="http://schemas.openxmlformats.org/officeDocument/2006/relationships/hyperlink" Target="https://scryfall.com/sets/peoe" TargetMode="External"/><Relationship Id="rId330" Type="http://schemas.openxmlformats.org/officeDocument/2006/relationships/hyperlink" Target="https://scryfall.com/sets/plg24" TargetMode="External"/><Relationship Id="rId2011" Type="http://schemas.openxmlformats.org/officeDocument/2006/relationships/hyperlink" Target="https://scryfall.com/sets/w17" TargetMode="External"/><Relationship Id="rId2968" Type="http://schemas.openxmlformats.org/officeDocument/2006/relationships/hyperlink" Target="https://scryfall.com/sets/pcon" TargetMode="External"/><Relationship Id="rId1777" Type="http://schemas.openxmlformats.org/officeDocument/2006/relationships/hyperlink" Target="https://scryfall.com/sets/pana" TargetMode="External"/><Relationship Id="rId1984" Type="http://schemas.openxmlformats.org/officeDocument/2006/relationships/hyperlink" Target="https://scryfall.com/sets/oe01" TargetMode="External"/><Relationship Id="rId2828" Type="http://schemas.openxmlformats.org/officeDocument/2006/relationships/hyperlink" Target="https://scryfall.com/sets/tm11" TargetMode="External"/><Relationship Id="rId69" Type="http://schemas.openxmlformats.org/officeDocument/2006/relationships/hyperlink" Target="https://scryfall.com/sets/omb" TargetMode="External"/><Relationship Id="rId1637" Type="http://schemas.openxmlformats.org/officeDocument/2006/relationships/hyperlink" Target="https://scryfall.com/sets/ppp1" TargetMode="External"/><Relationship Id="rId1844" Type="http://schemas.openxmlformats.org/officeDocument/2006/relationships/hyperlink" Target="https://scryfall.com/sets/tddu" TargetMode="External"/><Relationship Id="rId1704" Type="http://schemas.openxmlformats.org/officeDocument/2006/relationships/hyperlink" Target="https://scryfall.com/sets/tuma" TargetMode="External"/><Relationship Id="rId1911" Type="http://schemas.openxmlformats.org/officeDocument/2006/relationships/hyperlink" Target="https://scryfall.com/sets/tddt" TargetMode="External"/><Relationship Id="rId3669" Type="http://schemas.openxmlformats.org/officeDocument/2006/relationships/hyperlink" Target="https://scryfall.com/sets/por" TargetMode="External"/><Relationship Id="rId797" Type="http://schemas.openxmlformats.org/officeDocument/2006/relationships/hyperlink" Target="https://scryfall.com/sets/ea2" TargetMode="External"/><Relationship Id="rId2478" Type="http://schemas.openxmlformats.org/officeDocument/2006/relationships/hyperlink" Target="https://scryfall.com/sets/tths" TargetMode="External"/><Relationship Id="rId1287" Type="http://schemas.openxmlformats.org/officeDocument/2006/relationships/hyperlink" Target="https://scryfall.com/sets/pstx" TargetMode="External"/><Relationship Id="rId2685" Type="http://schemas.openxmlformats.org/officeDocument/2006/relationships/hyperlink" Target="https://scryfall.com/sets/tisd" TargetMode="External"/><Relationship Id="rId2892" Type="http://schemas.openxmlformats.org/officeDocument/2006/relationships/hyperlink" Target="https://scryfall.com/sets/h09" TargetMode="External"/><Relationship Id="rId3529" Type="http://schemas.openxmlformats.org/officeDocument/2006/relationships/hyperlink" Target="https://scryfall.com/sets/fnm" TargetMode="External"/><Relationship Id="rId3736" Type="http://schemas.openxmlformats.org/officeDocument/2006/relationships/hyperlink" Target="https://scryfall.com/sets/chr" TargetMode="External"/><Relationship Id="rId657" Type="http://schemas.openxmlformats.org/officeDocument/2006/relationships/hyperlink" Target="https://scryfall.com/sets/altc" TargetMode="External"/><Relationship Id="rId864" Type="http://schemas.openxmlformats.org/officeDocument/2006/relationships/hyperlink" Target="https://scryfall.com/sets/bot" TargetMode="External"/><Relationship Id="rId1494" Type="http://schemas.openxmlformats.org/officeDocument/2006/relationships/hyperlink" Target="https://scryfall.com/sets/piko" TargetMode="External"/><Relationship Id="rId2338" Type="http://schemas.openxmlformats.org/officeDocument/2006/relationships/hyperlink" Target="https://scryfall.com/sets/ktk" TargetMode="External"/><Relationship Id="rId2545" Type="http://schemas.openxmlformats.org/officeDocument/2006/relationships/hyperlink" Target="https://scryfall.com/sets/gtc" TargetMode="External"/><Relationship Id="rId2752" Type="http://schemas.openxmlformats.org/officeDocument/2006/relationships/hyperlink" Target="https://scryfall.com/sets/tmbs" TargetMode="External"/><Relationship Id="rId3803" Type="http://schemas.openxmlformats.org/officeDocument/2006/relationships/hyperlink" Target="https://scryfall.com/sets/leb" TargetMode="External"/><Relationship Id="rId517" Type="http://schemas.openxmlformats.org/officeDocument/2006/relationships/hyperlink" Target="https://scryfall.com/sets/pf24" TargetMode="External"/><Relationship Id="rId724" Type="http://schemas.openxmlformats.org/officeDocument/2006/relationships/hyperlink" Target="https://scryfall.com/sets/sis" TargetMode="External"/><Relationship Id="rId931" Type="http://schemas.openxmlformats.org/officeDocument/2006/relationships/hyperlink" Target="https://scryfall.com/sets/tdmu" TargetMode="External"/><Relationship Id="rId1147" Type="http://schemas.openxmlformats.org/officeDocument/2006/relationships/hyperlink" Target="https://scryfall.com/sets/avow" TargetMode="External"/><Relationship Id="rId1354" Type="http://schemas.openxmlformats.org/officeDocument/2006/relationships/hyperlink" Target="https://scryfall.com/sets/tkhc" TargetMode="External"/><Relationship Id="rId1561" Type="http://schemas.openxmlformats.org/officeDocument/2006/relationships/hyperlink" Target="https://scryfall.com/sets/slx" TargetMode="External"/><Relationship Id="rId2405" Type="http://schemas.openxmlformats.org/officeDocument/2006/relationships/hyperlink" Target="https://scryfall.com/sets/jou" TargetMode="External"/><Relationship Id="rId2612" Type="http://schemas.openxmlformats.org/officeDocument/2006/relationships/hyperlink" Target="https://scryfall.com/sets/pc2" TargetMode="External"/><Relationship Id="rId60" Type="http://schemas.openxmlformats.org/officeDocument/2006/relationships/hyperlink" Target="https://scryfall.com/sets/ttle" TargetMode="External"/><Relationship Id="rId1007" Type="http://schemas.openxmlformats.org/officeDocument/2006/relationships/hyperlink" Target="https://scryfall.com/sets/tclb" TargetMode="External"/><Relationship Id="rId1214" Type="http://schemas.openxmlformats.org/officeDocument/2006/relationships/hyperlink" Target="https://scryfall.com/sets/pafr" TargetMode="External"/><Relationship Id="rId1421" Type="http://schemas.openxmlformats.org/officeDocument/2006/relationships/hyperlink" Target="https://scryfall.com/sets/tznc" TargetMode="External"/><Relationship Id="rId3179" Type="http://schemas.openxmlformats.org/officeDocument/2006/relationships/hyperlink" Target="https://scryfall.com/sets/pcmp" TargetMode="External"/><Relationship Id="rId3386" Type="http://schemas.openxmlformats.org/officeDocument/2006/relationships/hyperlink" Target="https://scryfall.com/sets/wc02" TargetMode="External"/><Relationship Id="rId3593" Type="http://schemas.openxmlformats.org/officeDocument/2006/relationships/hyperlink" Target="https://scryfall.com/sets/g99" TargetMode="External"/><Relationship Id="rId2195" Type="http://schemas.openxmlformats.org/officeDocument/2006/relationships/hyperlink" Target="https://scryfall.com/sets/exp" TargetMode="External"/><Relationship Id="rId3039" Type="http://schemas.openxmlformats.org/officeDocument/2006/relationships/hyperlink" Target="https://scryfall.com/sets/tshm" TargetMode="External"/><Relationship Id="rId3246" Type="http://schemas.openxmlformats.org/officeDocument/2006/relationships/hyperlink" Target="https://scryfall.com/sets/psok" TargetMode="External"/><Relationship Id="rId3453" Type="http://schemas.openxmlformats.org/officeDocument/2006/relationships/hyperlink" Target="https://scryfall.com/sets/apc" TargetMode="External"/><Relationship Id="rId167" Type="http://schemas.openxmlformats.org/officeDocument/2006/relationships/hyperlink" Target="https://scryfall.com/sets/fic" TargetMode="External"/><Relationship Id="rId374" Type="http://schemas.openxmlformats.org/officeDocument/2006/relationships/hyperlink" Target="https://scryfall.com/sets/macr" TargetMode="External"/><Relationship Id="rId581" Type="http://schemas.openxmlformats.org/officeDocument/2006/relationships/hyperlink" Target="https://scryfall.com/sets/pwoe" TargetMode="External"/><Relationship Id="rId2055" Type="http://schemas.openxmlformats.org/officeDocument/2006/relationships/hyperlink" Target="https://scryfall.com/sets/pca" TargetMode="External"/><Relationship Id="rId2262" Type="http://schemas.openxmlformats.org/officeDocument/2006/relationships/hyperlink" Target="https://scryfall.com/sets/ddo" TargetMode="External"/><Relationship Id="rId3106" Type="http://schemas.openxmlformats.org/officeDocument/2006/relationships/hyperlink" Target="https://scryfall.com/sets/t10e" TargetMode="External"/><Relationship Id="rId3660" Type="http://schemas.openxmlformats.org/officeDocument/2006/relationships/hyperlink" Target="https://scryfall.com/sets/olep" TargetMode="External"/><Relationship Id="rId234" Type="http://schemas.openxmlformats.org/officeDocument/2006/relationships/hyperlink" Target="https://scryfall.com/sets/adft" TargetMode="External"/><Relationship Id="rId3313" Type="http://schemas.openxmlformats.org/officeDocument/2006/relationships/hyperlink" Target="https://scryfall.com/sets/pal04" TargetMode="External"/><Relationship Id="rId3520" Type="http://schemas.openxmlformats.org/officeDocument/2006/relationships/hyperlink" Target="https://scryfall.com/sets/pal00" TargetMode="External"/><Relationship Id="rId441" Type="http://schemas.openxmlformats.org/officeDocument/2006/relationships/hyperlink" Target="https://scryfall.com/sets/pbig" TargetMode="External"/><Relationship Id="rId1071" Type="http://schemas.openxmlformats.org/officeDocument/2006/relationships/hyperlink" Target="https://scryfall.com/sets/pw22" TargetMode="External"/><Relationship Id="rId2122" Type="http://schemas.openxmlformats.org/officeDocument/2006/relationships/hyperlink" Target="https://scryfall.com/sets/pemn" TargetMode="External"/><Relationship Id="rId301" Type="http://schemas.openxmlformats.org/officeDocument/2006/relationships/hyperlink" Target="https://scryfall.com/sets/ffdn" TargetMode="External"/><Relationship Id="rId1888" Type="http://schemas.openxmlformats.org/officeDocument/2006/relationships/hyperlink" Target="https://scryfall.com/sets/pust" TargetMode="External"/><Relationship Id="rId2939" Type="http://schemas.openxmlformats.org/officeDocument/2006/relationships/hyperlink" Target="https://scryfall.com/sets/tm10" TargetMode="External"/><Relationship Id="rId1748" Type="http://schemas.openxmlformats.org/officeDocument/2006/relationships/hyperlink" Target="https://scryfall.com/sets/oc18" TargetMode="External"/><Relationship Id="rId1955" Type="http://schemas.openxmlformats.org/officeDocument/2006/relationships/hyperlink" Target="https://scryfall.com/sets/tc17" TargetMode="External"/><Relationship Id="rId3170" Type="http://schemas.openxmlformats.org/officeDocument/2006/relationships/hyperlink" Target="https://scryfall.com/sets/dis" TargetMode="External"/><Relationship Id="rId1608" Type="http://schemas.openxmlformats.org/officeDocument/2006/relationships/hyperlink" Target="https://scryfall.com/sets/tc19" TargetMode="External"/><Relationship Id="rId1815" Type="http://schemas.openxmlformats.org/officeDocument/2006/relationships/hyperlink" Target="https://scryfall.com/sets/tcm2" TargetMode="External"/><Relationship Id="rId3030" Type="http://schemas.openxmlformats.org/officeDocument/2006/relationships/hyperlink" Target="https://scryfall.com/sets/teve" TargetMode="External"/><Relationship Id="rId2589" Type="http://schemas.openxmlformats.org/officeDocument/2006/relationships/hyperlink" Target="https://scryfall.com/sets/ddj" TargetMode="External"/><Relationship Id="rId2796" Type="http://schemas.openxmlformats.org/officeDocument/2006/relationships/hyperlink" Target="https://scryfall.com/sets/td0" TargetMode="External"/><Relationship Id="rId768" Type="http://schemas.openxmlformats.org/officeDocument/2006/relationships/hyperlink" Target="https://scryfall.com/sets/fone" TargetMode="External"/><Relationship Id="rId975" Type="http://schemas.openxmlformats.org/officeDocument/2006/relationships/hyperlink" Target="https://scryfall.com/sets/ea1" TargetMode="External"/><Relationship Id="rId1398" Type="http://schemas.openxmlformats.org/officeDocument/2006/relationships/hyperlink" Target="https://scryfall.com/sets/zne" TargetMode="External"/><Relationship Id="rId2449" Type="http://schemas.openxmlformats.org/officeDocument/2006/relationships/hyperlink" Target="https://scryfall.com/sets/l14" TargetMode="External"/><Relationship Id="rId2656" Type="http://schemas.openxmlformats.org/officeDocument/2006/relationships/hyperlink" Target="https://scryfall.com/sets/pdp13" TargetMode="External"/><Relationship Id="rId2863" Type="http://schemas.openxmlformats.org/officeDocument/2006/relationships/hyperlink" Target="https://scryfall.com/sets/pwwk" TargetMode="External"/><Relationship Id="rId3707" Type="http://schemas.openxmlformats.org/officeDocument/2006/relationships/hyperlink" Target="https://scryfall.com/sets/plgm" TargetMode="External"/><Relationship Id="rId628" Type="http://schemas.openxmlformats.org/officeDocument/2006/relationships/hyperlink" Target="https://scryfall.com/sets/ha7" TargetMode="External"/><Relationship Id="rId835" Type="http://schemas.openxmlformats.org/officeDocument/2006/relationships/hyperlink" Target="https://scryfall.com/sets/pewk" TargetMode="External"/><Relationship Id="rId1258" Type="http://schemas.openxmlformats.org/officeDocument/2006/relationships/hyperlink" Target="https://scryfall.com/sets/pmh2" TargetMode="External"/><Relationship Id="rId1465" Type="http://schemas.openxmlformats.org/officeDocument/2006/relationships/hyperlink" Target="https://scryfall.com/sets/m21" TargetMode="External"/><Relationship Id="rId1672" Type="http://schemas.openxmlformats.org/officeDocument/2006/relationships/hyperlink" Target="https://scryfall.com/sets/gk2" TargetMode="External"/><Relationship Id="rId2309" Type="http://schemas.openxmlformats.org/officeDocument/2006/relationships/hyperlink" Target="https://scryfall.com/sets/jvc" TargetMode="External"/><Relationship Id="rId2516" Type="http://schemas.openxmlformats.org/officeDocument/2006/relationships/hyperlink" Target="https://scryfall.com/sets/mma" TargetMode="External"/><Relationship Id="rId2723" Type="http://schemas.openxmlformats.org/officeDocument/2006/relationships/hyperlink" Target="https://scryfall.com/sets/td2" TargetMode="External"/><Relationship Id="rId1118" Type="http://schemas.openxmlformats.org/officeDocument/2006/relationships/hyperlink" Target="https://scryfall.com/sets/p22" TargetMode="External"/><Relationship Id="rId1325" Type="http://schemas.openxmlformats.org/officeDocument/2006/relationships/hyperlink" Target="https://scryfall.com/sets/ttsr" TargetMode="External"/><Relationship Id="rId1532" Type="http://schemas.openxmlformats.org/officeDocument/2006/relationships/hyperlink" Target="https://scryfall.com/sets/tthb" TargetMode="External"/><Relationship Id="rId2930" Type="http://schemas.openxmlformats.org/officeDocument/2006/relationships/hyperlink" Target="https://scryfall.com/sets/v09" TargetMode="External"/><Relationship Id="rId902" Type="http://schemas.openxmlformats.org/officeDocument/2006/relationships/hyperlink" Target="https://scryfall.com/sets/unf" TargetMode="External"/><Relationship Id="rId3497" Type="http://schemas.openxmlformats.org/officeDocument/2006/relationships/hyperlink" Target="https://scryfall.com/sets/pcy" TargetMode="External"/><Relationship Id="rId31" Type="http://schemas.openxmlformats.org/officeDocument/2006/relationships/hyperlink" Target="https://scryfall.com/sets/ecl" TargetMode="External"/><Relationship Id="rId2099" Type="http://schemas.openxmlformats.org/officeDocument/2006/relationships/hyperlink" Target="https://scryfall.com/sets/tkld" TargetMode="External"/><Relationship Id="rId278" Type="http://schemas.openxmlformats.org/officeDocument/2006/relationships/hyperlink" Target="https://scryfall.com/sets/pfdn" TargetMode="External"/><Relationship Id="rId3357" Type="http://schemas.openxmlformats.org/officeDocument/2006/relationships/hyperlink" Target="https://scryfall.com/sets/plgn" TargetMode="External"/><Relationship Id="rId3564" Type="http://schemas.openxmlformats.org/officeDocument/2006/relationships/hyperlink" Target="https://scryfall.com/sets/s99" TargetMode="External"/><Relationship Id="rId3771" Type="http://schemas.openxmlformats.org/officeDocument/2006/relationships/hyperlink" Target="https://scryfall.com/sets/sum" TargetMode="External"/><Relationship Id="rId485" Type="http://schemas.openxmlformats.org/officeDocument/2006/relationships/hyperlink" Target="https://scryfall.com/sets/pss4" TargetMode="External"/><Relationship Id="rId692" Type="http://schemas.openxmlformats.org/officeDocument/2006/relationships/hyperlink" Target="https://scryfall.com/sets/tmom" TargetMode="External"/><Relationship Id="rId2166" Type="http://schemas.openxmlformats.org/officeDocument/2006/relationships/hyperlink" Target="https://scryfall.com/sets/j16" TargetMode="External"/><Relationship Id="rId2373" Type="http://schemas.openxmlformats.org/officeDocument/2006/relationships/hyperlink" Target="https://scryfall.com/sets/pdp15" TargetMode="External"/><Relationship Id="rId2580" Type="http://schemas.openxmlformats.org/officeDocument/2006/relationships/hyperlink" Target="https://scryfall.com/sets/rtr" TargetMode="External"/><Relationship Id="rId3217" Type="http://schemas.openxmlformats.org/officeDocument/2006/relationships/hyperlink" Target="https://scryfall.com/sets/p06" TargetMode="External"/><Relationship Id="rId3424" Type="http://schemas.openxmlformats.org/officeDocument/2006/relationships/hyperlink" Target="https://scryfall.com/sets/pr2" TargetMode="External"/><Relationship Id="rId3631" Type="http://schemas.openxmlformats.org/officeDocument/2006/relationships/hyperlink" Target="https://scryfall.com/sets/pexo" TargetMode="External"/><Relationship Id="rId138" Type="http://schemas.openxmlformats.org/officeDocument/2006/relationships/hyperlink" Target="https://scryfall.com/sets/eoc" TargetMode="External"/><Relationship Id="rId345" Type="http://schemas.openxmlformats.org/officeDocument/2006/relationships/hyperlink" Target="https://scryfall.com/sets/tblb" TargetMode="External"/><Relationship Id="rId552" Type="http://schemas.openxmlformats.org/officeDocument/2006/relationships/hyperlink" Target="https://scryfall.com/sets/trex" TargetMode="External"/><Relationship Id="rId1182" Type="http://schemas.openxmlformats.org/officeDocument/2006/relationships/hyperlink" Target="https://scryfall.com/sets/tmic" TargetMode="External"/><Relationship Id="rId2026" Type="http://schemas.openxmlformats.org/officeDocument/2006/relationships/hyperlink" Target="https://scryfall.com/sets/tmm3" TargetMode="External"/><Relationship Id="rId2233" Type="http://schemas.openxmlformats.org/officeDocument/2006/relationships/hyperlink" Target="https://scryfall.com/sets/ps15" TargetMode="External"/><Relationship Id="rId2440" Type="http://schemas.openxmlformats.org/officeDocument/2006/relationships/hyperlink" Target="https://scryfall.com/sets/tbng" TargetMode="External"/><Relationship Id="rId205" Type="http://schemas.openxmlformats.org/officeDocument/2006/relationships/hyperlink" Target="https://scryfall.com/sets/tdc" TargetMode="External"/><Relationship Id="rId412" Type="http://schemas.openxmlformats.org/officeDocument/2006/relationships/hyperlink" Target="https://scryfall.com/sets/otj" TargetMode="External"/><Relationship Id="rId1042" Type="http://schemas.openxmlformats.org/officeDocument/2006/relationships/hyperlink" Target="https://scryfall.com/sets/ncc" TargetMode="External"/><Relationship Id="rId2300" Type="http://schemas.openxmlformats.org/officeDocument/2006/relationships/hyperlink" Target="https://scryfall.com/sets/tevg" TargetMode="External"/><Relationship Id="rId1999" Type="http://schemas.openxmlformats.org/officeDocument/2006/relationships/hyperlink" Target="https://scryfall.com/sets/mp2" TargetMode="External"/><Relationship Id="rId1859" Type="http://schemas.openxmlformats.org/officeDocument/2006/relationships/hyperlink" Target="https://scryfall.com/sets/pnat" TargetMode="External"/><Relationship Id="rId3074" Type="http://schemas.openxmlformats.org/officeDocument/2006/relationships/hyperlink" Target="https://scryfall.com/sets/dd1" TargetMode="External"/><Relationship Id="rId1719" Type="http://schemas.openxmlformats.org/officeDocument/2006/relationships/hyperlink" Target="https://scryfall.com/sets/grn" TargetMode="External"/><Relationship Id="rId1926" Type="http://schemas.openxmlformats.org/officeDocument/2006/relationships/hyperlink" Target="https://scryfall.com/sets/txln" TargetMode="External"/><Relationship Id="rId3281" Type="http://schemas.openxmlformats.org/officeDocument/2006/relationships/hyperlink" Target="https://scryfall.com/sets/punh" TargetMode="External"/><Relationship Id="rId2090" Type="http://schemas.openxmlformats.org/officeDocument/2006/relationships/hyperlink" Target="https://scryfall.com/sets/mps" TargetMode="External"/><Relationship Id="rId3141" Type="http://schemas.openxmlformats.org/officeDocument/2006/relationships/hyperlink" Target="https://scryfall.com/sets/p07" TargetMode="External"/><Relationship Id="rId3001" Type="http://schemas.openxmlformats.org/officeDocument/2006/relationships/hyperlink" Target="https://scryfall.com/sets/tdd2" TargetMode="External"/><Relationship Id="rId879" Type="http://schemas.openxmlformats.org/officeDocument/2006/relationships/hyperlink" Target="https://scryfall.com/sets/sbro" TargetMode="External"/><Relationship Id="rId2767" Type="http://schemas.openxmlformats.org/officeDocument/2006/relationships/hyperlink" Target="https://scryfall.com/sets/pdp12" TargetMode="External"/><Relationship Id="rId739" Type="http://schemas.openxmlformats.org/officeDocument/2006/relationships/hyperlink" Target="https://scryfall.com/sets/one" TargetMode="External"/><Relationship Id="rId1369" Type="http://schemas.openxmlformats.org/officeDocument/2006/relationships/hyperlink" Target="https://scryfall.com/sets/cc1" TargetMode="External"/><Relationship Id="rId1576" Type="http://schemas.openxmlformats.org/officeDocument/2006/relationships/hyperlink" Target="https://scryfall.com/sets/tgn2" TargetMode="External"/><Relationship Id="rId2974" Type="http://schemas.openxmlformats.org/officeDocument/2006/relationships/hyperlink" Target="https://scryfall.com/sets/tcon" TargetMode="External"/><Relationship Id="rId946" Type="http://schemas.openxmlformats.org/officeDocument/2006/relationships/hyperlink" Target="https://scryfall.com/sets/wdmu" TargetMode="External"/><Relationship Id="rId1229" Type="http://schemas.openxmlformats.org/officeDocument/2006/relationships/hyperlink" Target="https://scryfall.com/sets/afc" TargetMode="External"/><Relationship Id="rId1783" Type="http://schemas.openxmlformats.org/officeDocument/2006/relationships/hyperlink" Target="https://scryfall.com/sets/pm19" TargetMode="External"/><Relationship Id="rId1990" Type="http://schemas.openxmlformats.org/officeDocument/2006/relationships/hyperlink" Target="https://scryfall.com/sets/cma" TargetMode="External"/><Relationship Id="rId2627" Type="http://schemas.openxmlformats.org/officeDocument/2006/relationships/hyperlink" Target="https://scryfall.com/sets/tavr" TargetMode="External"/><Relationship Id="rId2834" Type="http://schemas.openxmlformats.org/officeDocument/2006/relationships/hyperlink" Target="https://scryfall.com/sets/arc" TargetMode="External"/><Relationship Id="rId75" Type="http://schemas.openxmlformats.org/officeDocument/2006/relationships/hyperlink" Target="https://scryfall.com/sets/spm" TargetMode="External"/><Relationship Id="rId806" Type="http://schemas.openxmlformats.org/officeDocument/2006/relationships/hyperlink" Target="https://scryfall.com/sets/j22" TargetMode="External"/><Relationship Id="rId1436" Type="http://schemas.openxmlformats.org/officeDocument/2006/relationships/hyperlink" Target="https://scryfall.com/sets/akr" TargetMode="External"/><Relationship Id="rId1643" Type="http://schemas.openxmlformats.org/officeDocument/2006/relationships/hyperlink" Target="https://scryfall.com/sets/mh1" TargetMode="External"/><Relationship Id="rId1850" Type="http://schemas.openxmlformats.org/officeDocument/2006/relationships/hyperlink" Target="https://scryfall.com/sets/ta25" TargetMode="External"/><Relationship Id="rId2901" Type="http://schemas.openxmlformats.org/officeDocument/2006/relationships/hyperlink" Target="https://scryfall.com/sets/tddd" TargetMode="External"/><Relationship Id="rId1503" Type="http://schemas.openxmlformats.org/officeDocument/2006/relationships/hyperlink" Target="https://scryfall.com/sets/c20" TargetMode="External"/><Relationship Id="rId1710" Type="http://schemas.openxmlformats.org/officeDocument/2006/relationships/hyperlink" Target="https://scryfall.com/sets/gnt" TargetMode="External"/><Relationship Id="rId3468" Type="http://schemas.openxmlformats.org/officeDocument/2006/relationships/hyperlink" Target="https://scryfall.com/sets/pal01" TargetMode="External"/><Relationship Id="rId3675" Type="http://schemas.openxmlformats.org/officeDocument/2006/relationships/hyperlink" Target="https://scryfall.com/sets/pmic" TargetMode="External"/><Relationship Id="rId389" Type="http://schemas.openxmlformats.org/officeDocument/2006/relationships/hyperlink" Target="https://scryfall.com/sets/tmh3" TargetMode="External"/><Relationship Id="rId596" Type="http://schemas.openxmlformats.org/officeDocument/2006/relationships/hyperlink" Target="https://scryfall.com/sets/twoc" TargetMode="External"/><Relationship Id="rId2277" Type="http://schemas.openxmlformats.org/officeDocument/2006/relationships/hyperlink" Target="https://scryfall.com/sets/cp2" TargetMode="External"/><Relationship Id="rId2484" Type="http://schemas.openxmlformats.org/officeDocument/2006/relationships/hyperlink" Target="https://scryfall.com/sets/thp1" TargetMode="External"/><Relationship Id="rId2691" Type="http://schemas.openxmlformats.org/officeDocument/2006/relationships/hyperlink" Target="https://scryfall.com/sets/ddh" TargetMode="External"/><Relationship Id="rId3328" Type="http://schemas.openxmlformats.org/officeDocument/2006/relationships/hyperlink" Target="https://scryfall.com/sets/mrd" TargetMode="External"/><Relationship Id="rId3535" Type="http://schemas.openxmlformats.org/officeDocument/2006/relationships/hyperlink" Target="https://scryfall.com/sets/brb" TargetMode="External"/><Relationship Id="rId3742" Type="http://schemas.openxmlformats.org/officeDocument/2006/relationships/hyperlink" Target="https://scryfall.com/sets/bchr/ja" TargetMode="External"/><Relationship Id="rId249" Type="http://schemas.openxmlformats.org/officeDocument/2006/relationships/hyperlink" Target="https://scryfall.com/sets/inr" TargetMode="External"/><Relationship Id="rId456" Type="http://schemas.openxmlformats.org/officeDocument/2006/relationships/hyperlink" Target="https://scryfall.com/sets/pip" TargetMode="External"/><Relationship Id="rId663" Type="http://schemas.openxmlformats.org/officeDocument/2006/relationships/hyperlink" Target="https://scryfall.com/sets/fltr" TargetMode="External"/><Relationship Id="rId870" Type="http://schemas.openxmlformats.org/officeDocument/2006/relationships/hyperlink" Target="https://scryfall.com/sets/tbot" TargetMode="External"/><Relationship Id="rId1086" Type="http://schemas.openxmlformats.org/officeDocument/2006/relationships/hyperlink" Target="https://scryfall.com/sets/yneo" TargetMode="External"/><Relationship Id="rId1293" Type="http://schemas.openxmlformats.org/officeDocument/2006/relationships/hyperlink" Target="https://scryfall.com/sets/tstx" TargetMode="External"/><Relationship Id="rId2137" Type="http://schemas.openxmlformats.org/officeDocument/2006/relationships/hyperlink" Target="https://scryfall.com/sets/psoi" TargetMode="External"/><Relationship Id="rId2344" Type="http://schemas.openxmlformats.org/officeDocument/2006/relationships/hyperlink" Target="https://scryfall.com/sets/tktk" TargetMode="External"/><Relationship Id="rId2551" Type="http://schemas.openxmlformats.org/officeDocument/2006/relationships/hyperlink" Target="https://scryfall.com/sets/tgtc" TargetMode="External"/><Relationship Id="rId109" Type="http://schemas.openxmlformats.org/officeDocument/2006/relationships/hyperlink" Target="https://scryfall.com/sets/aa1" TargetMode="External"/><Relationship Id="rId316" Type="http://schemas.openxmlformats.org/officeDocument/2006/relationships/hyperlink" Target="https://scryfall.com/sets/ydsk" TargetMode="External"/><Relationship Id="rId523" Type="http://schemas.openxmlformats.org/officeDocument/2006/relationships/hyperlink" Target="https://scryfall.com/sets/spg" TargetMode="External"/><Relationship Id="rId1153" Type="http://schemas.openxmlformats.org/officeDocument/2006/relationships/hyperlink" Target="https://scryfall.com/sets/tvoc" TargetMode="External"/><Relationship Id="rId2204" Type="http://schemas.openxmlformats.org/officeDocument/2006/relationships/hyperlink" Target="https://scryfall.com/sets/pss1" TargetMode="External"/><Relationship Id="rId3602" Type="http://schemas.openxmlformats.org/officeDocument/2006/relationships/hyperlink" Target="https://scryfall.com/sets/usg" TargetMode="External"/><Relationship Id="rId730" Type="http://schemas.openxmlformats.org/officeDocument/2006/relationships/hyperlink" Target="https://scryfall.com/sets/unk" TargetMode="External"/><Relationship Id="rId1013" Type="http://schemas.openxmlformats.org/officeDocument/2006/relationships/hyperlink" Target="https://scryfall.com/sets/mclb" TargetMode="External"/><Relationship Id="rId1360" Type="http://schemas.openxmlformats.org/officeDocument/2006/relationships/hyperlink" Target="https://scryfall.com/sets/akhm" TargetMode="External"/><Relationship Id="rId2411" Type="http://schemas.openxmlformats.org/officeDocument/2006/relationships/hyperlink" Target="https://scryfall.com/sets/tjou" TargetMode="External"/><Relationship Id="rId1220" Type="http://schemas.openxmlformats.org/officeDocument/2006/relationships/hyperlink" Target="https://scryfall.com/sets/oafr" TargetMode="External"/><Relationship Id="rId3185" Type="http://schemas.openxmlformats.org/officeDocument/2006/relationships/hyperlink" Target="https://scryfall.com/sets/pgpt" TargetMode="External"/><Relationship Id="rId3392" Type="http://schemas.openxmlformats.org/officeDocument/2006/relationships/hyperlink" Target="https://scryfall.com/sets/ons" TargetMode="External"/><Relationship Id="rId3045" Type="http://schemas.openxmlformats.org/officeDocument/2006/relationships/hyperlink" Target="https://scryfall.com/sets/p15a" TargetMode="External"/><Relationship Id="rId3252" Type="http://schemas.openxmlformats.org/officeDocument/2006/relationships/hyperlink" Target="https://scryfall.com/sets/bok" TargetMode="External"/><Relationship Id="rId173" Type="http://schemas.openxmlformats.org/officeDocument/2006/relationships/hyperlink" Target="https://scryfall.com/sets/wfin" TargetMode="External"/><Relationship Id="rId380" Type="http://schemas.openxmlformats.org/officeDocument/2006/relationships/hyperlink" Target="https://scryfall.com/sets/aacr" TargetMode="External"/><Relationship Id="rId2061" Type="http://schemas.openxmlformats.org/officeDocument/2006/relationships/hyperlink" Target="https://scryfall.com/sets/opca" TargetMode="External"/><Relationship Id="rId3112" Type="http://schemas.openxmlformats.org/officeDocument/2006/relationships/hyperlink" Target="https://scryfall.com/sets/pfut" TargetMode="External"/><Relationship Id="rId240" Type="http://schemas.openxmlformats.org/officeDocument/2006/relationships/hyperlink" Target="https://scryfall.com/sets/tdrc" TargetMode="External"/><Relationship Id="rId100" Type="http://schemas.openxmlformats.org/officeDocument/2006/relationships/hyperlink" Target="https://scryfall.com/sets/aa3" TargetMode="External"/><Relationship Id="rId2878" Type="http://schemas.openxmlformats.org/officeDocument/2006/relationships/hyperlink" Target="https://scryfall.com/sets/p10" TargetMode="External"/><Relationship Id="rId1687" Type="http://schemas.openxmlformats.org/officeDocument/2006/relationships/hyperlink" Target="https://scryfall.com/sets/trna" TargetMode="External"/><Relationship Id="rId1894" Type="http://schemas.openxmlformats.org/officeDocument/2006/relationships/hyperlink" Target="https://scryfall.com/sets/v17" TargetMode="External"/><Relationship Id="rId2738" Type="http://schemas.openxmlformats.org/officeDocument/2006/relationships/hyperlink" Target="https://scryfall.com/sets/ddg" TargetMode="External"/><Relationship Id="rId2945" Type="http://schemas.openxmlformats.org/officeDocument/2006/relationships/hyperlink" Target="https://scryfall.com/sets/parb" TargetMode="External"/><Relationship Id="rId917" Type="http://schemas.openxmlformats.org/officeDocument/2006/relationships/hyperlink" Target="https://scryfall.com/sets/t40k" TargetMode="External"/><Relationship Id="rId1547" Type="http://schemas.openxmlformats.org/officeDocument/2006/relationships/hyperlink" Target="https://scryfall.com/sets/pssc" TargetMode="External"/><Relationship Id="rId1754" Type="http://schemas.openxmlformats.org/officeDocument/2006/relationships/hyperlink" Target="https://scryfall.com/cubes/protour" TargetMode="External"/><Relationship Id="rId1961" Type="http://schemas.openxmlformats.org/officeDocument/2006/relationships/hyperlink" Target="https://scryfall.com/sets/ps17" TargetMode="External"/><Relationship Id="rId2805" Type="http://schemas.openxmlformats.org/officeDocument/2006/relationships/hyperlink" Target="https://scryfall.com/sets/psom" TargetMode="External"/><Relationship Id="rId46" Type="http://schemas.openxmlformats.org/officeDocument/2006/relationships/hyperlink" Target="https://scryfall.com/sets/ftla" TargetMode="External"/><Relationship Id="rId1407" Type="http://schemas.openxmlformats.org/officeDocument/2006/relationships/hyperlink" Target="https://scryfall.com/sets/tznr" TargetMode="External"/><Relationship Id="rId1614" Type="http://schemas.openxmlformats.org/officeDocument/2006/relationships/hyperlink" Target="https://scryfall.com/sets/oc19" TargetMode="External"/><Relationship Id="rId1821" Type="http://schemas.openxmlformats.org/officeDocument/2006/relationships/hyperlink" Target="https://scryfall.com/sets/pbbd" TargetMode="External"/><Relationship Id="rId3579" Type="http://schemas.openxmlformats.org/officeDocument/2006/relationships/hyperlink" Target="https://scryfall.com/sets/6ed" TargetMode="External"/><Relationship Id="rId3786" Type="http://schemas.openxmlformats.org/officeDocument/2006/relationships/hyperlink" Target="https://scryfall.com/sets/arn" TargetMode="External"/><Relationship Id="rId2388" Type="http://schemas.openxmlformats.org/officeDocument/2006/relationships/hyperlink" Target="https://scryfall.com/sets/pcns" TargetMode="External"/><Relationship Id="rId2595" Type="http://schemas.openxmlformats.org/officeDocument/2006/relationships/hyperlink" Target="https://scryfall.com/sets/tddj" TargetMode="External"/><Relationship Id="rId3439" Type="http://schemas.openxmlformats.org/officeDocument/2006/relationships/hyperlink" Target="https://scryfall.com/sets/ody" TargetMode="External"/><Relationship Id="rId567" Type="http://schemas.openxmlformats.org/officeDocument/2006/relationships/hyperlink" Target="https://scryfall.com/sets/twho" TargetMode="External"/><Relationship Id="rId1197" Type="http://schemas.openxmlformats.org/officeDocument/2006/relationships/hyperlink" Target="https://scryfall.com/sets/j21" TargetMode="External"/><Relationship Id="rId2248" Type="http://schemas.openxmlformats.org/officeDocument/2006/relationships/hyperlink" Target="https://scryfall.com/sets/pdtk" TargetMode="External"/><Relationship Id="rId3646" Type="http://schemas.openxmlformats.org/officeDocument/2006/relationships/hyperlink" Target="https://scryfall.com/sets/tmp" TargetMode="External"/><Relationship Id="rId774" Type="http://schemas.openxmlformats.org/officeDocument/2006/relationships/hyperlink" Target="https://scryfall.com/sets/wone" TargetMode="External"/><Relationship Id="rId981" Type="http://schemas.openxmlformats.org/officeDocument/2006/relationships/hyperlink" Target="https://scryfall.com/sets/sch" TargetMode="External"/><Relationship Id="rId1057" Type="http://schemas.openxmlformats.org/officeDocument/2006/relationships/hyperlink" Target="https://scryfall.com/sets/asnc" TargetMode="External"/><Relationship Id="rId2455" Type="http://schemas.openxmlformats.org/officeDocument/2006/relationships/hyperlink" Target="https://scryfall.com/sets/j14" TargetMode="External"/><Relationship Id="rId2662" Type="http://schemas.openxmlformats.org/officeDocument/2006/relationships/hyperlink" Target="https://scryfall.com/sets/l12" TargetMode="External"/><Relationship Id="rId3506" Type="http://schemas.openxmlformats.org/officeDocument/2006/relationships/hyperlink" Target="https://scryfall.com/sets/s00" TargetMode="External"/><Relationship Id="rId3713" Type="http://schemas.openxmlformats.org/officeDocument/2006/relationships/hyperlink" Target="https://scryfall.com/sets/rqs" TargetMode="External"/><Relationship Id="rId427" Type="http://schemas.openxmlformats.org/officeDocument/2006/relationships/hyperlink" Target="https://scryfall.com/sets/totj" TargetMode="External"/><Relationship Id="rId634" Type="http://schemas.openxmlformats.org/officeDocument/2006/relationships/hyperlink" Target="https://scryfall.com/sets/ltr" TargetMode="External"/><Relationship Id="rId841" Type="http://schemas.openxmlformats.org/officeDocument/2006/relationships/hyperlink" Target="https://scryfall.com/sets/bro" TargetMode="External"/><Relationship Id="rId1264" Type="http://schemas.openxmlformats.org/officeDocument/2006/relationships/hyperlink" Target="https://scryfall.com/sets/amh2" TargetMode="External"/><Relationship Id="rId1471" Type="http://schemas.openxmlformats.org/officeDocument/2006/relationships/hyperlink" Target="https://scryfall.com/sets/tm21" TargetMode="External"/><Relationship Id="rId2108" Type="http://schemas.openxmlformats.org/officeDocument/2006/relationships/hyperlink" Target="https://scryfall.com/sets/tcn2" TargetMode="External"/><Relationship Id="rId2315" Type="http://schemas.openxmlformats.org/officeDocument/2006/relationships/hyperlink" Target="https://scryfall.com/sets/tjvc" TargetMode="External"/><Relationship Id="rId2522" Type="http://schemas.openxmlformats.org/officeDocument/2006/relationships/hyperlink" Target="https://scryfall.com/sets/dgm" TargetMode="External"/><Relationship Id="rId701" Type="http://schemas.openxmlformats.org/officeDocument/2006/relationships/hyperlink" Target="https://scryfall.com/sets/moc" TargetMode="External"/><Relationship Id="rId1124" Type="http://schemas.openxmlformats.org/officeDocument/2006/relationships/hyperlink" Target="https://scryfall.com/sets/ymid" TargetMode="External"/><Relationship Id="rId1331" Type="http://schemas.openxmlformats.org/officeDocument/2006/relationships/hyperlink" Target="https://scryfall.com/sets/ha4" TargetMode="External"/><Relationship Id="rId3089" Type="http://schemas.openxmlformats.org/officeDocument/2006/relationships/hyperlink" Target="https://scryfall.com/sets/tlrw" TargetMode="External"/><Relationship Id="rId3296" Type="http://schemas.openxmlformats.org/officeDocument/2006/relationships/hyperlink" Target="https://scryfall.com/sets/5dn" TargetMode="External"/><Relationship Id="rId3156" Type="http://schemas.openxmlformats.org/officeDocument/2006/relationships/hyperlink" Target="https://scryfall.com/sets/ptsp" TargetMode="External"/><Relationship Id="rId3363" Type="http://schemas.openxmlformats.org/officeDocument/2006/relationships/hyperlink" Target="https://scryfall.com/sets/pjjt" TargetMode="External"/><Relationship Id="rId284" Type="http://schemas.openxmlformats.org/officeDocument/2006/relationships/hyperlink" Target="https://scryfall.com/sets/tfdn" TargetMode="External"/><Relationship Id="rId491" Type="http://schemas.openxmlformats.org/officeDocument/2006/relationships/hyperlink" Target="https://scryfall.com/sets/amkm" TargetMode="External"/><Relationship Id="rId2172" Type="http://schemas.openxmlformats.org/officeDocument/2006/relationships/hyperlink" Target="https://scryfall.com/sets/f16" TargetMode="External"/><Relationship Id="rId3016" Type="http://schemas.openxmlformats.org/officeDocument/2006/relationships/hyperlink" Target="https://scryfall.com/sets/me2" TargetMode="External"/><Relationship Id="rId3223" Type="http://schemas.openxmlformats.org/officeDocument/2006/relationships/hyperlink" Target="https://scryfall.com/sets/pmps" TargetMode="External"/><Relationship Id="rId3570" Type="http://schemas.openxmlformats.org/officeDocument/2006/relationships/hyperlink" Target="https://scryfall.com/sets/puds" TargetMode="External"/><Relationship Id="rId144" Type="http://schemas.openxmlformats.org/officeDocument/2006/relationships/hyperlink" Target="https://scryfall.com/sets/fin" TargetMode="External"/><Relationship Id="rId3430" Type="http://schemas.openxmlformats.org/officeDocument/2006/relationships/hyperlink" Target="https://scryfall.com/sets/f02" TargetMode="External"/><Relationship Id="rId351" Type="http://schemas.openxmlformats.org/officeDocument/2006/relationships/hyperlink" Target="https://scryfall.com/sets/ablb" TargetMode="External"/><Relationship Id="rId2032" Type="http://schemas.openxmlformats.org/officeDocument/2006/relationships/hyperlink" Target="https://scryfall.com/sets/aer" TargetMode="External"/><Relationship Id="rId2989" Type="http://schemas.openxmlformats.org/officeDocument/2006/relationships/hyperlink" Target="https://scryfall.com/sets/p09" TargetMode="External"/><Relationship Id="rId211" Type="http://schemas.openxmlformats.org/officeDocument/2006/relationships/hyperlink" Target="https://scryfall.com/sets/plg25" TargetMode="External"/><Relationship Id="rId1798" Type="http://schemas.openxmlformats.org/officeDocument/2006/relationships/hyperlink" Target="https://scryfall.com/sets/gs1" TargetMode="External"/><Relationship Id="rId2849" Type="http://schemas.openxmlformats.org/officeDocument/2006/relationships/hyperlink" Target="https://scryfall.com/sets/troe" TargetMode="External"/><Relationship Id="rId1658" Type="http://schemas.openxmlformats.org/officeDocument/2006/relationships/hyperlink" Target="https://scryfall.com/sets/war" TargetMode="External"/><Relationship Id="rId1865" Type="http://schemas.openxmlformats.org/officeDocument/2006/relationships/hyperlink" Target="https://scryfall.com/sets/prix" TargetMode="External"/><Relationship Id="rId2709" Type="http://schemas.openxmlformats.org/officeDocument/2006/relationships/hyperlink" Target="https://scryfall.com/sets/tm12" TargetMode="External"/><Relationship Id="rId1518" Type="http://schemas.openxmlformats.org/officeDocument/2006/relationships/hyperlink" Target="https://scryfall.com/sets/und" TargetMode="External"/><Relationship Id="rId2916" Type="http://schemas.openxmlformats.org/officeDocument/2006/relationships/hyperlink" Target="https://scryfall.com/sets/hop" TargetMode="External"/><Relationship Id="rId3080" Type="http://schemas.openxmlformats.org/officeDocument/2006/relationships/hyperlink" Target="https://scryfall.com/sets/tdd1" TargetMode="External"/><Relationship Id="rId1725" Type="http://schemas.openxmlformats.org/officeDocument/2006/relationships/hyperlink" Target="https://scryfall.com/sets/tgrn" TargetMode="External"/><Relationship Id="rId1932" Type="http://schemas.openxmlformats.org/officeDocument/2006/relationships/hyperlink" Target="https://scryfall.com/sets/pxtc" TargetMode="External"/><Relationship Id="rId17" Type="http://schemas.openxmlformats.org/officeDocument/2006/relationships/hyperlink" Target="https://scryfall.com/sets/ttmt" TargetMode="External"/><Relationship Id="rId2499" Type="http://schemas.openxmlformats.org/officeDocument/2006/relationships/hyperlink" Target="https://scryfall.com/sets/m14" TargetMode="External"/><Relationship Id="rId3757" Type="http://schemas.openxmlformats.org/officeDocument/2006/relationships/hyperlink" Target="https://scryfall.com/sets/fem" TargetMode="External"/><Relationship Id="rId1" Type="http://schemas.openxmlformats.org/officeDocument/2006/relationships/hyperlink" Target="https://scryfall.com/sets/msh" TargetMode="External"/><Relationship Id="rId678" Type="http://schemas.openxmlformats.org/officeDocument/2006/relationships/hyperlink" Target="https://scryfall.com/sets/mom" TargetMode="External"/><Relationship Id="rId885" Type="http://schemas.openxmlformats.org/officeDocument/2006/relationships/hyperlink" Target="https://scryfall.com/sets/mbro" TargetMode="External"/><Relationship Id="rId2359" Type="http://schemas.openxmlformats.org/officeDocument/2006/relationships/hyperlink" Target="https://scryfall.com/sets/pm15" TargetMode="External"/><Relationship Id="rId2566" Type="http://schemas.openxmlformats.org/officeDocument/2006/relationships/hyperlink" Target="https://scryfall.com/sets/f13" TargetMode="External"/><Relationship Id="rId2773" Type="http://schemas.openxmlformats.org/officeDocument/2006/relationships/hyperlink" Target="https://scryfall.com/sets/ps11" TargetMode="External"/><Relationship Id="rId2980" Type="http://schemas.openxmlformats.org/officeDocument/2006/relationships/hyperlink" Target="https://scryfall.com/sets/pmps09" TargetMode="External"/><Relationship Id="rId3617" Type="http://schemas.openxmlformats.org/officeDocument/2006/relationships/hyperlink" Target="https://scryfall.com/sets/ugl" TargetMode="External"/><Relationship Id="rId538" Type="http://schemas.openxmlformats.org/officeDocument/2006/relationships/hyperlink" Target="https://scryfall.com/sets/ylci" TargetMode="External"/><Relationship Id="rId745" Type="http://schemas.openxmlformats.org/officeDocument/2006/relationships/hyperlink" Target="https://scryfall.com/sets/tone" TargetMode="External"/><Relationship Id="rId952" Type="http://schemas.openxmlformats.org/officeDocument/2006/relationships/hyperlink" Target="https://scryfall.com/sets/admu" TargetMode="External"/><Relationship Id="rId1168" Type="http://schemas.openxmlformats.org/officeDocument/2006/relationships/hyperlink" Target="https://scryfall.com/sets/pmid" TargetMode="External"/><Relationship Id="rId1375" Type="http://schemas.openxmlformats.org/officeDocument/2006/relationships/hyperlink" Target="https://scryfall.com/sets/pcmr" TargetMode="External"/><Relationship Id="rId1582" Type="http://schemas.openxmlformats.org/officeDocument/2006/relationships/hyperlink" Target="https://scryfall.com/sets/ptg" TargetMode="External"/><Relationship Id="rId2219" Type="http://schemas.openxmlformats.org/officeDocument/2006/relationships/hyperlink" Target="https://scryfall.com/sets/pori" TargetMode="External"/><Relationship Id="rId2426" Type="http://schemas.openxmlformats.org/officeDocument/2006/relationships/hyperlink" Target="https://scryfall.com/sets/tddm" TargetMode="External"/><Relationship Id="rId2633" Type="http://schemas.openxmlformats.org/officeDocument/2006/relationships/hyperlink" Target="https://scryfall.com/sets/ddi" TargetMode="External"/><Relationship Id="rId81" Type="http://schemas.openxmlformats.org/officeDocument/2006/relationships/hyperlink" Target="https://scryfall.com/sets/pspm" TargetMode="External"/><Relationship Id="rId605" Type="http://schemas.openxmlformats.org/officeDocument/2006/relationships/hyperlink" Target="https://scryfall.com/sets/awoe" TargetMode="External"/><Relationship Id="rId812" Type="http://schemas.openxmlformats.org/officeDocument/2006/relationships/hyperlink" Target="https://scryfall.com/sets/fj22" TargetMode="External"/><Relationship Id="rId1028" Type="http://schemas.openxmlformats.org/officeDocument/2006/relationships/hyperlink" Target="https://scryfall.com/sets/psnc" TargetMode="External"/><Relationship Id="rId1235" Type="http://schemas.openxmlformats.org/officeDocument/2006/relationships/hyperlink" Target="https://scryfall.com/sets/oafc" TargetMode="External"/><Relationship Id="rId1442" Type="http://schemas.openxmlformats.org/officeDocument/2006/relationships/hyperlink" Target="https://scryfall.com/sets/2xm" TargetMode="External"/><Relationship Id="rId2840" Type="http://schemas.openxmlformats.org/officeDocument/2006/relationships/hyperlink" Target="https://scryfall.com/sets/dpa" TargetMode="External"/><Relationship Id="rId1302" Type="http://schemas.openxmlformats.org/officeDocument/2006/relationships/hyperlink" Target="https://scryfall.com/sets/astx" TargetMode="External"/><Relationship Id="rId2700" Type="http://schemas.openxmlformats.org/officeDocument/2006/relationships/hyperlink" Target="https://scryfall.com/sets/m12" TargetMode="External"/><Relationship Id="rId3267" Type="http://schemas.openxmlformats.org/officeDocument/2006/relationships/hyperlink" Target="https://scryfall.com/sets/f05" TargetMode="External"/><Relationship Id="rId188" Type="http://schemas.openxmlformats.org/officeDocument/2006/relationships/hyperlink" Target="https://scryfall.com/sets/ptdm" TargetMode="External"/><Relationship Id="rId395" Type="http://schemas.openxmlformats.org/officeDocument/2006/relationships/hyperlink" Target="https://scryfall.com/sets/smh3" TargetMode="External"/><Relationship Id="rId2076" Type="http://schemas.openxmlformats.org/officeDocument/2006/relationships/hyperlink" Target="https://scryfall.com/sets/tc16" TargetMode="External"/><Relationship Id="rId3474" Type="http://schemas.openxmlformats.org/officeDocument/2006/relationships/hyperlink" Target="https://scryfall.com/sets/mpr" TargetMode="External"/><Relationship Id="rId3681" Type="http://schemas.openxmlformats.org/officeDocument/2006/relationships/hyperlink" Target="https://scryfall.com/sets/vis" TargetMode="External"/><Relationship Id="rId2283" Type="http://schemas.openxmlformats.org/officeDocument/2006/relationships/hyperlink" Target="https://scryfall.com/sets/l15" TargetMode="External"/><Relationship Id="rId2490" Type="http://schemas.openxmlformats.org/officeDocument/2006/relationships/hyperlink" Target="https://scryfall.com/sets/tddl" TargetMode="External"/><Relationship Id="rId3127" Type="http://schemas.openxmlformats.org/officeDocument/2006/relationships/hyperlink" Target="https://scryfall.com/sets/pplc" TargetMode="External"/><Relationship Id="rId3334" Type="http://schemas.openxmlformats.org/officeDocument/2006/relationships/hyperlink" Target="https://scryfall.com/sets/wc03" TargetMode="External"/><Relationship Id="rId3541" Type="http://schemas.openxmlformats.org/officeDocument/2006/relationships/hyperlink" Target="https://scryfall.com/sets/pmmq" TargetMode="External"/><Relationship Id="rId255" Type="http://schemas.openxmlformats.org/officeDocument/2006/relationships/hyperlink" Target="https://scryfall.com/sets/tinr" TargetMode="External"/><Relationship Id="rId462" Type="http://schemas.openxmlformats.org/officeDocument/2006/relationships/hyperlink" Target="https://scryfall.com/sets/mkm" TargetMode="External"/><Relationship Id="rId1092" Type="http://schemas.openxmlformats.org/officeDocument/2006/relationships/hyperlink" Target="https://scryfall.com/sets/mneo" TargetMode="External"/><Relationship Id="rId2143" Type="http://schemas.openxmlformats.org/officeDocument/2006/relationships/hyperlink" Target="https://scryfall.com/sets/tsoi" TargetMode="External"/><Relationship Id="rId2350" Type="http://schemas.openxmlformats.org/officeDocument/2006/relationships/hyperlink" Target="https://scryfall.com/sets/v14" TargetMode="External"/><Relationship Id="rId3401" Type="http://schemas.openxmlformats.org/officeDocument/2006/relationships/hyperlink" Target="https://scryfall.com/sets/prm" TargetMode="External"/><Relationship Id="rId115" Type="http://schemas.openxmlformats.org/officeDocument/2006/relationships/hyperlink" Target="https://scryfall.com/sets/eoe" TargetMode="External"/><Relationship Id="rId322" Type="http://schemas.openxmlformats.org/officeDocument/2006/relationships/hyperlink" Target="https://scryfall.com/sets/tdsc" TargetMode="External"/><Relationship Id="rId2003" Type="http://schemas.openxmlformats.org/officeDocument/2006/relationships/hyperlink" Target="https://scryfall.com/sets/pakh" TargetMode="External"/><Relationship Id="rId2210" Type="http://schemas.openxmlformats.org/officeDocument/2006/relationships/hyperlink" Target="https://scryfall.com/sets/ddp" TargetMode="External"/><Relationship Id="rId1769" Type="http://schemas.openxmlformats.org/officeDocument/2006/relationships/hyperlink" Target="https://scryfall.com/sets/xana" TargetMode="External"/><Relationship Id="rId1976" Type="http://schemas.openxmlformats.org/officeDocument/2006/relationships/hyperlink" Target="https://scryfall.com/sets/e01" TargetMode="External"/><Relationship Id="rId3191" Type="http://schemas.openxmlformats.org/officeDocument/2006/relationships/hyperlink" Target="https://scryfall.com/sets/pmps06/ja" TargetMode="External"/><Relationship Id="rId1629" Type="http://schemas.openxmlformats.org/officeDocument/2006/relationships/hyperlink" Target="https://scryfall.com/sets/pm20" TargetMode="External"/><Relationship Id="rId1836" Type="http://schemas.openxmlformats.org/officeDocument/2006/relationships/hyperlink" Target="https://scryfall.com/sets/tdom" TargetMode="External"/><Relationship Id="rId1903" Type="http://schemas.openxmlformats.org/officeDocument/2006/relationships/hyperlink" Target="https://scryfall.com/sets/ima" TargetMode="External"/><Relationship Id="rId3051" Type="http://schemas.openxmlformats.org/officeDocument/2006/relationships/hyperlink" Target="https://scryfall.com/sets/pmor" TargetMode="External"/><Relationship Id="rId789" Type="http://schemas.openxmlformats.org/officeDocument/2006/relationships/hyperlink" Target="https://scryfall.com/sets/pw23" TargetMode="External"/><Relationship Id="rId996" Type="http://schemas.openxmlformats.org/officeDocument/2006/relationships/hyperlink" Target="https://scryfall.com/sets/plg22" TargetMode="External"/><Relationship Id="rId2677" Type="http://schemas.openxmlformats.org/officeDocument/2006/relationships/hyperlink" Target="https://scryfall.com/sets/pd3" TargetMode="External"/><Relationship Id="rId2884" Type="http://schemas.openxmlformats.org/officeDocument/2006/relationships/hyperlink" Target="https://scryfall.com/sets/g10" TargetMode="External"/><Relationship Id="rId3728" Type="http://schemas.openxmlformats.org/officeDocument/2006/relationships/hyperlink" Target="https://scryfall.com/sets/ren" TargetMode="External"/><Relationship Id="rId649" Type="http://schemas.openxmlformats.org/officeDocument/2006/relationships/hyperlink" Target="https://scryfall.com/sets/ltc" TargetMode="External"/><Relationship Id="rId856" Type="http://schemas.openxmlformats.org/officeDocument/2006/relationships/hyperlink" Target="https://scryfall.com/sets/ybro" TargetMode="External"/><Relationship Id="rId1279" Type="http://schemas.openxmlformats.org/officeDocument/2006/relationships/hyperlink" Target="https://scryfall.com/sets/ha5" TargetMode="External"/><Relationship Id="rId1486" Type="http://schemas.openxmlformats.org/officeDocument/2006/relationships/hyperlink" Target="https://scryfall.com/sets/plg20" TargetMode="External"/><Relationship Id="rId2537" Type="http://schemas.openxmlformats.org/officeDocument/2006/relationships/hyperlink" Target="https://scryfall.com/sets/ddk" TargetMode="External"/><Relationship Id="rId509" Type="http://schemas.openxmlformats.org/officeDocument/2006/relationships/hyperlink" Target="https://scryfall.com/sets/rvr" TargetMode="External"/><Relationship Id="rId1139" Type="http://schemas.openxmlformats.org/officeDocument/2006/relationships/hyperlink" Target="https://scryfall.com/sets/mvow" TargetMode="External"/><Relationship Id="rId1346" Type="http://schemas.openxmlformats.org/officeDocument/2006/relationships/hyperlink" Target="https://scryfall.com/sets/skhm" TargetMode="External"/><Relationship Id="rId1693" Type="http://schemas.openxmlformats.org/officeDocument/2006/relationships/hyperlink" Target="https://scryfall.com/sets/pf19" TargetMode="External"/><Relationship Id="rId2744" Type="http://schemas.openxmlformats.org/officeDocument/2006/relationships/hyperlink" Target="https://scryfall.com/sets/mbs" TargetMode="External"/><Relationship Id="rId2951" Type="http://schemas.openxmlformats.org/officeDocument/2006/relationships/hyperlink" Target="https://scryfall.com/sets/tarb" TargetMode="External"/><Relationship Id="rId716" Type="http://schemas.openxmlformats.org/officeDocument/2006/relationships/hyperlink" Target="https://scryfall.com/sets/smom" TargetMode="External"/><Relationship Id="rId923" Type="http://schemas.openxmlformats.org/officeDocument/2006/relationships/hyperlink" Target="https://scryfall.com/sets/dmu" TargetMode="External"/><Relationship Id="rId1553" Type="http://schemas.openxmlformats.org/officeDocument/2006/relationships/hyperlink" Target="https://scryfall.com/sets/slp" TargetMode="External"/><Relationship Id="rId1760" Type="http://schemas.openxmlformats.org/officeDocument/2006/relationships/hyperlink" Target="https://scryfall.com/sets/ps18" TargetMode="External"/><Relationship Id="rId2604" Type="http://schemas.openxmlformats.org/officeDocument/2006/relationships/hyperlink" Target="https://scryfall.com/sets/pm13" TargetMode="External"/><Relationship Id="rId2811" Type="http://schemas.openxmlformats.org/officeDocument/2006/relationships/hyperlink" Target="https://scryfall.com/sets/ddf" TargetMode="External"/><Relationship Id="rId52" Type="http://schemas.openxmlformats.org/officeDocument/2006/relationships/hyperlink" Target="https://scryfall.com/sets/jtla" TargetMode="External"/><Relationship Id="rId1206" Type="http://schemas.openxmlformats.org/officeDocument/2006/relationships/hyperlink" Target="https://scryfall.com/sets/ph20" TargetMode="External"/><Relationship Id="rId1413" Type="http://schemas.openxmlformats.org/officeDocument/2006/relationships/hyperlink" Target="https://scryfall.com/sets/mznr" TargetMode="External"/><Relationship Id="rId1620" Type="http://schemas.openxmlformats.org/officeDocument/2006/relationships/hyperlink" Target="https://scryfall.com/sets/ps19" TargetMode="External"/><Relationship Id="rId3378" Type="http://schemas.openxmlformats.org/officeDocument/2006/relationships/hyperlink" Target="https://scryfall.com/sets/f03" TargetMode="External"/><Relationship Id="rId3585" Type="http://schemas.openxmlformats.org/officeDocument/2006/relationships/hyperlink" Target="https://scryfall.com/sets/pulg" TargetMode="External"/><Relationship Id="rId3792" Type="http://schemas.openxmlformats.org/officeDocument/2006/relationships/hyperlink" Target="https://scryfall.com/sets/cei" TargetMode="External"/><Relationship Id="rId299" Type="http://schemas.openxmlformats.org/officeDocument/2006/relationships/hyperlink" Target="https://scryfall.com/sets/fj25" TargetMode="External"/><Relationship Id="rId2187" Type="http://schemas.openxmlformats.org/officeDocument/2006/relationships/hyperlink" Target="https://scryfall.com/sets/oc15" TargetMode="External"/><Relationship Id="rId2394" Type="http://schemas.openxmlformats.org/officeDocument/2006/relationships/hyperlink" Target="https://scryfall.com/sets/tcns" TargetMode="External"/><Relationship Id="rId3238" Type="http://schemas.openxmlformats.org/officeDocument/2006/relationships/hyperlink" Target="https://scryfall.com/sets/9ed" TargetMode="External"/><Relationship Id="rId3445" Type="http://schemas.openxmlformats.org/officeDocument/2006/relationships/hyperlink" Target="https://scryfall.com/sets/wc01" TargetMode="External"/><Relationship Id="rId3652" Type="http://schemas.openxmlformats.org/officeDocument/2006/relationships/hyperlink" Target="https://scryfall.com/sets/wc97" TargetMode="External"/><Relationship Id="rId159" Type="http://schemas.openxmlformats.org/officeDocument/2006/relationships/hyperlink" Target="https://scryfall.com/sets/rfin" TargetMode="External"/><Relationship Id="rId366" Type="http://schemas.openxmlformats.org/officeDocument/2006/relationships/hyperlink" Target="https://scryfall.com/sets/acr" TargetMode="External"/><Relationship Id="rId573" Type="http://schemas.openxmlformats.org/officeDocument/2006/relationships/hyperlink" Target="https://scryfall.com/sets/woe" TargetMode="External"/><Relationship Id="rId780" Type="http://schemas.openxmlformats.org/officeDocument/2006/relationships/hyperlink" Target="https://scryfall.com/sets/tdmr" TargetMode="External"/><Relationship Id="rId2047" Type="http://schemas.openxmlformats.org/officeDocument/2006/relationships/hyperlink" Target="https://scryfall.com/sets/f17" TargetMode="External"/><Relationship Id="rId2254" Type="http://schemas.openxmlformats.org/officeDocument/2006/relationships/hyperlink" Target="https://scryfall.com/sets/tdtk" TargetMode="External"/><Relationship Id="rId2461" Type="http://schemas.openxmlformats.org/officeDocument/2006/relationships/hyperlink" Target="https://scryfall.com/sets/c13" TargetMode="External"/><Relationship Id="rId3305" Type="http://schemas.openxmlformats.org/officeDocument/2006/relationships/hyperlink" Target="https://scryfall.com/sets/dst" TargetMode="External"/><Relationship Id="rId3512" Type="http://schemas.openxmlformats.org/officeDocument/2006/relationships/hyperlink" Target="https://scryfall.com/sets/pnem" TargetMode="External"/><Relationship Id="rId226" Type="http://schemas.openxmlformats.org/officeDocument/2006/relationships/hyperlink" Target="https://scryfall.com/sets/tdft" TargetMode="External"/><Relationship Id="rId433" Type="http://schemas.openxmlformats.org/officeDocument/2006/relationships/hyperlink" Target="https://scryfall.com/sets/aotj" TargetMode="External"/><Relationship Id="rId1063" Type="http://schemas.openxmlformats.org/officeDocument/2006/relationships/hyperlink" Target="https://scryfall.com/sets/gdy" TargetMode="External"/><Relationship Id="rId1270" Type="http://schemas.openxmlformats.org/officeDocument/2006/relationships/hyperlink" Target="https://scryfall.com/sets/mmh2" TargetMode="External"/><Relationship Id="rId2114" Type="http://schemas.openxmlformats.org/officeDocument/2006/relationships/hyperlink" Target="https://scryfall.com/sets/v16" TargetMode="External"/><Relationship Id="rId640" Type="http://schemas.openxmlformats.org/officeDocument/2006/relationships/hyperlink" Target="https://scryfall.com/sets/tltr" TargetMode="External"/><Relationship Id="rId2321" Type="http://schemas.openxmlformats.org/officeDocument/2006/relationships/hyperlink" Target="https://scryfall.com/sets/tdvd" TargetMode="External"/><Relationship Id="rId500" Type="http://schemas.openxmlformats.org/officeDocument/2006/relationships/hyperlink" Target="https://scryfall.com/sets/tmkc" TargetMode="External"/><Relationship Id="rId1130" Type="http://schemas.openxmlformats.org/officeDocument/2006/relationships/hyperlink" Target="https://scryfall.com/sets/pvow" TargetMode="External"/><Relationship Id="rId1947" Type="http://schemas.openxmlformats.org/officeDocument/2006/relationships/hyperlink" Target="https://scryfall.com/cubes/modern" TargetMode="External"/><Relationship Id="rId3095" Type="http://schemas.openxmlformats.org/officeDocument/2006/relationships/hyperlink" Target="https://scryfall.com/sets/me1" TargetMode="External"/><Relationship Id="rId1807" Type="http://schemas.openxmlformats.org/officeDocument/2006/relationships/hyperlink" Target="https://scryfall.com/cubes/vintage" TargetMode="External"/><Relationship Id="rId3162" Type="http://schemas.openxmlformats.org/officeDocument/2006/relationships/hyperlink" Target="https://scryfall.com/sets/csp" TargetMode="External"/><Relationship Id="rId290" Type="http://schemas.openxmlformats.org/officeDocument/2006/relationships/hyperlink" Target="https://scryfall.com/sets/fdc" TargetMode="External"/><Relationship Id="rId3022" Type="http://schemas.openxmlformats.org/officeDocument/2006/relationships/hyperlink" Target="https://scryfall.com/sets/eve" TargetMode="External"/><Relationship Id="rId150" Type="http://schemas.openxmlformats.org/officeDocument/2006/relationships/hyperlink" Target="https://scryfall.com/sets/pfin" TargetMode="External"/><Relationship Id="rId2788" Type="http://schemas.openxmlformats.org/officeDocument/2006/relationships/hyperlink" Target="https://scryfall.com/sets/f11" TargetMode="External"/><Relationship Id="rId2995" Type="http://schemas.openxmlformats.org/officeDocument/2006/relationships/hyperlink" Target="https://scryfall.com/sets/dd2" TargetMode="External"/><Relationship Id="rId967" Type="http://schemas.openxmlformats.org/officeDocument/2006/relationships/hyperlink" Target="https://scryfall.com/sets/psvc/ja" TargetMode="External"/><Relationship Id="rId1597" Type="http://schemas.openxmlformats.org/officeDocument/2006/relationships/hyperlink" Target="https://scryfall.com/sets/pwcs" TargetMode="External"/><Relationship Id="rId2648" Type="http://schemas.openxmlformats.org/officeDocument/2006/relationships/hyperlink" Target="https://scryfall.com/sets/tdka" TargetMode="External"/><Relationship Id="rId2855" Type="http://schemas.openxmlformats.org/officeDocument/2006/relationships/hyperlink" Target="https://scryfall.com/sets/dde" TargetMode="External"/><Relationship Id="rId96" Type="http://schemas.openxmlformats.org/officeDocument/2006/relationships/hyperlink" Target="https://scryfall.com/sets/aa4" TargetMode="External"/><Relationship Id="rId827" Type="http://schemas.openxmlformats.org/officeDocument/2006/relationships/hyperlink" Target="https://scryfall.com/sets/p30t/ja" TargetMode="External"/><Relationship Id="rId1457" Type="http://schemas.openxmlformats.org/officeDocument/2006/relationships/hyperlink" Target="https://scryfall.com/sets/ajmp" TargetMode="External"/><Relationship Id="rId1664" Type="http://schemas.openxmlformats.org/officeDocument/2006/relationships/hyperlink" Target="https://scryfall.com/sets/twar" TargetMode="External"/><Relationship Id="rId1871" Type="http://schemas.openxmlformats.org/officeDocument/2006/relationships/hyperlink" Target="https://scryfall.com/sets/trix" TargetMode="External"/><Relationship Id="rId2508" Type="http://schemas.openxmlformats.org/officeDocument/2006/relationships/hyperlink" Target="https://scryfall.com/sets/tm14" TargetMode="External"/><Relationship Id="rId2715" Type="http://schemas.openxmlformats.org/officeDocument/2006/relationships/hyperlink" Target="https://scryfall.com/sets/pcmd" TargetMode="External"/><Relationship Id="rId2922" Type="http://schemas.openxmlformats.org/officeDocument/2006/relationships/hyperlink" Target="https://scryfall.com/sets/phop" TargetMode="External"/><Relationship Id="rId1317" Type="http://schemas.openxmlformats.org/officeDocument/2006/relationships/hyperlink" Target="https://scryfall.com/sets/tsr" TargetMode="External"/><Relationship Id="rId1524" Type="http://schemas.openxmlformats.org/officeDocument/2006/relationships/hyperlink" Target="https://scryfall.com/sets/thb" TargetMode="External"/><Relationship Id="rId1731" Type="http://schemas.openxmlformats.org/officeDocument/2006/relationships/hyperlink" Target="https://scryfall.com/sets/prwk" TargetMode="External"/><Relationship Id="rId23" Type="http://schemas.openxmlformats.org/officeDocument/2006/relationships/hyperlink" Target="https://scryfall.com/sets/tmc" TargetMode="External"/><Relationship Id="rId3489" Type="http://schemas.openxmlformats.org/officeDocument/2006/relationships/hyperlink" Target="https://scryfall.com/sets/btd" TargetMode="External"/><Relationship Id="rId3696" Type="http://schemas.openxmlformats.org/officeDocument/2006/relationships/hyperlink" Target="https://scryfall.com/sets/pred" TargetMode="External"/><Relationship Id="rId2298" Type="http://schemas.openxmlformats.org/officeDocument/2006/relationships/hyperlink" Target="https://scryfall.com/sets/tevg" TargetMode="External"/><Relationship Id="rId3349" Type="http://schemas.openxmlformats.org/officeDocument/2006/relationships/hyperlink" Target="https://scryfall.com/sets/pscg" TargetMode="External"/><Relationship Id="rId3556" Type="http://schemas.openxmlformats.org/officeDocument/2006/relationships/hyperlink" Target="https://scryfall.com/sets/pwor" TargetMode="External"/><Relationship Id="rId477" Type="http://schemas.openxmlformats.org/officeDocument/2006/relationships/hyperlink" Target="https://scryfall.com/sets/clu" TargetMode="External"/><Relationship Id="rId684" Type="http://schemas.openxmlformats.org/officeDocument/2006/relationships/hyperlink" Target="https://scryfall.com/sets/tmul" TargetMode="External"/><Relationship Id="rId2158" Type="http://schemas.openxmlformats.org/officeDocument/2006/relationships/hyperlink" Target="https://scryfall.com/sets/togw" TargetMode="External"/><Relationship Id="rId2365" Type="http://schemas.openxmlformats.org/officeDocument/2006/relationships/hyperlink" Target="https://scryfall.com/sets/cp1" TargetMode="External"/><Relationship Id="rId3209" Type="http://schemas.openxmlformats.org/officeDocument/2006/relationships/hyperlink" Target="https://scryfall.com/sets/g06" TargetMode="External"/><Relationship Id="rId3763" Type="http://schemas.openxmlformats.org/officeDocument/2006/relationships/hyperlink" Target="https://scryfall.com/sets/drk" TargetMode="External"/><Relationship Id="rId337" Type="http://schemas.openxmlformats.org/officeDocument/2006/relationships/hyperlink" Target="https://scryfall.com/sets/blb" TargetMode="External"/><Relationship Id="rId891" Type="http://schemas.openxmlformats.org/officeDocument/2006/relationships/hyperlink" Target="https://scryfall.com/sets/fbro" TargetMode="External"/><Relationship Id="rId2018" Type="http://schemas.openxmlformats.org/officeDocument/2006/relationships/hyperlink" Target="https://scryfall.com/sets/dds" TargetMode="External"/><Relationship Id="rId2572" Type="http://schemas.openxmlformats.org/officeDocument/2006/relationships/hyperlink" Target="https://scryfall.com/sets/cm1" TargetMode="External"/><Relationship Id="rId3416" Type="http://schemas.openxmlformats.org/officeDocument/2006/relationships/hyperlink" Target="https://scryfall.com/sets/ptor" TargetMode="External"/><Relationship Id="rId3623" Type="http://schemas.openxmlformats.org/officeDocument/2006/relationships/hyperlink" Target="https://scryfall.com/sets/tugl" TargetMode="External"/><Relationship Id="rId544" Type="http://schemas.openxmlformats.org/officeDocument/2006/relationships/hyperlink" Target="https://scryfall.com/sets/slci" TargetMode="External"/><Relationship Id="rId751" Type="http://schemas.openxmlformats.org/officeDocument/2006/relationships/hyperlink" Target="https://scryfall.com/sets/yone" TargetMode="External"/><Relationship Id="rId1174" Type="http://schemas.openxmlformats.org/officeDocument/2006/relationships/hyperlink" Target="https://scryfall.com/sets/smid" TargetMode="External"/><Relationship Id="rId1381" Type="http://schemas.openxmlformats.org/officeDocument/2006/relationships/hyperlink" Target="https://scryfall.com/sets/tcmr" TargetMode="External"/><Relationship Id="rId2225" Type="http://schemas.openxmlformats.org/officeDocument/2006/relationships/hyperlink" Target="https://scryfall.com/sets/tori" TargetMode="External"/><Relationship Id="rId2432" Type="http://schemas.openxmlformats.org/officeDocument/2006/relationships/hyperlink" Target="https://scryfall.com/sets/bng" TargetMode="External"/><Relationship Id="rId404" Type="http://schemas.openxmlformats.org/officeDocument/2006/relationships/hyperlink" Target="https://scryfall.com/sets/amh3" TargetMode="External"/><Relationship Id="rId611" Type="http://schemas.openxmlformats.org/officeDocument/2006/relationships/hyperlink" Target="https://scryfall.com/sets/tcmm" TargetMode="External"/><Relationship Id="rId1034" Type="http://schemas.openxmlformats.org/officeDocument/2006/relationships/hyperlink" Target="https://scryfall.com/sets/tsnc" TargetMode="External"/><Relationship Id="rId1241" Type="http://schemas.openxmlformats.org/officeDocument/2006/relationships/hyperlink" Target="https://scryfall.com/sets/mafr" TargetMode="External"/><Relationship Id="rId1101" Type="http://schemas.openxmlformats.org/officeDocument/2006/relationships/hyperlink" Target="https://scryfall.com/sets/tnec" TargetMode="External"/><Relationship Id="rId3066" Type="http://schemas.openxmlformats.org/officeDocument/2006/relationships/hyperlink" Target="https://scryfall.com/sets/f08" TargetMode="External"/><Relationship Id="rId3273" Type="http://schemas.openxmlformats.org/officeDocument/2006/relationships/hyperlink" Target="https://scryfall.com/sets/g05" TargetMode="External"/><Relationship Id="rId3480" Type="http://schemas.openxmlformats.org/officeDocument/2006/relationships/hyperlink" Target="https://scryfall.com/sets/f01" TargetMode="External"/><Relationship Id="rId194" Type="http://schemas.openxmlformats.org/officeDocument/2006/relationships/hyperlink" Target="https://scryfall.com/sets/ttdm" TargetMode="External"/><Relationship Id="rId1918" Type="http://schemas.openxmlformats.org/officeDocument/2006/relationships/hyperlink" Target="https://scryfall.com/sets/g17" TargetMode="External"/><Relationship Id="rId2082" Type="http://schemas.openxmlformats.org/officeDocument/2006/relationships/hyperlink" Target="https://scryfall.com/sets/oc16" TargetMode="External"/><Relationship Id="rId3133" Type="http://schemas.openxmlformats.org/officeDocument/2006/relationships/hyperlink" Target="https://scryfall.com/sets/pmps07/ja" TargetMode="External"/><Relationship Id="rId261" Type="http://schemas.openxmlformats.org/officeDocument/2006/relationships/hyperlink" Target="https://scryfall.com/sets/pspl" TargetMode="External"/><Relationship Id="rId3340" Type="http://schemas.openxmlformats.org/officeDocument/2006/relationships/hyperlink" Target="https://scryfall.com/sets/p8ed" TargetMode="External"/><Relationship Id="rId2899" Type="http://schemas.openxmlformats.org/officeDocument/2006/relationships/hyperlink" Target="https://scryfall.com/sets/tddd" TargetMode="External"/><Relationship Id="rId3200" Type="http://schemas.openxmlformats.org/officeDocument/2006/relationships/hyperlink" Target="https://scryfall.com/sets/f06" TargetMode="External"/><Relationship Id="rId121" Type="http://schemas.openxmlformats.org/officeDocument/2006/relationships/hyperlink" Target="https://scryfall.com/sets/peoe" TargetMode="External"/><Relationship Id="rId2759" Type="http://schemas.openxmlformats.org/officeDocument/2006/relationships/hyperlink" Target="https://scryfall.com/sets/pmps11" TargetMode="External"/><Relationship Id="rId2966" Type="http://schemas.openxmlformats.org/officeDocument/2006/relationships/hyperlink" Target="https://scryfall.com/sets/con" TargetMode="External"/><Relationship Id="rId938" Type="http://schemas.openxmlformats.org/officeDocument/2006/relationships/hyperlink" Target="https://scryfall.com/sets/ptdmu" TargetMode="External"/><Relationship Id="rId1568" Type="http://schemas.openxmlformats.org/officeDocument/2006/relationships/hyperlink" Target="https://scryfall.com/sets/ha1" TargetMode="External"/><Relationship Id="rId1775" Type="http://schemas.openxmlformats.org/officeDocument/2006/relationships/hyperlink" Target="https://scryfall.com/sets/pana" TargetMode="External"/><Relationship Id="rId2619" Type="http://schemas.openxmlformats.org/officeDocument/2006/relationships/hyperlink" Target="https://scryfall.com/sets/avr" TargetMode="External"/><Relationship Id="rId2826" Type="http://schemas.openxmlformats.org/officeDocument/2006/relationships/hyperlink" Target="https://scryfall.com/sets/pm11" TargetMode="External"/><Relationship Id="rId67" Type="http://schemas.openxmlformats.org/officeDocument/2006/relationships/hyperlink" Target="https://scryfall.com/sets/omb" TargetMode="External"/><Relationship Id="rId1428" Type="http://schemas.openxmlformats.org/officeDocument/2006/relationships/hyperlink" Target="https://scryfall.com/cubes/livethedream" TargetMode="External"/><Relationship Id="rId1635" Type="http://schemas.openxmlformats.org/officeDocument/2006/relationships/hyperlink" Target="https://scryfall.com/sets/ppp1" TargetMode="External"/><Relationship Id="rId1982" Type="http://schemas.openxmlformats.org/officeDocument/2006/relationships/hyperlink" Target="https://scryfall.com/sets/te01" TargetMode="External"/><Relationship Id="rId1842" Type="http://schemas.openxmlformats.org/officeDocument/2006/relationships/hyperlink" Target="https://scryfall.com/sets/ddu" TargetMode="External"/><Relationship Id="rId1702" Type="http://schemas.openxmlformats.org/officeDocument/2006/relationships/hyperlink" Target="https://scryfall.com/sets/puma" TargetMode="External"/><Relationship Id="rId3667" Type="http://schemas.openxmlformats.org/officeDocument/2006/relationships/hyperlink" Target="https://scryfall.com/sets/por" TargetMode="External"/><Relationship Id="rId588" Type="http://schemas.openxmlformats.org/officeDocument/2006/relationships/hyperlink" Target="https://scryfall.com/sets/ywoe" TargetMode="External"/><Relationship Id="rId795" Type="http://schemas.openxmlformats.org/officeDocument/2006/relationships/hyperlink" Target="https://scryfall.com/sets/ea2" TargetMode="External"/><Relationship Id="rId2269" Type="http://schemas.openxmlformats.org/officeDocument/2006/relationships/hyperlink" Target="https://scryfall.com/sets/pfrf" TargetMode="External"/><Relationship Id="rId2476" Type="http://schemas.openxmlformats.org/officeDocument/2006/relationships/hyperlink" Target="https://scryfall.com/sets/tths" TargetMode="External"/><Relationship Id="rId2683" Type="http://schemas.openxmlformats.org/officeDocument/2006/relationships/hyperlink" Target="https://scryfall.com/sets/pisd" TargetMode="External"/><Relationship Id="rId2890" Type="http://schemas.openxmlformats.org/officeDocument/2006/relationships/hyperlink" Target="https://scryfall.com/sets/h09" TargetMode="External"/><Relationship Id="rId3527" Type="http://schemas.openxmlformats.org/officeDocument/2006/relationships/hyperlink" Target="https://scryfall.com/sets/fnm" TargetMode="External"/><Relationship Id="rId3734" Type="http://schemas.openxmlformats.org/officeDocument/2006/relationships/hyperlink" Target="https://scryfall.com/sets/rin/it" TargetMode="External"/><Relationship Id="rId448" Type="http://schemas.openxmlformats.org/officeDocument/2006/relationships/hyperlink" Target="https://scryfall.com/sets/otc" TargetMode="External"/><Relationship Id="rId655" Type="http://schemas.openxmlformats.org/officeDocument/2006/relationships/hyperlink" Target="https://scryfall.com/sets/altc" TargetMode="External"/><Relationship Id="rId862" Type="http://schemas.openxmlformats.org/officeDocument/2006/relationships/hyperlink" Target="https://scryfall.com/sets/tbrc" TargetMode="External"/><Relationship Id="rId1078" Type="http://schemas.openxmlformats.org/officeDocument/2006/relationships/hyperlink" Target="https://scryfall.com/sets/pneo" TargetMode="External"/><Relationship Id="rId1285" Type="http://schemas.openxmlformats.org/officeDocument/2006/relationships/hyperlink" Target="https://scryfall.com/sets/sta" TargetMode="External"/><Relationship Id="rId1492" Type="http://schemas.openxmlformats.org/officeDocument/2006/relationships/hyperlink" Target="https://scryfall.com/sets/iko" TargetMode="External"/><Relationship Id="rId2129" Type="http://schemas.openxmlformats.org/officeDocument/2006/relationships/hyperlink" Target="https://scryfall.com/sets/ema" TargetMode="External"/><Relationship Id="rId2336" Type="http://schemas.openxmlformats.org/officeDocument/2006/relationships/hyperlink" Target="https://scryfall.com/sets/ktk" TargetMode="External"/><Relationship Id="rId2543" Type="http://schemas.openxmlformats.org/officeDocument/2006/relationships/hyperlink" Target="https://scryfall.com/sets/gtc" TargetMode="External"/><Relationship Id="rId2750" Type="http://schemas.openxmlformats.org/officeDocument/2006/relationships/hyperlink" Target="https://scryfall.com/sets/pmbs" TargetMode="External"/><Relationship Id="rId3801" Type="http://schemas.openxmlformats.org/officeDocument/2006/relationships/hyperlink" Target="https://scryfall.com/sets/2ed" TargetMode="External"/><Relationship Id="rId308" Type="http://schemas.openxmlformats.org/officeDocument/2006/relationships/hyperlink" Target="https://scryfall.com/sets/pdsk" TargetMode="External"/><Relationship Id="rId515" Type="http://schemas.openxmlformats.org/officeDocument/2006/relationships/hyperlink" Target="https://scryfall.com/sets/pf24" TargetMode="External"/><Relationship Id="rId722" Type="http://schemas.openxmlformats.org/officeDocument/2006/relationships/hyperlink" Target="https://scryfall.com/sets/sir" TargetMode="External"/><Relationship Id="rId1145" Type="http://schemas.openxmlformats.org/officeDocument/2006/relationships/hyperlink" Target="https://scryfall.com/sets/avow" TargetMode="External"/><Relationship Id="rId1352" Type="http://schemas.openxmlformats.org/officeDocument/2006/relationships/hyperlink" Target="https://scryfall.com/sets/khc" TargetMode="External"/><Relationship Id="rId2403" Type="http://schemas.openxmlformats.org/officeDocument/2006/relationships/hyperlink" Target="https://scryfall.com/sets/tmd1" TargetMode="External"/><Relationship Id="rId1005" Type="http://schemas.openxmlformats.org/officeDocument/2006/relationships/hyperlink" Target="https://scryfall.com/sets/pclb" TargetMode="External"/><Relationship Id="rId1212" Type="http://schemas.openxmlformats.org/officeDocument/2006/relationships/hyperlink" Target="https://scryfall.com/sets/pafr" TargetMode="External"/><Relationship Id="rId2610" Type="http://schemas.openxmlformats.org/officeDocument/2006/relationships/hyperlink" Target="https://scryfall.com/sets/tm13" TargetMode="External"/><Relationship Id="rId3177" Type="http://schemas.openxmlformats.org/officeDocument/2006/relationships/hyperlink" Target="https://scryfall.com/sets/pcmp" TargetMode="External"/><Relationship Id="rId3037" Type="http://schemas.openxmlformats.org/officeDocument/2006/relationships/hyperlink" Target="https://scryfall.com/sets/pshm" TargetMode="External"/><Relationship Id="rId3384" Type="http://schemas.openxmlformats.org/officeDocument/2006/relationships/hyperlink" Target="https://scryfall.com/sets/ovnt" TargetMode="External"/><Relationship Id="rId3591" Type="http://schemas.openxmlformats.org/officeDocument/2006/relationships/hyperlink" Target="https://scryfall.com/sets/pal99" TargetMode="External"/><Relationship Id="rId2193" Type="http://schemas.openxmlformats.org/officeDocument/2006/relationships/hyperlink" Target="https://scryfall.com/sets/exp" TargetMode="External"/><Relationship Id="rId3244" Type="http://schemas.openxmlformats.org/officeDocument/2006/relationships/hyperlink" Target="https://scryfall.com/sets/sok" TargetMode="External"/><Relationship Id="rId3451" Type="http://schemas.openxmlformats.org/officeDocument/2006/relationships/hyperlink" Target="https://scryfall.com/sets/psdg/ja" TargetMode="External"/><Relationship Id="rId165" Type="http://schemas.openxmlformats.org/officeDocument/2006/relationships/hyperlink" Target="https://scryfall.com/sets/fic" TargetMode="External"/><Relationship Id="rId372" Type="http://schemas.openxmlformats.org/officeDocument/2006/relationships/hyperlink" Target="https://scryfall.com/sets/tacr" TargetMode="External"/><Relationship Id="rId2053" Type="http://schemas.openxmlformats.org/officeDocument/2006/relationships/hyperlink" Target="https://scryfall.com/sets/pca" TargetMode="External"/><Relationship Id="rId2260" Type="http://schemas.openxmlformats.org/officeDocument/2006/relationships/hyperlink" Target="https://scryfall.com/sets/ddo" TargetMode="External"/><Relationship Id="rId3104" Type="http://schemas.openxmlformats.org/officeDocument/2006/relationships/hyperlink" Target="https://scryfall.com/sets/t10e" TargetMode="External"/><Relationship Id="rId3311" Type="http://schemas.openxmlformats.org/officeDocument/2006/relationships/hyperlink" Target="https://scryfall.com/sets/pal04" TargetMode="External"/><Relationship Id="rId232" Type="http://schemas.openxmlformats.org/officeDocument/2006/relationships/hyperlink" Target="https://scryfall.com/sets/ydft" TargetMode="External"/><Relationship Id="rId2120" Type="http://schemas.openxmlformats.org/officeDocument/2006/relationships/hyperlink" Target="https://scryfall.com/sets/pemn" TargetMode="External"/><Relationship Id="rId1679" Type="http://schemas.openxmlformats.org/officeDocument/2006/relationships/hyperlink" Target="https://scryfall.com/sets/rna" TargetMode="External"/><Relationship Id="rId1886" Type="http://schemas.openxmlformats.org/officeDocument/2006/relationships/hyperlink" Target="https://scryfall.com/sets/pust" TargetMode="External"/><Relationship Id="rId2937" Type="http://schemas.openxmlformats.org/officeDocument/2006/relationships/hyperlink" Target="https://scryfall.com/sets/pm10" TargetMode="External"/><Relationship Id="rId909" Type="http://schemas.openxmlformats.org/officeDocument/2006/relationships/hyperlink" Target="https://scryfall.com/sets/sunf" TargetMode="External"/><Relationship Id="rId1539" Type="http://schemas.openxmlformats.org/officeDocument/2006/relationships/hyperlink" Target="https://scryfall.com/sets/j20" TargetMode="External"/><Relationship Id="rId1746" Type="http://schemas.openxmlformats.org/officeDocument/2006/relationships/hyperlink" Target="https://scryfall.com/sets/tc18" TargetMode="External"/><Relationship Id="rId1953" Type="http://schemas.openxmlformats.org/officeDocument/2006/relationships/hyperlink" Target="https://scryfall.com/sets/tc17" TargetMode="External"/><Relationship Id="rId38" Type="http://schemas.openxmlformats.org/officeDocument/2006/relationships/hyperlink" Target="https://scryfall.com/sets/tla" TargetMode="External"/><Relationship Id="rId1606" Type="http://schemas.openxmlformats.org/officeDocument/2006/relationships/hyperlink" Target="https://scryfall.com/sets/c19" TargetMode="External"/><Relationship Id="rId1813" Type="http://schemas.openxmlformats.org/officeDocument/2006/relationships/hyperlink" Target="https://scryfall.com/sets/tcm2" TargetMode="External"/><Relationship Id="rId3778" Type="http://schemas.openxmlformats.org/officeDocument/2006/relationships/hyperlink" Target="https://scryfall.com/sets/3ed" TargetMode="External"/><Relationship Id="rId699" Type="http://schemas.openxmlformats.org/officeDocument/2006/relationships/hyperlink" Target="https://scryfall.com/sets/fmom" TargetMode="External"/><Relationship Id="rId2587" Type="http://schemas.openxmlformats.org/officeDocument/2006/relationships/hyperlink" Target="https://scryfall.com/sets/trtr" TargetMode="External"/><Relationship Id="rId2794" Type="http://schemas.openxmlformats.org/officeDocument/2006/relationships/hyperlink" Target="https://scryfall.com/sets/pd2" TargetMode="External"/><Relationship Id="rId3638" Type="http://schemas.openxmlformats.org/officeDocument/2006/relationships/hyperlink" Target="https://scryfall.com/sets/psth" TargetMode="External"/><Relationship Id="rId559" Type="http://schemas.openxmlformats.org/officeDocument/2006/relationships/hyperlink" Target="https://scryfall.com/sets/tlcc" TargetMode="External"/><Relationship Id="rId766" Type="http://schemas.openxmlformats.org/officeDocument/2006/relationships/hyperlink" Target="https://scryfall.com/sets/aone" TargetMode="External"/><Relationship Id="rId1189" Type="http://schemas.openxmlformats.org/officeDocument/2006/relationships/hyperlink" Target="https://scryfall.com/sets/amid" TargetMode="External"/><Relationship Id="rId1396" Type="http://schemas.openxmlformats.org/officeDocument/2006/relationships/hyperlink" Target="https://scryfall.com/sets/znr" TargetMode="External"/><Relationship Id="rId2447" Type="http://schemas.openxmlformats.org/officeDocument/2006/relationships/hyperlink" Target="https://scryfall.com/sets/thp2" TargetMode="External"/><Relationship Id="rId419" Type="http://schemas.openxmlformats.org/officeDocument/2006/relationships/hyperlink" Target="https://scryfall.com/sets/totp" TargetMode="External"/><Relationship Id="rId626" Type="http://schemas.openxmlformats.org/officeDocument/2006/relationships/hyperlink" Target="https://scryfall.com/sets/ha7" TargetMode="External"/><Relationship Id="rId973" Type="http://schemas.openxmlformats.org/officeDocument/2006/relationships/hyperlink" Target="https://scryfall.com/sets/ea1" TargetMode="External"/><Relationship Id="rId1049" Type="http://schemas.openxmlformats.org/officeDocument/2006/relationships/hyperlink" Target="https://scryfall.com/sets/tncc" TargetMode="External"/><Relationship Id="rId1256" Type="http://schemas.openxmlformats.org/officeDocument/2006/relationships/hyperlink" Target="https://scryfall.com/sets/pmh2" TargetMode="External"/><Relationship Id="rId2307" Type="http://schemas.openxmlformats.org/officeDocument/2006/relationships/hyperlink" Target="https://scryfall.com/sets/tgvl" TargetMode="External"/><Relationship Id="rId2654" Type="http://schemas.openxmlformats.org/officeDocument/2006/relationships/hyperlink" Target="https://scryfall.com/sets/pdp13" TargetMode="External"/><Relationship Id="rId2861" Type="http://schemas.openxmlformats.org/officeDocument/2006/relationships/hyperlink" Target="https://scryfall.com/sets/wwk" TargetMode="External"/><Relationship Id="rId3705" Type="http://schemas.openxmlformats.org/officeDocument/2006/relationships/hyperlink" Target="https://scryfall.com/sets/parl" TargetMode="External"/><Relationship Id="rId833" Type="http://schemas.openxmlformats.org/officeDocument/2006/relationships/hyperlink" Target="https://scryfall.com/sets/p30m" TargetMode="External"/><Relationship Id="rId1116" Type="http://schemas.openxmlformats.org/officeDocument/2006/relationships/hyperlink" Target="https://scryfall.com/sets/dbl" TargetMode="External"/><Relationship Id="rId1463" Type="http://schemas.openxmlformats.org/officeDocument/2006/relationships/hyperlink" Target="https://scryfall.com/sets/fjmp" TargetMode="External"/><Relationship Id="rId1670" Type="http://schemas.openxmlformats.org/officeDocument/2006/relationships/hyperlink" Target="https://scryfall.com/sets/j19" TargetMode="External"/><Relationship Id="rId2514" Type="http://schemas.openxmlformats.org/officeDocument/2006/relationships/hyperlink" Target="https://scryfall.com/sets/mma" TargetMode="External"/><Relationship Id="rId2721" Type="http://schemas.openxmlformats.org/officeDocument/2006/relationships/hyperlink" Target="https://scryfall.com/sets/ocmd" TargetMode="External"/><Relationship Id="rId900" Type="http://schemas.openxmlformats.org/officeDocument/2006/relationships/hyperlink" Target="https://scryfall.com/sets/unf" TargetMode="External"/><Relationship Id="rId1323" Type="http://schemas.openxmlformats.org/officeDocument/2006/relationships/hyperlink" Target="https://scryfall.com/sets/ptsr" TargetMode="External"/><Relationship Id="rId1530" Type="http://schemas.openxmlformats.org/officeDocument/2006/relationships/hyperlink" Target="https://scryfall.com/sets/pthb" TargetMode="External"/><Relationship Id="rId3288" Type="http://schemas.openxmlformats.org/officeDocument/2006/relationships/hyperlink" Target="https://scryfall.com/sets/pchk" TargetMode="External"/><Relationship Id="rId3495" Type="http://schemas.openxmlformats.org/officeDocument/2006/relationships/hyperlink" Target="https://scryfall.com/sets/wc00" TargetMode="External"/><Relationship Id="rId2097" Type="http://schemas.openxmlformats.org/officeDocument/2006/relationships/hyperlink" Target="https://scryfall.com/sets/pkld" TargetMode="External"/><Relationship Id="rId3148" Type="http://schemas.openxmlformats.org/officeDocument/2006/relationships/hyperlink" Target="https://scryfall.com/sets/hho" TargetMode="External"/><Relationship Id="rId3355" Type="http://schemas.openxmlformats.org/officeDocument/2006/relationships/hyperlink" Target="https://scryfall.com/sets/plgn" TargetMode="External"/><Relationship Id="rId3562" Type="http://schemas.openxmlformats.org/officeDocument/2006/relationships/hyperlink" Target="https://scryfall.com/sets/s99" TargetMode="External"/><Relationship Id="rId276" Type="http://schemas.openxmlformats.org/officeDocument/2006/relationships/hyperlink" Target="https://scryfall.com/sets/fdn" TargetMode="External"/><Relationship Id="rId483" Type="http://schemas.openxmlformats.org/officeDocument/2006/relationships/hyperlink" Target="https://scryfall.com/sets/fclu" TargetMode="External"/><Relationship Id="rId690" Type="http://schemas.openxmlformats.org/officeDocument/2006/relationships/hyperlink" Target="https://scryfall.com/sets/pmom" TargetMode="External"/><Relationship Id="rId2164" Type="http://schemas.openxmlformats.org/officeDocument/2006/relationships/hyperlink" Target="https://scryfall.com/sets/l16" TargetMode="External"/><Relationship Id="rId2371" Type="http://schemas.openxmlformats.org/officeDocument/2006/relationships/hyperlink" Target="https://scryfall.com/sets/ppc1" TargetMode="External"/><Relationship Id="rId3008" Type="http://schemas.openxmlformats.org/officeDocument/2006/relationships/hyperlink" Target="https://scryfall.com/sets/pala" TargetMode="External"/><Relationship Id="rId3215" Type="http://schemas.openxmlformats.org/officeDocument/2006/relationships/hyperlink" Target="https://scryfall.com/sets/p06" TargetMode="External"/><Relationship Id="rId3422" Type="http://schemas.openxmlformats.org/officeDocument/2006/relationships/hyperlink" Target="https://scryfall.com/sets/pr2" TargetMode="External"/><Relationship Id="rId136" Type="http://schemas.openxmlformats.org/officeDocument/2006/relationships/hyperlink" Target="https://scryfall.com/sets/eoc" TargetMode="External"/><Relationship Id="rId343" Type="http://schemas.openxmlformats.org/officeDocument/2006/relationships/hyperlink" Target="https://scryfall.com/sets/tblb" TargetMode="External"/><Relationship Id="rId550" Type="http://schemas.openxmlformats.org/officeDocument/2006/relationships/hyperlink" Target="https://scryfall.com/sets/rex" TargetMode="External"/><Relationship Id="rId1180" Type="http://schemas.openxmlformats.org/officeDocument/2006/relationships/hyperlink" Target="https://scryfall.com/sets/mic" TargetMode="External"/><Relationship Id="rId2024" Type="http://schemas.openxmlformats.org/officeDocument/2006/relationships/hyperlink" Target="https://scryfall.com/sets/mm3" TargetMode="External"/><Relationship Id="rId2231" Type="http://schemas.openxmlformats.org/officeDocument/2006/relationships/hyperlink" Target="https://scryfall.com/sets/ps15" TargetMode="External"/><Relationship Id="rId203" Type="http://schemas.openxmlformats.org/officeDocument/2006/relationships/hyperlink" Target="https://scryfall.com/sets/tdc" TargetMode="External"/><Relationship Id="rId1040" Type="http://schemas.openxmlformats.org/officeDocument/2006/relationships/hyperlink" Target="https://scryfall.com/sets/ysnc" TargetMode="External"/><Relationship Id="rId410" Type="http://schemas.openxmlformats.org/officeDocument/2006/relationships/hyperlink" Target="https://scryfall.com/sets/h2r" TargetMode="External"/><Relationship Id="rId1997" Type="http://schemas.openxmlformats.org/officeDocument/2006/relationships/hyperlink" Target="https://scryfall.com/sets/akh" TargetMode="External"/><Relationship Id="rId1857" Type="http://schemas.openxmlformats.org/officeDocument/2006/relationships/hyperlink" Target="https://scryfall.com/sets/plny" TargetMode="External"/><Relationship Id="rId2908" Type="http://schemas.openxmlformats.org/officeDocument/2006/relationships/hyperlink" Target="https://scryfall.com/sets/tzen" TargetMode="External"/><Relationship Id="rId1717" Type="http://schemas.openxmlformats.org/officeDocument/2006/relationships/hyperlink" Target="https://scryfall.com/sets/tgk1" TargetMode="External"/><Relationship Id="rId1924" Type="http://schemas.openxmlformats.org/officeDocument/2006/relationships/hyperlink" Target="https://scryfall.com/sets/pxln" TargetMode="External"/><Relationship Id="rId3072" Type="http://schemas.openxmlformats.org/officeDocument/2006/relationships/hyperlink" Target="https://scryfall.com/sets/g08" TargetMode="External"/><Relationship Id="rId298" Type="http://schemas.openxmlformats.org/officeDocument/2006/relationships/hyperlink" Target="https://scryfall.com/sets/fj25" TargetMode="External"/><Relationship Id="rId3584" Type="http://schemas.openxmlformats.org/officeDocument/2006/relationships/hyperlink" Target="https://scryfall.com/sets/ulg" TargetMode="External"/><Relationship Id="rId3791" Type="http://schemas.openxmlformats.org/officeDocument/2006/relationships/hyperlink" Target="https://scryfall.com/sets/cei" TargetMode="External"/><Relationship Id="rId158" Type="http://schemas.openxmlformats.org/officeDocument/2006/relationships/hyperlink" Target="https://scryfall.com/sets/rfin" TargetMode="External"/><Relationship Id="rId2186" Type="http://schemas.openxmlformats.org/officeDocument/2006/relationships/hyperlink" Target="https://scryfall.com/sets/oc15" TargetMode="External"/><Relationship Id="rId2393" Type="http://schemas.openxmlformats.org/officeDocument/2006/relationships/hyperlink" Target="https://scryfall.com/sets/tcns" TargetMode="External"/><Relationship Id="rId2698" Type="http://schemas.openxmlformats.org/officeDocument/2006/relationships/hyperlink" Target="https://scryfall.com/sets/v11" TargetMode="External"/><Relationship Id="rId3237" Type="http://schemas.openxmlformats.org/officeDocument/2006/relationships/hyperlink" Target="https://scryfall.com/sets/9ed" TargetMode="External"/><Relationship Id="rId3444" Type="http://schemas.openxmlformats.org/officeDocument/2006/relationships/hyperlink" Target="https://scryfall.com/sets/wc01" TargetMode="External"/><Relationship Id="rId3651" Type="http://schemas.openxmlformats.org/officeDocument/2006/relationships/hyperlink" Target="https://scryfall.com/sets/ptmp" TargetMode="External"/><Relationship Id="rId365" Type="http://schemas.openxmlformats.org/officeDocument/2006/relationships/hyperlink" Target="https://scryfall.com/sets/pcbb" TargetMode="External"/><Relationship Id="rId572" Type="http://schemas.openxmlformats.org/officeDocument/2006/relationships/hyperlink" Target="https://scryfall.com/sets/pmda/ja" TargetMode="External"/><Relationship Id="rId2046" Type="http://schemas.openxmlformats.org/officeDocument/2006/relationships/hyperlink" Target="https://scryfall.com/sets/f17" TargetMode="External"/><Relationship Id="rId2253" Type="http://schemas.openxmlformats.org/officeDocument/2006/relationships/hyperlink" Target="https://scryfall.com/sets/tdtk" TargetMode="External"/><Relationship Id="rId2460" Type="http://schemas.openxmlformats.org/officeDocument/2006/relationships/hyperlink" Target="https://scryfall.com/sets/f14" TargetMode="External"/><Relationship Id="rId3304" Type="http://schemas.openxmlformats.org/officeDocument/2006/relationships/hyperlink" Target="https://scryfall.com/sets/dst" TargetMode="External"/><Relationship Id="rId3511" Type="http://schemas.openxmlformats.org/officeDocument/2006/relationships/hyperlink" Target="https://scryfall.com/sets/pnem" TargetMode="External"/><Relationship Id="rId3749" Type="http://schemas.openxmlformats.org/officeDocument/2006/relationships/hyperlink" Target="https://scryfall.com/sets/4bb" TargetMode="External"/><Relationship Id="rId225" Type="http://schemas.openxmlformats.org/officeDocument/2006/relationships/hyperlink" Target="https://scryfall.com/sets/tdft" TargetMode="External"/><Relationship Id="rId432" Type="http://schemas.openxmlformats.org/officeDocument/2006/relationships/hyperlink" Target="https://scryfall.com/sets/yotj" TargetMode="External"/><Relationship Id="rId877" Type="http://schemas.openxmlformats.org/officeDocument/2006/relationships/hyperlink" Target="https://scryfall.com/sets/sbro" TargetMode="External"/><Relationship Id="rId1062" Type="http://schemas.openxmlformats.org/officeDocument/2006/relationships/hyperlink" Target="https://scryfall.com/sets/gdy" TargetMode="External"/><Relationship Id="rId2113" Type="http://schemas.openxmlformats.org/officeDocument/2006/relationships/hyperlink" Target="https://scryfall.com/sets/v16" TargetMode="External"/><Relationship Id="rId2320" Type="http://schemas.openxmlformats.org/officeDocument/2006/relationships/hyperlink" Target="https://scryfall.com/sets/dvd" TargetMode="External"/><Relationship Id="rId2558" Type="http://schemas.openxmlformats.org/officeDocument/2006/relationships/hyperlink" Target="https://scryfall.com/sets/l13" TargetMode="External"/><Relationship Id="rId2765" Type="http://schemas.openxmlformats.org/officeDocument/2006/relationships/hyperlink" Target="https://scryfall.com/sets/pw11" TargetMode="External"/><Relationship Id="rId2972" Type="http://schemas.openxmlformats.org/officeDocument/2006/relationships/hyperlink" Target="https://scryfall.com/sets/tcon" TargetMode="External"/><Relationship Id="rId3609" Type="http://schemas.openxmlformats.org/officeDocument/2006/relationships/hyperlink" Target="https://scryfall.com/sets/palp" TargetMode="External"/><Relationship Id="rId737" Type="http://schemas.openxmlformats.org/officeDocument/2006/relationships/hyperlink" Target="https://scryfall.com/sets/pl23" TargetMode="External"/><Relationship Id="rId944" Type="http://schemas.openxmlformats.org/officeDocument/2006/relationships/hyperlink" Target="https://scryfall.com/sets/fdmu" TargetMode="External"/><Relationship Id="rId1367" Type="http://schemas.openxmlformats.org/officeDocument/2006/relationships/hyperlink" Target="https://scryfall.com/sets/pj21" TargetMode="External"/><Relationship Id="rId1574" Type="http://schemas.openxmlformats.org/officeDocument/2006/relationships/hyperlink" Target="https://scryfall.com/sets/tgn2" TargetMode="External"/><Relationship Id="rId1781" Type="http://schemas.openxmlformats.org/officeDocument/2006/relationships/hyperlink" Target="https://scryfall.com/sets/m19" TargetMode="External"/><Relationship Id="rId2418" Type="http://schemas.openxmlformats.org/officeDocument/2006/relationships/hyperlink" Target="https://scryfall.com/sets/tdag" TargetMode="External"/><Relationship Id="rId2625" Type="http://schemas.openxmlformats.org/officeDocument/2006/relationships/hyperlink" Target="https://scryfall.com/sets/tavr" TargetMode="External"/><Relationship Id="rId2832" Type="http://schemas.openxmlformats.org/officeDocument/2006/relationships/hyperlink" Target="https://scryfall.com/sets/arc" TargetMode="External"/><Relationship Id="rId73" Type="http://schemas.openxmlformats.org/officeDocument/2006/relationships/hyperlink" Target="https://scryfall.com/sets/lmar" TargetMode="External"/><Relationship Id="rId804" Type="http://schemas.openxmlformats.org/officeDocument/2006/relationships/hyperlink" Target="https://scryfall.com/sets/tscd" TargetMode="External"/><Relationship Id="rId1227" Type="http://schemas.openxmlformats.org/officeDocument/2006/relationships/hyperlink" Target="https://scryfall.com/sets/aafr" TargetMode="External"/><Relationship Id="rId1434" Type="http://schemas.openxmlformats.org/officeDocument/2006/relationships/hyperlink" Target="https://scryfall.com/sets/akr" TargetMode="External"/><Relationship Id="rId1641" Type="http://schemas.openxmlformats.org/officeDocument/2006/relationships/hyperlink" Target="https://scryfall.com/sets/ss2" TargetMode="External"/><Relationship Id="rId1879" Type="http://schemas.openxmlformats.org/officeDocument/2006/relationships/hyperlink" Target="https://scryfall.com/sets/f18" TargetMode="External"/><Relationship Id="rId3094" Type="http://schemas.openxmlformats.org/officeDocument/2006/relationships/hyperlink" Target="https://scryfall.com/sets/me1" TargetMode="External"/><Relationship Id="rId1501" Type="http://schemas.openxmlformats.org/officeDocument/2006/relationships/hyperlink" Target="https://scryfall.com/sets/c20" TargetMode="External"/><Relationship Id="rId1739" Type="http://schemas.openxmlformats.org/officeDocument/2006/relationships/hyperlink" Target="https://scryfall.com/sets/tmed" TargetMode="External"/><Relationship Id="rId1946" Type="http://schemas.openxmlformats.org/officeDocument/2006/relationships/hyperlink" Target="https://scryfall.com/cubes/modern" TargetMode="External"/><Relationship Id="rId3399" Type="http://schemas.openxmlformats.org/officeDocument/2006/relationships/hyperlink" Target="https://scryfall.com/sets/jp1" TargetMode="External"/><Relationship Id="rId1806" Type="http://schemas.openxmlformats.org/officeDocument/2006/relationships/hyperlink" Target="https://scryfall.com/cubes/vintage" TargetMode="External"/><Relationship Id="rId3161" Type="http://schemas.openxmlformats.org/officeDocument/2006/relationships/hyperlink" Target="https://scryfall.com/sets/csp" TargetMode="External"/><Relationship Id="rId3259" Type="http://schemas.openxmlformats.org/officeDocument/2006/relationships/hyperlink" Target="https://scryfall.com/sets/pal05" TargetMode="External"/><Relationship Id="rId3466" Type="http://schemas.openxmlformats.org/officeDocument/2006/relationships/hyperlink" Target="https://scryfall.com/sets/ppls" TargetMode="External"/><Relationship Id="rId387" Type="http://schemas.openxmlformats.org/officeDocument/2006/relationships/hyperlink" Target="https://scryfall.com/sets/pmh3" TargetMode="External"/><Relationship Id="rId594" Type="http://schemas.openxmlformats.org/officeDocument/2006/relationships/hyperlink" Target="https://scryfall.com/sets/twoc" TargetMode="External"/><Relationship Id="rId2068" Type="http://schemas.openxmlformats.org/officeDocument/2006/relationships/hyperlink" Target="https://scryfall.com/sets/pz2" TargetMode="External"/><Relationship Id="rId2275" Type="http://schemas.openxmlformats.org/officeDocument/2006/relationships/hyperlink" Target="https://scryfall.com/sets/cp2" TargetMode="External"/><Relationship Id="rId3021" Type="http://schemas.openxmlformats.org/officeDocument/2006/relationships/hyperlink" Target="https://scryfall.com/sets/eve" TargetMode="External"/><Relationship Id="rId3119" Type="http://schemas.openxmlformats.org/officeDocument/2006/relationships/hyperlink" Target="https://scryfall.com/sets/ppro" TargetMode="External"/><Relationship Id="rId3326" Type="http://schemas.openxmlformats.org/officeDocument/2006/relationships/hyperlink" Target="https://scryfall.com/sets/mrd" TargetMode="External"/><Relationship Id="rId3673" Type="http://schemas.openxmlformats.org/officeDocument/2006/relationships/hyperlink" Target="https://scryfall.com/sets/past" TargetMode="External"/><Relationship Id="rId247" Type="http://schemas.openxmlformats.org/officeDocument/2006/relationships/hyperlink" Target="https://scryfall.com/sets/pjsc/ja" TargetMode="External"/><Relationship Id="rId899" Type="http://schemas.openxmlformats.org/officeDocument/2006/relationships/hyperlink" Target="https://scryfall.com/sets/unf" TargetMode="External"/><Relationship Id="rId1084" Type="http://schemas.openxmlformats.org/officeDocument/2006/relationships/hyperlink" Target="https://scryfall.com/sets/tneo" TargetMode="External"/><Relationship Id="rId2482" Type="http://schemas.openxmlformats.org/officeDocument/2006/relationships/hyperlink" Target="https://scryfall.com/sets/tfth" TargetMode="External"/><Relationship Id="rId2787" Type="http://schemas.openxmlformats.org/officeDocument/2006/relationships/hyperlink" Target="https://scryfall.com/sets/f11" TargetMode="External"/><Relationship Id="rId3533" Type="http://schemas.openxmlformats.org/officeDocument/2006/relationships/hyperlink" Target="https://scryfall.com/sets/psus" TargetMode="External"/><Relationship Id="rId3740" Type="http://schemas.openxmlformats.org/officeDocument/2006/relationships/hyperlink" Target="https://scryfall.com/sets/bchr" TargetMode="External"/><Relationship Id="rId107" Type="http://schemas.openxmlformats.org/officeDocument/2006/relationships/hyperlink" Target="https://scryfall.com/sets/aa2" TargetMode="External"/><Relationship Id="rId454" Type="http://schemas.openxmlformats.org/officeDocument/2006/relationships/hyperlink" Target="https://scryfall.com/sets/totc" TargetMode="External"/><Relationship Id="rId661" Type="http://schemas.openxmlformats.org/officeDocument/2006/relationships/hyperlink" Target="https://scryfall.com/sets/altr" TargetMode="External"/><Relationship Id="rId759" Type="http://schemas.openxmlformats.org/officeDocument/2006/relationships/hyperlink" Target="https://scryfall.com/sets/tonc" TargetMode="External"/><Relationship Id="rId966" Type="http://schemas.openxmlformats.org/officeDocument/2006/relationships/hyperlink" Target="https://scryfall.com/sets/psvc" TargetMode="External"/><Relationship Id="rId1291" Type="http://schemas.openxmlformats.org/officeDocument/2006/relationships/hyperlink" Target="https://scryfall.com/sets/tstx" TargetMode="External"/><Relationship Id="rId1389" Type="http://schemas.openxmlformats.org/officeDocument/2006/relationships/hyperlink" Target="https://scryfall.com/sets/plst" TargetMode="External"/><Relationship Id="rId1596" Type="http://schemas.openxmlformats.org/officeDocument/2006/relationships/hyperlink" Target="https://scryfall.com/sets/teld" TargetMode="External"/><Relationship Id="rId2135" Type="http://schemas.openxmlformats.org/officeDocument/2006/relationships/hyperlink" Target="https://scryfall.com/sets/soi" TargetMode="External"/><Relationship Id="rId2342" Type="http://schemas.openxmlformats.org/officeDocument/2006/relationships/hyperlink" Target="https://scryfall.com/sets/pktk" TargetMode="External"/><Relationship Id="rId2647" Type="http://schemas.openxmlformats.org/officeDocument/2006/relationships/hyperlink" Target="https://scryfall.com/sets/tdka" TargetMode="External"/><Relationship Id="rId2994" Type="http://schemas.openxmlformats.org/officeDocument/2006/relationships/hyperlink" Target="https://scryfall.com/sets/g09" TargetMode="External"/><Relationship Id="rId3600" Type="http://schemas.openxmlformats.org/officeDocument/2006/relationships/hyperlink" Target="https://scryfall.com/sets/ath" TargetMode="External"/><Relationship Id="rId314" Type="http://schemas.openxmlformats.org/officeDocument/2006/relationships/hyperlink" Target="https://scryfall.com/sets/ydsk" TargetMode="External"/><Relationship Id="rId521" Type="http://schemas.openxmlformats.org/officeDocument/2006/relationships/hyperlink" Target="https://scryfall.com/sets/spg" TargetMode="External"/><Relationship Id="rId619" Type="http://schemas.openxmlformats.org/officeDocument/2006/relationships/hyperlink" Target="https://scryfall.com/sets/ph22" TargetMode="External"/><Relationship Id="rId1151" Type="http://schemas.openxmlformats.org/officeDocument/2006/relationships/hyperlink" Target="https://scryfall.com/sets/tvoc" TargetMode="External"/><Relationship Id="rId1249" Type="http://schemas.openxmlformats.org/officeDocument/2006/relationships/hyperlink" Target="https://scryfall.com/sets/pw21" TargetMode="External"/><Relationship Id="rId2202" Type="http://schemas.openxmlformats.org/officeDocument/2006/relationships/hyperlink" Target="https://scryfall.com/sets/tbfz" TargetMode="External"/><Relationship Id="rId2854" Type="http://schemas.openxmlformats.org/officeDocument/2006/relationships/hyperlink" Target="https://scryfall.com/sets/dde" TargetMode="External"/><Relationship Id="rId95" Type="http://schemas.openxmlformats.org/officeDocument/2006/relationships/hyperlink" Target="https://scryfall.com/sets/aa4" TargetMode="External"/><Relationship Id="rId826" Type="http://schemas.openxmlformats.org/officeDocument/2006/relationships/hyperlink" Target="https://scryfall.com/sets/p30t" TargetMode="External"/><Relationship Id="rId1011" Type="http://schemas.openxmlformats.org/officeDocument/2006/relationships/hyperlink" Target="https://scryfall.com/sets/mclb" TargetMode="External"/><Relationship Id="rId1109" Type="http://schemas.openxmlformats.org/officeDocument/2006/relationships/hyperlink" Target="https://scryfall.com/sets/cc2" TargetMode="External"/><Relationship Id="rId1456" Type="http://schemas.openxmlformats.org/officeDocument/2006/relationships/hyperlink" Target="https://scryfall.com/sets/ajmp" TargetMode="External"/><Relationship Id="rId1663" Type="http://schemas.openxmlformats.org/officeDocument/2006/relationships/hyperlink" Target="https://scryfall.com/sets/twar" TargetMode="External"/><Relationship Id="rId1870" Type="http://schemas.openxmlformats.org/officeDocument/2006/relationships/hyperlink" Target="https://scryfall.com/sets/trix" TargetMode="External"/><Relationship Id="rId1968" Type="http://schemas.openxmlformats.org/officeDocument/2006/relationships/hyperlink" Target="https://scryfall.com/sets/phou" TargetMode="External"/><Relationship Id="rId2507" Type="http://schemas.openxmlformats.org/officeDocument/2006/relationships/hyperlink" Target="https://scryfall.com/sets/tm14" TargetMode="External"/><Relationship Id="rId2714" Type="http://schemas.openxmlformats.org/officeDocument/2006/relationships/hyperlink" Target="https://scryfall.com/sets/pcmd" TargetMode="External"/><Relationship Id="rId2921" Type="http://schemas.openxmlformats.org/officeDocument/2006/relationships/hyperlink" Target="https://scryfall.com/sets/phop" TargetMode="External"/><Relationship Id="rId1316" Type="http://schemas.openxmlformats.org/officeDocument/2006/relationships/hyperlink" Target="https://scryfall.com/sets/oc21" TargetMode="External"/><Relationship Id="rId1523" Type="http://schemas.openxmlformats.org/officeDocument/2006/relationships/hyperlink" Target="https://scryfall.com/sets/tund" TargetMode="External"/><Relationship Id="rId1730" Type="http://schemas.openxmlformats.org/officeDocument/2006/relationships/hyperlink" Target="https://scryfall.com/sets/prwk" TargetMode="External"/><Relationship Id="rId3183" Type="http://schemas.openxmlformats.org/officeDocument/2006/relationships/hyperlink" Target="https://scryfall.com/sets/gpt" TargetMode="External"/><Relationship Id="rId3390" Type="http://schemas.openxmlformats.org/officeDocument/2006/relationships/hyperlink" Target="https://scryfall.com/sets/ons" TargetMode="External"/><Relationship Id="rId22" Type="http://schemas.openxmlformats.org/officeDocument/2006/relationships/hyperlink" Target="https://scryfall.com/sets/tmc" TargetMode="External"/><Relationship Id="rId1828" Type="http://schemas.openxmlformats.org/officeDocument/2006/relationships/hyperlink" Target="https://scryfall.com/cubes/uncommon" TargetMode="External"/><Relationship Id="rId3043" Type="http://schemas.openxmlformats.org/officeDocument/2006/relationships/hyperlink" Target="https://scryfall.com/sets/p15a" TargetMode="External"/><Relationship Id="rId3250" Type="http://schemas.openxmlformats.org/officeDocument/2006/relationships/hyperlink" Target="https://scryfall.com/sets/bok" TargetMode="External"/><Relationship Id="rId3488" Type="http://schemas.openxmlformats.org/officeDocument/2006/relationships/hyperlink" Target="https://scryfall.com/sets/pinv" TargetMode="External"/><Relationship Id="rId3695" Type="http://schemas.openxmlformats.org/officeDocument/2006/relationships/hyperlink" Target="https://scryfall.com/sets/pred" TargetMode="External"/><Relationship Id="rId171" Type="http://schemas.openxmlformats.org/officeDocument/2006/relationships/hyperlink" Target="https://scryfall.com/sets/tfic" TargetMode="External"/><Relationship Id="rId2297" Type="http://schemas.openxmlformats.org/officeDocument/2006/relationships/hyperlink" Target="https://scryfall.com/sets/tevg" TargetMode="External"/><Relationship Id="rId3348" Type="http://schemas.openxmlformats.org/officeDocument/2006/relationships/hyperlink" Target="https://scryfall.com/sets/pscg" TargetMode="External"/><Relationship Id="rId3555" Type="http://schemas.openxmlformats.org/officeDocument/2006/relationships/hyperlink" Target="https://scryfall.com/sets/pwor" TargetMode="External"/><Relationship Id="rId3762" Type="http://schemas.openxmlformats.org/officeDocument/2006/relationships/hyperlink" Target="https://scryfall.com/sets/drk" TargetMode="External"/><Relationship Id="rId269" Type="http://schemas.openxmlformats.org/officeDocument/2006/relationships/hyperlink" Target="https://scryfall.com/sets/pw25" TargetMode="External"/><Relationship Id="rId476" Type="http://schemas.openxmlformats.org/officeDocument/2006/relationships/hyperlink" Target="https://scryfall.com/sets/ymkm" TargetMode="External"/><Relationship Id="rId683" Type="http://schemas.openxmlformats.org/officeDocument/2006/relationships/hyperlink" Target="https://scryfall.com/sets/mul" TargetMode="External"/><Relationship Id="rId890" Type="http://schemas.openxmlformats.org/officeDocument/2006/relationships/hyperlink" Target="https://scryfall.com/sets/fbro" TargetMode="External"/><Relationship Id="rId2157" Type="http://schemas.openxmlformats.org/officeDocument/2006/relationships/hyperlink" Target="https://scryfall.com/sets/pogw" TargetMode="External"/><Relationship Id="rId2364" Type="http://schemas.openxmlformats.org/officeDocument/2006/relationships/hyperlink" Target="https://scryfall.com/sets/tm15" TargetMode="External"/><Relationship Id="rId2571" Type="http://schemas.openxmlformats.org/officeDocument/2006/relationships/hyperlink" Target="https://scryfall.com/sets/cm1" TargetMode="External"/><Relationship Id="rId3110" Type="http://schemas.openxmlformats.org/officeDocument/2006/relationships/hyperlink" Target="https://scryfall.com/sets/fut" TargetMode="External"/><Relationship Id="rId3208" Type="http://schemas.openxmlformats.org/officeDocument/2006/relationships/hyperlink" Target="https://scryfall.com/sets/g06" TargetMode="External"/><Relationship Id="rId3415" Type="http://schemas.openxmlformats.org/officeDocument/2006/relationships/hyperlink" Target="https://scryfall.com/sets/ptor" TargetMode="External"/><Relationship Id="rId129" Type="http://schemas.openxmlformats.org/officeDocument/2006/relationships/hyperlink" Target="https://scryfall.com/sets/yeoe" TargetMode="External"/><Relationship Id="rId336" Type="http://schemas.openxmlformats.org/officeDocument/2006/relationships/hyperlink" Target="https://scryfall.com/sets/blb" TargetMode="External"/><Relationship Id="rId543" Type="http://schemas.openxmlformats.org/officeDocument/2006/relationships/hyperlink" Target="https://scryfall.com/sets/alci" TargetMode="External"/><Relationship Id="rId988" Type="http://schemas.openxmlformats.org/officeDocument/2006/relationships/hyperlink" Target="https://scryfall.com/sets/t2x2" TargetMode="External"/><Relationship Id="rId1173" Type="http://schemas.openxmlformats.org/officeDocument/2006/relationships/hyperlink" Target="https://scryfall.com/sets/tmid" TargetMode="External"/><Relationship Id="rId1380" Type="http://schemas.openxmlformats.org/officeDocument/2006/relationships/hyperlink" Target="https://scryfall.com/sets/tcmr" TargetMode="External"/><Relationship Id="rId2017" Type="http://schemas.openxmlformats.org/officeDocument/2006/relationships/hyperlink" Target="https://scryfall.com/sets/dds" TargetMode="External"/><Relationship Id="rId2224" Type="http://schemas.openxmlformats.org/officeDocument/2006/relationships/hyperlink" Target="https://scryfall.com/sets/tori" TargetMode="External"/><Relationship Id="rId2669" Type="http://schemas.openxmlformats.org/officeDocument/2006/relationships/hyperlink" Target="https://scryfall.com/sets/j12" TargetMode="External"/><Relationship Id="rId2876" Type="http://schemas.openxmlformats.org/officeDocument/2006/relationships/hyperlink" Target="https://scryfall.com/sets/pmps10" TargetMode="External"/><Relationship Id="rId3622" Type="http://schemas.openxmlformats.org/officeDocument/2006/relationships/hyperlink" Target="https://scryfall.com/sets/tugl" TargetMode="External"/><Relationship Id="rId403" Type="http://schemas.openxmlformats.org/officeDocument/2006/relationships/hyperlink" Target="https://scryfall.com/sets/amh3" TargetMode="External"/><Relationship Id="rId750" Type="http://schemas.openxmlformats.org/officeDocument/2006/relationships/hyperlink" Target="https://scryfall.com/sets/yone" TargetMode="External"/><Relationship Id="rId848" Type="http://schemas.openxmlformats.org/officeDocument/2006/relationships/hyperlink" Target="https://scryfall.com/sets/pbro" TargetMode="External"/><Relationship Id="rId1033" Type="http://schemas.openxmlformats.org/officeDocument/2006/relationships/hyperlink" Target="https://scryfall.com/sets/tsnc" TargetMode="External"/><Relationship Id="rId1478" Type="http://schemas.openxmlformats.org/officeDocument/2006/relationships/hyperlink" Target="https://scryfall.com/sets/ss3" TargetMode="External"/><Relationship Id="rId1685" Type="http://schemas.openxmlformats.org/officeDocument/2006/relationships/hyperlink" Target="https://scryfall.com/sets/trna" TargetMode="External"/><Relationship Id="rId1892" Type="http://schemas.openxmlformats.org/officeDocument/2006/relationships/hyperlink" Target="https://scryfall.com/sets/tust" TargetMode="External"/><Relationship Id="rId2431" Type="http://schemas.openxmlformats.org/officeDocument/2006/relationships/hyperlink" Target="https://scryfall.com/sets/bng" TargetMode="External"/><Relationship Id="rId2529" Type="http://schemas.openxmlformats.org/officeDocument/2006/relationships/hyperlink" Target="https://scryfall.com/sets/tdgm" TargetMode="External"/><Relationship Id="rId2736" Type="http://schemas.openxmlformats.org/officeDocument/2006/relationships/hyperlink" Target="https://scryfall.com/sets/tnph" TargetMode="External"/><Relationship Id="rId610" Type="http://schemas.openxmlformats.org/officeDocument/2006/relationships/hyperlink" Target="https://scryfall.com/sets/tcmm" TargetMode="External"/><Relationship Id="rId708" Type="http://schemas.openxmlformats.org/officeDocument/2006/relationships/hyperlink" Target="https://scryfall.com/sets/wmom" TargetMode="External"/><Relationship Id="rId915" Type="http://schemas.openxmlformats.org/officeDocument/2006/relationships/hyperlink" Target="https://scryfall.com/sets/t40k" TargetMode="External"/><Relationship Id="rId1240" Type="http://schemas.openxmlformats.org/officeDocument/2006/relationships/hyperlink" Target="https://scryfall.com/sets/mafr" TargetMode="External"/><Relationship Id="rId1338" Type="http://schemas.openxmlformats.org/officeDocument/2006/relationships/hyperlink" Target="https://scryfall.com/sets/tkhm" TargetMode="External"/><Relationship Id="rId1545" Type="http://schemas.openxmlformats.org/officeDocument/2006/relationships/hyperlink" Target="https://scryfall.com/sets/sld" TargetMode="External"/><Relationship Id="rId2943" Type="http://schemas.openxmlformats.org/officeDocument/2006/relationships/hyperlink" Target="https://scryfall.com/sets/arb" TargetMode="External"/><Relationship Id="rId1100" Type="http://schemas.openxmlformats.org/officeDocument/2006/relationships/hyperlink" Target="https://scryfall.com/sets/nec" TargetMode="External"/><Relationship Id="rId1405" Type="http://schemas.openxmlformats.org/officeDocument/2006/relationships/hyperlink" Target="https://scryfall.com/sets/tznr" TargetMode="External"/><Relationship Id="rId1752" Type="http://schemas.openxmlformats.org/officeDocument/2006/relationships/hyperlink" Target="https://scryfall.com/cubes/protour" TargetMode="External"/><Relationship Id="rId2803" Type="http://schemas.openxmlformats.org/officeDocument/2006/relationships/hyperlink" Target="https://scryfall.com/sets/psom" TargetMode="External"/><Relationship Id="rId44" Type="http://schemas.openxmlformats.org/officeDocument/2006/relationships/hyperlink" Target="https://scryfall.com/sets/ttla" TargetMode="External"/><Relationship Id="rId1612" Type="http://schemas.openxmlformats.org/officeDocument/2006/relationships/hyperlink" Target="https://scryfall.com/sets/oc19" TargetMode="External"/><Relationship Id="rId1917" Type="http://schemas.openxmlformats.org/officeDocument/2006/relationships/hyperlink" Target="https://scryfall.com/sets/g17" TargetMode="External"/><Relationship Id="rId3065" Type="http://schemas.openxmlformats.org/officeDocument/2006/relationships/hyperlink" Target="https://scryfall.com/sets/p08" TargetMode="External"/><Relationship Id="rId3272" Type="http://schemas.openxmlformats.org/officeDocument/2006/relationships/hyperlink" Target="https://scryfall.com/sets/p05" TargetMode="External"/><Relationship Id="rId193" Type="http://schemas.openxmlformats.org/officeDocument/2006/relationships/hyperlink" Target="https://scryfall.com/sets/ttdm" TargetMode="External"/><Relationship Id="rId498" Type="http://schemas.openxmlformats.org/officeDocument/2006/relationships/hyperlink" Target="https://scryfall.com/sets/mkc" TargetMode="External"/><Relationship Id="rId2081" Type="http://schemas.openxmlformats.org/officeDocument/2006/relationships/hyperlink" Target="https://scryfall.com/sets/oc16" TargetMode="External"/><Relationship Id="rId2179" Type="http://schemas.openxmlformats.org/officeDocument/2006/relationships/hyperlink" Target="https://scryfall.com/sets/c15" TargetMode="External"/><Relationship Id="rId3132" Type="http://schemas.openxmlformats.org/officeDocument/2006/relationships/hyperlink" Target="https://scryfall.com/sets/pmps07" TargetMode="External"/><Relationship Id="rId3577" Type="http://schemas.openxmlformats.org/officeDocument/2006/relationships/hyperlink" Target="https://scryfall.com/sets/pptk" TargetMode="External"/><Relationship Id="rId3784" Type="http://schemas.openxmlformats.org/officeDocument/2006/relationships/hyperlink" Target="https://scryfall.com/sets/atq" TargetMode="External"/><Relationship Id="rId260" Type="http://schemas.openxmlformats.org/officeDocument/2006/relationships/hyperlink" Target="https://scryfall.com/sets/pspl" TargetMode="External"/><Relationship Id="rId2386" Type="http://schemas.openxmlformats.org/officeDocument/2006/relationships/hyperlink" Target="https://scryfall.com/sets/cns" TargetMode="External"/><Relationship Id="rId2593" Type="http://schemas.openxmlformats.org/officeDocument/2006/relationships/hyperlink" Target="https://scryfall.com/sets/tddj" TargetMode="External"/><Relationship Id="rId3437" Type="http://schemas.openxmlformats.org/officeDocument/2006/relationships/hyperlink" Target="https://scryfall.com/sets/dkm" TargetMode="External"/><Relationship Id="rId3644" Type="http://schemas.openxmlformats.org/officeDocument/2006/relationships/hyperlink" Target="https://scryfall.com/sets/jgp" TargetMode="External"/><Relationship Id="rId120" Type="http://schemas.openxmlformats.org/officeDocument/2006/relationships/hyperlink" Target="https://scryfall.com/sets/peoe" TargetMode="External"/><Relationship Id="rId358" Type="http://schemas.openxmlformats.org/officeDocument/2006/relationships/hyperlink" Target="https://scryfall.com/sets/tblc" TargetMode="External"/><Relationship Id="rId565" Type="http://schemas.openxmlformats.org/officeDocument/2006/relationships/hyperlink" Target="https://scryfall.com/sets/twho" TargetMode="External"/><Relationship Id="rId772" Type="http://schemas.openxmlformats.org/officeDocument/2006/relationships/hyperlink" Target="https://scryfall.com/sets/wone" TargetMode="External"/><Relationship Id="rId1195" Type="http://schemas.openxmlformats.org/officeDocument/2006/relationships/hyperlink" Target="https://scryfall.com/sets/mmid" TargetMode="External"/><Relationship Id="rId2039" Type="http://schemas.openxmlformats.org/officeDocument/2006/relationships/hyperlink" Target="https://scryfall.com/sets/taer" TargetMode="External"/><Relationship Id="rId2246" Type="http://schemas.openxmlformats.org/officeDocument/2006/relationships/hyperlink" Target="https://scryfall.com/sets/dtk" TargetMode="External"/><Relationship Id="rId2453" Type="http://schemas.openxmlformats.org/officeDocument/2006/relationships/hyperlink" Target="https://scryfall.com/sets/j14" TargetMode="External"/><Relationship Id="rId2660" Type="http://schemas.openxmlformats.org/officeDocument/2006/relationships/hyperlink" Target="https://scryfall.com/sets/pidw" TargetMode="External"/><Relationship Id="rId2898" Type="http://schemas.openxmlformats.org/officeDocument/2006/relationships/hyperlink" Target="https://scryfall.com/sets/tddd" TargetMode="External"/><Relationship Id="rId3504" Type="http://schemas.openxmlformats.org/officeDocument/2006/relationships/hyperlink" Target="https://scryfall.com/sets/s00" TargetMode="External"/><Relationship Id="rId3711" Type="http://schemas.openxmlformats.org/officeDocument/2006/relationships/hyperlink" Target="https://scryfall.com/sets/rqs" TargetMode="External"/><Relationship Id="rId218" Type="http://schemas.openxmlformats.org/officeDocument/2006/relationships/hyperlink" Target="https://scryfall.com/sets/dft" TargetMode="External"/><Relationship Id="rId425" Type="http://schemas.openxmlformats.org/officeDocument/2006/relationships/hyperlink" Target="https://scryfall.com/sets/totj" TargetMode="External"/><Relationship Id="rId632" Type="http://schemas.openxmlformats.org/officeDocument/2006/relationships/hyperlink" Target="https://scryfall.com/sets/pf23" TargetMode="External"/><Relationship Id="rId1055" Type="http://schemas.openxmlformats.org/officeDocument/2006/relationships/hyperlink" Target="https://scryfall.com/sets/msnc" TargetMode="External"/><Relationship Id="rId1262" Type="http://schemas.openxmlformats.org/officeDocument/2006/relationships/hyperlink" Target="https://scryfall.com/sets/tmh2" TargetMode="External"/><Relationship Id="rId2106" Type="http://schemas.openxmlformats.org/officeDocument/2006/relationships/hyperlink" Target="https://scryfall.com/sets/cn2" TargetMode="External"/><Relationship Id="rId2313" Type="http://schemas.openxmlformats.org/officeDocument/2006/relationships/hyperlink" Target="https://scryfall.com/sets/tjvc" TargetMode="External"/><Relationship Id="rId2520" Type="http://schemas.openxmlformats.org/officeDocument/2006/relationships/hyperlink" Target="https://scryfall.com/sets/tmma" TargetMode="External"/><Relationship Id="rId2758" Type="http://schemas.openxmlformats.org/officeDocument/2006/relationships/hyperlink" Target="https://scryfall.com/sets/me4" TargetMode="External"/><Relationship Id="rId2965" Type="http://schemas.openxmlformats.org/officeDocument/2006/relationships/hyperlink" Target="https://scryfall.com/sets/con" TargetMode="External"/><Relationship Id="rId3809" Type="http://schemas.openxmlformats.org/officeDocument/2006/relationships/hyperlink" Target="https://scryfall.com/sets/lea" TargetMode="External"/><Relationship Id="rId937" Type="http://schemas.openxmlformats.org/officeDocument/2006/relationships/hyperlink" Target="https://scryfall.com/sets/ptdmu" TargetMode="External"/><Relationship Id="rId1122" Type="http://schemas.openxmlformats.org/officeDocument/2006/relationships/hyperlink" Target="https://scryfall.com/sets/ymid" TargetMode="External"/><Relationship Id="rId1567" Type="http://schemas.openxmlformats.org/officeDocument/2006/relationships/hyperlink" Target="https://scryfall.com/sets/ha1" TargetMode="External"/><Relationship Id="rId1774" Type="http://schemas.openxmlformats.org/officeDocument/2006/relationships/hyperlink" Target="https://scryfall.com/sets/oana" TargetMode="External"/><Relationship Id="rId1981" Type="http://schemas.openxmlformats.org/officeDocument/2006/relationships/hyperlink" Target="https://scryfall.com/sets/te01" TargetMode="External"/><Relationship Id="rId2618" Type="http://schemas.openxmlformats.org/officeDocument/2006/relationships/hyperlink" Target="https://scryfall.com/sets/avr" TargetMode="External"/><Relationship Id="rId2825" Type="http://schemas.openxmlformats.org/officeDocument/2006/relationships/hyperlink" Target="https://scryfall.com/sets/pm11" TargetMode="External"/><Relationship Id="rId66" Type="http://schemas.openxmlformats.org/officeDocument/2006/relationships/hyperlink" Target="https://scryfall.com/sets/mar" TargetMode="External"/><Relationship Id="rId1427" Type="http://schemas.openxmlformats.org/officeDocument/2006/relationships/hyperlink" Target="https://scryfall.com/cubes/livethedream" TargetMode="External"/><Relationship Id="rId1634" Type="http://schemas.openxmlformats.org/officeDocument/2006/relationships/hyperlink" Target="https://scryfall.com/sets/ppp1" TargetMode="External"/><Relationship Id="rId1841" Type="http://schemas.openxmlformats.org/officeDocument/2006/relationships/hyperlink" Target="https://scryfall.com/sets/ddu" TargetMode="External"/><Relationship Id="rId3087" Type="http://schemas.openxmlformats.org/officeDocument/2006/relationships/hyperlink" Target="https://scryfall.com/sets/plrw" TargetMode="External"/><Relationship Id="rId3294" Type="http://schemas.openxmlformats.org/officeDocument/2006/relationships/hyperlink" Target="https://scryfall.com/sets/wc04" TargetMode="External"/><Relationship Id="rId1939" Type="http://schemas.openxmlformats.org/officeDocument/2006/relationships/hyperlink" Target="https://scryfall.com/sets/h17" TargetMode="External"/><Relationship Id="rId3599" Type="http://schemas.openxmlformats.org/officeDocument/2006/relationships/hyperlink" Target="https://scryfall.com/sets/ath" TargetMode="External"/><Relationship Id="rId1701" Type="http://schemas.openxmlformats.org/officeDocument/2006/relationships/hyperlink" Target="https://scryfall.com/sets/puma" TargetMode="External"/><Relationship Id="rId3154" Type="http://schemas.openxmlformats.org/officeDocument/2006/relationships/hyperlink" Target="https://scryfall.com/sets/ptsp" TargetMode="External"/><Relationship Id="rId3361" Type="http://schemas.openxmlformats.org/officeDocument/2006/relationships/hyperlink" Target="https://scryfall.com/sets/pmoa" TargetMode="External"/><Relationship Id="rId3459" Type="http://schemas.openxmlformats.org/officeDocument/2006/relationships/hyperlink" Target="https://scryfall.com/sets/7ed" TargetMode="External"/><Relationship Id="rId3666" Type="http://schemas.openxmlformats.org/officeDocument/2006/relationships/hyperlink" Target="https://scryfall.com/sets/pvan" TargetMode="External"/><Relationship Id="rId282" Type="http://schemas.openxmlformats.org/officeDocument/2006/relationships/hyperlink" Target="https://scryfall.com/sets/tfdn" TargetMode="External"/><Relationship Id="rId587" Type="http://schemas.openxmlformats.org/officeDocument/2006/relationships/hyperlink" Target="https://scryfall.com/sets/ywoe" TargetMode="External"/><Relationship Id="rId2170" Type="http://schemas.openxmlformats.org/officeDocument/2006/relationships/hyperlink" Target="https://scryfall.com/sets/f16" TargetMode="External"/><Relationship Id="rId2268" Type="http://schemas.openxmlformats.org/officeDocument/2006/relationships/hyperlink" Target="https://scryfall.com/sets/pfrf" TargetMode="External"/><Relationship Id="rId3014" Type="http://schemas.openxmlformats.org/officeDocument/2006/relationships/hyperlink" Target="https://scryfall.com/sets/me2" TargetMode="External"/><Relationship Id="rId3221" Type="http://schemas.openxmlformats.org/officeDocument/2006/relationships/hyperlink" Target="https://scryfall.com/sets/p2hg" TargetMode="External"/><Relationship Id="rId3319" Type="http://schemas.openxmlformats.org/officeDocument/2006/relationships/hyperlink" Target="https://scryfall.com/sets/p04" TargetMode="External"/><Relationship Id="rId8" Type="http://schemas.openxmlformats.org/officeDocument/2006/relationships/hyperlink" Target="https://scryfall.com/sets/msc" TargetMode="External"/><Relationship Id="rId142" Type="http://schemas.openxmlformats.org/officeDocument/2006/relationships/hyperlink" Target="https://scryfall.com/sets/teoc" TargetMode="External"/><Relationship Id="rId447" Type="http://schemas.openxmlformats.org/officeDocument/2006/relationships/hyperlink" Target="https://scryfall.com/sets/tbig" TargetMode="External"/><Relationship Id="rId794" Type="http://schemas.openxmlformats.org/officeDocument/2006/relationships/hyperlink" Target="https://scryfall.com/sets/ea2" TargetMode="External"/><Relationship Id="rId1077" Type="http://schemas.openxmlformats.org/officeDocument/2006/relationships/hyperlink" Target="https://scryfall.com/sets/neo" TargetMode="External"/><Relationship Id="rId2030" Type="http://schemas.openxmlformats.org/officeDocument/2006/relationships/hyperlink" Target="https://scryfall.com/sets/aer" TargetMode="External"/><Relationship Id="rId2128" Type="http://schemas.openxmlformats.org/officeDocument/2006/relationships/hyperlink" Target="https://scryfall.com/sets/ema" TargetMode="External"/><Relationship Id="rId2475" Type="http://schemas.openxmlformats.org/officeDocument/2006/relationships/hyperlink" Target="https://scryfall.com/sets/tths" TargetMode="External"/><Relationship Id="rId2682" Type="http://schemas.openxmlformats.org/officeDocument/2006/relationships/hyperlink" Target="https://scryfall.com/sets/pisd" TargetMode="External"/><Relationship Id="rId2987" Type="http://schemas.openxmlformats.org/officeDocument/2006/relationships/hyperlink" Target="https://scryfall.com/sets/p09" TargetMode="External"/><Relationship Id="rId3526" Type="http://schemas.openxmlformats.org/officeDocument/2006/relationships/hyperlink" Target="https://scryfall.com/sets/fnm" TargetMode="External"/><Relationship Id="rId3733" Type="http://schemas.openxmlformats.org/officeDocument/2006/relationships/hyperlink" Target="https://scryfall.com/sets/rin" TargetMode="External"/><Relationship Id="rId654" Type="http://schemas.openxmlformats.org/officeDocument/2006/relationships/hyperlink" Target="https://scryfall.com/sets/tltc" TargetMode="External"/><Relationship Id="rId861" Type="http://schemas.openxmlformats.org/officeDocument/2006/relationships/hyperlink" Target="https://scryfall.com/sets/tbrc" TargetMode="External"/><Relationship Id="rId959" Type="http://schemas.openxmlformats.org/officeDocument/2006/relationships/hyperlink" Target="https://scryfall.com/sets/tdmc" TargetMode="External"/><Relationship Id="rId1284" Type="http://schemas.openxmlformats.org/officeDocument/2006/relationships/hyperlink" Target="https://scryfall.com/sets/sta" TargetMode="External"/><Relationship Id="rId1491" Type="http://schemas.openxmlformats.org/officeDocument/2006/relationships/hyperlink" Target="https://scryfall.com/sets/iko" TargetMode="External"/><Relationship Id="rId1589" Type="http://schemas.openxmlformats.org/officeDocument/2006/relationships/hyperlink" Target="https://scryfall.com/sets/peld" TargetMode="External"/><Relationship Id="rId2335" Type="http://schemas.openxmlformats.org/officeDocument/2006/relationships/hyperlink" Target="https://scryfall.com/sets/oc14" TargetMode="External"/><Relationship Id="rId2542" Type="http://schemas.openxmlformats.org/officeDocument/2006/relationships/hyperlink" Target="https://scryfall.com/sets/tddk" TargetMode="External"/><Relationship Id="rId3800" Type="http://schemas.openxmlformats.org/officeDocument/2006/relationships/hyperlink" Target="https://scryfall.com/sets/2ed" TargetMode="External"/><Relationship Id="rId307" Type="http://schemas.openxmlformats.org/officeDocument/2006/relationships/hyperlink" Target="https://scryfall.com/sets/pdsk" TargetMode="External"/><Relationship Id="rId514" Type="http://schemas.openxmlformats.org/officeDocument/2006/relationships/hyperlink" Target="https://scryfall.com/sets/pf24" TargetMode="External"/><Relationship Id="rId721" Type="http://schemas.openxmlformats.org/officeDocument/2006/relationships/hyperlink" Target="https://scryfall.com/sets/sir" TargetMode="External"/><Relationship Id="rId1144" Type="http://schemas.openxmlformats.org/officeDocument/2006/relationships/hyperlink" Target="https://scryfall.com/sets/avow" TargetMode="External"/><Relationship Id="rId1351" Type="http://schemas.openxmlformats.org/officeDocument/2006/relationships/hyperlink" Target="https://scryfall.com/sets/khc" TargetMode="External"/><Relationship Id="rId1449" Type="http://schemas.openxmlformats.org/officeDocument/2006/relationships/hyperlink" Target="https://scryfall.com/sets/ph19" TargetMode="External"/><Relationship Id="rId1796" Type="http://schemas.openxmlformats.org/officeDocument/2006/relationships/hyperlink" Target="https://scryfall.com/sets/pss3" TargetMode="External"/><Relationship Id="rId2402" Type="http://schemas.openxmlformats.org/officeDocument/2006/relationships/hyperlink" Target="https://scryfall.com/sets/tmd1" TargetMode="External"/><Relationship Id="rId2847" Type="http://schemas.openxmlformats.org/officeDocument/2006/relationships/hyperlink" Target="https://scryfall.com/sets/proe" TargetMode="External"/><Relationship Id="rId88" Type="http://schemas.openxmlformats.org/officeDocument/2006/relationships/hyperlink" Target="https://scryfall.com/sets/spe" TargetMode="External"/><Relationship Id="rId819" Type="http://schemas.openxmlformats.org/officeDocument/2006/relationships/hyperlink" Target="https://scryfall.com/sets/p30a" TargetMode="External"/><Relationship Id="rId1004" Type="http://schemas.openxmlformats.org/officeDocument/2006/relationships/hyperlink" Target="https://scryfall.com/sets/pclb" TargetMode="External"/><Relationship Id="rId1211" Type="http://schemas.openxmlformats.org/officeDocument/2006/relationships/hyperlink" Target="https://scryfall.com/sets/afr" TargetMode="External"/><Relationship Id="rId1656" Type="http://schemas.openxmlformats.org/officeDocument/2006/relationships/hyperlink" Target="https://scryfall.com/sets/amh1" TargetMode="External"/><Relationship Id="rId1863" Type="http://schemas.openxmlformats.org/officeDocument/2006/relationships/hyperlink" Target="https://scryfall.com/sets/rix" TargetMode="External"/><Relationship Id="rId2707" Type="http://schemas.openxmlformats.org/officeDocument/2006/relationships/hyperlink" Target="https://scryfall.com/sets/tm12" TargetMode="External"/><Relationship Id="rId2914" Type="http://schemas.openxmlformats.org/officeDocument/2006/relationships/hyperlink" Target="https://scryfall.com/sets/me3" TargetMode="External"/><Relationship Id="rId1309" Type="http://schemas.openxmlformats.org/officeDocument/2006/relationships/hyperlink" Target="https://scryfall.com/sets/tc21" TargetMode="External"/><Relationship Id="rId1516" Type="http://schemas.openxmlformats.org/officeDocument/2006/relationships/hyperlink" Target="https://scryfall.com/sets/und" TargetMode="External"/><Relationship Id="rId1723" Type="http://schemas.openxmlformats.org/officeDocument/2006/relationships/hyperlink" Target="https://scryfall.com/sets/pgrn" TargetMode="External"/><Relationship Id="rId1930" Type="http://schemas.openxmlformats.org/officeDocument/2006/relationships/hyperlink" Target="https://scryfall.com/sets/pxtc" TargetMode="External"/><Relationship Id="rId3176" Type="http://schemas.openxmlformats.org/officeDocument/2006/relationships/hyperlink" Target="https://scryfall.com/sets/pdis" TargetMode="External"/><Relationship Id="rId3383" Type="http://schemas.openxmlformats.org/officeDocument/2006/relationships/hyperlink" Target="https://scryfall.com/sets/ovnt" TargetMode="External"/><Relationship Id="rId3590" Type="http://schemas.openxmlformats.org/officeDocument/2006/relationships/hyperlink" Target="https://scryfall.com/sets/pal99" TargetMode="External"/><Relationship Id="rId15" Type="http://schemas.openxmlformats.org/officeDocument/2006/relationships/hyperlink" Target="https://scryfall.com/sets/pza" TargetMode="External"/><Relationship Id="rId2192" Type="http://schemas.openxmlformats.org/officeDocument/2006/relationships/hyperlink" Target="https://scryfall.com/sets/exp" TargetMode="External"/><Relationship Id="rId3036" Type="http://schemas.openxmlformats.org/officeDocument/2006/relationships/hyperlink" Target="https://scryfall.com/sets/pshm" TargetMode="External"/><Relationship Id="rId3243" Type="http://schemas.openxmlformats.org/officeDocument/2006/relationships/hyperlink" Target="https://scryfall.com/sets/sok" TargetMode="External"/><Relationship Id="rId3688" Type="http://schemas.openxmlformats.org/officeDocument/2006/relationships/hyperlink" Target="https://scryfall.com/sets/itp" TargetMode="External"/><Relationship Id="rId164" Type="http://schemas.openxmlformats.org/officeDocument/2006/relationships/hyperlink" Target="https://scryfall.com/sets/afin" TargetMode="External"/><Relationship Id="rId371" Type="http://schemas.openxmlformats.org/officeDocument/2006/relationships/hyperlink" Target="https://scryfall.com/sets/tacr" TargetMode="External"/><Relationship Id="rId2052" Type="http://schemas.openxmlformats.org/officeDocument/2006/relationships/hyperlink" Target="https://scryfall.com/sets/j17" TargetMode="External"/><Relationship Id="rId2497" Type="http://schemas.openxmlformats.org/officeDocument/2006/relationships/hyperlink" Target="https://scryfall.com/sets/v13" TargetMode="External"/><Relationship Id="rId3450" Type="http://schemas.openxmlformats.org/officeDocument/2006/relationships/hyperlink" Target="https://scryfall.com/sets/psdg" TargetMode="External"/><Relationship Id="rId3548" Type="http://schemas.openxmlformats.org/officeDocument/2006/relationships/hyperlink" Target="https://scryfall.com/sets/pwos" TargetMode="External"/><Relationship Id="rId3755" Type="http://schemas.openxmlformats.org/officeDocument/2006/relationships/hyperlink" Target="https://scryfall.com/sets/fem" TargetMode="External"/><Relationship Id="rId469" Type="http://schemas.openxmlformats.org/officeDocument/2006/relationships/hyperlink" Target="https://scryfall.com/sets/tmkm" TargetMode="External"/><Relationship Id="rId676" Type="http://schemas.openxmlformats.org/officeDocument/2006/relationships/hyperlink" Target="https://scryfall.com/sets/pmat" TargetMode="External"/><Relationship Id="rId883" Type="http://schemas.openxmlformats.org/officeDocument/2006/relationships/hyperlink" Target="https://scryfall.com/sets/abro" TargetMode="External"/><Relationship Id="rId1099" Type="http://schemas.openxmlformats.org/officeDocument/2006/relationships/hyperlink" Target="https://scryfall.com/sets/nec" TargetMode="External"/><Relationship Id="rId2357" Type="http://schemas.openxmlformats.org/officeDocument/2006/relationships/hyperlink" Target="https://scryfall.com/sets/pm15" TargetMode="External"/><Relationship Id="rId2564" Type="http://schemas.openxmlformats.org/officeDocument/2006/relationships/hyperlink" Target="https://scryfall.com/sets/j13" TargetMode="External"/><Relationship Id="rId3103" Type="http://schemas.openxmlformats.org/officeDocument/2006/relationships/hyperlink" Target="https://scryfall.com/sets/p10e" TargetMode="External"/><Relationship Id="rId3310" Type="http://schemas.openxmlformats.org/officeDocument/2006/relationships/hyperlink" Target="https://scryfall.com/sets/pal04" TargetMode="External"/><Relationship Id="rId3408" Type="http://schemas.openxmlformats.org/officeDocument/2006/relationships/hyperlink" Target="https://scryfall.com/sets/pjud" TargetMode="External"/><Relationship Id="rId3615" Type="http://schemas.openxmlformats.org/officeDocument/2006/relationships/hyperlink" Target="https://scryfall.com/sets/wc98" TargetMode="External"/><Relationship Id="rId231" Type="http://schemas.openxmlformats.org/officeDocument/2006/relationships/hyperlink" Target="https://scryfall.com/sets/ydft" TargetMode="External"/><Relationship Id="rId329" Type="http://schemas.openxmlformats.org/officeDocument/2006/relationships/hyperlink" Target="https://scryfall.com/sets/plg24" TargetMode="External"/><Relationship Id="rId536" Type="http://schemas.openxmlformats.org/officeDocument/2006/relationships/hyperlink" Target="https://scryfall.com/sets/ylci" TargetMode="External"/><Relationship Id="rId1166" Type="http://schemas.openxmlformats.org/officeDocument/2006/relationships/hyperlink" Target="https://scryfall.com/sets/pmid" TargetMode="External"/><Relationship Id="rId1373" Type="http://schemas.openxmlformats.org/officeDocument/2006/relationships/hyperlink" Target="https://scryfall.com/sets/cmr" TargetMode="External"/><Relationship Id="rId2217" Type="http://schemas.openxmlformats.org/officeDocument/2006/relationships/hyperlink" Target="https://scryfall.com/sets/ori" TargetMode="External"/><Relationship Id="rId2771" Type="http://schemas.openxmlformats.org/officeDocument/2006/relationships/hyperlink" Target="https://scryfall.com/sets/ps11" TargetMode="External"/><Relationship Id="rId2869" Type="http://schemas.openxmlformats.org/officeDocument/2006/relationships/hyperlink" Target="https://scryfall.com/sets/twwk" TargetMode="External"/><Relationship Id="rId743" Type="http://schemas.openxmlformats.org/officeDocument/2006/relationships/hyperlink" Target="https://scryfall.com/sets/pone" TargetMode="External"/><Relationship Id="rId950" Type="http://schemas.openxmlformats.org/officeDocument/2006/relationships/hyperlink" Target="https://scryfall.com/sets/admu" TargetMode="External"/><Relationship Id="rId1026" Type="http://schemas.openxmlformats.org/officeDocument/2006/relationships/hyperlink" Target="https://scryfall.com/sets/psnc" TargetMode="External"/><Relationship Id="rId1580" Type="http://schemas.openxmlformats.org/officeDocument/2006/relationships/hyperlink" Target="https://scryfall.com/sets/cmb1" TargetMode="External"/><Relationship Id="rId1678" Type="http://schemas.openxmlformats.org/officeDocument/2006/relationships/hyperlink" Target="https://scryfall.com/sets/rna" TargetMode="External"/><Relationship Id="rId1885" Type="http://schemas.openxmlformats.org/officeDocument/2006/relationships/hyperlink" Target="https://scryfall.com/sets/pust" TargetMode="External"/><Relationship Id="rId2424" Type="http://schemas.openxmlformats.org/officeDocument/2006/relationships/hyperlink" Target="https://scryfall.com/sets/ddm" TargetMode="External"/><Relationship Id="rId2631" Type="http://schemas.openxmlformats.org/officeDocument/2006/relationships/hyperlink" Target="https://scryfall.com/sets/phel" TargetMode="External"/><Relationship Id="rId2729" Type="http://schemas.openxmlformats.org/officeDocument/2006/relationships/hyperlink" Target="https://scryfall.com/sets/pnph" TargetMode="External"/><Relationship Id="rId2936" Type="http://schemas.openxmlformats.org/officeDocument/2006/relationships/hyperlink" Target="https://scryfall.com/sets/pm10" TargetMode="External"/><Relationship Id="rId603" Type="http://schemas.openxmlformats.org/officeDocument/2006/relationships/hyperlink" Target="https://scryfall.com/sets/awoe" TargetMode="External"/><Relationship Id="rId810" Type="http://schemas.openxmlformats.org/officeDocument/2006/relationships/hyperlink" Target="https://scryfall.com/sets/fj22" TargetMode="External"/><Relationship Id="rId908" Type="http://schemas.openxmlformats.org/officeDocument/2006/relationships/hyperlink" Target="https://scryfall.com/sets/sunf" TargetMode="External"/><Relationship Id="rId1233" Type="http://schemas.openxmlformats.org/officeDocument/2006/relationships/hyperlink" Target="https://scryfall.com/sets/tafc" TargetMode="External"/><Relationship Id="rId1440" Type="http://schemas.openxmlformats.org/officeDocument/2006/relationships/hyperlink" Target="https://scryfall.com/sets/anb" TargetMode="External"/><Relationship Id="rId1538" Type="http://schemas.openxmlformats.org/officeDocument/2006/relationships/hyperlink" Target="https://scryfall.com/sets/pf20" TargetMode="External"/><Relationship Id="rId1300" Type="http://schemas.openxmlformats.org/officeDocument/2006/relationships/hyperlink" Target="https://scryfall.com/sets/mstx" TargetMode="External"/><Relationship Id="rId1745" Type="http://schemas.openxmlformats.org/officeDocument/2006/relationships/hyperlink" Target="https://scryfall.com/sets/tc18" TargetMode="External"/><Relationship Id="rId1952" Type="http://schemas.openxmlformats.org/officeDocument/2006/relationships/hyperlink" Target="https://scryfall.com/sets/tc17" TargetMode="External"/><Relationship Id="rId3198" Type="http://schemas.openxmlformats.org/officeDocument/2006/relationships/hyperlink" Target="https://scryfall.com/sets/pjas" TargetMode="External"/><Relationship Id="rId37" Type="http://schemas.openxmlformats.org/officeDocument/2006/relationships/hyperlink" Target="https://scryfall.com/sets/tla" TargetMode="External"/><Relationship Id="rId1605" Type="http://schemas.openxmlformats.org/officeDocument/2006/relationships/hyperlink" Target="https://scryfall.com/sets/c19" TargetMode="External"/><Relationship Id="rId1812" Type="http://schemas.openxmlformats.org/officeDocument/2006/relationships/hyperlink" Target="https://scryfall.com/sets/tcm2" TargetMode="External"/><Relationship Id="rId3058" Type="http://schemas.openxmlformats.org/officeDocument/2006/relationships/hyperlink" Target="https://scryfall.com/sets/pmps08" TargetMode="External"/><Relationship Id="rId3265" Type="http://schemas.openxmlformats.org/officeDocument/2006/relationships/hyperlink" Target="https://scryfall.com/sets/f05" TargetMode="External"/><Relationship Id="rId3472" Type="http://schemas.openxmlformats.org/officeDocument/2006/relationships/hyperlink" Target="https://scryfall.com/sets/mpr" TargetMode="External"/><Relationship Id="rId186" Type="http://schemas.openxmlformats.org/officeDocument/2006/relationships/hyperlink" Target="https://scryfall.com/sets/tdm" TargetMode="External"/><Relationship Id="rId393" Type="http://schemas.openxmlformats.org/officeDocument/2006/relationships/hyperlink" Target="https://scryfall.com/sets/smh3" TargetMode="External"/><Relationship Id="rId2074" Type="http://schemas.openxmlformats.org/officeDocument/2006/relationships/hyperlink" Target="https://scryfall.com/sets/c16" TargetMode="External"/><Relationship Id="rId2281" Type="http://schemas.openxmlformats.org/officeDocument/2006/relationships/hyperlink" Target="https://scryfall.com/sets/l15" TargetMode="External"/><Relationship Id="rId3125" Type="http://schemas.openxmlformats.org/officeDocument/2006/relationships/hyperlink" Target="https://scryfall.com/sets/plc" TargetMode="External"/><Relationship Id="rId3332" Type="http://schemas.openxmlformats.org/officeDocument/2006/relationships/hyperlink" Target="https://scryfall.com/sets/pmrd" TargetMode="External"/><Relationship Id="rId3777" Type="http://schemas.openxmlformats.org/officeDocument/2006/relationships/hyperlink" Target="https://scryfall.com/sets/3ed" TargetMode="External"/><Relationship Id="rId253" Type="http://schemas.openxmlformats.org/officeDocument/2006/relationships/hyperlink" Target="https://scryfall.com/sets/tinr" TargetMode="External"/><Relationship Id="rId460" Type="http://schemas.openxmlformats.org/officeDocument/2006/relationships/hyperlink" Target="https://scryfall.com/sets/tpip" TargetMode="External"/><Relationship Id="rId698" Type="http://schemas.openxmlformats.org/officeDocument/2006/relationships/hyperlink" Target="https://scryfall.com/sets/fmom" TargetMode="External"/><Relationship Id="rId1090" Type="http://schemas.openxmlformats.org/officeDocument/2006/relationships/hyperlink" Target="https://scryfall.com/sets/mneo" TargetMode="External"/><Relationship Id="rId2141" Type="http://schemas.openxmlformats.org/officeDocument/2006/relationships/hyperlink" Target="https://scryfall.com/sets/tsoi" TargetMode="External"/><Relationship Id="rId2379" Type="http://schemas.openxmlformats.org/officeDocument/2006/relationships/hyperlink" Target="https://scryfall.com/sets/ps14" TargetMode="External"/><Relationship Id="rId2586" Type="http://schemas.openxmlformats.org/officeDocument/2006/relationships/hyperlink" Target="https://scryfall.com/sets/trtr" TargetMode="External"/><Relationship Id="rId2793" Type="http://schemas.openxmlformats.org/officeDocument/2006/relationships/hyperlink" Target="https://scryfall.com/sets/pd2" TargetMode="External"/><Relationship Id="rId3637" Type="http://schemas.openxmlformats.org/officeDocument/2006/relationships/hyperlink" Target="https://scryfall.com/sets/psth" TargetMode="External"/><Relationship Id="rId113" Type="http://schemas.openxmlformats.org/officeDocument/2006/relationships/hyperlink" Target="https://scryfall.com/sets/eoe" TargetMode="External"/><Relationship Id="rId320" Type="http://schemas.openxmlformats.org/officeDocument/2006/relationships/hyperlink" Target="https://scryfall.com/sets/dsc" TargetMode="External"/><Relationship Id="rId558" Type="http://schemas.openxmlformats.org/officeDocument/2006/relationships/hyperlink" Target="https://scryfall.com/sets/tlcc" TargetMode="External"/><Relationship Id="rId765" Type="http://schemas.openxmlformats.org/officeDocument/2006/relationships/hyperlink" Target="https://scryfall.com/sets/aone" TargetMode="External"/><Relationship Id="rId972" Type="http://schemas.openxmlformats.org/officeDocument/2006/relationships/hyperlink" Target="https://scryfall.com/sets/ea1" TargetMode="External"/><Relationship Id="rId1188" Type="http://schemas.openxmlformats.org/officeDocument/2006/relationships/hyperlink" Target="https://scryfall.com/sets/omic" TargetMode="External"/><Relationship Id="rId1395" Type="http://schemas.openxmlformats.org/officeDocument/2006/relationships/hyperlink" Target="https://scryfall.com/sets/znr" TargetMode="External"/><Relationship Id="rId2001" Type="http://schemas.openxmlformats.org/officeDocument/2006/relationships/hyperlink" Target="https://scryfall.com/sets/mp2" TargetMode="External"/><Relationship Id="rId2239" Type="http://schemas.openxmlformats.org/officeDocument/2006/relationships/hyperlink" Target="https://scryfall.com/sets/tmm2" TargetMode="External"/><Relationship Id="rId2446" Type="http://schemas.openxmlformats.org/officeDocument/2006/relationships/hyperlink" Target="https://scryfall.com/sets/thp2" TargetMode="External"/><Relationship Id="rId2653" Type="http://schemas.openxmlformats.org/officeDocument/2006/relationships/hyperlink" Target="https://scryfall.com/sets/pw12" TargetMode="External"/><Relationship Id="rId2860" Type="http://schemas.openxmlformats.org/officeDocument/2006/relationships/hyperlink" Target="https://scryfall.com/sets/wwk" TargetMode="External"/><Relationship Id="rId3704" Type="http://schemas.openxmlformats.org/officeDocument/2006/relationships/hyperlink" Target="https://scryfall.com/sets/parl" TargetMode="External"/><Relationship Id="rId418" Type="http://schemas.openxmlformats.org/officeDocument/2006/relationships/hyperlink" Target="https://scryfall.com/sets/totp" TargetMode="External"/><Relationship Id="rId625" Type="http://schemas.openxmlformats.org/officeDocument/2006/relationships/hyperlink" Target="https://scryfall.com/sets/ha7" TargetMode="External"/><Relationship Id="rId832" Type="http://schemas.openxmlformats.org/officeDocument/2006/relationships/hyperlink" Target="https://scryfall.com/sets/p30m" TargetMode="External"/><Relationship Id="rId1048" Type="http://schemas.openxmlformats.org/officeDocument/2006/relationships/hyperlink" Target="https://scryfall.com/sets/tncc" TargetMode="External"/><Relationship Id="rId1255" Type="http://schemas.openxmlformats.org/officeDocument/2006/relationships/hyperlink" Target="https://scryfall.com/sets/mh2" TargetMode="External"/><Relationship Id="rId1462" Type="http://schemas.openxmlformats.org/officeDocument/2006/relationships/hyperlink" Target="https://scryfall.com/sets/fjmp" TargetMode="External"/><Relationship Id="rId2306" Type="http://schemas.openxmlformats.org/officeDocument/2006/relationships/hyperlink" Target="https://scryfall.com/sets/tgvl" TargetMode="External"/><Relationship Id="rId2513" Type="http://schemas.openxmlformats.org/officeDocument/2006/relationships/hyperlink" Target="https://scryfall.com/sets/mma" TargetMode="External"/><Relationship Id="rId2958" Type="http://schemas.openxmlformats.org/officeDocument/2006/relationships/hyperlink" Target="https://scryfall.com/sets/tddc" TargetMode="External"/><Relationship Id="rId1115" Type="http://schemas.openxmlformats.org/officeDocument/2006/relationships/hyperlink" Target="https://scryfall.com/sets/dbl" TargetMode="External"/><Relationship Id="rId1322" Type="http://schemas.openxmlformats.org/officeDocument/2006/relationships/hyperlink" Target="https://scryfall.com/sets/ptsr" TargetMode="External"/><Relationship Id="rId1767" Type="http://schemas.openxmlformats.org/officeDocument/2006/relationships/hyperlink" Target="https://scryfall.com/sets/xana" TargetMode="External"/><Relationship Id="rId1974" Type="http://schemas.openxmlformats.org/officeDocument/2006/relationships/hyperlink" Target="https://scryfall.com/sets/thou" TargetMode="External"/><Relationship Id="rId2720" Type="http://schemas.openxmlformats.org/officeDocument/2006/relationships/hyperlink" Target="https://scryfall.com/sets/ocmd" TargetMode="External"/><Relationship Id="rId2818" Type="http://schemas.openxmlformats.org/officeDocument/2006/relationships/hyperlink" Target="https://scryfall.com/sets/v10" TargetMode="External"/><Relationship Id="rId59" Type="http://schemas.openxmlformats.org/officeDocument/2006/relationships/hyperlink" Target="https://scryfall.com/sets/ttle" TargetMode="External"/><Relationship Id="rId1627" Type="http://schemas.openxmlformats.org/officeDocument/2006/relationships/hyperlink" Target="https://scryfall.com/sets/pm20" TargetMode="External"/><Relationship Id="rId1834" Type="http://schemas.openxmlformats.org/officeDocument/2006/relationships/hyperlink" Target="https://scryfall.com/sets/pdom" TargetMode="External"/><Relationship Id="rId3287" Type="http://schemas.openxmlformats.org/officeDocument/2006/relationships/hyperlink" Target="https://scryfall.com/sets/chk" TargetMode="External"/><Relationship Id="rId2096" Type="http://schemas.openxmlformats.org/officeDocument/2006/relationships/hyperlink" Target="https://scryfall.com/sets/pkld" TargetMode="External"/><Relationship Id="rId3494" Type="http://schemas.openxmlformats.org/officeDocument/2006/relationships/hyperlink" Target="https://scryfall.com/sets/wc00" TargetMode="External"/><Relationship Id="rId3799" Type="http://schemas.openxmlformats.org/officeDocument/2006/relationships/hyperlink" Target="https://scryfall.com/sets/2ed" TargetMode="External"/><Relationship Id="rId1901" Type="http://schemas.openxmlformats.org/officeDocument/2006/relationships/hyperlink" Target="https://scryfall.com/sets/ima" TargetMode="External"/><Relationship Id="rId3147" Type="http://schemas.openxmlformats.org/officeDocument/2006/relationships/hyperlink" Target="https://scryfall.com/sets/hho" TargetMode="External"/><Relationship Id="rId3354" Type="http://schemas.openxmlformats.org/officeDocument/2006/relationships/hyperlink" Target="https://scryfall.com/sets/plgn" TargetMode="External"/><Relationship Id="rId3561" Type="http://schemas.openxmlformats.org/officeDocument/2006/relationships/hyperlink" Target="https://scryfall.com/sets/s99" TargetMode="External"/><Relationship Id="rId3659" Type="http://schemas.openxmlformats.org/officeDocument/2006/relationships/hyperlink" Target="https://scryfall.com/sets/olep" TargetMode="External"/><Relationship Id="rId275" Type="http://schemas.openxmlformats.org/officeDocument/2006/relationships/hyperlink" Target="https://scryfall.com/sets/fdn" TargetMode="External"/><Relationship Id="rId482" Type="http://schemas.openxmlformats.org/officeDocument/2006/relationships/hyperlink" Target="https://scryfall.com/sets/fclu" TargetMode="External"/><Relationship Id="rId2163" Type="http://schemas.openxmlformats.org/officeDocument/2006/relationships/hyperlink" Target="https://scryfall.com/sets/l16" TargetMode="External"/><Relationship Id="rId2370" Type="http://schemas.openxmlformats.org/officeDocument/2006/relationships/hyperlink" Target="https://scryfall.com/sets/ppc1" TargetMode="External"/><Relationship Id="rId3007" Type="http://schemas.openxmlformats.org/officeDocument/2006/relationships/hyperlink" Target="https://scryfall.com/sets/pala" TargetMode="External"/><Relationship Id="rId3214" Type="http://schemas.openxmlformats.org/officeDocument/2006/relationships/hyperlink" Target="https://scryfall.com/sets/dci" TargetMode="External"/><Relationship Id="rId3421" Type="http://schemas.openxmlformats.org/officeDocument/2006/relationships/hyperlink" Target="https://scryfall.com/sets/pal02" TargetMode="External"/><Relationship Id="rId135" Type="http://schemas.openxmlformats.org/officeDocument/2006/relationships/hyperlink" Target="https://scryfall.com/sets/aeoe" TargetMode="External"/><Relationship Id="rId342" Type="http://schemas.openxmlformats.org/officeDocument/2006/relationships/hyperlink" Target="https://scryfall.com/sets/pblb" TargetMode="External"/><Relationship Id="rId787" Type="http://schemas.openxmlformats.org/officeDocument/2006/relationships/hyperlink" Target="https://scryfall.com/sets/pw23" TargetMode="External"/><Relationship Id="rId994" Type="http://schemas.openxmlformats.org/officeDocument/2006/relationships/hyperlink" Target="https://scryfall.com/sets/hbg" TargetMode="External"/><Relationship Id="rId2023" Type="http://schemas.openxmlformats.org/officeDocument/2006/relationships/hyperlink" Target="https://scryfall.com/sets/mm3" TargetMode="External"/><Relationship Id="rId2230" Type="http://schemas.openxmlformats.org/officeDocument/2006/relationships/hyperlink" Target="https://scryfall.com/sets/ps15" TargetMode="External"/><Relationship Id="rId2468" Type="http://schemas.openxmlformats.org/officeDocument/2006/relationships/hyperlink" Target="https://scryfall.com/sets/ths" TargetMode="External"/><Relationship Id="rId2675" Type="http://schemas.openxmlformats.org/officeDocument/2006/relationships/hyperlink" Target="https://scryfall.com/sets/pd3" TargetMode="External"/><Relationship Id="rId2882" Type="http://schemas.openxmlformats.org/officeDocument/2006/relationships/hyperlink" Target="https://scryfall.com/sets/g10" TargetMode="External"/><Relationship Id="rId3519" Type="http://schemas.openxmlformats.org/officeDocument/2006/relationships/hyperlink" Target="https://scryfall.com/sets/pal00" TargetMode="External"/><Relationship Id="rId3726" Type="http://schemas.openxmlformats.org/officeDocument/2006/relationships/hyperlink" Target="https://scryfall.com/sets/hml" TargetMode="External"/><Relationship Id="rId202" Type="http://schemas.openxmlformats.org/officeDocument/2006/relationships/hyperlink" Target="https://scryfall.com/sets/atdm" TargetMode="External"/><Relationship Id="rId647" Type="http://schemas.openxmlformats.org/officeDocument/2006/relationships/hyperlink" Target="https://scryfall.com/sets/pltc" TargetMode="External"/><Relationship Id="rId854" Type="http://schemas.openxmlformats.org/officeDocument/2006/relationships/hyperlink" Target="https://scryfall.com/sets/ybro" TargetMode="External"/><Relationship Id="rId1277" Type="http://schemas.openxmlformats.org/officeDocument/2006/relationships/hyperlink" Target="https://scryfall.com/sets/ha5" TargetMode="External"/><Relationship Id="rId1484" Type="http://schemas.openxmlformats.org/officeDocument/2006/relationships/hyperlink" Target="https://scryfall.com/sets/ha3" TargetMode="External"/><Relationship Id="rId1691" Type="http://schemas.openxmlformats.org/officeDocument/2006/relationships/hyperlink" Target="https://scryfall.com/sets/prw2" TargetMode="External"/><Relationship Id="rId2328" Type="http://schemas.openxmlformats.org/officeDocument/2006/relationships/hyperlink" Target="https://scryfall.com/sets/tc14" TargetMode="External"/><Relationship Id="rId2535" Type="http://schemas.openxmlformats.org/officeDocument/2006/relationships/hyperlink" Target="https://scryfall.com/sets/wmc" TargetMode="External"/><Relationship Id="rId2742" Type="http://schemas.openxmlformats.org/officeDocument/2006/relationships/hyperlink" Target="https://scryfall.com/sets/tddg" TargetMode="External"/><Relationship Id="rId507" Type="http://schemas.openxmlformats.org/officeDocument/2006/relationships/hyperlink" Target="https://scryfall.com/sets/rvr" TargetMode="External"/><Relationship Id="rId714" Type="http://schemas.openxmlformats.org/officeDocument/2006/relationships/hyperlink" Target="https://scryfall.com/sets/amom" TargetMode="External"/><Relationship Id="rId921" Type="http://schemas.openxmlformats.org/officeDocument/2006/relationships/hyperlink" Target="https://scryfall.com/sets/prcq" TargetMode="External"/><Relationship Id="rId1137" Type="http://schemas.openxmlformats.org/officeDocument/2006/relationships/hyperlink" Target="https://scryfall.com/sets/mvow" TargetMode="External"/><Relationship Id="rId1344" Type="http://schemas.openxmlformats.org/officeDocument/2006/relationships/hyperlink" Target="https://scryfall.com/sets/mkhm" TargetMode="External"/><Relationship Id="rId1551" Type="http://schemas.openxmlformats.org/officeDocument/2006/relationships/hyperlink" Target="https://scryfall.com/sets/slp" TargetMode="External"/><Relationship Id="rId1789" Type="http://schemas.openxmlformats.org/officeDocument/2006/relationships/hyperlink" Target="https://scryfall.com/sets/tm19" TargetMode="External"/><Relationship Id="rId1996" Type="http://schemas.openxmlformats.org/officeDocument/2006/relationships/hyperlink" Target="https://scryfall.com/sets/akh" TargetMode="External"/><Relationship Id="rId2602" Type="http://schemas.openxmlformats.org/officeDocument/2006/relationships/hyperlink" Target="https://scryfall.com/sets/m13" TargetMode="External"/><Relationship Id="rId50" Type="http://schemas.openxmlformats.org/officeDocument/2006/relationships/hyperlink" Target="https://scryfall.com/sets/jtla" TargetMode="External"/><Relationship Id="rId1204" Type="http://schemas.openxmlformats.org/officeDocument/2006/relationships/hyperlink" Target="https://scryfall.com/sets/cmb2" TargetMode="External"/><Relationship Id="rId1411" Type="http://schemas.openxmlformats.org/officeDocument/2006/relationships/hyperlink" Target="https://scryfall.com/sets/aznr" TargetMode="External"/><Relationship Id="rId1649" Type="http://schemas.openxmlformats.org/officeDocument/2006/relationships/hyperlink" Target="https://scryfall.com/sets/tmh1" TargetMode="External"/><Relationship Id="rId1856" Type="http://schemas.openxmlformats.org/officeDocument/2006/relationships/hyperlink" Target="https://scryfall.com/sets/plny" TargetMode="External"/><Relationship Id="rId2907" Type="http://schemas.openxmlformats.org/officeDocument/2006/relationships/hyperlink" Target="https://scryfall.com/sets/pzen" TargetMode="External"/><Relationship Id="rId3071" Type="http://schemas.openxmlformats.org/officeDocument/2006/relationships/hyperlink" Target="https://scryfall.com/sets/g08" TargetMode="External"/><Relationship Id="rId1509" Type="http://schemas.openxmlformats.org/officeDocument/2006/relationships/hyperlink" Target="https://scryfall.com/sets/oc20" TargetMode="External"/><Relationship Id="rId1716" Type="http://schemas.openxmlformats.org/officeDocument/2006/relationships/hyperlink" Target="https://scryfall.com/sets/tgk1" TargetMode="External"/><Relationship Id="rId1923" Type="http://schemas.openxmlformats.org/officeDocument/2006/relationships/hyperlink" Target="https://scryfall.com/sets/pxln" TargetMode="External"/><Relationship Id="rId3169" Type="http://schemas.openxmlformats.org/officeDocument/2006/relationships/hyperlink" Target="https://scryfall.com/sets/cst" TargetMode="External"/><Relationship Id="rId3376" Type="http://schemas.openxmlformats.org/officeDocument/2006/relationships/hyperlink" Target="https://scryfall.com/sets/p03" TargetMode="External"/><Relationship Id="rId3583" Type="http://schemas.openxmlformats.org/officeDocument/2006/relationships/hyperlink" Target="https://scryfall.com/sets/ulg" TargetMode="External"/><Relationship Id="rId297" Type="http://schemas.openxmlformats.org/officeDocument/2006/relationships/hyperlink" Target="https://scryfall.com/sets/fj25" TargetMode="External"/><Relationship Id="rId2185" Type="http://schemas.openxmlformats.org/officeDocument/2006/relationships/hyperlink" Target="https://scryfall.com/sets/oc15" TargetMode="External"/><Relationship Id="rId2392" Type="http://schemas.openxmlformats.org/officeDocument/2006/relationships/hyperlink" Target="https://scryfall.com/sets/tcns" TargetMode="External"/><Relationship Id="rId3029" Type="http://schemas.openxmlformats.org/officeDocument/2006/relationships/hyperlink" Target="https://scryfall.com/sets/teve" TargetMode="External"/><Relationship Id="rId3236" Type="http://schemas.openxmlformats.org/officeDocument/2006/relationships/hyperlink" Target="https://scryfall.com/sets/psal" TargetMode="External"/><Relationship Id="rId3790" Type="http://schemas.openxmlformats.org/officeDocument/2006/relationships/hyperlink" Target="https://scryfall.com/sets/cei" TargetMode="External"/><Relationship Id="rId157" Type="http://schemas.openxmlformats.org/officeDocument/2006/relationships/hyperlink" Target="https://scryfall.com/sets/rfin" TargetMode="External"/><Relationship Id="rId364" Type="http://schemas.openxmlformats.org/officeDocument/2006/relationships/hyperlink" Target="https://scryfall.com/sets/pcbb" TargetMode="External"/><Relationship Id="rId2045" Type="http://schemas.openxmlformats.org/officeDocument/2006/relationships/hyperlink" Target="https://scryfall.com/sets/f17" TargetMode="External"/><Relationship Id="rId2697" Type="http://schemas.openxmlformats.org/officeDocument/2006/relationships/hyperlink" Target="https://scryfall.com/sets/v11" TargetMode="External"/><Relationship Id="rId3443" Type="http://schemas.openxmlformats.org/officeDocument/2006/relationships/hyperlink" Target="https://scryfall.com/sets/pody" TargetMode="External"/><Relationship Id="rId3650" Type="http://schemas.openxmlformats.org/officeDocument/2006/relationships/hyperlink" Target="https://scryfall.com/sets/ptmp" TargetMode="External"/><Relationship Id="rId3748" Type="http://schemas.openxmlformats.org/officeDocument/2006/relationships/hyperlink" Target="https://scryfall.com/sets/4ed" TargetMode="External"/><Relationship Id="rId571" Type="http://schemas.openxmlformats.org/officeDocument/2006/relationships/hyperlink" Target="https://scryfall.com/sets/pmda" TargetMode="External"/><Relationship Id="rId669" Type="http://schemas.openxmlformats.org/officeDocument/2006/relationships/hyperlink" Target="https://scryfall.com/sets/mltr" TargetMode="External"/><Relationship Id="rId876" Type="http://schemas.openxmlformats.org/officeDocument/2006/relationships/hyperlink" Target="https://scryfall.com/sets/sbro" TargetMode="External"/><Relationship Id="rId1299" Type="http://schemas.openxmlformats.org/officeDocument/2006/relationships/hyperlink" Target="https://scryfall.com/sets/mstx" TargetMode="External"/><Relationship Id="rId2252" Type="http://schemas.openxmlformats.org/officeDocument/2006/relationships/hyperlink" Target="https://scryfall.com/sets/tdtk" TargetMode="External"/><Relationship Id="rId2557" Type="http://schemas.openxmlformats.org/officeDocument/2006/relationships/hyperlink" Target="https://scryfall.com/sets/pdp14" TargetMode="External"/><Relationship Id="rId3303" Type="http://schemas.openxmlformats.org/officeDocument/2006/relationships/hyperlink" Target="https://scryfall.com/sets/dst" TargetMode="External"/><Relationship Id="rId3510" Type="http://schemas.openxmlformats.org/officeDocument/2006/relationships/hyperlink" Target="https://scryfall.com/sets/pnem" TargetMode="External"/><Relationship Id="rId3608" Type="http://schemas.openxmlformats.org/officeDocument/2006/relationships/hyperlink" Target="https://scryfall.com/sets/palp" TargetMode="External"/><Relationship Id="rId224" Type="http://schemas.openxmlformats.org/officeDocument/2006/relationships/hyperlink" Target="https://scryfall.com/sets/pdft" TargetMode="External"/><Relationship Id="rId431" Type="http://schemas.openxmlformats.org/officeDocument/2006/relationships/hyperlink" Target="https://scryfall.com/sets/yotj" TargetMode="External"/><Relationship Id="rId529" Type="http://schemas.openxmlformats.org/officeDocument/2006/relationships/hyperlink" Target="https://scryfall.com/sets/plci" TargetMode="External"/><Relationship Id="rId736" Type="http://schemas.openxmlformats.org/officeDocument/2006/relationships/hyperlink" Target="https://scryfall.com/sets/pl23" TargetMode="External"/><Relationship Id="rId1061" Type="http://schemas.openxmlformats.org/officeDocument/2006/relationships/hyperlink" Target="https://scryfall.com/sets/gdy" TargetMode="External"/><Relationship Id="rId1159" Type="http://schemas.openxmlformats.org/officeDocument/2006/relationships/hyperlink" Target="https://scryfall.com/sets/q06" TargetMode="External"/><Relationship Id="rId1366" Type="http://schemas.openxmlformats.org/officeDocument/2006/relationships/hyperlink" Target="https://scryfall.com/sets/pj21" TargetMode="External"/><Relationship Id="rId2112" Type="http://schemas.openxmlformats.org/officeDocument/2006/relationships/hyperlink" Target="https://scryfall.com/sets/v16" TargetMode="External"/><Relationship Id="rId2417" Type="http://schemas.openxmlformats.org/officeDocument/2006/relationships/hyperlink" Target="https://scryfall.com/sets/tdag" TargetMode="External"/><Relationship Id="rId2764" Type="http://schemas.openxmlformats.org/officeDocument/2006/relationships/hyperlink" Target="https://scryfall.com/sets/pw11" TargetMode="External"/><Relationship Id="rId2971" Type="http://schemas.openxmlformats.org/officeDocument/2006/relationships/hyperlink" Target="https://scryfall.com/sets/tcon" TargetMode="External"/><Relationship Id="rId943" Type="http://schemas.openxmlformats.org/officeDocument/2006/relationships/hyperlink" Target="https://scryfall.com/sets/fdmu" TargetMode="External"/><Relationship Id="rId1019" Type="http://schemas.openxmlformats.org/officeDocument/2006/relationships/hyperlink" Target="https://scryfall.com/sets/aclb" TargetMode="External"/><Relationship Id="rId1573" Type="http://schemas.openxmlformats.org/officeDocument/2006/relationships/hyperlink" Target="https://scryfall.com/sets/gn2" TargetMode="External"/><Relationship Id="rId1780" Type="http://schemas.openxmlformats.org/officeDocument/2006/relationships/hyperlink" Target="https://scryfall.com/sets/m19" TargetMode="External"/><Relationship Id="rId1878" Type="http://schemas.openxmlformats.org/officeDocument/2006/relationships/hyperlink" Target="https://scryfall.com/sets/f18" TargetMode="External"/><Relationship Id="rId2624" Type="http://schemas.openxmlformats.org/officeDocument/2006/relationships/hyperlink" Target="https://scryfall.com/sets/tavr" TargetMode="External"/><Relationship Id="rId2831" Type="http://schemas.openxmlformats.org/officeDocument/2006/relationships/hyperlink" Target="https://scryfall.com/sets/arc" TargetMode="External"/><Relationship Id="rId2929" Type="http://schemas.openxmlformats.org/officeDocument/2006/relationships/hyperlink" Target="https://scryfall.com/sets/v09" TargetMode="External"/><Relationship Id="rId72" Type="http://schemas.openxmlformats.org/officeDocument/2006/relationships/hyperlink" Target="https://scryfall.com/sets/lmar" TargetMode="External"/><Relationship Id="rId803" Type="http://schemas.openxmlformats.org/officeDocument/2006/relationships/hyperlink" Target="https://scryfall.com/sets/tscd" TargetMode="External"/><Relationship Id="rId1226" Type="http://schemas.openxmlformats.org/officeDocument/2006/relationships/hyperlink" Target="https://scryfall.com/sets/aafr" TargetMode="External"/><Relationship Id="rId1433" Type="http://schemas.openxmlformats.org/officeDocument/2006/relationships/hyperlink" Target="https://scryfall.com/sets/akr" TargetMode="External"/><Relationship Id="rId1640" Type="http://schemas.openxmlformats.org/officeDocument/2006/relationships/hyperlink" Target="https://scryfall.com/sets/ss2" TargetMode="External"/><Relationship Id="rId1738" Type="http://schemas.openxmlformats.org/officeDocument/2006/relationships/hyperlink" Target="https://scryfall.com/sets/tmed" TargetMode="External"/><Relationship Id="rId3093" Type="http://schemas.openxmlformats.org/officeDocument/2006/relationships/hyperlink" Target="https://scryfall.com/sets/me1" TargetMode="External"/><Relationship Id="rId1500" Type="http://schemas.openxmlformats.org/officeDocument/2006/relationships/hyperlink" Target="https://scryfall.com/sets/tiko" TargetMode="External"/><Relationship Id="rId1945" Type="http://schemas.openxmlformats.org/officeDocument/2006/relationships/hyperlink" Target="https://scryfall.com/sets/phtr" TargetMode="External"/><Relationship Id="rId3160" Type="http://schemas.openxmlformats.org/officeDocument/2006/relationships/hyperlink" Target="https://scryfall.com/sets/csp" TargetMode="External"/><Relationship Id="rId3398" Type="http://schemas.openxmlformats.org/officeDocument/2006/relationships/hyperlink" Target="https://scryfall.com/sets/jp1" TargetMode="External"/><Relationship Id="rId1805" Type="http://schemas.openxmlformats.org/officeDocument/2006/relationships/hyperlink" Target="https://scryfall.com/cubes/vintage" TargetMode="External"/><Relationship Id="rId3020" Type="http://schemas.openxmlformats.org/officeDocument/2006/relationships/hyperlink" Target="https://scryfall.com/sets/drb" TargetMode="External"/><Relationship Id="rId3258" Type="http://schemas.openxmlformats.org/officeDocument/2006/relationships/hyperlink" Target="https://scryfall.com/sets/pal05" TargetMode="External"/><Relationship Id="rId3465" Type="http://schemas.openxmlformats.org/officeDocument/2006/relationships/hyperlink" Target="https://scryfall.com/sets/ppls" TargetMode="External"/><Relationship Id="rId3672" Type="http://schemas.openxmlformats.org/officeDocument/2006/relationships/hyperlink" Target="https://scryfall.com/sets/past" TargetMode="External"/><Relationship Id="rId179" Type="http://schemas.openxmlformats.org/officeDocument/2006/relationships/hyperlink" Target="https://scryfall.com/sets/pss5" TargetMode="External"/><Relationship Id="rId386" Type="http://schemas.openxmlformats.org/officeDocument/2006/relationships/hyperlink" Target="https://scryfall.com/sets/pmh3" TargetMode="External"/><Relationship Id="rId593" Type="http://schemas.openxmlformats.org/officeDocument/2006/relationships/hyperlink" Target="https://scryfall.com/sets/woc" TargetMode="External"/><Relationship Id="rId2067" Type="http://schemas.openxmlformats.org/officeDocument/2006/relationships/hyperlink" Target="https://scryfall.com/sets/pz2" TargetMode="External"/><Relationship Id="rId2274" Type="http://schemas.openxmlformats.org/officeDocument/2006/relationships/hyperlink" Target="https://scryfall.com/sets/cp2" TargetMode="External"/><Relationship Id="rId2481" Type="http://schemas.openxmlformats.org/officeDocument/2006/relationships/hyperlink" Target="https://scryfall.com/sets/tfth" TargetMode="External"/><Relationship Id="rId3118" Type="http://schemas.openxmlformats.org/officeDocument/2006/relationships/hyperlink" Target="https://scryfall.com/sets/pgpx" TargetMode="External"/><Relationship Id="rId3325" Type="http://schemas.openxmlformats.org/officeDocument/2006/relationships/hyperlink" Target="https://scryfall.com/sets/f04" TargetMode="External"/><Relationship Id="rId3532" Type="http://schemas.openxmlformats.org/officeDocument/2006/relationships/hyperlink" Target="https://scryfall.com/sets/psus" TargetMode="External"/><Relationship Id="rId246" Type="http://schemas.openxmlformats.org/officeDocument/2006/relationships/hyperlink" Target="https://scryfall.com/sets/pjsc" TargetMode="External"/><Relationship Id="rId453" Type="http://schemas.openxmlformats.org/officeDocument/2006/relationships/hyperlink" Target="https://scryfall.com/sets/totc" TargetMode="External"/><Relationship Id="rId660" Type="http://schemas.openxmlformats.org/officeDocument/2006/relationships/hyperlink" Target="https://scryfall.com/sets/altr" TargetMode="External"/><Relationship Id="rId898" Type="http://schemas.openxmlformats.org/officeDocument/2006/relationships/hyperlink" Target="https://scryfall.com/sets/tgn3" TargetMode="External"/><Relationship Id="rId1083" Type="http://schemas.openxmlformats.org/officeDocument/2006/relationships/hyperlink" Target="https://scryfall.com/sets/tneo" TargetMode="External"/><Relationship Id="rId1290" Type="http://schemas.openxmlformats.org/officeDocument/2006/relationships/hyperlink" Target="https://scryfall.com/sets/tstx" TargetMode="External"/><Relationship Id="rId2134" Type="http://schemas.openxmlformats.org/officeDocument/2006/relationships/hyperlink" Target="https://scryfall.com/sets/soi" TargetMode="External"/><Relationship Id="rId2341" Type="http://schemas.openxmlformats.org/officeDocument/2006/relationships/hyperlink" Target="https://scryfall.com/sets/pktk" TargetMode="External"/><Relationship Id="rId2579" Type="http://schemas.openxmlformats.org/officeDocument/2006/relationships/hyperlink" Target="https://scryfall.com/sets/rtr" TargetMode="External"/><Relationship Id="rId2786" Type="http://schemas.openxmlformats.org/officeDocument/2006/relationships/hyperlink" Target="https://scryfall.com/sets/p11" TargetMode="External"/><Relationship Id="rId2993" Type="http://schemas.openxmlformats.org/officeDocument/2006/relationships/hyperlink" Target="https://scryfall.com/sets/g09" TargetMode="External"/><Relationship Id="rId106" Type="http://schemas.openxmlformats.org/officeDocument/2006/relationships/hyperlink" Target="https://scryfall.com/sets/aa2" TargetMode="External"/><Relationship Id="rId313" Type="http://schemas.openxmlformats.org/officeDocument/2006/relationships/hyperlink" Target="https://scryfall.com/sets/tdsk" TargetMode="External"/><Relationship Id="rId758" Type="http://schemas.openxmlformats.org/officeDocument/2006/relationships/hyperlink" Target="https://scryfall.com/sets/tonc" TargetMode="External"/><Relationship Id="rId965" Type="http://schemas.openxmlformats.org/officeDocument/2006/relationships/hyperlink" Target="https://scryfall.com/sets/psvc" TargetMode="External"/><Relationship Id="rId1150" Type="http://schemas.openxmlformats.org/officeDocument/2006/relationships/hyperlink" Target="https://scryfall.com/sets/voc" TargetMode="External"/><Relationship Id="rId1388" Type="http://schemas.openxmlformats.org/officeDocument/2006/relationships/hyperlink" Target="https://scryfall.com/sets/plst" TargetMode="External"/><Relationship Id="rId1595" Type="http://schemas.openxmlformats.org/officeDocument/2006/relationships/hyperlink" Target="https://scryfall.com/sets/teld" TargetMode="External"/><Relationship Id="rId2439" Type="http://schemas.openxmlformats.org/officeDocument/2006/relationships/hyperlink" Target="https://scryfall.com/sets/tbng" TargetMode="External"/><Relationship Id="rId2646" Type="http://schemas.openxmlformats.org/officeDocument/2006/relationships/hyperlink" Target="https://scryfall.com/sets/tdka" TargetMode="External"/><Relationship Id="rId2853" Type="http://schemas.openxmlformats.org/officeDocument/2006/relationships/hyperlink" Target="https://scryfall.com/sets/dde" TargetMode="External"/><Relationship Id="rId94" Type="http://schemas.openxmlformats.org/officeDocument/2006/relationships/hyperlink" Target="https://scryfall.com/sets/aa4" TargetMode="External"/><Relationship Id="rId520" Type="http://schemas.openxmlformats.org/officeDocument/2006/relationships/hyperlink" Target="https://scryfall.com/sets/pw24" TargetMode="External"/><Relationship Id="rId618" Type="http://schemas.openxmlformats.org/officeDocument/2006/relationships/hyperlink" Target="https://scryfall.com/sets/ph22" TargetMode="External"/><Relationship Id="rId825" Type="http://schemas.openxmlformats.org/officeDocument/2006/relationships/hyperlink" Target="https://scryfall.com/sets/p30t" TargetMode="External"/><Relationship Id="rId1248" Type="http://schemas.openxmlformats.org/officeDocument/2006/relationships/hyperlink" Target="https://scryfall.com/sets/plg21" TargetMode="External"/><Relationship Id="rId1455" Type="http://schemas.openxmlformats.org/officeDocument/2006/relationships/hyperlink" Target="https://scryfall.com/sets/jmp" TargetMode="External"/><Relationship Id="rId1662" Type="http://schemas.openxmlformats.org/officeDocument/2006/relationships/hyperlink" Target="https://scryfall.com/sets/pwar" TargetMode="External"/><Relationship Id="rId2201" Type="http://schemas.openxmlformats.org/officeDocument/2006/relationships/hyperlink" Target="https://scryfall.com/sets/tbfz" TargetMode="External"/><Relationship Id="rId2506" Type="http://schemas.openxmlformats.org/officeDocument/2006/relationships/hyperlink" Target="https://scryfall.com/sets/tm14" TargetMode="External"/><Relationship Id="rId1010" Type="http://schemas.openxmlformats.org/officeDocument/2006/relationships/hyperlink" Target="https://scryfall.com/sets/mclb" TargetMode="External"/><Relationship Id="rId1108" Type="http://schemas.openxmlformats.org/officeDocument/2006/relationships/hyperlink" Target="https://scryfall.com/sets/aneo" TargetMode="External"/><Relationship Id="rId1315" Type="http://schemas.openxmlformats.org/officeDocument/2006/relationships/hyperlink" Target="https://scryfall.com/sets/oc21" TargetMode="External"/><Relationship Id="rId1967" Type="http://schemas.openxmlformats.org/officeDocument/2006/relationships/hyperlink" Target="https://scryfall.com/sets/phou" TargetMode="External"/><Relationship Id="rId2713" Type="http://schemas.openxmlformats.org/officeDocument/2006/relationships/hyperlink" Target="https://scryfall.com/sets/cmd" TargetMode="External"/><Relationship Id="rId2920" Type="http://schemas.openxmlformats.org/officeDocument/2006/relationships/hyperlink" Target="https://scryfall.com/sets/phop" TargetMode="External"/><Relationship Id="rId1522" Type="http://schemas.openxmlformats.org/officeDocument/2006/relationships/hyperlink" Target="https://scryfall.com/sets/tund" TargetMode="External"/><Relationship Id="rId21" Type="http://schemas.openxmlformats.org/officeDocument/2006/relationships/hyperlink" Target="https://scryfall.com/sets/tmc" TargetMode="External"/><Relationship Id="rId2089" Type="http://schemas.openxmlformats.org/officeDocument/2006/relationships/hyperlink" Target="https://scryfall.com/sets/kld" TargetMode="External"/><Relationship Id="rId3487" Type="http://schemas.openxmlformats.org/officeDocument/2006/relationships/hyperlink" Target="https://scryfall.com/sets/pinv" TargetMode="External"/><Relationship Id="rId3694" Type="http://schemas.openxmlformats.org/officeDocument/2006/relationships/hyperlink" Target="https://scryfall.com/sets/pred" TargetMode="External"/><Relationship Id="rId2296" Type="http://schemas.openxmlformats.org/officeDocument/2006/relationships/hyperlink" Target="https://scryfall.com/sets/evg" TargetMode="External"/><Relationship Id="rId3347" Type="http://schemas.openxmlformats.org/officeDocument/2006/relationships/hyperlink" Target="https://scryfall.com/sets/pscg" TargetMode="External"/><Relationship Id="rId3554" Type="http://schemas.openxmlformats.org/officeDocument/2006/relationships/hyperlink" Target="https://scryfall.com/sets/pwor" TargetMode="External"/><Relationship Id="rId3761" Type="http://schemas.openxmlformats.org/officeDocument/2006/relationships/hyperlink" Target="https://scryfall.com/sets/phpr" TargetMode="External"/><Relationship Id="rId268" Type="http://schemas.openxmlformats.org/officeDocument/2006/relationships/hyperlink" Target="https://scryfall.com/sets/pw25" TargetMode="External"/><Relationship Id="rId475" Type="http://schemas.openxmlformats.org/officeDocument/2006/relationships/hyperlink" Target="https://scryfall.com/sets/ymkm" TargetMode="External"/><Relationship Id="rId682" Type="http://schemas.openxmlformats.org/officeDocument/2006/relationships/hyperlink" Target="https://scryfall.com/sets/mul" TargetMode="External"/><Relationship Id="rId2156" Type="http://schemas.openxmlformats.org/officeDocument/2006/relationships/hyperlink" Target="https://scryfall.com/sets/pogw" TargetMode="External"/><Relationship Id="rId2363" Type="http://schemas.openxmlformats.org/officeDocument/2006/relationships/hyperlink" Target="https://scryfall.com/sets/tm15" TargetMode="External"/><Relationship Id="rId2570" Type="http://schemas.openxmlformats.org/officeDocument/2006/relationships/hyperlink" Target="https://scryfall.com/sets/cm1" TargetMode="External"/><Relationship Id="rId3207" Type="http://schemas.openxmlformats.org/officeDocument/2006/relationships/hyperlink" Target="https://scryfall.com/sets/phuk" TargetMode="External"/><Relationship Id="rId3414" Type="http://schemas.openxmlformats.org/officeDocument/2006/relationships/hyperlink" Target="https://scryfall.com/sets/ptor" TargetMode="External"/><Relationship Id="rId3621" Type="http://schemas.openxmlformats.org/officeDocument/2006/relationships/hyperlink" Target="https://scryfall.com/sets/tugl" TargetMode="External"/><Relationship Id="rId128" Type="http://schemas.openxmlformats.org/officeDocument/2006/relationships/hyperlink" Target="https://scryfall.com/sets/yeoe" TargetMode="External"/><Relationship Id="rId335" Type="http://schemas.openxmlformats.org/officeDocument/2006/relationships/hyperlink" Target="https://scryfall.com/sets/mb2" TargetMode="External"/><Relationship Id="rId542" Type="http://schemas.openxmlformats.org/officeDocument/2006/relationships/hyperlink" Target="https://scryfall.com/sets/alci" TargetMode="External"/><Relationship Id="rId1172" Type="http://schemas.openxmlformats.org/officeDocument/2006/relationships/hyperlink" Target="https://scryfall.com/sets/tmid" TargetMode="External"/><Relationship Id="rId2016" Type="http://schemas.openxmlformats.org/officeDocument/2006/relationships/hyperlink" Target="https://scryfall.com/sets/dds" TargetMode="External"/><Relationship Id="rId2223" Type="http://schemas.openxmlformats.org/officeDocument/2006/relationships/hyperlink" Target="https://scryfall.com/sets/tori" TargetMode="External"/><Relationship Id="rId2430" Type="http://schemas.openxmlformats.org/officeDocument/2006/relationships/hyperlink" Target="https://scryfall.com/sets/bng" TargetMode="External"/><Relationship Id="rId402" Type="http://schemas.openxmlformats.org/officeDocument/2006/relationships/hyperlink" Target="https://scryfall.com/sets/tm3c" TargetMode="External"/><Relationship Id="rId1032" Type="http://schemas.openxmlformats.org/officeDocument/2006/relationships/hyperlink" Target="https://scryfall.com/sets/ptsnc" TargetMode="External"/><Relationship Id="rId1989" Type="http://schemas.openxmlformats.org/officeDocument/2006/relationships/hyperlink" Target="https://scryfall.com/sets/cma" TargetMode="External"/><Relationship Id="rId1849" Type="http://schemas.openxmlformats.org/officeDocument/2006/relationships/hyperlink" Target="https://scryfall.com/sets/a25" TargetMode="External"/><Relationship Id="rId3064" Type="http://schemas.openxmlformats.org/officeDocument/2006/relationships/hyperlink" Target="https://scryfall.com/sets/p08" TargetMode="External"/><Relationship Id="rId192" Type="http://schemas.openxmlformats.org/officeDocument/2006/relationships/hyperlink" Target="https://scryfall.com/sets/ttdm" TargetMode="External"/><Relationship Id="rId1709" Type="http://schemas.openxmlformats.org/officeDocument/2006/relationships/hyperlink" Target="https://scryfall.com/sets/gnt" TargetMode="External"/><Relationship Id="rId1916" Type="http://schemas.openxmlformats.org/officeDocument/2006/relationships/hyperlink" Target="https://scryfall.com/sets/g17" TargetMode="External"/><Relationship Id="rId3271" Type="http://schemas.openxmlformats.org/officeDocument/2006/relationships/hyperlink" Target="https://scryfall.com/sets/p05" TargetMode="External"/><Relationship Id="rId2080" Type="http://schemas.openxmlformats.org/officeDocument/2006/relationships/hyperlink" Target="https://scryfall.com/sets/oc16" TargetMode="External"/><Relationship Id="rId3131" Type="http://schemas.openxmlformats.org/officeDocument/2006/relationships/hyperlink" Target="https://scryfall.com/sets/pmps07" TargetMode="External"/><Relationship Id="rId2897" Type="http://schemas.openxmlformats.org/officeDocument/2006/relationships/hyperlink" Target="https://scryfall.com/sets/ddd" TargetMode="External"/><Relationship Id="rId869" Type="http://schemas.openxmlformats.org/officeDocument/2006/relationships/hyperlink" Target="https://scryfall.com/sets/tbot" TargetMode="External"/><Relationship Id="rId1499" Type="http://schemas.openxmlformats.org/officeDocument/2006/relationships/hyperlink" Target="https://scryfall.com/sets/tiko" TargetMode="External"/><Relationship Id="rId729" Type="http://schemas.openxmlformats.org/officeDocument/2006/relationships/hyperlink" Target="https://scryfall.com/sets/unk" TargetMode="External"/><Relationship Id="rId1359" Type="http://schemas.openxmlformats.org/officeDocument/2006/relationships/hyperlink" Target="https://scryfall.com/sets/akhm" TargetMode="External"/><Relationship Id="rId2757" Type="http://schemas.openxmlformats.org/officeDocument/2006/relationships/hyperlink" Target="https://scryfall.com/sets/me4" TargetMode="External"/><Relationship Id="rId2964" Type="http://schemas.openxmlformats.org/officeDocument/2006/relationships/hyperlink" Target="https://scryfall.com/sets/con" TargetMode="External"/><Relationship Id="rId3808" Type="http://schemas.openxmlformats.org/officeDocument/2006/relationships/hyperlink" Target="https://scryfall.com/sets/lea" TargetMode="External"/><Relationship Id="rId936" Type="http://schemas.openxmlformats.org/officeDocument/2006/relationships/hyperlink" Target="https://scryfall.com/sets/ydmu" TargetMode="External"/><Relationship Id="rId1219" Type="http://schemas.openxmlformats.org/officeDocument/2006/relationships/hyperlink" Target="https://scryfall.com/sets/tafr" TargetMode="External"/><Relationship Id="rId1566" Type="http://schemas.openxmlformats.org/officeDocument/2006/relationships/hyperlink" Target="https://scryfall.com/sets/ha1" TargetMode="External"/><Relationship Id="rId1773" Type="http://schemas.openxmlformats.org/officeDocument/2006/relationships/hyperlink" Target="https://scryfall.com/sets/oana" TargetMode="External"/><Relationship Id="rId1980" Type="http://schemas.openxmlformats.org/officeDocument/2006/relationships/hyperlink" Target="https://scryfall.com/sets/te01" TargetMode="External"/><Relationship Id="rId2617" Type="http://schemas.openxmlformats.org/officeDocument/2006/relationships/hyperlink" Target="https://scryfall.com/sets/avr" TargetMode="External"/><Relationship Id="rId2824" Type="http://schemas.openxmlformats.org/officeDocument/2006/relationships/hyperlink" Target="https://scryfall.com/sets/pm11" TargetMode="External"/><Relationship Id="rId65" Type="http://schemas.openxmlformats.org/officeDocument/2006/relationships/hyperlink" Target="https://scryfall.com/sets/mar" TargetMode="External"/><Relationship Id="rId1426" Type="http://schemas.openxmlformats.org/officeDocument/2006/relationships/hyperlink" Target="https://scryfall.com/sets/sznr" TargetMode="External"/><Relationship Id="rId1633" Type="http://schemas.openxmlformats.org/officeDocument/2006/relationships/hyperlink" Target="https://scryfall.com/sets/tm20" TargetMode="External"/><Relationship Id="rId1840" Type="http://schemas.openxmlformats.org/officeDocument/2006/relationships/hyperlink" Target="https://scryfall.com/sets/ddu" TargetMode="External"/><Relationship Id="rId1700" Type="http://schemas.openxmlformats.org/officeDocument/2006/relationships/hyperlink" Target="https://scryfall.com/sets/puma" TargetMode="External"/><Relationship Id="rId3598" Type="http://schemas.openxmlformats.org/officeDocument/2006/relationships/hyperlink" Target="https://scryfall.com/sets/ath" TargetMode="External"/><Relationship Id="rId3458" Type="http://schemas.openxmlformats.org/officeDocument/2006/relationships/hyperlink" Target="https://scryfall.com/sets/7ed" TargetMode="External"/><Relationship Id="rId3665" Type="http://schemas.openxmlformats.org/officeDocument/2006/relationships/hyperlink" Target="https://scryfall.com/sets/pvan" TargetMode="External"/><Relationship Id="rId379" Type="http://schemas.openxmlformats.org/officeDocument/2006/relationships/hyperlink" Target="https://scryfall.com/sets/aacr" TargetMode="External"/><Relationship Id="rId586" Type="http://schemas.openxmlformats.org/officeDocument/2006/relationships/hyperlink" Target="https://scryfall.com/sets/twoe" TargetMode="External"/><Relationship Id="rId793" Type="http://schemas.openxmlformats.org/officeDocument/2006/relationships/hyperlink" Target="https://scryfall.com/sets/p23" TargetMode="External"/><Relationship Id="rId2267" Type="http://schemas.openxmlformats.org/officeDocument/2006/relationships/hyperlink" Target="https://scryfall.com/sets/pfrf" TargetMode="External"/><Relationship Id="rId2474" Type="http://schemas.openxmlformats.org/officeDocument/2006/relationships/hyperlink" Target="https://scryfall.com/sets/pths" TargetMode="External"/><Relationship Id="rId2681" Type="http://schemas.openxmlformats.org/officeDocument/2006/relationships/hyperlink" Target="https://scryfall.com/sets/pisd" TargetMode="External"/><Relationship Id="rId3318" Type="http://schemas.openxmlformats.org/officeDocument/2006/relationships/hyperlink" Target="https://scryfall.com/sets/p04" TargetMode="External"/><Relationship Id="rId3525" Type="http://schemas.openxmlformats.org/officeDocument/2006/relationships/hyperlink" Target="https://scryfall.com/sets/g00" TargetMode="External"/><Relationship Id="rId239" Type="http://schemas.openxmlformats.org/officeDocument/2006/relationships/hyperlink" Target="https://scryfall.com/sets/drc" TargetMode="External"/><Relationship Id="rId446" Type="http://schemas.openxmlformats.org/officeDocument/2006/relationships/hyperlink" Target="https://scryfall.com/sets/tbig" TargetMode="External"/><Relationship Id="rId653" Type="http://schemas.openxmlformats.org/officeDocument/2006/relationships/hyperlink" Target="https://scryfall.com/sets/tltc" TargetMode="External"/><Relationship Id="rId1076" Type="http://schemas.openxmlformats.org/officeDocument/2006/relationships/hyperlink" Target="https://scryfall.com/sets/neo" TargetMode="External"/><Relationship Id="rId1283" Type="http://schemas.openxmlformats.org/officeDocument/2006/relationships/hyperlink" Target="https://scryfall.com/sets/sta" TargetMode="External"/><Relationship Id="rId1490" Type="http://schemas.openxmlformats.org/officeDocument/2006/relationships/hyperlink" Target="https://scryfall.com/sets/iko" TargetMode="External"/><Relationship Id="rId2127" Type="http://schemas.openxmlformats.org/officeDocument/2006/relationships/hyperlink" Target="https://scryfall.com/sets/ema" TargetMode="External"/><Relationship Id="rId2334" Type="http://schemas.openxmlformats.org/officeDocument/2006/relationships/hyperlink" Target="https://scryfall.com/sets/oc14" TargetMode="External"/><Relationship Id="rId3732" Type="http://schemas.openxmlformats.org/officeDocument/2006/relationships/hyperlink" Target="https://scryfall.com/sets/rin" TargetMode="External"/><Relationship Id="rId306" Type="http://schemas.openxmlformats.org/officeDocument/2006/relationships/hyperlink" Target="https://scryfall.com/sets/pdsk" TargetMode="External"/><Relationship Id="rId860" Type="http://schemas.openxmlformats.org/officeDocument/2006/relationships/hyperlink" Target="https://scryfall.com/sets/tbrc" TargetMode="External"/><Relationship Id="rId1143" Type="http://schemas.openxmlformats.org/officeDocument/2006/relationships/hyperlink" Target="https://scryfall.com/sets/svow" TargetMode="External"/><Relationship Id="rId2541" Type="http://schemas.openxmlformats.org/officeDocument/2006/relationships/hyperlink" Target="https://scryfall.com/sets/tddk" TargetMode="External"/><Relationship Id="rId513" Type="http://schemas.openxmlformats.org/officeDocument/2006/relationships/hyperlink" Target="https://scryfall.com/sets/trvr" TargetMode="External"/><Relationship Id="rId720" Type="http://schemas.openxmlformats.org/officeDocument/2006/relationships/hyperlink" Target="https://scryfall.com/sets/sir" TargetMode="External"/><Relationship Id="rId1350" Type="http://schemas.openxmlformats.org/officeDocument/2006/relationships/hyperlink" Target="https://scryfall.com/sets/khc" TargetMode="External"/><Relationship Id="rId2401" Type="http://schemas.openxmlformats.org/officeDocument/2006/relationships/hyperlink" Target="https://scryfall.com/sets/tmd1" TargetMode="External"/><Relationship Id="rId1003" Type="http://schemas.openxmlformats.org/officeDocument/2006/relationships/hyperlink" Target="https://scryfall.com/sets/pclb" TargetMode="External"/><Relationship Id="rId1210" Type="http://schemas.openxmlformats.org/officeDocument/2006/relationships/hyperlink" Target="https://scryfall.com/sets/afr" TargetMode="External"/><Relationship Id="rId3175" Type="http://schemas.openxmlformats.org/officeDocument/2006/relationships/hyperlink" Target="https://scryfall.com/sets/pdis" TargetMode="External"/><Relationship Id="rId3382" Type="http://schemas.openxmlformats.org/officeDocument/2006/relationships/hyperlink" Target="https://scryfall.com/sets/ovnt" TargetMode="External"/><Relationship Id="rId2191" Type="http://schemas.openxmlformats.org/officeDocument/2006/relationships/hyperlink" Target="https://scryfall.com/sets/bfz" TargetMode="External"/><Relationship Id="rId3035" Type="http://schemas.openxmlformats.org/officeDocument/2006/relationships/hyperlink" Target="https://scryfall.com/sets/pshm" TargetMode="External"/><Relationship Id="rId3242" Type="http://schemas.openxmlformats.org/officeDocument/2006/relationships/hyperlink" Target="https://scryfall.com/sets/p9ed" TargetMode="External"/><Relationship Id="rId163" Type="http://schemas.openxmlformats.org/officeDocument/2006/relationships/hyperlink" Target="https://scryfall.com/sets/afin" TargetMode="External"/><Relationship Id="rId370" Type="http://schemas.openxmlformats.org/officeDocument/2006/relationships/hyperlink" Target="https://scryfall.com/sets/tacr" TargetMode="External"/><Relationship Id="rId2051" Type="http://schemas.openxmlformats.org/officeDocument/2006/relationships/hyperlink" Target="https://scryfall.com/sets/j17" TargetMode="External"/><Relationship Id="rId3102" Type="http://schemas.openxmlformats.org/officeDocument/2006/relationships/hyperlink" Target="https://scryfall.com/sets/p10e" TargetMode="External"/><Relationship Id="rId230" Type="http://schemas.openxmlformats.org/officeDocument/2006/relationships/hyperlink" Target="https://scryfall.com/sets/ydft" TargetMode="External"/><Relationship Id="rId2868" Type="http://schemas.openxmlformats.org/officeDocument/2006/relationships/hyperlink" Target="https://scryfall.com/sets/twwk" TargetMode="External"/><Relationship Id="rId1677" Type="http://schemas.openxmlformats.org/officeDocument/2006/relationships/hyperlink" Target="https://scryfall.com/sets/tgk2" TargetMode="External"/><Relationship Id="rId1884" Type="http://schemas.openxmlformats.org/officeDocument/2006/relationships/hyperlink" Target="https://scryfall.com/sets/ust" TargetMode="External"/><Relationship Id="rId2728" Type="http://schemas.openxmlformats.org/officeDocument/2006/relationships/hyperlink" Target="https://scryfall.com/sets/nph" TargetMode="External"/><Relationship Id="rId2935" Type="http://schemas.openxmlformats.org/officeDocument/2006/relationships/hyperlink" Target="https://scryfall.com/sets/pm10" TargetMode="External"/><Relationship Id="rId907" Type="http://schemas.openxmlformats.org/officeDocument/2006/relationships/hyperlink" Target="https://scryfall.com/sets/sunf" TargetMode="External"/><Relationship Id="rId1537" Type="http://schemas.openxmlformats.org/officeDocument/2006/relationships/hyperlink" Target="https://scryfall.com/sets/pf20" TargetMode="External"/><Relationship Id="rId1744" Type="http://schemas.openxmlformats.org/officeDocument/2006/relationships/hyperlink" Target="https://scryfall.com/sets/tc18" TargetMode="External"/><Relationship Id="rId1951" Type="http://schemas.openxmlformats.org/officeDocument/2006/relationships/hyperlink" Target="https://scryfall.com/sets/c17" TargetMode="External"/><Relationship Id="rId36" Type="http://schemas.openxmlformats.org/officeDocument/2006/relationships/hyperlink" Target="https://scryfall.com/sets/pf26" TargetMode="External"/><Relationship Id="rId1604" Type="http://schemas.openxmlformats.org/officeDocument/2006/relationships/hyperlink" Target="https://scryfall.com/sets/c19" TargetMode="External"/><Relationship Id="rId1811" Type="http://schemas.openxmlformats.org/officeDocument/2006/relationships/hyperlink" Target="https://scryfall.com/sets/cm2" TargetMode="External"/><Relationship Id="rId3569" Type="http://schemas.openxmlformats.org/officeDocument/2006/relationships/hyperlink" Target="https://scryfall.com/sets/puds" TargetMode="External"/><Relationship Id="rId697" Type="http://schemas.openxmlformats.org/officeDocument/2006/relationships/hyperlink" Target="https://scryfall.com/sets/fmom" TargetMode="External"/><Relationship Id="rId2378" Type="http://schemas.openxmlformats.org/officeDocument/2006/relationships/hyperlink" Target="https://scryfall.com/sets/ps14" TargetMode="External"/><Relationship Id="rId3429" Type="http://schemas.openxmlformats.org/officeDocument/2006/relationships/hyperlink" Target="https://scryfall.com/sets/g02" TargetMode="External"/><Relationship Id="rId3776" Type="http://schemas.openxmlformats.org/officeDocument/2006/relationships/hyperlink" Target="https://scryfall.com/sets/3ed" TargetMode="External"/><Relationship Id="rId1187" Type="http://schemas.openxmlformats.org/officeDocument/2006/relationships/hyperlink" Target="https://scryfall.com/sets/omic" TargetMode="External"/><Relationship Id="rId2585" Type="http://schemas.openxmlformats.org/officeDocument/2006/relationships/hyperlink" Target="https://scryfall.com/sets/trtr" TargetMode="External"/><Relationship Id="rId2792" Type="http://schemas.openxmlformats.org/officeDocument/2006/relationships/hyperlink" Target="https://scryfall.com/sets/pd2" TargetMode="External"/><Relationship Id="rId3636" Type="http://schemas.openxmlformats.org/officeDocument/2006/relationships/hyperlink" Target="https://scryfall.com/sets/sth" TargetMode="External"/><Relationship Id="rId557" Type="http://schemas.openxmlformats.org/officeDocument/2006/relationships/hyperlink" Target="https://scryfall.com/sets/lcc" TargetMode="External"/><Relationship Id="rId764" Type="http://schemas.openxmlformats.org/officeDocument/2006/relationships/hyperlink" Target="https://scryfall.com/sets/aone" TargetMode="External"/><Relationship Id="rId971" Type="http://schemas.openxmlformats.org/officeDocument/2006/relationships/hyperlink" Target="https://scryfall.com/sets/ph21" TargetMode="External"/><Relationship Id="rId1394" Type="http://schemas.openxmlformats.org/officeDocument/2006/relationships/hyperlink" Target="https://scryfall.com/sets/znr" TargetMode="External"/><Relationship Id="rId2238" Type="http://schemas.openxmlformats.org/officeDocument/2006/relationships/hyperlink" Target="https://scryfall.com/sets/tmm2" TargetMode="External"/><Relationship Id="rId2445" Type="http://schemas.openxmlformats.org/officeDocument/2006/relationships/hyperlink" Target="https://scryfall.com/sets/thp2" TargetMode="External"/><Relationship Id="rId2652" Type="http://schemas.openxmlformats.org/officeDocument/2006/relationships/hyperlink" Target="https://scryfall.com/sets/pw12" TargetMode="External"/><Relationship Id="rId3703" Type="http://schemas.openxmlformats.org/officeDocument/2006/relationships/hyperlink" Target="https://scryfall.com/sets/parl" TargetMode="External"/><Relationship Id="rId417" Type="http://schemas.openxmlformats.org/officeDocument/2006/relationships/hyperlink" Target="https://scryfall.com/sets/totp" TargetMode="External"/><Relationship Id="rId624" Type="http://schemas.openxmlformats.org/officeDocument/2006/relationships/hyperlink" Target="https://scryfall.com/sets/ea3" TargetMode="External"/><Relationship Id="rId831" Type="http://schemas.openxmlformats.org/officeDocument/2006/relationships/hyperlink" Target="https://scryfall.com/sets/p30m" TargetMode="External"/><Relationship Id="rId1047" Type="http://schemas.openxmlformats.org/officeDocument/2006/relationships/hyperlink" Target="https://scryfall.com/sets/pncc" TargetMode="External"/><Relationship Id="rId1254" Type="http://schemas.openxmlformats.org/officeDocument/2006/relationships/hyperlink" Target="https://scryfall.com/sets/mh2" TargetMode="External"/><Relationship Id="rId1461" Type="http://schemas.openxmlformats.org/officeDocument/2006/relationships/hyperlink" Target="https://scryfall.com/sets/fjmp" TargetMode="External"/><Relationship Id="rId2305" Type="http://schemas.openxmlformats.org/officeDocument/2006/relationships/hyperlink" Target="https://scryfall.com/sets/tgvl" TargetMode="External"/><Relationship Id="rId2512" Type="http://schemas.openxmlformats.org/officeDocument/2006/relationships/hyperlink" Target="https://scryfall.com/sets/psdc" TargetMode="External"/><Relationship Id="rId1114" Type="http://schemas.openxmlformats.org/officeDocument/2006/relationships/hyperlink" Target="https://scryfall.com/sets/dbl" TargetMode="External"/><Relationship Id="rId1321" Type="http://schemas.openxmlformats.org/officeDocument/2006/relationships/hyperlink" Target="https://scryfall.com/sets/ptsr" TargetMode="External"/><Relationship Id="rId3079" Type="http://schemas.openxmlformats.org/officeDocument/2006/relationships/hyperlink" Target="https://scryfall.com/sets/tdd1" TargetMode="External"/><Relationship Id="rId3286" Type="http://schemas.openxmlformats.org/officeDocument/2006/relationships/hyperlink" Target="https://scryfall.com/sets/chk" TargetMode="External"/><Relationship Id="rId3493" Type="http://schemas.openxmlformats.org/officeDocument/2006/relationships/hyperlink" Target="https://scryfall.com/sets/wc00" TargetMode="External"/><Relationship Id="rId2095" Type="http://schemas.openxmlformats.org/officeDocument/2006/relationships/hyperlink" Target="https://scryfall.com/sets/pkld" TargetMode="External"/><Relationship Id="rId3146" Type="http://schemas.openxmlformats.org/officeDocument/2006/relationships/hyperlink" Target="https://scryfall.com/sets/hho" TargetMode="External"/><Relationship Id="rId3353" Type="http://schemas.openxmlformats.org/officeDocument/2006/relationships/hyperlink" Target="https://scryfall.com/sets/lgn" TargetMode="External"/><Relationship Id="rId274" Type="http://schemas.openxmlformats.org/officeDocument/2006/relationships/hyperlink" Target="https://scryfall.com/sets/fdn" TargetMode="External"/><Relationship Id="rId481" Type="http://schemas.openxmlformats.org/officeDocument/2006/relationships/hyperlink" Target="https://scryfall.com/sets/fclu" TargetMode="External"/><Relationship Id="rId2162" Type="http://schemas.openxmlformats.org/officeDocument/2006/relationships/hyperlink" Target="https://scryfall.com/sets/l16" TargetMode="External"/><Relationship Id="rId3006" Type="http://schemas.openxmlformats.org/officeDocument/2006/relationships/hyperlink" Target="https://scryfall.com/sets/pala" TargetMode="External"/><Relationship Id="rId3560" Type="http://schemas.openxmlformats.org/officeDocument/2006/relationships/hyperlink" Target="https://scryfall.com/sets/pgru" TargetMode="External"/><Relationship Id="rId134" Type="http://schemas.openxmlformats.org/officeDocument/2006/relationships/hyperlink" Target="https://scryfall.com/sets/aeoe" TargetMode="External"/><Relationship Id="rId3213" Type="http://schemas.openxmlformats.org/officeDocument/2006/relationships/hyperlink" Target="https://scryfall.com/sets/dci" TargetMode="External"/><Relationship Id="rId3420" Type="http://schemas.openxmlformats.org/officeDocument/2006/relationships/hyperlink" Target="https://scryfall.com/sets/pal02" TargetMode="External"/><Relationship Id="rId341" Type="http://schemas.openxmlformats.org/officeDocument/2006/relationships/hyperlink" Target="https://scryfall.com/sets/pblb" TargetMode="External"/><Relationship Id="rId2022" Type="http://schemas.openxmlformats.org/officeDocument/2006/relationships/hyperlink" Target="https://scryfall.com/sets/tdds" TargetMode="External"/><Relationship Id="rId2979" Type="http://schemas.openxmlformats.org/officeDocument/2006/relationships/hyperlink" Target="https://scryfall.com/sets/pmps09" TargetMode="External"/><Relationship Id="rId201" Type="http://schemas.openxmlformats.org/officeDocument/2006/relationships/hyperlink" Target="https://scryfall.com/sets/atdm" TargetMode="External"/><Relationship Id="rId1788" Type="http://schemas.openxmlformats.org/officeDocument/2006/relationships/hyperlink" Target="https://scryfall.com/sets/tm19" TargetMode="External"/><Relationship Id="rId1995" Type="http://schemas.openxmlformats.org/officeDocument/2006/relationships/hyperlink" Target="https://scryfall.com/sets/akh" TargetMode="External"/><Relationship Id="rId2839" Type="http://schemas.openxmlformats.org/officeDocument/2006/relationships/hyperlink" Target="https://scryfall.com/sets/dpa" TargetMode="External"/><Relationship Id="rId1648" Type="http://schemas.openxmlformats.org/officeDocument/2006/relationships/hyperlink" Target="https://scryfall.com/sets/pmh1" TargetMode="External"/><Relationship Id="rId1508" Type="http://schemas.openxmlformats.org/officeDocument/2006/relationships/hyperlink" Target="https://scryfall.com/sets/oc20" TargetMode="External"/><Relationship Id="rId1855" Type="http://schemas.openxmlformats.org/officeDocument/2006/relationships/hyperlink" Target="https://scryfall.com/sets/plny" TargetMode="External"/><Relationship Id="rId2906" Type="http://schemas.openxmlformats.org/officeDocument/2006/relationships/hyperlink" Target="https://scryfall.com/sets/pzen" TargetMode="External"/><Relationship Id="rId3070" Type="http://schemas.openxmlformats.org/officeDocument/2006/relationships/hyperlink" Target="https://scryfall.com/sets/g08" TargetMode="External"/><Relationship Id="rId1715" Type="http://schemas.openxmlformats.org/officeDocument/2006/relationships/hyperlink" Target="https://scryfall.com/sets/tgk1" TargetMode="External"/><Relationship Id="rId1922" Type="http://schemas.openxmlformats.org/officeDocument/2006/relationships/hyperlink" Target="https://scryfall.com/sets/pxln" TargetMode="External"/><Relationship Id="rId2489" Type="http://schemas.openxmlformats.org/officeDocument/2006/relationships/hyperlink" Target="https://scryfall.com/sets/ddl" TargetMode="External"/><Relationship Id="rId2696" Type="http://schemas.openxmlformats.org/officeDocument/2006/relationships/hyperlink" Target="https://scryfall.com/sets/v11" TargetMode="External"/><Relationship Id="rId3747" Type="http://schemas.openxmlformats.org/officeDocument/2006/relationships/hyperlink" Target="https://scryfall.com/sets/4ed" TargetMode="External"/><Relationship Id="rId668" Type="http://schemas.openxmlformats.org/officeDocument/2006/relationships/hyperlink" Target="https://scryfall.com/sets/mltr" TargetMode="External"/><Relationship Id="rId875" Type="http://schemas.openxmlformats.org/officeDocument/2006/relationships/hyperlink" Target="https://scryfall.com/sets/ptbro" TargetMode="External"/><Relationship Id="rId1298" Type="http://schemas.openxmlformats.org/officeDocument/2006/relationships/hyperlink" Target="https://scryfall.com/sets/mstx" TargetMode="External"/><Relationship Id="rId2349" Type="http://schemas.openxmlformats.org/officeDocument/2006/relationships/hyperlink" Target="https://scryfall.com/sets/ddn" TargetMode="External"/><Relationship Id="rId2556" Type="http://schemas.openxmlformats.org/officeDocument/2006/relationships/hyperlink" Target="https://scryfall.com/sets/pdp14" TargetMode="External"/><Relationship Id="rId2763" Type="http://schemas.openxmlformats.org/officeDocument/2006/relationships/hyperlink" Target="https://scryfall.com/sets/pw11" TargetMode="External"/><Relationship Id="rId2970" Type="http://schemas.openxmlformats.org/officeDocument/2006/relationships/hyperlink" Target="https://scryfall.com/sets/pcon" TargetMode="External"/><Relationship Id="rId3607" Type="http://schemas.openxmlformats.org/officeDocument/2006/relationships/hyperlink" Target="https://scryfall.com/sets/pusg" TargetMode="External"/><Relationship Id="rId528" Type="http://schemas.openxmlformats.org/officeDocument/2006/relationships/hyperlink" Target="https://scryfall.com/sets/plci" TargetMode="External"/><Relationship Id="rId735" Type="http://schemas.openxmlformats.org/officeDocument/2006/relationships/hyperlink" Target="https://scryfall.com/sets/pl23" TargetMode="External"/><Relationship Id="rId942" Type="http://schemas.openxmlformats.org/officeDocument/2006/relationships/hyperlink" Target="https://scryfall.com/sets/fdmu" TargetMode="External"/><Relationship Id="rId1158" Type="http://schemas.openxmlformats.org/officeDocument/2006/relationships/hyperlink" Target="https://scryfall.com/sets/ovoc" TargetMode="External"/><Relationship Id="rId1365" Type="http://schemas.openxmlformats.org/officeDocument/2006/relationships/hyperlink" Target="https://scryfall.com/sets/pj21" TargetMode="External"/><Relationship Id="rId1572" Type="http://schemas.openxmlformats.org/officeDocument/2006/relationships/hyperlink" Target="https://scryfall.com/sets/gn2" TargetMode="External"/><Relationship Id="rId2209" Type="http://schemas.openxmlformats.org/officeDocument/2006/relationships/hyperlink" Target="https://scryfall.com/sets/ddp" TargetMode="External"/><Relationship Id="rId2416" Type="http://schemas.openxmlformats.org/officeDocument/2006/relationships/hyperlink" Target="https://scryfall.com/sets/tdag" TargetMode="External"/><Relationship Id="rId2623" Type="http://schemas.openxmlformats.org/officeDocument/2006/relationships/hyperlink" Target="https://scryfall.com/sets/pavr" TargetMode="External"/><Relationship Id="rId1018" Type="http://schemas.openxmlformats.org/officeDocument/2006/relationships/hyperlink" Target="https://scryfall.com/sets/aclb" TargetMode="External"/><Relationship Id="rId1225" Type="http://schemas.openxmlformats.org/officeDocument/2006/relationships/hyperlink" Target="https://scryfall.com/sets/aafr" TargetMode="External"/><Relationship Id="rId1432" Type="http://schemas.openxmlformats.org/officeDocument/2006/relationships/hyperlink" Target="https://scryfall.com/cubes/tinkerer" TargetMode="External"/><Relationship Id="rId2830" Type="http://schemas.openxmlformats.org/officeDocument/2006/relationships/hyperlink" Target="https://scryfall.com/sets/tm11" TargetMode="External"/><Relationship Id="rId71" Type="http://schemas.openxmlformats.org/officeDocument/2006/relationships/hyperlink" Target="https://scryfall.com/sets/lmar" TargetMode="External"/><Relationship Id="rId802" Type="http://schemas.openxmlformats.org/officeDocument/2006/relationships/hyperlink" Target="https://scryfall.com/sets/tscd" TargetMode="External"/><Relationship Id="rId3397" Type="http://schemas.openxmlformats.org/officeDocument/2006/relationships/hyperlink" Target="https://scryfall.com/sets/jp1" TargetMode="External"/><Relationship Id="rId178" Type="http://schemas.openxmlformats.org/officeDocument/2006/relationships/hyperlink" Target="https://scryfall.com/sets/pss5" TargetMode="External"/><Relationship Id="rId3257" Type="http://schemas.openxmlformats.org/officeDocument/2006/relationships/hyperlink" Target="https://scryfall.com/sets/pal05" TargetMode="External"/><Relationship Id="rId3464" Type="http://schemas.openxmlformats.org/officeDocument/2006/relationships/hyperlink" Target="https://scryfall.com/sets/ppls" TargetMode="External"/><Relationship Id="rId3671" Type="http://schemas.openxmlformats.org/officeDocument/2006/relationships/hyperlink" Target="https://scryfall.com/sets/past" TargetMode="External"/><Relationship Id="rId385" Type="http://schemas.openxmlformats.org/officeDocument/2006/relationships/hyperlink" Target="https://scryfall.com/sets/pmh3" TargetMode="External"/><Relationship Id="rId592" Type="http://schemas.openxmlformats.org/officeDocument/2006/relationships/hyperlink" Target="https://scryfall.com/sets/woc" TargetMode="External"/><Relationship Id="rId2066" Type="http://schemas.openxmlformats.org/officeDocument/2006/relationships/hyperlink" Target="https://scryfall.com/sets/pz2" TargetMode="External"/><Relationship Id="rId2273" Type="http://schemas.openxmlformats.org/officeDocument/2006/relationships/hyperlink" Target="https://scryfall.com/sets/tfrf" TargetMode="External"/><Relationship Id="rId2480" Type="http://schemas.openxmlformats.org/officeDocument/2006/relationships/hyperlink" Target="https://scryfall.com/sets/tfth" TargetMode="External"/><Relationship Id="rId3117" Type="http://schemas.openxmlformats.org/officeDocument/2006/relationships/hyperlink" Target="https://scryfall.com/sets/pgpx" TargetMode="External"/><Relationship Id="rId3324" Type="http://schemas.openxmlformats.org/officeDocument/2006/relationships/hyperlink" Target="https://scryfall.com/sets/f04" TargetMode="External"/><Relationship Id="rId3531" Type="http://schemas.openxmlformats.org/officeDocument/2006/relationships/hyperlink" Target="https://scryfall.com/sets/psus" TargetMode="External"/><Relationship Id="rId245" Type="http://schemas.openxmlformats.org/officeDocument/2006/relationships/hyperlink" Target="https://scryfall.com/sets/pjsc" TargetMode="External"/><Relationship Id="rId452" Type="http://schemas.openxmlformats.org/officeDocument/2006/relationships/hyperlink" Target="https://scryfall.com/sets/totc" TargetMode="External"/><Relationship Id="rId1082" Type="http://schemas.openxmlformats.org/officeDocument/2006/relationships/hyperlink" Target="https://scryfall.com/sets/tneo" TargetMode="External"/><Relationship Id="rId2133" Type="http://schemas.openxmlformats.org/officeDocument/2006/relationships/hyperlink" Target="https://scryfall.com/sets/tema" TargetMode="External"/><Relationship Id="rId2340" Type="http://schemas.openxmlformats.org/officeDocument/2006/relationships/hyperlink" Target="https://scryfall.com/sets/pktk" TargetMode="External"/><Relationship Id="rId105" Type="http://schemas.openxmlformats.org/officeDocument/2006/relationships/hyperlink" Target="https://scryfall.com/sets/aa2" TargetMode="External"/><Relationship Id="rId312" Type="http://schemas.openxmlformats.org/officeDocument/2006/relationships/hyperlink" Target="https://scryfall.com/sets/tdsk" TargetMode="External"/><Relationship Id="rId2200" Type="http://schemas.openxmlformats.org/officeDocument/2006/relationships/hyperlink" Target="https://scryfall.com/sets/tbfz" TargetMode="External"/><Relationship Id="rId1899" Type="http://schemas.openxmlformats.org/officeDocument/2006/relationships/hyperlink" Target="https://scryfall.com/sets/e02" TargetMode="External"/><Relationship Id="rId1759" Type="http://schemas.openxmlformats.org/officeDocument/2006/relationships/hyperlink" Target="https://scryfall.com/sets/ps18" TargetMode="External"/><Relationship Id="rId1966" Type="http://schemas.openxmlformats.org/officeDocument/2006/relationships/hyperlink" Target="https://scryfall.com/sets/hou" TargetMode="External"/><Relationship Id="rId3181" Type="http://schemas.openxmlformats.org/officeDocument/2006/relationships/hyperlink" Target="https://scryfall.com/sets/gpt" TargetMode="External"/><Relationship Id="rId1619" Type="http://schemas.openxmlformats.org/officeDocument/2006/relationships/hyperlink" Target="https://scryfall.com/sets/ps19" TargetMode="External"/><Relationship Id="rId1826" Type="http://schemas.openxmlformats.org/officeDocument/2006/relationships/hyperlink" Target="https://scryfall.com/sets/tbbd" TargetMode="External"/><Relationship Id="rId3041" Type="http://schemas.openxmlformats.org/officeDocument/2006/relationships/hyperlink" Target="https://scryfall.com/sets/tshm" TargetMode="External"/><Relationship Id="rId779" Type="http://schemas.openxmlformats.org/officeDocument/2006/relationships/hyperlink" Target="https://scryfall.com/sets/tdmr" TargetMode="External"/><Relationship Id="rId986" Type="http://schemas.openxmlformats.org/officeDocument/2006/relationships/hyperlink" Target="https://scryfall.com/sets/2x2" TargetMode="External"/><Relationship Id="rId2667" Type="http://schemas.openxmlformats.org/officeDocument/2006/relationships/hyperlink" Target="https://scryfall.com/sets/j12" TargetMode="External"/><Relationship Id="rId3718" Type="http://schemas.openxmlformats.org/officeDocument/2006/relationships/hyperlink" Target="https://scryfall.com/sets/ptc" TargetMode="External"/><Relationship Id="rId639" Type="http://schemas.openxmlformats.org/officeDocument/2006/relationships/hyperlink" Target="https://scryfall.com/sets/pltr" TargetMode="External"/><Relationship Id="rId1269" Type="http://schemas.openxmlformats.org/officeDocument/2006/relationships/hyperlink" Target="https://scryfall.com/sets/mmh2" TargetMode="External"/><Relationship Id="rId1476" Type="http://schemas.openxmlformats.org/officeDocument/2006/relationships/hyperlink" Target="https://scryfall.com/sets/ss3" TargetMode="External"/><Relationship Id="rId2874" Type="http://schemas.openxmlformats.org/officeDocument/2006/relationships/hyperlink" Target="https://scryfall.com/sets/pmps10" TargetMode="External"/><Relationship Id="rId846" Type="http://schemas.openxmlformats.org/officeDocument/2006/relationships/hyperlink" Target="https://scryfall.com/sets/pbro" TargetMode="External"/><Relationship Id="rId1129" Type="http://schemas.openxmlformats.org/officeDocument/2006/relationships/hyperlink" Target="https://scryfall.com/sets/pvow" TargetMode="External"/><Relationship Id="rId1683" Type="http://schemas.openxmlformats.org/officeDocument/2006/relationships/hyperlink" Target="https://scryfall.com/sets/prna" TargetMode="External"/><Relationship Id="rId1890" Type="http://schemas.openxmlformats.org/officeDocument/2006/relationships/hyperlink" Target="https://scryfall.com/sets/tust" TargetMode="External"/><Relationship Id="rId2527" Type="http://schemas.openxmlformats.org/officeDocument/2006/relationships/hyperlink" Target="https://scryfall.com/sets/pdgm" TargetMode="External"/><Relationship Id="rId2734" Type="http://schemas.openxmlformats.org/officeDocument/2006/relationships/hyperlink" Target="https://scryfall.com/sets/tnph" TargetMode="External"/><Relationship Id="rId2941" Type="http://schemas.openxmlformats.org/officeDocument/2006/relationships/hyperlink" Target="https://scryfall.com/sets/tm10" TargetMode="External"/><Relationship Id="rId706" Type="http://schemas.openxmlformats.org/officeDocument/2006/relationships/hyperlink" Target="https://scryfall.com/sets/tmoc" TargetMode="External"/><Relationship Id="rId913" Type="http://schemas.openxmlformats.org/officeDocument/2006/relationships/hyperlink" Target="https://scryfall.com/sets/40k" TargetMode="External"/><Relationship Id="rId1336" Type="http://schemas.openxmlformats.org/officeDocument/2006/relationships/hyperlink" Target="https://scryfall.com/sets/pkhm" TargetMode="External"/><Relationship Id="rId1543" Type="http://schemas.openxmlformats.org/officeDocument/2006/relationships/hyperlink" Target="https://scryfall.com/sets/sld" TargetMode="External"/><Relationship Id="rId1750" Type="http://schemas.openxmlformats.org/officeDocument/2006/relationships/hyperlink" Target="https://scryfall.com/sets/oc18" TargetMode="External"/><Relationship Id="rId2801" Type="http://schemas.openxmlformats.org/officeDocument/2006/relationships/hyperlink" Target="https://scryfall.com/sets/som" TargetMode="External"/><Relationship Id="rId42" Type="http://schemas.openxmlformats.org/officeDocument/2006/relationships/hyperlink" Target="https://scryfall.com/sets/ttla" TargetMode="External"/><Relationship Id="rId1403" Type="http://schemas.openxmlformats.org/officeDocument/2006/relationships/hyperlink" Target="https://scryfall.com/sets/pznr" TargetMode="External"/><Relationship Id="rId1610" Type="http://schemas.openxmlformats.org/officeDocument/2006/relationships/hyperlink" Target="https://scryfall.com/sets/tc19" TargetMode="External"/><Relationship Id="rId3368" Type="http://schemas.openxmlformats.org/officeDocument/2006/relationships/hyperlink" Target="https://scryfall.com/sets/pal03" TargetMode="External"/><Relationship Id="rId3575" Type="http://schemas.openxmlformats.org/officeDocument/2006/relationships/hyperlink" Target="https://scryfall.com/sets/pptk" TargetMode="External"/><Relationship Id="rId3782" Type="http://schemas.openxmlformats.org/officeDocument/2006/relationships/hyperlink" Target="https://scryfall.com/sets/atq" TargetMode="External"/><Relationship Id="rId289" Type="http://schemas.openxmlformats.org/officeDocument/2006/relationships/hyperlink" Target="https://scryfall.com/sets/fdc" TargetMode="External"/><Relationship Id="rId496" Type="http://schemas.openxmlformats.org/officeDocument/2006/relationships/hyperlink" Target="https://scryfall.com/sets/wmkm/ja" TargetMode="External"/><Relationship Id="rId2177" Type="http://schemas.openxmlformats.org/officeDocument/2006/relationships/hyperlink" Target="https://scryfall.com/sets/pz1" TargetMode="External"/><Relationship Id="rId2384" Type="http://schemas.openxmlformats.org/officeDocument/2006/relationships/hyperlink" Target="https://scryfall.com/sets/vma" TargetMode="External"/><Relationship Id="rId2591" Type="http://schemas.openxmlformats.org/officeDocument/2006/relationships/hyperlink" Target="https://scryfall.com/sets/ddj" TargetMode="External"/><Relationship Id="rId3228" Type="http://schemas.openxmlformats.org/officeDocument/2006/relationships/hyperlink" Target="https://scryfall.com/sets/rav" TargetMode="External"/><Relationship Id="rId3435" Type="http://schemas.openxmlformats.org/officeDocument/2006/relationships/hyperlink" Target="https://scryfall.com/sets/dkm" TargetMode="External"/><Relationship Id="rId3642" Type="http://schemas.openxmlformats.org/officeDocument/2006/relationships/hyperlink" Target="https://scryfall.com/sets/jgp" TargetMode="External"/><Relationship Id="rId149" Type="http://schemas.openxmlformats.org/officeDocument/2006/relationships/hyperlink" Target="https://scryfall.com/sets/pfin" TargetMode="External"/><Relationship Id="rId356" Type="http://schemas.openxmlformats.org/officeDocument/2006/relationships/hyperlink" Target="https://scryfall.com/sets/blc" TargetMode="External"/><Relationship Id="rId563" Type="http://schemas.openxmlformats.org/officeDocument/2006/relationships/hyperlink" Target="https://scryfall.com/sets/who" TargetMode="External"/><Relationship Id="rId770" Type="http://schemas.openxmlformats.org/officeDocument/2006/relationships/hyperlink" Target="https://scryfall.com/sets/fone" TargetMode="External"/><Relationship Id="rId1193" Type="http://schemas.openxmlformats.org/officeDocument/2006/relationships/hyperlink" Target="https://scryfall.com/sets/mmid" TargetMode="External"/><Relationship Id="rId2037" Type="http://schemas.openxmlformats.org/officeDocument/2006/relationships/hyperlink" Target="https://scryfall.com/sets/taer" TargetMode="External"/><Relationship Id="rId2244" Type="http://schemas.openxmlformats.org/officeDocument/2006/relationships/hyperlink" Target="https://scryfall.com/sets/tpr" TargetMode="External"/><Relationship Id="rId2451" Type="http://schemas.openxmlformats.org/officeDocument/2006/relationships/hyperlink" Target="https://scryfall.com/sets/l14" TargetMode="External"/><Relationship Id="rId216" Type="http://schemas.openxmlformats.org/officeDocument/2006/relationships/hyperlink" Target="https://scryfall.com/sets/pl25" TargetMode="External"/><Relationship Id="rId423" Type="http://schemas.openxmlformats.org/officeDocument/2006/relationships/hyperlink" Target="https://scryfall.com/sets/potj" TargetMode="External"/><Relationship Id="rId1053" Type="http://schemas.openxmlformats.org/officeDocument/2006/relationships/hyperlink" Target="https://scryfall.com/sets/msnc" TargetMode="External"/><Relationship Id="rId1260" Type="http://schemas.openxmlformats.org/officeDocument/2006/relationships/hyperlink" Target="https://scryfall.com/sets/tmh2" TargetMode="External"/><Relationship Id="rId2104" Type="http://schemas.openxmlformats.org/officeDocument/2006/relationships/hyperlink" Target="https://scryfall.com/sets/ddr" TargetMode="External"/><Relationship Id="rId3502" Type="http://schemas.openxmlformats.org/officeDocument/2006/relationships/hyperlink" Target="https://scryfall.com/sets/ppcy" TargetMode="External"/><Relationship Id="rId630" Type="http://schemas.openxmlformats.org/officeDocument/2006/relationships/hyperlink" Target="https://scryfall.com/sets/pf23" TargetMode="External"/><Relationship Id="rId2311" Type="http://schemas.openxmlformats.org/officeDocument/2006/relationships/hyperlink" Target="https://scryfall.com/sets/jvc" TargetMode="External"/><Relationship Id="rId1120" Type="http://schemas.openxmlformats.org/officeDocument/2006/relationships/hyperlink" Target="https://scryfall.com/sets/p22" TargetMode="External"/><Relationship Id="rId1937" Type="http://schemas.openxmlformats.org/officeDocument/2006/relationships/hyperlink" Target="https://scryfall.com/sets/pss2" TargetMode="External"/><Relationship Id="rId3085" Type="http://schemas.openxmlformats.org/officeDocument/2006/relationships/hyperlink" Target="https://scryfall.com/sets/plrw" TargetMode="External"/><Relationship Id="rId3292" Type="http://schemas.openxmlformats.org/officeDocument/2006/relationships/hyperlink" Target="https://scryfall.com/sets/wc04" TargetMode="External"/><Relationship Id="rId3152" Type="http://schemas.openxmlformats.org/officeDocument/2006/relationships/hyperlink" Target="https://scryfall.com/sets/tsp" TargetMode="External"/><Relationship Id="rId280" Type="http://schemas.openxmlformats.org/officeDocument/2006/relationships/hyperlink" Target="https://scryfall.com/sets/pfdn" TargetMode="External"/><Relationship Id="rId3012" Type="http://schemas.openxmlformats.org/officeDocument/2006/relationships/hyperlink" Target="https://scryfall.com/sets/tala" TargetMode="External"/><Relationship Id="rId140" Type="http://schemas.openxmlformats.org/officeDocument/2006/relationships/hyperlink" Target="https://scryfall.com/sets/teoc" TargetMode="External"/><Relationship Id="rId6" Type="http://schemas.openxmlformats.org/officeDocument/2006/relationships/hyperlink" Target="https://scryfall.com/sets/msc" TargetMode="External"/><Relationship Id="rId2778" Type="http://schemas.openxmlformats.org/officeDocument/2006/relationships/hyperlink" Target="https://scryfall.com/sets/olgc" TargetMode="External"/><Relationship Id="rId2985" Type="http://schemas.openxmlformats.org/officeDocument/2006/relationships/hyperlink" Target="https://scryfall.com/sets/f09" TargetMode="External"/><Relationship Id="rId957" Type="http://schemas.openxmlformats.org/officeDocument/2006/relationships/hyperlink" Target="https://scryfall.com/sets/tdmc" TargetMode="External"/><Relationship Id="rId1587" Type="http://schemas.openxmlformats.org/officeDocument/2006/relationships/hyperlink" Target="https://scryfall.com/sets/eld" TargetMode="External"/><Relationship Id="rId1794" Type="http://schemas.openxmlformats.org/officeDocument/2006/relationships/hyperlink" Target="https://scryfall.com/sets/pss3" TargetMode="External"/><Relationship Id="rId2638" Type="http://schemas.openxmlformats.org/officeDocument/2006/relationships/hyperlink" Target="https://scryfall.com/sets/tddi" TargetMode="External"/><Relationship Id="rId2845" Type="http://schemas.openxmlformats.org/officeDocument/2006/relationships/hyperlink" Target="https://scryfall.com/sets/roe" TargetMode="External"/><Relationship Id="rId86" Type="http://schemas.openxmlformats.org/officeDocument/2006/relationships/hyperlink" Target="https://scryfall.com/sets/spe" TargetMode="External"/><Relationship Id="rId817" Type="http://schemas.openxmlformats.org/officeDocument/2006/relationships/hyperlink" Target="https://scryfall.com/sets/p30a" TargetMode="External"/><Relationship Id="rId1447" Type="http://schemas.openxmlformats.org/officeDocument/2006/relationships/hyperlink" Target="https://scryfall.com/sets/t2xm" TargetMode="External"/><Relationship Id="rId1654" Type="http://schemas.openxmlformats.org/officeDocument/2006/relationships/hyperlink" Target="https://scryfall.com/sets/amh1" TargetMode="External"/><Relationship Id="rId1861" Type="http://schemas.openxmlformats.org/officeDocument/2006/relationships/hyperlink" Target="https://scryfall.com/sets/pnat" TargetMode="External"/><Relationship Id="rId2705" Type="http://schemas.openxmlformats.org/officeDocument/2006/relationships/hyperlink" Target="https://scryfall.com/sets/pm12" TargetMode="External"/><Relationship Id="rId2912" Type="http://schemas.openxmlformats.org/officeDocument/2006/relationships/hyperlink" Target="https://scryfall.com/sets/me3" TargetMode="External"/><Relationship Id="rId1307" Type="http://schemas.openxmlformats.org/officeDocument/2006/relationships/hyperlink" Target="https://scryfall.com/sets/c21" TargetMode="External"/><Relationship Id="rId1514" Type="http://schemas.openxmlformats.org/officeDocument/2006/relationships/hyperlink" Target="https://scryfall.com/sets/ha2" TargetMode="External"/><Relationship Id="rId1721" Type="http://schemas.openxmlformats.org/officeDocument/2006/relationships/hyperlink" Target="https://scryfall.com/sets/grn" TargetMode="External"/><Relationship Id="rId13" Type="http://schemas.openxmlformats.org/officeDocument/2006/relationships/hyperlink" Target="https://scryfall.com/sets/pza" TargetMode="External"/><Relationship Id="rId3479" Type="http://schemas.openxmlformats.org/officeDocument/2006/relationships/hyperlink" Target="https://scryfall.com/sets/f01" TargetMode="External"/><Relationship Id="rId3686" Type="http://schemas.openxmlformats.org/officeDocument/2006/relationships/hyperlink" Target="https://scryfall.com/sets/mgb" TargetMode="External"/><Relationship Id="rId2288" Type="http://schemas.openxmlformats.org/officeDocument/2006/relationships/hyperlink" Target="https://scryfall.com/sets/f15" TargetMode="External"/><Relationship Id="rId2495" Type="http://schemas.openxmlformats.org/officeDocument/2006/relationships/hyperlink" Target="https://scryfall.com/sets/v13" TargetMode="External"/><Relationship Id="rId3339" Type="http://schemas.openxmlformats.org/officeDocument/2006/relationships/hyperlink" Target="https://scryfall.com/sets/8ed" TargetMode="External"/><Relationship Id="rId467" Type="http://schemas.openxmlformats.org/officeDocument/2006/relationships/hyperlink" Target="https://scryfall.com/sets/pmkm" TargetMode="External"/><Relationship Id="rId1097" Type="http://schemas.openxmlformats.org/officeDocument/2006/relationships/hyperlink" Target="https://scryfall.com/sets/sneo" TargetMode="External"/><Relationship Id="rId2148" Type="http://schemas.openxmlformats.org/officeDocument/2006/relationships/hyperlink" Target="https://scryfall.com/sets/ddq" TargetMode="External"/><Relationship Id="rId3546" Type="http://schemas.openxmlformats.org/officeDocument/2006/relationships/hyperlink" Target="https://scryfall.com/sets/pwos" TargetMode="External"/><Relationship Id="rId3753" Type="http://schemas.openxmlformats.org/officeDocument/2006/relationships/hyperlink" Target="https://scryfall.com/sets/pmei" TargetMode="External"/><Relationship Id="rId674" Type="http://schemas.openxmlformats.org/officeDocument/2006/relationships/hyperlink" Target="https://scryfall.com/sets/pmat" TargetMode="External"/><Relationship Id="rId881" Type="http://schemas.openxmlformats.org/officeDocument/2006/relationships/hyperlink" Target="https://scryfall.com/sets/abro" TargetMode="External"/><Relationship Id="rId2355" Type="http://schemas.openxmlformats.org/officeDocument/2006/relationships/hyperlink" Target="https://scryfall.com/sets/m15" TargetMode="External"/><Relationship Id="rId2562" Type="http://schemas.openxmlformats.org/officeDocument/2006/relationships/hyperlink" Target="https://scryfall.com/sets/j13" TargetMode="External"/><Relationship Id="rId3406" Type="http://schemas.openxmlformats.org/officeDocument/2006/relationships/hyperlink" Target="https://scryfall.com/sets/jud" TargetMode="External"/><Relationship Id="rId3613" Type="http://schemas.openxmlformats.org/officeDocument/2006/relationships/hyperlink" Target="https://scryfall.com/sets/wc98" TargetMode="External"/><Relationship Id="rId327" Type="http://schemas.openxmlformats.org/officeDocument/2006/relationships/hyperlink" Target="https://scryfall.com/sets/adsk" TargetMode="External"/><Relationship Id="rId534" Type="http://schemas.openxmlformats.org/officeDocument/2006/relationships/hyperlink" Target="https://scryfall.com/sets/tlci" TargetMode="External"/><Relationship Id="rId741" Type="http://schemas.openxmlformats.org/officeDocument/2006/relationships/hyperlink" Target="https://scryfall.com/sets/pone" TargetMode="External"/><Relationship Id="rId1164" Type="http://schemas.openxmlformats.org/officeDocument/2006/relationships/hyperlink" Target="https://scryfall.com/sets/mid" TargetMode="External"/><Relationship Id="rId1371" Type="http://schemas.openxmlformats.org/officeDocument/2006/relationships/hyperlink" Target="https://scryfall.com/sets/cc1" TargetMode="External"/><Relationship Id="rId2008" Type="http://schemas.openxmlformats.org/officeDocument/2006/relationships/hyperlink" Target="https://scryfall.com/sets/takh" TargetMode="External"/><Relationship Id="rId2215" Type="http://schemas.openxmlformats.org/officeDocument/2006/relationships/hyperlink" Target="https://scryfall.com/sets/ori" TargetMode="External"/><Relationship Id="rId2422" Type="http://schemas.openxmlformats.org/officeDocument/2006/relationships/hyperlink" Target="https://scryfall.com/sets/thp3" TargetMode="External"/><Relationship Id="rId601" Type="http://schemas.openxmlformats.org/officeDocument/2006/relationships/hyperlink" Target="https://scryfall.com/sets/wwoe/ja" TargetMode="External"/><Relationship Id="rId1024" Type="http://schemas.openxmlformats.org/officeDocument/2006/relationships/hyperlink" Target="https://scryfall.com/sets/snc" TargetMode="External"/><Relationship Id="rId1231" Type="http://schemas.openxmlformats.org/officeDocument/2006/relationships/hyperlink" Target="https://scryfall.com/sets/tafc" TargetMode="External"/><Relationship Id="rId3196" Type="http://schemas.openxmlformats.org/officeDocument/2006/relationships/hyperlink" Target="https://scryfall.com/sets/pjas" TargetMode="External"/><Relationship Id="rId3056" Type="http://schemas.openxmlformats.org/officeDocument/2006/relationships/hyperlink" Target="https://scryfall.com/sets/tmor" TargetMode="External"/><Relationship Id="rId3263" Type="http://schemas.openxmlformats.org/officeDocument/2006/relationships/hyperlink" Target="https://scryfall.com/sets/pjse" TargetMode="External"/><Relationship Id="rId3470" Type="http://schemas.openxmlformats.org/officeDocument/2006/relationships/hyperlink" Target="https://scryfall.com/sets/pal01" TargetMode="External"/><Relationship Id="rId184" Type="http://schemas.openxmlformats.org/officeDocument/2006/relationships/hyperlink" Target="https://scryfall.com/sets/tdm" TargetMode="External"/><Relationship Id="rId391" Type="http://schemas.openxmlformats.org/officeDocument/2006/relationships/hyperlink" Target="https://scryfall.com/sets/tmh3" TargetMode="External"/><Relationship Id="rId1908" Type="http://schemas.openxmlformats.org/officeDocument/2006/relationships/hyperlink" Target="https://scryfall.com/sets/ddt" TargetMode="External"/><Relationship Id="rId2072" Type="http://schemas.openxmlformats.org/officeDocument/2006/relationships/hyperlink" Target="https://scryfall.com/sets/c16" TargetMode="External"/><Relationship Id="rId3123" Type="http://schemas.openxmlformats.org/officeDocument/2006/relationships/hyperlink" Target="https://scryfall.com/sets/plc" TargetMode="External"/><Relationship Id="rId251" Type="http://schemas.openxmlformats.org/officeDocument/2006/relationships/hyperlink" Target="https://scryfall.com/sets/inr" TargetMode="External"/><Relationship Id="rId3330" Type="http://schemas.openxmlformats.org/officeDocument/2006/relationships/hyperlink" Target="https://scryfall.com/sets/pmrd" TargetMode="External"/><Relationship Id="rId2889" Type="http://schemas.openxmlformats.org/officeDocument/2006/relationships/hyperlink" Target="https://scryfall.com/sets/f10" TargetMode="External"/><Relationship Id="rId111" Type="http://schemas.openxmlformats.org/officeDocument/2006/relationships/hyperlink" Target="https://scryfall.com/sets/aa1" TargetMode="External"/><Relationship Id="rId1698" Type="http://schemas.openxmlformats.org/officeDocument/2006/relationships/hyperlink" Target="https://scryfall.com/sets/uma" TargetMode="External"/><Relationship Id="rId2749" Type="http://schemas.openxmlformats.org/officeDocument/2006/relationships/hyperlink" Target="https://scryfall.com/sets/pmbs" TargetMode="External"/><Relationship Id="rId2956" Type="http://schemas.openxmlformats.org/officeDocument/2006/relationships/hyperlink" Target="https://scryfall.com/sets/ddc" TargetMode="External"/><Relationship Id="rId928" Type="http://schemas.openxmlformats.org/officeDocument/2006/relationships/hyperlink" Target="https://scryfall.com/sets/pdmu" TargetMode="External"/><Relationship Id="rId1558" Type="http://schemas.openxmlformats.org/officeDocument/2006/relationships/hyperlink" Target="https://scryfall.com/sets/slx" TargetMode="External"/><Relationship Id="rId1765" Type="http://schemas.openxmlformats.org/officeDocument/2006/relationships/hyperlink" Target="https://scryfall.com/sets/ana" TargetMode="External"/><Relationship Id="rId2609" Type="http://schemas.openxmlformats.org/officeDocument/2006/relationships/hyperlink" Target="https://scryfall.com/sets/tm13" TargetMode="External"/><Relationship Id="rId57" Type="http://schemas.openxmlformats.org/officeDocument/2006/relationships/hyperlink" Target="https://scryfall.com/sets/ttle" TargetMode="External"/><Relationship Id="rId1418" Type="http://schemas.openxmlformats.org/officeDocument/2006/relationships/hyperlink" Target="https://scryfall.com/sets/znc" TargetMode="External"/><Relationship Id="rId1972" Type="http://schemas.openxmlformats.org/officeDocument/2006/relationships/hyperlink" Target="https://scryfall.com/sets/thou" TargetMode="External"/><Relationship Id="rId2816" Type="http://schemas.openxmlformats.org/officeDocument/2006/relationships/hyperlink" Target="https://scryfall.com/sets/tddf" TargetMode="External"/><Relationship Id="rId1625" Type="http://schemas.openxmlformats.org/officeDocument/2006/relationships/hyperlink" Target="https://scryfall.com/sets/m20" TargetMode="External"/><Relationship Id="rId1832" Type="http://schemas.openxmlformats.org/officeDocument/2006/relationships/hyperlink" Target="https://scryfall.com/sets/dom" TargetMode="External"/><Relationship Id="rId3797" Type="http://schemas.openxmlformats.org/officeDocument/2006/relationships/hyperlink" Target="https://scryfall.com/sets/ced" TargetMode="External"/><Relationship Id="rId2399" Type="http://schemas.openxmlformats.org/officeDocument/2006/relationships/hyperlink" Target="https://scryfall.com/sets/md1" TargetMode="External"/><Relationship Id="rId3657" Type="http://schemas.openxmlformats.org/officeDocument/2006/relationships/hyperlink" Target="https://scryfall.com/sets/wth" TargetMode="External"/><Relationship Id="rId578" Type="http://schemas.openxmlformats.org/officeDocument/2006/relationships/hyperlink" Target="https://scryfall.com/sets/wot" TargetMode="External"/><Relationship Id="rId785" Type="http://schemas.openxmlformats.org/officeDocument/2006/relationships/hyperlink" Target="https://scryfall.com/sets/pr23" TargetMode="External"/><Relationship Id="rId992" Type="http://schemas.openxmlformats.org/officeDocument/2006/relationships/hyperlink" Target="https://scryfall.com/sets/hbg" TargetMode="External"/><Relationship Id="rId2259" Type="http://schemas.openxmlformats.org/officeDocument/2006/relationships/hyperlink" Target="https://scryfall.com/sets/ptkdf" TargetMode="External"/><Relationship Id="rId2466" Type="http://schemas.openxmlformats.org/officeDocument/2006/relationships/hyperlink" Target="https://scryfall.com/sets/oc13" TargetMode="External"/><Relationship Id="rId2673" Type="http://schemas.openxmlformats.org/officeDocument/2006/relationships/hyperlink" Target="https://scryfall.com/sets/f12" TargetMode="External"/><Relationship Id="rId2880" Type="http://schemas.openxmlformats.org/officeDocument/2006/relationships/hyperlink" Target="https://scryfall.com/sets/p10" TargetMode="External"/><Relationship Id="rId3517" Type="http://schemas.openxmlformats.org/officeDocument/2006/relationships/hyperlink" Target="https://scryfall.com/sets/pelp" TargetMode="External"/><Relationship Id="rId3724" Type="http://schemas.openxmlformats.org/officeDocument/2006/relationships/hyperlink" Target="https://scryfall.com/sets/o90p" TargetMode="External"/><Relationship Id="rId438" Type="http://schemas.openxmlformats.org/officeDocument/2006/relationships/hyperlink" Target="https://scryfall.com/sets/big" TargetMode="External"/><Relationship Id="rId645" Type="http://schemas.openxmlformats.org/officeDocument/2006/relationships/hyperlink" Target="https://scryfall.com/sets/pltc" TargetMode="External"/><Relationship Id="rId852" Type="http://schemas.openxmlformats.org/officeDocument/2006/relationships/hyperlink" Target="https://scryfall.com/sets/tbro" TargetMode="External"/><Relationship Id="rId1068" Type="http://schemas.openxmlformats.org/officeDocument/2006/relationships/hyperlink" Target="https://scryfall.com/sets/pw22" TargetMode="External"/><Relationship Id="rId1275" Type="http://schemas.openxmlformats.org/officeDocument/2006/relationships/hyperlink" Target="https://scryfall.com/sets/h1r" TargetMode="External"/><Relationship Id="rId1482" Type="http://schemas.openxmlformats.org/officeDocument/2006/relationships/hyperlink" Target="https://scryfall.com/sets/ha3" TargetMode="External"/><Relationship Id="rId2119" Type="http://schemas.openxmlformats.org/officeDocument/2006/relationships/hyperlink" Target="https://scryfall.com/sets/pemn" TargetMode="External"/><Relationship Id="rId2326" Type="http://schemas.openxmlformats.org/officeDocument/2006/relationships/hyperlink" Target="https://scryfall.com/sets/c14" TargetMode="External"/><Relationship Id="rId2533" Type="http://schemas.openxmlformats.org/officeDocument/2006/relationships/hyperlink" Target="https://scryfall.com/sets/wmc" TargetMode="External"/><Relationship Id="rId2740" Type="http://schemas.openxmlformats.org/officeDocument/2006/relationships/hyperlink" Target="https://scryfall.com/sets/tddg" TargetMode="External"/><Relationship Id="rId505" Type="http://schemas.openxmlformats.org/officeDocument/2006/relationships/hyperlink" Target="https://scryfall.com/sets/pl24" TargetMode="External"/><Relationship Id="rId712" Type="http://schemas.openxmlformats.org/officeDocument/2006/relationships/hyperlink" Target="https://scryfall.com/sets/amom" TargetMode="External"/><Relationship Id="rId1135" Type="http://schemas.openxmlformats.org/officeDocument/2006/relationships/hyperlink" Target="https://scryfall.com/sets/tvow" TargetMode="External"/><Relationship Id="rId1342" Type="http://schemas.openxmlformats.org/officeDocument/2006/relationships/hyperlink" Target="https://scryfall.com/sets/mkhm" TargetMode="External"/><Relationship Id="rId1202" Type="http://schemas.openxmlformats.org/officeDocument/2006/relationships/hyperlink" Target="https://scryfall.com/sets/cmb2" TargetMode="External"/><Relationship Id="rId2600" Type="http://schemas.openxmlformats.org/officeDocument/2006/relationships/hyperlink" Target="https://scryfall.com/sets/m13" TargetMode="External"/><Relationship Id="rId3167" Type="http://schemas.openxmlformats.org/officeDocument/2006/relationships/hyperlink" Target="https://scryfall.com/sets/cst" TargetMode="External"/><Relationship Id="rId295" Type="http://schemas.openxmlformats.org/officeDocument/2006/relationships/hyperlink" Target="https://scryfall.com/sets/j25" TargetMode="External"/><Relationship Id="rId3374" Type="http://schemas.openxmlformats.org/officeDocument/2006/relationships/hyperlink" Target="https://scryfall.com/sets/p03" TargetMode="External"/><Relationship Id="rId3581" Type="http://schemas.openxmlformats.org/officeDocument/2006/relationships/hyperlink" Target="https://scryfall.com/sets/6ed" TargetMode="External"/><Relationship Id="rId2183" Type="http://schemas.openxmlformats.org/officeDocument/2006/relationships/hyperlink" Target="https://scryfall.com/sets/tc15" TargetMode="External"/><Relationship Id="rId2390" Type="http://schemas.openxmlformats.org/officeDocument/2006/relationships/hyperlink" Target="https://scryfall.com/sets/pcns" TargetMode="External"/><Relationship Id="rId3027" Type="http://schemas.openxmlformats.org/officeDocument/2006/relationships/hyperlink" Target="https://scryfall.com/sets/peve" TargetMode="External"/><Relationship Id="rId3234" Type="http://schemas.openxmlformats.org/officeDocument/2006/relationships/hyperlink" Target="https://scryfall.com/sets/psal" TargetMode="External"/><Relationship Id="rId3441" Type="http://schemas.openxmlformats.org/officeDocument/2006/relationships/hyperlink" Target="https://scryfall.com/sets/pody" TargetMode="External"/><Relationship Id="rId155" Type="http://schemas.openxmlformats.org/officeDocument/2006/relationships/hyperlink" Target="https://scryfall.com/sets/tfin" TargetMode="External"/><Relationship Id="rId362" Type="http://schemas.openxmlformats.org/officeDocument/2006/relationships/hyperlink" Target="https://scryfall.com/sets/pcbb" TargetMode="External"/><Relationship Id="rId2043" Type="http://schemas.openxmlformats.org/officeDocument/2006/relationships/hyperlink" Target="https://scryfall.com/sets/l17" TargetMode="External"/><Relationship Id="rId2250" Type="http://schemas.openxmlformats.org/officeDocument/2006/relationships/hyperlink" Target="https://scryfall.com/sets/pdtk" TargetMode="External"/><Relationship Id="rId3301" Type="http://schemas.openxmlformats.org/officeDocument/2006/relationships/hyperlink" Target="https://scryfall.com/sets/p5dn" TargetMode="External"/><Relationship Id="rId222" Type="http://schemas.openxmlformats.org/officeDocument/2006/relationships/hyperlink" Target="https://scryfall.com/sets/pdft" TargetMode="External"/><Relationship Id="rId2110" Type="http://schemas.openxmlformats.org/officeDocument/2006/relationships/hyperlink" Target="https://scryfall.com/sets/tcn2" TargetMode="External"/><Relationship Id="rId1669" Type="http://schemas.openxmlformats.org/officeDocument/2006/relationships/hyperlink" Target="https://scryfall.com/sets/j19" TargetMode="External"/><Relationship Id="rId1876" Type="http://schemas.openxmlformats.org/officeDocument/2006/relationships/hyperlink" Target="https://scryfall.com/sets/j18" TargetMode="External"/><Relationship Id="rId2927" Type="http://schemas.openxmlformats.org/officeDocument/2006/relationships/hyperlink" Target="https://scryfall.com/sets/v09" TargetMode="External"/><Relationship Id="rId3091" Type="http://schemas.openxmlformats.org/officeDocument/2006/relationships/hyperlink" Target="https://scryfall.com/sets/tlrw" TargetMode="External"/><Relationship Id="rId1529" Type="http://schemas.openxmlformats.org/officeDocument/2006/relationships/hyperlink" Target="https://scryfall.com/sets/pthb" TargetMode="External"/><Relationship Id="rId1736" Type="http://schemas.openxmlformats.org/officeDocument/2006/relationships/hyperlink" Target="https://scryfall.com/sets/med" TargetMode="External"/><Relationship Id="rId1943" Type="http://schemas.openxmlformats.org/officeDocument/2006/relationships/hyperlink" Target="https://scryfall.com/sets/phtr" TargetMode="External"/><Relationship Id="rId28" Type="http://schemas.openxmlformats.org/officeDocument/2006/relationships/hyperlink" Target="https://scryfall.com/sets/ttmc" TargetMode="External"/><Relationship Id="rId1803" Type="http://schemas.openxmlformats.org/officeDocument/2006/relationships/hyperlink" Target="https://scryfall.com/sets/ss1" TargetMode="External"/><Relationship Id="rId3768" Type="http://schemas.openxmlformats.org/officeDocument/2006/relationships/hyperlink" Target="https://scryfall.com/sets/pdrc" TargetMode="External"/><Relationship Id="rId689" Type="http://schemas.openxmlformats.org/officeDocument/2006/relationships/hyperlink" Target="https://scryfall.com/sets/pmom" TargetMode="External"/><Relationship Id="rId896" Type="http://schemas.openxmlformats.org/officeDocument/2006/relationships/hyperlink" Target="https://scryfall.com/sets/tgn3" TargetMode="External"/><Relationship Id="rId2577" Type="http://schemas.openxmlformats.org/officeDocument/2006/relationships/hyperlink" Target="https://scryfall.com/sets/ocm1" TargetMode="External"/><Relationship Id="rId2784" Type="http://schemas.openxmlformats.org/officeDocument/2006/relationships/hyperlink" Target="https://scryfall.com/sets/p11" TargetMode="External"/><Relationship Id="rId3628" Type="http://schemas.openxmlformats.org/officeDocument/2006/relationships/hyperlink" Target="https://scryfall.com/sets/exo" TargetMode="External"/><Relationship Id="rId549" Type="http://schemas.openxmlformats.org/officeDocument/2006/relationships/hyperlink" Target="https://scryfall.com/sets/rex" TargetMode="External"/><Relationship Id="rId756" Type="http://schemas.openxmlformats.org/officeDocument/2006/relationships/hyperlink" Target="https://scryfall.com/sets/tonc" TargetMode="External"/><Relationship Id="rId1179" Type="http://schemas.openxmlformats.org/officeDocument/2006/relationships/hyperlink" Target="https://scryfall.com/sets/mic" TargetMode="External"/><Relationship Id="rId1386" Type="http://schemas.openxmlformats.org/officeDocument/2006/relationships/hyperlink" Target="https://scryfall.com/sets/klr" TargetMode="External"/><Relationship Id="rId1593" Type="http://schemas.openxmlformats.org/officeDocument/2006/relationships/hyperlink" Target="https://scryfall.com/sets/teld" TargetMode="External"/><Relationship Id="rId2437" Type="http://schemas.openxmlformats.org/officeDocument/2006/relationships/hyperlink" Target="https://scryfall.com/sets/tbng" TargetMode="External"/><Relationship Id="rId2991" Type="http://schemas.openxmlformats.org/officeDocument/2006/relationships/hyperlink" Target="https://scryfall.com/sets/g09" TargetMode="External"/><Relationship Id="rId409" Type="http://schemas.openxmlformats.org/officeDocument/2006/relationships/hyperlink" Target="https://scryfall.com/sets/h2r" TargetMode="External"/><Relationship Id="rId963" Type="http://schemas.openxmlformats.org/officeDocument/2006/relationships/hyperlink" Target="https://scryfall.com/sets/mdmu" TargetMode="External"/><Relationship Id="rId1039" Type="http://schemas.openxmlformats.org/officeDocument/2006/relationships/hyperlink" Target="https://scryfall.com/sets/ysnc" TargetMode="External"/><Relationship Id="rId1246" Type="http://schemas.openxmlformats.org/officeDocument/2006/relationships/hyperlink" Target="https://scryfall.com/sets/plg21" TargetMode="External"/><Relationship Id="rId2644" Type="http://schemas.openxmlformats.org/officeDocument/2006/relationships/hyperlink" Target="https://scryfall.com/sets/pdka" TargetMode="External"/><Relationship Id="rId2851" Type="http://schemas.openxmlformats.org/officeDocument/2006/relationships/hyperlink" Target="https://scryfall.com/sets/troe" TargetMode="External"/><Relationship Id="rId92" Type="http://schemas.openxmlformats.org/officeDocument/2006/relationships/hyperlink" Target="https://scryfall.com/sets/om1" TargetMode="External"/><Relationship Id="rId616" Type="http://schemas.openxmlformats.org/officeDocument/2006/relationships/hyperlink" Target="https://scryfall.com/sets/acmm" TargetMode="External"/><Relationship Id="rId823" Type="http://schemas.openxmlformats.org/officeDocument/2006/relationships/hyperlink" Target="https://scryfall.com/sets/t30a" TargetMode="External"/><Relationship Id="rId1453" Type="http://schemas.openxmlformats.org/officeDocument/2006/relationships/hyperlink" Target="https://scryfall.com/sets/jmp" TargetMode="External"/><Relationship Id="rId1660" Type="http://schemas.openxmlformats.org/officeDocument/2006/relationships/hyperlink" Target="https://scryfall.com/sets/pwar" TargetMode="External"/><Relationship Id="rId2504" Type="http://schemas.openxmlformats.org/officeDocument/2006/relationships/hyperlink" Target="https://scryfall.com/sets/pm14" TargetMode="External"/><Relationship Id="rId2711" Type="http://schemas.openxmlformats.org/officeDocument/2006/relationships/hyperlink" Target="https://scryfall.com/sets/cmd" TargetMode="External"/><Relationship Id="rId1106" Type="http://schemas.openxmlformats.org/officeDocument/2006/relationships/hyperlink" Target="https://scryfall.com/sets/aneo" TargetMode="External"/><Relationship Id="rId1313" Type="http://schemas.openxmlformats.org/officeDocument/2006/relationships/hyperlink" Target="https://scryfall.com/sets/oc21" TargetMode="External"/><Relationship Id="rId1520" Type="http://schemas.openxmlformats.org/officeDocument/2006/relationships/hyperlink" Target="https://scryfall.com/sets/tund" TargetMode="External"/><Relationship Id="rId3278" Type="http://schemas.openxmlformats.org/officeDocument/2006/relationships/hyperlink" Target="https://scryfall.com/sets/unh" TargetMode="External"/><Relationship Id="rId3485" Type="http://schemas.openxmlformats.org/officeDocument/2006/relationships/hyperlink" Target="https://scryfall.com/sets/inv" TargetMode="External"/><Relationship Id="rId3692" Type="http://schemas.openxmlformats.org/officeDocument/2006/relationships/hyperlink" Target="https://scryfall.com/sets/mir" TargetMode="External"/><Relationship Id="rId199" Type="http://schemas.openxmlformats.org/officeDocument/2006/relationships/hyperlink" Target="https://scryfall.com/sets/atdm" TargetMode="External"/><Relationship Id="rId2087" Type="http://schemas.openxmlformats.org/officeDocument/2006/relationships/hyperlink" Target="https://scryfall.com/sets/kld" TargetMode="External"/><Relationship Id="rId2294" Type="http://schemas.openxmlformats.org/officeDocument/2006/relationships/hyperlink" Target="https://scryfall.com/sets/evg" TargetMode="External"/><Relationship Id="rId3138" Type="http://schemas.openxmlformats.org/officeDocument/2006/relationships/hyperlink" Target="https://scryfall.com/sets/p07" TargetMode="External"/><Relationship Id="rId3345" Type="http://schemas.openxmlformats.org/officeDocument/2006/relationships/hyperlink" Target="https://scryfall.com/sets/scg" TargetMode="External"/><Relationship Id="rId3552" Type="http://schemas.openxmlformats.org/officeDocument/2006/relationships/hyperlink" Target="https://scryfall.com/sets/wc99" TargetMode="External"/><Relationship Id="rId266" Type="http://schemas.openxmlformats.org/officeDocument/2006/relationships/hyperlink" Target="https://scryfall.com/sets/pw25" TargetMode="External"/><Relationship Id="rId473" Type="http://schemas.openxmlformats.org/officeDocument/2006/relationships/hyperlink" Target="https://scryfall.com/sets/ymkm" TargetMode="External"/><Relationship Id="rId680" Type="http://schemas.openxmlformats.org/officeDocument/2006/relationships/hyperlink" Target="https://scryfall.com/sets/mom" TargetMode="External"/><Relationship Id="rId2154" Type="http://schemas.openxmlformats.org/officeDocument/2006/relationships/hyperlink" Target="https://scryfall.com/sets/pogw" TargetMode="External"/><Relationship Id="rId2361" Type="http://schemas.openxmlformats.org/officeDocument/2006/relationships/hyperlink" Target="https://scryfall.com/sets/tm15" TargetMode="External"/><Relationship Id="rId3205" Type="http://schemas.openxmlformats.org/officeDocument/2006/relationships/hyperlink" Target="https://scryfall.com/sets/phuk" TargetMode="External"/><Relationship Id="rId3412" Type="http://schemas.openxmlformats.org/officeDocument/2006/relationships/hyperlink" Target="https://scryfall.com/sets/tor" TargetMode="External"/><Relationship Id="rId126" Type="http://schemas.openxmlformats.org/officeDocument/2006/relationships/hyperlink" Target="https://scryfall.com/sets/teoe" TargetMode="External"/><Relationship Id="rId333" Type="http://schemas.openxmlformats.org/officeDocument/2006/relationships/hyperlink" Target="https://scryfall.com/sets/mb2" TargetMode="External"/><Relationship Id="rId540" Type="http://schemas.openxmlformats.org/officeDocument/2006/relationships/hyperlink" Target="https://scryfall.com/sets/alci" TargetMode="External"/><Relationship Id="rId1170" Type="http://schemas.openxmlformats.org/officeDocument/2006/relationships/hyperlink" Target="https://scryfall.com/sets/tmid" TargetMode="External"/><Relationship Id="rId2014" Type="http://schemas.openxmlformats.org/officeDocument/2006/relationships/hyperlink" Target="https://scryfall.com/cubes/legacy" TargetMode="External"/><Relationship Id="rId2221" Type="http://schemas.openxmlformats.org/officeDocument/2006/relationships/hyperlink" Target="https://scryfall.com/sets/pori" TargetMode="External"/><Relationship Id="rId1030" Type="http://schemas.openxmlformats.org/officeDocument/2006/relationships/hyperlink" Target="https://scryfall.com/sets/ptsnc" TargetMode="External"/><Relationship Id="rId400" Type="http://schemas.openxmlformats.org/officeDocument/2006/relationships/hyperlink" Target="https://scryfall.com/sets/tm3c" TargetMode="External"/><Relationship Id="rId1987" Type="http://schemas.openxmlformats.org/officeDocument/2006/relationships/hyperlink" Target="https://scryfall.com/sets/cma" TargetMode="External"/><Relationship Id="rId1847" Type="http://schemas.openxmlformats.org/officeDocument/2006/relationships/hyperlink" Target="https://scryfall.com/sets/a25" TargetMode="External"/><Relationship Id="rId1707" Type="http://schemas.openxmlformats.org/officeDocument/2006/relationships/hyperlink" Target="https://scryfall.com/sets/tuma" TargetMode="External"/><Relationship Id="rId3062" Type="http://schemas.openxmlformats.org/officeDocument/2006/relationships/hyperlink" Target="https://scryfall.com/sets/p08" TargetMode="External"/><Relationship Id="rId190" Type="http://schemas.openxmlformats.org/officeDocument/2006/relationships/hyperlink" Target="https://scryfall.com/sets/ptdm" TargetMode="External"/><Relationship Id="rId1914" Type="http://schemas.openxmlformats.org/officeDocument/2006/relationships/hyperlink" Target="https://scryfall.com/sets/tddt" TargetMode="External"/><Relationship Id="rId2688" Type="http://schemas.openxmlformats.org/officeDocument/2006/relationships/hyperlink" Target="https://scryfall.com/sets/tisd" TargetMode="External"/><Relationship Id="rId2895" Type="http://schemas.openxmlformats.org/officeDocument/2006/relationships/hyperlink" Target="https://scryfall.com/sets/ddd" TargetMode="External"/><Relationship Id="rId3739" Type="http://schemas.openxmlformats.org/officeDocument/2006/relationships/hyperlink" Target="https://scryfall.com/sets/bchr" TargetMode="External"/><Relationship Id="rId867" Type="http://schemas.openxmlformats.org/officeDocument/2006/relationships/hyperlink" Target="https://scryfall.com/sets/bot" TargetMode="External"/><Relationship Id="rId1497" Type="http://schemas.openxmlformats.org/officeDocument/2006/relationships/hyperlink" Target="https://scryfall.com/sets/tiko" TargetMode="External"/><Relationship Id="rId2548" Type="http://schemas.openxmlformats.org/officeDocument/2006/relationships/hyperlink" Target="https://scryfall.com/sets/pgtc" TargetMode="External"/><Relationship Id="rId2755" Type="http://schemas.openxmlformats.org/officeDocument/2006/relationships/hyperlink" Target="https://scryfall.com/sets/me4" TargetMode="External"/><Relationship Id="rId2962" Type="http://schemas.openxmlformats.org/officeDocument/2006/relationships/hyperlink" Target="https://scryfall.com/sets/purl" TargetMode="External"/><Relationship Id="rId3806" Type="http://schemas.openxmlformats.org/officeDocument/2006/relationships/hyperlink" Target="https://scryfall.com/sets/lea" TargetMode="External"/><Relationship Id="rId727" Type="http://schemas.openxmlformats.org/officeDocument/2006/relationships/hyperlink" Target="https://scryfall.com/sets/unk" TargetMode="External"/><Relationship Id="rId934" Type="http://schemas.openxmlformats.org/officeDocument/2006/relationships/hyperlink" Target="https://scryfall.com/sets/ydmu" TargetMode="External"/><Relationship Id="rId1357" Type="http://schemas.openxmlformats.org/officeDocument/2006/relationships/hyperlink" Target="https://scryfall.com/sets/akhm" TargetMode="External"/><Relationship Id="rId1564" Type="http://schemas.openxmlformats.org/officeDocument/2006/relationships/hyperlink" Target="https://scryfall.com/sets/slu" TargetMode="External"/><Relationship Id="rId1771" Type="http://schemas.openxmlformats.org/officeDocument/2006/relationships/hyperlink" Target="https://scryfall.com/sets/oana" TargetMode="External"/><Relationship Id="rId2408" Type="http://schemas.openxmlformats.org/officeDocument/2006/relationships/hyperlink" Target="https://scryfall.com/sets/pjou" TargetMode="External"/><Relationship Id="rId2615" Type="http://schemas.openxmlformats.org/officeDocument/2006/relationships/hyperlink" Target="https://scryfall.com/sets/opc2" TargetMode="External"/><Relationship Id="rId2822" Type="http://schemas.openxmlformats.org/officeDocument/2006/relationships/hyperlink" Target="https://scryfall.com/sets/m11" TargetMode="External"/><Relationship Id="rId63" Type="http://schemas.openxmlformats.org/officeDocument/2006/relationships/hyperlink" Target="https://scryfall.com/cubes/apcube" TargetMode="External"/><Relationship Id="rId1217" Type="http://schemas.openxmlformats.org/officeDocument/2006/relationships/hyperlink" Target="https://scryfall.com/sets/tafr" TargetMode="External"/><Relationship Id="rId1424" Type="http://schemas.openxmlformats.org/officeDocument/2006/relationships/hyperlink" Target="https://scryfall.com/sets/sznr" TargetMode="External"/><Relationship Id="rId1631" Type="http://schemas.openxmlformats.org/officeDocument/2006/relationships/hyperlink" Target="https://scryfall.com/sets/tm20" TargetMode="External"/><Relationship Id="rId3389" Type="http://schemas.openxmlformats.org/officeDocument/2006/relationships/hyperlink" Target="https://scryfall.com/sets/wc02" TargetMode="External"/><Relationship Id="rId3596" Type="http://schemas.openxmlformats.org/officeDocument/2006/relationships/hyperlink" Target="https://scryfall.com/sets/g99" TargetMode="External"/><Relationship Id="rId2198" Type="http://schemas.openxmlformats.org/officeDocument/2006/relationships/hyperlink" Target="https://scryfall.com/sets/pbfz" TargetMode="External"/><Relationship Id="rId3249" Type="http://schemas.openxmlformats.org/officeDocument/2006/relationships/hyperlink" Target="https://scryfall.com/sets/psok" TargetMode="External"/><Relationship Id="rId3456" Type="http://schemas.openxmlformats.org/officeDocument/2006/relationships/hyperlink" Target="https://scryfall.com/sets/papc" TargetMode="External"/><Relationship Id="rId377" Type="http://schemas.openxmlformats.org/officeDocument/2006/relationships/hyperlink" Target="https://scryfall.com/sets/aacr" TargetMode="External"/><Relationship Id="rId584" Type="http://schemas.openxmlformats.org/officeDocument/2006/relationships/hyperlink" Target="https://scryfall.com/sets/twoe" TargetMode="External"/><Relationship Id="rId2058" Type="http://schemas.openxmlformats.org/officeDocument/2006/relationships/hyperlink" Target="https://scryfall.com/sets/tpca" TargetMode="External"/><Relationship Id="rId2265" Type="http://schemas.openxmlformats.org/officeDocument/2006/relationships/hyperlink" Target="https://scryfall.com/sets/frf" TargetMode="External"/><Relationship Id="rId3109" Type="http://schemas.openxmlformats.org/officeDocument/2006/relationships/hyperlink" Target="https://scryfall.com/sets/fut" TargetMode="External"/><Relationship Id="rId3663" Type="http://schemas.openxmlformats.org/officeDocument/2006/relationships/hyperlink" Target="https://scryfall.com/sets/pvan" TargetMode="External"/><Relationship Id="rId237" Type="http://schemas.openxmlformats.org/officeDocument/2006/relationships/hyperlink" Target="https://scryfall.com/sets/drc" TargetMode="External"/><Relationship Id="rId791" Type="http://schemas.openxmlformats.org/officeDocument/2006/relationships/hyperlink" Target="https://scryfall.com/sets/p23" TargetMode="External"/><Relationship Id="rId1074" Type="http://schemas.openxmlformats.org/officeDocument/2006/relationships/hyperlink" Target="https://scryfall.com/sets/pl22" TargetMode="External"/><Relationship Id="rId2472" Type="http://schemas.openxmlformats.org/officeDocument/2006/relationships/hyperlink" Target="https://scryfall.com/sets/pths" TargetMode="External"/><Relationship Id="rId3316" Type="http://schemas.openxmlformats.org/officeDocument/2006/relationships/hyperlink" Target="https://scryfall.com/sets/g04" TargetMode="External"/><Relationship Id="rId3523" Type="http://schemas.openxmlformats.org/officeDocument/2006/relationships/hyperlink" Target="https://scryfall.com/sets/g00" TargetMode="External"/><Relationship Id="rId3730" Type="http://schemas.openxmlformats.org/officeDocument/2006/relationships/hyperlink" Target="https://scryfall.com/sets/ren" TargetMode="External"/><Relationship Id="rId444" Type="http://schemas.openxmlformats.org/officeDocument/2006/relationships/hyperlink" Target="https://scryfall.com/sets/tbig" TargetMode="External"/><Relationship Id="rId651" Type="http://schemas.openxmlformats.org/officeDocument/2006/relationships/hyperlink" Target="https://scryfall.com/sets/tltc" TargetMode="External"/><Relationship Id="rId1281" Type="http://schemas.openxmlformats.org/officeDocument/2006/relationships/hyperlink" Target="https://scryfall.com/sets/stx" TargetMode="External"/><Relationship Id="rId2125" Type="http://schemas.openxmlformats.org/officeDocument/2006/relationships/hyperlink" Target="https://scryfall.com/sets/temn" TargetMode="External"/><Relationship Id="rId2332" Type="http://schemas.openxmlformats.org/officeDocument/2006/relationships/hyperlink" Target="https://scryfall.com/sets/oc14" TargetMode="External"/><Relationship Id="rId304" Type="http://schemas.openxmlformats.org/officeDocument/2006/relationships/hyperlink" Target="https://scryfall.com/sets/dsk" TargetMode="External"/><Relationship Id="rId511" Type="http://schemas.openxmlformats.org/officeDocument/2006/relationships/hyperlink" Target="https://scryfall.com/sets/trvr" TargetMode="External"/><Relationship Id="rId1141" Type="http://schemas.openxmlformats.org/officeDocument/2006/relationships/hyperlink" Target="https://scryfall.com/sets/svow" TargetMode="External"/><Relationship Id="rId1001" Type="http://schemas.openxmlformats.org/officeDocument/2006/relationships/hyperlink" Target="https://scryfall.com/sets/clb" TargetMode="External"/><Relationship Id="rId1958" Type="http://schemas.openxmlformats.org/officeDocument/2006/relationships/hyperlink" Target="https://scryfall.com/sets/oc17" TargetMode="External"/><Relationship Id="rId3173" Type="http://schemas.openxmlformats.org/officeDocument/2006/relationships/hyperlink" Target="https://scryfall.com/sets/pdis" TargetMode="External"/><Relationship Id="rId3380" Type="http://schemas.openxmlformats.org/officeDocument/2006/relationships/hyperlink" Target="https://scryfall.com/sets/f03" TargetMode="External"/><Relationship Id="rId1818" Type="http://schemas.openxmlformats.org/officeDocument/2006/relationships/hyperlink" Target="https://scryfall.com/sets/bbd" TargetMode="External"/><Relationship Id="rId3033" Type="http://schemas.openxmlformats.org/officeDocument/2006/relationships/hyperlink" Target="https://scryfall.com/sets/shm" TargetMode="External"/><Relationship Id="rId3240" Type="http://schemas.openxmlformats.org/officeDocument/2006/relationships/hyperlink" Target="https://scryfall.com/sets/p9ed" TargetMode="External"/><Relationship Id="rId161" Type="http://schemas.openxmlformats.org/officeDocument/2006/relationships/hyperlink" Target="https://scryfall.com/sets/afin" TargetMode="External"/><Relationship Id="rId2799" Type="http://schemas.openxmlformats.org/officeDocument/2006/relationships/hyperlink" Target="https://scryfall.com/sets/som" TargetMode="External"/><Relationship Id="rId3100" Type="http://schemas.openxmlformats.org/officeDocument/2006/relationships/hyperlink" Target="https://scryfall.com/sets/p10e" TargetMode="External"/><Relationship Id="rId978" Type="http://schemas.openxmlformats.org/officeDocument/2006/relationships/hyperlink" Target="https://scryfall.com/sets/ha6" TargetMode="External"/><Relationship Id="rId2659" Type="http://schemas.openxmlformats.org/officeDocument/2006/relationships/hyperlink" Target="https://scryfall.com/sets/pidw" TargetMode="External"/><Relationship Id="rId2866" Type="http://schemas.openxmlformats.org/officeDocument/2006/relationships/hyperlink" Target="https://scryfall.com/sets/twwk" TargetMode="External"/><Relationship Id="rId838" Type="http://schemas.openxmlformats.org/officeDocument/2006/relationships/hyperlink" Target="https://scryfall.com/sets/pewk" TargetMode="External"/><Relationship Id="rId1468" Type="http://schemas.openxmlformats.org/officeDocument/2006/relationships/hyperlink" Target="https://scryfall.com/sets/pm21" TargetMode="External"/><Relationship Id="rId1675" Type="http://schemas.openxmlformats.org/officeDocument/2006/relationships/hyperlink" Target="https://scryfall.com/sets/tgk2" TargetMode="External"/><Relationship Id="rId1882" Type="http://schemas.openxmlformats.org/officeDocument/2006/relationships/hyperlink" Target="https://scryfall.com/sets/ust" TargetMode="External"/><Relationship Id="rId2519" Type="http://schemas.openxmlformats.org/officeDocument/2006/relationships/hyperlink" Target="https://scryfall.com/sets/tmma" TargetMode="External"/><Relationship Id="rId2726" Type="http://schemas.openxmlformats.org/officeDocument/2006/relationships/hyperlink" Target="https://scryfall.com/sets/nph" TargetMode="External"/><Relationship Id="rId1328" Type="http://schemas.openxmlformats.org/officeDocument/2006/relationships/hyperlink" Target="https://scryfall.com/sets/ha4" TargetMode="External"/><Relationship Id="rId1535" Type="http://schemas.openxmlformats.org/officeDocument/2006/relationships/hyperlink" Target="https://scryfall.com/sets/pf20" TargetMode="External"/><Relationship Id="rId2933" Type="http://schemas.openxmlformats.org/officeDocument/2006/relationships/hyperlink" Target="https://scryfall.com/sets/m10" TargetMode="External"/><Relationship Id="rId905" Type="http://schemas.openxmlformats.org/officeDocument/2006/relationships/hyperlink" Target="https://scryfall.com/sets/tunf" TargetMode="External"/><Relationship Id="rId1742" Type="http://schemas.openxmlformats.org/officeDocument/2006/relationships/hyperlink" Target="https://scryfall.com/sets/c18" TargetMode="External"/><Relationship Id="rId34" Type="http://schemas.openxmlformats.org/officeDocument/2006/relationships/hyperlink" Target="https://scryfall.com/sets/pf26" TargetMode="External"/><Relationship Id="rId1602" Type="http://schemas.openxmlformats.org/officeDocument/2006/relationships/hyperlink" Target="https://scryfall.com/cubes/grixis" TargetMode="External"/><Relationship Id="rId3567" Type="http://schemas.openxmlformats.org/officeDocument/2006/relationships/hyperlink" Target="https://scryfall.com/sets/uds" TargetMode="External"/><Relationship Id="rId3774" Type="http://schemas.openxmlformats.org/officeDocument/2006/relationships/hyperlink" Target="https://scryfall.com/sets/leg" TargetMode="External"/><Relationship Id="rId488" Type="http://schemas.openxmlformats.org/officeDocument/2006/relationships/hyperlink" Target="https://scryfall.com/sets/pss4" TargetMode="External"/><Relationship Id="rId695" Type="http://schemas.openxmlformats.org/officeDocument/2006/relationships/hyperlink" Target="https://scryfall.com/sets/tmom" TargetMode="External"/><Relationship Id="rId2169" Type="http://schemas.openxmlformats.org/officeDocument/2006/relationships/hyperlink" Target="https://scryfall.com/sets/j16" TargetMode="External"/><Relationship Id="rId2376" Type="http://schemas.openxmlformats.org/officeDocument/2006/relationships/hyperlink" Target="https://scryfall.com/sets/pdp15" TargetMode="External"/><Relationship Id="rId2583" Type="http://schemas.openxmlformats.org/officeDocument/2006/relationships/hyperlink" Target="https://scryfall.com/sets/prtr" TargetMode="External"/><Relationship Id="rId2790" Type="http://schemas.openxmlformats.org/officeDocument/2006/relationships/hyperlink" Target="https://scryfall.com/sets/f11" TargetMode="External"/><Relationship Id="rId3427" Type="http://schemas.openxmlformats.org/officeDocument/2006/relationships/hyperlink" Target="https://scryfall.com/sets/g02" TargetMode="External"/><Relationship Id="rId3634" Type="http://schemas.openxmlformats.org/officeDocument/2006/relationships/hyperlink" Target="https://scryfall.com/sets/sth" TargetMode="External"/><Relationship Id="rId348" Type="http://schemas.openxmlformats.org/officeDocument/2006/relationships/hyperlink" Target="https://scryfall.com/sets/yblb" TargetMode="External"/><Relationship Id="rId555" Type="http://schemas.openxmlformats.org/officeDocument/2006/relationships/hyperlink" Target="https://scryfall.com/sets/lcc" TargetMode="External"/><Relationship Id="rId762" Type="http://schemas.openxmlformats.org/officeDocument/2006/relationships/hyperlink" Target="https://scryfall.com/sets/mone" TargetMode="External"/><Relationship Id="rId1185" Type="http://schemas.openxmlformats.org/officeDocument/2006/relationships/hyperlink" Target="https://scryfall.com/sets/omic" TargetMode="External"/><Relationship Id="rId1392" Type="http://schemas.openxmlformats.org/officeDocument/2006/relationships/hyperlink" Target="https://scryfall.com/sets/ulst" TargetMode="External"/><Relationship Id="rId2029" Type="http://schemas.openxmlformats.org/officeDocument/2006/relationships/hyperlink" Target="https://scryfall.com/sets/tmm3" TargetMode="External"/><Relationship Id="rId2236" Type="http://schemas.openxmlformats.org/officeDocument/2006/relationships/hyperlink" Target="https://scryfall.com/sets/mm2" TargetMode="External"/><Relationship Id="rId2443" Type="http://schemas.openxmlformats.org/officeDocument/2006/relationships/hyperlink" Target="https://scryfall.com/sets/tbth" TargetMode="External"/><Relationship Id="rId2650" Type="http://schemas.openxmlformats.org/officeDocument/2006/relationships/hyperlink" Target="https://scryfall.com/sets/pw12" TargetMode="External"/><Relationship Id="rId3701" Type="http://schemas.openxmlformats.org/officeDocument/2006/relationships/hyperlink" Target="https://scryfall.com/sets/pcel" TargetMode="External"/><Relationship Id="rId208" Type="http://schemas.openxmlformats.org/officeDocument/2006/relationships/hyperlink" Target="https://scryfall.com/sets/ttdc" TargetMode="External"/><Relationship Id="rId415" Type="http://schemas.openxmlformats.org/officeDocument/2006/relationships/hyperlink" Target="https://scryfall.com/sets/otp" TargetMode="External"/><Relationship Id="rId622" Type="http://schemas.openxmlformats.org/officeDocument/2006/relationships/hyperlink" Target="https://scryfall.com/sets/ea3" TargetMode="External"/><Relationship Id="rId1045" Type="http://schemas.openxmlformats.org/officeDocument/2006/relationships/hyperlink" Target="https://scryfall.com/sets/pncc" TargetMode="External"/><Relationship Id="rId1252" Type="http://schemas.openxmlformats.org/officeDocument/2006/relationships/hyperlink" Target="https://scryfall.com/sets/pw21" TargetMode="External"/><Relationship Id="rId2303" Type="http://schemas.openxmlformats.org/officeDocument/2006/relationships/hyperlink" Target="https://scryfall.com/sets/gvl" TargetMode="External"/><Relationship Id="rId2510" Type="http://schemas.openxmlformats.org/officeDocument/2006/relationships/hyperlink" Target="https://scryfall.com/sets/psdc" TargetMode="External"/><Relationship Id="rId1112" Type="http://schemas.openxmlformats.org/officeDocument/2006/relationships/hyperlink" Target="https://scryfall.com/sets/cc2" TargetMode="External"/><Relationship Id="rId3077" Type="http://schemas.openxmlformats.org/officeDocument/2006/relationships/hyperlink" Target="https://scryfall.com/sets/dd1" TargetMode="External"/><Relationship Id="rId3284" Type="http://schemas.openxmlformats.org/officeDocument/2006/relationships/hyperlink" Target="https://scryfall.com/sets/punh" TargetMode="External"/><Relationship Id="rId1929" Type="http://schemas.openxmlformats.org/officeDocument/2006/relationships/hyperlink" Target="https://scryfall.com/sets/txln" TargetMode="External"/><Relationship Id="rId2093" Type="http://schemas.openxmlformats.org/officeDocument/2006/relationships/hyperlink" Target="https://scryfall.com/sets/mps" TargetMode="External"/><Relationship Id="rId3491" Type="http://schemas.openxmlformats.org/officeDocument/2006/relationships/hyperlink" Target="https://scryfall.com/sets/btd" TargetMode="External"/><Relationship Id="rId3144" Type="http://schemas.openxmlformats.org/officeDocument/2006/relationships/hyperlink" Target="https://scryfall.com/sets/f07" TargetMode="External"/><Relationship Id="rId3351" Type="http://schemas.openxmlformats.org/officeDocument/2006/relationships/hyperlink" Target="https://scryfall.com/sets/lgn" TargetMode="External"/><Relationship Id="rId272" Type="http://schemas.openxmlformats.org/officeDocument/2006/relationships/hyperlink" Target="https://scryfall.com/sets/pio" TargetMode="External"/><Relationship Id="rId2160" Type="http://schemas.openxmlformats.org/officeDocument/2006/relationships/hyperlink" Target="https://scryfall.com/sets/togw" TargetMode="External"/><Relationship Id="rId3004" Type="http://schemas.openxmlformats.org/officeDocument/2006/relationships/hyperlink" Target="https://scryfall.com/sets/ala" TargetMode="External"/><Relationship Id="rId3211" Type="http://schemas.openxmlformats.org/officeDocument/2006/relationships/hyperlink" Target="https://scryfall.com/sets/g06" TargetMode="External"/><Relationship Id="rId132" Type="http://schemas.openxmlformats.org/officeDocument/2006/relationships/hyperlink" Target="https://scryfall.com/sets/aeoe" TargetMode="External"/><Relationship Id="rId2020" Type="http://schemas.openxmlformats.org/officeDocument/2006/relationships/hyperlink" Target="https://scryfall.com/sets/tdds" TargetMode="External"/><Relationship Id="rId1579" Type="http://schemas.openxmlformats.org/officeDocument/2006/relationships/hyperlink" Target="https://scryfall.com/sets/cmb1" TargetMode="External"/><Relationship Id="rId2977" Type="http://schemas.openxmlformats.org/officeDocument/2006/relationships/hyperlink" Target="https://scryfall.com/sets/pdtp" TargetMode="External"/><Relationship Id="rId949" Type="http://schemas.openxmlformats.org/officeDocument/2006/relationships/hyperlink" Target="https://scryfall.com/sets/admu" TargetMode="External"/><Relationship Id="rId1786" Type="http://schemas.openxmlformats.org/officeDocument/2006/relationships/hyperlink" Target="https://scryfall.com/sets/tm19" TargetMode="External"/><Relationship Id="rId1993" Type="http://schemas.openxmlformats.org/officeDocument/2006/relationships/hyperlink" Target="https://scryfall.com/sets/tcma" TargetMode="External"/><Relationship Id="rId2837" Type="http://schemas.openxmlformats.org/officeDocument/2006/relationships/hyperlink" Target="https://scryfall.com/sets/oarc" TargetMode="External"/><Relationship Id="rId78" Type="http://schemas.openxmlformats.org/officeDocument/2006/relationships/hyperlink" Target="https://scryfall.com/sets/pspm" TargetMode="External"/><Relationship Id="rId809" Type="http://schemas.openxmlformats.org/officeDocument/2006/relationships/hyperlink" Target="https://scryfall.com/sets/fj22" TargetMode="External"/><Relationship Id="rId1439" Type="http://schemas.openxmlformats.org/officeDocument/2006/relationships/hyperlink" Target="https://scryfall.com/sets/anb" TargetMode="External"/><Relationship Id="rId1646" Type="http://schemas.openxmlformats.org/officeDocument/2006/relationships/hyperlink" Target="https://scryfall.com/sets/pmh1" TargetMode="External"/><Relationship Id="rId1853" Type="http://schemas.openxmlformats.org/officeDocument/2006/relationships/hyperlink" Target="https://scryfall.com/sets/ta25" TargetMode="External"/><Relationship Id="rId2904" Type="http://schemas.openxmlformats.org/officeDocument/2006/relationships/hyperlink" Target="https://scryfall.com/sets/zen" TargetMode="External"/><Relationship Id="rId1506" Type="http://schemas.openxmlformats.org/officeDocument/2006/relationships/hyperlink" Target="https://scryfall.com/sets/tc20" TargetMode="External"/><Relationship Id="rId1713" Type="http://schemas.openxmlformats.org/officeDocument/2006/relationships/hyperlink" Target="https://scryfall.com/sets/gk1" TargetMode="External"/><Relationship Id="rId1920" Type="http://schemas.openxmlformats.org/officeDocument/2006/relationships/hyperlink" Target="https://scryfall.com/sets/xln" TargetMode="External"/><Relationship Id="rId3678" Type="http://schemas.openxmlformats.org/officeDocument/2006/relationships/hyperlink" Target="https://scryfall.com/sets/5ed" TargetMode="External"/><Relationship Id="rId599" Type="http://schemas.openxmlformats.org/officeDocument/2006/relationships/hyperlink" Target="https://scryfall.com/sets/wwoe" TargetMode="External"/><Relationship Id="rId2487" Type="http://schemas.openxmlformats.org/officeDocument/2006/relationships/hyperlink" Target="https://scryfall.com/sets/ddl" TargetMode="External"/><Relationship Id="rId2694" Type="http://schemas.openxmlformats.org/officeDocument/2006/relationships/hyperlink" Target="https://scryfall.com/sets/tddh" TargetMode="External"/><Relationship Id="rId3538" Type="http://schemas.openxmlformats.org/officeDocument/2006/relationships/hyperlink" Target="https://scryfall.com/sets/mmq" TargetMode="External"/><Relationship Id="rId3745" Type="http://schemas.openxmlformats.org/officeDocument/2006/relationships/hyperlink" Target="https://scryfall.com/sets/ice" TargetMode="External"/><Relationship Id="rId459" Type="http://schemas.openxmlformats.org/officeDocument/2006/relationships/hyperlink" Target="https://scryfall.com/sets/tpip" TargetMode="External"/><Relationship Id="rId666" Type="http://schemas.openxmlformats.org/officeDocument/2006/relationships/hyperlink" Target="https://scryfall.com/sets/fltr" TargetMode="External"/><Relationship Id="rId873" Type="http://schemas.openxmlformats.org/officeDocument/2006/relationships/hyperlink" Target="https://scryfall.com/sets/ptbro" TargetMode="External"/><Relationship Id="rId1089" Type="http://schemas.openxmlformats.org/officeDocument/2006/relationships/hyperlink" Target="https://scryfall.com/sets/yneo" TargetMode="External"/><Relationship Id="rId1296" Type="http://schemas.openxmlformats.org/officeDocument/2006/relationships/hyperlink" Target="https://scryfall.com/sets/sstx" TargetMode="External"/><Relationship Id="rId2347" Type="http://schemas.openxmlformats.org/officeDocument/2006/relationships/hyperlink" Target="https://scryfall.com/sets/ddn" TargetMode="External"/><Relationship Id="rId2554" Type="http://schemas.openxmlformats.org/officeDocument/2006/relationships/hyperlink" Target="https://scryfall.com/sets/pdp14" TargetMode="External"/><Relationship Id="rId319" Type="http://schemas.openxmlformats.org/officeDocument/2006/relationships/hyperlink" Target="https://scryfall.com/sets/dsc" TargetMode="External"/><Relationship Id="rId526" Type="http://schemas.openxmlformats.org/officeDocument/2006/relationships/hyperlink" Target="https://scryfall.com/sets/lci" TargetMode="External"/><Relationship Id="rId1156" Type="http://schemas.openxmlformats.org/officeDocument/2006/relationships/hyperlink" Target="https://scryfall.com/sets/ovoc" TargetMode="External"/><Relationship Id="rId1363" Type="http://schemas.openxmlformats.org/officeDocument/2006/relationships/hyperlink" Target="https://scryfall.com/sets/pl21" TargetMode="External"/><Relationship Id="rId2207" Type="http://schemas.openxmlformats.org/officeDocument/2006/relationships/hyperlink" Target="https://scryfall.com/sets/pss1" TargetMode="External"/><Relationship Id="rId2761" Type="http://schemas.openxmlformats.org/officeDocument/2006/relationships/hyperlink" Target="https://scryfall.com/sets/pmps11" TargetMode="External"/><Relationship Id="rId3605" Type="http://schemas.openxmlformats.org/officeDocument/2006/relationships/hyperlink" Target="https://scryfall.com/sets/pusg" TargetMode="External"/><Relationship Id="rId733" Type="http://schemas.openxmlformats.org/officeDocument/2006/relationships/hyperlink" Target="https://scryfall.com/sets/punk" TargetMode="External"/><Relationship Id="rId940" Type="http://schemas.openxmlformats.org/officeDocument/2006/relationships/hyperlink" Target="https://scryfall.com/sets/ptdmu" TargetMode="External"/><Relationship Id="rId1016" Type="http://schemas.openxmlformats.org/officeDocument/2006/relationships/hyperlink" Target="https://scryfall.com/sets/oclb" TargetMode="External"/><Relationship Id="rId1570" Type="http://schemas.openxmlformats.org/officeDocument/2006/relationships/hyperlink" Target="https://scryfall.com/sets/gn2" TargetMode="External"/><Relationship Id="rId2414" Type="http://schemas.openxmlformats.org/officeDocument/2006/relationships/hyperlink" Target="https://scryfall.com/sets/tjou" TargetMode="External"/><Relationship Id="rId2621" Type="http://schemas.openxmlformats.org/officeDocument/2006/relationships/hyperlink" Target="https://scryfall.com/sets/pavr" TargetMode="External"/><Relationship Id="rId800" Type="http://schemas.openxmlformats.org/officeDocument/2006/relationships/hyperlink" Target="https://scryfall.com/sets/scd" TargetMode="External"/><Relationship Id="rId1223" Type="http://schemas.openxmlformats.org/officeDocument/2006/relationships/hyperlink" Target="https://scryfall.com/sets/oafr" TargetMode="External"/><Relationship Id="rId1430" Type="http://schemas.openxmlformats.org/officeDocument/2006/relationships/hyperlink" Target="https://scryfall.com/cubes/tinkerer" TargetMode="External"/><Relationship Id="rId3188" Type="http://schemas.openxmlformats.org/officeDocument/2006/relationships/hyperlink" Target="https://scryfall.com/sets/pmps06" TargetMode="External"/><Relationship Id="rId3395" Type="http://schemas.openxmlformats.org/officeDocument/2006/relationships/hyperlink" Target="https://scryfall.com/sets/pons" TargetMode="External"/><Relationship Id="rId3048" Type="http://schemas.openxmlformats.org/officeDocument/2006/relationships/hyperlink" Target="https://scryfall.com/sets/mor" TargetMode="External"/><Relationship Id="rId3255" Type="http://schemas.openxmlformats.org/officeDocument/2006/relationships/hyperlink" Target="https://scryfall.com/sets/pbok" TargetMode="External"/><Relationship Id="rId3462" Type="http://schemas.openxmlformats.org/officeDocument/2006/relationships/hyperlink" Target="https://scryfall.com/sets/pls" TargetMode="External"/><Relationship Id="rId176" Type="http://schemas.openxmlformats.org/officeDocument/2006/relationships/hyperlink" Target="https://scryfall.com/sets/pss5" TargetMode="External"/><Relationship Id="rId383" Type="http://schemas.openxmlformats.org/officeDocument/2006/relationships/hyperlink" Target="https://scryfall.com/sets/mh3" TargetMode="External"/><Relationship Id="rId590" Type="http://schemas.openxmlformats.org/officeDocument/2006/relationships/hyperlink" Target="https://scryfall.com/sets/ywoe" TargetMode="External"/><Relationship Id="rId2064" Type="http://schemas.openxmlformats.org/officeDocument/2006/relationships/hyperlink" Target="https://scryfall.com/sets/opca" TargetMode="External"/><Relationship Id="rId2271" Type="http://schemas.openxmlformats.org/officeDocument/2006/relationships/hyperlink" Target="https://scryfall.com/sets/tfrf" TargetMode="External"/><Relationship Id="rId3115" Type="http://schemas.openxmlformats.org/officeDocument/2006/relationships/hyperlink" Target="https://scryfall.com/sets/pgpx" TargetMode="External"/><Relationship Id="rId3322" Type="http://schemas.openxmlformats.org/officeDocument/2006/relationships/hyperlink" Target="https://scryfall.com/sets/f04" TargetMode="External"/><Relationship Id="rId243" Type="http://schemas.openxmlformats.org/officeDocument/2006/relationships/hyperlink" Target="https://scryfall.com/sets/tdrc" TargetMode="External"/><Relationship Id="rId450" Type="http://schemas.openxmlformats.org/officeDocument/2006/relationships/hyperlink" Target="https://scryfall.com/sets/otc" TargetMode="External"/><Relationship Id="rId1080" Type="http://schemas.openxmlformats.org/officeDocument/2006/relationships/hyperlink" Target="https://scryfall.com/sets/pneo" TargetMode="External"/><Relationship Id="rId2131" Type="http://schemas.openxmlformats.org/officeDocument/2006/relationships/hyperlink" Target="https://scryfall.com/sets/tema" TargetMode="External"/><Relationship Id="rId103" Type="http://schemas.openxmlformats.org/officeDocument/2006/relationships/hyperlink" Target="https://scryfall.com/sets/ph23" TargetMode="External"/><Relationship Id="rId310" Type="http://schemas.openxmlformats.org/officeDocument/2006/relationships/hyperlink" Target="https://scryfall.com/sets/tdsk" TargetMode="External"/><Relationship Id="rId1897" Type="http://schemas.openxmlformats.org/officeDocument/2006/relationships/hyperlink" Target="https://scryfall.com/sets/e02" TargetMode="External"/><Relationship Id="rId2948" Type="http://schemas.openxmlformats.org/officeDocument/2006/relationships/hyperlink" Target="https://scryfall.com/sets/parb" TargetMode="External"/><Relationship Id="rId1757" Type="http://schemas.openxmlformats.org/officeDocument/2006/relationships/hyperlink" Target="https://scryfall.com/sets/ph17" TargetMode="External"/><Relationship Id="rId1964" Type="http://schemas.openxmlformats.org/officeDocument/2006/relationships/hyperlink" Target="https://scryfall.com/sets/hou" TargetMode="External"/><Relationship Id="rId2808" Type="http://schemas.openxmlformats.org/officeDocument/2006/relationships/hyperlink" Target="https://scryfall.com/sets/tsom" TargetMode="External"/><Relationship Id="rId49" Type="http://schemas.openxmlformats.org/officeDocument/2006/relationships/hyperlink" Target="https://scryfall.com/sets/jtla" TargetMode="External"/><Relationship Id="rId1617" Type="http://schemas.openxmlformats.org/officeDocument/2006/relationships/hyperlink" Target="https://scryfall.com/sets/ph18" TargetMode="External"/><Relationship Id="rId1824" Type="http://schemas.openxmlformats.org/officeDocument/2006/relationships/hyperlink" Target="https://scryfall.com/sets/tbbd" TargetMode="External"/><Relationship Id="rId3789" Type="http://schemas.openxmlformats.org/officeDocument/2006/relationships/hyperlink" Target="https://scryfall.com/sets/arn" TargetMode="External"/><Relationship Id="rId2598" Type="http://schemas.openxmlformats.org/officeDocument/2006/relationships/hyperlink" Target="https://scryfall.com/sets/v12" TargetMode="External"/><Relationship Id="rId3649" Type="http://schemas.openxmlformats.org/officeDocument/2006/relationships/hyperlink" Target="https://scryfall.com/sets/ptmp" TargetMode="External"/><Relationship Id="rId777" Type="http://schemas.openxmlformats.org/officeDocument/2006/relationships/hyperlink" Target="https://scryfall.com/sets/dmr" TargetMode="External"/><Relationship Id="rId984" Type="http://schemas.openxmlformats.org/officeDocument/2006/relationships/hyperlink" Target="https://scryfall.com/sets/2x2" TargetMode="External"/><Relationship Id="rId2458" Type="http://schemas.openxmlformats.org/officeDocument/2006/relationships/hyperlink" Target="https://scryfall.com/sets/f14" TargetMode="External"/><Relationship Id="rId2665" Type="http://schemas.openxmlformats.org/officeDocument/2006/relationships/hyperlink" Target="https://scryfall.com/sets/l12" TargetMode="External"/><Relationship Id="rId2872" Type="http://schemas.openxmlformats.org/officeDocument/2006/relationships/hyperlink" Target="https://scryfall.com/sets/pdp10" TargetMode="External"/><Relationship Id="rId3509" Type="http://schemas.openxmlformats.org/officeDocument/2006/relationships/hyperlink" Target="https://scryfall.com/sets/nem" TargetMode="External"/><Relationship Id="rId3716" Type="http://schemas.openxmlformats.org/officeDocument/2006/relationships/hyperlink" Target="https://scryfall.com/sets/all" TargetMode="External"/><Relationship Id="rId637" Type="http://schemas.openxmlformats.org/officeDocument/2006/relationships/hyperlink" Target="https://scryfall.com/sets/pltr" TargetMode="External"/><Relationship Id="rId844" Type="http://schemas.openxmlformats.org/officeDocument/2006/relationships/hyperlink" Target="https://scryfall.com/sets/brr" TargetMode="External"/><Relationship Id="rId1267" Type="http://schemas.openxmlformats.org/officeDocument/2006/relationships/hyperlink" Target="https://scryfall.com/sets/amh2" TargetMode="External"/><Relationship Id="rId1474" Type="http://schemas.openxmlformats.org/officeDocument/2006/relationships/hyperlink" Target="https://scryfall.com/sets/tm21" TargetMode="External"/><Relationship Id="rId1681" Type="http://schemas.openxmlformats.org/officeDocument/2006/relationships/hyperlink" Target="https://scryfall.com/sets/prna" TargetMode="External"/><Relationship Id="rId2318" Type="http://schemas.openxmlformats.org/officeDocument/2006/relationships/hyperlink" Target="https://scryfall.com/sets/dvd" TargetMode="External"/><Relationship Id="rId2525" Type="http://schemas.openxmlformats.org/officeDocument/2006/relationships/hyperlink" Target="https://scryfall.com/sets/pdgm" TargetMode="External"/><Relationship Id="rId2732" Type="http://schemas.openxmlformats.org/officeDocument/2006/relationships/hyperlink" Target="https://scryfall.com/sets/pnph" TargetMode="External"/><Relationship Id="rId704" Type="http://schemas.openxmlformats.org/officeDocument/2006/relationships/hyperlink" Target="https://scryfall.com/sets/tmoc" TargetMode="External"/><Relationship Id="rId911" Type="http://schemas.openxmlformats.org/officeDocument/2006/relationships/hyperlink" Target="https://scryfall.com/sets/40k" TargetMode="External"/><Relationship Id="rId1127" Type="http://schemas.openxmlformats.org/officeDocument/2006/relationships/hyperlink" Target="https://scryfall.com/sets/vow" TargetMode="External"/><Relationship Id="rId1334" Type="http://schemas.openxmlformats.org/officeDocument/2006/relationships/hyperlink" Target="https://scryfall.com/sets/khm" TargetMode="External"/><Relationship Id="rId1541" Type="http://schemas.openxmlformats.org/officeDocument/2006/relationships/hyperlink" Target="https://scryfall.com/sets/j20" TargetMode="External"/><Relationship Id="rId40" Type="http://schemas.openxmlformats.org/officeDocument/2006/relationships/hyperlink" Target="https://scryfall.com/sets/tla" TargetMode="External"/><Relationship Id="rId1401" Type="http://schemas.openxmlformats.org/officeDocument/2006/relationships/hyperlink" Target="https://scryfall.com/sets/pznr" TargetMode="External"/><Relationship Id="rId3299" Type="http://schemas.openxmlformats.org/officeDocument/2006/relationships/hyperlink" Target="https://scryfall.com/sets/p5dn" TargetMode="External"/><Relationship Id="rId3159" Type="http://schemas.openxmlformats.org/officeDocument/2006/relationships/hyperlink" Target="https://scryfall.com/sets/tsb" TargetMode="External"/><Relationship Id="rId3366" Type="http://schemas.openxmlformats.org/officeDocument/2006/relationships/hyperlink" Target="https://scryfall.com/sets/pal03" TargetMode="External"/><Relationship Id="rId3573" Type="http://schemas.openxmlformats.org/officeDocument/2006/relationships/hyperlink" Target="https://scryfall.com/sets/ptk" TargetMode="External"/><Relationship Id="rId287" Type="http://schemas.openxmlformats.org/officeDocument/2006/relationships/hyperlink" Target="https://scryfall.com/sets/afdn" TargetMode="External"/><Relationship Id="rId494" Type="http://schemas.openxmlformats.org/officeDocument/2006/relationships/hyperlink" Target="https://scryfall.com/sets/wmkm" TargetMode="External"/><Relationship Id="rId2175" Type="http://schemas.openxmlformats.org/officeDocument/2006/relationships/hyperlink" Target="https://scryfall.com/sets/pz1" TargetMode="External"/><Relationship Id="rId2382" Type="http://schemas.openxmlformats.org/officeDocument/2006/relationships/hyperlink" Target="https://scryfall.com/sets/vma" TargetMode="External"/><Relationship Id="rId3019" Type="http://schemas.openxmlformats.org/officeDocument/2006/relationships/hyperlink" Target="https://scryfall.com/sets/drb" TargetMode="External"/><Relationship Id="rId3226" Type="http://schemas.openxmlformats.org/officeDocument/2006/relationships/hyperlink" Target="https://scryfall.com/sets/pmps/ja" TargetMode="External"/><Relationship Id="rId3780" Type="http://schemas.openxmlformats.org/officeDocument/2006/relationships/hyperlink" Target="https://scryfall.com/sets/fbb" TargetMode="External"/><Relationship Id="rId147" Type="http://schemas.openxmlformats.org/officeDocument/2006/relationships/hyperlink" Target="https://scryfall.com/sets/fca" TargetMode="External"/><Relationship Id="rId354" Type="http://schemas.openxmlformats.org/officeDocument/2006/relationships/hyperlink" Target="https://scryfall.com/sets/ablb" TargetMode="External"/><Relationship Id="rId1191" Type="http://schemas.openxmlformats.org/officeDocument/2006/relationships/hyperlink" Target="https://scryfall.com/sets/amid" TargetMode="External"/><Relationship Id="rId2035" Type="http://schemas.openxmlformats.org/officeDocument/2006/relationships/hyperlink" Target="https://scryfall.com/sets/paer" TargetMode="External"/><Relationship Id="rId3433" Type="http://schemas.openxmlformats.org/officeDocument/2006/relationships/hyperlink" Target="https://scryfall.com/sets/f02" TargetMode="External"/><Relationship Id="rId3640" Type="http://schemas.openxmlformats.org/officeDocument/2006/relationships/hyperlink" Target="https://scryfall.com/sets/psth" TargetMode="External"/><Relationship Id="rId561" Type="http://schemas.openxmlformats.org/officeDocument/2006/relationships/hyperlink" Target="https://scryfall.com/sets/tlcc" TargetMode="External"/><Relationship Id="rId2242" Type="http://schemas.openxmlformats.org/officeDocument/2006/relationships/hyperlink" Target="https://scryfall.com/sets/tpr" TargetMode="External"/><Relationship Id="rId3500" Type="http://schemas.openxmlformats.org/officeDocument/2006/relationships/hyperlink" Target="https://scryfall.com/sets/ppcy" TargetMode="External"/><Relationship Id="rId214" Type="http://schemas.openxmlformats.org/officeDocument/2006/relationships/hyperlink" Target="https://scryfall.com/sets/pl25" TargetMode="External"/><Relationship Id="rId421" Type="http://schemas.openxmlformats.org/officeDocument/2006/relationships/hyperlink" Target="https://scryfall.com/sets/potj" TargetMode="External"/><Relationship Id="rId1051" Type="http://schemas.openxmlformats.org/officeDocument/2006/relationships/hyperlink" Target="https://scryfall.com/sets/tncc" TargetMode="External"/><Relationship Id="rId2102" Type="http://schemas.openxmlformats.org/officeDocument/2006/relationships/hyperlink" Target="https://scryfall.com/sets/ddr" TargetMode="External"/><Relationship Id="rId1868" Type="http://schemas.openxmlformats.org/officeDocument/2006/relationships/hyperlink" Target="https://scryfall.com/sets/prix" TargetMode="External"/><Relationship Id="rId2919" Type="http://schemas.openxmlformats.org/officeDocument/2006/relationships/hyperlink" Target="https://scryfall.com/sets/hop" TargetMode="External"/><Relationship Id="rId3083" Type="http://schemas.openxmlformats.org/officeDocument/2006/relationships/hyperlink" Target="https://scryfall.com/sets/lrw" TargetMode="External"/><Relationship Id="rId3290" Type="http://schemas.openxmlformats.org/officeDocument/2006/relationships/hyperlink" Target="https://scryfall.com/sets/pchk" TargetMode="External"/><Relationship Id="rId1728" Type="http://schemas.openxmlformats.org/officeDocument/2006/relationships/hyperlink" Target="https://scryfall.com/sets/tgrn" TargetMode="External"/><Relationship Id="rId1935" Type="http://schemas.openxmlformats.org/officeDocument/2006/relationships/hyperlink" Target="https://scryfall.com/sets/pss2" TargetMode="External"/><Relationship Id="rId3150" Type="http://schemas.openxmlformats.org/officeDocument/2006/relationships/hyperlink" Target="https://scryfall.com/sets/tsp" TargetMode="External"/><Relationship Id="rId3010" Type="http://schemas.openxmlformats.org/officeDocument/2006/relationships/hyperlink" Target="https://scryfall.com/sets/tala" TargetMode="External"/><Relationship Id="rId4" Type="http://schemas.openxmlformats.org/officeDocument/2006/relationships/hyperlink" Target="https://scryfall.com/sets/msh" TargetMode="External"/><Relationship Id="rId888" Type="http://schemas.openxmlformats.org/officeDocument/2006/relationships/hyperlink" Target="https://scryfall.com/sets/fbro" TargetMode="External"/><Relationship Id="rId2569" Type="http://schemas.openxmlformats.org/officeDocument/2006/relationships/hyperlink" Target="https://scryfall.com/sets/f13" TargetMode="External"/><Relationship Id="rId2776" Type="http://schemas.openxmlformats.org/officeDocument/2006/relationships/hyperlink" Target="https://scryfall.com/sets/olgc" TargetMode="External"/><Relationship Id="rId2983" Type="http://schemas.openxmlformats.org/officeDocument/2006/relationships/hyperlink" Target="https://scryfall.com/sets/f09" TargetMode="External"/><Relationship Id="rId748" Type="http://schemas.openxmlformats.org/officeDocument/2006/relationships/hyperlink" Target="https://scryfall.com/sets/tone" TargetMode="External"/><Relationship Id="rId955" Type="http://schemas.openxmlformats.org/officeDocument/2006/relationships/hyperlink" Target="https://scryfall.com/sets/dmc" TargetMode="External"/><Relationship Id="rId1378" Type="http://schemas.openxmlformats.org/officeDocument/2006/relationships/hyperlink" Target="https://scryfall.com/sets/pcmr" TargetMode="External"/><Relationship Id="rId1585" Type="http://schemas.openxmlformats.org/officeDocument/2006/relationships/hyperlink" Target="https://scryfall.com/sets/ptg" TargetMode="External"/><Relationship Id="rId1792" Type="http://schemas.openxmlformats.org/officeDocument/2006/relationships/hyperlink" Target="https://scryfall.com/sets/g18" TargetMode="External"/><Relationship Id="rId2429" Type="http://schemas.openxmlformats.org/officeDocument/2006/relationships/hyperlink" Target="https://scryfall.com/sets/tddm" TargetMode="External"/><Relationship Id="rId2636" Type="http://schemas.openxmlformats.org/officeDocument/2006/relationships/hyperlink" Target="https://scryfall.com/sets/tddi" TargetMode="External"/><Relationship Id="rId2843" Type="http://schemas.openxmlformats.org/officeDocument/2006/relationships/hyperlink" Target="https://scryfall.com/sets/roe" TargetMode="External"/><Relationship Id="rId84" Type="http://schemas.openxmlformats.org/officeDocument/2006/relationships/hyperlink" Target="https://scryfall.com/sets/tspm" TargetMode="External"/><Relationship Id="rId608" Type="http://schemas.openxmlformats.org/officeDocument/2006/relationships/hyperlink" Target="https://scryfall.com/sets/cmm" TargetMode="External"/><Relationship Id="rId815" Type="http://schemas.openxmlformats.org/officeDocument/2006/relationships/hyperlink" Target="https://scryfall.com/sets/30a" TargetMode="External"/><Relationship Id="rId1238" Type="http://schemas.openxmlformats.org/officeDocument/2006/relationships/hyperlink" Target="https://scryfall.com/sets/oafc" TargetMode="External"/><Relationship Id="rId1445" Type="http://schemas.openxmlformats.org/officeDocument/2006/relationships/hyperlink" Target="https://scryfall.com/sets/t2xm" TargetMode="External"/><Relationship Id="rId1652" Type="http://schemas.openxmlformats.org/officeDocument/2006/relationships/hyperlink" Target="https://scryfall.com/sets/tmh1" TargetMode="External"/><Relationship Id="rId1305" Type="http://schemas.openxmlformats.org/officeDocument/2006/relationships/hyperlink" Target="https://scryfall.com/sets/astx" TargetMode="External"/><Relationship Id="rId2703" Type="http://schemas.openxmlformats.org/officeDocument/2006/relationships/hyperlink" Target="https://scryfall.com/sets/pm12" TargetMode="External"/><Relationship Id="rId2910" Type="http://schemas.openxmlformats.org/officeDocument/2006/relationships/hyperlink" Target="https://scryfall.com/sets/tzen" TargetMode="External"/><Relationship Id="rId1512" Type="http://schemas.openxmlformats.org/officeDocument/2006/relationships/hyperlink" Target="https://scryfall.com/sets/ha2" TargetMode="External"/><Relationship Id="rId11" Type="http://schemas.openxmlformats.org/officeDocument/2006/relationships/hyperlink" Target="https://scryfall.com/sets/tmt" TargetMode="External"/><Relationship Id="rId398" Type="http://schemas.openxmlformats.org/officeDocument/2006/relationships/hyperlink" Target="https://scryfall.com/sets/m3c" TargetMode="External"/><Relationship Id="rId2079" Type="http://schemas.openxmlformats.org/officeDocument/2006/relationships/hyperlink" Target="https://scryfall.com/sets/oc16" TargetMode="External"/><Relationship Id="rId3477" Type="http://schemas.openxmlformats.org/officeDocument/2006/relationships/hyperlink" Target="https://scryfall.com/sets/g01" TargetMode="External"/><Relationship Id="rId3684" Type="http://schemas.openxmlformats.org/officeDocument/2006/relationships/hyperlink" Target="https://scryfall.com/sets/mgb" TargetMode="External"/><Relationship Id="rId2286" Type="http://schemas.openxmlformats.org/officeDocument/2006/relationships/hyperlink" Target="https://scryfall.com/sets/f15" TargetMode="External"/><Relationship Id="rId2493" Type="http://schemas.openxmlformats.org/officeDocument/2006/relationships/hyperlink" Target="https://scryfall.com/sets/tddl" TargetMode="External"/><Relationship Id="rId3337" Type="http://schemas.openxmlformats.org/officeDocument/2006/relationships/hyperlink" Target="https://scryfall.com/sets/8ed" TargetMode="External"/><Relationship Id="rId3544" Type="http://schemas.openxmlformats.org/officeDocument/2006/relationships/hyperlink" Target="https://scryfall.com/sets/pmmq" TargetMode="External"/><Relationship Id="rId3751" Type="http://schemas.openxmlformats.org/officeDocument/2006/relationships/hyperlink" Target="https://scryfall.com/sets/4bb" TargetMode="External"/><Relationship Id="rId258" Type="http://schemas.openxmlformats.org/officeDocument/2006/relationships/hyperlink" Target="https://scryfall.com/sets/ainr" TargetMode="External"/><Relationship Id="rId465" Type="http://schemas.openxmlformats.org/officeDocument/2006/relationships/hyperlink" Target="https://scryfall.com/sets/pmkm" TargetMode="External"/><Relationship Id="rId672" Type="http://schemas.openxmlformats.org/officeDocument/2006/relationships/hyperlink" Target="https://scryfall.com/sets/mat" TargetMode="External"/><Relationship Id="rId1095" Type="http://schemas.openxmlformats.org/officeDocument/2006/relationships/hyperlink" Target="https://scryfall.com/sets/sneo" TargetMode="External"/><Relationship Id="rId2146" Type="http://schemas.openxmlformats.org/officeDocument/2006/relationships/hyperlink" Target="https://scryfall.com/sets/w16" TargetMode="External"/><Relationship Id="rId2353" Type="http://schemas.openxmlformats.org/officeDocument/2006/relationships/hyperlink" Target="https://scryfall.com/sets/v14" TargetMode="External"/><Relationship Id="rId2560" Type="http://schemas.openxmlformats.org/officeDocument/2006/relationships/hyperlink" Target="https://scryfall.com/sets/l13" TargetMode="External"/><Relationship Id="rId3404" Type="http://schemas.openxmlformats.org/officeDocument/2006/relationships/hyperlink" Target="https://scryfall.com/sets/prm" TargetMode="External"/><Relationship Id="rId3611" Type="http://schemas.openxmlformats.org/officeDocument/2006/relationships/hyperlink" Target="https://scryfall.com/sets/palp" TargetMode="External"/><Relationship Id="rId118" Type="http://schemas.openxmlformats.org/officeDocument/2006/relationships/hyperlink" Target="https://scryfall.com/sets/eos" TargetMode="External"/><Relationship Id="rId325" Type="http://schemas.openxmlformats.org/officeDocument/2006/relationships/hyperlink" Target="https://scryfall.com/sets/adsk" TargetMode="External"/><Relationship Id="rId532" Type="http://schemas.openxmlformats.org/officeDocument/2006/relationships/hyperlink" Target="https://scryfall.com/sets/tlci" TargetMode="External"/><Relationship Id="rId1162" Type="http://schemas.openxmlformats.org/officeDocument/2006/relationships/hyperlink" Target="https://scryfall.com/sets/q06" TargetMode="External"/><Relationship Id="rId2006" Type="http://schemas.openxmlformats.org/officeDocument/2006/relationships/hyperlink" Target="https://scryfall.com/sets/takh" TargetMode="External"/><Relationship Id="rId2213" Type="http://schemas.openxmlformats.org/officeDocument/2006/relationships/hyperlink" Target="https://scryfall.com/sets/v15" TargetMode="External"/><Relationship Id="rId2420" Type="http://schemas.openxmlformats.org/officeDocument/2006/relationships/hyperlink" Target="https://scryfall.com/sets/thp3" TargetMode="External"/><Relationship Id="rId1022" Type="http://schemas.openxmlformats.org/officeDocument/2006/relationships/hyperlink" Target="https://scryfall.com/sets/snc" TargetMode="External"/><Relationship Id="rId1979" Type="http://schemas.openxmlformats.org/officeDocument/2006/relationships/hyperlink" Target="https://scryfall.com/sets/te01" TargetMode="External"/><Relationship Id="rId3194" Type="http://schemas.openxmlformats.org/officeDocument/2006/relationships/hyperlink" Target="https://scryfall.com/sets/pal06" TargetMode="External"/><Relationship Id="rId1839" Type="http://schemas.openxmlformats.org/officeDocument/2006/relationships/hyperlink" Target="https://scryfall.com/sets/tdom" TargetMode="External"/><Relationship Id="rId3054" Type="http://schemas.openxmlformats.org/officeDocument/2006/relationships/hyperlink" Target="https://scryfall.com/sets/tmor" TargetMode="External"/><Relationship Id="rId182" Type="http://schemas.openxmlformats.org/officeDocument/2006/relationships/hyperlink" Target="https://scryfall.com/sets/pa1" TargetMode="External"/><Relationship Id="rId1906" Type="http://schemas.openxmlformats.org/officeDocument/2006/relationships/hyperlink" Target="https://scryfall.com/sets/tima" TargetMode="External"/><Relationship Id="rId3261" Type="http://schemas.openxmlformats.org/officeDocument/2006/relationships/hyperlink" Target="https://scryfall.com/sets/pjse" TargetMode="External"/><Relationship Id="rId2070" Type="http://schemas.openxmlformats.org/officeDocument/2006/relationships/hyperlink" Target="https://scryfall.com/cubes/twisted" TargetMode="External"/><Relationship Id="rId3121" Type="http://schemas.openxmlformats.org/officeDocument/2006/relationships/hyperlink" Target="https://scryfall.com/sets/ppro" TargetMode="External"/><Relationship Id="rId999" Type="http://schemas.openxmlformats.org/officeDocument/2006/relationships/hyperlink" Target="https://scryfall.com/sets/clb" TargetMode="External"/><Relationship Id="rId2887" Type="http://schemas.openxmlformats.org/officeDocument/2006/relationships/hyperlink" Target="https://scryfall.com/sets/f10" TargetMode="External"/><Relationship Id="rId859" Type="http://schemas.openxmlformats.org/officeDocument/2006/relationships/hyperlink" Target="https://scryfall.com/sets/brc" TargetMode="External"/><Relationship Id="rId1489" Type="http://schemas.openxmlformats.org/officeDocument/2006/relationships/hyperlink" Target="https://scryfall.com/sets/plg20" TargetMode="External"/><Relationship Id="rId1696" Type="http://schemas.openxmlformats.org/officeDocument/2006/relationships/hyperlink" Target="https://scryfall.com/sets/pf19" TargetMode="External"/><Relationship Id="rId1349" Type="http://schemas.openxmlformats.org/officeDocument/2006/relationships/hyperlink" Target="https://scryfall.com/sets/skhm" TargetMode="External"/><Relationship Id="rId2747" Type="http://schemas.openxmlformats.org/officeDocument/2006/relationships/hyperlink" Target="https://scryfall.com/sets/pmbs" TargetMode="External"/><Relationship Id="rId2954" Type="http://schemas.openxmlformats.org/officeDocument/2006/relationships/hyperlink" Target="https://scryfall.com/sets/ddc" TargetMode="External"/><Relationship Id="rId719" Type="http://schemas.openxmlformats.org/officeDocument/2006/relationships/hyperlink" Target="https://scryfall.com/sets/sir" TargetMode="External"/><Relationship Id="rId926" Type="http://schemas.openxmlformats.org/officeDocument/2006/relationships/hyperlink" Target="https://scryfall.com/sets/pdmu" TargetMode="External"/><Relationship Id="rId1556" Type="http://schemas.openxmlformats.org/officeDocument/2006/relationships/hyperlink" Target="https://scryfall.com/sets/slc" TargetMode="External"/><Relationship Id="rId1763" Type="http://schemas.openxmlformats.org/officeDocument/2006/relationships/hyperlink" Target="https://scryfall.com/sets/ana" TargetMode="External"/><Relationship Id="rId1970" Type="http://schemas.openxmlformats.org/officeDocument/2006/relationships/hyperlink" Target="https://scryfall.com/sets/phou" TargetMode="External"/><Relationship Id="rId2607" Type="http://schemas.openxmlformats.org/officeDocument/2006/relationships/hyperlink" Target="https://scryfall.com/sets/tm13" TargetMode="External"/><Relationship Id="rId2814" Type="http://schemas.openxmlformats.org/officeDocument/2006/relationships/hyperlink" Target="https://scryfall.com/sets/tddf" TargetMode="External"/><Relationship Id="rId55" Type="http://schemas.openxmlformats.org/officeDocument/2006/relationships/hyperlink" Target="https://scryfall.com/sets/tle" TargetMode="External"/><Relationship Id="rId1209" Type="http://schemas.openxmlformats.org/officeDocument/2006/relationships/hyperlink" Target="https://scryfall.com/sets/afr" TargetMode="External"/><Relationship Id="rId1416" Type="http://schemas.openxmlformats.org/officeDocument/2006/relationships/hyperlink" Target="https://scryfall.com/sets/znc" TargetMode="External"/><Relationship Id="rId1623" Type="http://schemas.openxmlformats.org/officeDocument/2006/relationships/hyperlink" Target="https://scryfall.com/sets/m20" TargetMode="External"/><Relationship Id="rId1830" Type="http://schemas.openxmlformats.org/officeDocument/2006/relationships/hyperlink" Target="https://scryfall.com/sets/dom" TargetMode="External"/><Relationship Id="rId3588" Type="http://schemas.openxmlformats.org/officeDocument/2006/relationships/hyperlink" Target="https://scryfall.com/sets/pulg" TargetMode="External"/><Relationship Id="rId3795" Type="http://schemas.openxmlformats.org/officeDocument/2006/relationships/hyperlink" Target="https://scryfall.com/sets/ced" TargetMode="External"/><Relationship Id="rId2397" Type="http://schemas.openxmlformats.org/officeDocument/2006/relationships/hyperlink" Target="https://scryfall.com/sets/md1" TargetMode="External"/><Relationship Id="rId3448" Type="http://schemas.openxmlformats.org/officeDocument/2006/relationships/hyperlink" Target="https://scryfall.com/sets/psdg" TargetMode="External"/><Relationship Id="rId3655" Type="http://schemas.openxmlformats.org/officeDocument/2006/relationships/hyperlink" Target="https://scryfall.com/sets/wc97" TargetMode="External"/><Relationship Id="rId369" Type="http://schemas.openxmlformats.org/officeDocument/2006/relationships/hyperlink" Target="https://scryfall.com/sets/tacr" TargetMode="External"/><Relationship Id="rId576" Type="http://schemas.openxmlformats.org/officeDocument/2006/relationships/hyperlink" Target="https://scryfall.com/sets/wot" TargetMode="External"/><Relationship Id="rId783" Type="http://schemas.openxmlformats.org/officeDocument/2006/relationships/hyperlink" Target="https://scryfall.com/sets/pr23" TargetMode="External"/><Relationship Id="rId990" Type="http://schemas.openxmlformats.org/officeDocument/2006/relationships/hyperlink" Target="https://scryfall.com/sets/t2x2" TargetMode="External"/><Relationship Id="rId2257" Type="http://schemas.openxmlformats.org/officeDocument/2006/relationships/hyperlink" Target="https://scryfall.com/sets/ptkdf" TargetMode="External"/><Relationship Id="rId2464" Type="http://schemas.openxmlformats.org/officeDocument/2006/relationships/hyperlink" Target="https://scryfall.com/sets/oc13" TargetMode="External"/><Relationship Id="rId2671" Type="http://schemas.openxmlformats.org/officeDocument/2006/relationships/hyperlink" Target="https://scryfall.com/sets/f12" TargetMode="External"/><Relationship Id="rId3308" Type="http://schemas.openxmlformats.org/officeDocument/2006/relationships/hyperlink" Target="https://scryfall.com/sets/pdst" TargetMode="External"/><Relationship Id="rId3515" Type="http://schemas.openxmlformats.org/officeDocument/2006/relationships/hyperlink" Target="https://scryfall.com/sets/pelp" TargetMode="External"/><Relationship Id="rId229" Type="http://schemas.openxmlformats.org/officeDocument/2006/relationships/hyperlink" Target="https://scryfall.com/sets/ydft" TargetMode="External"/><Relationship Id="rId436" Type="http://schemas.openxmlformats.org/officeDocument/2006/relationships/hyperlink" Target="https://scryfall.com/sets/aotj" TargetMode="External"/><Relationship Id="rId643" Type="http://schemas.openxmlformats.org/officeDocument/2006/relationships/hyperlink" Target="https://scryfall.com/sets/tltr" TargetMode="External"/><Relationship Id="rId1066" Type="http://schemas.openxmlformats.org/officeDocument/2006/relationships/hyperlink" Target="https://scryfall.com/sets/q07" TargetMode="External"/><Relationship Id="rId1273" Type="http://schemas.openxmlformats.org/officeDocument/2006/relationships/hyperlink" Target="https://scryfall.com/sets/h1r" TargetMode="External"/><Relationship Id="rId1480" Type="http://schemas.openxmlformats.org/officeDocument/2006/relationships/hyperlink" Target="https://scryfall.com/cubes/arena" TargetMode="External"/><Relationship Id="rId2117" Type="http://schemas.openxmlformats.org/officeDocument/2006/relationships/hyperlink" Target="https://scryfall.com/sets/emn" TargetMode="External"/><Relationship Id="rId2324" Type="http://schemas.openxmlformats.org/officeDocument/2006/relationships/hyperlink" Target="https://scryfall.com/sets/tdvd" TargetMode="External"/><Relationship Id="rId3722" Type="http://schemas.openxmlformats.org/officeDocument/2006/relationships/hyperlink" Target="https://scryfall.com/sets/o90p" TargetMode="External"/><Relationship Id="rId850" Type="http://schemas.openxmlformats.org/officeDocument/2006/relationships/hyperlink" Target="https://scryfall.com/sets/tbro" TargetMode="External"/><Relationship Id="rId1133" Type="http://schemas.openxmlformats.org/officeDocument/2006/relationships/hyperlink" Target="https://scryfall.com/sets/tvow" TargetMode="External"/><Relationship Id="rId2531" Type="http://schemas.openxmlformats.org/officeDocument/2006/relationships/hyperlink" Target="https://scryfall.com/sets/tdgm" TargetMode="External"/><Relationship Id="rId503" Type="http://schemas.openxmlformats.org/officeDocument/2006/relationships/hyperlink" Target="https://scryfall.com/sets/tmkc" TargetMode="External"/><Relationship Id="rId710" Type="http://schemas.openxmlformats.org/officeDocument/2006/relationships/hyperlink" Target="https://scryfall.com/sets/wmom/ja" TargetMode="External"/><Relationship Id="rId1340" Type="http://schemas.openxmlformats.org/officeDocument/2006/relationships/hyperlink" Target="https://scryfall.com/sets/tkhm" TargetMode="External"/><Relationship Id="rId3098" Type="http://schemas.openxmlformats.org/officeDocument/2006/relationships/hyperlink" Target="https://scryfall.com/sets/10e" TargetMode="External"/><Relationship Id="rId1200" Type="http://schemas.openxmlformats.org/officeDocument/2006/relationships/hyperlink" Target="https://scryfall.com/sets/j21" TargetMode="External"/><Relationship Id="rId3165" Type="http://schemas.openxmlformats.org/officeDocument/2006/relationships/hyperlink" Target="https://scryfall.com/sets/pcsp" TargetMode="External"/><Relationship Id="rId3372" Type="http://schemas.openxmlformats.org/officeDocument/2006/relationships/hyperlink" Target="https://scryfall.com/sets/g03" TargetMode="External"/><Relationship Id="rId293" Type="http://schemas.openxmlformats.org/officeDocument/2006/relationships/hyperlink" Target="https://scryfall.com/sets/j25" TargetMode="External"/><Relationship Id="rId2181" Type="http://schemas.openxmlformats.org/officeDocument/2006/relationships/hyperlink" Target="https://scryfall.com/sets/tc15" TargetMode="External"/><Relationship Id="rId3025" Type="http://schemas.openxmlformats.org/officeDocument/2006/relationships/hyperlink" Target="https://scryfall.com/sets/peve" TargetMode="External"/><Relationship Id="rId3232" Type="http://schemas.openxmlformats.org/officeDocument/2006/relationships/hyperlink" Target="https://scryfall.com/sets/prav" TargetMode="External"/><Relationship Id="rId153" Type="http://schemas.openxmlformats.org/officeDocument/2006/relationships/hyperlink" Target="https://scryfall.com/sets/tfin" TargetMode="External"/><Relationship Id="rId360" Type="http://schemas.openxmlformats.org/officeDocument/2006/relationships/hyperlink" Target="https://scryfall.com/sets/tblc" TargetMode="External"/><Relationship Id="rId2041" Type="http://schemas.openxmlformats.org/officeDocument/2006/relationships/hyperlink" Target="https://scryfall.com/sets/l17" TargetMode="External"/><Relationship Id="rId220" Type="http://schemas.openxmlformats.org/officeDocument/2006/relationships/hyperlink" Target="https://scryfall.com/sets/dft" TargetMode="External"/><Relationship Id="rId2998" Type="http://schemas.openxmlformats.org/officeDocument/2006/relationships/hyperlink" Target="https://scryfall.com/sets/tdd2" TargetMode="External"/><Relationship Id="rId2858" Type="http://schemas.openxmlformats.org/officeDocument/2006/relationships/hyperlink" Target="https://scryfall.com/sets/tdde" TargetMode="External"/><Relationship Id="rId99" Type="http://schemas.openxmlformats.org/officeDocument/2006/relationships/hyperlink" Target="https://scryfall.com/sets/aa3" TargetMode="External"/><Relationship Id="rId1667" Type="http://schemas.openxmlformats.org/officeDocument/2006/relationships/hyperlink" Target="https://scryfall.com/sets/j19" TargetMode="External"/><Relationship Id="rId1874" Type="http://schemas.openxmlformats.org/officeDocument/2006/relationships/hyperlink" Target="https://scryfall.com/sets/j18" TargetMode="External"/><Relationship Id="rId2718" Type="http://schemas.openxmlformats.org/officeDocument/2006/relationships/hyperlink" Target="https://scryfall.com/sets/ocmd" TargetMode="External"/><Relationship Id="rId2925" Type="http://schemas.openxmlformats.org/officeDocument/2006/relationships/hyperlink" Target="https://scryfall.com/sets/ohop" TargetMode="External"/><Relationship Id="rId1527" Type="http://schemas.openxmlformats.org/officeDocument/2006/relationships/hyperlink" Target="https://scryfall.com/sets/pthb" TargetMode="External"/><Relationship Id="rId1734" Type="http://schemas.openxmlformats.org/officeDocument/2006/relationships/hyperlink" Target="https://scryfall.com/sets/med" TargetMode="External"/><Relationship Id="rId1941" Type="http://schemas.openxmlformats.org/officeDocument/2006/relationships/hyperlink" Target="https://scryfall.com/sets/h17" TargetMode="External"/><Relationship Id="rId26" Type="http://schemas.openxmlformats.org/officeDocument/2006/relationships/hyperlink" Target="https://scryfall.com/sets/ttmc" TargetMode="External"/><Relationship Id="rId3699" Type="http://schemas.openxmlformats.org/officeDocument/2006/relationships/hyperlink" Target="https://scryfall.com/sets/pcel" TargetMode="External"/><Relationship Id="rId1801" Type="http://schemas.openxmlformats.org/officeDocument/2006/relationships/hyperlink" Target="https://scryfall.com/sets/ss1" TargetMode="External"/><Relationship Id="rId3559" Type="http://schemas.openxmlformats.org/officeDocument/2006/relationships/hyperlink" Target="https://scryfall.com/sets/pgru" TargetMode="External"/><Relationship Id="rId687" Type="http://schemas.openxmlformats.org/officeDocument/2006/relationships/hyperlink" Target="https://scryfall.com/sets/tmul" TargetMode="External"/><Relationship Id="rId2368" Type="http://schemas.openxmlformats.org/officeDocument/2006/relationships/hyperlink" Target="https://scryfall.com/sets/cp1" TargetMode="External"/><Relationship Id="rId3766" Type="http://schemas.openxmlformats.org/officeDocument/2006/relationships/hyperlink" Target="https://scryfall.com/sets/pdrc" TargetMode="External"/><Relationship Id="rId894" Type="http://schemas.openxmlformats.org/officeDocument/2006/relationships/hyperlink" Target="https://scryfall.com/sets/gn3" TargetMode="External"/><Relationship Id="rId1177" Type="http://schemas.openxmlformats.org/officeDocument/2006/relationships/hyperlink" Target="https://scryfall.com/sets/smid" TargetMode="External"/><Relationship Id="rId2575" Type="http://schemas.openxmlformats.org/officeDocument/2006/relationships/hyperlink" Target="https://scryfall.com/sets/ocm1" TargetMode="External"/><Relationship Id="rId2782" Type="http://schemas.openxmlformats.org/officeDocument/2006/relationships/hyperlink" Target="https://scryfall.com/sets/g11" TargetMode="External"/><Relationship Id="rId3419" Type="http://schemas.openxmlformats.org/officeDocument/2006/relationships/hyperlink" Target="https://scryfall.com/sets/pal02" TargetMode="External"/><Relationship Id="rId3626" Type="http://schemas.openxmlformats.org/officeDocument/2006/relationships/hyperlink" Target="https://scryfall.com/sets/p02" TargetMode="External"/><Relationship Id="rId547" Type="http://schemas.openxmlformats.org/officeDocument/2006/relationships/hyperlink" Target="https://scryfall.com/sets/slci" TargetMode="External"/><Relationship Id="rId754" Type="http://schemas.openxmlformats.org/officeDocument/2006/relationships/hyperlink" Target="https://scryfall.com/sets/onc" TargetMode="External"/><Relationship Id="rId961" Type="http://schemas.openxmlformats.org/officeDocument/2006/relationships/hyperlink" Target="https://scryfall.com/sets/mdmu" TargetMode="External"/><Relationship Id="rId1384" Type="http://schemas.openxmlformats.org/officeDocument/2006/relationships/hyperlink" Target="https://scryfall.com/sets/klr" TargetMode="External"/><Relationship Id="rId1591" Type="http://schemas.openxmlformats.org/officeDocument/2006/relationships/hyperlink" Target="https://scryfall.com/sets/peld" TargetMode="External"/><Relationship Id="rId2228" Type="http://schemas.openxmlformats.org/officeDocument/2006/relationships/hyperlink" Target="https://scryfall.com/sets/cp3" TargetMode="External"/><Relationship Id="rId2435" Type="http://schemas.openxmlformats.org/officeDocument/2006/relationships/hyperlink" Target="https://scryfall.com/sets/pbng" TargetMode="External"/><Relationship Id="rId2642" Type="http://schemas.openxmlformats.org/officeDocument/2006/relationships/hyperlink" Target="https://scryfall.com/sets/pdka" TargetMode="External"/><Relationship Id="rId90" Type="http://schemas.openxmlformats.org/officeDocument/2006/relationships/hyperlink" Target="https://scryfall.com/sets/om1" TargetMode="External"/><Relationship Id="rId407" Type="http://schemas.openxmlformats.org/officeDocument/2006/relationships/hyperlink" Target="https://scryfall.com/sets/h2r" TargetMode="External"/><Relationship Id="rId614" Type="http://schemas.openxmlformats.org/officeDocument/2006/relationships/hyperlink" Target="https://scryfall.com/sets/acmm" TargetMode="External"/><Relationship Id="rId821" Type="http://schemas.openxmlformats.org/officeDocument/2006/relationships/hyperlink" Target="https://scryfall.com/sets/t30a" TargetMode="External"/><Relationship Id="rId1037" Type="http://schemas.openxmlformats.org/officeDocument/2006/relationships/hyperlink" Target="https://scryfall.com/sets/ysnc" TargetMode="External"/><Relationship Id="rId1244" Type="http://schemas.openxmlformats.org/officeDocument/2006/relationships/hyperlink" Target="https://scryfall.com/cubes/chromatic" TargetMode="External"/><Relationship Id="rId1451" Type="http://schemas.openxmlformats.org/officeDocument/2006/relationships/hyperlink" Target="https://scryfall.com/sets/ph19" TargetMode="External"/><Relationship Id="rId2502" Type="http://schemas.openxmlformats.org/officeDocument/2006/relationships/hyperlink" Target="https://scryfall.com/sets/pm14" TargetMode="External"/><Relationship Id="rId1104" Type="http://schemas.openxmlformats.org/officeDocument/2006/relationships/hyperlink" Target="https://scryfall.com/sets/tnec" TargetMode="External"/><Relationship Id="rId1311" Type="http://schemas.openxmlformats.org/officeDocument/2006/relationships/hyperlink" Target="https://scryfall.com/sets/tc21" TargetMode="External"/><Relationship Id="rId3069" Type="http://schemas.openxmlformats.org/officeDocument/2006/relationships/hyperlink" Target="https://scryfall.com/sets/f08" TargetMode="External"/><Relationship Id="rId3276" Type="http://schemas.openxmlformats.org/officeDocument/2006/relationships/hyperlink" Target="https://scryfall.com/sets/g05" TargetMode="External"/><Relationship Id="rId3483" Type="http://schemas.openxmlformats.org/officeDocument/2006/relationships/hyperlink" Target="https://scryfall.com/sets/inv" TargetMode="External"/><Relationship Id="rId3690" Type="http://schemas.openxmlformats.org/officeDocument/2006/relationships/hyperlink" Target="https://scryfall.com/sets/itp" TargetMode="External"/><Relationship Id="rId197" Type="http://schemas.openxmlformats.org/officeDocument/2006/relationships/hyperlink" Target="https://scryfall.com/sets/ytdm" TargetMode="External"/><Relationship Id="rId2085" Type="http://schemas.openxmlformats.org/officeDocument/2006/relationships/hyperlink" Target="https://scryfall.com/sets/ps16" TargetMode="External"/><Relationship Id="rId2292" Type="http://schemas.openxmlformats.org/officeDocument/2006/relationships/hyperlink" Target="https://scryfall.com/sets/j15" TargetMode="External"/><Relationship Id="rId3136" Type="http://schemas.openxmlformats.org/officeDocument/2006/relationships/hyperlink" Target="https://scryfall.com/sets/g07" TargetMode="External"/><Relationship Id="rId3343" Type="http://schemas.openxmlformats.org/officeDocument/2006/relationships/hyperlink" Target="https://scryfall.com/sets/p8ed" TargetMode="External"/><Relationship Id="rId264" Type="http://schemas.openxmlformats.org/officeDocument/2006/relationships/hyperlink" Target="https://scryfall.com/sets/pf25" TargetMode="External"/><Relationship Id="rId471" Type="http://schemas.openxmlformats.org/officeDocument/2006/relationships/hyperlink" Target="https://scryfall.com/sets/tmkm" TargetMode="External"/><Relationship Id="rId2152" Type="http://schemas.openxmlformats.org/officeDocument/2006/relationships/hyperlink" Target="https://scryfall.com/sets/ogw" TargetMode="External"/><Relationship Id="rId3550" Type="http://schemas.openxmlformats.org/officeDocument/2006/relationships/hyperlink" Target="https://scryfall.com/sets/wc99" TargetMode="External"/><Relationship Id="rId124" Type="http://schemas.openxmlformats.org/officeDocument/2006/relationships/hyperlink" Target="https://scryfall.com/sets/teoe" TargetMode="External"/><Relationship Id="rId3203" Type="http://schemas.openxmlformats.org/officeDocument/2006/relationships/hyperlink" Target="https://scryfall.com/sets/f06" TargetMode="External"/><Relationship Id="rId3410" Type="http://schemas.openxmlformats.org/officeDocument/2006/relationships/hyperlink" Target="https://scryfall.com/sets/pjud" TargetMode="External"/><Relationship Id="rId331" Type="http://schemas.openxmlformats.org/officeDocument/2006/relationships/hyperlink" Target="https://scryfall.com/sets/plg24" TargetMode="External"/><Relationship Id="rId2012" Type="http://schemas.openxmlformats.org/officeDocument/2006/relationships/hyperlink" Target="https://scryfall.com/sets/w17" TargetMode="External"/><Relationship Id="rId2969" Type="http://schemas.openxmlformats.org/officeDocument/2006/relationships/hyperlink" Target="https://scryfall.com/sets/pcon" TargetMode="External"/><Relationship Id="rId1778" Type="http://schemas.openxmlformats.org/officeDocument/2006/relationships/hyperlink" Target="https://scryfall.com/sets/pana" TargetMode="External"/><Relationship Id="rId1985" Type="http://schemas.openxmlformats.org/officeDocument/2006/relationships/hyperlink" Target="https://scryfall.com/sets/oe01" TargetMode="External"/><Relationship Id="rId2829" Type="http://schemas.openxmlformats.org/officeDocument/2006/relationships/hyperlink" Target="https://scryfall.com/sets/tm11" TargetMode="External"/><Relationship Id="rId1638" Type="http://schemas.openxmlformats.org/officeDocument/2006/relationships/hyperlink" Target="https://scryfall.com/sets/ss2" TargetMode="External"/><Relationship Id="rId1845" Type="http://schemas.openxmlformats.org/officeDocument/2006/relationships/hyperlink" Target="https://scryfall.com/sets/tddu" TargetMode="External"/><Relationship Id="rId3060" Type="http://schemas.openxmlformats.org/officeDocument/2006/relationships/hyperlink" Target="https://scryfall.com/sets/pmps08" TargetMode="External"/><Relationship Id="rId1705" Type="http://schemas.openxmlformats.org/officeDocument/2006/relationships/hyperlink" Target="https://scryfall.com/sets/tuma" TargetMode="External"/><Relationship Id="rId1912" Type="http://schemas.openxmlformats.org/officeDocument/2006/relationships/hyperlink" Target="https://scryfall.com/sets/tddt" TargetMode="External"/><Relationship Id="rId798" Type="http://schemas.openxmlformats.org/officeDocument/2006/relationships/hyperlink" Target="https://scryfall.com/sets/scd" TargetMode="External"/><Relationship Id="rId2479" Type="http://schemas.openxmlformats.org/officeDocument/2006/relationships/hyperlink" Target="https://scryfall.com/sets/tfth" TargetMode="External"/><Relationship Id="rId2686" Type="http://schemas.openxmlformats.org/officeDocument/2006/relationships/hyperlink" Target="https://scryfall.com/sets/tisd" TargetMode="External"/><Relationship Id="rId2893" Type="http://schemas.openxmlformats.org/officeDocument/2006/relationships/hyperlink" Target="https://scryfall.com/sets/h09" TargetMode="External"/><Relationship Id="rId3737" Type="http://schemas.openxmlformats.org/officeDocument/2006/relationships/hyperlink" Target="https://scryfall.com/sets/chr" TargetMode="External"/><Relationship Id="rId658" Type="http://schemas.openxmlformats.org/officeDocument/2006/relationships/hyperlink" Target="https://scryfall.com/sets/altc" TargetMode="External"/><Relationship Id="rId865" Type="http://schemas.openxmlformats.org/officeDocument/2006/relationships/hyperlink" Target="https://scryfall.com/sets/bot" TargetMode="External"/><Relationship Id="rId1288" Type="http://schemas.openxmlformats.org/officeDocument/2006/relationships/hyperlink" Target="https://scryfall.com/sets/pstx" TargetMode="External"/><Relationship Id="rId1495" Type="http://schemas.openxmlformats.org/officeDocument/2006/relationships/hyperlink" Target="https://scryfall.com/sets/piko" TargetMode="External"/><Relationship Id="rId2339" Type="http://schemas.openxmlformats.org/officeDocument/2006/relationships/hyperlink" Target="https://scryfall.com/sets/pktk" TargetMode="External"/><Relationship Id="rId2546" Type="http://schemas.openxmlformats.org/officeDocument/2006/relationships/hyperlink" Target="https://scryfall.com/sets/pgtc" TargetMode="External"/><Relationship Id="rId2753" Type="http://schemas.openxmlformats.org/officeDocument/2006/relationships/hyperlink" Target="https://scryfall.com/sets/tmbs" TargetMode="External"/><Relationship Id="rId2960" Type="http://schemas.openxmlformats.org/officeDocument/2006/relationships/hyperlink" Target="https://scryfall.com/sets/tddc" TargetMode="External"/><Relationship Id="rId3804" Type="http://schemas.openxmlformats.org/officeDocument/2006/relationships/hyperlink" Target="https://scryfall.com/sets/leb" TargetMode="External"/><Relationship Id="rId518" Type="http://schemas.openxmlformats.org/officeDocument/2006/relationships/hyperlink" Target="https://scryfall.com/sets/pw24" TargetMode="External"/><Relationship Id="rId725" Type="http://schemas.openxmlformats.org/officeDocument/2006/relationships/hyperlink" Target="https://scryfall.com/sets/sis" TargetMode="External"/><Relationship Id="rId932" Type="http://schemas.openxmlformats.org/officeDocument/2006/relationships/hyperlink" Target="https://scryfall.com/sets/tdmu" TargetMode="External"/><Relationship Id="rId1148" Type="http://schemas.openxmlformats.org/officeDocument/2006/relationships/hyperlink" Target="https://scryfall.com/sets/voc" TargetMode="External"/><Relationship Id="rId1355" Type="http://schemas.openxmlformats.org/officeDocument/2006/relationships/hyperlink" Target="https://scryfall.com/sets/tkhc" TargetMode="External"/><Relationship Id="rId1562" Type="http://schemas.openxmlformats.org/officeDocument/2006/relationships/hyperlink" Target="https://scryfall.com/sets/slu" TargetMode="External"/><Relationship Id="rId2406" Type="http://schemas.openxmlformats.org/officeDocument/2006/relationships/hyperlink" Target="https://scryfall.com/sets/jou" TargetMode="External"/><Relationship Id="rId2613" Type="http://schemas.openxmlformats.org/officeDocument/2006/relationships/hyperlink" Target="https://scryfall.com/sets/pc2" TargetMode="External"/><Relationship Id="rId1008" Type="http://schemas.openxmlformats.org/officeDocument/2006/relationships/hyperlink" Target="https://scryfall.com/sets/tclb" TargetMode="External"/><Relationship Id="rId1215" Type="http://schemas.openxmlformats.org/officeDocument/2006/relationships/hyperlink" Target="https://scryfall.com/sets/pafr" TargetMode="External"/><Relationship Id="rId1422" Type="http://schemas.openxmlformats.org/officeDocument/2006/relationships/hyperlink" Target="https://scryfall.com/sets/tznc" TargetMode="External"/><Relationship Id="rId2820" Type="http://schemas.openxmlformats.org/officeDocument/2006/relationships/hyperlink" Target="https://scryfall.com/sets/v10" TargetMode="External"/><Relationship Id="rId61" Type="http://schemas.openxmlformats.org/officeDocument/2006/relationships/hyperlink" Target="https://scryfall.com/cubes/apcube" TargetMode="External"/><Relationship Id="rId3387" Type="http://schemas.openxmlformats.org/officeDocument/2006/relationships/hyperlink" Target="https://scryfall.com/sets/wc02" TargetMode="External"/><Relationship Id="rId2196" Type="http://schemas.openxmlformats.org/officeDocument/2006/relationships/hyperlink" Target="https://scryfall.com/sets/pbfz" TargetMode="External"/><Relationship Id="rId3594" Type="http://schemas.openxmlformats.org/officeDocument/2006/relationships/hyperlink" Target="https://scryfall.com/sets/g99" TargetMode="External"/><Relationship Id="rId168" Type="http://schemas.openxmlformats.org/officeDocument/2006/relationships/hyperlink" Target="https://scryfall.com/sets/tfic" TargetMode="External"/><Relationship Id="rId3247" Type="http://schemas.openxmlformats.org/officeDocument/2006/relationships/hyperlink" Target="https://scryfall.com/sets/psok" TargetMode="External"/><Relationship Id="rId3454" Type="http://schemas.openxmlformats.org/officeDocument/2006/relationships/hyperlink" Target="https://scryfall.com/sets/apc" TargetMode="External"/><Relationship Id="rId3661" Type="http://schemas.openxmlformats.org/officeDocument/2006/relationships/hyperlink" Target="https://scryfall.com/sets/olep" TargetMode="External"/><Relationship Id="rId375" Type="http://schemas.openxmlformats.org/officeDocument/2006/relationships/hyperlink" Target="https://scryfall.com/sets/macr" TargetMode="External"/><Relationship Id="rId582" Type="http://schemas.openxmlformats.org/officeDocument/2006/relationships/hyperlink" Target="https://scryfall.com/sets/pwoe" TargetMode="External"/><Relationship Id="rId2056" Type="http://schemas.openxmlformats.org/officeDocument/2006/relationships/hyperlink" Target="https://scryfall.com/sets/pca" TargetMode="External"/><Relationship Id="rId2263" Type="http://schemas.openxmlformats.org/officeDocument/2006/relationships/hyperlink" Target="https://scryfall.com/sets/frf" TargetMode="External"/><Relationship Id="rId2470" Type="http://schemas.openxmlformats.org/officeDocument/2006/relationships/hyperlink" Target="https://scryfall.com/sets/ths" TargetMode="External"/><Relationship Id="rId3107" Type="http://schemas.openxmlformats.org/officeDocument/2006/relationships/hyperlink" Target="https://scryfall.com/sets/t10e" TargetMode="External"/><Relationship Id="rId3314" Type="http://schemas.openxmlformats.org/officeDocument/2006/relationships/hyperlink" Target="https://scryfall.com/sets/g04" TargetMode="External"/><Relationship Id="rId3521" Type="http://schemas.openxmlformats.org/officeDocument/2006/relationships/hyperlink" Target="https://scryfall.com/sets/pal00" TargetMode="External"/><Relationship Id="rId235" Type="http://schemas.openxmlformats.org/officeDocument/2006/relationships/hyperlink" Target="https://scryfall.com/sets/adft" TargetMode="External"/><Relationship Id="rId442" Type="http://schemas.openxmlformats.org/officeDocument/2006/relationships/hyperlink" Target="https://scryfall.com/sets/pbig" TargetMode="External"/><Relationship Id="rId1072" Type="http://schemas.openxmlformats.org/officeDocument/2006/relationships/hyperlink" Target="https://scryfall.com/sets/pl22" TargetMode="External"/><Relationship Id="rId2123" Type="http://schemas.openxmlformats.org/officeDocument/2006/relationships/hyperlink" Target="https://scryfall.com/sets/temn" TargetMode="External"/><Relationship Id="rId2330" Type="http://schemas.openxmlformats.org/officeDocument/2006/relationships/hyperlink" Target="https://scryfall.com/sets/tc14" TargetMode="External"/><Relationship Id="rId302" Type="http://schemas.openxmlformats.org/officeDocument/2006/relationships/hyperlink" Target="https://scryfall.com/sets/ffdn" TargetMode="External"/><Relationship Id="rId1889" Type="http://schemas.openxmlformats.org/officeDocument/2006/relationships/hyperlink" Target="https://scryfall.com/sets/tust" TargetMode="External"/><Relationship Id="rId1749" Type="http://schemas.openxmlformats.org/officeDocument/2006/relationships/hyperlink" Target="https://scryfall.com/sets/oc18" TargetMode="External"/><Relationship Id="rId1956" Type="http://schemas.openxmlformats.org/officeDocument/2006/relationships/hyperlink" Target="https://scryfall.com/sets/oc17" TargetMode="External"/><Relationship Id="rId3171" Type="http://schemas.openxmlformats.org/officeDocument/2006/relationships/hyperlink" Target="https://scryfall.com/sets/dis" TargetMode="External"/><Relationship Id="rId1609" Type="http://schemas.openxmlformats.org/officeDocument/2006/relationships/hyperlink" Target="https://scryfall.com/sets/tc19" TargetMode="External"/><Relationship Id="rId1816" Type="http://schemas.openxmlformats.org/officeDocument/2006/relationships/hyperlink" Target="https://scryfall.com/sets/bbd" TargetMode="External"/><Relationship Id="rId3031" Type="http://schemas.openxmlformats.org/officeDocument/2006/relationships/hyperlink" Target="https://scryfall.com/sets/teve" TargetMode="External"/><Relationship Id="rId2797" Type="http://schemas.openxmlformats.org/officeDocument/2006/relationships/hyperlink" Target="https://scryfall.com/sets/td0" TargetMode="External"/><Relationship Id="rId769" Type="http://schemas.openxmlformats.org/officeDocument/2006/relationships/hyperlink" Target="https://scryfall.com/sets/fone" TargetMode="External"/><Relationship Id="rId976" Type="http://schemas.openxmlformats.org/officeDocument/2006/relationships/hyperlink" Target="https://scryfall.com/sets/ha6" TargetMode="External"/><Relationship Id="rId1399" Type="http://schemas.openxmlformats.org/officeDocument/2006/relationships/hyperlink" Target="https://scryfall.com/sets/zne" TargetMode="External"/><Relationship Id="rId2657" Type="http://schemas.openxmlformats.org/officeDocument/2006/relationships/hyperlink" Target="https://scryfall.com/sets/pdp13" TargetMode="External"/><Relationship Id="rId629" Type="http://schemas.openxmlformats.org/officeDocument/2006/relationships/hyperlink" Target="https://scryfall.com/sets/pf23" TargetMode="External"/><Relationship Id="rId1259" Type="http://schemas.openxmlformats.org/officeDocument/2006/relationships/hyperlink" Target="https://scryfall.com/sets/pmh2" TargetMode="External"/><Relationship Id="rId1466" Type="http://schemas.openxmlformats.org/officeDocument/2006/relationships/hyperlink" Target="https://scryfall.com/sets/m21" TargetMode="External"/><Relationship Id="rId2864" Type="http://schemas.openxmlformats.org/officeDocument/2006/relationships/hyperlink" Target="https://scryfall.com/sets/pwwk" TargetMode="External"/><Relationship Id="rId3708" Type="http://schemas.openxmlformats.org/officeDocument/2006/relationships/hyperlink" Target="https://scryfall.com/sets/plgm" TargetMode="External"/><Relationship Id="rId836" Type="http://schemas.openxmlformats.org/officeDocument/2006/relationships/hyperlink" Target="https://scryfall.com/sets/pewk" TargetMode="External"/><Relationship Id="rId1119" Type="http://schemas.openxmlformats.org/officeDocument/2006/relationships/hyperlink" Target="https://scryfall.com/sets/p22" TargetMode="External"/><Relationship Id="rId1673" Type="http://schemas.openxmlformats.org/officeDocument/2006/relationships/hyperlink" Target="https://scryfall.com/sets/gk2" TargetMode="External"/><Relationship Id="rId1880" Type="http://schemas.openxmlformats.org/officeDocument/2006/relationships/hyperlink" Target="https://scryfall.com/sets/f18" TargetMode="External"/><Relationship Id="rId2517" Type="http://schemas.openxmlformats.org/officeDocument/2006/relationships/hyperlink" Target="https://scryfall.com/sets/tmma" TargetMode="External"/><Relationship Id="rId2724" Type="http://schemas.openxmlformats.org/officeDocument/2006/relationships/hyperlink" Target="https://scryfall.com/sets/td2" TargetMode="External"/><Relationship Id="rId2931" Type="http://schemas.openxmlformats.org/officeDocument/2006/relationships/hyperlink" Target="https://scryfall.com/sets/m10" TargetMode="External"/><Relationship Id="rId903" Type="http://schemas.openxmlformats.org/officeDocument/2006/relationships/hyperlink" Target="https://scryfall.com/sets/tunf" TargetMode="External"/><Relationship Id="rId1326" Type="http://schemas.openxmlformats.org/officeDocument/2006/relationships/hyperlink" Target="https://scryfall.com/sets/ttsr" TargetMode="External"/><Relationship Id="rId1533" Type="http://schemas.openxmlformats.org/officeDocument/2006/relationships/hyperlink" Target="https://scryfall.com/sets/tthb" TargetMode="External"/><Relationship Id="rId1740" Type="http://schemas.openxmlformats.org/officeDocument/2006/relationships/hyperlink" Target="https://scryfall.com/sets/tmed" TargetMode="External"/><Relationship Id="rId32" Type="http://schemas.openxmlformats.org/officeDocument/2006/relationships/hyperlink" Target="https://scryfall.com/sets/ecl" TargetMode="External"/><Relationship Id="rId1600" Type="http://schemas.openxmlformats.org/officeDocument/2006/relationships/hyperlink" Target="https://scryfall.com/sets/pwcs/ja" TargetMode="External"/><Relationship Id="rId3498" Type="http://schemas.openxmlformats.org/officeDocument/2006/relationships/hyperlink" Target="https://scryfall.com/sets/pcy" TargetMode="External"/><Relationship Id="rId3358" Type="http://schemas.openxmlformats.org/officeDocument/2006/relationships/hyperlink" Target="https://scryfall.com/sets/pmoa" TargetMode="External"/><Relationship Id="rId3565" Type="http://schemas.openxmlformats.org/officeDocument/2006/relationships/hyperlink" Target="https://scryfall.com/sets/uds" TargetMode="External"/><Relationship Id="rId3772" Type="http://schemas.openxmlformats.org/officeDocument/2006/relationships/hyperlink" Target="https://scryfall.com/sets/sum" TargetMode="External"/><Relationship Id="rId279" Type="http://schemas.openxmlformats.org/officeDocument/2006/relationships/hyperlink" Target="https://scryfall.com/sets/pfdn" TargetMode="External"/><Relationship Id="rId486" Type="http://schemas.openxmlformats.org/officeDocument/2006/relationships/hyperlink" Target="https://scryfall.com/sets/pss4" TargetMode="External"/><Relationship Id="rId693" Type="http://schemas.openxmlformats.org/officeDocument/2006/relationships/hyperlink" Target="https://scryfall.com/sets/tmom" TargetMode="External"/><Relationship Id="rId2167" Type="http://schemas.openxmlformats.org/officeDocument/2006/relationships/hyperlink" Target="https://scryfall.com/sets/j16" TargetMode="External"/><Relationship Id="rId2374" Type="http://schemas.openxmlformats.org/officeDocument/2006/relationships/hyperlink" Target="https://scryfall.com/sets/pdp15" TargetMode="External"/><Relationship Id="rId2581" Type="http://schemas.openxmlformats.org/officeDocument/2006/relationships/hyperlink" Target="https://scryfall.com/sets/prtr" TargetMode="External"/><Relationship Id="rId3218" Type="http://schemas.openxmlformats.org/officeDocument/2006/relationships/hyperlink" Target="https://scryfall.com/sets/p06" TargetMode="External"/><Relationship Id="rId3425" Type="http://schemas.openxmlformats.org/officeDocument/2006/relationships/hyperlink" Target="https://scryfall.com/sets/pr2" TargetMode="External"/><Relationship Id="rId3632" Type="http://schemas.openxmlformats.org/officeDocument/2006/relationships/hyperlink" Target="https://scryfall.com/sets/pexo" TargetMode="External"/><Relationship Id="rId139" Type="http://schemas.openxmlformats.org/officeDocument/2006/relationships/hyperlink" Target="https://scryfall.com/sets/teoc" TargetMode="External"/><Relationship Id="rId346" Type="http://schemas.openxmlformats.org/officeDocument/2006/relationships/hyperlink" Target="https://scryfall.com/sets/tblb" TargetMode="External"/><Relationship Id="rId553" Type="http://schemas.openxmlformats.org/officeDocument/2006/relationships/hyperlink" Target="https://scryfall.com/sets/trex" TargetMode="External"/><Relationship Id="rId760" Type="http://schemas.openxmlformats.org/officeDocument/2006/relationships/hyperlink" Target="https://scryfall.com/sets/mone" TargetMode="External"/><Relationship Id="rId1183" Type="http://schemas.openxmlformats.org/officeDocument/2006/relationships/hyperlink" Target="https://scryfall.com/sets/tmic" TargetMode="External"/><Relationship Id="rId1390" Type="http://schemas.openxmlformats.org/officeDocument/2006/relationships/hyperlink" Target="https://scryfall.com/sets/ulst" TargetMode="External"/><Relationship Id="rId2027" Type="http://schemas.openxmlformats.org/officeDocument/2006/relationships/hyperlink" Target="https://scryfall.com/sets/tmm3" TargetMode="External"/><Relationship Id="rId2234" Type="http://schemas.openxmlformats.org/officeDocument/2006/relationships/hyperlink" Target="https://scryfall.com/sets/mm2" TargetMode="External"/><Relationship Id="rId2441" Type="http://schemas.openxmlformats.org/officeDocument/2006/relationships/hyperlink" Target="https://scryfall.com/sets/tbth" TargetMode="External"/><Relationship Id="rId206" Type="http://schemas.openxmlformats.org/officeDocument/2006/relationships/hyperlink" Target="https://scryfall.com/sets/ttdc" TargetMode="External"/><Relationship Id="rId413" Type="http://schemas.openxmlformats.org/officeDocument/2006/relationships/hyperlink" Target="https://scryfall.com/sets/otj" TargetMode="External"/><Relationship Id="rId1043" Type="http://schemas.openxmlformats.org/officeDocument/2006/relationships/hyperlink" Target="https://scryfall.com/sets/ncc" TargetMode="External"/><Relationship Id="rId620" Type="http://schemas.openxmlformats.org/officeDocument/2006/relationships/hyperlink" Target="https://scryfall.com/sets/ph22" TargetMode="External"/><Relationship Id="rId1250" Type="http://schemas.openxmlformats.org/officeDocument/2006/relationships/hyperlink" Target="https://scryfall.com/sets/pw21" TargetMode="External"/><Relationship Id="rId2301" Type="http://schemas.openxmlformats.org/officeDocument/2006/relationships/hyperlink" Target="https://scryfall.com/sets/gvl" TargetMode="External"/><Relationship Id="rId1110" Type="http://schemas.openxmlformats.org/officeDocument/2006/relationships/hyperlink" Target="https://scryfall.com/sets/cc2" TargetMode="External"/><Relationship Id="rId1927" Type="http://schemas.openxmlformats.org/officeDocument/2006/relationships/hyperlink" Target="https://scryfall.com/sets/txln" TargetMode="External"/><Relationship Id="rId3075" Type="http://schemas.openxmlformats.org/officeDocument/2006/relationships/hyperlink" Target="https://scryfall.com/sets/dd1" TargetMode="External"/><Relationship Id="rId3282" Type="http://schemas.openxmlformats.org/officeDocument/2006/relationships/hyperlink" Target="https://scryfall.com/sets/punh" TargetMode="External"/><Relationship Id="rId2091" Type="http://schemas.openxmlformats.org/officeDocument/2006/relationships/hyperlink" Target="https://scryfall.com/sets/mps" TargetMode="External"/><Relationship Id="rId3142" Type="http://schemas.openxmlformats.org/officeDocument/2006/relationships/hyperlink" Target="https://scryfall.com/sets/f07" TargetMode="External"/><Relationship Id="rId270" Type="http://schemas.openxmlformats.org/officeDocument/2006/relationships/hyperlink" Target="https://scryfall.com/sets/pio" TargetMode="External"/><Relationship Id="rId3002" Type="http://schemas.openxmlformats.org/officeDocument/2006/relationships/hyperlink" Target="https://scryfall.com/sets/ala" TargetMode="External"/><Relationship Id="rId130" Type="http://schemas.openxmlformats.org/officeDocument/2006/relationships/hyperlink" Target="https://scryfall.com/sets/yeoe" TargetMode="External"/><Relationship Id="rId2768" Type="http://schemas.openxmlformats.org/officeDocument/2006/relationships/hyperlink" Target="https://scryfall.com/sets/pdp12" TargetMode="External"/><Relationship Id="rId2975" Type="http://schemas.openxmlformats.org/officeDocument/2006/relationships/hyperlink" Target="https://scryfall.com/sets/pdtp" TargetMode="External"/><Relationship Id="rId947" Type="http://schemas.openxmlformats.org/officeDocument/2006/relationships/hyperlink" Target="https://scryfall.com/sets/wdmu" TargetMode="External"/><Relationship Id="rId1577" Type="http://schemas.openxmlformats.org/officeDocument/2006/relationships/hyperlink" Target="https://scryfall.com/sets/tgn2" TargetMode="External"/><Relationship Id="rId1784" Type="http://schemas.openxmlformats.org/officeDocument/2006/relationships/hyperlink" Target="https://scryfall.com/sets/pm19" TargetMode="External"/><Relationship Id="rId1991" Type="http://schemas.openxmlformats.org/officeDocument/2006/relationships/hyperlink" Target="https://scryfall.com/sets/tcma" TargetMode="External"/><Relationship Id="rId2628" Type="http://schemas.openxmlformats.org/officeDocument/2006/relationships/hyperlink" Target="https://scryfall.com/sets/phel" TargetMode="External"/><Relationship Id="rId2835" Type="http://schemas.openxmlformats.org/officeDocument/2006/relationships/hyperlink" Target="https://scryfall.com/sets/oarc" TargetMode="External"/><Relationship Id="rId76" Type="http://schemas.openxmlformats.org/officeDocument/2006/relationships/hyperlink" Target="https://scryfall.com/sets/spm" TargetMode="External"/><Relationship Id="rId807" Type="http://schemas.openxmlformats.org/officeDocument/2006/relationships/hyperlink" Target="https://scryfall.com/sets/j22" TargetMode="External"/><Relationship Id="rId1437" Type="http://schemas.openxmlformats.org/officeDocument/2006/relationships/hyperlink" Target="https://scryfall.com/sets/anb" TargetMode="External"/><Relationship Id="rId1644" Type="http://schemas.openxmlformats.org/officeDocument/2006/relationships/hyperlink" Target="https://scryfall.com/sets/mh1" TargetMode="External"/><Relationship Id="rId1851" Type="http://schemas.openxmlformats.org/officeDocument/2006/relationships/hyperlink" Target="https://scryfall.com/sets/ta25" TargetMode="External"/><Relationship Id="rId2902" Type="http://schemas.openxmlformats.org/officeDocument/2006/relationships/hyperlink" Target="https://scryfall.com/sets/zen" TargetMode="External"/><Relationship Id="rId1504" Type="http://schemas.openxmlformats.org/officeDocument/2006/relationships/hyperlink" Target="https://scryfall.com/sets/tc20" TargetMode="External"/><Relationship Id="rId1711" Type="http://schemas.openxmlformats.org/officeDocument/2006/relationships/hyperlink" Target="https://scryfall.com/sets/gnt" TargetMode="External"/><Relationship Id="rId3469" Type="http://schemas.openxmlformats.org/officeDocument/2006/relationships/hyperlink" Target="https://scryfall.com/sets/pal01" TargetMode="External"/><Relationship Id="rId3676" Type="http://schemas.openxmlformats.org/officeDocument/2006/relationships/hyperlink" Target="https://scryfall.com/sets/pmic" TargetMode="External"/><Relationship Id="rId597" Type="http://schemas.openxmlformats.org/officeDocument/2006/relationships/hyperlink" Target="https://scryfall.com/sets/twoc" TargetMode="External"/><Relationship Id="rId2278" Type="http://schemas.openxmlformats.org/officeDocument/2006/relationships/hyperlink" Target="https://scryfall.com/sets/ugin" TargetMode="External"/><Relationship Id="rId2485" Type="http://schemas.openxmlformats.org/officeDocument/2006/relationships/hyperlink" Target="https://scryfall.com/sets/thp1" TargetMode="External"/><Relationship Id="rId3329" Type="http://schemas.openxmlformats.org/officeDocument/2006/relationships/hyperlink" Target="https://scryfall.com/sets/pmrd" TargetMode="External"/><Relationship Id="rId457" Type="http://schemas.openxmlformats.org/officeDocument/2006/relationships/hyperlink" Target="https://scryfall.com/sets/pip" TargetMode="External"/><Relationship Id="rId1087" Type="http://schemas.openxmlformats.org/officeDocument/2006/relationships/hyperlink" Target="https://scryfall.com/sets/yneo" TargetMode="External"/><Relationship Id="rId1294" Type="http://schemas.openxmlformats.org/officeDocument/2006/relationships/hyperlink" Target="https://scryfall.com/sets/sstx" TargetMode="External"/><Relationship Id="rId2138" Type="http://schemas.openxmlformats.org/officeDocument/2006/relationships/hyperlink" Target="https://scryfall.com/sets/psoi" TargetMode="External"/><Relationship Id="rId2692" Type="http://schemas.openxmlformats.org/officeDocument/2006/relationships/hyperlink" Target="https://scryfall.com/sets/tddh" TargetMode="External"/><Relationship Id="rId3536" Type="http://schemas.openxmlformats.org/officeDocument/2006/relationships/hyperlink" Target="https://scryfall.com/sets/brb" TargetMode="External"/><Relationship Id="rId3743" Type="http://schemas.openxmlformats.org/officeDocument/2006/relationships/hyperlink" Target="https://scryfall.com/sets/ice" TargetMode="External"/><Relationship Id="rId664" Type="http://schemas.openxmlformats.org/officeDocument/2006/relationships/hyperlink" Target="https://scryfall.com/sets/fltr" TargetMode="External"/><Relationship Id="rId871" Type="http://schemas.openxmlformats.org/officeDocument/2006/relationships/hyperlink" Target="https://scryfall.com/sets/tbot" TargetMode="External"/><Relationship Id="rId2345" Type="http://schemas.openxmlformats.org/officeDocument/2006/relationships/hyperlink" Target="https://scryfall.com/sets/tktk" TargetMode="External"/><Relationship Id="rId2552" Type="http://schemas.openxmlformats.org/officeDocument/2006/relationships/hyperlink" Target="https://scryfall.com/sets/tgtc" TargetMode="External"/><Relationship Id="rId3603" Type="http://schemas.openxmlformats.org/officeDocument/2006/relationships/hyperlink" Target="https://scryfall.com/sets/usg" TargetMode="External"/><Relationship Id="rId317" Type="http://schemas.openxmlformats.org/officeDocument/2006/relationships/hyperlink" Target="https://scryfall.com/sets/ydsk" TargetMode="External"/><Relationship Id="rId524" Type="http://schemas.openxmlformats.org/officeDocument/2006/relationships/hyperlink" Target="https://scryfall.com/sets/spg" TargetMode="External"/><Relationship Id="rId731" Type="http://schemas.openxmlformats.org/officeDocument/2006/relationships/hyperlink" Target="https://scryfall.com/sets/punk" TargetMode="External"/><Relationship Id="rId1154" Type="http://schemas.openxmlformats.org/officeDocument/2006/relationships/hyperlink" Target="https://scryfall.com/sets/tvoc" TargetMode="External"/><Relationship Id="rId1361" Type="http://schemas.openxmlformats.org/officeDocument/2006/relationships/hyperlink" Target="https://scryfall.com/sets/pl21" TargetMode="External"/><Relationship Id="rId2205" Type="http://schemas.openxmlformats.org/officeDocument/2006/relationships/hyperlink" Target="https://scryfall.com/sets/pss1" TargetMode="External"/><Relationship Id="rId2412" Type="http://schemas.openxmlformats.org/officeDocument/2006/relationships/hyperlink" Target="https://scryfall.com/sets/tjou" TargetMode="External"/><Relationship Id="rId1014" Type="http://schemas.openxmlformats.org/officeDocument/2006/relationships/hyperlink" Target="https://scryfall.com/sets/oclb" TargetMode="External"/><Relationship Id="rId1221" Type="http://schemas.openxmlformats.org/officeDocument/2006/relationships/hyperlink" Target="https://scryfall.com/sets/oafr" TargetMode="External"/><Relationship Id="rId3186" Type="http://schemas.openxmlformats.org/officeDocument/2006/relationships/hyperlink" Target="https://scryfall.com/sets/pgpt" TargetMode="External"/><Relationship Id="rId3393" Type="http://schemas.openxmlformats.org/officeDocument/2006/relationships/hyperlink" Target="https://scryfall.com/sets/pons" TargetMode="External"/><Relationship Id="rId3046" Type="http://schemas.openxmlformats.org/officeDocument/2006/relationships/hyperlink" Target="https://scryfall.com/sets/p15a" TargetMode="External"/><Relationship Id="rId3253" Type="http://schemas.openxmlformats.org/officeDocument/2006/relationships/hyperlink" Target="https://scryfall.com/sets/pbok" TargetMode="External"/><Relationship Id="rId3460" Type="http://schemas.openxmlformats.org/officeDocument/2006/relationships/hyperlink" Target="https://scryfall.com/sets/7ed" TargetMode="External"/><Relationship Id="rId174" Type="http://schemas.openxmlformats.org/officeDocument/2006/relationships/hyperlink" Target="https://scryfall.com/sets/wfin" TargetMode="External"/><Relationship Id="rId381" Type="http://schemas.openxmlformats.org/officeDocument/2006/relationships/hyperlink" Target="https://scryfall.com/sets/mh3" TargetMode="External"/><Relationship Id="rId2062" Type="http://schemas.openxmlformats.org/officeDocument/2006/relationships/hyperlink" Target="https://scryfall.com/sets/opca" TargetMode="External"/><Relationship Id="rId3113" Type="http://schemas.openxmlformats.org/officeDocument/2006/relationships/hyperlink" Target="https://scryfall.com/sets/pfut" TargetMode="External"/><Relationship Id="rId241" Type="http://schemas.openxmlformats.org/officeDocument/2006/relationships/hyperlink" Target="https://scryfall.com/sets/tdrc" TargetMode="External"/><Relationship Id="rId3320" Type="http://schemas.openxmlformats.org/officeDocument/2006/relationships/hyperlink" Target="https://scryfall.com/sets/p04" TargetMode="External"/><Relationship Id="rId2879" Type="http://schemas.openxmlformats.org/officeDocument/2006/relationships/hyperlink" Target="https://scryfall.com/sets/p10" TargetMode="External"/><Relationship Id="rId101" Type="http://schemas.openxmlformats.org/officeDocument/2006/relationships/hyperlink" Target="https://scryfall.com/sets/ph23" TargetMode="External"/><Relationship Id="rId1688" Type="http://schemas.openxmlformats.org/officeDocument/2006/relationships/hyperlink" Target="https://scryfall.com/sets/trna" TargetMode="External"/><Relationship Id="rId1895" Type="http://schemas.openxmlformats.org/officeDocument/2006/relationships/hyperlink" Target="https://scryfall.com/sets/v17" TargetMode="External"/><Relationship Id="rId2739" Type="http://schemas.openxmlformats.org/officeDocument/2006/relationships/hyperlink" Target="https://scryfall.com/sets/ddg" TargetMode="External"/><Relationship Id="rId2946" Type="http://schemas.openxmlformats.org/officeDocument/2006/relationships/hyperlink" Target="https://scryfall.com/sets/parb" TargetMode="External"/><Relationship Id="rId918" Type="http://schemas.openxmlformats.org/officeDocument/2006/relationships/hyperlink" Target="https://scryfall.com/sets/prcq" TargetMode="External"/><Relationship Id="rId1548" Type="http://schemas.openxmlformats.org/officeDocument/2006/relationships/hyperlink" Target="https://scryfall.com/sets/pssc" TargetMode="External"/><Relationship Id="rId1755" Type="http://schemas.openxmlformats.org/officeDocument/2006/relationships/hyperlink" Target="https://scryfall.com/sets/ph17" TargetMode="External"/><Relationship Id="rId1408" Type="http://schemas.openxmlformats.org/officeDocument/2006/relationships/hyperlink" Target="https://scryfall.com/sets/aznr" TargetMode="External"/><Relationship Id="rId1962" Type="http://schemas.openxmlformats.org/officeDocument/2006/relationships/hyperlink" Target="https://scryfall.com/sets/ps17" TargetMode="External"/><Relationship Id="rId2806" Type="http://schemas.openxmlformats.org/officeDocument/2006/relationships/hyperlink" Target="https://scryfall.com/sets/tsom" TargetMode="External"/><Relationship Id="rId47" Type="http://schemas.openxmlformats.org/officeDocument/2006/relationships/hyperlink" Target="https://scryfall.com/sets/ftla" TargetMode="External"/><Relationship Id="rId1615" Type="http://schemas.openxmlformats.org/officeDocument/2006/relationships/hyperlink" Target="https://scryfall.com/sets/ph18" TargetMode="External"/><Relationship Id="rId1822" Type="http://schemas.openxmlformats.org/officeDocument/2006/relationships/hyperlink" Target="https://scryfall.com/sets/pbbd" TargetMode="External"/><Relationship Id="rId3787" Type="http://schemas.openxmlformats.org/officeDocument/2006/relationships/hyperlink" Target="https://scryfall.com/sets/arn" TargetMode="External"/><Relationship Id="rId2389" Type="http://schemas.openxmlformats.org/officeDocument/2006/relationships/hyperlink" Target="https://scryfall.com/sets/pcns" TargetMode="External"/><Relationship Id="rId2596" Type="http://schemas.openxmlformats.org/officeDocument/2006/relationships/hyperlink" Target="https://scryfall.com/sets/v12" TargetMode="External"/><Relationship Id="rId3647" Type="http://schemas.openxmlformats.org/officeDocument/2006/relationships/hyperlink" Target="https://scryfall.com/sets/tmp" TargetMode="External"/><Relationship Id="rId568" Type="http://schemas.openxmlformats.org/officeDocument/2006/relationships/hyperlink" Target="https://scryfall.com/sets/twho" TargetMode="External"/><Relationship Id="rId775" Type="http://schemas.openxmlformats.org/officeDocument/2006/relationships/hyperlink" Target="https://scryfall.com/sets/wone/ja" TargetMode="External"/><Relationship Id="rId982" Type="http://schemas.openxmlformats.org/officeDocument/2006/relationships/hyperlink" Target="https://scryfall.com/sets/sch" TargetMode="External"/><Relationship Id="rId1198" Type="http://schemas.openxmlformats.org/officeDocument/2006/relationships/hyperlink" Target="https://scryfall.com/sets/j21" TargetMode="External"/><Relationship Id="rId2249" Type="http://schemas.openxmlformats.org/officeDocument/2006/relationships/hyperlink" Target="https://scryfall.com/sets/pdtk" TargetMode="External"/><Relationship Id="rId2456" Type="http://schemas.openxmlformats.org/officeDocument/2006/relationships/hyperlink" Target="https://scryfall.com/sets/j14" TargetMode="External"/><Relationship Id="rId2663" Type="http://schemas.openxmlformats.org/officeDocument/2006/relationships/hyperlink" Target="https://scryfall.com/sets/l12" TargetMode="External"/><Relationship Id="rId2870" Type="http://schemas.openxmlformats.org/officeDocument/2006/relationships/hyperlink" Target="https://scryfall.com/sets/pdp10" TargetMode="External"/><Relationship Id="rId3507" Type="http://schemas.openxmlformats.org/officeDocument/2006/relationships/hyperlink" Target="https://scryfall.com/sets/nem" TargetMode="External"/><Relationship Id="rId3714" Type="http://schemas.openxmlformats.org/officeDocument/2006/relationships/hyperlink" Target="https://scryfall.com/sets/all" TargetMode="External"/><Relationship Id="rId428" Type="http://schemas.openxmlformats.org/officeDocument/2006/relationships/hyperlink" Target="https://scryfall.com/sets/totj" TargetMode="External"/><Relationship Id="rId635" Type="http://schemas.openxmlformats.org/officeDocument/2006/relationships/hyperlink" Target="https://scryfall.com/sets/ltr" TargetMode="External"/><Relationship Id="rId842" Type="http://schemas.openxmlformats.org/officeDocument/2006/relationships/hyperlink" Target="https://scryfall.com/sets/brr" TargetMode="External"/><Relationship Id="rId1058" Type="http://schemas.openxmlformats.org/officeDocument/2006/relationships/hyperlink" Target="https://scryfall.com/sets/asnc" TargetMode="External"/><Relationship Id="rId1265" Type="http://schemas.openxmlformats.org/officeDocument/2006/relationships/hyperlink" Target="https://scryfall.com/sets/amh2" TargetMode="External"/><Relationship Id="rId1472" Type="http://schemas.openxmlformats.org/officeDocument/2006/relationships/hyperlink" Target="https://scryfall.com/sets/tm21" TargetMode="External"/><Relationship Id="rId2109" Type="http://schemas.openxmlformats.org/officeDocument/2006/relationships/hyperlink" Target="https://scryfall.com/sets/tcn2" TargetMode="External"/><Relationship Id="rId2316" Type="http://schemas.openxmlformats.org/officeDocument/2006/relationships/hyperlink" Target="https://scryfall.com/sets/tjvc" TargetMode="External"/><Relationship Id="rId2523" Type="http://schemas.openxmlformats.org/officeDocument/2006/relationships/hyperlink" Target="https://scryfall.com/sets/dgm" TargetMode="External"/><Relationship Id="rId2730" Type="http://schemas.openxmlformats.org/officeDocument/2006/relationships/hyperlink" Target="https://scryfall.com/sets/pnph" TargetMode="External"/><Relationship Id="rId702" Type="http://schemas.openxmlformats.org/officeDocument/2006/relationships/hyperlink" Target="https://scryfall.com/sets/moc" TargetMode="External"/><Relationship Id="rId1125" Type="http://schemas.openxmlformats.org/officeDocument/2006/relationships/hyperlink" Target="https://scryfall.com/sets/vow" TargetMode="External"/><Relationship Id="rId1332" Type="http://schemas.openxmlformats.org/officeDocument/2006/relationships/hyperlink" Target="https://scryfall.com/sets/khm" TargetMode="External"/><Relationship Id="rId3297" Type="http://schemas.openxmlformats.org/officeDocument/2006/relationships/hyperlink" Target="https://scryfall.com/sets/5dn" TargetMode="External"/><Relationship Id="rId3157" Type="http://schemas.openxmlformats.org/officeDocument/2006/relationships/hyperlink" Target="https://scryfall.com/sets/tsb" TargetMode="External"/><Relationship Id="rId285" Type="http://schemas.openxmlformats.org/officeDocument/2006/relationships/hyperlink" Target="https://scryfall.com/sets/afdn" TargetMode="External"/><Relationship Id="rId3364" Type="http://schemas.openxmlformats.org/officeDocument/2006/relationships/hyperlink" Target="https://scryfall.com/sets/pjjt" TargetMode="External"/><Relationship Id="rId3571" Type="http://schemas.openxmlformats.org/officeDocument/2006/relationships/hyperlink" Target="https://scryfall.com/sets/puds" TargetMode="External"/><Relationship Id="rId492" Type="http://schemas.openxmlformats.org/officeDocument/2006/relationships/hyperlink" Target="https://scryfall.com/sets/amkm" TargetMode="External"/><Relationship Id="rId2173" Type="http://schemas.openxmlformats.org/officeDocument/2006/relationships/hyperlink" Target="https://scryfall.com/sets/f16" TargetMode="External"/><Relationship Id="rId2380" Type="http://schemas.openxmlformats.org/officeDocument/2006/relationships/hyperlink" Target="https://scryfall.com/sets/ps14" TargetMode="External"/><Relationship Id="rId3017" Type="http://schemas.openxmlformats.org/officeDocument/2006/relationships/hyperlink" Target="https://scryfall.com/sets/drb" TargetMode="External"/><Relationship Id="rId3224" Type="http://schemas.openxmlformats.org/officeDocument/2006/relationships/hyperlink" Target="https://scryfall.com/sets/pmps" TargetMode="External"/><Relationship Id="rId3431" Type="http://schemas.openxmlformats.org/officeDocument/2006/relationships/hyperlink" Target="https://scryfall.com/sets/f02" TargetMode="External"/><Relationship Id="rId145" Type="http://schemas.openxmlformats.org/officeDocument/2006/relationships/hyperlink" Target="https://scryfall.com/sets/fin" TargetMode="External"/><Relationship Id="rId352" Type="http://schemas.openxmlformats.org/officeDocument/2006/relationships/hyperlink" Target="https://scryfall.com/sets/ablb" TargetMode="External"/><Relationship Id="rId2033" Type="http://schemas.openxmlformats.org/officeDocument/2006/relationships/hyperlink" Target="https://scryfall.com/sets/paer" TargetMode="External"/><Relationship Id="rId2240" Type="http://schemas.openxmlformats.org/officeDocument/2006/relationships/hyperlink" Target="https://scryfall.com/sets/tmm2" TargetMode="External"/><Relationship Id="rId212" Type="http://schemas.openxmlformats.org/officeDocument/2006/relationships/hyperlink" Target="https://scryfall.com/sets/plg25" TargetMode="External"/><Relationship Id="rId1799" Type="http://schemas.openxmlformats.org/officeDocument/2006/relationships/hyperlink" Target="https://scryfall.com/sets/gs1" TargetMode="External"/><Relationship Id="rId2100" Type="http://schemas.openxmlformats.org/officeDocument/2006/relationships/hyperlink" Target="https://scryfall.com/sets/tkld" TargetMode="External"/><Relationship Id="rId1659" Type="http://schemas.openxmlformats.org/officeDocument/2006/relationships/hyperlink" Target="https://scryfall.com/sets/war" TargetMode="External"/><Relationship Id="rId1866" Type="http://schemas.openxmlformats.org/officeDocument/2006/relationships/hyperlink" Target="https://scryfall.com/sets/prix" TargetMode="External"/><Relationship Id="rId2917" Type="http://schemas.openxmlformats.org/officeDocument/2006/relationships/hyperlink" Target="https://scryfall.com/sets/hop" TargetMode="External"/><Relationship Id="rId3081" Type="http://schemas.openxmlformats.org/officeDocument/2006/relationships/hyperlink" Target="https://scryfall.com/sets/tdd1" TargetMode="External"/><Relationship Id="rId1519" Type="http://schemas.openxmlformats.org/officeDocument/2006/relationships/hyperlink" Target="https://scryfall.com/sets/und" TargetMode="External"/><Relationship Id="rId1726" Type="http://schemas.openxmlformats.org/officeDocument/2006/relationships/hyperlink" Target="https://scryfall.com/sets/tgrn" TargetMode="External"/><Relationship Id="rId1933" Type="http://schemas.openxmlformats.org/officeDocument/2006/relationships/hyperlink" Target="https://scryfall.com/sets/pxtc" TargetMode="External"/><Relationship Id="rId18" Type="http://schemas.openxmlformats.org/officeDocument/2006/relationships/hyperlink" Target="https://scryfall.com/sets/ttmt" TargetMode="External"/><Relationship Id="rId3758" Type="http://schemas.openxmlformats.org/officeDocument/2006/relationships/hyperlink" Target="https://scryfall.com/sets/fem" TargetMode="External"/><Relationship Id="rId679" Type="http://schemas.openxmlformats.org/officeDocument/2006/relationships/hyperlink" Target="https://scryfall.com/sets/mom" TargetMode="External"/><Relationship Id="rId886" Type="http://schemas.openxmlformats.org/officeDocument/2006/relationships/hyperlink" Target="https://scryfall.com/sets/mbro" TargetMode="External"/><Relationship Id="rId2567" Type="http://schemas.openxmlformats.org/officeDocument/2006/relationships/hyperlink" Target="https://scryfall.com/sets/f13" TargetMode="External"/><Relationship Id="rId2774" Type="http://schemas.openxmlformats.org/officeDocument/2006/relationships/hyperlink" Target="https://scryfall.com/sets/ps11/es" TargetMode="External"/><Relationship Id="rId3618" Type="http://schemas.openxmlformats.org/officeDocument/2006/relationships/hyperlink" Target="https://scryfall.com/sets/ugl" TargetMode="External"/><Relationship Id="rId2" Type="http://schemas.openxmlformats.org/officeDocument/2006/relationships/hyperlink" Target="https://scryfall.com/sets/msh" TargetMode="External"/><Relationship Id="rId539" Type="http://schemas.openxmlformats.org/officeDocument/2006/relationships/hyperlink" Target="https://scryfall.com/sets/ylci" TargetMode="External"/><Relationship Id="rId746" Type="http://schemas.openxmlformats.org/officeDocument/2006/relationships/hyperlink" Target="https://scryfall.com/sets/tone" TargetMode="External"/><Relationship Id="rId1169" Type="http://schemas.openxmlformats.org/officeDocument/2006/relationships/hyperlink" Target="https://scryfall.com/sets/pmid" TargetMode="External"/><Relationship Id="rId1376" Type="http://schemas.openxmlformats.org/officeDocument/2006/relationships/hyperlink" Target="https://scryfall.com/sets/pcmr" TargetMode="External"/><Relationship Id="rId1583" Type="http://schemas.openxmlformats.org/officeDocument/2006/relationships/hyperlink" Target="https://scryfall.com/sets/ptg" TargetMode="External"/><Relationship Id="rId2427" Type="http://schemas.openxmlformats.org/officeDocument/2006/relationships/hyperlink" Target="https://scryfall.com/sets/tddm" TargetMode="External"/><Relationship Id="rId2981" Type="http://schemas.openxmlformats.org/officeDocument/2006/relationships/hyperlink" Target="https://scryfall.com/sets/pmps09" TargetMode="External"/><Relationship Id="rId953" Type="http://schemas.openxmlformats.org/officeDocument/2006/relationships/hyperlink" Target="https://scryfall.com/sets/dmc" TargetMode="External"/><Relationship Id="rId1029" Type="http://schemas.openxmlformats.org/officeDocument/2006/relationships/hyperlink" Target="https://scryfall.com/sets/ptsnc" TargetMode="External"/><Relationship Id="rId1236" Type="http://schemas.openxmlformats.org/officeDocument/2006/relationships/hyperlink" Target="https://scryfall.com/sets/oafc" TargetMode="External"/><Relationship Id="rId1790" Type="http://schemas.openxmlformats.org/officeDocument/2006/relationships/hyperlink" Target="https://scryfall.com/sets/g18" TargetMode="External"/><Relationship Id="rId2634" Type="http://schemas.openxmlformats.org/officeDocument/2006/relationships/hyperlink" Target="https://scryfall.com/sets/ddi" TargetMode="External"/><Relationship Id="rId2841" Type="http://schemas.openxmlformats.org/officeDocument/2006/relationships/hyperlink" Target="https://scryfall.com/sets/dpa" TargetMode="External"/><Relationship Id="rId82" Type="http://schemas.openxmlformats.org/officeDocument/2006/relationships/hyperlink" Target="https://scryfall.com/sets/tspm" TargetMode="External"/><Relationship Id="rId606" Type="http://schemas.openxmlformats.org/officeDocument/2006/relationships/hyperlink" Target="https://scryfall.com/sets/cmm" TargetMode="External"/><Relationship Id="rId813" Type="http://schemas.openxmlformats.org/officeDocument/2006/relationships/hyperlink" Target="https://scryfall.com/sets/30a" TargetMode="External"/><Relationship Id="rId1443" Type="http://schemas.openxmlformats.org/officeDocument/2006/relationships/hyperlink" Target="https://scryfall.com/sets/2xm" TargetMode="External"/><Relationship Id="rId1650" Type="http://schemas.openxmlformats.org/officeDocument/2006/relationships/hyperlink" Target="https://scryfall.com/sets/tmh1" TargetMode="External"/><Relationship Id="rId2701" Type="http://schemas.openxmlformats.org/officeDocument/2006/relationships/hyperlink" Target="https://scryfall.com/sets/m12" TargetMode="External"/><Relationship Id="rId1303" Type="http://schemas.openxmlformats.org/officeDocument/2006/relationships/hyperlink" Target="https://scryfall.com/sets/astx" TargetMode="External"/><Relationship Id="rId1510" Type="http://schemas.openxmlformats.org/officeDocument/2006/relationships/hyperlink" Target="https://scryfall.com/sets/oc20" TargetMode="External"/><Relationship Id="rId3268" Type="http://schemas.openxmlformats.org/officeDocument/2006/relationships/hyperlink" Target="https://scryfall.com/sets/f05" TargetMode="External"/><Relationship Id="rId3475" Type="http://schemas.openxmlformats.org/officeDocument/2006/relationships/hyperlink" Target="https://scryfall.com/sets/g01" TargetMode="External"/><Relationship Id="rId3682" Type="http://schemas.openxmlformats.org/officeDocument/2006/relationships/hyperlink" Target="https://scryfall.com/sets/vis" TargetMode="External"/><Relationship Id="rId189" Type="http://schemas.openxmlformats.org/officeDocument/2006/relationships/hyperlink" Target="https://scryfall.com/sets/ptdm" TargetMode="External"/><Relationship Id="rId396" Type="http://schemas.openxmlformats.org/officeDocument/2006/relationships/hyperlink" Target="https://scryfall.com/sets/m3c" TargetMode="External"/><Relationship Id="rId2077" Type="http://schemas.openxmlformats.org/officeDocument/2006/relationships/hyperlink" Target="https://scryfall.com/sets/tc16" TargetMode="External"/><Relationship Id="rId2284" Type="http://schemas.openxmlformats.org/officeDocument/2006/relationships/hyperlink" Target="https://scryfall.com/sets/l15" TargetMode="External"/><Relationship Id="rId2491" Type="http://schemas.openxmlformats.org/officeDocument/2006/relationships/hyperlink" Target="https://scryfall.com/sets/tddl" TargetMode="External"/><Relationship Id="rId3128" Type="http://schemas.openxmlformats.org/officeDocument/2006/relationships/hyperlink" Target="https://scryfall.com/sets/pplc" TargetMode="External"/><Relationship Id="rId3335" Type="http://schemas.openxmlformats.org/officeDocument/2006/relationships/hyperlink" Target="https://scryfall.com/sets/wc03" TargetMode="External"/><Relationship Id="rId3542" Type="http://schemas.openxmlformats.org/officeDocument/2006/relationships/hyperlink" Target="https://scryfall.com/sets/pmmq" TargetMode="External"/><Relationship Id="rId256" Type="http://schemas.openxmlformats.org/officeDocument/2006/relationships/hyperlink" Target="https://scryfall.com/sets/ainr" TargetMode="External"/><Relationship Id="rId463" Type="http://schemas.openxmlformats.org/officeDocument/2006/relationships/hyperlink" Target="https://scryfall.com/sets/mkm" TargetMode="External"/><Relationship Id="rId670" Type="http://schemas.openxmlformats.org/officeDocument/2006/relationships/hyperlink" Target="https://scryfall.com/sets/mltr" TargetMode="External"/><Relationship Id="rId1093" Type="http://schemas.openxmlformats.org/officeDocument/2006/relationships/hyperlink" Target="https://scryfall.com/sets/mneo" TargetMode="External"/><Relationship Id="rId2144" Type="http://schemas.openxmlformats.org/officeDocument/2006/relationships/hyperlink" Target="https://scryfall.com/sets/tsoi" TargetMode="External"/><Relationship Id="rId2351" Type="http://schemas.openxmlformats.org/officeDocument/2006/relationships/hyperlink" Target="https://scryfall.com/sets/v14" TargetMode="External"/><Relationship Id="rId3402" Type="http://schemas.openxmlformats.org/officeDocument/2006/relationships/hyperlink" Target="https://scryfall.com/sets/prm" TargetMode="External"/><Relationship Id="rId116" Type="http://schemas.openxmlformats.org/officeDocument/2006/relationships/hyperlink" Target="https://scryfall.com/sets/eos" TargetMode="External"/><Relationship Id="rId323" Type="http://schemas.openxmlformats.org/officeDocument/2006/relationships/hyperlink" Target="https://scryfall.com/sets/tdsc" TargetMode="External"/><Relationship Id="rId530" Type="http://schemas.openxmlformats.org/officeDocument/2006/relationships/hyperlink" Target="https://scryfall.com/sets/plci" TargetMode="External"/><Relationship Id="rId1160" Type="http://schemas.openxmlformats.org/officeDocument/2006/relationships/hyperlink" Target="https://scryfall.com/sets/q06" TargetMode="External"/><Relationship Id="rId2004" Type="http://schemas.openxmlformats.org/officeDocument/2006/relationships/hyperlink" Target="https://scryfall.com/sets/pakh" TargetMode="External"/><Relationship Id="rId2211" Type="http://schemas.openxmlformats.org/officeDocument/2006/relationships/hyperlink" Target="https://scryfall.com/sets/v15" TargetMode="External"/><Relationship Id="rId1020" Type="http://schemas.openxmlformats.org/officeDocument/2006/relationships/hyperlink" Target="https://scryfall.com/sets/aclb" TargetMode="External"/><Relationship Id="rId1977" Type="http://schemas.openxmlformats.org/officeDocument/2006/relationships/hyperlink" Target="https://scryfall.com/sets/e01" TargetMode="External"/><Relationship Id="rId1837" Type="http://schemas.openxmlformats.org/officeDocument/2006/relationships/hyperlink" Target="https://scryfall.com/sets/tdom" TargetMode="External"/><Relationship Id="rId3192" Type="http://schemas.openxmlformats.org/officeDocument/2006/relationships/hyperlink" Target="https://scryfall.com/sets/pal06" TargetMode="External"/><Relationship Id="rId3052" Type="http://schemas.openxmlformats.org/officeDocument/2006/relationships/hyperlink" Target="https://scryfall.com/sets/pmor" TargetMode="External"/><Relationship Id="rId180" Type="http://schemas.openxmlformats.org/officeDocument/2006/relationships/hyperlink" Target="https://scryfall.com/sets/pa1" TargetMode="External"/><Relationship Id="rId1904" Type="http://schemas.openxmlformats.org/officeDocument/2006/relationships/hyperlink" Target="https://scryfall.com/sets/tima" TargetMode="External"/><Relationship Id="rId997" Type="http://schemas.openxmlformats.org/officeDocument/2006/relationships/hyperlink" Target="https://scryfall.com/sets/plg22" TargetMode="External"/><Relationship Id="rId2678" Type="http://schemas.openxmlformats.org/officeDocument/2006/relationships/hyperlink" Target="https://scryfall.com/sets/isd" TargetMode="External"/><Relationship Id="rId2885" Type="http://schemas.openxmlformats.org/officeDocument/2006/relationships/hyperlink" Target="https://scryfall.com/sets/g10" TargetMode="External"/><Relationship Id="rId3729" Type="http://schemas.openxmlformats.org/officeDocument/2006/relationships/hyperlink" Target="https://scryfall.com/sets/ren" TargetMode="External"/><Relationship Id="rId857" Type="http://schemas.openxmlformats.org/officeDocument/2006/relationships/hyperlink" Target="https://scryfall.com/sets/brc" TargetMode="External"/><Relationship Id="rId1487" Type="http://schemas.openxmlformats.org/officeDocument/2006/relationships/hyperlink" Target="https://scryfall.com/sets/plg20" TargetMode="External"/><Relationship Id="rId1694" Type="http://schemas.openxmlformats.org/officeDocument/2006/relationships/hyperlink" Target="https://scryfall.com/sets/pf19" TargetMode="External"/><Relationship Id="rId2538" Type="http://schemas.openxmlformats.org/officeDocument/2006/relationships/hyperlink" Target="https://scryfall.com/sets/ddk" TargetMode="External"/><Relationship Id="rId2745" Type="http://schemas.openxmlformats.org/officeDocument/2006/relationships/hyperlink" Target="https://scryfall.com/sets/mbs" TargetMode="External"/><Relationship Id="rId2952" Type="http://schemas.openxmlformats.org/officeDocument/2006/relationships/hyperlink" Target="https://scryfall.com/sets/tarb" TargetMode="External"/><Relationship Id="rId717" Type="http://schemas.openxmlformats.org/officeDocument/2006/relationships/hyperlink" Target="https://scryfall.com/sets/smom" TargetMode="External"/><Relationship Id="rId924" Type="http://schemas.openxmlformats.org/officeDocument/2006/relationships/hyperlink" Target="https://scryfall.com/sets/dmu" TargetMode="External"/><Relationship Id="rId1347" Type="http://schemas.openxmlformats.org/officeDocument/2006/relationships/hyperlink" Target="https://scryfall.com/sets/skhm" TargetMode="External"/><Relationship Id="rId1554" Type="http://schemas.openxmlformats.org/officeDocument/2006/relationships/hyperlink" Target="https://scryfall.com/sets/slc" TargetMode="External"/><Relationship Id="rId1761" Type="http://schemas.openxmlformats.org/officeDocument/2006/relationships/hyperlink" Target="https://scryfall.com/sets/ps18" TargetMode="External"/><Relationship Id="rId2605" Type="http://schemas.openxmlformats.org/officeDocument/2006/relationships/hyperlink" Target="https://scryfall.com/sets/pm13" TargetMode="External"/><Relationship Id="rId2812" Type="http://schemas.openxmlformats.org/officeDocument/2006/relationships/hyperlink" Target="https://scryfall.com/sets/ddf" TargetMode="External"/><Relationship Id="rId53" Type="http://schemas.openxmlformats.org/officeDocument/2006/relationships/hyperlink" Target="https://scryfall.com/sets/tle" TargetMode="External"/><Relationship Id="rId1207" Type="http://schemas.openxmlformats.org/officeDocument/2006/relationships/hyperlink" Target="https://scryfall.com/sets/ph20" TargetMode="External"/><Relationship Id="rId1414" Type="http://schemas.openxmlformats.org/officeDocument/2006/relationships/hyperlink" Target="https://scryfall.com/sets/mznr" TargetMode="External"/><Relationship Id="rId1621" Type="http://schemas.openxmlformats.org/officeDocument/2006/relationships/hyperlink" Target="https://scryfall.com/sets/ps19" TargetMode="External"/><Relationship Id="rId3379" Type="http://schemas.openxmlformats.org/officeDocument/2006/relationships/hyperlink" Target="https://scryfall.com/sets/f03" TargetMode="External"/><Relationship Id="rId3586" Type="http://schemas.openxmlformats.org/officeDocument/2006/relationships/hyperlink" Target="https://scryfall.com/sets/pulg" TargetMode="External"/><Relationship Id="rId3793" Type="http://schemas.openxmlformats.org/officeDocument/2006/relationships/hyperlink" Target="https://scryfall.com/sets/cei" TargetMode="External"/><Relationship Id="rId2188" Type="http://schemas.openxmlformats.org/officeDocument/2006/relationships/hyperlink" Target="https://scryfall.com/sets/oc15" TargetMode="External"/><Relationship Id="rId2395" Type="http://schemas.openxmlformats.org/officeDocument/2006/relationships/hyperlink" Target="https://scryfall.com/sets/tcns" TargetMode="External"/><Relationship Id="rId3239" Type="http://schemas.openxmlformats.org/officeDocument/2006/relationships/hyperlink" Target="https://scryfall.com/sets/9ed" TargetMode="External"/><Relationship Id="rId3446" Type="http://schemas.openxmlformats.org/officeDocument/2006/relationships/hyperlink" Target="https://scryfall.com/sets/wc01" TargetMode="External"/><Relationship Id="rId367" Type="http://schemas.openxmlformats.org/officeDocument/2006/relationships/hyperlink" Target="https://scryfall.com/sets/acr" TargetMode="External"/><Relationship Id="rId574" Type="http://schemas.openxmlformats.org/officeDocument/2006/relationships/hyperlink" Target="https://scryfall.com/sets/woe" TargetMode="External"/><Relationship Id="rId2048" Type="http://schemas.openxmlformats.org/officeDocument/2006/relationships/hyperlink" Target="https://scryfall.com/sets/f17" TargetMode="External"/><Relationship Id="rId2255" Type="http://schemas.openxmlformats.org/officeDocument/2006/relationships/hyperlink" Target="https://scryfall.com/sets/tdtk" TargetMode="External"/><Relationship Id="rId3653" Type="http://schemas.openxmlformats.org/officeDocument/2006/relationships/hyperlink" Target="https://scryfall.com/sets/wc97" TargetMode="External"/><Relationship Id="rId227" Type="http://schemas.openxmlformats.org/officeDocument/2006/relationships/hyperlink" Target="https://scryfall.com/sets/tdft" TargetMode="External"/><Relationship Id="rId781" Type="http://schemas.openxmlformats.org/officeDocument/2006/relationships/hyperlink" Target="https://scryfall.com/sets/tdmr" TargetMode="External"/><Relationship Id="rId2462" Type="http://schemas.openxmlformats.org/officeDocument/2006/relationships/hyperlink" Target="https://scryfall.com/sets/c13" TargetMode="External"/><Relationship Id="rId3306" Type="http://schemas.openxmlformats.org/officeDocument/2006/relationships/hyperlink" Target="https://scryfall.com/sets/pdst" TargetMode="External"/><Relationship Id="rId3513" Type="http://schemas.openxmlformats.org/officeDocument/2006/relationships/hyperlink" Target="https://scryfall.com/sets/pnem" TargetMode="External"/><Relationship Id="rId3720" Type="http://schemas.openxmlformats.org/officeDocument/2006/relationships/hyperlink" Target="https://scryfall.com/sets/ptc" TargetMode="External"/><Relationship Id="rId434" Type="http://schemas.openxmlformats.org/officeDocument/2006/relationships/hyperlink" Target="https://scryfall.com/sets/aotj" TargetMode="External"/><Relationship Id="rId641" Type="http://schemas.openxmlformats.org/officeDocument/2006/relationships/hyperlink" Target="https://scryfall.com/sets/tltr" TargetMode="External"/><Relationship Id="rId1064" Type="http://schemas.openxmlformats.org/officeDocument/2006/relationships/hyperlink" Target="https://scryfall.com/sets/q07" TargetMode="External"/><Relationship Id="rId1271" Type="http://schemas.openxmlformats.org/officeDocument/2006/relationships/hyperlink" Target="https://scryfall.com/sets/mmh2" TargetMode="External"/><Relationship Id="rId2115" Type="http://schemas.openxmlformats.org/officeDocument/2006/relationships/hyperlink" Target="https://scryfall.com/sets/v16" TargetMode="External"/><Relationship Id="rId2322" Type="http://schemas.openxmlformats.org/officeDocument/2006/relationships/hyperlink" Target="https://scryfall.com/sets/tdvd" TargetMode="External"/><Relationship Id="rId501" Type="http://schemas.openxmlformats.org/officeDocument/2006/relationships/hyperlink" Target="https://scryfall.com/sets/tmkc" TargetMode="External"/><Relationship Id="rId1131" Type="http://schemas.openxmlformats.org/officeDocument/2006/relationships/hyperlink" Target="https://scryfall.com/sets/pvow" TargetMode="External"/><Relationship Id="rId3096" Type="http://schemas.openxmlformats.org/officeDocument/2006/relationships/hyperlink" Target="https://scryfall.com/sets/me1" TargetMode="External"/><Relationship Id="rId1948" Type="http://schemas.openxmlformats.org/officeDocument/2006/relationships/hyperlink" Target="https://scryfall.com/cubes/modern" TargetMode="External"/><Relationship Id="rId3163" Type="http://schemas.openxmlformats.org/officeDocument/2006/relationships/hyperlink" Target="https://scryfall.com/sets/pcsp" TargetMode="External"/><Relationship Id="rId3370" Type="http://schemas.openxmlformats.org/officeDocument/2006/relationships/hyperlink" Target="https://scryfall.com/sets/g03" TargetMode="External"/><Relationship Id="rId291" Type="http://schemas.openxmlformats.org/officeDocument/2006/relationships/hyperlink" Target="https://scryfall.com/sets/fdc" TargetMode="External"/><Relationship Id="rId1808" Type="http://schemas.openxmlformats.org/officeDocument/2006/relationships/hyperlink" Target="https://scryfall.com/sets/cm2" TargetMode="External"/><Relationship Id="rId3023" Type="http://schemas.openxmlformats.org/officeDocument/2006/relationships/hyperlink" Target="https://scryfall.com/sets/eve" TargetMode="External"/><Relationship Id="rId151" Type="http://schemas.openxmlformats.org/officeDocument/2006/relationships/hyperlink" Target="https://scryfall.com/sets/pfin" TargetMode="External"/><Relationship Id="rId3230" Type="http://schemas.openxmlformats.org/officeDocument/2006/relationships/hyperlink" Target="https://scryfall.com/sets/prav" TargetMode="External"/><Relationship Id="rId2789" Type="http://schemas.openxmlformats.org/officeDocument/2006/relationships/hyperlink" Target="https://scryfall.com/sets/f11" TargetMode="External"/><Relationship Id="rId2996" Type="http://schemas.openxmlformats.org/officeDocument/2006/relationships/hyperlink" Target="https://scryfall.com/sets/dd2" TargetMode="External"/><Relationship Id="rId968" Type="http://schemas.openxmlformats.org/officeDocument/2006/relationships/hyperlink" Target="https://scryfall.com/sets/ph21" TargetMode="External"/><Relationship Id="rId1598" Type="http://schemas.openxmlformats.org/officeDocument/2006/relationships/hyperlink" Target="https://scryfall.com/sets/pwcs" TargetMode="External"/><Relationship Id="rId2649" Type="http://schemas.openxmlformats.org/officeDocument/2006/relationships/hyperlink" Target="https://scryfall.com/sets/tdka" TargetMode="External"/><Relationship Id="rId2856" Type="http://schemas.openxmlformats.org/officeDocument/2006/relationships/hyperlink" Target="https://scryfall.com/sets/tdde" TargetMode="External"/><Relationship Id="rId97" Type="http://schemas.openxmlformats.org/officeDocument/2006/relationships/hyperlink" Target="https://scryfall.com/sets/aa3" TargetMode="External"/><Relationship Id="rId828" Type="http://schemas.openxmlformats.org/officeDocument/2006/relationships/hyperlink" Target="https://scryfall.com/sets/p30h" TargetMode="External"/><Relationship Id="rId1458" Type="http://schemas.openxmlformats.org/officeDocument/2006/relationships/hyperlink" Target="https://scryfall.com/sets/ajmp" TargetMode="External"/><Relationship Id="rId1665" Type="http://schemas.openxmlformats.org/officeDocument/2006/relationships/hyperlink" Target="https://scryfall.com/sets/twar" TargetMode="External"/><Relationship Id="rId1872" Type="http://schemas.openxmlformats.org/officeDocument/2006/relationships/hyperlink" Target="https://scryfall.com/sets/trix" TargetMode="External"/><Relationship Id="rId2509" Type="http://schemas.openxmlformats.org/officeDocument/2006/relationships/hyperlink" Target="https://scryfall.com/sets/psdc" TargetMode="External"/><Relationship Id="rId2716" Type="http://schemas.openxmlformats.org/officeDocument/2006/relationships/hyperlink" Target="https://scryfall.com/sets/pcmd" TargetMode="External"/><Relationship Id="rId1318" Type="http://schemas.openxmlformats.org/officeDocument/2006/relationships/hyperlink" Target="https://scryfall.com/sets/tsr" TargetMode="External"/><Relationship Id="rId1525" Type="http://schemas.openxmlformats.org/officeDocument/2006/relationships/hyperlink" Target="https://scryfall.com/sets/thb" TargetMode="External"/><Relationship Id="rId2923" Type="http://schemas.openxmlformats.org/officeDocument/2006/relationships/hyperlink" Target="https://scryfall.com/sets/phop" TargetMode="External"/><Relationship Id="rId1732" Type="http://schemas.openxmlformats.org/officeDocument/2006/relationships/hyperlink" Target="https://scryfall.com/sets/prwk" TargetMode="External"/><Relationship Id="rId24" Type="http://schemas.openxmlformats.org/officeDocument/2006/relationships/hyperlink" Target="https://scryfall.com/sets/tmc" TargetMode="External"/><Relationship Id="rId2299" Type="http://schemas.openxmlformats.org/officeDocument/2006/relationships/hyperlink" Target="https://scryfall.com/sets/tevg" TargetMode="External"/><Relationship Id="rId3697" Type="http://schemas.openxmlformats.org/officeDocument/2006/relationships/hyperlink" Target="https://scryfall.com/sets/pred/ja" TargetMode="External"/><Relationship Id="rId3557" Type="http://schemas.openxmlformats.org/officeDocument/2006/relationships/hyperlink" Target="https://scryfall.com/sets/pgru" TargetMode="External"/><Relationship Id="rId3764" Type="http://schemas.openxmlformats.org/officeDocument/2006/relationships/hyperlink" Target="https://scryfall.com/sets/drk" TargetMode="External"/><Relationship Id="rId478" Type="http://schemas.openxmlformats.org/officeDocument/2006/relationships/hyperlink" Target="https://scryfall.com/sets/clu" TargetMode="External"/><Relationship Id="rId685" Type="http://schemas.openxmlformats.org/officeDocument/2006/relationships/hyperlink" Target="https://scryfall.com/sets/tmul" TargetMode="External"/><Relationship Id="rId892" Type="http://schemas.openxmlformats.org/officeDocument/2006/relationships/hyperlink" Target="https://scryfall.com/sets/gn3" TargetMode="External"/><Relationship Id="rId2159" Type="http://schemas.openxmlformats.org/officeDocument/2006/relationships/hyperlink" Target="https://scryfall.com/sets/togw" TargetMode="External"/><Relationship Id="rId2366" Type="http://schemas.openxmlformats.org/officeDocument/2006/relationships/hyperlink" Target="https://scryfall.com/sets/cp1" TargetMode="External"/><Relationship Id="rId2573" Type="http://schemas.openxmlformats.org/officeDocument/2006/relationships/hyperlink" Target="https://scryfall.com/sets/cm1" TargetMode="External"/><Relationship Id="rId2780" Type="http://schemas.openxmlformats.org/officeDocument/2006/relationships/hyperlink" Target="https://scryfall.com/sets/g11" TargetMode="External"/><Relationship Id="rId3417" Type="http://schemas.openxmlformats.org/officeDocument/2006/relationships/hyperlink" Target="https://scryfall.com/sets/ptor/ru" TargetMode="External"/><Relationship Id="rId3624" Type="http://schemas.openxmlformats.org/officeDocument/2006/relationships/hyperlink" Target="https://scryfall.com/sets/p02" TargetMode="External"/><Relationship Id="rId338" Type="http://schemas.openxmlformats.org/officeDocument/2006/relationships/hyperlink" Target="https://scryfall.com/sets/blb" TargetMode="External"/><Relationship Id="rId545" Type="http://schemas.openxmlformats.org/officeDocument/2006/relationships/hyperlink" Target="https://scryfall.com/sets/slci" TargetMode="External"/><Relationship Id="rId752" Type="http://schemas.openxmlformats.org/officeDocument/2006/relationships/hyperlink" Target="https://scryfall.com/sets/yone" TargetMode="External"/><Relationship Id="rId1175" Type="http://schemas.openxmlformats.org/officeDocument/2006/relationships/hyperlink" Target="https://scryfall.com/sets/smid" TargetMode="External"/><Relationship Id="rId1382" Type="http://schemas.openxmlformats.org/officeDocument/2006/relationships/hyperlink" Target="https://scryfall.com/sets/tcmr" TargetMode="External"/><Relationship Id="rId2019" Type="http://schemas.openxmlformats.org/officeDocument/2006/relationships/hyperlink" Target="https://scryfall.com/sets/tdds" TargetMode="External"/><Relationship Id="rId2226" Type="http://schemas.openxmlformats.org/officeDocument/2006/relationships/hyperlink" Target="https://scryfall.com/sets/cp3" TargetMode="External"/><Relationship Id="rId2433" Type="http://schemas.openxmlformats.org/officeDocument/2006/relationships/hyperlink" Target="https://scryfall.com/sets/pbng" TargetMode="External"/><Relationship Id="rId2640" Type="http://schemas.openxmlformats.org/officeDocument/2006/relationships/hyperlink" Target="https://scryfall.com/sets/dka" TargetMode="External"/><Relationship Id="rId405" Type="http://schemas.openxmlformats.org/officeDocument/2006/relationships/hyperlink" Target="https://scryfall.com/sets/amh3" TargetMode="External"/><Relationship Id="rId612" Type="http://schemas.openxmlformats.org/officeDocument/2006/relationships/hyperlink" Target="https://scryfall.com/sets/tcmm" TargetMode="External"/><Relationship Id="rId1035" Type="http://schemas.openxmlformats.org/officeDocument/2006/relationships/hyperlink" Target="https://scryfall.com/sets/tsnc" TargetMode="External"/><Relationship Id="rId1242" Type="http://schemas.openxmlformats.org/officeDocument/2006/relationships/hyperlink" Target="https://scryfall.com/sets/mafr" TargetMode="External"/><Relationship Id="rId2500" Type="http://schemas.openxmlformats.org/officeDocument/2006/relationships/hyperlink" Target="https://scryfall.com/sets/m14" TargetMode="External"/><Relationship Id="rId1102" Type="http://schemas.openxmlformats.org/officeDocument/2006/relationships/hyperlink" Target="https://scryfall.com/sets/tnec" TargetMode="External"/><Relationship Id="rId3067" Type="http://schemas.openxmlformats.org/officeDocument/2006/relationships/hyperlink" Target="https://scryfall.com/sets/f08" TargetMode="External"/><Relationship Id="rId3274" Type="http://schemas.openxmlformats.org/officeDocument/2006/relationships/hyperlink" Target="https://scryfall.com/sets/g05" TargetMode="External"/><Relationship Id="rId195" Type="http://schemas.openxmlformats.org/officeDocument/2006/relationships/hyperlink" Target="https://scryfall.com/sets/ytdm" TargetMode="External"/><Relationship Id="rId1919" Type="http://schemas.openxmlformats.org/officeDocument/2006/relationships/hyperlink" Target="https://scryfall.com/sets/xln" TargetMode="External"/><Relationship Id="rId3481" Type="http://schemas.openxmlformats.org/officeDocument/2006/relationships/hyperlink" Target="https://scryfall.com/sets/f01" TargetMode="External"/><Relationship Id="rId2083" Type="http://schemas.openxmlformats.org/officeDocument/2006/relationships/hyperlink" Target="https://scryfall.com/sets/ps16" TargetMode="External"/><Relationship Id="rId2290" Type="http://schemas.openxmlformats.org/officeDocument/2006/relationships/hyperlink" Target="https://scryfall.com/sets/j15" TargetMode="External"/><Relationship Id="rId3134" Type="http://schemas.openxmlformats.org/officeDocument/2006/relationships/hyperlink" Target="https://scryfall.com/sets/g07" TargetMode="External"/><Relationship Id="rId3341" Type="http://schemas.openxmlformats.org/officeDocument/2006/relationships/hyperlink" Target="https://scryfall.com/sets/p8ed" TargetMode="External"/><Relationship Id="rId262" Type="http://schemas.openxmlformats.org/officeDocument/2006/relationships/hyperlink" Target="https://scryfall.com/sets/pspl" TargetMode="External"/><Relationship Id="rId2150" Type="http://schemas.openxmlformats.org/officeDocument/2006/relationships/hyperlink" Target="https://scryfall.com/sets/ddq" TargetMode="External"/><Relationship Id="rId3201" Type="http://schemas.openxmlformats.org/officeDocument/2006/relationships/hyperlink" Target="https://scryfall.com/sets/f06" TargetMode="External"/><Relationship Id="rId122" Type="http://schemas.openxmlformats.org/officeDocument/2006/relationships/hyperlink" Target="https://scryfall.com/sets/peoe" TargetMode="External"/><Relationship Id="rId2010" Type="http://schemas.openxmlformats.org/officeDocument/2006/relationships/hyperlink" Target="https://scryfall.com/sets/w17" TargetMode="External"/><Relationship Id="rId1569" Type="http://schemas.openxmlformats.org/officeDocument/2006/relationships/hyperlink" Target="https://scryfall.com/sets/ha1" TargetMode="External"/><Relationship Id="rId2967" Type="http://schemas.openxmlformats.org/officeDocument/2006/relationships/hyperlink" Target="https://scryfall.com/sets/pcon" TargetMode="External"/><Relationship Id="rId939" Type="http://schemas.openxmlformats.org/officeDocument/2006/relationships/hyperlink" Target="https://scryfall.com/sets/ptdmu" TargetMode="External"/><Relationship Id="rId1776" Type="http://schemas.openxmlformats.org/officeDocument/2006/relationships/hyperlink" Target="https://scryfall.com/sets/pana" TargetMode="External"/><Relationship Id="rId1983" Type="http://schemas.openxmlformats.org/officeDocument/2006/relationships/hyperlink" Target="https://scryfall.com/sets/oe01" TargetMode="External"/><Relationship Id="rId2827" Type="http://schemas.openxmlformats.org/officeDocument/2006/relationships/hyperlink" Target="https://scryfall.com/sets/tm11" TargetMode="External"/><Relationship Id="rId68" Type="http://schemas.openxmlformats.org/officeDocument/2006/relationships/hyperlink" Target="https://scryfall.com/sets/omb" TargetMode="External"/><Relationship Id="rId1429" Type="http://schemas.openxmlformats.org/officeDocument/2006/relationships/hyperlink" Target="https://scryfall.com/cubes/livethedream" TargetMode="External"/><Relationship Id="rId1636" Type="http://schemas.openxmlformats.org/officeDocument/2006/relationships/hyperlink" Target="https://scryfall.com/sets/ppp1" TargetMode="External"/><Relationship Id="rId1843" Type="http://schemas.openxmlformats.org/officeDocument/2006/relationships/hyperlink" Target="https://scryfall.com/sets/tddu" TargetMode="External"/><Relationship Id="rId1703" Type="http://schemas.openxmlformats.org/officeDocument/2006/relationships/hyperlink" Target="https://scryfall.com/sets/puma" TargetMode="External"/><Relationship Id="rId1910" Type="http://schemas.openxmlformats.org/officeDocument/2006/relationships/hyperlink" Target="https://scryfall.com/sets/ddt" TargetMode="External"/><Relationship Id="rId3668" Type="http://schemas.openxmlformats.org/officeDocument/2006/relationships/hyperlink" Target="https://scryfall.com/sets/por" TargetMode="External"/><Relationship Id="rId589" Type="http://schemas.openxmlformats.org/officeDocument/2006/relationships/hyperlink" Target="https://scryfall.com/sets/ywoe" TargetMode="External"/><Relationship Id="rId796" Type="http://schemas.openxmlformats.org/officeDocument/2006/relationships/hyperlink" Target="https://scryfall.com/sets/ea2" TargetMode="External"/><Relationship Id="rId2477" Type="http://schemas.openxmlformats.org/officeDocument/2006/relationships/hyperlink" Target="https://scryfall.com/sets/tths" TargetMode="External"/><Relationship Id="rId2684" Type="http://schemas.openxmlformats.org/officeDocument/2006/relationships/hyperlink" Target="https://scryfall.com/sets/pisd" TargetMode="External"/><Relationship Id="rId3528" Type="http://schemas.openxmlformats.org/officeDocument/2006/relationships/hyperlink" Target="https://scryfall.com/sets/fnm" TargetMode="External"/><Relationship Id="rId3735" Type="http://schemas.openxmlformats.org/officeDocument/2006/relationships/hyperlink" Target="https://scryfall.com/sets/chr" TargetMode="External"/><Relationship Id="rId449" Type="http://schemas.openxmlformats.org/officeDocument/2006/relationships/hyperlink" Target="https://scryfall.com/sets/otc" TargetMode="External"/><Relationship Id="rId656" Type="http://schemas.openxmlformats.org/officeDocument/2006/relationships/hyperlink" Target="https://scryfall.com/sets/altc" TargetMode="External"/><Relationship Id="rId863" Type="http://schemas.openxmlformats.org/officeDocument/2006/relationships/hyperlink" Target="https://scryfall.com/sets/tbrc" TargetMode="External"/><Relationship Id="rId1079" Type="http://schemas.openxmlformats.org/officeDocument/2006/relationships/hyperlink" Target="https://scryfall.com/sets/pneo" TargetMode="External"/><Relationship Id="rId1286" Type="http://schemas.openxmlformats.org/officeDocument/2006/relationships/hyperlink" Target="https://scryfall.com/sets/pstx" TargetMode="External"/><Relationship Id="rId1493" Type="http://schemas.openxmlformats.org/officeDocument/2006/relationships/hyperlink" Target="https://scryfall.com/sets/piko" TargetMode="External"/><Relationship Id="rId2337" Type="http://schemas.openxmlformats.org/officeDocument/2006/relationships/hyperlink" Target="https://scryfall.com/sets/ktk" TargetMode="External"/><Relationship Id="rId2544" Type="http://schemas.openxmlformats.org/officeDocument/2006/relationships/hyperlink" Target="https://scryfall.com/sets/gtc" TargetMode="External"/><Relationship Id="rId2891" Type="http://schemas.openxmlformats.org/officeDocument/2006/relationships/hyperlink" Target="https://scryfall.com/sets/h09" TargetMode="External"/><Relationship Id="rId309" Type="http://schemas.openxmlformats.org/officeDocument/2006/relationships/hyperlink" Target="https://scryfall.com/sets/pdsk" TargetMode="External"/><Relationship Id="rId516" Type="http://schemas.openxmlformats.org/officeDocument/2006/relationships/hyperlink" Target="https://scryfall.com/sets/pf24" TargetMode="External"/><Relationship Id="rId1146" Type="http://schemas.openxmlformats.org/officeDocument/2006/relationships/hyperlink" Target="https://scryfall.com/sets/avow" TargetMode="External"/><Relationship Id="rId2751" Type="http://schemas.openxmlformats.org/officeDocument/2006/relationships/hyperlink" Target="https://scryfall.com/sets/tmbs" TargetMode="External"/><Relationship Id="rId3802" Type="http://schemas.openxmlformats.org/officeDocument/2006/relationships/hyperlink" Target="https://scryfall.com/sets/leb" TargetMode="External"/><Relationship Id="rId723" Type="http://schemas.openxmlformats.org/officeDocument/2006/relationships/hyperlink" Target="https://scryfall.com/sets/sis" TargetMode="External"/><Relationship Id="rId930" Type="http://schemas.openxmlformats.org/officeDocument/2006/relationships/hyperlink" Target="https://scryfall.com/sets/tdmu" TargetMode="External"/><Relationship Id="rId1006" Type="http://schemas.openxmlformats.org/officeDocument/2006/relationships/hyperlink" Target="https://scryfall.com/sets/tclb" TargetMode="External"/><Relationship Id="rId1353" Type="http://schemas.openxmlformats.org/officeDocument/2006/relationships/hyperlink" Target="https://scryfall.com/sets/tkhc" TargetMode="External"/><Relationship Id="rId1560" Type="http://schemas.openxmlformats.org/officeDocument/2006/relationships/hyperlink" Target="https://scryfall.com/sets/slx" TargetMode="External"/><Relationship Id="rId2404" Type="http://schemas.openxmlformats.org/officeDocument/2006/relationships/hyperlink" Target="https://scryfall.com/sets/jou" TargetMode="External"/><Relationship Id="rId2611" Type="http://schemas.openxmlformats.org/officeDocument/2006/relationships/hyperlink" Target="https://scryfall.com/sets/pc2" TargetMode="External"/><Relationship Id="rId1213" Type="http://schemas.openxmlformats.org/officeDocument/2006/relationships/hyperlink" Target="https://scryfall.com/sets/pafr" TargetMode="External"/><Relationship Id="rId1420" Type="http://schemas.openxmlformats.org/officeDocument/2006/relationships/hyperlink" Target="https://scryfall.com/sets/tznc" TargetMode="External"/><Relationship Id="rId3178" Type="http://schemas.openxmlformats.org/officeDocument/2006/relationships/hyperlink" Target="https://scryfall.com/sets/pcmp" TargetMode="External"/><Relationship Id="rId3385" Type="http://schemas.openxmlformats.org/officeDocument/2006/relationships/hyperlink" Target="https://scryfall.com/sets/ovnt" TargetMode="External"/><Relationship Id="rId3592" Type="http://schemas.openxmlformats.org/officeDocument/2006/relationships/hyperlink" Target="https://scryfall.com/sets/pal99" TargetMode="External"/><Relationship Id="rId2194" Type="http://schemas.openxmlformats.org/officeDocument/2006/relationships/hyperlink" Target="https://scryfall.com/sets/exp" TargetMode="External"/><Relationship Id="rId3038" Type="http://schemas.openxmlformats.org/officeDocument/2006/relationships/hyperlink" Target="https://scryfall.com/sets/pshm" TargetMode="External"/><Relationship Id="rId3245" Type="http://schemas.openxmlformats.org/officeDocument/2006/relationships/hyperlink" Target="https://scryfall.com/sets/sok" TargetMode="External"/><Relationship Id="rId3452" Type="http://schemas.openxmlformats.org/officeDocument/2006/relationships/hyperlink" Target="https://scryfall.com/sets/apc" TargetMode="External"/><Relationship Id="rId166" Type="http://schemas.openxmlformats.org/officeDocument/2006/relationships/hyperlink" Target="https://scryfall.com/sets/fic" TargetMode="External"/><Relationship Id="rId373" Type="http://schemas.openxmlformats.org/officeDocument/2006/relationships/hyperlink" Target="https://scryfall.com/sets/macr" TargetMode="External"/><Relationship Id="rId580" Type="http://schemas.openxmlformats.org/officeDocument/2006/relationships/hyperlink" Target="https://scryfall.com/sets/pwoe" TargetMode="External"/><Relationship Id="rId2054" Type="http://schemas.openxmlformats.org/officeDocument/2006/relationships/hyperlink" Target="https://scryfall.com/sets/pca" TargetMode="External"/><Relationship Id="rId2261" Type="http://schemas.openxmlformats.org/officeDocument/2006/relationships/hyperlink" Target="https://scryfall.com/sets/ddo" TargetMode="External"/><Relationship Id="rId3105" Type="http://schemas.openxmlformats.org/officeDocument/2006/relationships/hyperlink" Target="https://scryfall.com/sets/t10e" TargetMode="External"/><Relationship Id="rId3312" Type="http://schemas.openxmlformats.org/officeDocument/2006/relationships/hyperlink" Target="https://scryfall.com/sets/pal04" TargetMode="External"/><Relationship Id="rId233" Type="http://schemas.openxmlformats.org/officeDocument/2006/relationships/hyperlink" Target="https://scryfall.com/sets/adft" TargetMode="External"/><Relationship Id="rId440" Type="http://schemas.openxmlformats.org/officeDocument/2006/relationships/hyperlink" Target="https://scryfall.com/sets/pbig" TargetMode="External"/><Relationship Id="rId1070" Type="http://schemas.openxmlformats.org/officeDocument/2006/relationships/hyperlink" Target="https://scryfall.com/sets/pw22" TargetMode="External"/><Relationship Id="rId2121" Type="http://schemas.openxmlformats.org/officeDocument/2006/relationships/hyperlink" Target="https://scryfall.com/sets/pemn" TargetMode="External"/><Relationship Id="rId300" Type="http://schemas.openxmlformats.org/officeDocument/2006/relationships/hyperlink" Target="https://scryfall.com/sets/ffdn" TargetMode="External"/><Relationship Id="rId1887" Type="http://schemas.openxmlformats.org/officeDocument/2006/relationships/hyperlink" Target="https://scryfall.com/sets/pust" TargetMode="External"/><Relationship Id="rId2938" Type="http://schemas.openxmlformats.org/officeDocument/2006/relationships/hyperlink" Target="https://scryfall.com/sets/tm10" TargetMode="External"/><Relationship Id="rId1747" Type="http://schemas.openxmlformats.org/officeDocument/2006/relationships/hyperlink" Target="https://scryfall.com/sets/tc18" TargetMode="External"/><Relationship Id="rId1954" Type="http://schemas.openxmlformats.org/officeDocument/2006/relationships/hyperlink" Target="https://scryfall.com/sets/tc17" TargetMode="External"/><Relationship Id="rId39" Type="http://schemas.openxmlformats.org/officeDocument/2006/relationships/hyperlink" Target="https://scryfall.com/sets/tla" TargetMode="External"/><Relationship Id="rId1607" Type="http://schemas.openxmlformats.org/officeDocument/2006/relationships/hyperlink" Target="https://scryfall.com/sets/tc19" TargetMode="External"/><Relationship Id="rId1814" Type="http://schemas.openxmlformats.org/officeDocument/2006/relationships/hyperlink" Target="https://scryfall.com/sets/tcm2" TargetMode="External"/><Relationship Id="rId3779" Type="http://schemas.openxmlformats.org/officeDocument/2006/relationships/hyperlink" Target="https://scryfall.com/sets/fbb" TargetMode="External"/><Relationship Id="rId2588" Type="http://schemas.openxmlformats.org/officeDocument/2006/relationships/hyperlink" Target="https://scryfall.com/sets/trtr" TargetMode="External"/><Relationship Id="rId1397" Type="http://schemas.openxmlformats.org/officeDocument/2006/relationships/hyperlink" Target="https://scryfall.com/sets/zne" TargetMode="External"/><Relationship Id="rId2795" Type="http://schemas.openxmlformats.org/officeDocument/2006/relationships/hyperlink" Target="https://scryfall.com/sets/td0" TargetMode="External"/><Relationship Id="rId3639" Type="http://schemas.openxmlformats.org/officeDocument/2006/relationships/hyperlink" Target="https://scryfall.com/sets/psth" TargetMode="External"/><Relationship Id="rId767" Type="http://schemas.openxmlformats.org/officeDocument/2006/relationships/hyperlink" Target="https://scryfall.com/sets/aone" TargetMode="External"/><Relationship Id="rId974" Type="http://schemas.openxmlformats.org/officeDocument/2006/relationships/hyperlink" Target="https://scryfall.com/sets/ea1" TargetMode="External"/><Relationship Id="rId2448" Type="http://schemas.openxmlformats.org/officeDocument/2006/relationships/hyperlink" Target="https://scryfall.com/sets/thp2" TargetMode="External"/><Relationship Id="rId2655" Type="http://schemas.openxmlformats.org/officeDocument/2006/relationships/hyperlink" Target="https://scryfall.com/sets/pdp13" TargetMode="External"/><Relationship Id="rId2862" Type="http://schemas.openxmlformats.org/officeDocument/2006/relationships/hyperlink" Target="https://scryfall.com/sets/wwk" TargetMode="External"/><Relationship Id="rId3706" Type="http://schemas.openxmlformats.org/officeDocument/2006/relationships/hyperlink" Target="https://scryfall.com/sets/plgm" TargetMode="External"/><Relationship Id="rId627" Type="http://schemas.openxmlformats.org/officeDocument/2006/relationships/hyperlink" Target="https://scryfall.com/sets/ha7" TargetMode="External"/><Relationship Id="rId834" Type="http://schemas.openxmlformats.org/officeDocument/2006/relationships/hyperlink" Target="https://scryfall.com/sets/p30m" TargetMode="External"/><Relationship Id="rId1257" Type="http://schemas.openxmlformats.org/officeDocument/2006/relationships/hyperlink" Target="https://scryfall.com/sets/pmh2" TargetMode="External"/><Relationship Id="rId1464" Type="http://schemas.openxmlformats.org/officeDocument/2006/relationships/hyperlink" Target="https://scryfall.com/sets/m21" TargetMode="External"/><Relationship Id="rId1671" Type="http://schemas.openxmlformats.org/officeDocument/2006/relationships/hyperlink" Target="https://scryfall.com/sets/gk2" TargetMode="External"/><Relationship Id="rId2308" Type="http://schemas.openxmlformats.org/officeDocument/2006/relationships/hyperlink" Target="https://scryfall.com/sets/tgvl" TargetMode="External"/><Relationship Id="rId2515" Type="http://schemas.openxmlformats.org/officeDocument/2006/relationships/hyperlink" Target="https://scryfall.com/sets/mma" TargetMode="External"/><Relationship Id="rId2722" Type="http://schemas.openxmlformats.org/officeDocument/2006/relationships/hyperlink" Target="https://scryfall.com/sets/td2" TargetMode="External"/><Relationship Id="rId901" Type="http://schemas.openxmlformats.org/officeDocument/2006/relationships/hyperlink" Target="https://scryfall.com/sets/unf" TargetMode="External"/><Relationship Id="rId1117" Type="http://schemas.openxmlformats.org/officeDocument/2006/relationships/hyperlink" Target="https://scryfall.com/sets/p22" TargetMode="External"/><Relationship Id="rId1324" Type="http://schemas.openxmlformats.org/officeDocument/2006/relationships/hyperlink" Target="https://scryfall.com/sets/ttsr" TargetMode="External"/><Relationship Id="rId1531" Type="http://schemas.openxmlformats.org/officeDocument/2006/relationships/hyperlink" Target="https://scryfall.com/sets/tthb" TargetMode="External"/><Relationship Id="rId30" Type="http://schemas.openxmlformats.org/officeDocument/2006/relationships/hyperlink" Target="https://scryfall.com/sets/ecl" TargetMode="External"/><Relationship Id="rId3289" Type="http://schemas.openxmlformats.org/officeDocument/2006/relationships/hyperlink" Target="https://scryfall.com/sets/pchk" TargetMode="External"/><Relationship Id="rId3496" Type="http://schemas.openxmlformats.org/officeDocument/2006/relationships/hyperlink" Target="https://scryfall.com/sets/wc00" TargetMode="External"/><Relationship Id="rId2098" Type="http://schemas.openxmlformats.org/officeDocument/2006/relationships/hyperlink" Target="https://scryfall.com/sets/tkld" TargetMode="External"/><Relationship Id="rId3149" Type="http://schemas.openxmlformats.org/officeDocument/2006/relationships/hyperlink" Target="https://scryfall.com/sets/hho" TargetMode="External"/><Relationship Id="rId3356" Type="http://schemas.openxmlformats.org/officeDocument/2006/relationships/hyperlink" Target="https://scryfall.com/sets/plgn" TargetMode="External"/><Relationship Id="rId3563" Type="http://schemas.openxmlformats.org/officeDocument/2006/relationships/hyperlink" Target="https://scryfall.com/sets/s99" TargetMode="External"/><Relationship Id="rId277" Type="http://schemas.openxmlformats.org/officeDocument/2006/relationships/hyperlink" Target="https://scryfall.com/sets/pfdn" TargetMode="External"/><Relationship Id="rId484" Type="http://schemas.openxmlformats.org/officeDocument/2006/relationships/hyperlink" Target="https://scryfall.com/sets/fclu" TargetMode="External"/><Relationship Id="rId2165" Type="http://schemas.openxmlformats.org/officeDocument/2006/relationships/hyperlink" Target="https://scryfall.com/sets/l16" TargetMode="External"/><Relationship Id="rId3009" Type="http://schemas.openxmlformats.org/officeDocument/2006/relationships/hyperlink" Target="https://scryfall.com/sets/tala" TargetMode="External"/><Relationship Id="rId3216" Type="http://schemas.openxmlformats.org/officeDocument/2006/relationships/hyperlink" Target="https://scryfall.com/sets/p06" TargetMode="External"/><Relationship Id="rId3770" Type="http://schemas.openxmlformats.org/officeDocument/2006/relationships/hyperlink" Target="https://scryfall.com/sets/sum" TargetMode="External"/><Relationship Id="rId137" Type="http://schemas.openxmlformats.org/officeDocument/2006/relationships/hyperlink" Target="https://scryfall.com/sets/eoc" TargetMode="External"/><Relationship Id="rId344" Type="http://schemas.openxmlformats.org/officeDocument/2006/relationships/hyperlink" Target="https://scryfall.com/sets/tblb" TargetMode="External"/><Relationship Id="rId691" Type="http://schemas.openxmlformats.org/officeDocument/2006/relationships/hyperlink" Target="https://scryfall.com/sets/pmom" TargetMode="External"/><Relationship Id="rId2025" Type="http://schemas.openxmlformats.org/officeDocument/2006/relationships/hyperlink" Target="https://scryfall.com/sets/mm3" TargetMode="External"/><Relationship Id="rId2372" Type="http://schemas.openxmlformats.org/officeDocument/2006/relationships/hyperlink" Target="https://scryfall.com/sets/ppc1" TargetMode="External"/><Relationship Id="rId3423" Type="http://schemas.openxmlformats.org/officeDocument/2006/relationships/hyperlink" Target="https://scryfall.com/sets/pr2" TargetMode="External"/><Relationship Id="rId3630" Type="http://schemas.openxmlformats.org/officeDocument/2006/relationships/hyperlink" Target="https://scryfall.com/sets/pexo" TargetMode="External"/><Relationship Id="rId551" Type="http://schemas.openxmlformats.org/officeDocument/2006/relationships/hyperlink" Target="https://scryfall.com/sets/trex" TargetMode="External"/><Relationship Id="rId1181" Type="http://schemas.openxmlformats.org/officeDocument/2006/relationships/hyperlink" Target="https://scryfall.com/sets/tmic" TargetMode="External"/><Relationship Id="rId2232" Type="http://schemas.openxmlformats.org/officeDocument/2006/relationships/hyperlink" Target="https://scryfall.com/sets/ps15" TargetMode="External"/><Relationship Id="rId204" Type="http://schemas.openxmlformats.org/officeDocument/2006/relationships/hyperlink" Target="https://scryfall.com/sets/tdc" TargetMode="External"/><Relationship Id="rId411" Type="http://schemas.openxmlformats.org/officeDocument/2006/relationships/hyperlink" Target="https://scryfall.com/sets/otj" TargetMode="External"/><Relationship Id="rId1041" Type="http://schemas.openxmlformats.org/officeDocument/2006/relationships/hyperlink" Target="https://scryfall.com/sets/ncc" TargetMode="External"/><Relationship Id="rId1998" Type="http://schemas.openxmlformats.org/officeDocument/2006/relationships/hyperlink" Target="https://scryfall.com/sets/mp2" TargetMode="External"/><Relationship Id="rId1858" Type="http://schemas.openxmlformats.org/officeDocument/2006/relationships/hyperlink" Target="https://scryfall.com/sets/pnat" TargetMode="External"/><Relationship Id="rId2909" Type="http://schemas.openxmlformats.org/officeDocument/2006/relationships/hyperlink" Target="https://scryfall.com/sets/tzen" TargetMode="External"/><Relationship Id="rId3073" Type="http://schemas.openxmlformats.org/officeDocument/2006/relationships/hyperlink" Target="https://scryfall.com/sets/g08" TargetMode="External"/><Relationship Id="rId3280" Type="http://schemas.openxmlformats.org/officeDocument/2006/relationships/hyperlink" Target="https://scryfall.com/sets/unh" TargetMode="External"/><Relationship Id="rId1718" Type="http://schemas.openxmlformats.org/officeDocument/2006/relationships/hyperlink" Target="https://scryfall.com/sets/tgk1" TargetMode="External"/><Relationship Id="rId1925" Type="http://schemas.openxmlformats.org/officeDocument/2006/relationships/hyperlink" Target="https://scryfall.com/sets/pxln" TargetMode="External"/><Relationship Id="rId3140" Type="http://schemas.openxmlformats.org/officeDocument/2006/relationships/hyperlink" Target="https://scryfall.com/sets/p07" TargetMode="External"/><Relationship Id="rId2699" Type="http://schemas.openxmlformats.org/officeDocument/2006/relationships/hyperlink" Target="https://scryfall.com/sets/v11" TargetMode="External"/><Relationship Id="rId3000" Type="http://schemas.openxmlformats.org/officeDocument/2006/relationships/hyperlink" Target="https://scryfall.com/sets/tdd2" TargetMode="External"/><Relationship Id="rId878" Type="http://schemas.openxmlformats.org/officeDocument/2006/relationships/hyperlink" Target="https://scryfall.com/sets/sbro" TargetMode="External"/><Relationship Id="rId2559" Type="http://schemas.openxmlformats.org/officeDocument/2006/relationships/hyperlink" Target="https://scryfall.com/sets/l13" TargetMode="External"/><Relationship Id="rId2766" Type="http://schemas.openxmlformats.org/officeDocument/2006/relationships/hyperlink" Target="https://scryfall.com/sets/pw11" TargetMode="External"/><Relationship Id="rId2973" Type="http://schemas.openxmlformats.org/officeDocument/2006/relationships/hyperlink" Target="https://scryfall.com/sets/tcon" TargetMode="External"/><Relationship Id="rId738" Type="http://schemas.openxmlformats.org/officeDocument/2006/relationships/hyperlink" Target="https://scryfall.com/sets/one" TargetMode="External"/><Relationship Id="rId945" Type="http://schemas.openxmlformats.org/officeDocument/2006/relationships/hyperlink" Target="https://scryfall.com/sets/wdmu" TargetMode="External"/><Relationship Id="rId1368" Type="http://schemas.openxmlformats.org/officeDocument/2006/relationships/hyperlink" Target="https://scryfall.com/sets/cc1" TargetMode="External"/><Relationship Id="rId1575" Type="http://schemas.openxmlformats.org/officeDocument/2006/relationships/hyperlink" Target="https://scryfall.com/sets/tgn2" TargetMode="External"/><Relationship Id="rId1782" Type="http://schemas.openxmlformats.org/officeDocument/2006/relationships/hyperlink" Target="https://scryfall.com/sets/pm19" TargetMode="External"/><Relationship Id="rId2419" Type="http://schemas.openxmlformats.org/officeDocument/2006/relationships/hyperlink" Target="https://scryfall.com/sets/thp3" TargetMode="External"/><Relationship Id="rId2626" Type="http://schemas.openxmlformats.org/officeDocument/2006/relationships/hyperlink" Target="https://scryfall.com/sets/tavr" TargetMode="External"/><Relationship Id="rId2833" Type="http://schemas.openxmlformats.org/officeDocument/2006/relationships/hyperlink" Target="https://scryfall.com/sets/arc" TargetMode="External"/><Relationship Id="rId74" Type="http://schemas.openxmlformats.org/officeDocument/2006/relationships/hyperlink" Target="https://scryfall.com/sets/lmar" TargetMode="External"/><Relationship Id="rId805" Type="http://schemas.openxmlformats.org/officeDocument/2006/relationships/hyperlink" Target="https://scryfall.com/sets/tscd" TargetMode="External"/><Relationship Id="rId1228" Type="http://schemas.openxmlformats.org/officeDocument/2006/relationships/hyperlink" Target="https://scryfall.com/sets/afc" TargetMode="External"/><Relationship Id="rId1435" Type="http://schemas.openxmlformats.org/officeDocument/2006/relationships/hyperlink" Target="https://scryfall.com/sets/akr" TargetMode="External"/><Relationship Id="rId1642" Type="http://schemas.openxmlformats.org/officeDocument/2006/relationships/hyperlink" Target="https://scryfall.com/sets/mh1" TargetMode="External"/><Relationship Id="rId2900" Type="http://schemas.openxmlformats.org/officeDocument/2006/relationships/hyperlink" Target="https://scryfall.com/sets/tddd" TargetMode="External"/><Relationship Id="rId1502" Type="http://schemas.openxmlformats.org/officeDocument/2006/relationships/hyperlink" Target="https://scryfall.com/sets/c20" TargetMode="External"/><Relationship Id="rId388" Type="http://schemas.openxmlformats.org/officeDocument/2006/relationships/hyperlink" Target="https://scryfall.com/sets/tmh3" TargetMode="External"/><Relationship Id="rId2069" Type="http://schemas.openxmlformats.org/officeDocument/2006/relationships/hyperlink" Target="https://scryfall.com/cubes/twisted" TargetMode="External"/><Relationship Id="rId3467" Type="http://schemas.openxmlformats.org/officeDocument/2006/relationships/hyperlink" Target="https://scryfall.com/sets/pal01" TargetMode="External"/><Relationship Id="rId3674" Type="http://schemas.openxmlformats.org/officeDocument/2006/relationships/hyperlink" Target="https://scryfall.com/sets/pmic" TargetMode="External"/><Relationship Id="rId595" Type="http://schemas.openxmlformats.org/officeDocument/2006/relationships/hyperlink" Target="https://scryfall.com/sets/twoc" TargetMode="External"/><Relationship Id="rId2276" Type="http://schemas.openxmlformats.org/officeDocument/2006/relationships/hyperlink" Target="https://scryfall.com/sets/cp2" TargetMode="External"/><Relationship Id="rId2483" Type="http://schemas.openxmlformats.org/officeDocument/2006/relationships/hyperlink" Target="https://scryfall.com/sets/thp1" TargetMode="External"/><Relationship Id="rId2690" Type="http://schemas.openxmlformats.org/officeDocument/2006/relationships/hyperlink" Target="https://scryfall.com/sets/ddh" TargetMode="External"/><Relationship Id="rId3327" Type="http://schemas.openxmlformats.org/officeDocument/2006/relationships/hyperlink" Target="https://scryfall.com/sets/mrd" TargetMode="External"/><Relationship Id="rId3534" Type="http://schemas.openxmlformats.org/officeDocument/2006/relationships/hyperlink" Target="https://scryfall.com/sets/brb" TargetMode="External"/><Relationship Id="rId3741" Type="http://schemas.openxmlformats.org/officeDocument/2006/relationships/hyperlink" Target="https://scryfall.com/sets/bchr" TargetMode="External"/><Relationship Id="rId248" Type="http://schemas.openxmlformats.org/officeDocument/2006/relationships/hyperlink" Target="https://scryfall.com/sets/inr" TargetMode="External"/><Relationship Id="rId455" Type="http://schemas.openxmlformats.org/officeDocument/2006/relationships/hyperlink" Target="https://scryfall.com/sets/pip" TargetMode="External"/><Relationship Id="rId662" Type="http://schemas.openxmlformats.org/officeDocument/2006/relationships/hyperlink" Target="https://scryfall.com/sets/altr" TargetMode="External"/><Relationship Id="rId1085" Type="http://schemas.openxmlformats.org/officeDocument/2006/relationships/hyperlink" Target="https://scryfall.com/sets/tneo" TargetMode="External"/><Relationship Id="rId1292" Type="http://schemas.openxmlformats.org/officeDocument/2006/relationships/hyperlink" Target="https://scryfall.com/sets/tstx" TargetMode="External"/><Relationship Id="rId2136" Type="http://schemas.openxmlformats.org/officeDocument/2006/relationships/hyperlink" Target="https://scryfall.com/sets/soi" TargetMode="External"/><Relationship Id="rId2343" Type="http://schemas.openxmlformats.org/officeDocument/2006/relationships/hyperlink" Target="https://scryfall.com/sets/tktk" TargetMode="External"/><Relationship Id="rId2550" Type="http://schemas.openxmlformats.org/officeDocument/2006/relationships/hyperlink" Target="https://scryfall.com/sets/tgtc" TargetMode="External"/><Relationship Id="rId3601" Type="http://schemas.openxmlformats.org/officeDocument/2006/relationships/hyperlink" Target="https://scryfall.com/sets/usg" TargetMode="External"/><Relationship Id="rId108" Type="http://schemas.openxmlformats.org/officeDocument/2006/relationships/hyperlink" Target="https://scryfall.com/sets/aa2" TargetMode="External"/><Relationship Id="rId315" Type="http://schemas.openxmlformats.org/officeDocument/2006/relationships/hyperlink" Target="https://scryfall.com/sets/ydsk" TargetMode="External"/><Relationship Id="rId522" Type="http://schemas.openxmlformats.org/officeDocument/2006/relationships/hyperlink" Target="https://scryfall.com/sets/spg" TargetMode="External"/><Relationship Id="rId1152" Type="http://schemas.openxmlformats.org/officeDocument/2006/relationships/hyperlink" Target="https://scryfall.com/sets/tvoc" TargetMode="External"/><Relationship Id="rId2203" Type="http://schemas.openxmlformats.org/officeDocument/2006/relationships/hyperlink" Target="https://scryfall.com/sets/tbfz" TargetMode="External"/><Relationship Id="rId2410" Type="http://schemas.openxmlformats.org/officeDocument/2006/relationships/hyperlink" Target="https://scryfall.com/sets/pjou" TargetMode="External"/><Relationship Id="rId1012" Type="http://schemas.openxmlformats.org/officeDocument/2006/relationships/hyperlink" Target="https://scryfall.com/sets/mclb" TargetMode="External"/><Relationship Id="rId1969" Type="http://schemas.openxmlformats.org/officeDocument/2006/relationships/hyperlink" Target="https://scryfall.com/sets/phou" TargetMode="External"/><Relationship Id="rId3184" Type="http://schemas.openxmlformats.org/officeDocument/2006/relationships/hyperlink" Target="https://scryfall.com/sets/pgpt" TargetMode="External"/><Relationship Id="rId1829" Type="http://schemas.openxmlformats.org/officeDocument/2006/relationships/hyperlink" Target="https://scryfall.com/cubes/uncommon" TargetMode="External"/><Relationship Id="rId3391" Type="http://schemas.openxmlformats.org/officeDocument/2006/relationships/hyperlink" Target="https://scryfall.com/sets/ons" TargetMode="External"/><Relationship Id="rId3044" Type="http://schemas.openxmlformats.org/officeDocument/2006/relationships/hyperlink" Target="https://scryfall.com/sets/p15a" TargetMode="External"/><Relationship Id="rId3251" Type="http://schemas.openxmlformats.org/officeDocument/2006/relationships/hyperlink" Target="https://scryfall.com/sets/bok" TargetMode="External"/><Relationship Id="rId172" Type="http://schemas.openxmlformats.org/officeDocument/2006/relationships/hyperlink" Target="https://scryfall.com/sets/wfin" TargetMode="External"/><Relationship Id="rId2060" Type="http://schemas.openxmlformats.org/officeDocument/2006/relationships/hyperlink" Target="https://scryfall.com/sets/tpca" TargetMode="External"/><Relationship Id="rId3111" Type="http://schemas.openxmlformats.org/officeDocument/2006/relationships/hyperlink" Target="https://scryfall.com/sets/pfut" TargetMode="External"/><Relationship Id="rId989" Type="http://schemas.openxmlformats.org/officeDocument/2006/relationships/hyperlink" Target="https://scryfall.com/sets/t2x2" TargetMode="External"/><Relationship Id="rId2877" Type="http://schemas.openxmlformats.org/officeDocument/2006/relationships/hyperlink" Target="https://scryfall.com/sets/pmps10/ja" TargetMode="External"/><Relationship Id="rId849" Type="http://schemas.openxmlformats.org/officeDocument/2006/relationships/hyperlink" Target="https://scryfall.com/sets/tbro" TargetMode="External"/><Relationship Id="rId1479" Type="http://schemas.openxmlformats.org/officeDocument/2006/relationships/hyperlink" Target="https://scryfall.com/cubes/arena" TargetMode="External"/><Relationship Id="rId1686" Type="http://schemas.openxmlformats.org/officeDocument/2006/relationships/hyperlink" Target="https://scryfall.com/sets/trna" TargetMode="External"/><Relationship Id="rId1339" Type="http://schemas.openxmlformats.org/officeDocument/2006/relationships/hyperlink" Target="https://scryfall.com/sets/tkhm" TargetMode="External"/><Relationship Id="rId1893" Type="http://schemas.openxmlformats.org/officeDocument/2006/relationships/hyperlink" Target="https://scryfall.com/sets/v17" TargetMode="External"/><Relationship Id="rId2737" Type="http://schemas.openxmlformats.org/officeDocument/2006/relationships/hyperlink" Target="https://scryfall.com/sets/ddg" TargetMode="External"/><Relationship Id="rId2944" Type="http://schemas.openxmlformats.org/officeDocument/2006/relationships/hyperlink" Target="https://scryfall.com/sets/arb" TargetMode="External"/><Relationship Id="rId709" Type="http://schemas.openxmlformats.org/officeDocument/2006/relationships/hyperlink" Target="https://scryfall.com/sets/wmom" TargetMode="External"/><Relationship Id="rId916" Type="http://schemas.openxmlformats.org/officeDocument/2006/relationships/hyperlink" Target="https://scryfall.com/sets/t40k" TargetMode="External"/><Relationship Id="rId1546" Type="http://schemas.openxmlformats.org/officeDocument/2006/relationships/hyperlink" Target="https://scryfall.com/sets/pssc" TargetMode="External"/><Relationship Id="rId1753" Type="http://schemas.openxmlformats.org/officeDocument/2006/relationships/hyperlink" Target="https://scryfall.com/cubes/protour" TargetMode="External"/><Relationship Id="rId1960" Type="http://schemas.openxmlformats.org/officeDocument/2006/relationships/hyperlink" Target="https://scryfall.com/sets/ps17" TargetMode="External"/><Relationship Id="rId2804" Type="http://schemas.openxmlformats.org/officeDocument/2006/relationships/hyperlink" Target="https://scryfall.com/sets/psom" TargetMode="External"/><Relationship Id="rId45" Type="http://schemas.openxmlformats.org/officeDocument/2006/relationships/hyperlink" Target="https://scryfall.com/sets/ftla" TargetMode="External"/><Relationship Id="rId1406" Type="http://schemas.openxmlformats.org/officeDocument/2006/relationships/hyperlink" Target="https://scryfall.com/sets/tznr" TargetMode="External"/><Relationship Id="rId1613" Type="http://schemas.openxmlformats.org/officeDocument/2006/relationships/hyperlink" Target="https://scryfall.com/sets/oc19" TargetMode="External"/><Relationship Id="rId1820" Type="http://schemas.openxmlformats.org/officeDocument/2006/relationships/hyperlink" Target="https://scryfall.com/sets/pbbd" TargetMode="External"/><Relationship Id="rId3578" Type="http://schemas.openxmlformats.org/officeDocument/2006/relationships/hyperlink" Target="https://scryfall.com/sets/pptk" TargetMode="External"/><Relationship Id="rId3785" Type="http://schemas.openxmlformats.org/officeDocument/2006/relationships/hyperlink" Target="https://scryfall.com/sets/atq" TargetMode="External"/><Relationship Id="rId499" Type="http://schemas.openxmlformats.org/officeDocument/2006/relationships/hyperlink" Target="https://scryfall.com/sets/mkc" TargetMode="External"/><Relationship Id="rId2387" Type="http://schemas.openxmlformats.org/officeDocument/2006/relationships/hyperlink" Target="https://scryfall.com/sets/cns" TargetMode="External"/><Relationship Id="rId2594" Type="http://schemas.openxmlformats.org/officeDocument/2006/relationships/hyperlink" Target="https://scryfall.com/sets/tddj" TargetMode="External"/><Relationship Id="rId3438" Type="http://schemas.openxmlformats.org/officeDocument/2006/relationships/hyperlink" Target="https://scryfall.com/sets/ody" TargetMode="External"/><Relationship Id="rId3645" Type="http://schemas.openxmlformats.org/officeDocument/2006/relationships/hyperlink" Target="https://scryfall.com/sets/tmp" TargetMode="External"/><Relationship Id="rId359" Type="http://schemas.openxmlformats.org/officeDocument/2006/relationships/hyperlink" Target="https://scryfall.com/sets/tblc" TargetMode="External"/><Relationship Id="rId566" Type="http://schemas.openxmlformats.org/officeDocument/2006/relationships/hyperlink" Target="https://scryfall.com/sets/twho" TargetMode="External"/><Relationship Id="rId773" Type="http://schemas.openxmlformats.org/officeDocument/2006/relationships/hyperlink" Target="https://scryfall.com/sets/wone" TargetMode="External"/><Relationship Id="rId1196" Type="http://schemas.openxmlformats.org/officeDocument/2006/relationships/hyperlink" Target="https://scryfall.com/sets/mmid" TargetMode="External"/><Relationship Id="rId2247" Type="http://schemas.openxmlformats.org/officeDocument/2006/relationships/hyperlink" Target="https://scryfall.com/sets/dtk" TargetMode="External"/><Relationship Id="rId2454" Type="http://schemas.openxmlformats.org/officeDocument/2006/relationships/hyperlink" Target="https://scryfall.com/sets/j14" TargetMode="External"/><Relationship Id="rId3505" Type="http://schemas.openxmlformats.org/officeDocument/2006/relationships/hyperlink" Target="https://scryfall.com/sets/s00" TargetMode="External"/><Relationship Id="rId219" Type="http://schemas.openxmlformats.org/officeDocument/2006/relationships/hyperlink" Target="https://scryfall.com/sets/dft" TargetMode="External"/><Relationship Id="rId426" Type="http://schemas.openxmlformats.org/officeDocument/2006/relationships/hyperlink" Target="https://scryfall.com/sets/totj" TargetMode="External"/><Relationship Id="rId633" Type="http://schemas.openxmlformats.org/officeDocument/2006/relationships/hyperlink" Target="https://scryfall.com/sets/ltr" TargetMode="External"/><Relationship Id="rId980" Type="http://schemas.openxmlformats.org/officeDocument/2006/relationships/hyperlink" Target="https://scryfall.com/sets/sch" TargetMode="External"/><Relationship Id="rId1056" Type="http://schemas.openxmlformats.org/officeDocument/2006/relationships/hyperlink" Target="https://scryfall.com/sets/asnc" TargetMode="External"/><Relationship Id="rId1263" Type="http://schemas.openxmlformats.org/officeDocument/2006/relationships/hyperlink" Target="https://scryfall.com/sets/tmh2" TargetMode="External"/><Relationship Id="rId2107" Type="http://schemas.openxmlformats.org/officeDocument/2006/relationships/hyperlink" Target="https://scryfall.com/sets/cn2" TargetMode="External"/><Relationship Id="rId2314" Type="http://schemas.openxmlformats.org/officeDocument/2006/relationships/hyperlink" Target="https://scryfall.com/sets/tjvc" TargetMode="External"/><Relationship Id="rId2661" Type="http://schemas.openxmlformats.org/officeDocument/2006/relationships/hyperlink" Target="https://scryfall.com/sets/pidw" TargetMode="External"/><Relationship Id="rId3712" Type="http://schemas.openxmlformats.org/officeDocument/2006/relationships/hyperlink" Target="https://scryfall.com/sets/rqs" TargetMode="External"/><Relationship Id="rId840" Type="http://schemas.openxmlformats.org/officeDocument/2006/relationships/hyperlink" Target="https://scryfall.com/sets/bro" TargetMode="External"/><Relationship Id="rId1470" Type="http://schemas.openxmlformats.org/officeDocument/2006/relationships/hyperlink" Target="https://scryfall.com/sets/pm21" TargetMode="External"/><Relationship Id="rId2521" Type="http://schemas.openxmlformats.org/officeDocument/2006/relationships/hyperlink" Target="https://scryfall.com/sets/dgm" TargetMode="External"/><Relationship Id="rId700" Type="http://schemas.openxmlformats.org/officeDocument/2006/relationships/hyperlink" Target="https://scryfall.com/sets/moc" TargetMode="External"/><Relationship Id="rId1123" Type="http://schemas.openxmlformats.org/officeDocument/2006/relationships/hyperlink" Target="https://scryfall.com/sets/ymid" TargetMode="External"/><Relationship Id="rId1330" Type="http://schemas.openxmlformats.org/officeDocument/2006/relationships/hyperlink" Target="https://scryfall.com/sets/ha4" TargetMode="External"/><Relationship Id="rId3088" Type="http://schemas.openxmlformats.org/officeDocument/2006/relationships/hyperlink" Target="https://scryfall.com/sets/plrw" TargetMode="External"/><Relationship Id="rId3295" Type="http://schemas.openxmlformats.org/officeDocument/2006/relationships/hyperlink" Target="https://scryfall.com/sets/wc04" TargetMode="External"/><Relationship Id="rId3155" Type="http://schemas.openxmlformats.org/officeDocument/2006/relationships/hyperlink" Target="https://scryfall.com/sets/ptsp" TargetMode="External"/><Relationship Id="rId3362" Type="http://schemas.openxmlformats.org/officeDocument/2006/relationships/hyperlink" Target="https://scryfall.com/sets/pjjt" TargetMode="External"/><Relationship Id="rId283" Type="http://schemas.openxmlformats.org/officeDocument/2006/relationships/hyperlink" Target="https://scryfall.com/sets/tfdn" TargetMode="External"/><Relationship Id="rId490" Type="http://schemas.openxmlformats.org/officeDocument/2006/relationships/hyperlink" Target="https://scryfall.com/sets/amkm" TargetMode="External"/><Relationship Id="rId2171" Type="http://schemas.openxmlformats.org/officeDocument/2006/relationships/hyperlink" Target="https://scryfall.com/sets/f16" TargetMode="External"/><Relationship Id="rId3015" Type="http://schemas.openxmlformats.org/officeDocument/2006/relationships/hyperlink" Target="https://scryfall.com/sets/me2" TargetMode="External"/><Relationship Id="rId3222" Type="http://schemas.openxmlformats.org/officeDocument/2006/relationships/hyperlink" Target="https://scryfall.com/sets/p2hg" TargetMode="External"/><Relationship Id="rId143" Type="http://schemas.openxmlformats.org/officeDocument/2006/relationships/hyperlink" Target="https://scryfall.com/sets/fin" TargetMode="External"/><Relationship Id="rId350" Type="http://schemas.openxmlformats.org/officeDocument/2006/relationships/hyperlink" Target="https://scryfall.com/sets/yblb" TargetMode="External"/><Relationship Id="rId2031" Type="http://schemas.openxmlformats.org/officeDocument/2006/relationships/hyperlink" Target="https://scryfall.com/sets/aer" TargetMode="External"/><Relationship Id="rId9" Type="http://schemas.openxmlformats.org/officeDocument/2006/relationships/hyperlink" Target="https://scryfall.com/sets/tmt" TargetMode="External"/><Relationship Id="rId210" Type="http://schemas.openxmlformats.org/officeDocument/2006/relationships/hyperlink" Target="https://scryfall.com/sets/plg25" TargetMode="External"/><Relationship Id="rId2988" Type="http://schemas.openxmlformats.org/officeDocument/2006/relationships/hyperlink" Target="https://scryfall.com/sets/p09" TargetMode="External"/><Relationship Id="rId1797" Type="http://schemas.openxmlformats.org/officeDocument/2006/relationships/hyperlink" Target="https://scryfall.com/sets/pss3" TargetMode="External"/><Relationship Id="rId2848" Type="http://schemas.openxmlformats.org/officeDocument/2006/relationships/hyperlink" Target="https://scryfall.com/sets/proe" TargetMode="External"/><Relationship Id="rId89" Type="http://schemas.openxmlformats.org/officeDocument/2006/relationships/hyperlink" Target="https://scryfall.com/sets/om1" TargetMode="External"/><Relationship Id="rId1657" Type="http://schemas.openxmlformats.org/officeDocument/2006/relationships/hyperlink" Target="https://scryfall.com/sets/war" TargetMode="External"/><Relationship Id="rId1864" Type="http://schemas.openxmlformats.org/officeDocument/2006/relationships/hyperlink" Target="https://scryfall.com/sets/rix" TargetMode="External"/><Relationship Id="rId2708" Type="http://schemas.openxmlformats.org/officeDocument/2006/relationships/hyperlink" Target="https://scryfall.com/sets/tm12" TargetMode="External"/><Relationship Id="rId2915" Type="http://schemas.openxmlformats.org/officeDocument/2006/relationships/hyperlink" Target="https://scryfall.com/sets/me3" TargetMode="External"/><Relationship Id="rId1517" Type="http://schemas.openxmlformats.org/officeDocument/2006/relationships/hyperlink" Target="https://scryfall.com/sets/und" TargetMode="External"/><Relationship Id="rId1724" Type="http://schemas.openxmlformats.org/officeDocument/2006/relationships/hyperlink" Target="https://scryfall.com/sets/pgrn" TargetMode="External"/><Relationship Id="rId16" Type="http://schemas.openxmlformats.org/officeDocument/2006/relationships/hyperlink" Target="https://scryfall.com/sets/pza" TargetMode="External"/><Relationship Id="rId1931" Type="http://schemas.openxmlformats.org/officeDocument/2006/relationships/hyperlink" Target="https://scryfall.com/sets/pxtc" TargetMode="External"/><Relationship Id="rId3689" Type="http://schemas.openxmlformats.org/officeDocument/2006/relationships/hyperlink" Target="https://scryfall.com/sets/itp" TargetMode="External"/><Relationship Id="rId2498" Type="http://schemas.openxmlformats.org/officeDocument/2006/relationships/hyperlink" Target="https://scryfall.com/sets/m14" TargetMode="External"/><Relationship Id="rId3549" Type="http://schemas.openxmlformats.org/officeDocument/2006/relationships/hyperlink" Target="https://scryfall.com/sets/wc99" TargetMode="External"/><Relationship Id="rId677" Type="http://schemas.openxmlformats.org/officeDocument/2006/relationships/hyperlink" Target="https://scryfall.com/sets/pmat" TargetMode="External"/><Relationship Id="rId2358" Type="http://schemas.openxmlformats.org/officeDocument/2006/relationships/hyperlink" Target="https://scryfall.com/sets/pm15" TargetMode="External"/><Relationship Id="rId3756" Type="http://schemas.openxmlformats.org/officeDocument/2006/relationships/hyperlink" Target="https://scryfall.com/sets/fem" TargetMode="External"/><Relationship Id="rId884" Type="http://schemas.openxmlformats.org/officeDocument/2006/relationships/hyperlink" Target="https://scryfall.com/sets/mbro" TargetMode="External"/><Relationship Id="rId2565" Type="http://schemas.openxmlformats.org/officeDocument/2006/relationships/hyperlink" Target="https://scryfall.com/sets/j13" TargetMode="External"/><Relationship Id="rId2772" Type="http://schemas.openxmlformats.org/officeDocument/2006/relationships/hyperlink" Target="https://scryfall.com/sets/ps11" TargetMode="External"/><Relationship Id="rId3409" Type="http://schemas.openxmlformats.org/officeDocument/2006/relationships/hyperlink" Target="https://scryfall.com/sets/pjud" TargetMode="External"/><Relationship Id="rId3616" Type="http://schemas.openxmlformats.org/officeDocument/2006/relationships/hyperlink" Target="https://scryfall.com/sets/ugl" TargetMode="External"/><Relationship Id="rId537" Type="http://schemas.openxmlformats.org/officeDocument/2006/relationships/hyperlink" Target="https://scryfall.com/sets/ylci" TargetMode="External"/><Relationship Id="rId744" Type="http://schemas.openxmlformats.org/officeDocument/2006/relationships/hyperlink" Target="https://scryfall.com/sets/pone" TargetMode="External"/><Relationship Id="rId951" Type="http://schemas.openxmlformats.org/officeDocument/2006/relationships/hyperlink" Target="https://scryfall.com/sets/admu" TargetMode="External"/><Relationship Id="rId1167" Type="http://schemas.openxmlformats.org/officeDocument/2006/relationships/hyperlink" Target="https://scryfall.com/sets/pmid" TargetMode="External"/><Relationship Id="rId1374" Type="http://schemas.openxmlformats.org/officeDocument/2006/relationships/hyperlink" Target="https://scryfall.com/sets/cmr" TargetMode="External"/><Relationship Id="rId1581" Type="http://schemas.openxmlformats.org/officeDocument/2006/relationships/hyperlink" Target="https://scryfall.com/sets/cmb1" TargetMode="External"/><Relationship Id="rId2218" Type="http://schemas.openxmlformats.org/officeDocument/2006/relationships/hyperlink" Target="https://scryfall.com/sets/pori" TargetMode="External"/><Relationship Id="rId2425" Type="http://schemas.openxmlformats.org/officeDocument/2006/relationships/hyperlink" Target="https://scryfall.com/sets/ddm" TargetMode="External"/><Relationship Id="rId2632" Type="http://schemas.openxmlformats.org/officeDocument/2006/relationships/hyperlink" Target="https://scryfall.com/sets/ddi" TargetMode="External"/><Relationship Id="rId80" Type="http://schemas.openxmlformats.org/officeDocument/2006/relationships/hyperlink" Target="https://scryfall.com/sets/pspm" TargetMode="External"/><Relationship Id="rId604" Type="http://schemas.openxmlformats.org/officeDocument/2006/relationships/hyperlink" Target="https://scryfall.com/sets/awoe" TargetMode="External"/><Relationship Id="rId811" Type="http://schemas.openxmlformats.org/officeDocument/2006/relationships/hyperlink" Target="https://scryfall.com/sets/fj22" TargetMode="External"/><Relationship Id="rId1027" Type="http://schemas.openxmlformats.org/officeDocument/2006/relationships/hyperlink" Target="https://scryfall.com/sets/psnc" TargetMode="External"/><Relationship Id="rId1234" Type="http://schemas.openxmlformats.org/officeDocument/2006/relationships/hyperlink" Target="https://scryfall.com/sets/tafc" TargetMode="External"/><Relationship Id="rId1441" Type="http://schemas.openxmlformats.org/officeDocument/2006/relationships/hyperlink" Target="https://scryfall.com/sets/2xm" TargetMode="External"/><Relationship Id="rId1301" Type="http://schemas.openxmlformats.org/officeDocument/2006/relationships/hyperlink" Target="https://scryfall.com/sets/mstx" TargetMode="External"/><Relationship Id="rId3199" Type="http://schemas.openxmlformats.org/officeDocument/2006/relationships/hyperlink" Target="https://scryfall.com/sets/pjas" TargetMode="External"/><Relationship Id="rId3059" Type="http://schemas.openxmlformats.org/officeDocument/2006/relationships/hyperlink" Target="https://scryfall.com/sets/pmps08" TargetMode="External"/><Relationship Id="rId3266" Type="http://schemas.openxmlformats.org/officeDocument/2006/relationships/hyperlink" Target="https://scryfall.com/sets/f05" TargetMode="External"/><Relationship Id="rId3473" Type="http://schemas.openxmlformats.org/officeDocument/2006/relationships/hyperlink" Target="https://scryfall.com/sets/mpr" TargetMode="External"/><Relationship Id="rId187" Type="http://schemas.openxmlformats.org/officeDocument/2006/relationships/hyperlink" Target="https://scryfall.com/sets/ptdm" TargetMode="External"/><Relationship Id="rId394" Type="http://schemas.openxmlformats.org/officeDocument/2006/relationships/hyperlink" Target="https://scryfall.com/sets/smh3" TargetMode="External"/><Relationship Id="rId2075" Type="http://schemas.openxmlformats.org/officeDocument/2006/relationships/hyperlink" Target="https://scryfall.com/sets/tc16" TargetMode="External"/><Relationship Id="rId2282" Type="http://schemas.openxmlformats.org/officeDocument/2006/relationships/hyperlink" Target="https://scryfall.com/sets/l15" TargetMode="External"/><Relationship Id="rId3126" Type="http://schemas.openxmlformats.org/officeDocument/2006/relationships/hyperlink" Target="https://scryfall.com/sets/pplc" TargetMode="External"/><Relationship Id="rId3680" Type="http://schemas.openxmlformats.org/officeDocument/2006/relationships/hyperlink" Target="https://scryfall.com/sets/5ed" TargetMode="External"/><Relationship Id="rId254" Type="http://schemas.openxmlformats.org/officeDocument/2006/relationships/hyperlink" Target="https://scryfall.com/sets/tinr" TargetMode="External"/><Relationship Id="rId1091" Type="http://schemas.openxmlformats.org/officeDocument/2006/relationships/hyperlink" Target="https://scryfall.com/sets/mneo" TargetMode="External"/><Relationship Id="rId3333" Type="http://schemas.openxmlformats.org/officeDocument/2006/relationships/hyperlink" Target="https://scryfall.com/sets/wc03" TargetMode="External"/><Relationship Id="rId3540" Type="http://schemas.openxmlformats.org/officeDocument/2006/relationships/hyperlink" Target="https://scryfall.com/sets/mmq" TargetMode="External"/><Relationship Id="rId114" Type="http://schemas.openxmlformats.org/officeDocument/2006/relationships/hyperlink" Target="https://scryfall.com/sets/eoe" TargetMode="External"/><Relationship Id="rId461" Type="http://schemas.openxmlformats.org/officeDocument/2006/relationships/hyperlink" Target="https://scryfall.com/sets/tpip" TargetMode="External"/><Relationship Id="rId2142" Type="http://schemas.openxmlformats.org/officeDocument/2006/relationships/hyperlink" Target="https://scryfall.com/sets/tsoi" TargetMode="External"/><Relationship Id="rId3400" Type="http://schemas.openxmlformats.org/officeDocument/2006/relationships/hyperlink" Target="https://scryfall.com/sets/jp1/ja" TargetMode="External"/><Relationship Id="rId321" Type="http://schemas.openxmlformats.org/officeDocument/2006/relationships/hyperlink" Target="https://scryfall.com/sets/tdsc" TargetMode="External"/><Relationship Id="rId2002" Type="http://schemas.openxmlformats.org/officeDocument/2006/relationships/hyperlink" Target="https://scryfall.com/sets/pakh" TargetMode="External"/><Relationship Id="rId2959" Type="http://schemas.openxmlformats.org/officeDocument/2006/relationships/hyperlink" Target="https://scryfall.com/sets/tddc" TargetMode="External"/><Relationship Id="rId1768" Type="http://schemas.openxmlformats.org/officeDocument/2006/relationships/hyperlink" Target="https://scryfall.com/sets/xana" TargetMode="External"/><Relationship Id="rId2819" Type="http://schemas.openxmlformats.org/officeDocument/2006/relationships/hyperlink" Target="https://scryfall.com/sets/v10" TargetMode="External"/><Relationship Id="rId1628" Type="http://schemas.openxmlformats.org/officeDocument/2006/relationships/hyperlink" Target="https://scryfall.com/sets/pm20" TargetMode="External"/><Relationship Id="rId1975" Type="http://schemas.openxmlformats.org/officeDocument/2006/relationships/hyperlink" Target="https://scryfall.com/sets/e01" TargetMode="External"/><Relationship Id="rId3190" Type="http://schemas.openxmlformats.org/officeDocument/2006/relationships/hyperlink" Target="https://scryfall.com/sets/pmps06" TargetMode="External"/><Relationship Id="rId1835" Type="http://schemas.openxmlformats.org/officeDocument/2006/relationships/hyperlink" Target="https://scryfall.com/sets/pdom" TargetMode="External"/><Relationship Id="rId3050" Type="http://schemas.openxmlformats.org/officeDocument/2006/relationships/hyperlink" Target="https://scryfall.com/sets/pmor" TargetMode="External"/><Relationship Id="rId1902" Type="http://schemas.openxmlformats.org/officeDocument/2006/relationships/hyperlink" Target="https://scryfall.com/sets/ima" TargetMode="External"/><Relationship Id="rId788" Type="http://schemas.openxmlformats.org/officeDocument/2006/relationships/hyperlink" Target="https://scryfall.com/sets/pw23" TargetMode="External"/><Relationship Id="rId995" Type="http://schemas.openxmlformats.org/officeDocument/2006/relationships/hyperlink" Target="https://scryfall.com/sets/plg22" TargetMode="External"/><Relationship Id="rId2469" Type="http://schemas.openxmlformats.org/officeDocument/2006/relationships/hyperlink" Target="https://scryfall.com/sets/ths" TargetMode="External"/><Relationship Id="rId2676" Type="http://schemas.openxmlformats.org/officeDocument/2006/relationships/hyperlink" Target="https://scryfall.com/sets/pd3" TargetMode="External"/><Relationship Id="rId2883" Type="http://schemas.openxmlformats.org/officeDocument/2006/relationships/hyperlink" Target="https://scryfall.com/sets/g10" TargetMode="External"/><Relationship Id="rId3727" Type="http://schemas.openxmlformats.org/officeDocument/2006/relationships/hyperlink" Target="https://scryfall.com/sets/hml" TargetMode="External"/><Relationship Id="rId648" Type="http://schemas.openxmlformats.org/officeDocument/2006/relationships/hyperlink" Target="https://scryfall.com/sets/ltc" TargetMode="External"/><Relationship Id="rId855" Type="http://schemas.openxmlformats.org/officeDocument/2006/relationships/hyperlink" Target="https://scryfall.com/sets/ybro" TargetMode="External"/><Relationship Id="rId1278" Type="http://schemas.openxmlformats.org/officeDocument/2006/relationships/hyperlink" Target="https://scryfall.com/sets/ha5" TargetMode="External"/><Relationship Id="rId1485" Type="http://schemas.openxmlformats.org/officeDocument/2006/relationships/hyperlink" Target="https://scryfall.com/sets/ha3" TargetMode="External"/><Relationship Id="rId1692" Type="http://schemas.openxmlformats.org/officeDocument/2006/relationships/hyperlink" Target="https://scryfall.com/sets/prw2" TargetMode="External"/><Relationship Id="rId2329" Type="http://schemas.openxmlformats.org/officeDocument/2006/relationships/hyperlink" Target="https://scryfall.com/sets/tc14" TargetMode="External"/><Relationship Id="rId2536" Type="http://schemas.openxmlformats.org/officeDocument/2006/relationships/hyperlink" Target="https://scryfall.com/sets/ddk" TargetMode="External"/><Relationship Id="rId2743" Type="http://schemas.openxmlformats.org/officeDocument/2006/relationships/hyperlink" Target="https://scryfall.com/sets/tddg" TargetMode="External"/><Relationship Id="rId508" Type="http://schemas.openxmlformats.org/officeDocument/2006/relationships/hyperlink" Target="https://scryfall.com/sets/rvr" TargetMode="External"/><Relationship Id="rId715" Type="http://schemas.openxmlformats.org/officeDocument/2006/relationships/hyperlink" Target="https://scryfall.com/sets/smom" TargetMode="External"/><Relationship Id="rId922" Type="http://schemas.openxmlformats.org/officeDocument/2006/relationships/hyperlink" Target="https://scryfall.com/sets/dmu" TargetMode="External"/><Relationship Id="rId1138" Type="http://schemas.openxmlformats.org/officeDocument/2006/relationships/hyperlink" Target="https://scryfall.com/sets/mvow" TargetMode="External"/><Relationship Id="rId1345" Type="http://schemas.openxmlformats.org/officeDocument/2006/relationships/hyperlink" Target="https://scryfall.com/sets/mkhm" TargetMode="External"/><Relationship Id="rId1552" Type="http://schemas.openxmlformats.org/officeDocument/2006/relationships/hyperlink" Target="https://scryfall.com/sets/slp" TargetMode="External"/><Relationship Id="rId2603" Type="http://schemas.openxmlformats.org/officeDocument/2006/relationships/hyperlink" Target="https://scryfall.com/sets/pm13" TargetMode="External"/><Relationship Id="rId2950" Type="http://schemas.openxmlformats.org/officeDocument/2006/relationships/hyperlink" Target="https://scryfall.com/sets/tarb" TargetMode="External"/><Relationship Id="rId1205" Type="http://schemas.openxmlformats.org/officeDocument/2006/relationships/hyperlink" Target="https://scryfall.com/sets/ph20" TargetMode="External"/><Relationship Id="rId2810" Type="http://schemas.openxmlformats.org/officeDocument/2006/relationships/hyperlink" Target="https://scryfall.com/sets/ddf" TargetMode="External"/><Relationship Id="rId51" Type="http://schemas.openxmlformats.org/officeDocument/2006/relationships/hyperlink" Target="https://scryfall.com/sets/jtla" TargetMode="External"/><Relationship Id="rId1412" Type="http://schemas.openxmlformats.org/officeDocument/2006/relationships/hyperlink" Target="https://scryfall.com/sets/mznr" TargetMode="External"/><Relationship Id="rId3377" Type="http://schemas.openxmlformats.org/officeDocument/2006/relationships/hyperlink" Target="https://scryfall.com/sets/p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botbox.dev/products/dsk/Duskmourn%20House%20of%20Horror%20Play%20Booster%20Pack?exc=0" TargetMode="External"/><Relationship Id="rId21" Type="http://schemas.openxmlformats.org/officeDocument/2006/relationships/hyperlink" Target="https://botbox.dev/products/tla/Avatar%20The%20Last%20Airbender%20Play%20Booster%20Pack?exc=0" TargetMode="External"/><Relationship Id="rId42" Type="http://schemas.openxmlformats.org/officeDocument/2006/relationships/hyperlink" Target="https://botbox.dev/products/snc/Streets%20of%20New%20Capenna%20Set%20Booster%20Pack?exc=0" TargetMode="External"/><Relationship Id="rId47" Type="http://schemas.openxmlformats.org/officeDocument/2006/relationships/hyperlink" Target="https://botbox.dev/products/lci/The%20Lost%20Caverns%20of%20Ixalan%20Set%20Booster%20Pack?exc=0" TargetMode="External"/><Relationship Id="rId63" Type="http://schemas.openxmlformats.org/officeDocument/2006/relationships/hyperlink" Target="https://botbox.dev/products/inr/Innistrad%20Remastered%20Collector%20Booster%20Pack?exc=0" TargetMode="External"/><Relationship Id="rId68" Type="http://schemas.openxmlformats.org/officeDocument/2006/relationships/hyperlink" Target="https://botbox.dev/products/mom/March%20of%20the%20Machine%20Collector%20Booster%20Pack?exc=0" TargetMode="External"/><Relationship Id="rId84" Type="http://schemas.openxmlformats.org/officeDocument/2006/relationships/comments" Target="../comments1.xml"/><Relationship Id="rId16" Type="http://schemas.openxmlformats.org/officeDocument/2006/relationships/hyperlink" Target="https://www.mtgstocks.com/sets/324-war-of-the-spark" TargetMode="External"/><Relationship Id="rId11" Type="http://schemas.openxmlformats.org/officeDocument/2006/relationships/hyperlink" Target="https://www.mtgstocks.com/sets/1903-modern-horizons-3" TargetMode="External"/><Relationship Id="rId32" Type="http://schemas.openxmlformats.org/officeDocument/2006/relationships/hyperlink" Target="https://botbox.dev/products/vow/Innistrad%20Crimson%20Vow%20Set%20Booster%20Pack?exc=0" TargetMode="External"/><Relationship Id="rId37" Type="http://schemas.openxmlformats.org/officeDocument/2006/relationships/hyperlink" Target="https://botbox.dev/products/mkm/Murders%20at%20Karlov%20Manor%20Play%20Booster%20Pack?exc=0" TargetMode="External"/><Relationship Id="rId53" Type="http://schemas.openxmlformats.org/officeDocument/2006/relationships/hyperlink" Target="https://botbox.dev/products/acr/Assassins%20Creed%20Collector%20Booster%20Pack?exc=0" TargetMode="External"/><Relationship Id="rId58" Type="http://schemas.openxmlformats.org/officeDocument/2006/relationships/hyperlink" Target="https://botbox.dev/products/dmu/Dominaria%20United%20Collector%20Booster%20Pack?exc=0" TargetMode="External"/><Relationship Id="rId74" Type="http://schemas.openxmlformats.org/officeDocument/2006/relationships/hyperlink" Target="https://botbox.dev/products/rvr/Ravnica%20Remastered%20Collector%20Booster%20Pack?exc=0" TargetMode="External"/><Relationship Id="rId79" Type="http://schemas.openxmlformats.org/officeDocument/2006/relationships/hyperlink" Target="https://botbox.dev/products/ltr/The%20Lord%20of%20the%20Rings%20Tales%20of%20Middle%20earth%20Collector%20Booster%20Pack?exc=0" TargetMode="External"/><Relationship Id="rId5" Type="http://schemas.openxmlformats.org/officeDocument/2006/relationships/hyperlink" Target="https://www.mtgstocks.com/sets/291-dominaria" TargetMode="External"/><Relationship Id="rId61" Type="http://schemas.openxmlformats.org/officeDocument/2006/relationships/hyperlink" Target="https://botbox.dev/products/fin/Final%20Fantasy%20Collector%20Booster%20Pack?exc=0" TargetMode="External"/><Relationship Id="rId82" Type="http://schemas.openxmlformats.org/officeDocument/2006/relationships/vmlDrawing" Target="../drawings/vmlDrawing1.vml"/><Relationship Id="rId19" Type="http://schemas.openxmlformats.org/officeDocument/2006/relationships/hyperlink" Target="https://botbox.dev/products/dft/Aetherdrift%20Play%20Booster%20Pack?exc=0" TargetMode="External"/><Relationship Id="rId14" Type="http://schemas.openxmlformats.org/officeDocument/2006/relationships/hyperlink" Target="https://www.mtgstocks.com/sets/1901-outlaws-of-thunder-junction" TargetMode="External"/><Relationship Id="rId22" Type="http://schemas.openxmlformats.org/officeDocument/2006/relationships/hyperlink" Target="https://botbox.dev/products/blb/Bloomburrow%20Play%20Booster%20Pack?exc=0" TargetMode="External"/><Relationship Id="rId27" Type="http://schemas.openxmlformats.org/officeDocument/2006/relationships/hyperlink" Target="https://botbox.dev/products/eoe/Edge%20of%20Eternities%20Play%20Booster%20Pack?exc=0" TargetMode="External"/><Relationship Id="rId30" Type="http://schemas.openxmlformats.org/officeDocument/2006/relationships/hyperlink" Target="https://botbox.dev/products/inr/Innistrad%20Remastered%20Play%20Booster%20Pack?exc=0" TargetMode="External"/><Relationship Id="rId35" Type="http://schemas.openxmlformats.org/officeDocument/2006/relationships/hyperlink" Target="https://botbox.dev/products/mom/March%20of%20the%20Machine%20Set%20Booster%20Pack?exc=0" TargetMode="External"/><Relationship Id="rId43" Type="http://schemas.openxmlformats.org/officeDocument/2006/relationships/hyperlink" Target="https://botbox.dev/products/stx/Strixhaven%20School%20of%20Mages%20Set%20Booster%20Pack?exc=0" TargetMode="External"/><Relationship Id="rId48" Type="http://schemas.openxmlformats.org/officeDocument/2006/relationships/hyperlink" Target="https://botbox.dev/products/eld/Throne%20of%20Eldraine%20Draft%20Booster%20Pack?exc=0" TargetMode="External"/><Relationship Id="rId56" Type="http://schemas.openxmlformats.org/officeDocument/2006/relationships/hyperlink" Target="https://botbox.dev/products/blb/Bloomburrow%20Collector%20Booster%20Pack?exc=0" TargetMode="External"/><Relationship Id="rId64" Type="http://schemas.openxmlformats.org/officeDocument/2006/relationships/hyperlink" Target="https://botbox.dev/products/mid/Innistrad%20Midnight%20Hunt%20Collector%20Booster%20Pack?exc=0" TargetMode="External"/><Relationship Id="rId69" Type="http://schemas.openxmlformats.org/officeDocument/2006/relationships/hyperlink" Target="https://botbox.dev/products/spm/Marvels%20Spider%20Man%20Collector%20Booster%20Pack?exc=0" TargetMode="External"/><Relationship Id="rId77" Type="http://schemas.openxmlformats.org/officeDocument/2006/relationships/hyperlink" Target="https://botbox.dev/products/tdm/Tarkir%20Dragonstorm%20Collector%20Booster%20Pack?exc=0" TargetMode="External"/><Relationship Id="rId8" Type="http://schemas.openxmlformats.org/officeDocument/2006/relationships/hyperlink" Target="https://www.mtgstocks.com/sets/2098-innistrad-remastered" TargetMode="External"/><Relationship Id="rId51" Type="http://schemas.openxmlformats.org/officeDocument/2006/relationships/hyperlink" Target="https://botbox.dev/products/woe/Wilds%20of%20Eldraine%20Collector%20Booster%20Pack?exc=0" TargetMode="External"/><Relationship Id="rId72" Type="http://schemas.openxmlformats.org/officeDocument/2006/relationships/hyperlink" Target="https://botbox.dev/products/mkm/Murders%20at%20Karlov%20Manor%20Collector%20Booster%20Pack?exc=0" TargetMode="External"/><Relationship Id="rId80" Type="http://schemas.openxmlformats.org/officeDocument/2006/relationships/hyperlink" Target="https://botbox.dev/products/lci/The%20Lost%20Caverns%20of%20Ixalan%20Collector%20Booster%20Pack?exc=0" TargetMode="External"/><Relationship Id="rId3" Type="http://schemas.openxmlformats.org/officeDocument/2006/relationships/hyperlink" Target="https://www.mtgstocks.com/sets/1906-bloomburrow" TargetMode="External"/><Relationship Id="rId12" Type="http://schemas.openxmlformats.org/officeDocument/2006/relationships/hyperlink" Target="https://www.mtgstocks.com/sets/1868-murders-at-karlov-manor" TargetMode="External"/><Relationship Id="rId17" Type="http://schemas.openxmlformats.org/officeDocument/2006/relationships/hyperlink" Target="https://botbox.dev/products/mh3/Modern%20Horizons%203%20Play%20Booster%20Pack?exc=0" TargetMode="External"/><Relationship Id="rId25" Type="http://schemas.openxmlformats.org/officeDocument/2006/relationships/hyperlink" Target="https://botbox.dev/products/dmu/Dominaria%20United%20Set%20Booster%20Pack?exc=0" TargetMode="External"/><Relationship Id="rId33" Type="http://schemas.openxmlformats.org/officeDocument/2006/relationships/hyperlink" Target="https://botbox.dev/products/khm/Kaldheim%20Set%20Booster%20Pack?exc=0" TargetMode="External"/><Relationship Id="rId38" Type="http://schemas.openxmlformats.org/officeDocument/2006/relationships/hyperlink" Target="https://botbox.dev/products/ogw/Oath%20of%20the%20Gatewatch%20Booster%20Pack?exc=0" TargetMode="External"/><Relationship Id="rId46" Type="http://schemas.openxmlformats.org/officeDocument/2006/relationships/hyperlink" Target="https://botbox.dev/products/ltr/The%20Lord%20of%20the%20Rings%20Tales%20of%20Middle%20earth%20Set%20Booster%20Pack?exc=0" TargetMode="External"/><Relationship Id="rId59" Type="http://schemas.openxmlformats.org/officeDocument/2006/relationships/hyperlink" Target="https://botbox.dev/products/dsk/Duskmourn%20House%20of%20Horror%20Collector%20Booster%20Pack?exc=0" TargetMode="External"/><Relationship Id="rId67" Type="http://schemas.openxmlformats.org/officeDocument/2006/relationships/hyperlink" Target="https://botbox.dev/products/neo/Kamigawa%20Neon%20Dynasty%20Collector%20Booster%20Pack?exc=0" TargetMode="External"/><Relationship Id="rId20" Type="http://schemas.openxmlformats.org/officeDocument/2006/relationships/hyperlink" Target="https://botbox.dev/products/acr/Assassins%20Creed%20Beyond%20Booster%20Pack?exc=0" TargetMode="External"/><Relationship Id="rId41" Type="http://schemas.openxmlformats.org/officeDocument/2006/relationships/hyperlink" Target="https://botbox.dev/products/rvr/Ravnica%20Remastered%20Draft%20Booster%20Pack?exc=0" TargetMode="External"/><Relationship Id="rId54" Type="http://schemas.openxmlformats.org/officeDocument/2006/relationships/hyperlink" Target="https://botbox.dev/products/tla/Avatar%20The%20Last%20Airbender%20Collector%20Booster%20Pack?exc=0" TargetMode="External"/><Relationship Id="rId62" Type="http://schemas.openxmlformats.org/officeDocument/2006/relationships/hyperlink" Target="https://botbox.dev/products/fdn/Foundations%20Collector%20Booster%20Pack?exc=0" TargetMode="External"/><Relationship Id="rId70" Type="http://schemas.openxmlformats.org/officeDocument/2006/relationships/hyperlink" Target="https://botbox.dev/products/mh2/Modern%20Horizons%202%20Collector%20Booster%20Pack?exc=0" TargetMode="External"/><Relationship Id="rId75" Type="http://schemas.openxmlformats.org/officeDocument/2006/relationships/hyperlink" Target="https://botbox.dev/products/snc/Streets%20of%20New%20Capenna%20Collector%20Booster%20Pack?exc=0" TargetMode="External"/><Relationship Id="rId83" Type="http://schemas.openxmlformats.org/officeDocument/2006/relationships/table" Target="../tables/table5.xml"/><Relationship Id="rId1" Type="http://schemas.openxmlformats.org/officeDocument/2006/relationships/hyperlink" Target="https://www.mtgstocks.com/sets/2231-edge-of-eternities" TargetMode="External"/><Relationship Id="rId6" Type="http://schemas.openxmlformats.org/officeDocument/2006/relationships/hyperlink" Target="https://www.mtgstocks.com/sets/1998-duskmourn-house-of-horror" TargetMode="External"/><Relationship Id="rId15" Type="http://schemas.openxmlformats.org/officeDocument/2006/relationships/hyperlink" Target="https://www.mtgstocks.com/sets/2229-tarkir-dragonstorm" TargetMode="External"/><Relationship Id="rId23" Type="http://schemas.openxmlformats.org/officeDocument/2006/relationships/hyperlink" Target="https://botbox.dev/products/cmm/Commander%20Masters%20Set%20Booster%20Pack?exc=0" TargetMode="External"/><Relationship Id="rId28" Type="http://schemas.openxmlformats.org/officeDocument/2006/relationships/hyperlink" Target="https://botbox.dev/products/fin/Final%20Fantasy%20Play%20Booster%20Pack?exc=0" TargetMode="External"/><Relationship Id="rId36" Type="http://schemas.openxmlformats.org/officeDocument/2006/relationships/hyperlink" Target="https://botbox.dev/products/spm/Marvels%20Spider%20Man%20Play%20Booster%20Pack?exc=0" TargetMode="External"/><Relationship Id="rId49" Type="http://schemas.openxmlformats.org/officeDocument/2006/relationships/hyperlink" Target="https://botbox.dev/products/war/War%20of%20the%20Spark%20Booster%20Pack?exc=0" TargetMode="External"/><Relationship Id="rId57" Type="http://schemas.openxmlformats.org/officeDocument/2006/relationships/hyperlink" Target="https://botbox.dev/products/cmm/Commander%20Masters%20Collector%20Booster%20Pack?exc=0" TargetMode="External"/><Relationship Id="rId10" Type="http://schemas.openxmlformats.org/officeDocument/2006/relationships/hyperlink" Target="https://www.mtgstocks.com/sets/363-modern-horizons-2" TargetMode="External"/><Relationship Id="rId31" Type="http://schemas.openxmlformats.org/officeDocument/2006/relationships/hyperlink" Target="https://botbox.dev/products/mid/Innistrad%20Midnight%20Hunt%20Set%20Booster%20Pack?exc=0" TargetMode="External"/><Relationship Id="rId44" Type="http://schemas.openxmlformats.org/officeDocument/2006/relationships/hyperlink" Target="https://botbox.dev/products/tdm/Tarkir%20Dragonstorm%20Play%20Booster%20Pack?exc=0" TargetMode="External"/><Relationship Id="rId52" Type="http://schemas.openxmlformats.org/officeDocument/2006/relationships/hyperlink" Target="https://botbox.dev/products/dft/Aetherdrift%20Collector%20Booster%20Pack?exc=0" TargetMode="External"/><Relationship Id="rId60" Type="http://schemas.openxmlformats.org/officeDocument/2006/relationships/hyperlink" Target="https://botbox.dev/products/eoe/Edge%20of%20Eternities%20Collector%20Booster%20Pack?exc=0" TargetMode="External"/><Relationship Id="rId65" Type="http://schemas.openxmlformats.org/officeDocument/2006/relationships/hyperlink" Target="https://botbox.dev/products/vow/Innistrad%20Crimson%20Vow%20Collector%20Booster%20Pack?exc=0" TargetMode="External"/><Relationship Id="rId73" Type="http://schemas.openxmlformats.org/officeDocument/2006/relationships/hyperlink" Target="https://botbox.dev/products/one/Phyrexia%20All%20Will%20Be%20One%20Collector%20Booster%20Pack?exc=0" TargetMode="External"/><Relationship Id="rId78" Type="http://schemas.openxmlformats.org/officeDocument/2006/relationships/hyperlink" Target="https://botbox.dev/products/bro/The%20Brothers'%20War%20Collector%20Booster%20Pack?exc=0" TargetMode="External"/><Relationship Id="rId81" Type="http://schemas.openxmlformats.org/officeDocument/2006/relationships/hyperlink" Target="https://botbox.dev/products/eld/Throne%20of%20Eldraine%20Collector%20Booster%20Pack?exc=0" TargetMode="External"/><Relationship Id="rId4" Type="http://schemas.openxmlformats.org/officeDocument/2006/relationships/hyperlink" Target="https://www.mtgstocks.com/sets/1377-avatar-the-last-airbender" TargetMode="External"/><Relationship Id="rId9" Type="http://schemas.openxmlformats.org/officeDocument/2006/relationships/hyperlink" Target="https://www.mtgstocks.com/sets/2262-marvels-spider-man" TargetMode="External"/><Relationship Id="rId13" Type="http://schemas.openxmlformats.org/officeDocument/2006/relationships/hyperlink" Target="https://www.mtgstocks.com/sets/255-oath-of-the-gatewatch" TargetMode="External"/><Relationship Id="rId18" Type="http://schemas.openxmlformats.org/officeDocument/2006/relationships/hyperlink" Target="https://botbox.dev/products/mh2/Modern%20Horizons%202%20Set%20Booster%20Pack?exc=0" TargetMode="External"/><Relationship Id="rId39" Type="http://schemas.openxmlformats.org/officeDocument/2006/relationships/hyperlink" Target="https://botbox.dev/products/otj/Outlaws%20of%20Thunder%20Junction%20Play%20Booster%20Pack?exc=0" TargetMode="External"/><Relationship Id="rId34" Type="http://schemas.openxmlformats.org/officeDocument/2006/relationships/hyperlink" Target="https://botbox.dev/products/neo/Kamigawa%20Neon%20Dynasty%20Set%20Booster%20Pack?exc=0" TargetMode="External"/><Relationship Id="rId50" Type="http://schemas.openxmlformats.org/officeDocument/2006/relationships/hyperlink" Target="https://botbox.dev/products/woe/Wilds%20of%20Eldraine%20Set%20Booster%20Pack?exc=0" TargetMode="External"/><Relationship Id="rId55" Type="http://schemas.openxmlformats.org/officeDocument/2006/relationships/hyperlink" Target="https://botbox.dev/products/otj/Outlaws%20of%20Thunder%20Junction%20Collector%20Booster%20Pack?exc=0" TargetMode="External"/><Relationship Id="rId76" Type="http://schemas.openxmlformats.org/officeDocument/2006/relationships/hyperlink" Target="https://botbox.dev/products/stx/Strixhaven%20School%20of%20Mages%20Collector%20Booster%20Pack?exc=0" TargetMode="External"/><Relationship Id="rId7" Type="http://schemas.openxmlformats.org/officeDocument/2006/relationships/hyperlink" Target="https://www.mtgstocks.com/sets/2197-universes-beyond-final-fantasy" TargetMode="External"/><Relationship Id="rId71" Type="http://schemas.openxmlformats.org/officeDocument/2006/relationships/hyperlink" Target="https://botbox.dev/products/mh3/Modern%20Horizons%203%20Collector%20Booster%20Pack?exc=0" TargetMode="External"/><Relationship Id="rId2" Type="http://schemas.openxmlformats.org/officeDocument/2006/relationships/hyperlink" Target="https://www.mtgstocks.com/sets/2097-aetherdrift" TargetMode="External"/><Relationship Id="rId29" Type="http://schemas.openxmlformats.org/officeDocument/2006/relationships/hyperlink" Target="https://botbox.dev/products/fdn/Foundations%20Play%20Booster%20Pack?exc=0" TargetMode="External"/><Relationship Id="rId24" Type="http://schemas.openxmlformats.org/officeDocument/2006/relationships/hyperlink" Target="https://botbox.dev/products/dom/Dominaria%20Booster%20Pack?exc=0" TargetMode="External"/><Relationship Id="rId40" Type="http://schemas.openxmlformats.org/officeDocument/2006/relationships/hyperlink" Target="https://botbox.dev/products/one/Phyrexia%20All%20Will%20Be%20One%20Set%20Booster%20Pack?exc=0" TargetMode="External"/><Relationship Id="rId45" Type="http://schemas.openxmlformats.org/officeDocument/2006/relationships/hyperlink" Target="https://botbox.dev/products/bro/The%20Brothers'%20War%20Set%20Booster%20Pack?exc=0" TargetMode="External"/><Relationship Id="rId66" Type="http://schemas.openxmlformats.org/officeDocument/2006/relationships/hyperlink" Target="https://botbox.dev/products/khm/Kaldheim%20Collector%20Booster%20Pack?exc=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ardmarket.com/en/Magic/Products/Boosters/Edge-of-Eternities-Collector-Booster?sellerCountry=13&amp;language=1" TargetMode="External"/><Relationship Id="rId671" Type="http://schemas.openxmlformats.org/officeDocument/2006/relationships/hyperlink" Target="https://www.loadeddice.uk/products/magic-the-gathering-innistrad-remastered-collector-booster-box-release-date-24-01-25" TargetMode="External"/><Relationship Id="rId21" Type="http://schemas.openxmlformats.org/officeDocument/2006/relationships/hyperlink" Target="https://www.cardmarket.com/en/Magic/Products/Booster-Boxes/Murders-at-Karlov-Manor-Play-Booster-Box?sellerCountry=13&amp;language=1" TargetMode="External"/><Relationship Id="rId324" Type="http://schemas.openxmlformats.org/officeDocument/2006/relationships/hyperlink" Target="https://collect.thegamecollection.net/products/magic-the-gathering-outlaws-of-thunder-junction-play-booster-36-count" TargetMode="External"/><Relationship Id="rId531" Type="http://schemas.openxmlformats.org/officeDocument/2006/relationships/hyperlink" Target="https://gatheringgames.co.uk/products/magic-the-gathering-nnistrad-remastered-collector-booster-box" TargetMode="External"/><Relationship Id="rId629" Type="http://schemas.openxmlformats.org/officeDocument/2006/relationships/hyperlink" Target="https://www.firestormgames.co.uk/mtg:-marvel-super-heroes-commander-deck---doom-prevails" TargetMode="External"/><Relationship Id="rId170" Type="http://schemas.openxmlformats.org/officeDocument/2006/relationships/hyperlink" Target="https://www.gameslore.com/mtg-commander-masters-commander-planeswalker-party-deck.html" TargetMode="External"/><Relationship Id="rId268" Type="http://schemas.openxmlformats.org/officeDocument/2006/relationships/hyperlink" Target="https://www.newrealitiesgaming.com/product/magic-the-gathering-edge-of-eternities-collector-booster-box/2864?cp=true&amp;sa=false&amp;sbp=false&amp;q=false&amp;category_id=LFRBPSLQVSXEQAZ7GZ4Y7DIU" TargetMode="External"/><Relationship Id="rId475" Type="http://schemas.openxmlformats.org/officeDocument/2006/relationships/hyperlink" Target="https://ashdowngaming.co.uk/collections/magic-the-gathering/products/lorwyn-eclipsed-commander-decks-dance-of-the-elements" TargetMode="External"/><Relationship Id="rId682" Type="http://schemas.openxmlformats.org/officeDocument/2006/relationships/hyperlink" Target="https://travellingman.com/collections/magic-the-gathering/products/magic-the-gathering-outlaws-of-thunder-junction-play-booster-box" TargetMode="External"/><Relationship Id="rId32" Type="http://schemas.openxmlformats.org/officeDocument/2006/relationships/hyperlink" Target="https://www.chaoscards.co.uk/prod/booster-boxes-magic/magic-the-gathering-the-brothers-war-collector-booster-box-12-packs" TargetMode="External"/><Relationship Id="rId128" Type="http://schemas.openxmlformats.org/officeDocument/2006/relationships/hyperlink" Target="https://www.cardmarket.com/en/Magic/Products/Boosters/March-of-the-Machine-Collector-Booster?sellerCountry=13&amp;language=1" TargetMode="External"/><Relationship Id="rId335" Type="http://schemas.openxmlformats.org/officeDocument/2006/relationships/hyperlink" Target="https://distro.gg/products/magic-the-gathering-tmnt-play-booster-box" TargetMode="External"/><Relationship Id="rId542" Type="http://schemas.openxmlformats.org/officeDocument/2006/relationships/hyperlink" Target="https://gatheringgames.co.uk/products/magic-the-gathering-murders-at-karlov-manor-collector-booster-box" TargetMode="External"/><Relationship Id="rId181" Type="http://schemas.openxmlformats.org/officeDocument/2006/relationships/hyperlink" Target="https://magicmadhouse.co.uk/magic-the-gathering-aetherdrift-commander-deck-living-energy-aetherdrift" TargetMode="External"/><Relationship Id="rId402" Type="http://schemas.openxmlformats.org/officeDocument/2006/relationships/hyperlink" Target="https://totalcards.net/collections/magic-the-gathering-booster-boxes/products/magic-the-gathering-innistrad-crimson-vow-collector-booster-box-12-packs" TargetMode="External"/><Relationship Id="rId279" Type="http://schemas.openxmlformats.org/officeDocument/2006/relationships/hyperlink" Target="https://www.newrealitiesgaming.com/product/magic-the-gathering-marvel-s-spider-man-play-booster-box/2881?cp=true&amp;sa=false&amp;sbp=false&amp;q=false&amp;category_id=LFRBPSLQVSXEQAZ7GZ4Y7DIU" TargetMode="External"/><Relationship Id="rId486" Type="http://schemas.openxmlformats.org/officeDocument/2006/relationships/hyperlink" Target="https://ashdowngaming.co.uk/collections/magic-the-gathering/products/magic-the-gathering-modern-horizons-3-commander-deck-graveyard-overdrive" TargetMode="External"/><Relationship Id="rId693" Type="http://schemas.openxmlformats.org/officeDocument/2006/relationships/hyperlink" Target="https://travellingman.com/collections/magic-the-gathering/products/magic-the-gathering-dominaria-united-collector-booster-box" TargetMode="External"/><Relationship Id="rId707" Type="http://schemas.openxmlformats.org/officeDocument/2006/relationships/hyperlink" Target="https://travellingman.com/collections/magic-the-gathering/products/magic-the-gathering-lorwyn-eclipsed-collector-booster-box" TargetMode="External"/><Relationship Id="rId43" Type="http://schemas.openxmlformats.org/officeDocument/2006/relationships/hyperlink" Target="https://www.chaoscards.co.uk/prod/booster-boxes-magic/magic-the-gathering-lorwyn-eclipsed-collector-booster-box-12-packs" TargetMode="External"/><Relationship Id="rId139" Type="http://schemas.openxmlformats.org/officeDocument/2006/relationships/hyperlink" Target="https://www.gameslore.com/mtg-streets-of-new-capenna-collector-booster-display.html" TargetMode="External"/><Relationship Id="rId346" Type="http://schemas.openxmlformats.org/officeDocument/2006/relationships/hyperlink" Target="https://distro.gg/products/magic-the-gathering-kamigawa-neon-dynasty-set-booster-box-30-packs" TargetMode="External"/><Relationship Id="rId553" Type="http://schemas.openxmlformats.org/officeDocument/2006/relationships/hyperlink" Target="https://gatheringgames.co.uk/products/magic-the-gathering-wilds-of-eldraine-set-booster-box" TargetMode="External"/><Relationship Id="rId192" Type="http://schemas.openxmlformats.org/officeDocument/2006/relationships/hyperlink" Target="https://magicmadhouse.co.uk/magic-the-gathering-bloomburrow-commander-deck-animated-army-bloomburrow" TargetMode="External"/><Relationship Id="rId206" Type="http://schemas.openxmlformats.org/officeDocument/2006/relationships/hyperlink" Target="https://magicmadhouse.co.uk/magic-the-gathering-modern-horizons-3-commander-deck-eldrazi-incursion-modern-horizons-3" TargetMode="External"/><Relationship Id="rId413" Type="http://schemas.openxmlformats.org/officeDocument/2006/relationships/hyperlink" Target="https://totalcards.net/collections/magic-the-gathering-booster-boxes/products/magic-the-gathering-lorwyn-eclipsed-play-booster-box-30-packs" TargetMode="External"/><Relationship Id="rId497" Type="http://schemas.openxmlformats.org/officeDocument/2006/relationships/hyperlink" Target="https://jetcards.uk/collections/magic-the-gathering/products/magic-the-gathering-bloomburrow-collector-booster-box-12-packs" TargetMode="External"/><Relationship Id="rId620" Type="http://schemas.openxmlformats.org/officeDocument/2006/relationships/hyperlink" Target="https://www.firestormgames.co.uk/mtg:-innistrad-remastered-play-booster-box" TargetMode="External"/><Relationship Id="rId718" Type="http://schemas.openxmlformats.org/officeDocument/2006/relationships/hyperlink" Target="https://travellingman.com/collections/magic-the-gathering/products/magic-the-gathering-the-lost-caverns-of-ixalan-set-booster-box" TargetMode="External"/><Relationship Id="rId357" Type="http://schemas.openxmlformats.org/officeDocument/2006/relationships/hyperlink" Target="https://axionnow.com/products/final-fantasy-collector-booster-display" TargetMode="External"/><Relationship Id="rId54" Type="http://schemas.openxmlformats.org/officeDocument/2006/relationships/hyperlink" Target="https://www.chaoscards.co.uk/prod/booster-boxes-magic/magic-the-gathering-collector-booster-box-modern-horizons-2" TargetMode="External"/><Relationship Id="rId217" Type="http://schemas.openxmlformats.org/officeDocument/2006/relationships/hyperlink" Target="https://www.chaoscards.co.uk/prod/commander-magic/magic-the-gathering-tarkir-dragonstorm-commander-deck-mardu-surge" TargetMode="External"/><Relationship Id="rId564" Type="http://schemas.openxmlformats.org/officeDocument/2006/relationships/hyperlink" Target="https://www.waylandgames.co.uk/mtg-aetherdrift-commander-deck-living-energy-wtcd41330001-liv" TargetMode="External"/><Relationship Id="rId424" Type="http://schemas.openxmlformats.org/officeDocument/2006/relationships/hyperlink" Target="https://totalcards.net/collections/magic-the-gathering-booster-boxes/products/magic-the-gathering-murders-at-karlov-manor-collector-booster-box-12-packs" TargetMode="External"/><Relationship Id="rId631" Type="http://schemas.openxmlformats.org/officeDocument/2006/relationships/hyperlink" Target="https://www.firestormgames.co.uk/mtg:-marvel-super-heroes-commander-deck---the-fantastic-four" TargetMode="External"/><Relationship Id="rId729" Type="http://schemas.openxmlformats.org/officeDocument/2006/relationships/hyperlink" Target="https://www.chaoscards.co.uk/prod/booster-boxes-magic/magic-the-gathering-kaldheim-set-booster-box-30-pack" TargetMode="External"/><Relationship Id="rId270" Type="http://schemas.openxmlformats.org/officeDocument/2006/relationships/hyperlink" Target="https://www.newrealitiesgaming.com/product/magic-the-gathering-foundations-play-booster-box/1558?cp=true&amp;sa=false&amp;sbp=false&amp;q=false&amp;category_id=LFRBPSLQVSXEQAZ7GZ4Y7DIU" TargetMode="External"/><Relationship Id="rId65" Type="http://schemas.openxmlformats.org/officeDocument/2006/relationships/hyperlink" Target="https://www.cardmarket.com/en/Magic/Products/Booster-Boxes/Innistrad-Crimson-Vow-Collector-Booster-Box?sellerCountry=13&amp;language=1" TargetMode="External"/><Relationship Id="rId130" Type="http://schemas.openxmlformats.org/officeDocument/2006/relationships/hyperlink" Target="https://www.cardmarket.com/en/Magic/Products/Boosters/Modern-Horizons-3-Collector-Booster?sellerCountry=13&amp;language=1" TargetMode="External"/><Relationship Id="rId368" Type="http://schemas.openxmlformats.org/officeDocument/2006/relationships/hyperlink" Target="https://www.hillscards.co.uk/trading-card-games-c78/sealed-products-c92/boosters-c98/magic-the-gathering-teenage-mutant-ninja-turtles-play-booster-sealed-box-of-30-packs-p88721" TargetMode="External"/><Relationship Id="rId575" Type="http://schemas.openxmlformats.org/officeDocument/2006/relationships/hyperlink" Target="https://www.waylandgames.co.uk/mtg-final-fantasy-commander-deck-limit-break-wtcd38450001-c" TargetMode="External"/><Relationship Id="rId228" Type="http://schemas.openxmlformats.org/officeDocument/2006/relationships/hyperlink" Target="https://www.chaoscards.co.uk/prod/commander-magic/magic-the-gathering-universes-beyond-final-fantasy-commander-deck-revival-trance" TargetMode="External"/><Relationship Id="rId435" Type="http://schemas.openxmlformats.org/officeDocument/2006/relationships/hyperlink" Target="https://totalcards.net/collections/magic-the-gathering-booster-boxes/products/magic-the-gathering-strixhaven-school-of-mages-set-booster-box-30-packs" TargetMode="External"/><Relationship Id="rId642" Type="http://schemas.openxmlformats.org/officeDocument/2006/relationships/hyperlink" Target="https://wholesale.hokeypokegames.co.uk/mtg/magic-the-gathering-lorwyn-eclipsed-play-booster-box" TargetMode="External"/><Relationship Id="rId281" Type="http://schemas.openxmlformats.org/officeDocument/2006/relationships/hyperlink" Target="https://www.newrealitiesgaming.com/product/magic-the-gathering-modern-horizons-3-play-booster-box/758?cp=true&amp;sa=false&amp;sbp=false&amp;q=false&amp;category_id=LFRBPSLQVSXEQAZ7GZ4Y7DIU" TargetMode="External"/><Relationship Id="rId502" Type="http://schemas.openxmlformats.org/officeDocument/2006/relationships/hyperlink" Target="https://jetcards.uk/collections/magic-the-gathering/products/magic-the-gathering-bloomburrow-play-booster-box-36-packs" TargetMode="External"/><Relationship Id="rId76" Type="http://schemas.openxmlformats.org/officeDocument/2006/relationships/hyperlink" Target="https://www.cardmarket.com/en/Magic/Products/Booster-Boxes/Modern-Horizons-2-Collector-Booster-Box?sellerCountry=13&amp;language=1" TargetMode="External"/><Relationship Id="rId141" Type="http://schemas.openxmlformats.org/officeDocument/2006/relationships/hyperlink" Target="https://www.gameslore.com/mtg-outlaws-of-thunder-junction-play-booster-display.html" TargetMode="External"/><Relationship Id="rId379" Type="http://schemas.openxmlformats.org/officeDocument/2006/relationships/hyperlink" Target="https://www.doublesleeved.co.uk/products/mtg-aetherdrift-collector-booster-box?_pos=11&amp;_fid=173add3df&amp;_ss=c" TargetMode="External"/><Relationship Id="rId586" Type="http://schemas.openxmlformats.org/officeDocument/2006/relationships/hyperlink" Target="https://www.waylandgames.co.uk/mtg-marvel-super-heroes-commander-deck-avengers-assemble-wtcd53610001-a" TargetMode="External"/><Relationship Id="rId7" Type="http://schemas.openxmlformats.org/officeDocument/2006/relationships/hyperlink" Target="https://www.cardmarket.com/en/Magic/Products/Booster-Boxes/Duskmourn-House-of-Horror-Play-Booster-Box?sellerCountry=13&amp;language=1" TargetMode="External"/><Relationship Id="rId239" Type="http://schemas.openxmlformats.org/officeDocument/2006/relationships/hyperlink" Target="https://www.chaoscards.co.uk/prod/booster-boxes-magic/magic-the-gathering-innistrad-remastered-play-booster-box-36-packs" TargetMode="External"/><Relationship Id="rId446" Type="http://schemas.openxmlformats.org/officeDocument/2006/relationships/hyperlink" Target="https://totalcards.net/collections/magic-the-gathering-booster-boxes/products/magic-the-gathering-throne-of-eldraine-booster-box-36-packs" TargetMode="External"/><Relationship Id="rId653" Type="http://schemas.openxmlformats.org/officeDocument/2006/relationships/hyperlink" Target="https://www.loadeddice.uk/products/magic-the-gathering-tarkir-dragonstorm-commander-deck-mardu-surge-pre-order" TargetMode="External"/><Relationship Id="rId292" Type="http://schemas.openxmlformats.org/officeDocument/2006/relationships/hyperlink" Target="https://www.newrealitiesgaming.com/product/magic-the-gathering-streets-of-new-capenna-commander-deck-maestros-massacre/Q2APUX4BP5DU2Q2BXIMCANW3?cp=true&amp;sa=false&amp;sbp=false&amp;q=false&amp;category_id=WURPHNIAJY3EMKY2GR74TAZH" TargetMode="External"/><Relationship Id="rId306" Type="http://schemas.openxmlformats.org/officeDocument/2006/relationships/hyperlink" Target="https://www.newrealitiesgaming.com/product/magic-the-gathering-doctor-who-commander-deck-timey-wimey/2782?cp=true&amp;sa=false&amp;sbp=false&amp;q=false&amp;category_id=WURPHNIAJY3EMKY2GR74TAZH" TargetMode="External"/><Relationship Id="rId87" Type="http://schemas.openxmlformats.org/officeDocument/2006/relationships/hyperlink" Target="https://www.cardmarket.com/en/Magic/Products/Boosters/Innistrad-Midnight-Hunt-Set-Booster?sellerCountry=13&amp;language=1" TargetMode="External"/><Relationship Id="rId513" Type="http://schemas.openxmlformats.org/officeDocument/2006/relationships/hyperlink" Target="https://gatheringgames.co.uk/products/magic-the-gathering-streets-of-new-capenna-collector-booster-box-12-packs" TargetMode="External"/><Relationship Id="rId597" Type="http://schemas.openxmlformats.org/officeDocument/2006/relationships/hyperlink" Target="https://www.waylandgames.co.uk/mtg-tarkir-dragonstorm-commander-deck-abzan-armor-wtcd42750001-a" TargetMode="External"/><Relationship Id="rId720" Type="http://schemas.openxmlformats.org/officeDocument/2006/relationships/hyperlink" Target="https://travellingman.com/collections/magic-the-gathering/products/magic-the-gathering-teenage-mutant-ninja-turtles-collector-booster-box" TargetMode="External"/><Relationship Id="rId152" Type="http://schemas.openxmlformats.org/officeDocument/2006/relationships/hyperlink" Target="https://www.gameslore.com/mtg-murders-at-karlov-manor-collector-booster-display.html" TargetMode="External"/><Relationship Id="rId457" Type="http://schemas.openxmlformats.org/officeDocument/2006/relationships/hyperlink" Target="https://londonmagictraders.com/products/abzan-armor-commander-deck-tarkir-dragonstorm-mtg-sealed" TargetMode="External"/><Relationship Id="rId664" Type="http://schemas.openxmlformats.org/officeDocument/2006/relationships/hyperlink" Target="https://www.loadeddice.uk/products/mtg-marvel-super-heroes-commander-deck-doom-prevails" TargetMode="External"/><Relationship Id="rId14" Type="http://schemas.openxmlformats.org/officeDocument/2006/relationships/hyperlink" Target="https://www.cardmarket.com/en/Magic/Products/Booster-Boxes/Kaldheim-Set-Booster-Box?sellerCountry=13&amp;language=1" TargetMode="External"/><Relationship Id="rId317" Type="http://schemas.openxmlformats.org/officeDocument/2006/relationships/hyperlink" Target="https://collect.thegamecollection.net/products/magic-the-gathering-marvel-super-heroes-commander-deck-doom-prevails" TargetMode="External"/><Relationship Id="rId524" Type="http://schemas.openxmlformats.org/officeDocument/2006/relationships/hyperlink" Target="https://gatheringgames.co.uk/products/magic-the-gathering-duskmourn-house-of-horrors-collector-booster-box" TargetMode="External"/><Relationship Id="rId731" Type="http://schemas.openxmlformats.org/officeDocument/2006/relationships/hyperlink" Target="https://www.chaoscards.co.uk/prod/booster-boxes-magic/magic-the-gathering-oath-of-the-gatewatch-sealed-booster-box-36-packs" TargetMode="External"/><Relationship Id="rId98" Type="http://schemas.openxmlformats.org/officeDocument/2006/relationships/hyperlink" Target="https://www.cardmarket.com/en/Magic/Products/Boosters/Magic-The-Gathering-Marvels-Spider-Man-Play-Booster?sellerCountry=13&amp;language=1" TargetMode="External"/><Relationship Id="rId163" Type="http://schemas.openxmlformats.org/officeDocument/2006/relationships/hyperlink" Target="https://www.gameslore.com/mtg-assassin-s-creed-booster-display.html" TargetMode="External"/><Relationship Id="rId370" Type="http://schemas.openxmlformats.org/officeDocument/2006/relationships/hyperlink" Target="https://www.hillscards.co.uk/trading-card-games-c78/sealed-products-c92/boosters-c98/magic-the-gathering-innistrad-crimson-vow-set-booster-box-p67912" TargetMode="External"/><Relationship Id="rId230" Type="http://schemas.openxmlformats.org/officeDocument/2006/relationships/hyperlink" Target="https://www.chaoscards.co.uk/prod/commander-magic/magic-the-gathering-march-of-the-machine-commander-deck-tinker-time" TargetMode="External"/><Relationship Id="rId468" Type="http://schemas.openxmlformats.org/officeDocument/2006/relationships/hyperlink" Target="https://londonmagictraders.com/products/sultai-arisen-commander-deck-tarkir-dragonstorm-mtg-sealed" TargetMode="External"/><Relationship Id="rId675" Type="http://schemas.openxmlformats.org/officeDocument/2006/relationships/hyperlink" Target="https://www.loadeddice.uk/products/mtg-marvels-spider-man-play-booster-box" TargetMode="External"/><Relationship Id="rId25" Type="http://schemas.openxmlformats.org/officeDocument/2006/relationships/hyperlink" Target="https://www.cardmarket.com/en/Magic/Products/Booster-Boxes/Ravnica-Remastered-Draft-Booster-Box?sellerCountry=13&amp;language=1" TargetMode="External"/><Relationship Id="rId328" Type="http://schemas.openxmlformats.org/officeDocument/2006/relationships/hyperlink" Target="https://collect.thegamecollection.net/products/magic-the-gathering-tarkir-dragonstorm-commander-deck-sulati-arisen" TargetMode="External"/><Relationship Id="rId535" Type="http://schemas.openxmlformats.org/officeDocument/2006/relationships/hyperlink" Target="https://gatheringgames.co.uk/products/magic-the-gathering-lost-caverns-of-ixalan-set-booster-box" TargetMode="External"/><Relationship Id="rId174" Type="http://schemas.openxmlformats.org/officeDocument/2006/relationships/hyperlink" Target="https://magicmadhouse.co.uk/magic-the-gathering-edge-of-eternities-commander-deck-counter-intelligence-edge-of-eternities" TargetMode="External"/><Relationship Id="rId381" Type="http://schemas.openxmlformats.org/officeDocument/2006/relationships/hyperlink" Target="https://www.doublesleeved.co.uk/products/mtg-bloomburrow-collector-booster-box?_pos=14&amp;_fid=173add3df&amp;_ss=c" TargetMode="External"/><Relationship Id="rId602" Type="http://schemas.openxmlformats.org/officeDocument/2006/relationships/hyperlink" Target="https://www.waylandgames.co.uk/mtg-teenage-mutant-ninja-turtles-play-booster-box-wtcd51630001-box" TargetMode="External"/><Relationship Id="rId241" Type="http://schemas.openxmlformats.org/officeDocument/2006/relationships/hyperlink" Target="https://www.chaoscards.co.uk/prod/booster-boxes-magic/magic-the-gathering-innistrad-midnight-hunt-set-booster-box-30-packs" TargetMode="External"/><Relationship Id="rId479" Type="http://schemas.openxmlformats.org/officeDocument/2006/relationships/hyperlink" Target="https://ashdowngaming.co.uk/collections/magic-the-gathering/products/magic-the-gathering-final-fantasy-commander-deck-counter-blitz" TargetMode="External"/><Relationship Id="rId686" Type="http://schemas.openxmlformats.org/officeDocument/2006/relationships/hyperlink" Target="https://travellingman.com/collections/magic-the-gathering/products/magic-the-gathering-throne-of-eldraine-booster-box" TargetMode="External"/><Relationship Id="rId36" Type="http://schemas.openxmlformats.org/officeDocument/2006/relationships/hyperlink" Target="https://www.chaoscards.co.uk/prod/booster-boxes-magic/magic-the-gathering-ravnica-remastered-collector-booster-box-12-packs" TargetMode="External"/><Relationship Id="rId339" Type="http://schemas.openxmlformats.org/officeDocument/2006/relationships/hyperlink" Target="https://distro.gg/products/magic-the-gathering-bloomburrow---play-booster-box-36-packs" TargetMode="External"/><Relationship Id="rId546" Type="http://schemas.openxmlformats.org/officeDocument/2006/relationships/hyperlink" Target="https://gatheringgames.co.uk/products/magic-the-gathering-phyrexia-all-will-be-one-collector-booster-box" TargetMode="External"/><Relationship Id="rId101" Type="http://schemas.openxmlformats.org/officeDocument/2006/relationships/hyperlink" Target="https://www.cardmarket.com/en/Magic/Products/Boosters/Ravnica-Remastered-Draft-Booster?sellerCountry=13&amp;language=1" TargetMode="External"/><Relationship Id="rId185" Type="http://schemas.openxmlformats.org/officeDocument/2006/relationships/hyperlink" Target="https://magicmadhouse.co.uk/magic-the-gathering-kamigawa-neon-dynasty-commander-deck-buckle-up-kamigawa-neon-dynasty" TargetMode="External"/><Relationship Id="rId406" Type="http://schemas.openxmlformats.org/officeDocument/2006/relationships/hyperlink" Target="https://totalcards.net/collections/magic-the-gathering-booster-boxes/products/magic-the-gathering-innistrad-remastered-collector-booster-box-12-packs" TargetMode="External"/><Relationship Id="rId392" Type="http://schemas.openxmlformats.org/officeDocument/2006/relationships/hyperlink" Target="https://totalcards.net/collections/magic-the-gathering-booster-boxes/products/magic-the-gathering-dominaria-booster-box" TargetMode="External"/><Relationship Id="rId613" Type="http://schemas.openxmlformats.org/officeDocument/2006/relationships/hyperlink" Target="https://www.firestormgames.co.uk/mtg:-edge-of-eternities-play-booster-box" TargetMode="External"/><Relationship Id="rId697" Type="http://schemas.openxmlformats.org/officeDocument/2006/relationships/hyperlink" Target="https://travellingman.com/collections/magic-the-gathering/products/magic-the-gathering-edge-of-eternities-collector-booster-box" TargetMode="External"/><Relationship Id="rId252" Type="http://schemas.openxmlformats.org/officeDocument/2006/relationships/hyperlink" Target="https://www.chaoscards.co.uk/prod/booster-boxes-magic/magic-the-gathering-ravnica-remastered-draft-booster-box-36-packs" TargetMode="External"/><Relationship Id="rId47" Type="http://schemas.openxmlformats.org/officeDocument/2006/relationships/hyperlink" Target="https://www.chaoscards.co.uk/prod/booster-boxes-magic/magic-the-gathering-innistrad-crimson-vow-collector-booster-box-12-packs" TargetMode="External"/><Relationship Id="rId112" Type="http://schemas.openxmlformats.org/officeDocument/2006/relationships/hyperlink" Target="https://www.cardmarket.com/en/Magic/Products/Boosters/Aetherdrift-Collector-Booster?sellerCountry=13&amp;language=1" TargetMode="External"/><Relationship Id="rId557" Type="http://schemas.openxmlformats.org/officeDocument/2006/relationships/hyperlink" Target="https://gatheringgames.co.uk/products/magic-the-gathering-marvel-super-heroes-collector-booster-box" TargetMode="External"/><Relationship Id="rId196" Type="http://schemas.openxmlformats.org/officeDocument/2006/relationships/hyperlink" Target="https://magicmadhouse.co.uk/magic-the-gathering-final-fantasy-commander-deck-counter-blitz-final-fantasy" TargetMode="External"/><Relationship Id="rId417" Type="http://schemas.openxmlformats.org/officeDocument/2006/relationships/hyperlink" Target="https://totalcards.net/collections/magic-the-gathering-booster-boxes/products/magic-the-gathering-marvel-super-heroes-play-booster-box-30-packs" TargetMode="External"/><Relationship Id="rId624" Type="http://schemas.openxmlformats.org/officeDocument/2006/relationships/hyperlink" Target="https://www.firestormgames.co.uk/mtg:-marvel-super-heroes-collector-commander-deck---avengers-assemble" TargetMode="External"/><Relationship Id="rId263" Type="http://schemas.openxmlformats.org/officeDocument/2006/relationships/hyperlink" Target="https://www.newrealitiesgaming.com/product/magic-the-gathering-assassins-creed-beyond-booster-box/931?cp=true&amp;sa=false&amp;sbp=false&amp;q=false&amp;category_id=LFRBPSLQVSXEQAZ7GZ4Y7DIU" TargetMode="External"/><Relationship Id="rId470" Type="http://schemas.openxmlformats.org/officeDocument/2006/relationships/hyperlink" Target="https://cobandpip.co.uk/products/magic-the-gathering-sealed-booster-box" TargetMode="External"/><Relationship Id="rId58" Type="http://schemas.openxmlformats.org/officeDocument/2006/relationships/hyperlink" Target="https://www.chaoscards.co.uk/prod/booster-boxes-magic/magic-the-gathering-aetherdrift-collector-booster-box-12-packs" TargetMode="External"/><Relationship Id="rId123" Type="http://schemas.openxmlformats.org/officeDocument/2006/relationships/hyperlink" Target="https://www.cardmarket.com/en/Magic/Products/Boosters/Lorwyn-Eclipsed-Collector-Booster?sellerCountry=13&amp;language=1" TargetMode="External"/><Relationship Id="rId330" Type="http://schemas.openxmlformats.org/officeDocument/2006/relationships/hyperlink" Target="https://collect.thegamecollection.net/products/magic-the-gathering-teenage-mutant-ninja-turtles-collectors-booster-display" TargetMode="External"/><Relationship Id="rId568" Type="http://schemas.openxmlformats.org/officeDocument/2006/relationships/hyperlink" Target="https://www.waylandgames.co.uk/mtg-duskmourn-house-of-horror-play-booster-box-wtcd34440001-box" TargetMode="External"/><Relationship Id="rId428" Type="http://schemas.openxmlformats.org/officeDocument/2006/relationships/hyperlink" Target="https://totalcards.net/collections/magic-the-gathering-booster-boxes/products/magic-the-gathering-phyrexia-all-will-be-one-set-booster-box-30-packs" TargetMode="External"/><Relationship Id="rId635" Type="http://schemas.openxmlformats.org/officeDocument/2006/relationships/hyperlink" Target="https://www.firestormgames.co.uk/mtg:-march-of-the-machine-set-booster-box" TargetMode="External"/><Relationship Id="rId274" Type="http://schemas.openxmlformats.org/officeDocument/2006/relationships/hyperlink" Target="https://www.newrealitiesgaming.com/product/magic-the-gathering-lord-of-the-rings-set-booster-box/876?cp=true&amp;sa=false&amp;sbp=false&amp;q=false&amp;category_id=LFRBPSLQVSXEQAZ7GZ4Y7DIU" TargetMode="External"/><Relationship Id="rId481" Type="http://schemas.openxmlformats.org/officeDocument/2006/relationships/hyperlink" Target="https://ashdowngaming.co.uk/collections/magic-the-gathering/products/magic-the-gathering-final-fantasy-commander-deck-revival-trance" TargetMode="External"/><Relationship Id="rId702" Type="http://schemas.openxmlformats.org/officeDocument/2006/relationships/hyperlink" Target="https://travellingman.com/collections/magic-the-gathering/products/magic-the-gathering-innistrad-crimson-vow-set-booster-box" TargetMode="External"/><Relationship Id="rId69" Type="http://schemas.openxmlformats.org/officeDocument/2006/relationships/hyperlink" Target="https://www.cardmarket.com/en/Magic/Products/Booster-Boxes/Kamigawa-Neon-Dynasty-Collector-Booster-Box?sellerCountry=13&amp;language=1" TargetMode="External"/><Relationship Id="rId134" Type="http://schemas.openxmlformats.org/officeDocument/2006/relationships/hyperlink" Target="https://www.cardmarket.com/en/Magic/Products/Boosters/Ravnica-Remastered-Collector-Booster?sellerCountry=13&amp;language=1" TargetMode="External"/><Relationship Id="rId579" Type="http://schemas.openxmlformats.org/officeDocument/2006/relationships/hyperlink" Target="https://www.waylandgames.co.uk/mtg-lorwyn-eclipsed-commander-deck-dance-of-the-elements-wtcd50750001-b" TargetMode="External"/><Relationship Id="rId341" Type="http://schemas.openxmlformats.org/officeDocument/2006/relationships/hyperlink" Target="https://distro.gg/products/magic-the-gathering-duskmourn-house-of-horror---play-booster-box-36-packs" TargetMode="External"/><Relationship Id="rId439" Type="http://schemas.openxmlformats.org/officeDocument/2006/relationships/hyperlink" Target="https://totalcards.net/collections/magic-the-gathering-booster-boxes/products/magic-the-gathering-the-brothers-war-set-booster-box-30-packs" TargetMode="External"/><Relationship Id="rId646" Type="http://schemas.openxmlformats.org/officeDocument/2006/relationships/hyperlink" Target="https://www.loadeddice.uk/products/magic-the-gathering-aetherdrift-commander-deck-eternal-might-pre-order" TargetMode="External"/><Relationship Id="rId201" Type="http://schemas.openxmlformats.org/officeDocument/2006/relationships/hyperlink" Target="https://magicmadhouse.co.uk/magic-the-gathering-commander-masters-commander-deck-sliver-swarm-commander-masters" TargetMode="External"/><Relationship Id="rId285" Type="http://schemas.openxmlformats.org/officeDocument/2006/relationships/hyperlink" Target="https://www.newrealitiesgaming.com/product/magic-the-gathering-outlaws-of-thunder-junction-play-booster-box/724?cp=true&amp;sa=false&amp;sbp=false&amp;q=false&amp;category_id=LFRBPSLQVSXEQAZ7GZ4Y7DIU" TargetMode="External"/><Relationship Id="rId506" Type="http://schemas.openxmlformats.org/officeDocument/2006/relationships/hyperlink" Target="https://gatheringgames.co.uk/products/magic-the-gathering-dominaria-united-collector-boosters-box" TargetMode="External"/><Relationship Id="rId492" Type="http://schemas.openxmlformats.org/officeDocument/2006/relationships/hyperlink" Target="https://jetcards.uk/collections/magic-the-gathering/products/magic-the-gathering-aetherdrift-collector-booster-box-12-packs" TargetMode="External"/><Relationship Id="rId713" Type="http://schemas.openxmlformats.org/officeDocument/2006/relationships/hyperlink" Target="https://travellingman.com/collections/magic-the-gathering/products/magic-the-gathering-phyrexia-all-will-be-one-set-booster-box" TargetMode="External"/><Relationship Id="rId145" Type="http://schemas.openxmlformats.org/officeDocument/2006/relationships/hyperlink" Target="https://www.gameslore.com/mtg-dominaria-united-collector-booster-pack.html" TargetMode="External"/><Relationship Id="rId352" Type="http://schemas.openxmlformats.org/officeDocument/2006/relationships/hyperlink" Target="https://distro.gg/products/magic-the-gathering-lorwyn-eclipsed-commander-deck-blight-curse" TargetMode="External"/><Relationship Id="rId212" Type="http://schemas.openxmlformats.org/officeDocument/2006/relationships/hyperlink" Target="https://magicmadhouse.co.uk/magic-the-gathering-outlaws-of-thunder-junction-commander-deck-most-wanted-outlaws-of-thunder-junction" TargetMode="External"/><Relationship Id="rId657" Type="http://schemas.openxmlformats.org/officeDocument/2006/relationships/hyperlink" Target="https://www.loadeddice.uk/products/magic-the-gathering-phyrexia-all-will-be-one-set-booster-box" TargetMode="External"/><Relationship Id="rId296" Type="http://schemas.openxmlformats.org/officeDocument/2006/relationships/hyperlink" Target="https://www.newrealitiesgaming.com/product/magic-the-gathering-streets-of-new-capenna-commander-deck-riveteer-s-rampage/EFVBQ5IIFDNY6FCO64V4KRH7?cp=true&amp;sa=false&amp;sbp=false&amp;q=false&amp;category_id=WURPHNIAJY3EMKY2GR74TAZH" TargetMode="External"/><Relationship Id="rId517" Type="http://schemas.openxmlformats.org/officeDocument/2006/relationships/hyperlink" Target="https://gatheringgames.co.uk/products/magic-the-gathering-universes-beyond-assassins-creed-beyond-booster-box" TargetMode="External"/><Relationship Id="rId724" Type="http://schemas.openxmlformats.org/officeDocument/2006/relationships/hyperlink" Target="https://www.chaoscards.co.uk/prod/booster-boxes-magic/magic-the-gathering-throne-of-eldraine-booster-box-36-packs" TargetMode="External"/><Relationship Id="rId60" Type="http://schemas.openxmlformats.org/officeDocument/2006/relationships/hyperlink" Target="https://www.cardmarket.com/en/Magic/Products/Booster-Boxes/Bloomburrow-Collector-Booster-Box?sellerCountry=13&amp;language=1" TargetMode="External"/><Relationship Id="rId156" Type="http://schemas.openxmlformats.org/officeDocument/2006/relationships/hyperlink" Target="https://www.gameslore.com/mtg-innistrad-midnight-hunt-collector-booster-pack.html" TargetMode="External"/><Relationship Id="rId363" Type="http://schemas.openxmlformats.org/officeDocument/2006/relationships/hyperlink" Target="https://axionnow.com/products/avatar-the-last-airbender-collector-booster-display-1" TargetMode="External"/><Relationship Id="rId570" Type="http://schemas.openxmlformats.org/officeDocument/2006/relationships/hyperlink" Target="https://www.waylandgames.co.uk/mtg-edge-of-eternities-commander-deck-counter-intelligence-wtcd44500001-b" TargetMode="External"/><Relationship Id="rId223" Type="http://schemas.openxmlformats.org/officeDocument/2006/relationships/hyperlink" Target="https://www.chaoscards.co.uk/prod/commander-magic/magic-the-gathering-bloomburrow-commander-deck-animated-army" TargetMode="External"/><Relationship Id="rId430" Type="http://schemas.openxmlformats.org/officeDocument/2006/relationships/hyperlink" Target="https://totalcards.net/collections/magic-the-gathering-booster-boxes/products/magic-the-gathering-ravnica-remastered-draft-booster-box-36-packs" TargetMode="External"/><Relationship Id="rId668" Type="http://schemas.openxmlformats.org/officeDocument/2006/relationships/hyperlink" Target="https://www.loadeddice.uk/products/mtg-edge-of-eternities-commander-deck-counter-intelligence" TargetMode="External"/><Relationship Id="rId18" Type="http://schemas.openxmlformats.org/officeDocument/2006/relationships/hyperlink" Target="https://www.cardmarket.com/en/Magic/Products/Booster-Boxes/Magic-The-Gathering-Marvels-Spider-Man-Play-Booster-Box?sellerCountry=13&amp;language=1" TargetMode="External"/><Relationship Id="rId528" Type="http://schemas.openxmlformats.org/officeDocument/2006/relationships/hyperlink" Target="https://gatheringgames.co.uk/products/magic-the-gathering-final-fantasy-collector-booster-box" TargetMode="External"/><Relationship Id="rId735" Type="http://schemas.openxmlformats.org/officeDocument/2006/relationships/hyperlink" Target="https://www.chaoscards.co.uk/prod/booster-boxes-magic/magic-the-gathering-the-brothers-war-set-booster-box-30-packs" TargetMode="External"/><Relationship Id="rId167" Type="http://schemas.openxmlformats.org/officeDocument/2006/relationships/hyperlink" Target="https://www.gameslore.com/mtg-aetherdrift-collector-booster-display.html" TargetMode="External"/><Relationship Id="rId374" Type="http://schemas.openxmlformats.org/officeDocument/2006/relationships/hyperlink" Target="https://www.hillscards.co.uk/trading-card-games-c78/sealed-products-c92/decks-c97/magic-the-gathering-the-brothers-war-commander-deck-mishras-burnished-banner-p71790" TargetMode="External"/><Relationship Id="rId581" Type="http://schemas.openxmlformats.org/officeDocument/2006/relationships/hyperlink" Target="https://www.waylandgames.co.uk/mtg-marvel-super-heroes-collector-booster-box-wtcd53580000-box" TargetMode="External"/><Relationship Id="rId71" Type="http://schemas.openxmlformats.org/officeDocument/2006/relationships/hyperlink" Target="https://www.cardmarket.com/en/Magic/Products/Booster-Boxes/Magic-The-Gathering-Avatar-The-Last-Airbender-Collector-Booster-Box?sellerCountry=13&amp;language=1" TargetMode="External"/><Relationship Id="rId234" Type="http://schemas.openxmlformats.org/officeDocument/2006/relationships/hyperlink" Target="https://www.chaoscards.co.uk/prod/commander-magic/magic-the-gathering-universes-beyond-final-fantasy-commander-deck-scions-spellcraft" TargetMode="External"/><Relationship Id="rId679" Type="http://schemas.openxmlformats.org/officeDocument/2006/relationships/hyperlink" Target="https://travellingman.com/collections/magic-the-gathering/products/magic-the-gathering-innistrad-midnight-hunt-set-booster-box" TargetMode="External"/><Relationship Id="rId2" Type="http://schemas.openxmlformats.org/officeDocument/2006/relationships/hyperlink" Target="https://www.cardmarket.com/en/Magic/Products/Booster-Boxes/Universes-Beyond-Assassins-Creed-Beyond-Booster-Display?sellerCountry=13&amp;language=1" TargetMode="External"/><Relationship Id="rId29" Type="http://schemas.openxmlformats.org/officeDocument/2006/relationships/hyperlink" Target="https://www.chaoscards.co.uk/prod/booster-boxes-magic/magic-the-gathering-theros-beyond-death-collector-booster-box-12-packs" TargetMode="External"/><Relationship Id="rId441" Type="http://schemas.openxmlformats.org/officeDocument/2006/relationships/hyperlink" Target="https://totalcards.net/collections/magic-the-gathering-booster-boxes/products/magic-the-gathering-the-lord-of-the-rings-tales-of-middle-earth-set-booster-box-30-packs" TargetMode="External"/><Relationship Id="rId539" Type="http://schemas.openxmlformats.org/officeDocument/2006/relationships/hyperlink" Target="https://gatheringgames.co.uk/products/magic-the-gathering-marvel-spider-man-play-booster-box" TargetMode="External"/><Relationship Id="rId178" Type="http://schemas.openxmlformats.org/officeDocument/2006/relationships/hyperlink" Target="https://magicmadhouse.co.uk/magic-the-gathering-modern-horizons-3-commander-deck-graveyard-overdrive-modern-horizons-3" TargetMode="External"/><Relationship Id="rId301" Type="http://schemas.openxmlformats.org/officeDocument/2006/relationships/hyperlink" Target="https://www.newrealitiesgaming.com/product/magic-the-gathering-tarkir-dragonstorm-commander-deck-mardu-surge/2792?cp=true&amp;sa=false&amp;sbp=false&amp;q=false&amp;category_id=WURPHNIAJY3EMKY2GR74TAZH" TargetMode="External"/><Relationship Id="rId82" Type="http://schemas.openxmlformats.org/officeDocument/2006/relationships/hyperlink" Target="https://www.cardmarket.com/en/Magic/Products/Booster-Boxes/Streets-of-New-Capenna-Collector-Booster-Box?sellerCountry=13&amp;language=1" TargetMode="External"/><Relationship Id="rId385" Type="http://schemas.openxmlformats.org/officeDocument/2006/relationships/hyperlink" Target="https://totalcards.net/collections/magic-the-gathering-booster-boxes/products/magic-the-gathering-aetherdrift-play-booster-box-30-packs" TargetMode="External"/><Relationship Id="rId592" Type="http://schemas.openxmlformats.org/officeDocument/2006/relationships/hyperlink" Target="https://www.waylandgames.co.uk/mtg-marvels-spider-man-play-booster-box-wtcd45240001-box" TargetMode="External"/><Relationship Id="rId606" Type="http://schemas.openxmlformats.org/officeDocument/2006/relationships/hyperlink" Target="https://www.firestormgames.co.uk/mtg:-aetherdrift-commander-deck-living-energy" TargetMode="External"/><Relationship Id="rId245" Type="http://schemas.openxmlformats.org/officeDocument/2006/relationships/hyperlink" Target="https://www.chaoscards.co.uk/prod/booster-boxes-magic/magic-the-gathering-foundations-play-booster-box-36-packs" TargetMode="External"/><Relationship Id="rId452" Type="http://schemas.openxmlformats.org/officeDocument/2006/relationships/hyperlink" Target="https://totalcards.net/collections/magic-the-gathering-booster-boxes/products/magic-the-gathering-universes-beyond-teenage-mutant-ninja-turtles-collector-booster-box-12-packs" TargetMode="External"/><Relationship Id="rId105" Type="http://schemas.openxmlformats.org/officeDocument/2006/relationships/hyperlink" Target="https://www.cardmarket.com/en/Magic/Products/Boosters/Dominaria-United-Set-Booster?sellerCountry=13&amp;language=1" TargetMode="External"/><Relationship Id="rId312" Type="http://schemas.openxmlformats.org/officeDocument/2006/relationships/hyperlink" Target="https://woocards.co.uk/shop/magic-the-gathering/booster-box-magic-the-gathering/mtg-final-fantasy-play-booster-box/" TargetMode="External"/><Relationship Id="rId93" Type="http://schemas.openxmlformats.org/officeDocument/2006/relationships/hyperlink" Target="https://www.cardmarket.com/en/Magic/Products/Boosters/March-of-the-Machine-Set-Booster?sellerCountry=13&amp;language=1" TargetMode="External"/><Relationship Id="rId189" Type="http://schemas.openxmlformats.org/officeDocument/2006/relationships/hyperlink" Target="https://magicmadhouse.co.uk/magic-the-gathering-final-fantasy-commander-deck-limit-break-final-fantasy" TargetMode="External"/><Relationship Id="rId396" Type="http://schemas.openxmlformats.org/officeDocument/2006/relationships/hyperlink" Target="https://totalcards.net/collections/magic-the-gathering-booster-boxes/products/magic-the-gathering-edge-of-eternities-collector-booster-box-12-packs" TargetMode="External"/><Relationship Id="rId617" Type="http://schemas.openxmlformats.org/officeDocument/2006/relationships/hyperlink" Target="https://www.firestormgames.co.uk/mtg:-marvels-spider-man-play-booster-box" TargetMode="External"/><Relationship Id="rId214" Type="http://schemas.openxmlformats.org/officeDocument/2006/relationships/hyperlink" Target="https://magicmadhouse.co.uk/magic-the-gathering-lost-caverns-of-ixalan-commander-deck-explorers-of-the-deep-lost-caverns-of-ixalan" TargetMode="External"/><Relationship Id="rId256" Type="http://schemas.openxmlformats.org/officeDocument/2006/relationships/hyperlink" Target="https://www.chaoscards.co.uk/prod/booster-boxes-magic/magic-the-gathering-tarkir-dragonstorm-play-booster-box-30-packs" TargetMode="External"/><Relationship Id="rId298" Type="http://schemas.openxmlformats.org/officeDocument/2006/relationships/hyperlink" Target="https://www.newrealitiesgaming.com/product/magic-the-gathering-edge-of-eternities-commander-deck-world-shaper/2875?cp=true&amp;sa=false&amp;sbp=false&amp;q=false&amp;category_id=WURPHNIAJY3EMKY2GR74TAZH" TargetMode="External"/><Relationship Id="rId421" Type="http://schemas.openxmlformats.org/officeDocument/2006/relationships/hyperlink" Target="https://totalcards.net/collections/magic-the-gathering-booster-boxes/products/magic-the-gathering-modern-horizons-2-set-booster-box-30-packs" TargetMode="External"/><Relationship Id="rId463" Type="http://schemas.openxmlformats.org/officeDocument/2006/relationships/hyperlink" Target="https://londonmagictraders.com/products/limit-break-commander-deck-final-fantasy-magic-mtg-sealed" TargetMode="External"/><Relationship Id="rId519" Type="http://schemas.openxmlformats.org/officeDocument/2006/relationships/hyperlink" Target="https://gatheringgames.co.uk/products/magic-the-gathering-aetherdrift-play-booster" TargetMode="External"/><Relationship Id="rId670" Type="http://schemas.openxmlformats.org/officeDocument/2006/relationships/hyperlink" Target="https://www.loadeddice.uk/products/magic-the-gathering-final-fantasy-collector-booster-box" TargetMode="External"/><Relationship Id="rId116" Type="http://schemas.openxmlformats.org/officeDocument/2006/relationships/hyperlink" Target="https://www.cardmarket.com/en/Magic/Products/Boosters/Duskmourn-House-of-Horror-Collector-Booster?sellerCountry=13&amp;language=1" TargetMode="External"/><Relationship Id="rId158" Type="http://schemas.openxmlformats.org/officeDocument/2006/relationships/hyperlink" Target="https://www.gameslore.com/mtg-duskmourn-play-booster-pack.html" TargetMode="External"/><Relationship Id="rId323" Type="http://schemas.openxmlformats.org/officeDocument/2006/relationships/hyperlink" Target="https://collect.thegamecollection.net/products/magic-the-gathering-modern-horizon-3-collector-booster-box-12-pcs" TargetMode="External"/><Relationship Id="rId530" Type="http://schemas.openxmlformats.org/officeDocument/2006/relationships/hyperlink" Target="https://gatheringgames.co.uk/products/magic-the-gathering-foundations-play-booster" TargetMode="External"/><Relationship Id="rId726" Type="http://schemas.openxmlformats.org/officeDocument/2006/relationships/hyperlink" Target="https://www.chaoscards.co.uk/prod/booster-boxes-magic/magic-the-gathering-bloomburrow-play-booster-box-36-packs" TargetMode="External"/><Relationship Id="rId20" Type="http://schemas.openxmlformats.org/officeDocument/2006/relationships/hyperlink" Target="https://www.cardmarket.com/en/Magic/Products/Booster-Boxes/Modern-Horizons-3-Play-Booster-Box?sellerCountry=13&amp;language=1" TargetMode="External"/><Relationship Id="rId62" Type="http://schemas.openxmlformats.org/officeDocument/2006/relationships/hyperlink" Target="https://www.cardmarket.com/en/Magic/Products/Booster-Boxes/Dominaria-United-Collector-Booster-Box?sellerCountry=13&amp;language=1" TargetMode="External"/><Relationship Id="rId365" Type="http://schemas.openxmlformats.org/officeDocument/2006/relationships/hyperlink" Target="https://axionnow.com/products/teenage-mutant-ninja-turtles-booster-display" TargetMode="External"/><Relationship Id="rId572" Type="http://schemas.openxmlformats.org/officeDocument/2006/relationships/hyperlink" Target="https://www.waylandgames.co.uk/mtg-edge-of-eternities-play-booster-box-wtcd44470001-box" TargetMode="External"/><Relationship Id="rId628" Type="http://schemas.openxmlformats.org/officeDocument/2006/relationships/hyperlink" Target="https://www.firestormgames.co.uk/mtg:-marvel-super-heroes-commander-deck---avengers-assemble" TargetMode="External"/><Relationship Id="rId225" Type="http://schemas.openxmlformats.org/officeDocument/2006/relationships/hyperlink" Target="https://www.chaoscards.co.uk/prod/commander-magic/magic-the-gathering-doctor-who-commander-deck-paradox-power" TargetMode="External"/><Relationship Id="rId267" Type="http://schemas.openxmlformats.org/officeDocument/2006/relationships/hyperlink" Target="https://www.newrealitiesgaming.com/product/magic-the-gathering-duskmourn-play-booster-box/1165?cp=true&amp;sa=false&amp;sbp=false&amp;q=false&amp;category_id=LFRBPSLQVSXEQAZ7GZ4Y7DIU" TargetMode="External"/><Relationship Id="rId432" Type="http://schemas.openxmlformats.org/officeDocument/2006/relationships/hyperlink" Target="https://totalcards.net/collections/magic-the-gathering-booster-boxes/products/magic-the-gathering-streets-of-new-capenna-collector-booster-box-12-packs" TargetMode="External"/><Relationship Id="rId474" Type="http://schemas.openxmlformats.org/officeDocument/2006/relationships/hyperlink" Target="https://crazygamer.uk/magic-the-gathering-mtg-mtg-sealed-c-79_647/mtg-assassins-creed-universe-beyond-booster-box-p-24576" TargetMode="External"/><Relationship Id="rId127" Type="http://schemas.openxmlformats.org/officeDocument/2006/relationships/hyperlink" Target="https://www.cardmarket.com/en/Magic/Products/Boosters/Magic-The-Gathering-Marvels-Spider-Man-Collector-Booster?sellerCountry=13&amp;language=1" TargetMode="External"/><Relationship Id="rId681" Type="http://schemas.openxmlformats.org/officeDocument/2006/relationships/hyperlink" Target="https://travellingman.com/collections/magic-the-gathering/products/magic-the-gathering-modern-horizons-set-booster-box" TargetMode="External"/><Relationship Id="rId737" Type="http://schemas.openxmlformats.org/officeDocument/2006/relationships/hyperlink" Target="https://www.chaoscards.co.uk/prod/booster-boxes-magic/magic-the-gathering-wilds-of-eldraine-set-booster-box-30-packs" TargetMode="External"/><Relationship Id="rId31" Type="http://schemas.openxmlformats.org/officeDocument/2006/relationships/hyperlink" Target="https://www.chaoscards.co.uk/prod/booster-boxes-magic/magic-the-gathering-universes-beyond-final-fantasy-collector-booster-box-12-packs" TargetMode="External"/><Relationship Id="rId73" Type="http://schemas.openxmlformats.org/officeDocument/2006/relationships/hyperlink" Target="https://www.cardmarket.com/en/Magic/Products/Booster-Boxes/Magic-The-Gathering-Foundations-Collector-Booster-Box?sellerCountry=13&amp;language=1" TargetMode="External"/><Relationship Id="rId169" Type="http://schemas.openxmlformats.org/officeDocument/2006/relationships/hyperlink" Target="https://www.gameslore.com/mtg-modern-horizons-3-creative-energy-commander-deck.html" TargetMode="External"/><Relationship Id="rId334" Type="http://schemas.openxmlformats.org/officeDocument/2006/relationships/hyperlink" Target="https://collect.thegamecollection.net/products/magic-the-gathering-fallout-commander-deck-science" TargetMode="External"/><Relationship Id="rId376" Type="http://schemas.openxmlformats.org/officeDocument/2006/relationships/hyperlink" Target="https://www.hillscards.co.uk/trading-card-games-c78/sealed-products-c92/boosters-c98/magic-the-gathering-the-brothers-war-set-booster-box-sealed-box-of-30-packs-p71787" TargetMode="External"/><Relationship Id="rId541" Type="http://schemas.openxmlformats.org/officeDocument/2006/relationships/hyperlink" Target="https://gatheringgames.co.uk/products/magic-the-gathering-modern-horizons-3-play-booster-box" TargetMode="External"/><Relationship Id="rId583" Type="http://schemas.openxmlformats.org/officeDocument/2006/relationships/hyperlink" Target="https://www.waylandgames.co.uk/mtg-marvel-super-heroes-collector-commander-deck-doom-prevails-wtcd53620000-d" TargetMode="External"/><Relationship Id="rId639" Type="http://schemas.openxmlformats.org/officeDocument/2006/relationships/hyperlink" Target="https://wholesale.hokeypokegames.co.uk/mtg/magic-the-gathering-edge-of-eternities-booster-box" TargetMode="External"/><Relationship Id="rId4" Type="http://schemas.openxmlformats.org/officeDocument/2006/relationships/hyperlink" Target="https://www.cardmarket.com/en/Magic/Products/Booster-Boxes/Bloomburrow-Play-Booster-Box?sellerCountry=13&amp;language=1" TargetMode="External"/><Relationship Id="rId180" Type="http://schemas.openxmlformats.org/officeDocument/2006/relationships/hyperlink" Target="https://magicmadhouse.co.uk/magic-the-gathering-doctor-who-commander-deck-blast-from-the-past-universes-beyond-doctor-who" TargetMode="External"/><Relationship Id="rId236" Type="http://schemas.openxmlformats.org/officeDocument/2006/relationships/hyperlink" Target="https://www.chaoscards.co.uk/prod/commander-magic/magic-the-gathering-universes-beyond-final-fantasy-commander-deck-counter-blitz" TargetMode="External"/><Relationship Id="rId278" Type="http://schemas.openxmlformats.org/officeDocument/2006/relationships/hyperlink" Target="https://www.newrealitiesgaming.com/product/magic-the-gathering-marvel-s-spider-man-collector-booster-box/2877?cp=true&amp;sa=false&amp;sbp=false&amp;q=false&amp;category_id=LFRBPSLQVSXEQAZ7GZ4Y7DIU" TargetMode="External"/><Relationship Id="rId401" Type="http://schemas.openxmlformats.org/officeDocument/2006/relationships/hyperlink" Target="https://totalcards.net/collections/magic-the-gathering-booster-boxes/products/magic-the-gathering-guilds-of-ravnica-booster-box-36-packs" TargetMode="External"/><Relationship Id="rId443" Type="http://schemas.openxmlformats.org/officeDocument/2006/relationships/hyperlink" Target="https://totalcards.net/collections/magic-the-gathering-booster-boxes/products/magic-the-gathering-the-lost-caverns-of-ixalan-collector-booster-box-12-packs" TargetMode="External"/><Relationship Id="rId650" Type="http://schemas.openxmlformats.org/officeDocument/2006/relationships/hyperlink" Target="https://www.loadeddice.uk/products/magic-the-gathering-lord-of-the-rings-tales-of-middle-earth-set-booster-box" TargetMode="External"/><Relationship Id="rId303" Type="http://schemas.openxmlformats.org/officeDocument/2006/relationships/hyperlink" Target="https://www.newrealitiesgaming.com/product/magic-the-gathering-tarkir-dragonstorm-commander-deck-jeskai-striker/2790?cp=true&amp;sa=false&amp;sbp=false&amp;q=false&amp;category_id=WURPHNIAJY3EMKY2GR74TAZH" TargetMode="External"/><Relationship Id="rId485" Type="http://schemas.openxmlformats.org/officeDocument/2006/relationships/hyperlink" Target="https://ashdowngaming.co.uk/collections/magic-the-gathering/products/magic-the-gathering-modern-horizons-3-commander-deck-creative-energy" TargetMode="External"/><Relationship Id="rId692" Type="http://schemas.openxmlformats.org/officeDocument/2006/relationships/hyperlink" Target="https://travellingman.com/collections/magic-the-gathering/products/magic-the-gathering-bloomburrow-play-booster-box" TargetMode="External"/><Relationship Id="rId706" Type="http://schemas.openxmlformats.org/officeDocument/2006/relationships/hyperlink" Target="https://travellingman.com/collections/magic-the-gathering/products/magic-the-gathering-kamigawa-neon-dynasty-set-booster-box" TargetMode="External"/><Relationship Id="rId42" Type="http://schemas.openxmlformats.org/officeDocument/2006/relationships/hyperlink" Target="https://www.chaoscards.co.uk/prod/booster-boxes-magic/magic-the-gathering-march-of-the-machine-collector-booster-box-12-packs" TargetMode="External"/><Relationship Id="rId84" Type="http://schemas.openxmlformats.org/officeDocument/2006/relationships/hyperlink" Target="https://www.cardmarket.com/en/Magic/Products/Boosters/Modern-Horizons-2-Set-Booster?sellerCountry=13&amp;language=1" TargetMode="External"/><Relationship Id="rId138" Type="http://schemas.openxmlformats.org/officeDocument/2006/relationships/hyperlink" Target="https://www.gameslore.com/mtg-streets-of-new-capenna-collector-booster-pack.html" TargetMode="External"/><Relationship Id="rId345" Type="http://schemas.openxmlformats.org/officeDocument/2006/relationships/hyperlink" Target="https://distro.gg/products/magic-the-gathering-final-fantasy-play-booster-box-30-packs" TargetMode="External"/><Relationship Id="rId387" Type="http://schemas.openxmlformats.org/officeDocument/2006/relationships/hyperlink" Target="https://totalcards.net/collections/magic-the-gathering-booster-boxes/products/magic-the-gathering-avatar-the-last-airbender-collector-booster-box-12-packs" TargetMode="External"/><Relationship Id="rId510" Type="http://schemas.openxmlformats.org/officeDocument/2006/relationships/hyperlink" Target="https://gatheringgames.co.uk/products/magic-the-gathering-lord-of-the-rings-tales-of-middle-earth-collector-booster-box" TargetMode="External"/><Relationship Id="rId552" Type="http://schemas.openxmlformats.org/officeDocument/2006/relationships/hyperlink" Target="https://gatheringgames.co.uk/products/magic-the-gathering-the-brothers-war-collector-boosters" TargetMode="External"/><Relationship Id="rId594" Type="http://schemas.openxmlformats.org/officeDocument/2006/relationships/hyperlink" Target="https://www.waylandgames.co.uk/mtg-modern-horizons-3-commander-deck-graveyard-overdrive-wtcd32930001-gra" TargetMode="External"/><Relationship Id="rId608" Type="http://schemas.openxmlformats.org/officeDocument/2006/relationships/hyperlink" Target="https://www.firestormgames.co.uk/magic:-the-gathering---avatar:-the-last-airbender-play-booster-box" TargetMode="External"/><Relationship Id="rId191" Type="http://schemas.openxmlformats.org/officeDocument/2006/relationships/hyperlink" Target="https://magicmadhouse.co.uk/magic-the-gathering-tarkir-dragonstorm-commander-deck-sultai-arisen-tarkir-dragonstorm" TargetMode="External"/><Relationship Id="rId205" Type="http://schemas.openxmlformats.org/officeDocument/2006/relationships/hyperlink" Target="https://magicmadhouse.co.uk/magic-the-gathering-outlaws-of-thunder-junction-commander-deck-grand-larceny-outlaws-of-thunder-junction" TargetMode="External"/><Relationship Id="rId247" Type="http://schemas.openxmlformats.org/officeDocument/2006/relationships/hyperlink" Target="https://www.chaoscards.co.uk/prod/booster-boxes-magic/magic-the-gathering-assassins-creed-beyond-booster-box-24-packs" TargetMode="External"/><Relationship Id="rId412" Type="http://schemas.openxmlformats.org/officeDocument/2006/relationships/hyperlink" Target="https://totalcards.net/collections/magic-the-gathering-booster-boxes/products/magic-the-gathering-lorwyn-eclipsed-collector-booster-box-12-packs" TargetMode="External"/><Relationship Id="rId107" Type="http://schemas.openxmlformats.org/officeDocument/2006/relationships/hyperlink" Target="https://www.cardmarket.com/en/Magic/Products/Boosters/Magic-The-Gathering-FINAL-FANTASY-Play-Booster?sellerCountry=13&amp;language=1" TargetMode="External"/><Relationship Id="rId289" Type="http://schemas.openxmlformats.org/officeDocument/2006/relationships/hyperlink" Target="https://www.newrealitiesgaming.com/product/mtg-commander-masters-set-booster-box/XQ2HPI6U4BF6SPNH2F4CFBGP?cp=true&amp;sa=false&amp;sbp=false&amp;q=false&amp;category_id=LFRBPSLQVSXEQAZ7GZ4Y7DIU" TargetMode="External"/><Relationship Id="rId454" Type="http://schemas.openxmlformats.org/officeDocument/2006/relationships/hyperlink" Target="https://totalcards.net/collections/magic-the-gathering-booster-boxes/products/magic-the-gathering-war-of-the-spark-booster-box-36-packs" TargetMode="External"/><Relationship Id="rId496" Type="http://schemas.openxmlformats.org/officeDocument/2006/relationships/hyperlink" Target="https://jetcards.uk/collections/magic-the-gathering/products/magic-the-gathering-avatar-the-last-airbender-play-booster-box-30-packs" TargetMode="External"/><Relationship Id="rId661" Type="http://schemas.openxmlformats.org/officeDocument/2006/relationships/hyperlink" Target="https://www.loadeddice.uk/products/mtg-marvel-super-heroes-collector-commander-deck-the-fantastic-four" TargetMode="External"/><Relationship Id="rId717" Type="http://schemas.openxmlformats.org/officeDocument/2006/relationships/hyperlink" Target="https://travellingman.com/collections/magic-the-gathering/products/magic-the-gathering-the-brothers-war-set-booster-box" TargetMode="External"/><Relationship Id="rId11" Type="http://schemas.openxmlformats.org/officeDocument/2006/relationships/hyperlink" Target="https://www.cardmarket.com/en/Magic/Products/Booster-Boxes/Innistrad-Midnight-Hunt-Set-Booster-Box?sellerCountry=13&amp;language=1" TargetMode="External"/><Relationship Id="rId53" Type="http://schemas.openxmlformats.org/officeDocument/2006/relationships/hyperlink" Target="https://www.chaoscards.co.uk/prod/booster-boxes-magic/magic-the-gathering-commander-masters-collector-booster-box-4-packs" TargetMode="External"/><Relationship Id="rId149" Type="http://schemas.openxmlformats.org/officeDocument/2006/relationships/hyperlink" Target="https://www.gameslore.com/mtg-murders-at-karlov-manor-play-booster-pack.html" TargetMode="External"/><Relationship Id="rId314" Type="http://schemas.openxmlformats.org/officeDocument/2006/relationships/hyperlink" Target="https://collect.thegamecollection.net/products/magic-the-gathering-marvel-super-heroes-collector-deck-the-fantastic-four" TargetMode="External"/><Relationship Id="rId356" Type="http://schemas.openxmlformats.org/officeDocument/2006/relationships/hyperlink" Target="https://axionnow.com/products/tarkir-dragonstorm-play-booster-display" TargetMode="External"/><Relationship Id="rId398" Type="http://schemas.openxmlformats.org/officeDocument/2006/relationships/hyperlink" Target="https://totalcards.net/collections/magic-the-gathering-booster-boxes/products/magic-the-gathering-edge-of-eternities-play-booster-box-30-packs" TargetMode="External"/><Relationship Id="rId521" Type="http://schemas.openxmlformats.org/officeDocument/2006/relationships/hyperlink" Target="https://gatheringgames.co.uk/products/magic-the-gathering-bloomburrow-play-booster-box" TargetMode="External"/><Relationship Id="rId563" Type="http://schemas.openxmlformats.org/officeDocument/2006/relationships/hyperlink" Target="https://www.waylandgames.co.uk/mtg-aetherdrift-commander-deck-eternal-might-wtcd41330001-ete" TargetMode="External"/><Relationship Id="rId619" Type="http://schemas.openxmlformats.org/officeDocument/2006/relationships/hyperlink" Target="https://www.firestormgames.co.uk/mtg:-teenage-mutant-ninja-turtles-play-booster-box" TargetMode="External"/><Relationship Id="rId95" Type="http://schemas.openxmlformats.org/officeDocument/2006/relationships/hyperlink" Target="https://www.cardmarket.com/en/Magic/Products/Boosters/Magic-The-Gathering-Foundations-Play-Booster?sellerCountry=13&amp;language=1" TargetMode="External"/><Relationship Id="rId160" Type="http://schemas.openxmlformats.org/officeDocument/2006/relationships/hyperlink" Target="https://www.gameslore.com/mtg-commander-masters-set-booster-pack.html" TargetMode="External"/><Relationship Id="rId216" Type="http://schemas.openxmlformats.org/officeDocument/2006/relationships/hyperlink" Target="https://www.chaoscards.co.uk/prod/commander-magic/magic-the-gathering-commander-masters-commander-deck-enduring-enchantments" TargetMode="External"/><Relationship Id="rId423" Type="http://schemas.openxmlformats.org/officeDocument/2006/relationships/hyperlink" Target="https://totalcards.net/collections/magic-the-gathering-booster-boxes/products/magic-the-gathering-modern-horizons-3-play-booster-box-36-packs" TargetMode="External"/><Relationship Id="rId258" Type="http://schemas.openxmlformats.org/officeDocument/2006/relationships/hyperlink" Target="https://www.bremnertcg.co.uk/products/phantasmal-flames-booster-box" TargetMode="External"/><Relationship Id="rId465" Type="http://schemas.openxmlformats.org/officeDocument/2006/relationships/hyperlink" Target="https://londonmagictraders.com/products/mardu-surge-commander-deck-tarkir-dragonstorm-mtg-sealed" TargetMode="External"/><Relationship Id="rId630" Type="http://schemas.openxmlformats.org/officeDocument/2006/relationships/hyperlink" Target="https://www.firestormgames.co.uk/mtg:-marvel-super-heroes-commander-deck---wakanda-forever" TargetMode="External"/><Relationship Id="rId672" Type="http://schemas.openxmlformats.org/officeDocument/2006/relationships/hyperlink" Target="https://www.loadeddice.uk/products/mtg-lorwyn-eclipsed-commander-deck-blight-curse" TargetMode="External"/><Relationship Id="rId728" Type="http://schemas.openxmlformats.org/officeDocument/2006/relationships/hyperlink" Target="https://www.chaoscards.co.uk/prod/booster-boxes-magic/magic-the-gathering-dominaria-united-set-booster-box-30-packs" TargetMode="External"/><Relationship Id="rId22" Type="http://schemas.openxmlformats.org/officeDocument/2006/relationships/hyperlink" Target="https://www.cardmarket.com/en/Magic/Products/Booster-Boxes/Oath-of-the-Gatewatch-Booster-Box?sellerCountry=13&amp;language=1" TargetMode="External"/><Relationship Id="rId64" Type="http://schemas.openxmlformats.org/officeDocument/2006/relationships/hyperlink" Target="https://www.cardmarket.com/en/Magic/Products/Booster-Boxes/Edge-of-Eternities-Collector-Booster-Box?sellerCountry=13&amp;language=1" TargetMode="External"/><Relationship Id="rId118" Type="http://schemas.openxmlformats.org/officeDocument/2006/relationships/hyperlink" Target="https://www.cardmarket.com/en/Magic/Products/Boosters/Innistrad-Crimson-Vow-Collector-Booster?sellerCountry=13&amp;language=1" TargetMode="External"/><Relationship Id="rId325" Type="http://schemas.openxmlformats.org/officeDocument/2006/relationships/hyperlink" Target="https://collect.thegamecollection.net/products/magic-the-gathering-tarkir-dragonstorm-commander-deck-abzan-armor" TargetMode="External"/><Relationship Id="rId367" Type="http://schemas.openxmlformats.org/officeDocument/2006/relationships/hyperlink" Target="https://www.hillscards.co.uk/trading-card-games-c78/sealed-products-c92/boosters-c98/magic-the-gathering-avatar-the-last-airbender-collector-booster-box-sealed-box-of-12-packs-p88248" TargetMode="External"/><Relationship Id="rId532" Type="http://schemas.openxmlformats.org/officeDocument/2006/relationships/hyperlink" Target="https://gatheringgames.co.uk/products/magic-the-gathering-innistrad-remastered-play-booster" TargetMode="External"/><Relationship Id="rId574" Type="http://schemas.openxmlformats.org/officeDocument/2006/relationships/hyperlink" Target="https://www.waylandgames.co.uk/mtg-final-fantasy-commander-deck-counter-blitz-wtcd38450001-b" TargetMode="External"/><Relationship Id="rId171" Type="http://schemas.openxmlformats.org/officeDocument/2006/relationships/hyperlink" Target="https://magicmadhouse.co.uk/magic-the-gathering-bloomburrow-commander-deck-family-matters-bloomburrow" TargetMode="External"/><Relationship Id="rId227" Type="http://schemas.openxmlformats.org/officeDocument/2006/relationships/hyperlink" Target="https://www.chaoscards.co.uk/prod/commander-magic/magic-the-gathering-universes-beyond-final-fantasy-commander-deck-limit-break" TargetMode="External"/><Relationship Id="rId269" Type="http://schemas.openxmlformats.org/officeDocument/2006/relationships/hyperlink" Target="https://www.newrealitiesgaming.com/product/magic-the-gathering-final-fantasy-play-booster-box/2764?cp=true&amp;sa=false&amp;sbp=false&amp;q=false&amp;category_id=LFRBPSLQVSXEQAZ7GZ4Y7DIU" TargetMode="External"/><Relationship Id="rId434" Type="http://schemas.openxmlformats.org/officeDocument/2006/relationships/hyperlink" Target="https://totalcards.net/collections/magic-the-gathering-booster-boxes/products/magic-the-gathering-strixhaven-school-of-mages-collector-booster-box-12-packs" TargetMode="External"/><Relationship Id="rId476" Type="http://schemas.openxmlformats.org/officeDocument/2006/relationships/hyperlink" Target="https://ashdowngaming.co.uk/collections/magic-the-gathering/products/magic-the-gathering-aetherdrift-commander-deck-living-energy" TargetMode="External"/><Relationship Id="rId641" Type="http://schemas.openxmlformats.org/officeDocument/2006/relationships/hyperlink" Target="https://wholesale.hokeypokegames.co.uk/mtg/magic-the-gathering-guilds-of-ravnica-booster-box" TargetMode="External"/><Relationship Id="rId683" Type="http://schemas.openxmlformats.org/officeDocument/2006/relationships/hyperlink" Target="https://travellingman.com/collections/magic-the-gathering/products/magic-the-gathering-tarkir-dragonstorm-play-booster-box" TargetMode="External"/><Relationship Id="rId739" Type="http://schemas.openxmlformats.org/officeDocument/2006/relationships/table" Target="../tables/table9.xml"/><Relationship Id="rId33" Type="http://schemas.openxmlformats.org/officeDocument/2006/relationships/hyperlink" Target="https://www.chaoscards.co.uk/prod/booster-boxes-magic/magic-the-gathering-tarkir-dragonstorm-collector-booster-box-12-packs" TargetMode="External"/><Relationship Id="rId129" Type="http://schemas.openxmlformats.org/officeDocument/2006/relationships/hyperlink" Target="https://www.cardmarket.com/en/Magic/Products/Boosters/Modern-Horizons-2-Collector-Booster?sellerCountry=13&amp;language=1" TargetMode="External"/><Relationship Id="rId280" Type="http://schemas.openxmlformats.org/officeDocument/2006/relationships/hyperlink" Target="https://www.newrealitiesgaming.com/product/magic-the-gathering-modern-horizons-2-collector-booster-box/3089?cp=true&amp;sa=false&amp;sbp=false&amp;q=false&amp;category_id=LFRBPSLQVSXEQAZ7GZ4Y7DIU" TargetMode="External"/><Relationship Id="rId336" Type="http://schemas.openxmlformats.org/officeDocument/2006/relationships/hyperlink" Target="https://distro.gg/products/magic-the-gathering-tmnt-collector-booster" TargetMode="External"/><Relationship Id="rId501" Type="http://schemas.openxmlformats.org/officeDocument/2006/relationships/hyperlink" Target="https://jetcards.uk/collections/magic-the-gathering/products/magic-the-gathering-bloomburrow-commander-deck-squirreled-away" TargetMode="External"/><Relationship Id="rId543" Type="http://schemas.openxmlformats.org/officeDocument/2006/relationships/hyperlink" Target="https://gatheringgames.co.uk/products/magic-the-gathering-murders-at-karlov-manor-play-booster-box" TargetMode="External"/><Relationship Id="rId75" Type="http://schemas.openxmlformats.org/officeDocument/2006/relationships/hyperlink" Target="https://www.cardmarket.com/en/Magic/Products/Booster-Boxes/Magic-The-Gathering-Marvels-Spider-Man-Collector-Booster-Box?sellerCountry=13&amp;language=1" TargetMode="External"/><Relationship Id="rId140" Type="http://schemas.openxmlformats.org/officeDocument/2006/relationships/hyperlink" Target="https://www.gameslore.com/mtg-outlaws-of-thunder-junction-play-booster-pack.html" TargetMode="External"/><Relationship Id="rId182" Type="http://schemas.openxmlformats.org/officeDocument/2006/relationships/hyperlink" Target="https://magicmadhouse.co.uk/magic-the-gathering-doctor-who-commander-deck-paradox-power-universes-beyond-doctor-who" TargetMode="External"/><Relationship Id="rId378" Type="http://schemas.openxmlformats.org/officeDocument/2006/relationships/hyperlink" Target="https://www.doublesleeved.co.uk/products/mtg-lord-of-the-rings-set-booster-box?_pos=9&amp;_fid=173add3df&amp;_ss=c" TargetMode="External"/><Relationship Id="rId403" Type="http://schemas.openxmlformats.org/officeDocument/2006/relationships/hyperlink" Target="https://totalcards.net/collections/magic-the-gathering-booster-boxes/products/magic-the-gathering-innistrad-crimson-vow-set-booster-box-30-packs" TargetMode="External"/><Relationship Id="rId585" Type="http://schemas.openxmlformats.org/officeDocument/2006/relationships/hyperlink" Target="https://www.waylandgames.co.uk/mtg-marvel-super-heroes-collector-commander-deck-wakanda-forever-wtcd53620000-b" TargetMode="External"/><Relationship Id="rId6" Type="http://schemas.openxmlformats.org/officeDocument/2006/relationships/hyperlink" Target="https://www.cardmarket.com/en/Magic/Products/Booster-Boxes/Dominaria-United-Set-Booster-Box?sellerCountry=13&amp;language=1" TargetMode="External"/><Relationship Id="rId238" Type="http://schemas.openxmlformats.org/officeDocument/2006/relationships/hyperlink" Target="https://www.chaoscards.co.uk/prod/booster-boxes-magic/magic-the-gathering-the-lost-caverns-of-ixalan-set-booster-box-30-packs" TargetMode="External"/><Relationship Id="rId445" Type="http://schemas.openxmlformats.org/officeDocument/2006/relationships/hyperlink" Target="https://totalcards.net/collections/magic-the-gathering-booster-boxes/products/magic-the-gathering-theros-beyond-death-collector-booster-box-12-boosters" TargetMode="External"/><Relationship Id="rId487" Type="http://schemas.openxmlformats.org/officeDocument/2006/relationships/hyperlink" Target="https://ashdowngaming.co.uk/collections/magic-the-gathering/products/magic-the-gathering-modern-horizons-3-commander-deck-tricky-terrain" TargetMode="External"/><Relationship Id="rId610" Type="http://schemas.openxmlformats.org/officeDocument/2006/relationships/hyperlink" Target="https://www.firestormgames.co.uk/mtg:-edge-of-eternities-collector-booster-box" TargetMode="External"/><Relationship Id="rId652" Type="http://schemas.openxmlformats.org/officeDocument/2006/relationships/hyperlink" Target="https://www.loadeddice.uk/products/magic-the-gathering-tarkir-dragonstorm-commander-deck-jeskai-striker-pre-order" TargetMode="External"/><Relationship Id="rId694" Type="http://schemas.openxmlformats.org/officeDocument/2006/relationships/hyperlink" Target="https://travellingman.com/collections/magic-the-gathering/products/magic-the-gathering-dominaria-united-set-booster-box" TargetMode="External"/><Relationship Id="rId708" Type="http://schemas.openxmlformats.org/officeDocument/2006/relationships/hyperlink" Target="https://travellingman.com/collections/magic-the-gathering/products/magic-the-gathering-lorwyn-eclipsed-play-booster-box" TargetMode="External"/><Relationship Id="rId291" Type="http://schemas.openxmlformats.org/officeDocument/2006/relationships/hyperlink" Target="https://www.newrealitiesgaming.com/product/magic-the-gathering-lorwyn-eclipsed-commander-deck-dance-of-the-elements/UATPMW4ULPFLTZHRQGWSH43K?cp=true&amp;sa=false&amp;sbp=false&amp;q=false&amp;category_id=WURPHNIAJY3EMKY2GR74TAZH" TargetMode="External"/><Relationship Id="rId305" Type="http://schemas.openxmlformats.org/officeDocument/2006/relationships/hyperlink" Target="https://www.newrealitiesgaming.com/product/magic-the-gathering-doctor-who-commander-deck-blast-from-the-past/2783?cp=true&amp;sa=false&amp;sbp=false&amp;q=false&amp;category_id=WURPHNIAJY3EMKY2GR74TAZH" TargetMode="External"/><Relationship Id="rId347" Type="http://schemas.openxmlformats.org/officeDocument/2006/relationships/hyperlink" Target="https://distro.gg/products/magic-the-gathering-lord-of-the-rings-tales-of-middle-earth-set-booster-box-30-packs" TargetMode="External"/><Relationship Id="rId512" Type="http://schemas.openxmlformats.org/officeDocument/2006/relationships/hyperlink" Target="https://gatheringgames.co.uk/products/magic-the-gathering-modern-horizons-2-set-booster-box" TargetMode="External"/><Relationship Id="rId44" Type="http://schemas.openxmlformats.org/officeDocument/2006/relationships/hyperlink" Target="https://www.chaoscards.co.uk/prod/booster-boxes-magic/magic-the-gathering-kamigawa-neon-dynasty-collector-booster-box-12-packs" TargetMode="External"/><Relationship Id="rId86" Type="http://schemas.openxmlformats.org/officeDocument/2006/relationships/hyperlink" Target="https://www.cardmarket.com/en/Magic/Products/Boosters/Lorwyn-Eclipsed-Play-Booster?sellerCountry=13&amp;language=1" TargetMode="External"/><Relationship Id="rId151" Type="http://schemas.openxmlformats.org/officeDocument/2006/relationships/hyperlink" Target="https://www.gameslore.com/mtg-murders-at-karlov-manor-collector-booster-pack.html" TargetMode="External"/><Relationship Id="rId389" Type="http://schemas.openxmlformats.org/officeDocument/2006/relationships/hyperlink" Target="https://totalcards.net/collections/magic-the-gathering-booster-boxes/products/magic-the-gathering-bloomburrow-collector-booster-box-12-packs" TargetMode="External"/><Relationship Id="rId554" Type="http://schemas.openxmlformats.org/officeDocument/2006/relationships/hyperlink" Target="https://gatheringgames.co.uk/products/magic-the-gathering-avatar-the-last-airbender-play-booster-box" TargetMode="External"/><Relationship Id="rId596" Type="http://schemas.openxmlformats.org/officeDocument/2006/relationships/hyperlink" Target="https://www.waylandgames.co.uk/mtg-ravnica-remastered-draft-booster-box-wtcd23760001-box" TargetMode="External"/><Relationship Id="rId193" Type="http://schemas.openxmlformats.org/officeDocument/2006/relationships/hyperlink" Target="https://magicmadhouse.co.uk/magic-the-gathering-outlaws-of-thunder-junction-commander-deck-desert-bloom-outlaws-of-thunder-junction" TargetMode="External"/><Relationship Id="rId207" Type="http://schemas.openxmlformats.org/officeDocument/2006/relationships/hyperlink" Target="https://magicmadhouse.co.uk/magic-the-gathering-lost-caverns-of-ixalan-commander-deck-veloci-ramp-tor-lost-caverns-of-ixalan" TargetMode="External"/><Relationship Id="rId249" Type="http://schemas.openxmlformats.org/officeDocument/2006/relationships/hyperlink" Target="https://www.chaoscards.co.uk/prod/booster-boxes-magic/magic-the-gathering-edge-of-eternities-play-booster-box-30-packs" TargetMode="External"/><Relationship Id="rId414" Type="http://schemas.openxmlformats.org/officeDocument/2006/relationships/hyperlink" Target="https://totalcards.net/collections/magic-the-gathering-booster-boxes/products/magic-the-gathering-march-of-the-machine-collector-booster-box-12-packs" TargetMode="External"/><Relationship Id="rId456" Type="http://schemas.openxmlformats.org/officeDocument/2006/relationships/hyperlink" Target="https://totalcards.net/collections/magic-the-gathering-booster-boxes/products/magic-the-gathering-wilds-of-eldraine-set-booster-box-30-packs" TargetMode="External"/><Relationship Id="rId498" Type="http://schemas.openxmlformats.org/officeDocument/2006/relationships/hyperlink" Target="https://jetcards.uk/collections/magic-the-gathering/products/magic-the-gathering-bloomburrow-commander-deck-animated-army" TargetMode="External"/><Relationship Id="rId621" Type="http://schemas.openxmlformats.org/officeDocument/2006/relationships/hyperlink" Target="https://www.firestormgames.co.uk/mtg:-final-fantasy-play-booster-box" TargetMode="External"/><Relationship Id="rId663" Type="http://schemas.openxmlformats.org/officeDocument/2006/relationships/hyperlink" Target="https://www.loadeddice.uk/products/mtg-marvel-super-heroes-commander-deck-avengers-assemble" TargetMode="External"/><Relationship Id="rId13" Type="http://schemas.openxmlformats.org/officeDocument/2006/relationships/hyperlink" Target="https://www.cardmarket.com/en/Magic/Products/Booster-Boxes/Innistrad-Crimson-Vow-Set-Booster-Box?sellerCountry=13&amp;language=1" TargetMode="External"/><Relationship Id="rId109" Type="http://schemas.openxmlformats.org/officeDocument/2006/relationships/hyperlink" Target="https://www.cardmarket.com/en/Magic/Products/Boosters/Murders-at-Karlov-Manor-Play-Booster?sellerCountry=13&amp;language=1" TargetMode="External"/><Relationship Id="rId260" Type="http://schemas.openxmlformats.org/officeDocument/2006/relationships/hyperlink" Target="https://www.newrealitiesgaming.com/product/magic-the-gathering-avatar-the-last-airbender-collector-booster-box/BQYJY3ZJHLW5KCM72AWXKM5Q?cp=true&amp;sa=false&amp;sbp=false&amp;q=false&amp;category_id=LFRBPSLQVSXEQAZ7GZ4Y7DIU" TargetMode="External"/><Relationship Id="rId316" Type="http://schemas.openxmlformats.org/officeDocument/2006/relationships/hyperlink" Target="https://collect.thegamecollection.net/products/magic-the-gathering-marvel-super-heroes-commander-deck-avengers-assemble" TargetMode="External"/><Relationship Id="rId523" Type="http://schemas.openxmlformats.org/officeDocument/2006/relationships/hyperlink" Target="https://gatheringgames.co.uk/products/magic-the-gathering-commander-masters-set-booster-box" TargetMode="External"/><Relationship Id="rId719" Type="http://schemas.openxmlformats.org/officeDocument/2006/relationships/hyperlink" Target="https://travellingman.com/collections/magic-the-gathering/products/magic-the-gathering-wilds-of-eldraine-set-booster-box" TargetMode="External"/><Relationship Id="rId55" Type="http://schemas.openxmlformats.org/officeDocument/2006/relationships/hyperlink" Target="https://www.chaoscards.co.uk/prod/booster-boxes-magic/magic-the-gathering-bloomburrow-collector-booster-box-12-packs" TargetMode="External"/><Relationship Id="rId97" Type="http://schemas.openxmlformats.org/officeDocument/2006/relationships/hyperlink" Target="https://www.cardmarket.com/en/Magic/Products/Boosters/Universes-Beyond-Assassins-Creed-Beyond-Booster?sellerCountry=13&amp;language=1" TargetMode="External"/><Relationship Id="rId120" Type="http://schemas.openxmlformats.org/officeDocument/2006/relationships/hyperlink" Target="https://www.cardmarket.com/en/Magic/Products/Boosters/Innistrad-Remastered-Collector-Booster?sellerCountry=13&amp;language=1" TargetMode="External"/><Relationship Id="rId358" Type="http://schemas.openxmlformats.org/officeDocument/2006/relationships/hyperlink" Target="https://axionnow.com/products/aetherdrift-play-booster-display" TargetMode="External"/><Relationship Id="rId565" Type="http://schemas.openxmlformats.org/officeDocument/2006/relationships/hyperlink" Target="https://www.waylandgames.co.uk/mtg-aetherdrift-play-booster-box-wtcd41310001-box" TargetMode="External"/><Relationship Id="rId730" Type="http://schemas.openxmlformats.org/officeDocument/2006/relationships/hyperlink" Target="https://www.chaoscards.co.uk/prod/booster-boxes-magic/magic-the-gathering-murders-at-karlov-manor-play-booster-box-36-packs" TargetMode="External"/><Relationship Id="rId162" Type="http://schemas.openxmlformats.org/officeDocument/2006/relationships/hyperlink" Target="https://www.gameslore.com/mtg-assassin-s-creed-booster-pack.html" TargetMode="External"/><Relationship Id="rId218" Type="http://schemas.openxmlformats.org/officeDocument/2006/relationships/hyperlink" Target="https://www.chaoscards.co.uk/prod/commander-magic/magic-the-gathering-bloomburrow-commander-deck-peace-offering" TargetMode="External"/><Relationship Id="rId425" Type="http://schemas.openxmlformats.org/officeDocument/2006/relationships/hyperlink" Target="https://totalcards.net/collections/magic-the-gathering-booster-boxes/products/magic-the-gatherinng-murders-at-karlov-manor-play-booster-box-36-packs" TargetMode="External"/><Relationship Id="rId467" Type="http://schemas.openxmlformats.org/officeDocument/2006/relationships/hyperlink" Target="https://londonmagictraders.com/products/scions-spellcraft-commander-deck-final-fantasy-magic-mtg-sealed" TargetMode="External"/><Relationship Id="rId632" Type="http://schemas.openxmlformats.org/officeDocument/2006/relationships/hyperlink" Target="https://www.firestormgames.co.uk/mtg:-marvel-super-heroes-play-booster-box" TargetMode="External"/><Relationship Id="rId271" Type="http://schemas.openxmlformats.org/officeDocument/2006/relationships/hyperlink" Target="https://www.newrealitiesgaming.com/product/magic-the-gathering-innistrad-remastered-collector-booster-box/2304?cp=true&amp;sa=false&amp;sbp=false&amp;q=false&amp;category_id=LFRBPSLQVSXEQAZ7GZ4Y7DIU" TargetMode="External"/><Relationship Id="rId674" Type="http://schemas.openxmlformats.org/officeDocument/2006/relationships/hyperlink" Target="https://www.loadeddice.uk/products/mtg-lorwyn-eclipsed-play-booster-box" TargetMode="External"/><Relationship Id="rId24" Type="http://schemas.openxmlformats.org/officeDocument/2006/relationships/hyperlink" Target="https://www.cardmarket.com/en/Magic/Products/Booster-Boxes/Phyrexia-All-Will-Be-One-Set-Booster-Box?sellerCountry=13&amp;language=1" TargetMode="External"/><Relationship Id="rId66" Type="http://schemas.openxmlformats.org/officeDocument/2006/relationships/hyperlink" Target="https://www.cardmarket.com/en/Magic/Products/Booster-Boxes/Innistrad-Remastered-Collector-Booster-Box?sellerCountry=13&amp;language=1" TargetMode="External"/><Relationship Id="rId131" Type="http://schemas.openxmlformats.org/officeDocument/2006/relationships/hyperlink" Target="https://www.cardmarket.com/en/Magic/Products/Boosters/Murders-at-Karlov-Manor-Collector-Booster?sellerCountry=13&amp;language=1" TargetMode="External"/><Relationship Id="rId327" Type="http://schemas.openxmlformats.org/officeDocument/2006/relationships/hyperlink" Target="https://collect.thegamecollection.net/products/magic-the-gathering-tarkir-dragonstorm-commander-deck-mardu-surge" TargetMode="External"/><Relationship Id="rId369" Type="http://schemas.openxmlformats.org/officeDocument/2006/relationships/hyperlink" Target="https://www.hillscards.co.uk/trading-card-games-c78/sealed-products-c92/boosters-c98/magic-the-gathering-teenage-mutant-ninja-turtles-collector-booster-box-sealed-box-of-12-packs-p88720" TargetMode="External"/><Relationship Id="rId534" Type="http://schemas.openxmlformats.org/officeDocument/2006/relationships/hyperlink" Target="https://gatheringgames.co.uk/products/magic-the-gathering-lost-caverns-of-ixalan-collector-booster-box" TargetMode="External"/><Relationship Id="rId576" Type="http://schemas.openxmlformats.org/officeDocument/2006/relationships/hyperlink" Target="https://www.waylandgames.co.uk/mtg-final-fantasy-commander-deck-scions-spellcraft-wtcd38450001-a" TargetMode="External"/><Relationship Id="rId173" Type="http://schemas.openxmlformats.org/officeDocument/2006/relationships/hyperlink" Target="https://magicmadhouse.co.uk/magic-the-gathering-edge-of-eternities-commander-deck-world-shaper-edge-of-eternities" TargetMode="External"/><Relationship Id="rId229" Type="http://schemas.openxmlformats.org/officeDocument/2006/relationships/hyperlink" Target="https://www.chaoscards.co.uk/prod/commander-magic/magic-the-gathering-modern-horizons-3-commander-deck-tricky-terrain" TargetMode="External"/><Relationship Id="rId380" Type="http://schemas.openxmlformats.org/officeDocument/2006/relationships/hyperlink" Target="https://www.doublesleeved.co.uk/products/mtg-avatar-the-last-airbender-collector-booster-box?_pos=12&amp;_fid=173add3df&amp;_ss=c" TargetMode="External"/><Relationship Id="rId436" Type="http://schemas.openxmlformats.org/officeDocument/2006/relationships/hyperlink" Target="https://totalcards.net/collections/magic-the-gathering-booster-boxes/products/magic-the-gathering-tarkir-dragonstorm-collector-booster-box-12-packs" TargetMode="External"/><Relationship Id="rId601" Type="http://schemas.openxmlformats.org/officeDocument/2006/relationships/hyperlink" Target="https://www.waylandgames.co.uk/mtg-tarkir-dragonstorm-commander-deck-temur-roar-wtcd42750001-e" TargetMode="External"/><Relationship Id="rId643" Type="http://schemas.openxmlformats.org/officeDocument/2006/relationships/hyperlink" Target="https://wholesale.hokeypokegames.co.uk/mtg/TKRMTG-magic-the-gathering-tarkir-dragonstorm-play-booster" TargetMode="External"/><Relationship Id="rId240" Type="http://schemas.openxmlformats.org/officeDocument/2006/relationships/hyperlink" Target="https://www.chaoscards.co.uk/prod/booster-boxes-magic/magic-the-gathering-lorwyn-eclipsed-play-booster-box-30-packs" TargetMode="External"/><Relationship Id="rId478" Type="http://schemas.openxmlformats.org/officeDocument/2006/relationships/hyperlink" Target="https://ashdowngaming.co.uk/collections/magic-the-gathering/products/magic-the-gathering-avatar-collectors-booster-box" TargetMode="External"/><Relationship Id="rId685" Type="http://schemas.openxmlformats.org/officeDocument/2006/relationships/hyperlink" Target="https://travellingman.com/collections/magic-the-gathering/products/magic-the-gathering-guilds-of-ravnica-booster-box" TargetMode="External"/><Relationship Id="rId35" Type="http://schemas.openxmlformats.org/officeDocument/2006/relationships/hyperlink" Target="https://www.chaoscards.co.uk/prod/booster-boxes-magic/magic-the-gathering-streets-of-new-capenna-collector-booster-box-12-packs" TargetMode="External"/><Relationship Id="rId77" Type="http://schemas.openxmlformats.org/officeDocument/2006/relationships/hyperlink" Target="https://www.cardmarket.com/en/Magic/Products/Booster-Boxes/Modern-Horizons-3-Collector-Booster-Box?sellerCountry=13&amp;language=1" TargetMode="External"/><Relationship Id="rId100" Type="http://schemas.openxmlformats.org/officeDocument/2006/relationships/hyperlink" Target="https://www.cardmarket.com/en/Magic/Products/Boosters/Phyrexia-All-Will-Be-One-Set-Booster?sellerCountry=13&amp;language=1" TargetMode="External"/><Relationship Id="rId282" Type="http://schemas.openxmlformats.org/officeDocument/2006/relationships/hyperlink" Target="https://www.newrealitiesgaming.com/product/magic-the-gathering-muders-at-karlov-manor-play-booster-box/619?cp=true&amp;sa=false&amp;sbp=false&amp;q=false&amp;category_id=LFRBPSLQVSXEQAZ7GZ4Y7DIU" TargetMode="External"/><Relationship Id="rId338" Type="http://schemas.openxmlformats.org/officeDocument/2006/relationships/hyperlink" Target="https://distro.gg/products/magic-the-gathering-avatar-the-last-airbender-play-booster-box" TargetMode="External"/><Relationship Id="rId503" Type="http://schemas.openxmlformats.org/officeDocument/2006/relationships/hyperlink" Target="https://jetcards.uk/collections/magic-the-gathering/products/magic-the-gathering-commander-masters-collector-booster-box-4-packs" TargetMode="External"/><Relationship Id="rId545" Type="http://schemas.openxmlformats.org/officeDocument/2006/relationships/hyperlink" Target="https://gatheringgames.co.uk/products/magic-the-gathering-outlaws-of-thunder-junction-play-booster-box" TargetMode="External"/><Relationship Id="rId587" Type="http://schemas.openxmlformats.org/officeDocument/2006/relationships/hyperlink" Target="https://www.waylandgames.co.uk/mtg-marvel-super-heroes-commander-deck-doom-prevails-wtcd53610001-d" TargetMode="External"/><Relationship Id="rId710" Type="http://schemas.openxmlformats.org/officeDocument/2006/relationships/hyperlink" Target="https://travellingman.com/collections/magic-the-gathering/products/magic-the-gathering-marvels-spider-man-collector-booster-box" TargetMode="External"/><Relationship Id="rId8" Type="http://schemas.openxmlformats.org/officeDocument/2006/relationships/hyperlink" Target="https://www.cardmarket.com/en/Magic/Products/Booster-Boxes/Edge-of-Eternities-Play-Booster-Box?sellerCountry=13&amp;language=1" TargetMode="External"/><Relationship Id="rId142" Type="http://schemas.openxmlformats.org/officeDocument/2006/relationships/hyperlink" Target="https://www.gameslore.com/mtg-modern-horizons-3-play-booster-pack.html" TargetMode="External"/><Relationship Id="rId184" Type="http://schemas.openxmlformats.org/officeDocument/2006/relationships/hyperlink" Target="https://magicmadhouse.co.uk/magic-the-gathering-commander-masters-commander-deck-enduring-enchantments-commander-masters" TargetMode="External"/><Relationship Id="rId391" Type="http://schemas.openxmlformats.org/officeDocument/2006/relationships/hyperlink" Target="https://totalcards.net/collections/magic-the-gathering-booster-boxes/products/magic-the-gathering-commander-masters-set-booster-box-24-packs" TargetMode="External"/><Relationship Id="rId405" Type="http://schemas.openxmlformats.org/officeDocument/2006/relationships/hyperlink" Target="https://totalcards.net/collections/magic-the-gathering-booster-boxes/products/magic-the-gathering-innistrad-midnight-hunt-set-booster-box-30-packs" TargetMode="External"/><Relationship Id="rId447" Type="http://schemas.openxmlformats.org/officeDocument/2006/relationships/hyperlink" Target="https://totalcards.net/collections/magic-the-gathering-booster-boxes/products/magic-the-gathering-throne-of-eldraine-collector-booster-box-12-boosters" TargetMode="External"/><Relationship Id="rId612" Type="http://schemas.openxmlformats.org/officeDocument/2006/relationships/hyperlink" Target="https://www.firestormgames.co.uk/mtg:-edge-of-eternities-commander-deck---world-shaper" TargetMode="External"/><Relationship Id="rId251" Type="http://schemas.openxmlformats.org/officeDocument/2006/relationships/hyperlink" Target="https://www.chaoscards.co.uk/prod/booster-boxes-magic/magic-the-gathering-phyrexia-all-will-be-one-set-booster-box-30-packs" TargetMode="External"/><Relationship Id="rId489" Type="http://schemas.openxmlformats.org/officeDocument/2006/relationships/hyperlink" Target="https://ashdowngaming.co.uk/collections/magic-the-gathering/products/magic-the-gathering-tarkir-dragonstorm-commander-deck-jeskai-striker" TargetMode="External"/><Relationship Id="rId654" Type="http://schemas.openxmlformats.org/officeDocument/2006/relationships/hyperlink" Target="https://www.loadeddice.uk/products/magic-the-gathering-tarkir-dragonstorm-commander-deck-temur-roar-pre-order" TargetMode="External"/><Relationship Id="rId696" Type="http://schemas.openxmlformats.org/officeDocument/2006/relationships/hyperlink" Target="https://travellingman.com/collections/magic-the-gathering/products/magic-the-gathering-duskmourn-house-of-horror-play-booster-box" TargetMode="External"/><Relationship Id="rId46" Type="http://schemas.openxmlformats.org/officeDocument/2006/relationships/hyperlink" Target="https://www.chaoscards.co.uk/prod/booster-boxes-magic/magic-the-gathering-innistrad-remastered-collector-booster-box-12-packs" TargetMode="External"/><Relationship Id="rId293" Type="http://schemas.openxmlformats.org/officeDocument/2006/relationships/hyperlink" Target="https://www.newrealitiesgaming.com/product/magic-the-gathering-streets-of-new-capenna-commander-deck-bedecked-brokers/IATSIJD7U7KSMD6H7ZGK7QZH?cp=true&amp;sa=false&amp;sbp=false&amp;q=false&amp;category_id=WURPHNIAJY3EMKY2GR74TAZH" TargetMode="External"/><Relationship Id="rId307" Type="http://schemas.openxmlformats.org/officeDocument/2006/relationships/hyperlink" Target="https://www.newrealitiesgaming.com/product/magic-the-gathering-doctor-who-commander-deck-masters-of-evil/2781?cp=true&amp;sa=false&amp;sbp=false&amp;q=false&amp;category_id=WURPHNIAJY3EMKY2GR74TAZH" TargetMode="External"/><Relationship Id="rId349" Type="http://schemas.openxmlformats.org/officeDocument/2006/relationships/hyperlink" Target="https://distro.gg/products/magic-the-gathering-modern-horizons-3---play-booster-box-36-packs" TargetMode="External"/><Relationship Id="rId514" Type="http://schemas.openxmlformats.org/officeDocument/2006/relationships/hyperlink" Target="https://gatheringgames.co.uk/products/magic-the-gathering-streets-of-new-capenna-set-booster-box-30-packs" TargetMode="External"/><Relationship Id="rId556" Type="http://schemas.openxmlformats.org/officeDocument/2006/relationships/hyperlink" Target="https://gatheringgames.co.uk/products/magic-the-gathering-lorwyn-eclipsed-play-booster-box" TargetMode="External"/><Relationship Id="rId721" Type="http://schemas.openxmlformats.org/officeDocument/2006/relationships/hyperlink" Target="https://travellingman.com/collections/magic-the-gathering/products/magic-the-gathering-teenage-mutant-ninja-turtles-play-booster-box" TargetMode="External"/><Relationship Id="rId88" Type="http://schemas.openxmlformats.org/officeDocument/2006/relationships/hyperlink" Target="https://www.cardmarket.com/en/Magic/Products/Boosters/Kaldheim-Set-Booster?sellerCountry=13&amp;language=1" TargetMode="External"/><Relationship Id="rId111" Type="http://schemas.openxmlformats.org/officeDocument/2006/relationships/hyperlink" Target="https://www.cardmarket.com/en/Magic/Products/Boosters/Guilds-of-Ravnica-Booster?sellerCountry=13&amp;language=1" TargetMode="External"/><Relationship Id="rId153" Type="http://schemas.openxmlformats.org/officeDocument/2006/relationships/hyperlink" Target="https://www.gameslore.com/mtg-innistrad-remastered-play-booster-pack.html" TargetMode="External"/><Relationship Id="rId195" Type="http://schemas.openxmlformats.org/officeDocument/2006/relationships/hyperlink" Target="https://magicmadhouse.co.uk/magic-the-gathering-streets-of-new-capenna-commander-deck-bedecked-brokers-streets-of-new-capenna" TargetMode="External"/><Relationship Id="rId209" Type="http://schemas.openxmlformats.org/officeDocument/2006/relationships/hyperlink" Target="https://magicmadhouse.co.uk/magic-the-gathering-doctor-who-commander-deck-timey-wimey-universes-beyond-doctor-who" TargetMode="External"/><Relationship Id="rId360" Type="http://schemas.openxmlformats.org/officeDocument/2006/relationships/hyperlink" Target="https://axionnow.com/products/marvels-spider-man-play-booster-display" TargetMode="External"/><Relationship Id="rId416" Type="http://schemas.openxmlformats.org/officeDocument/2006/relationships/hyperlink" Target="https://totalcards.net/collections/magic-the-gathering-booster-boxes/products/magic-the-gathering-marvel-super-heroes-collector-booster-box-12-packs" TargetMode="External"/><Relationship Id="rId598" Type="http://schemas.openxmlformats.org/officeDocument/2006/relationships/hyperlink" Target="https://www.waylandgames.co.uk/mtg-tarkir-dragonstorm-commander-deck-jeskai-striker-wtcd42750001-b" TargetMode="External"/><Relationship Id="rId220" Type="http://schemas.openxmlformats.org/officeDocument/2006/relationships/hyperlink" Target="https://www.chaoscards.co.uk/prod/commander-magic/magic-the-gathering-aetherdrift-commander-deck-living-energy" TargetMode="External"/><Relationship Id="rId458" Type="http://schemas.openxmlformats.org/officeDocument/2006/relationships/hyperlink" Target="https://londonmagictraders.com/products/animated-army-commander-deck-bloomburrow-mtg-sealed" TargetMode="External"/><Relationship Id="rId623" Type="http://schemas.openxmlformats.org/officeDocument/2006/relationships/hyperlink" Target="https://www.firestormgames.co.uk/mtg:-marvel-super-heroes-collector-booster-box" TargetMode="External"/><Relationship Id="rId665" Type="http://schemas.openxmlformats.org/officeDocument/2006/relationships/hyperlink" Target="https://www.loadeddice.uk/products/mtg-marvel-super-heroes-commander-deck-the-fantastic-four" TargetMode="External"/><Relationship Id="rId15" Type="http://schemas.openxmlformats.org/officeDocument/2006/relationships/hyperlink" Target="https://www.cardmarket.com/en/Magic/Products/Booster-Boxes/Kamigawa-Neon-Dynasty-Set-Booster-Box?sellerCountry=13&amp;language=1" TargetMode="External"/><Relationship Id="rId57" Type="http://schemas.openxmlformats.org/officeDocument/2006/relationships/hyperlink" Target="https://www.chaoscards.co.uk/prod/booster-boxes-magic/magic-the-gathering-assassins-creed-collector-booster-box-12-packs" TargetMode="External"/><Relationship Id="rId262" Type="http://schemas.openxmlformats.org/officeDocument/2006/relationships/hyperlink" Target="https://www.newrealitiesgaming.com/product/magic-the-gathering-aetherdrift-play-booster-box/2484?cp=true&amp;sa=false&amp;sbp=false&amp;q=false&amp;category_id=LFRBPSLQVSXEQAZ7GZ4Y7DIU" TargetMode="External"/><Relationship Id="rId318" Type="http://schemas.openxmlformats.org/officeDocument/2006/relationships/hyperlink" Target="https://collect.thegamecollection.net/products/magic-the-gathering-marvel-super-heroes-commander-deck-wakanda-forever" TargetMode="External"/><Relationship Id="rId525" Type="http://schemas.openxmlformats.org/officeDocument/2006/relationships/hyperlink" Target="https://gatheringgames.co.uk/products/magic-the-gathering-duskmourn-house-of-horrors-play-booster-box" TargetMode="External"/><Relationship Id="rId567" Type="http://schemas.openxmlformats.org/officeDocument/2006/relationships/hyperlink" Target="https://www.waylandgames.co.uk/mtg-commander-masters-commander-deck-planeswalker-party-wtcd20160001-c" TargetMode="External"/><Relationship Id="rId732" Type="http://schemas.openxmlformats.org/officeDocument/2006/relationships/hyperlink" Target="https://www.chaoscards.co.uk/prod/booster-boxes-magic/magic-the-gathering-streets-of-new-capenna-set-booster-box-30-packs" TargetMode="External"/><Relationship Id="rId99" Type="http://schemas.openxmlformats.org/officeDocument/2006/relationships/hyperlink" Target="https://www.cardmarket.com/en/Magic/Products/Boosters/Edge-of-Eternities-Play-Booster?sellerCountry=13&amp;language=1" TargetMode="External"/><Relationship Id="rId122" Type="http://schemas.openxmlformats.org/officeDocument/2006/relationships/hyperlink" Target="https://www.cardmarket.com/en/Magic/Products/Boosters/Kamigawa-Neon-Dynasty-Collector-Booster?sellerCountry=13&amp;language=1" TargetMode="External"/><Relationship Id="rId164" Type="http://schemas.openxmlformats.org/officeDocument/2006/relationships/hyperlink" Target="https://www.gameslore.com/mtg-aetherdrift-play-booster-pack.html" TargetMode="External"/><Relationship Id="rId371" Type="http://schemas.openxmlformats.org/officeDocument/2006/relationships/hyperlink" Target="https://www.hillscards.co.uk/trading-card-games-c78/sealed-products-c92/boosters-c98/magic-the-gathering-lorwyn-eclipsed-play-booster-box-sealead-box-of-30-packs-p88499" TargetMode="External"/><Relationship Id="rId427" Type="http://schemas.openxmlformats.org/officeDocument/2006/relationships/hyperlink" Target="https://totalcards.net/collections/magic-the-gathering-booster-boxes/products/magic-the-gathering-outlaws-of-thunder-junction-play-booster-box-36-packs" TargetMode="External"/><Relationship Id="rId469" Type="http://schemas.openxmlformats.org/officeDocument/2006/relationships/hyperlink" Target="https://cobandpip.co.uk/products/magic-the-gathering-duskmourn-house-of-horror-booster-box-new-sealed-uk" TargetMode="External"/><Relationship Id="rId634" Type="http://schemas.openxmlformats.org/officeDocument/2006/relationships/hyperlink" Target="https://www.firestormgames.co.uk/mtg:-march-of-the-machine-collector-booster-box" TargetMode="External"/><Relationship Id="rId676" Type="http://schemas.openxmlformats.org/officeDocument/2006/relationships/hyperlink" Target="https://www.loadeddice.uk/products/mtg-teenage-mutant-ninja-turtles-play-booster-box" TargetMode="External"/><Relationship Id="rId26" Type="http://schemas.openxmlformats.org/officeDocument/2006/relationships/hyperlink" Target="https://www.chaoscards.co.uk/prod/booster-boxes-magic/magic-the-gathering-lord-of-the-rings-tales-of-middle-earth-collector-booster-box-12-packs" TargetMode="External"/><Relationship Id="rId231" Type="http://schemas.openxmlformats.org/officeDocument/2006/relationships/hyperlink" Target="https://www.chaoscards.co.uk/prod/commander-magic/magic-the-gathering-bloomburrow-commander-deck-squirreled-away" TargetMode="External"/><Relationship Id="rId273" Type="http://schemas.openxmlformats.org/officeDocument/2006/relationships/hyperlink" Target="https://www.newrealitiesgaming.com/product/magic-the-gathering-kaldheim-collector-booster-box/3087?cp=true&amp;sa=false&amp;sbp=false&amp;q=false&amp;category_id=LFRBPSLQVSXEQAZ7GZ4Y7DIU" TargetMode="External"/><Relationship Id="rId329" Type="http://schemas.openxmlformats.org/officeDocument/2006/relationships/hyperlink" Target="https://collect.thegamecollection.net/products/magic-the-gathering-tarkir-dragonstorm-commander-deck-temur-roar" TargetMode="External"/><Relationship Id="rId480" Type="http://schemas.openxmlformats.org/officeDocument/2006/relationships/hyperlink" Target="https://ashdowngaming.co.uk/collections/magic-the-gathering/products/magic-the-gathering-final-fantasy-commander-deck-limit-break" TargetMode="External"/><Relationship Id="rId536" Type="http://schemas.openxmlformats.org/officeDocument/2006/relationships/hyperlink" Target="https://gatheringgames.co.uk/products/magic-the-gathering-march-of-the-machine-collector-booster-box" TargetMode="External"/><Relationship Id="rId701" Type="http://schemas.openxmlformats.org/officeDocument/2006/relationships/hyperlink" Target="https://travellingman.com/collections/magic-the-gathering/products/magic-the-gathering-foundations-play-booster-box" TargetMode="External"/><Relationship Id="rId68" Type="http://schemas.openxmlformats.org/officeDocument/2006/relationships/hyperlink" Target="https://www.cardmarket.com/en/Magic/Products/Booster-Boxes/Kaldheim-Collector-Booster-Box?sellerCountry=13&amp;language=1" TargetMode="External"/><Relationship Id="rId133" Type="http://schemas.openxmlformats.org/officeDocument/2006/relationships/hyperlink" Target="https://www.cardmarket.com/en/Magic/Products/Boosters/Phyrexia-All-Will-Be-One-Collector-Booster?sellerCountry=13&amp;language=1" TargetMode="External"/><Relationship Id="rId175" Type="http://schemas.openxmlformats.org/officeDocument/2006/relationships/hyperlink" Target="https://magicmadhouse.co.uk/magic-the-gathering-tarkir-dragonstorm-commander-deck-jeskai-striker-tarkir-dragonstorm" TargetMode="External"/><Relationship Id="rId340" Type="http://schemas.openxmlformats.org/officeDocument/2006/relationships/hyperlink" Target="https://distro.gg/products/magic-the-gathering-commander-masters-set-booster-box-24" TargetMode="External"/><Relationship Id="rId578" Type="http://schemas.openxmlformats.org/officeDocument/2006/relationships/hyperlink" Target="https://www.waylandgames.co.uk/mtg-lorwyn-eclipsed-commander-deck-blight-curse-wtcd50750001-a" TargetMode="External"/><Relationship Id="rId200" Type="http://schemas.openxmlformats.org/officeDocument/2006/relationships/hyperlink" Target="https://magicmadhouse.co.uk/magic-the-gathering-the-brothers-war-commander-deck-mishras-burnished-banner-the-brothers-war" TargetMode="External"/><Relationship Id="rId382" Type="http://schemas.openxmlformats.org/officeDocument/2006/relationships/hyperlink" Target="https://www.doublesleeved.co.uk/products/mtg-commander-masters-2023-collector-booster-box?_pos=21&amp;_fid=173add3df&amp;_ss=c" TargetMode="External"/><Relationship Id="rId438" Type="http://schemas.openxmlformats.org/officeDocument/2006/relationships/hyperlink" Target="https://totalcards.net/collections/magic-the-gathering-booster-boxes/products/magic-the-gathering-the-brothers-war-collector-booster-box-12-packs" TargetMode="External"/><Relationship Id="rId603" Type="http://schemas.openxmlformats.org/officeDocument/2006/relationships/hyperlink" Target="https://www.waylandgames.co.uk/mtg-teenage-mutant-ninja-turtles-collector-booster-box-wtcd51650000-box" TargetMode="External"/><Relationship Id="rId645" Type="http://schemas.openxmlformats.org/officeDocument/2006/relationships/hyperlink" Target="https://www.loadeddice.uk/products/magic-the-gathering-marvel-super-heroes-play-booster-box" TargetMode="External"/><Relationship Id="rId687" Type="http://schemas.openxmlformats.org/officeDocument/2006/relationships/hyperlink" Target="https://travellingman.com/collections/magic-the-gathering/products/magic-the-gathering-war-of-the-spark-booster-box" TargetMode="External"/><Relationship Id="rId242" Type="http://schemas.openxmlformats.org/officeDocument/2006/relationships/hyperlink" Target="https://www.chaoscards.co.uk/prod/booster-boxes-magic/magic-the-gathering-innistrad-crimson-vow-set-booster-box-30-packs" TargetMode="External"/><Relationship Id="rId284" Type="http://schemas.openxmlformats.org/officeDocument/2006/relationships/hyperlink" Target="https://www.newrealitiesgaming.com/product/magic-the-gathering-outlaws-of-thunder-junction-collector-booster-box/722?cp=true&amp;sa=false&amp;sbp=false&amp;q=false&amp;category_id=LFRBPSLQVSXEQAZ7GZ4Y7DIU" TargetMode="External"/><Relationship Id="rId491" Type="http://schemas.openxmlformats.org/officeDocument/2006/relationships/hyperlink" Target="https://ashdowngaming.co.uk/collections/magic-the-gathering/products/mtg-teenage-mutant-ninja-turtles-play-booster-30-preorder-cutoff-14-11-25" TargetMode="External"/><Relationship Id="rId505" Type="http://schemas.openxmlformats.org/officeDocument/2006/relationships/hyperlink" Target="https://totalcards.net/products/magic-the-gathering-commander-masters-collector-booster-box-4-packs?_pos=3&amp;_sid=bae878257&amp;_ss=r" TargetMode="External"/><Relationship Id="rId712" Type="http://schemas.openxmlformats.org/officeDocument/2006/relationships/hyperlink" Target="https://travellingman.com/collections/magic-the-gathering/products/magic-the-gathering-modern-horizon-3-play-booster-box" TargetMode="External"/><Relationship Id="rId37" Type="http://schemas.openxmlformats.org/officeDocument/2006/relationships/hyperlink" Target="https://www.chaoscards.co.uk/prod/booster-boxes-magic/magic-the-gathering-phyrexia-all-will-be-one-collector-booster-box-12-packs" TargetMode="External"/><Relationship Id="rId79" Type="http://schemas.openxmlformats.org/officeDocument/2006/relationships/hyperlink" Target="https://www.cardmarket.com/en/Magic/Products/Booster-Boxes/Outlaws-of-Thunder-Junction-Collector-Booster-Box?sellerCountry=13&amp;language=1" TargetMode="External"/><Relationship Id="rId102" Type="http://schemas.openxmlformats.org/officeDocument/2006/relationships/hyperlink" Target="https://www.cardmarket.com/en/Magic/Products/Boosters/Kamigawa-Neon-Dynasty-Set-Booster?sellerCountry=13&amp;language=1" TargetMode="External"/><Relationship Id="rId144" Type="http://schemas.openxmlformats.org/officeDocument/2006/relationships/hyperlink" Target="https://www.gameslore.com/mtg-modern-horizons-3-collector-s-booster-pack.html" TargetMode="External"/><Relationship Id="rId547" Type="http://schemas.openxmlformats.org/officeDocument/2006/relationships/hyperlink" Target="https://gatheringgames.co.uk/products/magic-the-gathering-phyrexia-all-will-be-one-set-booster-box" TargetMode="External"/><Relationship Id="rId589" Type="http://schemas.openxmlformats.org/officeDocument/2006/relationships/hyperlink" Target="https://www.waylandgames.co.uk/mtg-marvel-super-heroes-commander-deck-wakanda-forever-wtcd53610001-b" TargetMode="External"/><Relationship Id="rId90" Type="http://schemas.openxmlformats.org/officeDocument/2006/relationships/hyperlink" Target="https://www.cardmarket.com/en/Magic/Products/Boosters/Outlaws-of-Thunder-Junction-Play-Booster?sellerCountry=13&amp;language=1" TargetMode="External"/><Relationship Id="rId186" Type="http://schemas.openxmlformats.org/officeDocument/2006/relationships/hyperlink" Target="https://magicmadhouse.co.uk/magic-the-gathering-doctor-who-commander-deck-masters-of-evil-universes-beyond-doctor-who" TargetMode="External"/><Relationship Id="rId351" Type="http://schemas.openxmlformats.org/officeDocument/2006/relationships/hyperlink" Target="https://distro.gg/products/magic-the-gathering-lorwyn-eclipsed-collector-booster" TargetMode="External"/><Relationship Id="rId393" Type="http://schemas.openxmlformats.org/officeDocument/2006/relationships/hyperlink" Target="https://totalcards.net/collections/magic-the-gathering-booster-boxes/products/magic-the-gathering-dominaria-united-collector-booster-box-12-packs" TargetMode="External"/><Relationship Id="rId407" Type="http://schemas.openxmlformats.org/officeDocument/2006/relationships/hyperlink" Target="https://totalcards.net/collections/magic-the-gathering-booster-boxes/products/magic-the-gathering-innistrad-remastered-play-booster-box-36-packs" TargetMode="External"/><Relationship Id="rId449" Type="http://schemas.openxmlformats.org/officeDocument/2006/relationships/hyperlink" Target="https://totalcards.net/collections/magic-the-gathering-booster-boxes/products/magic-the-gathering-universes-beyond-assassin-s-creed-collector-booster-box-12-packs" TargetMode="External"/><Relationship Id="rId614" Type="http://schemas.openxmlformats.org/officeDocument/2006/relationships/hyperlink" Target="https://www.firestormgames.co.uk/mtg:-modern-horizons-3-commander-deck---creative-energy" TargetMode="External"/><Relationship Id="rId656" Type="http://schemas.openxmlformats.org/officeDocument/2006/relationships/hyperlink" Target="https://www.loadeddice.uk/products/magic-the-gathering-lost-caverns-of-ixalan-set-booster-box-release-date-17-11-23" TargetMode="External"/><Relationship Id="rId211" Type="http://schemas.openxmlformats.org/officeDocument/2006/relationships/hyperlink" Target="https://magicmadhouse.co.uk/magic-the-gathering-bloomburrow-commander-deck-peace-offering-bloomburrow" TargetMode="External"/><Relationship Id="rId253" Type="http://schemas.openxmlformats.org/officeDocument/2006/relationships/hyperlink" Target="https://www.chaoscards.co.uk/prod/booster-boxes-magic/magic-the-gathering-kamigawa-neon-dynasty-set-booster-box-30-packs" TargetMode="External"/><Relationship Id="rId295" Type="http://schemas.openxmlformats.org/officeDocument/2006/relationships/hyperlink" Target="https://www.newrealitiesgaming.com/product/magic-the-gathering-streets-of-new-capenna-commander-deck-obscura-operation/U5233TTN3HULWDDIC5HUUEG7?cp=true&amp;sa=false&amp;sbp=false&amp;q=false&amp;category_id=WURPHNIAJY3EMKY2GR74TAZH" TargetMode="External"/><Relationship Id="rId309" Type="http://schemas.openxmlformats.org/officeDocument/2006/relationships/hyperlink" Target="https://www.newrealitiesgaming.com/product/magic-the-gathering-final-fantasy-commander-deck-counter-blitz/2772?cp=true&amp;sa=false&amp;sbp=false&amp;q=false&amp;category_id=WURPHNIAJY3EMKY2GR74TAZH" TargetMode="External"/><Relationship Id="rId460" Type="http://schemas.openxmlformats.org/officeDocument/2006/relationships/hyperlink" Target="https://londonmagictraders.com/products/explorers-of-the-deep-commander-deck-the-lost-caverns-of-ixalan-mtg-sealed-1" TargetMode="External"/><Relationship Id="rId516" Type="http://schemas.openxmlformats.org/officeDocument/2006/relationships/hyperlink" Target="https://gatheringgames.co.uk/products/magic-the-gathering-universes-beyond-assassins-creed-collector-booster-box" TargetMode="External"/><Relationship Id="rId698" Type="http://schemas.openxmlformats.org/officeDocument/2006/relationships/hyperlink" Target="https://travellingman.com/collections/magic-the-gathering/products/magic-the-gathering-edge-of-eternities-play-booster-box" TargetMode="External"/><Relationship Id="rId48" Type="http://schemas.openxmlformats.org/officeDocument/2006/relationships/hyperlink" Target="https://www.chaoscards.co.uk/prod/booster-boxes-magic/magic-the-gathering-innistrad-midnight-hunt-collector-booster-box-12-packs" TargetMode="External"/><Relationship Id="rId113" Type="http://schemas.openxmlformats.org/officeDocument/2006/relationships/hyperlink" Target="https://www.cardmarket.com/en/Magic/Products/Boosters/Bloomburrow-Collector-Booster?sellerCountry=13&amp;language=1" TargetMode="External"/><Relationship Id="rId320" Type="http://schemas.openxmlformats.org/officeDocument/2006/relationships/hyperlink" Target="https://collect.thegamecollection.net/products/magic-the-gathering-marvel-super-heroes-jumpstart-booster-box-24" TargetMode="External"/><Relationship Id="rId558" Type="http://schemas.openxmlformats.org/officeDocument/2006/relationships/hyperlink" Target="https://gatheringgames.co.uk/products/magic-the-gathering-marvel-super-heroes-jumpstart-booster-box" TargetMode="External"/><Relationship Id="rId723" Type="http://schemas.openxmlformats.org/officeDocument/2006/relationships/hyperlink" Target="https://www.doublesleeved.co.uk/products/mtg-bloomburrow-play-booster-box?_pos=3&amp;_sid=2defcea60&amp;_ss=r" TargetMode="External"/><Relationship Id="rId155" Type="http://schemas.openxmlformats.org/officeDocument/2006/relationships/hyperlink" Target="https://www.gameslore.com/mtg-innistrad-remastered-collector-booster-pack.html" TargetMode="External"/><Relationship Id="rId197" Type="http://schemas.openxmlformats.org/officeDocument/2006/relationships/hyperlink" Target="https://magicmadhouse.co.uk/magic-the-gathering-final-fantasy-commander-deck-scions-spellcraft-final-fantasy" TargetMode="External"/><Relationship Id="rId362" Type="http://schemas.openxmlformats.org/officeDocument/2006/relationships/hyperlink" Target="https://axionnow.com/products/aetherdrift-collector-booster-display" TargetMode="External"/><Relationship Id="rId418" Type="http://schemas.openxmlformats.org/officeDocument/2006/relationships/hyperlink" Target="https://totalcards.net/collections/magic-the-gathering-booster-boxes/products/magic-the-gathering-marvels-spider-man-collector-booster-box-12-packs" TargetMode="External"/><Relationship Id="rId625" Type="http://schemas.openxmlformats.org/officeDocument/2006/relationships/hyperlink" Target="https://www.firestormgames.co.uk/mtg:-marvel-super-heroes-collector-commander-deck---doom-prevails" TargetMode="External"/><Relationship Id="rId222" Type="http://schemas.openxmlformats.org/officeDocument/2006/relationships/hyperlink" Target="https://www.chaoscards.co.uk/prod/commander-magic/magic-the-gathering-modern-horizons-3-commander-deck-graveyard-overdrive" TargetMode="External"/><Relationship Id="rId264" Type="http://schemas.openxmlformats.org/officeDocument/2006/relationships/hyperlink" Target="https://www.newrealitiesgaming.com/product/magic-the-gathering-assassins-creed-collector-booster-box/934?cp=true&amp;sa=false&amp;sbp=false&amp;q=false&amp;category_id=LFRBPSLQVSXEQAZ7GZ4Y7DIU" TargetMode="External"/><Relationship Id="rId471" Type="http://schemas.openxmlformats.org/officeDocument/2006/relationships/hyperlink" Target="https://crazygamer.uk/magic-the-gathering-mtg-mtg-sealed-c-79_647/magic-the-gathering-mtg-aetherdrift-play-booster-box-p-20341" TargetMode="External"/><Relationship Id="rId667" Type="http://schemas.openxmlformats.org/officeDocument/2006/relationships/hyperlink" Target="https://www.loadeddice.uk/products/magic-the-gathering-modern-horizons-3-play-booster-box" TargetMode="External"/><Relationship Id="rId17" Type="http://schemas.openxmlformats.org/officeDocument/2006/relationships/hyperlink" Target="https://www.cardmarket.com/en/Magic/Products/Booster-Boxes/March-of-the-Machine-Set-Booster-Box?sellerCountry=13&amp;language=1" TargetMode="External"/><Relationship Id="rId59" Type="http://schemas.openxmlformats.org/officeDocument/2006/relationships/hyperlink" Target="https://www.cardmarket.com/en/Magic/Products/Booster-Boxes/Aetherdrift-Collector-Booster-Box?sellerCountry=13&amp;language=1" TargetMode="External"/><Relationship Id="rId124" Type="http://schemas.openxmlformats.org/officeDocument/2006/relationships/hyperlink" Target="https://www.cardmarket.com/en/Magic/Products/Boosters/Magic-The-Gathering-Avatar-The-Last-Airbender-Collector-Booster?sellerCountry=13&amp;language=1" TargetMode="External"/><Relationship Id="rId527" Type="http://schemas.openxmlformats.org/officeDocument/2006/relationships/hyperlink" Target="https://gatheringgames.co.uk/products/magic-the-gathering-edge-of-eternities-play-booster-box" TargetMode="External"/><Relationship Id="rId569" Type="http://schemas.openxmlformats.org/officeDocument/2006/relationships/hyperlink" Target="https://www.waylandgames.co.uk/mtg-edge-of-eternities-collector-booster-box-wtcd44490000-box" TargetMode="External"/><Relationship Id="rId734" Type="http://schemas.openxmlformats.org/officeDocument/2006/relationships/hyperlink" Target="https://www.chaoscards.co.uk/prod/booster-boxes-magic/magic-the-gathering-secrets-of-strixhaven-play-booster-box-30-packs" TargetMode="External"/><Relationship Id="rId70" Type="http://schemas.openxmlformats.org/officeDocument/2006/relationships/hyperlink" Target="https://www.cardmarket.com/en/Magic/Products/Booster-Boxes/Lorwyn-Eclipsed-Collector-Booster-Box?sellerCountry=13&amp;language=1" TargetMode="External"/><Relationship Id="rId166" Type="http://schemas.openxmlformats.org/officeDocument/2006/relationships/hyperlink" Target="https://www.gameslore.com/mtg-aetherdrift-collector-booster-pack.html" TargetMode="External"/><Relationship Id="rId331" Type="http://schemas.openxmlformats.org/officeDocument/2006/relationships/hyperlink" Target="https://collect.thegamecollection.net/products/magic-the-gathering-teenage-mutant-ninja-turtles-play-booster-display" TargetMode="External"/><Relationship Id="rId373" Type="http://schemas.openxmlformats.org/officeDocument/2006/relationships/hyperlink" Target="https://www.hillscards.co.uk/trading-card-games-c78/sealed-products-c92/boosters-c98/magic-the-gathering-the-brothers-war-collector-booster-box-sealed-box-of-12-packs-p71785" TargetMode="External"/><Relationship Id="rId429" Type="http://schemas.openxmlformats.org/officeDocument/2006/relationships/hyperlink" Target="https://totalcards.net/collections/magic-the-gathering-booster-boxes/products/magic-the-gathering-ravnica-remastered-collector-booster-box-12-packs" TargetMode="External"/><Relationship Id="rId580" Type="http://schemas.openxmlformats.org/officeDocument/2006/relationships/hyperlink" Target="https://www.waylandgames.co.uk/mtg-lorwyn-eclipsed-play-booster-box-wtcd50710001-box" TargetMode="External"/><Relationship Id="rId636" Type="http://schemas.openxmlformats.org/officeDocument/2006/relationships/hyperlink" Target="https://wholesale.hokeypokegames.co.uk/mtg/MTGAVATARPLAY-magic-the-gathering-the-last-airbender-play-booster-box" TargetMode="External"/><Relationship Id="rId1" Type="http://schemas.openxmlformats.org/officeDocument/2006/relationships/hyperlink" Target="https://www.cardmarket.com/en/Magic/Products/Booster-Boxes/Aetherdrift-Play-Booster-Box?sellerCountry=13&amp;language=1" TargetMode="External"/><Relationship Id="rId233" Type="http://schemas.openxmlformats.org/officeDocument/2006/relationships/hyperlink" Target="https://www.chaoscards.co.uk/prod/commander-magic/magic-the-gathering-tarkir-dragonstorm-commander-deck-temur-roar" TargetMode="External"/><Relationship Id="rId440" Type="http://schemas.openxmlformats.org/officeDocument/2006/relationships/hyperlink" Target="https://totalcards.net/collections/magic-the-gathering-booster-boxes/products/magic-the-gathering-the-lord-of-the-rings-tales-of-middle-earth-collector-booster-box-12-packs" TargetMode="External"/><Relationship Id="rId678" Type="http://schemas.openxmlformats.org/officeDocument/2006/relationships/hyperlink" Target="https://travellingman.com/collections/magic-the-gathering/products/magic-the-gathering-innistrad-midnight-hunt-collector-booster-box" TargetMode="External"/><Relationship Id="rId28" Type="http://schemas.openxmlformats.org/officeDocument/2006/relationships/hyperlink" Target="https://www.chaoscards.co.uk/prod/booster-boxes-magic/magic-the-gathering-throne-of-eldraine-collector-booster-box-12-packs-1-183231" TargetMode="External"/><Relationship Id="rId275" Type="http://schemas.openxmlformats.org/officeDocument/2006/relationships/hyperlink" Target="https://www.newrealitiesgaming.com/product/magic-the-gathering-lorwyn-eclipsed-collector-booster-box/WKWMT7GCPFL3NW66PTBCPSUZ?cp=true&amp;sa=false&amp;sbp=false&amp;q=false&amp;category_id=LFRBPSLQVSXEQAZ7GZ4Y7DIU" TargetMode="External"/><Relationship Id="rId300" Type="http://schemas.openxmlformats.org/officeDocument/2006/relationships/hyperlink" Target="https://www.newrealitiesgaming.com/product/magic-the-gathering-tarkir-dragonstorm-commander-deck-temur-roar/2793?cp=true&amp;sa=false&amp;sbp=false&amp;q=false&amp;category_id=WURPHNIAJY3EMKY2GR74TAZH" TargetMode="External"/><Relationship Id="rId482" Type="http://schemas.openxmlformats.org/officeDocument/2006/relationships/hyperlink" Target="https://ashdowngaming.co.uk/collections/magic-the-gathering/products/magic-the-gathering-final-fantasy-commander-deck-scions-and-spellcraft" TargetMode="External"/><Relationship Id="rId538" Type="http://schemas.openxmlformats.org/officeDocument/2006/relationships/hyperlink" Target="https://gatheringgames.co.uk/products/magic-the-gathering-marvel-spider-man-collector-booster-box" TargetMode="External"/><Relationship Id="rId703" Type="http://schemas.openxmlformats.org/officeDocument/2006/relationships/hyperlink" Target="https://travellingman.com/collections/magic-the-gathering/products/magic-the-gathering-innistrad-remastered-play-booster-box" TargetMode="External"/><Relationship Id="rId81" Type="http://schemas.openxmlformats.org/officeDocument/2006/relationships/hyperlink" Target="https://www.cardmarket.com/en/Magic/Products/Booster-Boxes/Ravnica-Remastered-Collector-Booster-Box?sellerCountry=13&amp;language=1" TargetMode="External"/><Relationship Id="rId135" Type="http://schemas.openxmlformats.org/officeDocument/2006/relationships/hyperlink" Target="https://www.cardmarket.com/en/Magic/Products/Boosters/Streets-of-New-Capenna-Collector-Booster?sellerCountry=13&amp;language=1" TargetMode="External"/><Relationship Id="rId177" Type="http://schemas.openxmlformats.org/officeDocument/2006/relationships/hyperlink" Target="https://magicmadhouse.co.uk/magic-the-gathering-fallout-commander-deck-science-universes-beyond-fallout" TargetMode="External"/><Relationship Id="rId342" Type="http://schemas.openxmlformats.org/officeDocument/2006/relationships/hyperlink" Target="https://distro.gg/products/magic-the-gathering-edge-of-eternities-play-booster-box" TargetMode="External"/><Relationship Id="rId384" Type="http://schemas.openxmlformats.org/officeDocument/2006/relationships/hyperlink" Target="https://www.doublesleeved.co.uk/products/mtg-dominaria-united-collector-booster-box?_pos=30&amp;_fid=173add3df&amp;_ss=c" TargetMode="External"/><Relationship Id="rId591" Type="http://schemas.openxmlformats.org/officeDocument/2006/relationships/hyperlink" Target="https://www.waylandgames.co.uk/mtg-marvels-spider-man-collector-booster-box-wtcd45270000-box" TargetMode="External"/><Relationship Id="rId605" Type="http://schemas.openxmlformats.org/officeDocument/2006/relationships/hyperlink" Target="https://www.firestormgames.co.uk/mtg:-aetherdrift-commander-deck-eternal-might" TargetMode="External"/><Relationship Id="rId202" Type="http://schemas.openxmlformats.org/officeDocument/2006/relationships/hyperlink" Target="https://magicmadhouse.co.uk/magic-the-gathering-commander-legends-battle-for-baldurs-gate-commander-deck-draconic-dissent-commander-legends-battle-for-baldurs-gate" TargetMode="External"/><Relationship Id="rId244" Type="http://schemas.openxmlformats.org/officeDocument/2006/relationships/hyperlink" Target="https://www.chaoscards.co.uk/prod/booster-boxes-magic/magic-the-gathering-modern-horizons-3-play-booster-box-36-packs" TargetMode="External"/><Relationship Id="rId647" Type="http://schemas.openxmlformats.org/officeDocument/2006/relationships/hyperlink" Target="https://www.loadeddice.uk/products/magic-the-gathering-aetherdrift-commander-deck-living-energy-pre-order" TargetMode="External"/><Relationship Id="rId689" Type="http://schemas.openxmlformats.org/officeDocument/2006/relationships/hyperlink" Target="https://travellingman.com/collections/magic-the-gathering/products/magic-the-gathering-assassins-creed-beyond-booster-box" TargetMode="External"/><Relationship Id="rId39" Type="http://schemas.openxmlformats.org/officeDocument/2006/relationships/hyperlink" Target="https://www.chaoscards.co.uk/prod/booster-boxes-magic/magic-the-gathering-murders-at-karlov-manor-collector-booster-box-12-packs" TargetMode="External"/><Relationship Id="rId286" Type="http://schemas.openxmlformats.org/officeDocument/2006/relationships/hyperlink" Target="https://www.newrealitiesgaming.com/product/magic-the-gathering-ravnica-remastered-draft-booster-box/600?cp=true&amp;sa=false&amp;sbp=false&amp;q=false&amp;category_id=LFRBPSLQVSXEQAZ7GZ4Y7DIU" TargetMode="External"/><Relationship Id="rId451" Type="http://schemas.openxmlformats.org/officeDocument/2006/relationships/hyperlink" Target="https://totalcards.net/collections/magic-the-gathering-booster-boxes/products/magic-the-gathering-universes-beyond-final-fantasy-play-booster-box-30-packs" TargetMode="External"/><Relationship Id="rId493" Type="http://schemas.openxmlformats.org/officeDocument/2006/relationships/hyperlink" Target="https://jetcards.uk/collections/magic-the-gathering/products/magic-the-gathering-aetherdrift-commander-deck-eternal-might" TargetMode="External"/><Relationship Id="rId507" Type="http://schemas.openxmlformats.org/officeDocument/2006/relationships/hyperlink" Target="https://gatheringgames.co.uk/products/mtg-dominaria-united-set-boosters-box" TargetMode="External"/><Relationship Id="rId549" Type="http://schemas.openxmlformats.org/officeDocument/2006/relationships/hyperlink" Target="https://gatheringgames.co.uk/products/magic-the-gathering-ravnica-remastered-draft-booster-box" TargetMode="External"/><Relationship Id="rId714" Type="http://schemas.openxmlformats.org/officeDocument/2006/relationships/hyperlink" Target="https://travellingman.com/collections/magic-the-gathering/products/magic-the-gathering-ravnica-remastered-draft-booster-box" TargetMode="External"/><Relationship Id="rId50" Type="http://schemas.openxmlformats.org/officeDocument/2006/relationships/hyperlink" Target="https://www.chaoscards.co.uk/prod/booster-boxes-magic/magic-the-gathering-edge-of-eternities-collector-booster-box-12-packs" TargetMode="External"/><Relationship Id="rId104" Type="http://schemas.openxmlformats.org/officeDocument/2006/relationships/hyperlink" Target="https://www.cardmarket.com/en/Magic/Products/Boosters/Duskmourn-House-of-Horror-Play-Booster?sellerCountry=13&amp;language=1" TargetMode="External"/><Relationship Id="rId146" Type="http://schemas.openxmlformats.org/officeDocument/2006/relationships/hyperlink" Target="https://www.gameslore.com/mtg-dominaria-united-collector-booster-display.html" TargetMode="External"/><Relationship Id="rId188" Type="http://schemas.openxmlformats.org/officeDocument/2006/relationships/hyperlink" Target="https://magicmadhouse.co.uk/magic-the-gathering-tarkir-dragonstorm-commander-deck-temur-roar-tarkir-dragonstorm" TargetMode="External"/><Relationship Id="rId311" Type="http://schemas.openxmlformats.org/officeDocument/2006/relationships/hyperlink" Target="https://www.newrealitiesgaming.com/product/magic-the-gathering-final-fantasy-commander-deck-limit-break/2769?cp=true&amp;sa=false&amp;sbp=false&amp;q=false&amp;category_id=WURPHNIAJY3EMKY2GR74TAZH" TargetMode="External"/><Relationship Id="rId353" Type="http://schemas.openxmlformats.org/officeDocument/2006/relationships/hyperlink" Target="https://distro.gg/products/magic-the-gathering-lorwyn-eclipsed-commander-deck-dance-of-the-elements" TargetMode="External"/><Relationship Id="rId395" Type="http://schemas.openxmlformats.org/officeDocument/2006/relationships/hyperlink" Target="https://totalcards.net/collections/magic-the-gathering-booster-boxes/products/magic-the-gathering-duskmourn-house-of-horror-collector-booster-box-12-packs" TargetMode="External"/><Relationship Id="rId409" Type="http://schemas.openxmlformats.org/officeDocument/2006/relationships/hyperlink" Target="https://totalcards.net/collections/magic-the-gathering-booster-boxes/products/magic-the-gathering-kaldheim-set-booster-box-30-packs" TargetMode="External"/><Relationship Id="rId560" Type="http://schemas.openxmlformats.org/officeDocument/2006/relationships/hyperlink" Target="https://gatheringgames.co.uk/products/magic-the-gathering-teenage-mutant-ninja-turtles-collector-booster-box" TargetMode="External"/><Relationship Id="rId92" Type="http://schemas.openxmlformats.org/officeDocument/2006/relationships/hyperlink" Target="https://www.cardmarket.com/en/Magic/Products/Boosters/Innistrad-Crimson-Vow-Set-Booster?sellerCountry=13&amp;language=1" TargetMode="External"/><Relationship Id="rId213" Type="http://schemas.openxmlformats.org/officeDocument/2006/relationships/hyperlink" Target="https://magicmadhouse.co.uk/magic-the-gathering-bloomburrow-commander-deck-squirreled-away-bloomburrow" TargetMode="External"/><Relationship Id="rId420" Type="http://schemas.openxmlformats.org/officeDocument/2006/relationships/hyperlink" Target="https://totalcards.net/collections/magic-the-gathering-booster-boxes/products/magic-the-gathering-modern-horizons-2-collector-booster-box-12-packs" TargetMode="External"/><Relationship Id="rId616" Type="http://schemas.openxmlformats.org/officeDocument/2006/relationships/hyperlink" Target="https://www.firestormgames.co.uk/mtg:-marvels-spider-man-collector-booster-box" TargetMode="External"/><Relationship Id="rId658" Type="http://schemas.openxmlformats.org/officeDocument/2006/relationships/hyperlink" Target="https://www.loadeddice.uk/products/magic-the-gathering-ravnica-remastered-collector-booster-box" TargetMode="External"/><Relationship Id="rId255" Type="http://schemas.openxmlformats.org/officeDocument/2006/relationships/hyperlink" Target="https://www.chaoscards.co.uk/prod/booster-boxes-magic/magic-the-gathering-duskmourn-house-of-horror-play-booster-box-36-packs" TargetMode="External"/><Relationship Id="rId297" Type="http://schemas.openxmlformats.org/officeDocument/2006/relationships/hyperlink" Target="https://www.newrealitiesgaming.com/product/magic-the-gathering-kamigawa-neon-dynasty-commander-deck-upgrades-unleashed/U4B4C6PUYKO2IBALQO7RDQBV?cp=true&amp;sa=false&amp;sbp=false&amp;q=false&amp;category_id=WURPHNIAJY3EMKY2GR74TAZH" TargetMode="External"/><Relationship Id="rId462" Type="http://schemas.openxmlformats.org/officeDocument/2006/relationships/hyperlink" Target="https://londonmagictraders.com/products/graveyard-overdrive-deck-commander-modern-horizons-3-mtg-sealed-1" TargetMode="External"/><Relationship Id="rId518" Type="http://schemas.openxmlformats.org/officeDocument/2006/relationships/hyperlink" Target="https://gatheringgames.co.uk/products/magic-the-gathering-aetherdrift-collector-booster-box" TargetMode="External"/><Relationship Id="rId725" Type="http://schemas.openxmlformats.org/officeDocument/2006/relationships/hyperlink" Target="https://www.chaoscards.co.uk/prod/booster-boxes-magic/magic-the-gathering-avatar-the-last-airbender-play-booster-box-30-packs" TargetMode="External"/><Relationship Id="rId115" Type="http://schemas.openxmlformats.org/officeDocument/2006/relationships/hyperlink" Target="https://www.cardmarket.com/en/Magic/Products/Boosters/Dominaria-United-Collector-Booster?sellerCountry=13&amp;language=1" TargetMode="External"/><Relationship Id="rId157" Type="http://schemas.openxmlformats.org/officeDocument/2006/relationships/hyperlink" Target="https://www.gameslore.com/mtg-innistrad-midnight-hunt-collector-booster-display.html" TargetMode="External"/><Relationship Id="rId322" Type="http://schemas.openxmlformats.org/officeDocument/2006/relationships/hyperlink" Target="https://collect.thegamecollection.net/products/magic-the-gathering-marvel-super-heroes-collector-booster-12-count" TargetMode="External"/><Relationship Id="rId364" Type="http://schemas.openxmlformats.org/officeDocument/2006/relationships/hyperlink" Target="https://axionnow.com/products/teenage-mutant-ninja-turtles-collector-booster-display" TargetMode="External"/><Relationship Id="rId61" Type="http://schemas.openxmlformats.org/officeDocument/2006/relationships/hyperlink" Target="https://www.cardmarket.com/en/Magic/Products/Booster-Boxes/Commander-Masters-Collector-Booster-Box?sellerCountry=13&amp;language=1" TargetMode="External"/><Relationship Id="rId199" Type="http://schemas.openxmlformats.org/officeDocument/2006/relationships/hyperlink" Target="https://magicmadhouse.co.uk/magic-the-gathering-murders-at-karlov-manor-commander-deck-deadly-disguise-murders-at-karlov-manor" TargetMode="External"/><Relationship Id="rId571" Type="http://schemas.openxmlformats.org/officeDocument/2006/relationships/hyperlink" Target="https://www.waylandgames.co.uk/mtg-edge-of-eternities-commander-deck-world-shaper-wtcd44500001-a" TargetMode="External"/><Relationship Id="rId627" Type="http://schemas.openxmlformats.org/officeDocument/2006/relationships/hyperlink" Target="https://www.firestormgames.co.uk/mtg:-marvel-super-heroes-collector-commander-deck---wakanda-forever" TargetMode="External"/><Relationship Id="rId669" Type="http://schemas.openxmlformats.org/officeDocument/2006/relationships/hyperlink" Target="https://www.loadeddice.uk/products/mtg-edge-of-eternities-commander-deck-world-shaper" TargetMode="External"/><Relationship Id="rId19" Type="http://schemas.openxmlformats.org/officeDocument/2006/relationships/hyperlink" Target="https://www.cardmarket.com/en/Magic/Products/Booster-Boxes/Modern-Horizons-2-Set-Booster-Box?sellerCountry=13&amp;language=1" TargetMode="External"/><Relationship Id="rId224" Type="http://schemas.openxmlformats.org/officeDocument/2006/relationships/hyperlink" Target="https://www.chaoscards.co.uk/prod/commander-magic/magic-the-gathering-warhammer-40k-the-ruinous-powers-commander-deck" TargetMode="External"/><Relationship Id="rId266" Type="http://schemas.openxmlformats.org/officeDocument/2006/relationships/hyperlink" Target="https://www.newrealitiesgaming.com/product/magic-the-gathering-dominaria-united-set-booster-box/MXI2762SHRCYUMYFEKGZM2GT?cp=true&amp;sa=false&amp;sbp=false&amp;q=false&amp;category_id=LFRBPSLQVSXEQAZ7GZ4Y7DIU" TargetMode="External"/><Relationship Id="rId431" Type="http://schemas.openxmlformats.org/officeDocument/2006/relationships/hyperlink" Target="https://totalcards.net/collections/magic-the-gathering-booster-boxes/products/magic-the-gathering-rivals-of-ixalan-booster-box" TargetMode="External"/><Relationship Id="rId473" Type="http://schemas.openxmlformats.org/officeDocument/2006/relationships/hyperlink" Target="https://crazygamer.uk/magic-the-gathering-mtg-mtg-sealed-c-79_647/mtg-magic-the-gathering-aetherdrift-commander-deck-p-20344" TargetMode="External"/><Relationship Id="rId529" Type="http://schemas.openxmlformats.org/officeDocument/2006/relationships/hyperlink" Target="https://gatheringgames.co.uk/products/magic-the-gathering-final-fantasy-play-booster-box" TargetMode="External"/><Relationship Id="rId680" Type="http://schemas.openxmlformats.org/officeDocument/2006/relationships/hyperlink" Target="https://travellingman.com/collections/magic-the-gathering/products/magic-the-gathering-modern-horizons-2-collector-booster-box" TargetMode="External"/><Relationship Id="rId736" Type="http://schemas.openxmlformats.org/officeDocument/2006/relationships/hyperlink" Target="https://www.chaoscards.co.uk/prod/booster-boxes-magic/magic-the-gathering-war-of-the-spark-booster-box-36-packs" TargetMode="External"/><Relationship Id="rId30" Type="http://schemas.openxmlformats.org/officeDocument/2006/relationships/hyperlink" Target="https://www.chaoscards.co.uk/prod/booster-boxes-magic/magic-the-gathering-the-lost-caverns-of-ixalan-collector-booster-box-12-packs" TargetMode="External"/><Relationship Id="rId126" Type="http://schemas.openxmlformats.org/officeDocument/2006/relationships/hyperlink" Target="https://www.cardmarket.com/en/Magic/Products/Boosters/Magic-The-Gathering-Foundations-Collector-Booster?sellerCountry=13&amp;language=1" TargetMode="External"/><Relationship Id="rId168" Type="http://schemas.openxmlformats.org/officeDocument/2006/relationships/hyperlink" Target="https://www.gameslore.com/mtg-modern-horizons-3-graveyard-overdrive-commander-deck.html" TargetMode="External"/><Relationship Id="rId333" Type="http://schemas.openxmlformats.org/officeDocument/2006/relationships/hyperlink" Target="https://collect.thegamecollection.net/products/magic-the-gathering-fallout-commander-deck-hail-caesar" TargetMode="External"/><Relationship Id="rId540" Type="http://schemas.openxmlformats.org/officeDocument/2006/relationships/hyperlink" Target="https://gatheringgames.co.uk/products/magic-the-gathering-modern-horizons-3-collector-booster-box" TargetMode="External"/><Relationship Id="rId72" Type="http://schemas.openxmlformats.org/officeDocument/2006/relationships/hyperlink" Target="https://www.cardmarket.com/en/Magic/Products/Booster-Boxes/Magic-The-Gathering-FINAL-FANTASY-Collector-Booster-Box?sellerCountry=13&amp;language=1" TargetMode="External"/><Relationship Id="rId375" Type="http://schemas.openxmlformats.org/officeDocument/2006/relationships/hyperlink" Target="https://www.hillscards.co.uk/trading-card-games-c78/sealed-products-c92/decks-c97/magic-the-gathering-the-brothers-war-commander-deck-urzas-iron-alliance-p71789" TargetMode="External"/><Relationship Id="rId582" Type="http://schemas.openxmlformats.org/officeDocument/2006/relationships/hyperlink" Target="https://www.waylandgames.co.uk/mtg-marvel-super-heroes-collector-commander-deck-avengers-assemble-wtcd53620000-a" TargetMode="External"/><Relationship Id="rId638" Type="http://schemas.openxmlformats.org/officeDocument/2006/relationships/hyperlink" Target="https://wholesale.hokeypokegames.co.uk/mtg/magic-the-gathering-assassins-creed-booster-box" TargetMode="External"/><Relationship Id="rId3" Type="http://schemas.openxmlformats.org/officeDocument/2006/relationships/hyperlink" Target="https://www.cardmarket.com/en/Magic/Products/Booster-Boxes/Magic-The-Gathering-Avatar-The-Last-Airbender-Play-Booster-Box?sellerCountry=13&amp;language=1" TargetMode="External"/><Relationship Id="rId235" Type="http://schemas.openxmlformats.org/officeDocument/2006/relationships/hyperlink" Target="https://www.chaoscards.co.uk/prod/commander-magic/magic-the-gathering-doctor-who-commander-deck-blast-from-the-past" TargetMode="External"/><Relationship Id="rId277" Type="http://schemas.openxmlformats.org/officeDocument/2006/relationships/hyperlink" Target="https://www.newrealitiesgaming.com/product/magic-the-gathering-kamigawa-neon-dynasty-set-booster-box/2688?cp=true&amp;sa=false&amp;sbp=false&amp;q=false&amp;category_id=LFRBPSLQVSXEQAZ7GZ4Y7DIU" TargetMode="External"/><Relationship Id="rId400" Type="http://schemas.openxmlformats.org/officeDocument/2006/relationships/hyperlink" Target="https://totalcards.net/collections/magic-the-gathering-booster-boxes/products/magic-the-gathering-foundations-play-booster-box-36-packs" TargetMode="External"/><Relationship Id="rId442" Type="http://schemas.openxmlformats.org/officeDocument/2006/relationships/hyperlink" Target="https://totalcards.net/collections/magic-the-gathering-booster-boxes/products/magic-the-gathering-the-lost-caverns-of-ixalan-collector-booster-box-12-packs" TargetMode="External"/><Relationship Id="rId484" Type="http://schemas.openxmlformats.org/officeDocument/2006/relationships/hyperlink" Target="https://ashdowngaming.co.uk/collections/magic-the-gathering/products/magic-the-gathering-innistrad-remastered-play-booster-box" TargetMode="External"/><Relationship Id="rId705" Type="http://schemas.openxmlformats.org/officeDocument/2006/relationships/hyperlink" Target="https://travellingman.com/collections/magic-the-gathering/products/magic-the-gathering-kamigawa-neon-dynasty-collector-booster-box" TargetMode="External"/><Relationship Id="rId137" Type="http://schemas.openxmlformats.org/officeDocument/2006/relationships/hyperlink" Target="https://www.gameslore.com/mtg-streets-of-new-capenna-set-booster-pack.html" TargetMode="External"/><Relationship Id="rId302" Type="http://schemas.openxmlformats.org/officeDocument/2006/relationships/hyperlink" Target="https://www.newrealitiesgaming.com/product/magic-the-gathering-tarkir-dragonstorm-commander-deck-sultai-arisen/2791?cp=true&amp;sa=false&amp;sbp=false&amp;q=false&amp;category_id=WURPHNIAJY3EMKY2GR74TAZH" TargetMode="External"/><Relationship Id="rId344" Type="http://schemas.openxmlformats.org/officeDocument/2006/relationships/hyperlink" Target="https://distro.gg/products/magic-the-gathering-final-fantasy-collector-booster-box" TargetMode="External"/><Relationship Id="rId691" Type="http://schemas.openxmlformats.org/officeDocument/2006/relationships/hyperlink" Target="https://travellingman.com/collections/magic-the-gathering/products/magic-the-gathering-avatar-the-last-airbender-play-booster-box" TargetMode="External"/><Relationship Id="rId41" Type="http://schemas.openxmlformats.org/officeDocument/2006/relationships/hyperlink" Target="https://www.chaoscards.co.uk/prod/booster-boxes-magic/magic-the-gathering-marvels-spider-man-collector-booster-box-12-packs" TargetMode="External"/><Relationship Id="rId83" Type="http://schemas.openxmlformats.org/officeDocument/2006/relationships/hyperlink" Target="https://www.cardmarket.com/en/Magic/Products/Booster-Boxes/Universes-Beyond-Assassins-Creed-Collector-Booster-Box?sellerCountry=13&amp;language=1" TargetMode="External"/><Relationship Id="rId179" Type="http://schemas.openxmlformats.org/officeDocument/2006/relationships/hyperlink" Target="https://magicmadhouse.co.uk/magic-the-gathering-modern-horizons-3-commander-deck-creative-energy-modern-horizons-3" TargetMode="External"/><Relationship Id="rId386" Type="http://schemas.openxmlformats.org/officeDocument/2006/relationships/hyperlink" Target="https://totalcards.net/collections/magic-the-gathering-booster-boxes/products/magic-the-gathering-aetherdrift-collector-booster-box-12-packs" TargetMode="External"/><Relationship Id="rId551" Type="http://schemas.openxmlformats.org/officeDocument/2006/relationships/hyperlink" Target="https://gatheringgames.co.uk/products/magic-the-gathering-tarkir-dragonstorm-play-booster-box" TargetMode="External"/><Relationship Id="rId593" Type="http://schemas.openxmlformats.org/officeDocument/2006/relationships/hyperlink" Target="https://www.waylandgames.co.uk/mtg-modern-horizons-3-commander-deck-creative-energy-wtcd32930001-cre" TargetMode="External"/><Relationship Id="rId607" Type="http://schemas.openxmlformats.org/officeDocument/2006/relationships/hyperlink" Target="https://www.firestormgames.co.uk/mtg:-aetherdrift-play-booster-box" TargetMode="External"/><Relationship Id="rId649" Type="http://schemas.openxmlformats.org/officeDocument/2006/relationships/hyperlink" Target="https://www.loadeddice.uk/products/magic-the-gathering-foundations-play-booster-box-release-date-15-11-24" TargetMode="External"/><Relationship Id="rId190" Type="http://schemas.openxmlformats.org/officeDocument/2006/relationships/hyperlink" Target="https://magicmadhouse.co.uk/magic-the-gathering-tarkir-dragonstorm-commander-deck-abzan-armor-tarkir-dragonstorm" TargetMode="External"/><Relationship Id="rId204" Type="http://schemas.openxmlformats.org/officeDocument/2006/relationships/hyperlink" Target="https://magicmadhouse.co.uk/magic-the-gathering-phyrexia-all-will-be-one-commander-deck-corrupting-influence-phyrexia-all-will-be-one" TargetMode="External"/><Relationship Id="rId246" Type="http://schemas.openxmlformats.org/officeDocument/2006/relationships/hyperlink" Target="https://www.chaoscards.co.uk/prod/booster-boxes-magic/magic-the-gathering-dominaria-booster-box-36-packs" TargetMode="External"/><Relationship Id="rId288" Type="http://schemas.openxmlformats.org/officeDocument/2006/relationships/hyperlink" Target="https://www.newrealitiesgaming.com/product/magic-the-gathering-tarkir-dragonstorm-collector-booster-box/2786?cp=true&amp;sa=false&amp;sbp=false&amp;q=false&amp;category_id=LFRBPSLQVSXEQAZ7GZ4Y7DIU" TargetMode="External"/><Relationship Id="rId411" Type="http://schemas.openxmlformats.org/officeDocument/2006/relationships/hyperlink" Target="https://totalcards.net/collections/magic-the-gathering-booster-boxes/products/magic-the-gathering-kamigawa-neon-dynasty-set-booster-box-30-packs" TargetMode="External"/><Relationship Id="rId453" Type="http://schemas.openxmlformats.org/officeDocument/2006/relationships/hyperlink" Target="https://totalcards.net/collections/magic-the-gathering-booster-boxes/products/magic-the-gathering-universes-beyond-teenage-mutant-ninja-turtles-play-booster-box-30-packs" TargetMode="External"/><Relationship Id="rId509" Type="http://schemas.openxmlformats.org/officeDocument/2006/relationships/hyperlink" Target="https://gatheringgames.co.uk/products/magic-the-gathering-kamigawa-neon-dynasty-collector-booster-box-12-packs" TargetMode="External"/><Relationship Id="rId660" Type="http://schemas.openxmlformats.org/officeDocument/2006/relationships/hyperlink" Target="https://www.loadeddice.uk/products/mtg-marvel-super-heroes-collector-commander-deck-doom-prevails" TargetMode="External"/><Relationship Id="rId106" Type="http://schemas.openxmlformats.org/officeDocument/2006/relationships/hyperlink" Target="https://www.cardmarket.com/en/Magic/Products/Boosters/Oath-of-the-Gatewatch-Booster?sellerCountry=13&amp;language=1" TargetMode="External"/><Relationship Id="rId313" Type="http://schemas.openxmlformats.org/officeDocument/2006/relationships/hyperlink" Target="https://collect.thegamecollection.net/products/magic-the-gathering-marvel-super-heroes-collector-deck-doom-prevails" TargetMode="External"/><Relationship Id="rId495" Type="http://schemas.openxmlformats.org/officeDocument/2006/relationships/hyperlink" Target="https://jetcards.uk/collections/magic-the-gathering/products/magic-the-gathering-aetherdrift-play-booster-box-30-packs" TargetMode="External"/><Relationship Id="rId716" Type="http://schemas.openxmlformats.org/officeDocument/2006/relationships/hyperlink" Target="https://travellingman.com/collections/magic-the-gathering/products/magic-the-gathering-streets-of-new-capenna-set-booster-box" TargetMode="External"/><Relationship Id="rId10" Type="http://schemas.openxmlformats.org/officeDocument/2006/relationships/hyperlink" Target="https://www.cardmarket.com/en/Magic/Products/Booster-Boxes/Magic-The-Gathering-Foundations-Play-Booster-Box?sellerCountry=13&amp;language=1" TargetMode="External"/><Relationship Id="rId52" Type="http://schemas.openxmlformats.org/officeDocument/2006/relationships/hyperlink" Target="https://www.chaoscards.co.uk/prod/booster-boxes-magic/magic-the-gathering-dominaria-united-collector-booster-box-12-packs" TargetMode="External"/><Relationship Id="rId94" Type="http://schemas.openxmlformats.org/officeDocument/2006/relationships/hyperlink" Target="https://www.cardmarket.com/en/Magic/Products/Boosters/Modern-Horizons-3-Play-Booster?sellerCountry=13&amp;language=1" TargetMode="External"/><Relationship Id="rId148" Type="http://schemas.openxmlformats.org/officeDocument/2006/relationships/hyperlink" Target="https://www.gameslore.com/mtg-ravnica-remastered-draft-booster-display.html" TargetMode="External"/><Relationship Id="rId355" Type="http://schemas.openxmlformats.org/officeDocument/2006/relationships/hyperlink" Target="https://axionnow.com/products/final-fantasy-play-booster-display" TargetMode="External"/><Relationship Id="rId397" Type="http://schemas.openxmlformats.org/officeDocument/2006/relationships/hyperlink" Target="https://totalcards.net/collections/magic-the-gathering-booster-boxes/products/magic-the-gathering-duskmourn-house-of-horror-play-booster-box-36-packs" TargetMode="External"/><Relationship Id="rId520" Type="http://schemas.openxmlformats.org/officeDocument/2006/relationships/hyperlink" Target="https://gatheringgames.co.uk/products/magic-the-gathering-bloomburrow-collector-booster-box" TargetMode="External"/><Relationship Id="rId562" Type="http://schemas.openxmlformats.org/officeDocument/2006/relationships/hyperlink" Target="https://www.waylandgames.co.uk/mtg-avatar-the-last-airbender-play-booster-box-wtc-d45800001-box" TargetMode="External"/><Relationship Id="rId618" Type="http://schemas.openxmlformats.org/officeDocument/2006/relationships/hyperlink" Target="https://www.firestormgames.co.uk/mtg:-teenage-mutant-ninja-turtles-collector-booster-box" TargetMode="External"/><Relationship Id="rId215" Type="http://schemas.openxmlformats.org/officeDocument/2006/relationships/hyperlink" Target="https://www.chaoscards.co.uk/prod/commander-magic/magic-the-gathering-commander-masters-commander-deck-planeswalker-party" TargetMode="External"/><Relationship Id="rId257" Type="http://schemas.openxmlformats.org/officeDocument/2006/relationships/hyperlink" Target="https://www.chaoscards.co.uk/prod/booster-boxes-magic/magic-the-gathering-universes-beyond-final-fantasy-play-booster-box-30-packs" TargetMode="External"/><Relationship Id="rId422" Type="http://schemas.openxmlformats.org/officeDocument/2006/relationships/hyperlink" Target="https://totalcards.net/collections/magic-the-gathering-booster-boxes/products/magic-the-gathering-modern-horizons-3-collector-booster-box-12-packs" TargetMode="External"/><Relationship Id="rId464" Type="http://schemas.openxmlformats.org/officeDocument/2006/relationships/hyperlink" Target="https://londonmagictraders.com/products/living-energy-commander-deck-aetherdrift-mtg-sealed-1" TargetMode="External"/><Relationship Id="rId299" Type="http://schemas.openxmlformats.org/officeDocument/2006/relationships/hyperlink" Target="https://www.newrealitiesgaming.com/product/magic-the-gathering-edge-of-eternities-commander-deck-counter-intelligence/2867?cp=true&amp;sa=false&amp;sbp=false&amp;q=false&amp;category_id=WURPHNIAJY3EMKY2GR74TAZH" TargetMode="External"/><Relationship Id="rId727" Type="http://schemas.openxmlformats.org/officeDocument/2006/relationships/hyperlink" Target="https://www.chaoscards.co.uk/prod/booster-boxes-magic/magic-the-gathering-commander-masters-set-booster-box-24-packs" TargetMode="External"/><Relationship Id="rId63" Type="http://schemas.openxmlformats.org/officeDocument/2006/relationships/hyperlink" Target="https://www.cardmarket.com/en/Magic/Products/Booster-Boxes/Duskmourn-House-of-Horror-Collector-Booster-Box?sellerCountry=13&amp;language=1" TargetMode="External"/><Relationship Id="rId159" Type="http://schemas.openxmlformats.org/officeDocument/2006/relationships/hyperlink" Target="https://www.gameslore.com/mtg-duskmourn-play-booster-display.html" TargetMode="External"/><Relationship Id="rId366" Type="http://schemas.openxmlformats.org/officeDocument/2006/relationships/hyperlink" Target="https://www.hillscards.co.uk/trading-card-games-c78/sealed-products-c92/boosters-c98/magic-the-gathering-avatar-the-last-airbender-play-booster-sealead-box-of-30-packs-p88250" TargetMode="External"/><Relationship Id="rId573" Type="http://schemas.openxmlformats.org/officeDocument/2006/relationships/hyperlink" Target="https://www.waylandgames.co.uk/mtg-final-fantasy-collector-booster-box-wtcd38440000-box" TargetMode="External"/><Relationship Id="rId226" Type="http://schemas.openxmlformats.org/officeDocument/2006/relationships/hyperlink" Target="https://www.chaoscards.co.uk/prod/commander-magic/magic-the-gathering-tarkir-dragonstorm-commander-deck-sultai-arisen" TargetMode="External"/><Relationship Id="rId433" Type="http://schemas.openxmlformats.org/officeDocument/2006/relationships/hyperlink" Target="https://totalcards.net/collections/magic-the-gathering-booster-boxes/products/magic-the-gathering-streets-of-new-capenna-set-booster-box-30-packs" TargetMode="External"/><Relationship Id="rId640" Type="http://schemas.openxmlformats.org/officeDocument/2006/relationships/hyperlink" Target="https://wholesale.hokeypokegames.co.uk/mtg/FFMTG-final-fantasy-en-play-booster-display-30ct" TargetMode="External"/><Relationship Id="rId738" Type="http://schemas.openxmlformats.org/officeDocument/2006/relationships/vmlDrawing" Target="../drawings/vmlDrawing2.vml"/><Relationship Id="rId74" Type="http://schemas.openxmlformats.org/officeDocument/2006/relationships/hyperlink" Target="https://www.cardmarket.com/en/Magic/Products/Booster-Boxes/March-of-the-Machine-Collector-Booster-Box?sellerCountry=13&amp;language=1" TargetMode="External"/><Relationship Id="rId377" Type="http://schemas.openxmlformats.org/officeDocument/2006/relationships/hyperlink" Target="https://www.doublesleeved.co.uk/products/mtg-lord-of-the-rings-collector-booster-box?_pos=5&amp;_fid=173add3df&amp;_ss=c" TargetMode="External"/><Relationship Id="rId500" Type="http://schemas.openxmlformats.org/officeDocument/2006/relationships/hyperlink" Target="https://jetcards.uk/collections/magic-the-gathering/products/magic-the-gathering-bloomburrow-commander-deck-peace-offering" TargetMode="External"/><Relationship Id="rId584" Type="http://schemas.openxmlformats.org/officeDocument/2006/relationships/hyperlink" Target="https://www.waylandgames.co.uk/mtg-marvel-super-heroes-collector-commander-deck-the-fantastic-four-wtcd53620000-c" TargetMode="External"/><Relationship Id="rId5" Type="http://schemas.openxmlformats.org/officeDocument/2006/relationships/hyperlink" Target="https://www.cardmarket.com/en/Magic/Products/Booster-Boxes/Commander-Masters-Set-Booster-Box?sellerCountry=13&amp;language=1" TargetMode="External"/><Relationship Id="rId237" Type="http://schemas.openxmlformats.org/officeDocument/2006/relationships/hyperlink" Target="https://www.chaoscards.co.uk/prod/booster-boxes-magic/magic-the-gathering-set-booster-box-modern-horizons-2" TargetMode="External"/><Relationship Id="rId444" Type="http://schemas.openxmlformats.org/officeDocument/2006/relationships/hyperlink" Target="https://totalcards.net/collections/magic-the-gathering-booster-boxes/products/magic-the-gathering-theros-beyond-death-booster-box-36-packs" TargetMode="External"/><Relationship Id="rId651" Type="http://schemas.openxmlformats.org/officeDocument/2006/relationships/hyperlink" Target="https://www.loadeddice.uk/products/magic-the-gathering-tarkir-dragonstorm-commander-deck-abzan-armor-pre-order" TargetMode="External"/><Relationship Id="rId290" Type="http://schemas.openxmlformats.org/officeDocument/2006/relationships/hyperlink" Target="https://www.newrealitiesgaming.com/product/magic-the-gathering-lorwyn-eclipsed-commander-deck-blight-curse/USAWW4XGZP64B5XJSENZVYLW?cp=true&amp;sa=false&amp;sbp=false&amp;q=false&amp;category_id=WURPHNIAJY3EMKY2GR74TAZH" TargetMode="External"/><Relationship Id="rId304" Type="http://schemas.openxmlformats.org/officeDocument/2006/relationships/hyperlink" Target="https://www.newrealitiesgaming.com/product/magic-the-gathering-tarkir-dragonstorm-commander-deck-abzan-armor/2789?cp=true&amp;sa=false&amp;sbp=false&amp;q=false&amp;category_id=WURPHNIAJY3EMKY2GR74TAZH" TargetMode="External"/><Relationship Id="rId388" Type="http://schemas.openxmlformats.org/officeDocument/2006/relationships/hyperlink" Target="https://totalcards.net/collections/magic-the-gathering-booster-boxes/products/magic-the-gathering-avatar-the-last-airbender-play-booster-box-30-packs" TargetMode="External"/><Relationship Id="rId511" Type="http://schemas.openxmlformats.org/officeDocument/2006/relationships/hyperlink" Target="https://gatheringgames.co.uk/products/copy-of-magic-the-gathering-lord-of-the-rings-tales-of-middle-earth-set-booster" TargetMode="External"/><Relationship Id="rId609" Type="http://schemas.openxmlformats.org/officeDocument/2006/relationships/hyperlink" Target="https://www.firestormgames.co.uk/magic:-the-gathering---duskmourn:-house-of-horrors-play-booster-box" TargetMode="External"/><Relationship Id="rId85" Type="http://schemas.openxmlformats.org/officeDocument/2006/relationships/hyperlink" Target="https://www.cardmarket.com/en/Magic/Products/Boosters/Innistrad-Remastered-Play-Booster?sellerCountry=13&amp;language=1" TargetMode="External"/><Relationship Id="rId150" Type="http://schemas.openxmlformats.org/officeDocument/2006/relationships/hyperlink" Target="https://www.gameslore.com/mtg-murders-at-karlov-manor-play-booster-display.html" TargetMode="External"/><Relationship Id="rId595" Type="http://schemas.openxmlformats.org/officeDocument/2006/relationships/hyperlink" Target="https://www.waylandgames.co.uk/mtg-modern-horizons-3-play-booster-box-wtcd32900001-box" TargetMode="External"/><Relationship Id="rId248" Type="http://schemas.openxmlformats.org/officeDocument/2006/relationships/hyperlink" Target="https://www.chaoscards.co.uk/prod/booster-boxes-magic/magic-the-gathering-marvels-spider-man-play-booster-box-30-packs" TargetMode="External"/><Relationship Id="rId455" Type="http://schemas.openxmlformats.org/officeDocument/2006/relationships/hyperlink" Target="https://totalcards.net/collections/magic-the-gathering-booster-boxes/products/magic-the-gathering-wilds-of-eldraine-collector-booster-box-12-packs" TargetMode="External"/><Relationship Id="rId662" Type="http://schemas.openxmlformats.org/officeDocument/2006/relationships/hyperlink" Target="https://www.loadeddice.uk/products/mtg-marvel-super-heroes-collector-commander-deck-wakanda-forever" TargetMode="External"/><Relationship Id="rId12" Type="http://schemas.openxmlformats.org/officeDocument/2006/relationships/hyperlink" Target="https://www.cardmarket.com/en/Magic/Products/Booster-Boxes/Innistrad-Remastered-Play-Booster-Box?sellerCountry=13&amp;language=1" TargetMode="External"/><Relationship Id="rId108" Type="http://schemas.openxmlformats.org/officeDocument/2006/relationships/hyperlink" Target="https://www.cardmarket.com/en/Magic/Products/Boosters/Bloomburrow-Play-Booster?sellerCountry=13&amp;language=1" TargetMode="External"/><Relationship Id="rId315" Type="http://schemas.openxmlformats.org/officeDocument/2006/relationships/hyperlink" Target="https://collect.thegamecollection.net/products/magic-the-gathering-marvel-super-heroes-collector-deck-wakanda-forever" TargetMode="External"/><Relationship Id="rId522" Type="http://schemas.openxmlformats.org/officeDocument/2006/relationships/hyperlink" Target="https://gatheringgames.co.uk/products/magic-the-gathering-commander-masters-collector-booster" TargetMode="External"/><Relationship Id="rId96" Type="http://schemas.openxmlformats.org/officeDocument/2006/relationships/hyperlink" Target="https://www.cardmarket.com/en/Magic/Products/Boosters/Dominaria-Booster?sellerCountry=13&amp;language=1" TargetMode="External"/><Relationship Id="rId161" Type="http://schemas.openxmlformats.org/officeDocument/2006/relationships/hyperlink" Target="https://www.gameslore.com/mtg-commander-masters-set-booster-display.html" TargetMode="External"/><Relationship Id="rId399" Type="http://schemas.openxmlformats.org/officeDocument/2006/relationships/hyperlink" Target="https://totalcards.net/collections/magic-the-gathering-booster-boxes/products/magic-the-gathering-foundations-collector-booster-box-12-packs" TargetMode="External"/><Relationship Id="rId259" Type="http://schemas.openxmlformats.org/officeDocument/2006/relationships/hyperlink" Target="https://www.newrealitiesgaming.com/product/magic-the-gathering-avatar-the-last-airbender-play-booster-box/KRYGO6TLQPL6XFOGRKDVDXY7?cp=true&amp;sa=false&amp;sbp=false&amp;q=false&amp;category_id=LFRBPSLQVSXEQAZ7GZ4Y7DIU" TargetMode="External"/><Relationship Id="rId466" Type="http://schemas.openxmlformats.org/officeDocument/2006/relationships/hyperlink" Target="https://londonmagictraders.com/products/revival-trance-commander-deck-final-fantasy-magic-mtg-sealed" TargetMode="External"/><Relationship Id="rId673" Type="http://schemas.openxmlformats.org/officeDocument/2006/relationships/hyperlink" Target="https://www.loadeddice.uk/products/mtg-lorwyn-eclipsed-commander-deck-dance-of-the-elements" TargetMode="External"/><Relationship Id="rId23" Type="http://schemas.openxmlformats.org/officeDocument/2006/relationships/hyperlink" Target="https://www.cardmarket.com/en/Magic/Products/Booster-Boxes/Outlaws-of-Thunder-Junction-Play-Booster-Box?sellerCountry=13&amp;language=1" TargetMode="External"/><Relationship Id="rId119" Type="http://schemas.openxmlformats.org/officeDocument/2006/relationships/hyperlink" Target="https://www.cardmarket.com/en/Magic/Products/Boosters/Innistrad-Midnight-Hunt-Collector-Booster?sellerCountry=13&amp;language=1" TargetMode="External"/><Relationship Id="rId326" Type="http://schemas.openxmlformats.org/officeDocument/2006/relationships/hyperlink" Target="https://collect.thegamecollection.net/products/magic-the-gathering-tarkir-dragonstorm-commander-deck-jeskai-striker" TargetMode="External"/><Relationship Id="rId533" Type="http://schemas.openxmlformats.org/officeDocument/2006/relationships/hyperlink" Target="https://gatheringgames.co.uk/products/magic-the-gathering-kamigawa-neon-dynasty-set-booster-box-30-packs" TargetMode="External"/><Relationship Id="rId740" Type="http://schemas.openxmlformats.org/officeDocument/2006/relationships/comments" Target="../comments2.xml"/><Relationship Id="rId172" Type="http://schemas.openxmlformats.org/officeDocument/2006/relationships/hyperlink" Target="https://magicmadhouse.co.uk/magic-the-gathering-kamigawa-neon-dynasty-commander-deck-upgrades-unleashed-kamigawa-neon-dynasty" TargetMode="External"/><Relationship Id="rId477" Type="http://schemas.openxmlformats.org/officeDocument/2006/relationships/hyperlink" Target="https://ashdowngaming.co.uk/collections/magic-the-gathering/products/magic-the-gathering-aetherdrift-play-booster-box" TargetMode="External"/><Relationship Id="rId600" Type="http://schemas.openxmlformats.org/officeDocument/2006/relationships/hyperlink" Target="https://www.waylandgames.co.uk/mtg-tarkir-dragonstorm-commander-deck-sultai-arisen-wtcd42750001-c" TargetMode="External"/><Relationship Id="rId684" Type="http://schemas.openxmlformats.org/officeDocument/2006/relationships/hyperlink" Target="https://travellingman.com/collections/magic-the-gathering/products/magic-the-gathering-theros-beyond-death-collector-booster-box" TargetMode="External"/><Relationship Id="rId337" Type="http://schemas.openxmlformats.org/officeDocument/2006/relationships/hyperlink" Target="https://distro.gg/products/magic-the-gathering-tarkir-dragonstorm-play-booster-box-30-packs" TargetMode="External"/><Relationship Id="rId34" Type="http://schemas.openxmlformats.org/officeDocument/2006/relationships/hyperlink" Target="https://www.chaoscards.co.uk/prod/booster-boxes-magic/magic-the-gathering-strixhaven-school-of-mages-collector-booster-box-12-packs" TargetMode="External"/><Relationship Id="rId544" Type="http://schemas.openxmlformats.org/officeDocument/2006/relationships/hyperlink" Target="https://gatheringgames.co.uk/products/magic-the-gathering-outlaws-of-thunder-collector-booster-box" TargetMode="External"/><Relationship Id="rId183" Type="http://schemas.openxmlformats.org/officeDocument/2006/relationships/hyperlink" Target="https://magicmadhouse.co.uk/magic-the-gathering-commander-masters-commander-deck-planeswalker-party-commander-masters" TargetMode="External"/><Relationship Id="rId390" Type="http://schemas.openxmlformats.org/officeDocument/2006/relationships/hyperlink" Target="https://totalcards.net/collections/magic-the-gathering-booster-boxes/products/magic-the-gathering-bloomburrow-play-booster-box-36-packs" TargetMode="External"/><Relationship Id="rId404" Type="http://schemas.openxmlformats.org/officeDocument/2006/relationships/hyperlink" Target="https://totalcards.net/collections/magic-the-gathering-booster-boxes/products/magic-the-gathering-innistrad-midnight-hunt-collector-booster-box-12-packs" TargetMode="External"/><Relationship Id="rId611" Type="http://schemas.openxmlformats.org/officeDocument/2006/relationships/hyperlink" Target="https://www.firestormgames.co.uk/mtg:-edge-of-eternities-commander-deck---counter-intelligence" TargetMode="External"/><Relationship Id="rId250" Type="http://schemas.openxmlformats.org/officeDocument/2006/relationships/hyperlink" Target="https://www.chaoscards.co.uk/prod/booster-boxes-magic/magic-the-gathering-lord-of-the-rings-tales-of-middle-earth-set-booster-box-30-packs" TargetMode="External"/><Relationship Id="rId488" Type="http://schemas.openxmlformats.org/officeDocument/2006/relationships/hyperlink" Target="https://ashdowngaming.co.uk/collections/magic-the-gathering/products/magic-the-gathering-spider-man-collectors-booster-box" TargetMode="External"/><Relationship Id="rId695" Type="http://schemas.openxmlformats.org/officeDocument/2006/relationships/hyperlink" Target="https://travellingman.com/collections/magic-the-gathering/products/magic-the-gathering-duskmourn-house-of-horror-collector-booster-box" TargetMode="External"/><Relationship Id="rId709" Type="http://schemas.openxmlformats.org/officeDocument/2006/relationships/hyperlink" Target="https://travellingman.com/collections/magic-the-gathering/products/magic-the-gathering-march-of-the-machine-set-booster-box" TargetMode="External"/><Relationship Id="rId45" Type="http://schemas.openxmlformats.org/officeDocument/2006/relationships/hyperlink" Target="https://www.chaoscards.co.uk/prod/booster-boxes-magic/magic-the-gathering-kaldheim-collectors-booster-box-12-packs" TargetMode="External"/><Relationship Id="rId110" Type="http://schemas.openxmlformats.org/officeDocument/2006/relationships/hyperlink" Target="https://www.cardmarket.com/en/Magic/Products/Boosters/Rivals-of-Ixalan-Booster?sellerCountry=13&amp;language=1" TargetMode="External"/><Relationship Id="rId348" Type="http://schemas.openxmlformats.org/officeDocument/2006/relationships/hyperlink" Target="https://distro.gg/products/magic-the-gathering-marvels-spiderman-play-booster-box" TargetMode="External"/><Relationship Id="rId555" Type="http://schemas.openxmlformats.org/officeDocument/2006/relationships/hyperlink" Target="https://gatheringgames.co.uk/products/magic-the-gathering-lorwyn-eclipsed-collector-booster-box" TargetMode="External"/><Relationship Id="rId194" Type="http://schemas.openxmlformats.org/officeDocument/2006/relationships/hyperlink" Target="https://magicmadhouse.co.uk/magic-the-gathering-modern-horizons-3-commander-deck-tricky-terrain-modern-horizons-3" TargetMode="External"/><Relationship Id="rId208" Type="http://schemas.openxmlformats.org/officeDocument/2006/relationships/hyperlink" Target="https://magicmadhouse.co.uk/magic-the-gathering-fallout-commander-deck-mutant-menace-universes-beyond-fallout" TargetMode="External"/><Relationship Id="rId415" Type="http://schemas.openxmlformats.org/officeDocument/2006/relationships/hyperlink" Target="https://totalcards.net/collections/magic-the-gathering-booster-boxes/products/magic-the-gathering-march-of-the-machine-set-booster-box-30-packs" TargetMode="External"/><Relationship Id="rId622" Type="http://schemas.openxmlformats.org/officeDocument/2006/relationships/hyperlink" Target="https://www.firestormgames.co.uk/mtg:-final-fantasy-commander-deck---revival-trance" TargetMode="External"/><Relationship Id="rId261" Type="http://schemas.openxmlformats.org/officeDocument/2006/relationships/hyperlink" Target="https://www.newrealitiesgaming.com/product/magic-the-gathering-aetherdrift-collector-booster-box/2485?cp=true&amp;sa=false&amp;sbp=false&amp;q=false&amp;category_id=LFRBPSLQVSXEQAZ7GZ4Y7DIU" TargetMode="External"/><Relationship Id="rId499" Type="http://schemas.openxmlformats.org/officeDocument/2006/relationships/hyperlink" Target="https://jetcards.uk/collections/magic-the-gathering/products/magic-the-gathering-bloomburrow-commander-deck-family-matters" TargetMode="External"/><Relationship Id="rId56" Type="http://schemas.openxmlformats.org/officeDocument/2006/relationships/hyperlink" Target="https://www.chaoscards.co.uk/prod/booster-boxes-magic/magic-the-gathering-avatar-the-last-airbender-collector-booster-box-12-packs" TargetMode="External"/><Relationship Id="rId359" Type="http://schemas.openxmlformats.org/officeDocument/2006/relationships/hyperlink" Target="https://axionnow.com/products/avatar-the-last-airbender-collector-booster-display" TargetMode="External"/><Relationship Id="rId566" Type="http://schemas.openxmlformats.org/officeDocument/2006/relationships/hyperlink" Target="https://www.waylandgames.co.uk/mtg-avatar-the-last-airbender-collector-booster-box-wtc-d45820000-box" TargetMode="External"/><Relationship Id="rId121" Type="http://schemas.openxmlformats.org/officeDocument/2006/relationships/hyperlink" Target="https://www.cardmarket.com/en/Magic/Products/Boosters/Kaldheim-Collector-Booster?sellerCountry=13&amp;language=1" TargetMode="External"/><Relationship Id="rId219" Type="http://schemas.openxmlformats.org/officeDocument/2006/relationships/hyperlink" Target="https://www.chaoscards.co.uk/prod/commander-magic/magic-the-gathering-bloomburrow-commander-deck-family-matters" TargetMode="External"/><Relationship Id="rId426" Type="http://schemas.openxmlformats.org/officeDocument/2006/relationships/hyperlink" Target="https://totalcards.net/collections/magic-the-gathering-booster-boxes/products/magic-the-gathering-outlaws-of-thunder-junction-collector-booster-box-12-packs" TargetMode="External"/><Relationship Id="rId633" Type="http://schemas.openxmlformats.org/officeDocument/2006/relationships/hyperlink" Target="https://www.firestormgames.co.uk/mtg:-foundations-collector-booster-box" TargetMode="External"/><Relationship Id="rId67" Type="http://schemas.openxmlformats.org/officeDocument/2006/relationships/hyperlink" Target="https://www.cardmarket.com/en/Magic/Products/Booster-Boxes/Innistrad-Midnight-Hunt-Collector-Booster-Box?sellerCountry=13&amp;language=1" TargetMode="External"/><Relationship Id="rId272" Type="http://schemas.openxmlformats.org/officeDocument/2006/relationships/hyperlink" Target="https://www.newrealitiesgaming.com/product/magic-the-gathering-innistrad-remastered-play-booster-box/2302?cp=true&amp;sa=false&amp;sbp=false&amp;q=false&amp;category_id=LFRBPSLQVSXEQAZ7GZ4Y7DIU" TargetMode="External"/><Relationship Id="rId577" Type="http://schemas.openxmlformats.org/officeDocument/2006/relationships/hyperlink" Target="https://www.waylandgames.co.uk/mtg-final-fantasy-play-booster-box-wtcd38420001-box" TargetMode="External"/><Relationship Id="rId700" Type="http://schemas.openxmlformats.org/officeDocument/2006/relationships/hyperlink" Target="https://travellingman.com/collections/magic-the-gathering/products/magic-the-gathering-final-fantasy-play-booster-box" TargetMode="External"/><Relationship Id="rId132" Type="http://schemas.openxmlformats.org/officeDocument/2006/relationships/hyperlink" Target="https://www.cardmarket.com/en/Magic/Products/Boosters/Outlaws-of-Thunder-Junction-Collector-Booster?sellerCountry=13&amp;language=1" TargetMode="External"/><Relationship Id="rId437" Type="http://schemas.openxmlformats.org/officeDocument/2006/relationships/hyperlink" Target="https://totalcards.net/collections/magic-the-gathering-booster-boxes/products/magic-the-gathering-tarkir-dragonstorm-play-booster-box-30-packs" TargetMode="External"/><Relationship Id="rId644" Type="http://schemas.openxmlformats.org/officeDocument/2006/relationships/hyperlink" Target="https://www.loadeddice.uk/products/magic-the-gathering-marvel-super-heroes-collector-booster-box" TargetMode="External"/><Relationship Id="rId283" Type="http://schemas.openxmlformats.org/officeDocument/2006/relationships/hyperlink" Target="https://www.newrealitiesgaming.com/product/magic-the-gathering-murders-at-karlov-manor-collector-booster-box/617?cp=true&amp;sa=false&amp;sbp=false&amp;q=false&amp;category_id=LFRBPSLQVSXEQAZ7GZ4Y7DIU" TargetMode="External"/><Relationship Id="rId490" Type="http://schemas.openxmlformats.org/officeDocument/2006/relationships/hyperlink" Target="https://ashdowngaming.co.uk/collections/magic-the-gathering/products/mtg-teenage-mutant-ninja-turtles-collector-booster-12-preorder-cutoff-14-11-25" TargetMode="External"/><Relationship Id="rId504" Type="http://schemas.openxmlformats.org/officeDocument/2006/relationships/hyperlink" Target="https://jetcards.uk/collections/magic-the-gathering/products/magic-the-gathering-commander-masters-set-booster-box-24-packs" TargetMode="External"/><Relationship Id="rId711" Type="http://schemas.openxmlformats.org/officeDocument/2006/relationships/hyperlink" Target="https://travellingman.com/collections/magic-the-gathering/products/magic-the-gathering-marvels-spider-man-play-booster-box" TargetMode="External"/><Relationship Id="rId78" Type="http://schemas.openxmlformats.org/officeDocument/2006/relationships/hyperlink" Target="https://www.cardmarket.com/en/Magic/Products/Booster-Boxes/Murders-at-Karlov-Manor-Collector-Booster-Box?sellerCountry=13&amp;language=1" TargetMode="External"/><Relationship Id="rId143" Type="http://schemas.openxmlformats.org/officeDocument/2006/relationships/hyperlink" Target="https://www.gameslore.com/mtg-modern-horizons-3-play-booster-display.html" TargetMode="External"/><Relationship Id="rId350" Type="http://schemas.openxmlformats.org/officeDocument/2006/relationships/hyperlink" Target="https://distro.gg/products/magic-the-gathering-tmnt-play-booster-box" TargetMode="External"/><Relationship Id="rId588" Type="http://schemas.openxmlformats.org/officeDocument/2006/relationships/hyperlink" Target="https://www.waylandgames.co.uk/mtg-marvel-super-heroes-commander-deck-the-fantastic-four-wtcd53610001-c" TargetMode="External"/><Relationship Id="rId9" Type="http://schemas.openxmlformats.org/officeDocument/2006/relationships/hyperlink" Target="https://www.cardmarket.com/en/Magic/Products/Booster-Boxes/Magic-The-Gathering-FINAL-FANTASY-Play-Booster-Box?sellerCountry=13&amp;language=1" TargetMode="External"/><Relationship Id="rId210" Type="http://schemas.openxmlformats.org/officeDocument/2006/relationships/hyperlink" Target="https://magicmadhouse.co.uk/magic-the-gathering-lost-caverns-of-ixalan-commander-deck-blood-rites-lost-caverns-of-ixalan" TargetMode="External"/><Relationship Id="rId448" Type="http://schemas.openxmlformats.org/officeDocument/2006/relationships/hyperlink" Target="https://totalcards.net/collections/magic-the-gathering-booster-boxes/products/magic-the-gathering-universes-beyond-assassin-s-creed-beyond-booster-box-24-packs" TargetMode="External"/><Relationship Id="rId655" Type="http://schemas.openxmlformats.org/officeDocument/2006/relationships/hyperlink" Target="https://www.loadeddice.uk/products/magic-the-gathering-avatar-the-last-airbender-play-booster-box" TargetMode="External"/><Relationship Id="rId294" Type="http://schemas.openxmlformats.org/officeDocument/2006/relationships/hyperlink" Target="https://www.newrealitiesgaming.com/product/mtg-c-streets-of-new-capenna-commander-deck-cabaretti-cacophony/K3QLOPYHL4KLR7WNK7MM5YQL?cp=true&amp;sa=false&amp;sbp=false&amp;q=false&amp;category_id=WURPHNIAJY3EMKY2GR74TAZH" TargetMode="External"/><Relationship Id="rId308" Type="http://schemas.openxmlformats.org/officeDocument/2006/relationships/hyperlink" Target="https://www.newrealitiesgaming.com/product/magic-the-gathering-final-fantasy-commander-deck-revival-trance/2770?cp=true&amp;sa=false&amp;sbp=false&amp;q=false&amp;category_id=WURPHNIAJY3EMKY2GR74TAZH" TargetMode="External"/><Relationship Id="rId515" Type="http://schemas.openxmlformats.org/officeDocument/2006/relationships/hyperlink" Target="https://gatheringgames.co.uk/products/magic-the-gathering-the-brothers-war-set-boosters" TargetMode="External"/><Relationship Id="rId722" Type="http://schemas.openxmlformats.org/officeDocument/2006/relationships/hyperlink" Target="https://travellingman.com/collections/magic-the-gathering/products/mtg-theros-beyond-death-booster-box" TargetMode="External"/><Relationship Id="rId89" Type="http://schemas.openxmlformats.org/officeDocument/2006/relationships/hyperlink" Target="https://www.cardmarket.com/en/Magic/Products/Boosters/Commander-Masters-Set-Booster?sellerCountry=13&amp;language=1" TargetMode="External"/><Relationship Id="rId154" Type="http://schemas.openxmlformats.org/officeDocument/2006/relationships/hyperlink" Target="https://www.gameslore.com/mtg-innistrad-remastered-play-booster-display.html" TargetMode="External"/><Relationship Id="rId361" Type="http://schemas.openxmlformats.org/officeDocument/2006/relationships/hyperlink" Target="https://axionnow.com/products/innistrad-remastered-play-booster-display" TargetMode="External"/><Relationship Id="rId599" Type="http://schemas.openxmlformats.org/officeDocument/2006/relationships/hyperlink" Target="https://www.waylandgames.co.uk/mtg-tarkir-dragonstorm-commander-deck-mardu-surge-wtcd42750001-d" TargetMode="External"/><Relationship Id="rId459" Type="http://schemas.openxmlformats.org/officeDocument/2006/relationships/hyperlink" Target="https://londonmagictraders.com/products/counter-blitz-commander-deck-final-fantasy-magic-mtg-sealed" TargetMode="External"/><Relationship Id="rId666" Type="http://schemas.openxmlformats.org/officeDocument/2006/relationships/hyperlink" Target="https://www.loadeddice.uk/products/mtg-marvel-super-heroes-commander-deck-wakanda-forever" TargetMode="External"/><Relationship Id="rId16" Type="http://schemas.openxmlformats.org/officeDocument/2006/relationships/hyperlink" Target="https://www.cardmarket.com/en/Magic/Products/Booster-Boxes/Lorwyn-Eclipsed-Play-Booster-Box?sellerCountry=13&amp;language=1" TargetMode="External"/><Relationship Id="rId221" Type="http://schemas.openxmlformats.org/officeDocument/2006/relationships/hyperlink" Target="https://www.chaoscards.co.uk/prod/commander-magic/magic-the-gathering-tarkir-dragonstorm-commander-deck-jeskai-striker" TargetMode="External"/><Relationship Id="rId319" Type="http://schemas.openxmlformats.org/officeDocument/2006/relationships/hyperlink" Target="https://collect.thegamecollection.net/products/magic-the-gathering-marvel-super-heroes-commander-deck-the-fantastic-four" TargetMode="External"/><Relationship Id="rId526" Type="http://schemas.openxmlformats.org/officeDocument/2006/relationships/hyperlink" Target="https://gatheringgames.co.uk/products/magic-the-gathering-edge-of-eternities-collector-booster-box" TargetMode="External"/><Relationship Id="rId733" Type="http://schemas.openxmlformats.org/officeDocument/2006/relationships/hyperlink" Target="https://www.chaoscards.co.uk/prod/booster-boxes-magic/magic-the-gathering-outlaws-of-thunder-junction-play-booster-box-36-packs" TargetMode="External"/><Relationship Id="rId165" Type="http://schemas.openxmlformats.org/officeDocument/2006/relationships/hyperlink" Target="https://www.gameslore.com/mtg-aetherdrift-play-booster-display.html" TargetMode="External"/><Relationship Id="rId372" Type="http://schemas.openxmlformats.org/officeDocument/2006/relationships/hyperlink" Target="https://www.hillscards.co.uk/trading-card-games-c78/sealed-products-c92/boosters-c98/magic-the-gathering-lorwyn-eclipsed-collector-booster-box-sealed-box-of-12-packs-p88498" TargetMode="External"/><Relationship Id="rId677" Type="http://schemas.openxmlformats.org/officeDocument/2006/relationships/hyperlink" Target="https://travellingman.com/collections/magic-the-gathering/products/magic-the-gathering-aetherdrift-play-booster-box" TargetMode="External"/><Relationship Id="rId232" Type="http://schemas.openxmlformats.org/officeDocument/2006/relationships/hyperlink" Target="https://www.chaoscards.co.uk/prod/commander-magic/magic-the-gathering-modern-horizons-3-commander-deck-creative-energy" TargetMode="External"/><Relationship Id="rId27" Type="http://schemas.openxmlformats.org/officeDocument/2006/relationships/hyperlink" Target="https://www.chaoscards.co.uk/prod/booster-boxes-magic/magic-the-gathering-wilds-of-eldraine-collector-booster-box-12-packs" TargetMode="External"/><Relationship Id="rId537" Type="http://schemas.openxmlformats.org/officeDocument/2006/relationships/hyperlink" Target="https://gatheringgames.co.uk/products/magic-the-gathering-march-of-the-machine-set-booster-box" TargetMode="External"/><Relationship Id="rId80" Type="http://schemas.openxmlformats.org/officeDocument/2006/relationships/hyperlink" Target="https://www.cardmarket.com/en/Magic/Products/Booster-Boxes/Phyrexia-All-Will-Be-One-Collector-Booster-Box?sellerCountry=13&amp;language=1" TargetMode="External"/><Relationship Id="rId176" Type="http://schemas.openxmlformats.org/officeDocument/2006/relationships/hyperlink" Target="https://magicmadhouse.co.uk/magic-the-gathering-final-fantasy-commander-deck-revival-trance-final-fantasy" TargetMode="External"/><Relationship Id="rId383" Type="http://schemas.openxmlformats.org/officeDocument/2006/relationships/hyperlink" Target="https://www.doublesleeved.co.uk/products/mtg-commander-masters-2023-set-booster-box?_pos=23&amp;_fid=173add3df&amp;_ss=c" TargetMode="External"/><Relationship Id="rId590" Type="http://schemas.openxmlformats.org/officeDocument/2006/relationships/hyperlink" Target="https://www.waylandgames.co.uk/mtg-marvel-super-heroes-play-booster-box-wtcd53560001-box" TargetMode="External"/><Relationship Id="rId604" Type="http://schemas.openxmlformats.org/officeDocument/2006/relationships/hyperlink" Target="https://www.firestormgames.co.uk/mtg:-aetherdrift-collector-booster-box" TargetMode="External"/><Relationship Id="rId243" Type="http://schemas.openxmlformats.org/officeDocument/2006/relationships/hyperlink" Target="https://www.chaoscards.co.uk/prod/booster-boxes-magic/magic-the-gathering-march-of-the-machine-set-booster-box-30-packs" TargetMode="External"/><Relationship Id="rId450" Type="http://schemas.openxmlformats.org/officeDocument/2006/relationships/hyperlink" Target="https://totalcards.net/collections/magic-the-gathering-booster-boxes/products/magic-the-gathering-universes-beyond-final-fantasy-collector-booster-box-12-packs" TargetMode="External"/><Relationship Id="rId688" Type="http://schemas.openxmlformats.org/officeDocument/2006/relationships/hyperlink" Target="https://travellingman.com/collections/magic-the-gathering/products/magic-the-gathering-murders-at-karlov-manor-play-booster-box" TargetMode="External"/><Relationship Id="rId38" Type="http://schemas.openxmlformats.org/officeDocument/2006/relationships/hyperlink" Target="https://www.chaoscards.co.uk/prod/booster-boxes-magic/magic-the-gathering-outlaws-of-thunder-junction-collector-booster-box-12-packs" TargetMode="External"/><Relationship Id="rId103" Type="http://schemas.openxmlformats.org/officeDocument/2006/relationships/hyperlink" Target="https://www.cardmarket.com/en/Magic/Products/Boosters/Aetherdrift-Play-Booster?sellerCountry=13&amp;language=1" TargetMode="External"/><Relationship Id="rId310" Type="http://schemas.openxmlformats.org/officeDocument/2006/relationships/hyperlink" Target="https://www.newrealitiesgaming.com/product/magic-the-gathering-final-fantasy-commander-deck-scions-spellcraft/2771?cp=true&amp;sa=false&amp;sbp=false&amp;q=false&amp;category_id=WURPHNIAJY3EMKY2GR74TAZH" TargetMode="External"/><Relationship Id="rId548" Type="http://schemas.openxmlformats.org/officeDocument/2006/relationships/hyperlink" Target="https://gatheringgames.co.uk/products/magic-the-gathering-ravnica-remastered-collector-booster-box" TargetMode="External"/><Relationship Id="rId91" Type="http://schemas.openxmlformats.org/officeDocument/2006/relationships/hyperlink" Target="https://www.cardmarket.com/en/Magic/Products/Boosters/Magic-The-Gathering-Avatar-The-Last-Airbender-Play-Booster?sellerCountry=13&amp;language=1" TargetMode="External"/><Relationship Id="rId187" Type="http://schemas.openxmlformats.org/officeDocument/2006/relationships/hyperlink" Target="https://magicmadhouse.co.uk/magic-the-gathering-fallout-commander-deck-scrappy-survivors-universes-beyond-fallout" TargetMode="External"/><Relationship Id="rId394" Type="http://schemas.openxmlformats.org/officeDocument/2006/relationships/hyperlink" Target="https://totalcards.net/collections/magic-the-gathering-booster-boxes/products/magic-the-gathering-dominaria-united-set-booster-box-30-packs" TargetMode="External"/><Relationship Id="rId408" Type="http://schemas.openxmlformats.org/officeDocument/2006/relationships/hyperlink" Target="https://totalcards.net/collections/magic-the-gathering-booster-boxes/products/magic-the-gathering-kaldheim-collector-booster-box-12-packs" TargetMode="External"/><Relationship Id="rId615" Type="http://schemas.openxmlformats.org/officeDocument/2006/relationships/hyperlink" Target="https://www.firestormgames.co.uk/mtg:-modern-horizons-3-commander-deck---graveyard-overdrive" TargetMode="External"/><Relationship Id="rId254" Type="http://schemas.openxmlformats.org/officeDocument/2006/relationships/hyperlink" Target="https://www.chaoscards.co.uk/prod/booster-boxes-magic/magic-the-gathering-aetherdrift-play-booster-box-30-packs" TargetMode="External"/><Relationship Id="rId699" Type="http://schemas.openxmlformats.org/officeDocument/2006/relationships/hyperlink" Target="https://travellingman.com/collections/magic-the-gathering/products/magic-the-gathering-final-fantasy-japanese-collector-booster-box" TargetMode="External"/><Relationship Id="rId49" Type="http://schemas.openxmlformats.org/officeDocument/2006/relationships/hyperlink" Target="https://www.chaoscards.co.uk/prod/booster-boxes-magic/magic-the-gathering-foundations-collector-booster-box-12-packs" TargetMode="External"/><Relationship Id="rId114" Type="http://schemas.openxmlformats.org/officeDocument/2006/relationships/hyperlink" Target="https://www.cardmarket.com/en/Magic/Products/Boosters/Commander-Masters-Collector-Booster?sellerCountry=13&amp;language=1" TargetMode="External"/><Relationship Id="rId461" Type="http://schemas.openxmlformats.org/officeDocument/2006/relationships/hyperlink" Target="https://londonmagictraders.com/products/family-matters-commander-deck-bloomburrow-mtg-sealed" TargetMode="External"/><Relationship Id="rId559" Type="http://schemas.openxmlformats.org/officeDocument/2006/relationships/hyperlink" Target="https://gatheringgames.co.uk/products/magic-the-gathering-marvel-super-heroes-play-booster-box" TargetMode="External"/><Relationship Id="rId198" Type="http://schemas.openxmlformats.org/officeDocument/2006/relationships/hyperlink" Target="https://magicmadhouse.co.uk/magic-the-gathering-march-of-the-machine-commander-deck-tinker-time-march-of-the-machine" TargetMode="External"/><Relationship Id="rId321" Type="http://schemas.openxmlformats.org/officeDocument/2006/relationships/hyperlink" Target="https://collect.thegamecollection.net/products/magic-the-gathering-marvel-super-heroes-play-booster-30-count" TargetMode="External"/><Relationship Id="rId419" Type="http://schemas.openxmlformats.org/officeDocument/2006/relationships/hyperlink" Target="https://totalcards.net/collections/magic-the-gathering-booster-boxes/products/magic-the-gathering-marvels-spider-man-play-booster-box-30-packs" TargetMode="External"/><Relationship Id="rId626" Type="http://schemas.openxmlformats.org/officeDocument/2006/relationships/hyperlink" Target="https://www.firestormgames.co.uk/mtg:-marvel-super-heroes-collector-commander-deck---the-fantastic-four" TargetMode="External"/><Relationship Id="rId265" Type="http://schemas.openxmlformats.org/officeDocument/2006/relationships/hyperlink" Target="https://www.newrealitiesgaming.com/product/magic-the-gathering-bloomburrow-play-booster-box/973?cp=true&amp;sa=false&amp;sbp=false&amp;q=false&amp;category_id=LFRBPSLQVSXEQAZ7GZ4Y7DIU" TargetMode="External"/><Relationship Id="rId472" Type="http://schemas.openxmlformats.org/officeDocument/2006/relationships/hyperlink" Target="https://crazygamer.uk/magic-the-gathering-mtg-mtg-sealed-c-79_647/magic-the-gathering-aetherdrift-collector-booster-display-p-20342" TargetMode="External"/><Relationship Id="rId125" Type="http://schemas.openxmlformats.org/officeDocument/2006/relationships/hyperlink" Target="https://www.cardmarket.com/en/Magic/Products/Boosters/Magic-The-Gathering-FINAL-FANTASY-Collector-Booster?sellerCountry=13&amp;language=1" TargetMode="External"/><Relationship Id="rId332" Type="http://schemas.openxmlformats.org/officeDocument/2006/relationships/hyperlink" Target="https://collect.thegamecollection.net/products/magic-the-gathering-the-lord-of-the-rings-tales-of-middle-earth-set-booster-30-count" TargetMode="External"/><Relationship Id="rId637" Type="http://schemas.openxmlformats.org/officeDocument/2006/relationships/hyperlink" Target="https://wholesale.hokeypokegames.co.uk/mtg/TKRMTG-COPY-magic-the-gathering-tarkir-dragonstorm-play-booster" TargetMode="External"/><Relationship Id="rId276" Type="http://schemas.openxmlformats.org/officeDocument/2006/relationships/hyperlink" Target="https://www.newrealitiesgaming.com/product/magic-the-gathering-lost-caverns-of-ixalan-set-booster-box/1103?cp=true&amp;sa=false&amp;sbp=false&amp;q=false&amp;category_id=LFRBPSLQVSXEQAZ7GZ4Y7DIU" TargetMode="External"/><Relationship Id="rId483" Type="http://schemas.openxmlformats.org/officeDocument/2006/relationships/hyperlink" Target="https://ashdowngaming.co.uk/collections/magic-the-gathering/products/magic-the-gathering-final-fantasy-play-booster-box-in-store" TargetMode="External"/><Relationship Id="rId690" Type="http://schemas.openxmlformats.org/officeDocument/2006/relationships/hyperlink" Target="https://travellingman.com/collections/magic-the-gathering/products/magic-the-gathering-assassins-creed-collector-booster-box" TargetMode="External"/><Relationship Id="rId704" Type="http://schemas.openxmlformats.org/officeDocument/2006/relationships/hyperlink" Target="https://travellingman.com/collections/magic-the-gathering/products/magic-the-gathering-kaldheim-set-booster-box" TargetMode="External"/><Relationship Id="rId40" Type="http://schemas.openxmlformats.org/officeDocument/2006/relationships/hyperlink" Target="https://www.chaoscards.co.uk/prod/booster-boxes-magic/magic-the-gathering-modern-horizons-3-collector-booster-box-12-packs" TargetMode="External"/><Relationship Id="rId136" Type="http://schemas.openxmlformats.org/officeDocument/2006/relationships/hyperlink" Target="https://www.cardmarket.com/en/Magic/Products/Boosters/Universes-Beyond-Assassins-Creed-Collector-Booster?sellerCountry=13&amp;language=1" TargetMode="External"/><Relationship Id="rId343" Type="http://schemas.openxmlformats.org/officeDocument/2006/relationships/hyperlink" Target="https://distro.gg/products/magic-the-gathering-edge-of-eternities-collector-booster-box" TargetMode="External"/><Relationship Id="rId550" Type="http://schemas.openxmlformats.org/officeDocument/2006/relationships/hyperlink" Target="https://gatheringgames.co.uk/products/magic-the-gathering-tarkir-dragonstorm-collector-booster-box" TargetMode="External"/><Relationship Id="rId203" Type="http://schemas.openxmlformats.org/officeDocument/2006/relationships/hyperlink" Target="https://magicmadhouse.co.uk/magic-the-gathering-commander-legends-battle-for-baldurs-gate-commander-deck-exit-from-exile-commander-legends-battle-for-baldurs-gate" TargetMode="External"/><Relationship Id="rId648" Type="http://schemas.openxmlformats.org/officeDocument/2006/relationships/hyperlink" Target="https://www.loadeddice.uk/products/magic-the-gathering-edge-of-eternities-play-booster-box" TargetMode="External"/><Relationship Id="rId287" Type="http://schemas.openxmlformats.org/officeDocument/2006/relationships/hyperlink" Target="https://www.newrealitiesgaming.com/product/magic-the-gathering-strixhaven-collector-booster-box/3088?cp=true&amp;sa=false&amp;sbp=false&amp;q=false&amp;category_id=LFRBPSLQVSXEQAZ7GZ4Y7DIU" TargetMode="External"/><Relationship Id="rId410" Type="http://schemas.openxmlformats.org/officeDocument/2006/relationships/hyperlink" Target="https://totalcards.net/collections/magic-the-gathering-booster-boxes/products/magic-the-gathering-kamigawa-neon-dynasty-collector-booster-box-12-packs" TargetMode="External"/><Relationship Id="rId494" Type="http://schemas.openxmlformats.org/officeDocument/2006/relationships/hyperlink" Target="https://jetcards.uk/collections/magic-the-gathering/products/magic-the-gathering-aetherdrift-commander-deck-living-energy" TargetMode="External"/><Relationship Id="rId508" Type="http://schemas.openxmlformats.org/officeDocument/2006/relationships/hyperlink" Target="https://gatheringgames.co.uk/products/magic-the-gathering-innistrad-midnight-hunt-set-booster-box-30-packs" TargetMode="External"/><Relationship Id="rId715" Type="http://schemas.openxmlformats.org/officeDocument/2006/relationships/hyperlink" Target="https://travellingman.com/collections/magic-the-gathering/products/magic-the-gathering-streets-of-new-capenna-collector-booster-box" TargetMode="External"/><Relationship Id="rId147" Type="http://schemas.openxmlformats.org/officeDocument/2006/relationships/hyperlink" Target="https://www.gameslore.com/mtg-ravnica-remastered-draft-booster-pack.html" TargetMode="External"/><Relationship Id="rId354" Type="http://schemas.openxmlformats.org/officeDocument/2006/relationships/hyperlink" Target="https://distro.gg/products/magic-the-gathering-lorwyn-eclipsed-play-booster" TargetMode="External"/><Relationship Id="rId51" Type="http://schemas.openxmlformats.org/officeDocument/2006/relationships/hyperlink" Target="https://www.chaoscards.co.uk/prod/booster-boxes-magic/magic-the-gathering-duskmourn-house-of-horror-collector-booster-box-12-packs" TargetMode="External"/><Relationship Id="rId561" Type="http://schemas.openxmlformats.org/officeDocument/2006/relationships/hyperlink" Target="https://gatheringgames.co.uk/products/magic-the-gathering-teenage-mutant-ninja-turtles-play-booster-box" TargetMode="External"/><Relationship Id="rId659" Type="http://schemas.openxmlformats.org/officeDocument/2006/relationships/hyperlink" Target="https://www.loadeddice.uk/products/mtg-marvel-super-heroes-collector-commander-deck-avengers-assemble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rdist.co.uk/signup/start" TargetMode="External"/><Relationship Id="rId13" Type="http://schemas.openxmlformats.org/officeDocument/2006/relationships/hyperlink" Target="https://www.thegamecollection.net/" TargetMode="External"/><Relationship Id="rId18" Type="http://schemas.openxmlformats.org/officeDocument/2006/relationships/hyperlink" Target="https://crazygamer.uk/" TargetMode="External"/><Relationship Id="rId26" Type="http://schemas.openxmlformats.org/officeDocument/2006/relationships/hyperlink" Target="https://wholesale.hokeypokegames.co.uk/" TargetMode="External"/><Relationship Id="rId3" Type="http://schemas.openxmlformats.org/officeDocument/2006/relationships/hyperlink" Target="https://invictatcg.co.uk/wholesale-login/" TargetMode="External"/><Relationship Id="rId21" Type="http://schemas.openxmlformats.org/officeDocument/2006/relationships/hyperlink" Target="https://jetcards.uk/" TargetMode="External"/><Relationship Id="rId7" Type="http://schemas.openxmlformats.org/officeDocument/2006/relationships/hyperlink" Target="https://titancards.co.uk/" TargetMode="External"/><Relationship Id="rId12" Type="http://schemas.openxmlformats.org/officeDocument/2006/relationships/hyperlink" Target="https://www.hillscards.co.uk/" TargetMode="External"/><Relationship Id="rId17" Type="http://schemas.openxmlformats.org/officeDocument/2006/relationships/hyperlink" Target="https://cobandpip.co.uk/" TargetMode="External"/><Relationship Id="rId25" Type="http://schemas.openxmlformats.org/officeDocument/2006/relationships/hyperlink" Target="https://www.firestormgames.co.uk/" TargetMode="External"/><Relationship Id="rId2" Type="http://schemas.openxmlformats.org/officeDocument/2006/relationships/hyperlink" Target="https://totalcards.net/" TargetMode="External"/><Relationship Id="rId16" Type="http://schemas.openxmlformats.org/officeDocument/2006/relationships/hyperlink" Target="https://londonmagictraders.com/collections/mtg-sealed" TargetMode="External"/><Relationship Id="rId20" Type="http://schemas.openxmlformats.org/officeDocument/2006/relationships/hyperlink" Target="https://ashdowngaming.co.uk/" TargetMode="External"/><Relationship Id="rId29" Type="http://schemas.openxmlformats.org/officeDocument/2006/relationships/hyperlink" Target="https://www.gameslore.com/" TargetMode="External"/><Relationship Id="rId1" Type="http://schemas.openxmlformats.org/officeDocument/2006/relationships/hyperlink" Target="https://entoyment.co.uk/" TargetMode="External"/><Relationship Id="rId6" Type="http://schemas.openxmlformats.org/officeDocument/2006/relationships/hyperlink" Target="https://pokeuk.co.uk/pokemon-booster-boxes/" TargetMode="External"/><Relationship Id="rId11" Type="http://schemas.openxmlformats.org/officeDocument/2006/relationships/hyperlink" Target="https://www.obsidia-distribution.co.uk/" TargetMode="External"/><Relationship Id="rId24" Type="http://schemas.openxmlformats.org/officeDocument/2006/relationships/hyperlink" Target="https://www.waylandgames.co.uk/" TargetMode="External"/><Relationship Id="rId5" Type="http://schemas.openxmlformats.org/officeDocument/2006/relationships/hyperlink" Target="https://www.japan2uk.com/" TargetMode="External"/><Relationship Id="rId15" Type="http://schemas.openxmlformats.org/officeDocument/2006/relationships/hyperlink" Target="https://eternacards.co.uk/collections/pokemon-booster-boxes" TargetMode="External"/><Relationship Id="rId23" Type="http://schemas.openxmlformats.org/officeDocument/2006/relationships/hyperlink" Target="https://gatheringgames.co.uk/" TargetMode="External"/><Relationship Id="rId28" Type="http://schemas.openxmlformats.org/officeDocument/2006/relationships/hyperlink" Target="https://travellingman.com/" TargetMode="External"/><Relationship Id="rId10" Type="http://schemas.openxmlformats.org/officeDocument/2006/relationships/hyperlink" Target="https://axionnow.com/collections/booster-boxes" TargetMode="External"/><Relationship Id="rId19" Type="http://schemas.openxmlformats.org/officeDocument/2006/relationships/hyperlink" Target="https://www.themagiccardtrader.com/" TargetMode="External"/><Relationship Id="rId4" Type="http://schemas.openxmlformats.org/officeDocument/2006/relationships/hyperlink" Target="https://www.asmodee.co.uk/pages/new-account-application" TargetMode="External"/><Relationship Id="rId9" Type="http://schemas.openxmlformats.org/officeDocument/2006/relationships/hyperlink" Target="https://distro.gg/categories/magic-the-gathering" TargetMode="External"/><Relationship Id="rId14" Type="http://schemas.openxmlformats.org/officeDocument/2006/relationships/hyperlink" Target="https://www.doublesleeved.co.uk/" TargetMode="External"/><Relationship Id="rId22" Type="http://schemas.openxmlformats.org/officeDocument/2006/relationships/hyperlink" Target="https://www.trolltradercards.com/catalog/magic_products-booster_boxes/100" TargetMode="External"/><Relationship Id="rId27" Type="http://schemas.openxmlformats.org/officeDocument/2006/relationships/hyperlink" Target="https://www.loadeddice.uk/" TargetMode="External"/><Relationship Id="rId30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ED59-7D16-044B-9A04-BFEBDC96BF6D}">
  <dimension ref="A1:H25"/>
  <sheetViews>
    <sheetView zoomScaleNormal="60" zoomScaleSheetLayoutView="100" workbookViewId="0">
      <selection activeCell="E18" sqref="E18"/>
    </sheetView>
  </sheetViews>
  <sheetFormatPr defaultRowHeight="15"/>
  <cols>
    <col min="1" max="1" width="8" customWidth="1"/>
    <col min="2" max="2" width="24.140625" customWidth="1"/>
    <col min="3" max="3" width="13.85546875" bestFit="1" customWidth="1"/>
    <col min="4" max="4" width="19.5703125" bestFit="1" customWidth="1"/>
    <col min="5" max="5" width="10.28515625" bestFit="1" customWidth="1"/>
    <col min="6" max="6" width="10.85546875" bestFit="1" customWidth="1"/>
    <col min="7" max="7" width="10.85546875" customWidth="1"/>
    <col min="8" max="8" width="8.710937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1</v>
      </c>
      <c r="B2" t="s">
        <v>8</v>
      </c>
      <c r="C2" s="2" t="b">
        <v>1</v>
      </c>
      <c r="D2" s="2" t="b">
        <v>1</v>
      </c>
      <c r="E2" s="2" t="b">
        <v>1</v>
      </c>
      <c r="F2" s="2" t="b">
        <v>1</v>
      </c>
      <c r="G2" s="2" t="b">
        <v>1</v>
      </c>
    </row>
    <row r="3" spans="1:8">
      <c r="A3">
        <v>2</v>
      </c>
      <c r="B3" t="s">
        <v>9</v>
      </c>
      <c r="C3" s="2" t="b">
        <v>1</v>
      </c>
      <c r="D3" s="2" t="b">
        <v>1</v>
      </c>
      <c r="E3" s="2" t="b">
        <v>1</v>
      </c>
      <c r="F3" s="2" t="b">
        <v>1</v>
      </c>
      <c r="G3" s="2" t="b">
        <v>1</v>
      </c>
    </row>
    <row r="4" spans="1:8">
      <c r="A4">
        <v>3</v>
      </c>
      <c r="B4" t="s">
        <v>10</v>
      </c>
      <c r="C4" s="2" t="b">
        <v>1</v>
      </c>
      <c r="D4" s="2" t="b">
        <v>1</v>
      </c>
      <c r="E4" s="2" t="b">
        <v>1</v>
      </c>
      <c r="F4" s="2" t="b">
        <v>1</v>
      </c>
      <c r="G4" s="2" t="b">
        <v>0</v>
      </c>
    </row>
    <row r="5" spans="1:8">
      <c r="A5">
        <v>4</v>
      </c>
      <c r="B5" t="s">
        <v>11</v>
      </c>
      <c r="C5" s="2" t="b">
        <v>1</v>
      </c>
      <c r="D5" s="2" t="b">
        <v>1</v>
      </c>
      <c r="E5" s="2" t="b">
        <v>1</v>
      </c>
      <c r="F5" s="2" t="b">
        <v>1</v>
      </c>
      <c r="G5" s="2" t="b">
        <v>0</v>
      </c>
    </row>
    <row r="6" spans="1:8">
      <c r="A6">
        <v>5</v>
      </c>
      <c r="B6" t="s">
        <v>12</v>
      </c>
      <c r="C6" s="2" t="b">
        <v>1</v>
      </c>
      <c r="D6" s="2" t="b">
        <v>1</v>
      </c>
      <c r="E6" s="2" t="b">
        <v>1</v>
      </c>
      <c r="F6" s="2" t="b">
        <v>1</v>
      </c>
      <c r="G6" s="2" t="b">
        <v>0</v>
      </c>
      <c r="H6" t="s">
        <v>13</v>
      </c>
    </row>
    <row r="7" spans="1:8">
      <c r="A7">
        <v>6</v>
      </c>
      <c r="B7" t="s">
        <v>14</v>
      </c>
      <c r="C7" s="2" t="b">
        <v>1</v>
      </c>
      <c r="D7" s="2" t="b">
        <v>1</v>
      </c>
      <c r="E7" s="2" t="b">
        <v>0</v>
      </c>
      <c r="F7" s="2" t="b">
        <v>1</v>
      </c>
      <c r="G7" s="2" t="b">
        <v>0</v>
      </c>
    </row>
    <row r="8" spans="1:8">
      <c r="A8">
        <v>7</v>
      </c>
      <c r="B8" t="s">
        <v>15</v>
      </c>
      <c r="C8" s="2" t="b">
        <v>1</v>
      </c>
      <c r="D8" s="2" t="b">
        <v>1</v>
      </c>
      <c r="F8" s="2" t="b">
        <v>0</v>
      </c>
      <c r="G8" s="2" t="b">
        <v>1</v>
      </c>
    </row>
    <row r="9" spans="1:8">
      <c r="A9">
        <v>8</v>
      </c>
      <c r="B9" t="s">
        <v>16</v>
      </c>
      <c r="C9" s="2" t="b">
        <v>1</v>
      </c>
      <c r="D9" s="2" t="b">
        <v>1</v>
      </c>
      <c r="F9" s="2" t="b">
        <v>0</v>
      </c>
      <c r="G9" s="2" t="b">
        <v>0</v>
      </c>
    </row>
    <row r="10" spans="1:8">
      <c r="A10">
        <v>9</v>
      </c>
      <c r="B10" t="s">
        <v>17</v>
      </c>
      <c r="C10" s="2" t="b">
        <v>1</v>
      </c>
      <c r="D10" s="2" t="b">
        <v>1</v>
      </c>
      <c r="F10" s="2" t="b">
        <v>0</v>
      </c>
      <c r="G10" s="2" t="b">
        <v>1</v>
      </c>
    </row>
    <row r="11" spans="1:8">
      <c r="A11">
        <v>10</v>
      </c>
      <c r="B11" t="s">
        <v>18</v>
      </c>
      <c r="C11" s="2" t="b">
        <v>1</v>
      </c>
      <c r="D11" s="2" t="b">
        <v>1</v>
      </c>
      <c r="F11" s="2" t="b">
        <v>0</v>
      </c>
      <c r="G11" s="2" t="b">
        <v>0</v>
      </c>
    </row>
    <row r="12" spans="1:8">
      <c r="A12">
        <v>11</v>
      </c>
      <c r="B12" t="s">
        <v>19</v>
      </c>
      <c r="C12" s="2" t="b">
        <v>1</v>
      </c>
      <c r="D12" s="2" t="b">
        <v>1</v>
      </c>
      <c r="F12" s="2" t="b">
        <v>0</v>
      </c>
      <c r="G12" s="2" t="b">
        <v>0</v>
      </c>
    </row>
    <row r="13" spans="1:8" ht="81">
      <c r="A13">
        <v>12</v>
      </c>
      <c r="B13" t="s">
        <v>20</v>
      </c>
      <c r="D13" s="2" t="b">
        <v>1</v>
      </c>
      <c r="G13" s="2" t="b">
        <v>0</v>
      </c>
      <c r="H13" s="1" t="s">
        <v>21</v>
      </c>
    </row>
    <row r="14" spans="1:8">
      <c r="A14">
        <v>13</v>
      </c>
      <c r="B14" t="s">
        <v>22</v>
      </c>
      <c r="D14" s="2" t="b">
        <v>1</v>
      </c>
      <c r="G14" s="2" t="b">
        <v>0</v>
      </c>
      <c r="H14" t="s">
        <v>23</v>
      </c>
    </row>
    <row r="15" spans="1:8">
      <c r="A15">
        <v>14</v>
      </c>
      <c r="B15" t="s">
        <v>24</v>
      </c>
      <c r="D15" s="2" t="b">
        <v>1</v>
      </c>
      <c r="G15" s="2" t="b">
        <v>0</v>
      </c>
      <c r="H15" t="s">
        <v>23</v>
      </c>
    </row>
    <row r="16" spans="1:8">
      <c r="A16">
        <v>15</v>
      </c>
      <c r="B16" t="s">
        <v>25</v>
      </c>
      <c r="D16" s="2" t="b">
        <v>1</v>
      </c>
      <c r="G16" s="2" t="b">
        <v>0</v>
      </c>
      <c r="H16" t="s">
        <v>23</v>
      </c>
    </row>
    <row r="17" spans="1:8">
      <c r="A17">
        <v>16</v>
      </c>
      <c r="B17" t="s">
        <v>26</v>
      </c>
      <c r="D17" s="2" t="b">
        <v>1</v>
      </c>
      <c r="G17" s="2" t="b">
        <v>0</v>
      </c>
      <c r="H17" t="s">
        <v>23</v>
      </c>
    </row>
    <row r="18" spans="1:8">
      <c r="A18">
        <v>17</v>
      </c>
      <c r="B18" t="s">
        <v>27</v>
      </c>
      <c r="D18" s="2" t="b">
        <v>1</v>
      </c>
      <c r="G18" s="2" t="b">
        <v>0</v>
      </c>
      <c r="H18" t="s">
        <v>23</v>
      </c>
    </row>
    <row r="19" spans="1:8">
      <c r="A19">
        <v>18</v>
      </c>
      <c r="B19" t="s">
        <v>28</v>
      </c>
      <c r="D19" s="2" t="b">
        <v>1</v>
      </c>
      <c r="G19" s="2" t="b">
        <v>0</v>
      </c>
      <c r="H19" t="s">
        <v>23</v>
      </c>
    </row>
    <row r="20" spans="1:8">
      <c r="A20">
        <v>19</v>
      </c>
      <c r="B20" t="s">
        <v>29</v>
      </c>
      <c r="D20" s="2" t="b">
        <v>1</v>
      </c>
      <c r="G20" s="2" t="b">
        <v>0</v>
      </c>
      <c r="H20" t="s">
        <v>23</v>
      </c>
    </row>
    <row r="21" spans="1:8">
      <c r="A21">
        <v>20</v>
      </c>
      <c r="B21" t="s">
        <v>30</v>
      </c>
      <c r="D21" s="2" t="b">
        <v>1</v>
      </c>
      <c r="G21" s="2" t="b">
        <v>0</v>
      </c>
      <c r="H21" t="s">
        <v>31</v>
      </c>
    </row>
    <row r="22" spans="1:8">
      <c r="A22">
        <v>21</v>
      </c>
      <c r="B22" t="s">
        <v>32</v>
      </c>
      <c r="D22" s="2" t="b">
        <v>1</v>
      </c>
      <c r="G22" s="2" t="b">
        <v>1</v>
      </c>
      <c r="H22" t="s">
        <v>33</v>
      </c>
    </row>
    <row r="23" spans="1:8">
      <c r="A23">
        <v>22</v>
      </c>
      <c r="B23" t="s">
        <v>34</v>
      </c>
      <c r="D23" s="2" t="b">
        <v>1</v>
      </c>
      <c r="G23" s="2" t="b">
        <v>0</v>
      </c>
      <c r="H23" t="s">
        <v>35</v>
      </c>
    </row>
    <row r="24" spans="1:8">
      <c r="A24">
        <v>23</v>
      </c>
      <c r="B24" t="s">
        <v>36</v>
      </c>
      <c r="D24" s="2" t="b">
        <v>0</v>
      </c>
      <c r="G24" s="2" t="b">
        <v>0</v>
      </c>
    </row>
    <row r="25" spans="1:8">
      <c r="A25">
        <v>24</v>
      </c>
      <c r="B25" t="s">
        <v>37</v>
      </c>
      <c r="D25" s="2" t="b">
        <v>0</v>
      </c>
      <c r="G25" s="2" t="b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3FEB0-ADF6-DA49-AF1F-B42193CEC923}">
  <dimension ref="A1:U8"/>
  <sheetViews>
    <sheetView topLeftCell="C1" zoomScaleNormal="150" zoomScaleSheetLayoutView="100" workbookViewId="0">
      <selection activeCell="W16" sqref="W16"/>
    </sheetView>
  </sheetViews>
  <sheetFormatPr defaultRowHeight="15"/>
  <cols>
    <col min="6" max="10" width="8.5703125" style="11"/>
  </cols>
  <sheetData>
    <row r="1" spans="1:21">
      <c r="A1" t="s">
        <v>97</v>
      </c>
      <c r="F1" s="11" t="s">
        <v>2622</v>
      </c>
      <c r="K1" t="s">
        <v>129</v>
      </c>
    </row>
    <row r="2" spans="1:21">
      <c r="A2" t="s">
        <v>2</v>
      </c>
      <c r="B2" t="s">
        <v>1875</v>
      </c>
      <c r="C2" t="s">
        <v>2216</v>
      </c>
      <c r="D2" t="s">
        <v>2623</v>
      </c>
      <c r="E2" t="s">
        <v>2624</v>
      </c>
      <c r="F2" s="11" t="s">
        <v>2</v>
      </c>
      <c r="G2" s="11" t="s">
        <v>1875</v>
      </c>
      <c r="H2" s="11" t="s">
        <v>2216</v>
      </c>
      <c r="I2" s="11" t="s">
        <v>2623</v>
      </c>
      <c r="J2" s="11" t="s">
        <v>2624</v>
      </c>
      <c r="K2" t="s">
        <v>2</v>
      </c>
      <c r="L2" t="s">
        <v>2625</v>
      </c>
      <c r="M2" t="s">
        <v>2626</v>
      </c>
      <c r="N2" t="s">
        <v>1</v>
      </c>
    </row>
    <row r="3" spans="1:21">
      <c r="A3">
        <v>183</v>
      </c>
      <c r="C3">
        <v>180</v>
      </c>
      <c r="D3">
        <v>85</v>
      </c>
      <c r="E3">
        <v>200</v>
      </c>
      <c r="F3" s="11">
        <f>(A3+96/10)/36</f>
        <v>5.35</v>
      </c>
      <c r="G3" s="11">
        <f t="shared" ref="G3:J4" si="0">(B3+96/10)/36</f>
        <v>0.26666666666666666</v>
      </c>
      <c r="H3" s="11">
        <f t="shared" si="0"/>
        <v>5.2666666666666666</v>
      </c>
      <c r="I3" s="11">
        <f t="shared" si="0"/>
        <v>2.6277777777777778</v>
      </c>
      <c r="J3" s="11">
        <f>(E3+96/10)/36</f>
        <v>5.822222222222222</v>
      </c>
      <c r="K3">
        <v>6.99</v>
      </c>
      <c r="L3">
        <v>7</v>
      </c>
      <c r="M3" s="11">
        <f>K3-F3-1.5</f>
        <v>0.14000000000000057</v>
      </c>
      <c r="N3" t="s">
        <v>2627</v>
      </c>
      <c r="S3">
        <f>170/36</f>
        <v>4.7222222222222223</v>
      </c>
      <c r="T3">
        <f>500/3/36</f>
        <v>4.6296296296296298</v>
      </c>
      <c r="U3">
        <f>332/4/18</f>
        <v>4.6111111111111107</v>
      </c>
    </row>
    <row r="4" spans="1:21">
      <c r="A4">
        <v>183</v>
      </c>
      <c r="C4">
        <v>212</v>
      </c>
      <c r="E4">
        <v>262</v>
      </c>
      <c r="F4" s="11">
        <f t="shared" ref="F4:F8" si="1">(A4+96/10)/36</f>
        <v>5.35</v>
      </c>
      <c r="G4" s="11">
        <f t="shared" si="0"/>
        <v>0.26666666666666666</v>
      </c>
      <c r="H4" s="11">
        <f t="shared" si="0"/>
        <v>6.155555555555555</v>
      </c>
      <c r="I4" s="11">
        <f t="shared" si="0"/>
        <v>0.26666666666666666</v>
      </c>
      <c r="J4" s="11">
        <f t="shared" si="0"/>
        <v>7.5444444444444452</v>
      </c>
      <c r="K4">
        <v>5.3</v>
      </c>
      <c r="L4">
        <v>6</v>
      </c>
      <c r="M4">
        <f>K4-F4-1.5</f>
        <v>-1.5499999999999998</v>
      </c>
      <c r="N4" t="s">
        <v>2628</v>
      </c>
      <c r="S4">
        <f>K3-1.5-S3</f>
        <v>0.76777777777777789</v>
      </c>
      <c r="T4">
        <f>K3-1.5-T3</f>
        <v>0.86037037037037045</v>
      </c>
      <c r="U4">
        <f>K3-1.5-U3</f>
        <v>0.8788888888888895</v>
      </c>
    </row>
    <row r="5" spans="1:21">
      <c r="A5">
        <v>183</v>
      </c>
      <c r="F5" s="11">
        <f t="shared" si="1"/>
        <v>5.35</v>
      </c>
      <c r="K5">
        <v>3.99</v>
      </c>
      <c r="L5">
        <v>6</v>
      </c>
      <c r="M5">
        <f t="shared" ref="M5:M8" si="2">K5-F5-1.5</f>
        <v>-2.8599999999999994</v>
      </c>
      <c r="N5" t="s">
        <v>2629</v>
      </c>
    </row>
    <row r="6" spans="1:21">
      <c r="A6">
        <v>285</v>
      </c>
      <c r="F6" s="11">
        <f t="shared" si="1"/>
        <v>8.1833333333333336</v>
      </c>
      <c r="K6">
        <v>7</v>
      </c>
      <c r="L6">
        <v>6</v>
      </c>
      <c r="M6">
        <f t="shared" si="2"/>
        <v>-2.6833333333333336</v>
      </c>
      <c r="N6" t="s">
        <v>2630</v>
      </c>
    </row>
    <row r="7" spans="1:21">
      <c r="A7">
        <v>178</v>
      </c>
      <c r="F7" s="11">
        <f t="shared" si="1"/>
        <v>5.2111111111111112</v>
      </c>
      <c r="K7">
        <v>4.7</v>
      </c>
      <c r="L7">
        <v>6</v>
      </c>
      <c r="M7">
        <f t="shared" si="2"/>
        <v>-2.0111111111111111</v>
      </c>
      <c r="N7" t="s">
        <v>2631</v>
      </c>
    </row>
    <row r="8" spans="1:21">
      <c r="A8">
        <v>248</v>
      </c>
      <c r="F8" s="11">
        <f t="shared" si="1"/>
        <v>7.1555555555555559</v>
      </c>
      <c r="K8">
        <v>5.75</v>
      </c>
      <c r="L8">
        <v>6</v>
      </c>
      <c r="M8">
        <f t="shared" si="2"/>
        <v>-2.9055555555555559</v>
      </c>
      <c r="N8" t="s">
        <v>2632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4FD38-EEB5-0349-A58F-25D2F1FA1A15}">
  <dimension ref="A1:I24"/>
  <sheetViews>
    <sheetView zoomScaleNormal="150" zoomScaleSheetLayoutView="100" workbookViewId="0">
      <selection activeCell="G34" sqref="G34"/>
    </sheetView>
  </sheetViews>
  <sheetFormatPr defaultRowHeight="15"/>
  <cols>
    <col min="1" max="1" width="11.140625" customWidth="1"/>
    <col min="2" max="2" width="8.5703125" bestFit="1" customWidth="1"/>
    <col min="3" max="3" width="36.5703125" bestFit="1" customWidth="1"/>
    <col min="4" max="4" width="10.85546875" bestFit="1" customWidth="1"/>
    <col min="5" max="5" width="11.7109375" bestFit="1" customWidth="1"/>
    <col min="6" max="6" width="8.7109375" bestFit="1" customWidth="1"/>
    <col min="7" max="7" width="8.5703125" bestFit="1" customWidth="1"/>
    <col min="8" max="8" width="12.5703125" bestFit="1" customWidth="1"/>
    <col min="9" max="9" width="36.5703125" bestFit="1" customWidth="1"/>
  </cols>
  <sheetData>
    <row r="1" spans="1:9">
      <c r="A1" t="s">
        <v>1283</v>
      </c>
      <c r="B1" t="s">
        <v>2633</v>
      </c>
      <c r="C1" t="s">
        <v>1</v>
      </c>
      <c r="D1" t="s">
        <v>1302</v>
      </c>
      <c r="E1" t="s">
        <v>2634</v>
      </c>
      <c r="F1" t="s">
        <v>7</v>
      </c>
      <c r="G1" t="s">
        <v>2635</v>
      </c>
      <c r="H1" t="s">
        <v>2636</v>
      </c>
      <c r="I1" t="s">
        <v>2637</v>
      </c>
    </row>
    <row r="2" spans="1:9">
      <c r="A2" s="3">
        <v>45934</v>
      </c>
      <c r="B2" t="s">
        <v>1875</v>
      </c>
      <c r="C2" t="s">
        <v>2638</v>
      </c>
      <c r="F2">
        <v>41.45</v>
      </c>
      <c r="I2" t="s">
        <v>2639</v>
      </c>
    </row>
    <row r="3" spans="1:9">
      <c r="A3" s="3">
        <v>45934</v>
      </c>
      <c r="B3" t="s">
        <v>2640</v>
      </c>
      <c r="C3" t="s">
        <v>2641</v>
      </c>
      <c r="F3">
        <v>47.7</v>
      </c>
      <c r="I3" t="s">
        <v>2639</v>
      </c>
    </row>
    <row r="4" spans="1:9">
      <c r="A4" s="3">
        <v>45934</v>
      </c>
      <c r="B4" t="s">
        <v>2642</v>
      </c>
      <c r="C4" t="s">
        <v>2643</v>
      </c>
      <c r="F4" t="s">
        <v>2644</v>
      </c>
      <c r="I4" t="s">
        <v>2639</v>
      </c>
    </row>
    <row r="5" spans="1:9">
      <c r="A5" s="3">
        <v>45942</v>
      </c>
      <c r="B5" t="s">
        <v>2645</v>
      </c>
      <c r="C5" t="s">
        <v>2646</v>
      </c>
      <c r="D5">
        <v>3</v>
      </c>
      <c r="E5">
        <v>5.99</v>
      </c>
      <c r="F5">
        <v>17.97</v>
      </c>
      <c r="I5" t="s">
        <v>2647</v>
      </c>
    </row>
    <row r="6" spans="1:9">
      <c r="A6" s="3">
        <v>45943</v>
      </c>
      <c r="B6" t="s">
        <v>2645</v>
      </c>
      <c r="C6" t="s">
        <v>2646</v>
      </c>
      <c r="D6">
        <v>4</v>
      </c>
      <c r="E6">
        <v>5.99</v>
      </c>
      <c r="F6">
        <v>23.96</v>
      </c>
      <c r="I6" t="s">
        <v>2647</v>
      </c>
    </row>
    <row r="7" spans="1:9">
      <c r="A7" s="3">
        <v>45946</v>
      </c>
      <c r="B7" t="s">
        <v>2648</v>
      </c>
      <c r="C7" t="s">
        <v>2649</v>
      </c>
      <c r="D7" s="4">
        <v>2</v>
      </c>
      <c r="E7">
        <v>13.76</v>
      </c>
      <c r="F7" t="s">
        <v>2650</v>
      </c>
      <c r="I7" t="s">
        <v>2639</v>
      </c>
    </row>
    <row r="8" spans="1:9">
      <c r="A8" s="3">
        <v>45948</v>
      </c>
      <c r="B8" t="s">
        <v>2645</v>
      </c>
      <c r="C8" t="s">
        <v>2651</v>
      </c>
      <c r="F8">
        <v>123.99</v>
      </c>
      <c r="I8" t="s">
        <v>2639</v>
      </c>
    </row>
    <row r="9" spans="1:9">
      <c r="A9" s="3">
        <v>45951</v>
      </c>
      <c r="B9" t="s">
        <v>2652</v>
      </c>
      <c r="C9" t="s">
        <v>2653</v>
      </c>
      <c r="F9">
        <v>36.340000000000003</v>
      </c>
      <c r="I9" t="s">
        <v>2639</v>
      </c>
    </row>
    <row r="10" spans="1:9">
      <c r="A10" s="3">
        <v>45962</v>
      </c>
      <c r="B10" t="s">
        <v>2654</v>
      </c>
      <c r="C10" t="s">
        <v>2655</v>
      </c>
      <c r="F10">
        <v>15.4</v>
      </c>
      <c r="I10" t="s">
        <v>2639</v>
      </c>
    </row>
    <row r="11" spans="1:9">
      <c r="A11" s="3">
        <v>45962</v>
      </c>
      <c r="B11" t="s">
        <v>2645</v>
      </c>
      <c r="C11" t="s">
        <v>2656</v>
      </c>
      <c r="F11">
        <v>109.88</v>
      </c>
      <c r="I11" t="s">
        <v>2639</v>
      </c>
    </row>
    <row r="12" spans="1:9">
      <c r="A12" s="3">
        <v>45963</v>
      </c>
      <c r="B12" t="s">
        <v>2654</v>
      </c>
      <c r="C12" t="s">
        <v>2655</v>
      </c>
      <c r="F12">
        <v>3.4</v>
      </c>
      <c r="I12" t="s">
        <v>2639</v>
      </c>
    </row>
    <row r="13" spans="1:9">
      <c r="A13" s="3">
        <v>45969</v>
      </c>
      <c r="B13" t="s">
        <v>2570</v>
      </c>
      <c r="C13" t="s">
        <v>2655</v>
      </c>
      <c r="F13">
        <v>6.9</v>
      </c>
      <c r="I13" t="s">
        <v>2639</v>
      </c>
    </row>
    <row r="14" spans="1:9">
      <c r="A14" s="3">
        <v>45969</v>
      </c>
      <c r="B14" t="s">
        <v>2570</v>
      </c>
      <c r="C14" t="s">
        <v>2655</v>
      </c>
      <c r="F14">
        <v>9</v>
      </c>
      <c r="I14" t="s">
        <v>2639</v>
      </c>
    </row>
    <row r="15" spans="1:9">
      <c r="A15" s="3">
        <v>45969</v>
      </c>
      <c r="B15" t="s">
        <v>2570</v>
      </c>
      <c r="C15" t="s">
        <v>2655</v>
      </c>
      <c r="F15">
        <v>30.2</v>
      </c>
      <c r="I15" t="s">
        <v>2639</v>
      </c>
    </row>
    <row r="16" spans="1:9">
      <c r="A16" s="3">
        <v>45969</v>
      </c>
      <c r="B16" t="s">
        <v>1875</v>
      </c>
      <c r="F16">
        <v>42.91</v>
      </c>
      <c r="I16" t="s">
        <v>2639</v>
      </c>
    </row>
    <row r="17" spans="1:9">
      <c r="A17" s="3">
        <v>45969</v>
      </c>
      <c r="B17" t="s">
        <v>2216</v>
      </c>
      <c r="F17">
        <v>66.09</v>
      </c>
      <c r="I17" t="s">
        <v>2639</v>
      </c>
    </row>
    <row r="18" spans="1:9">
      <c r="A18" s="3">
        <v>45972</v>
      </c>
      <c r="B18" t="s">
        <v>2657</v>
      </c>
      <c r="C18" t="s">
        <v>2658</v>
      </c>
      <c r="F18">
        <v>72.52</v>
      </c>
      <c r="I18" t="s">
        <v>2659</v>
      </c>
    </row>
    <row r="19" spans="1:9">
      <c r="A19" s="3">
        <v>45982</v>
      </c>
      <c r="B19" t="s">
        <v>1875</v>
      </c>
      <c r="F19">
        <v>245.31</v>
      </c>
    </row>
    <row r="20" spans="1:9">
      <c r="A20" s="3">
        <v>45982</v>
      </c>
      <c r="B20" t="s">
        <v>2216</v>
      </c>
      <c r="C20" t="s">
        <v>2660</v>
      </c>
      <c r="F20">
        <v>366.53</v>
      </c>
    </row>
    <row r="21" spans="1:9">
      <c r="A21" s="3">
        <v>45982</v>
      </c>
      <c r="B21" t="s">
        <v>2642</v>
      </c>
      <c r="C21" t="s">
        <v>2655</v>
      </c>
      <c r="F21">
        <v>30</v>
      </c>
    </row>
    <row r="22" spans="1:9">
      <c r="A22" s="3">
        <v>45984</v>
      </c>
      <c r="B22" t="s">
        <v>2657</v>
      </c>
      <c r="C22" t="s">
        <v>2661</v>
      </c>
      <c r="F22">
        <v>42.9</v>
      </c>
    </row>
    <row r="23" spans="1:9" ht="121.5">
      <c r="A23" s="3">
        <v>45984</v>
      </c>
      <c r="B23" t="s">
        <v>2143</v>
      </c>
      <c r="C23" s="1" t="s">
        <v>2662</v>
      </c>
      <c r="F23">
        <v>67.790000000000006</v>
      </c>
      <c r="I23" s="1" t="s">
        <v>2663</v>
      </c>
    </row>
    <row r="24" spans="1:9">
      <c r="A24" s="3">
        <v>45989</v>
      </c>
      <c r="B24" t="s">
        <v>2657</v>
      </c>
      <c r="C24" t="s">
        <v>2661</v>
      </c>
      <c r="F24">
        <v>21.45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2E1E-A888-47AE-9B27-EC164292F06C}">
  <dimension ref="A1:L6594"/>
  <sheetViews>
    <sheetView topLeftCell="A57" workbookViewId="0">
      <selection activeCell="K78" sqref="K78"/>
    </sheetView>
  </sheetViews>
  <sheetFormatPr defaultRowHeight="15"/>
  <cols>
    <col min="1" max="1" width="9.85546875" customWidth="1"/>
    <col min="3" max="3" width="10.85546875" bestFit="1" customWidth="1"/>
    <col min="6" max="6" width="36.5703125" bestFit="1" customWidth="1"/>
    <col min="8" max="8" width="32.140625" bestFit="1" customWidth="1"/>
    <col min="11" max="11" width="10.85546875" bestFit="1" customWidth="1"/>
  </cols>
  <sheetData>
    <row r="1" spans="1:12">
      <c r="A1" t="s">
        <v>54</v>
      </c>
      <c r="B1" t="s">
        <v>55</v>
      </c>
      <c r="C1" t="s">
        <v>56</v>
      </c>
      <c r="D1" t="s">
        <v>57</v>
      </c>
      <c r="E1" t="s">
        <v>58</v>
      </c>
      <c r="F1" t="s">
        <v>99</v>
      </c>
      <c r="I1" s="7" t="s">
        <v>1</v>
      </c>
      <c r="J1" s="7" t="s">
        <v>2664</v>
      </c>
      <c r="K1" s="7" t="s">
        <v>1283</v>
      </c>
      <c r="L1" s="7" t="s">
        <v>2665</v>
      </c>
    </row>
    <row r="2" spans="1:12" ht="59.25">
      <c r="A2" s="1" t="str" cm="1">
        <f t="array" aca="1" ref="A2" ca="1">INDIRECT(_xlfn.CONCAT("$I", $F2))</f>
        <v>Marvel Super Heroes MSH</v>
      </c>
      <c r="B2" s="1" cm="1">
        <f t="array" aca="1" ref="B2" ca="1">INDIRECT(_xlfn.CONCAT("$J", $F2))</f>
        <v>20</v>
      </c>
      <c r="C2" s="1" cm="1">
        <f t="array" aca="1" ref="C2" ca="1">INDIRECT(_xlfn.CONCAT("$K", $F2))</f>
        <v>46199</v>
      </c>
      <c r="D2" s="1"/>
      <c r="E2" s="1" t="str" cm="1">
        <f t="array" aca="1" ref="E2" ca="1">INDIRECT(_xlfn.CONCAT("$L", $F2))</f>
        <v>en es fr de it pt ja ko ru 汉语 漢語</v>
      </c>
      <c r="F2">
        <v>2</v>
      </c>
      <c r="I2" s="8" t="s">
        <v>177</v>
      </c>
      <c r="J2" s="8">
        <v>20</v>
      </c>
      <c r="K2" s="9">
        <v>46199</v>
      </c>
      <c r="L2" s="8" t="s">
        <v>174</v>
      </c>
    </row>
    <row r="3" spans="1:12" ht="68.25">
      <c r="A3" s="1" t="str" cm="1">
        <f t="array" aca="1" ref="A3" ca="1">INDIRECT(_xlfn.CONCAT("$I", $F3))</f>
        <v>Marvel Super Heroes Commander MSC</v>
      </c>
      <c r="B3" s="1" cm="1">
        <f t="array" aca="1" ref="B3" ca="1">INDIRECT(_xlfn.CONCAT("$J", $F3))</f>
        <v>4</v>
      </c>
      <c r="C3" s="1" cm="1">
        <f t="array" aca="1" ref="C3" ca="1">INDIRECT(_xlfn.CONCAT("$K", $F3))</f>
        <v>46199</v>
      </c>
      <c r="D3" s="1"/>
      <c r="E3" s="1" t="str" cm="1">
        <f t="array" aca="1" ref="E3" ca="1">INDIRECT(_xlfn.CONCAT("$L", $F3))</f>
        <v>en es fr de it pt ja ko ru 汉语 漢語</v>
      </c>
      <c r="F3" s="1" cm="1">
        <f t="array" aca="1" ref="F3" ca="1">IF(NOT(OR(ISERROR(INDIRECT(_xlfn.CONCAT("$I", $F2 + 1))), ISBLANK(INDIRECT(_xlfn.CONCAT("$I", $F2 + 1))))), $F2 + 1, IF(NOT(ISBLANK(INDIRECT(_xlfn.CONCAT("$I", $F2 + 2)))), $F2 + 2, ""))</f>
        <v>3</v>
      </c>
      <c r="I3" s="8" t="s">
        <v>178</v>
      </c>
      <c r="J3" s="8">
        <v>4</v>
      </c>
      <c r="K3" s="9">
        <v>46199</v>
      </c>
      <c r="L3" s="8" t="s">
        <v>174</v>
      </c>
    </row>
    <row r="4" spans="1:12" ht="59.25">
      <c r="A4" s="1" t="str" cm="1">
        <f t="array" aca="1" ref="A4" ca="1">INDIRECT(_xlfn.CONCAT("$I", $F4))</f>
        <v>Teenage Mutant Ninja Turtles TMT</v>
      </c>
      <c r="B4" s="1" cm="1">
        <f t="array" aca="1" ref="B4" ca="1">INDIRECT(_xlfn.CONCAT("$J", $F4))</f>
        <v>20</v>
      </c>
      <c r="C4" s="1" cm="1">
        <f t="array" aca="1" ref="C4" ca="1">INDIRECT(_xlfn.CONCAT("$K", $F4))</f>
        <v>46087</v>
      </c>
      <c r="D4" s="1"/>
      <c r="E4" s="1" t="str" cm="1">
        <f t="array" aca="1" ref="E4" ca="1">INDIRECT(_xlfn.CONCAT("$L", $F4))</f>
        <v>en es fr de it pt ja ko ru 汉语 漢語</v>
      </c>
      <c r="F4" s="1" cm="1">
        <f t="array" aca="1" ref="F4" ca="1">IF(NOT(OR(ISERROR(INDIRECT(_xlfn.CONCAT("$I", $F3 + 1))), ISBLANK(INDIRECT(_xlfn.CONCAT("$I", $F3 + 1))))), $F3 + 1, IF(NOT(ISBLANK(INDIRECT(_xlfn.CONCAT("$I", $F3 + 2)))), $F3 + 2, ""))</f>
        <v>4</v>
      </c>
      <c r="I4" s="8" t="s">
        <v>179</v>
      </c>
      <c r="J4" s="8">
        <v>20</v>
      </c>
      <c r="K4" s="9">
        <v>46087</v>
      </c>
      <c r="L4" s="8" t="s">
        <v>174</v>
      </c>
    </row>
    <row r="5" spans="1:12" ht="94.5">
      <c r="A5" s="1" t="str" cm="1">
        <f t="array" aca="1" ref="A5" ca="1">INDIRECT(_xlfn.CONCAT("$I", $F5))</f>
        <v>Teenage Mutant Ninja Turtles Source Material PZA</v>
      </c>
      <c r="B5" s="1" cm="1">
        <f t="array" aca="1" ref="B5" ca="1">INDIRECT(_xlfn.CONCAT("$J", $F5))</f>
        <v>1</v>
      </c>
      <c r="C5" s="1" cm="1">
        <f t="array" aca="1" ref="C5" ca="1">INDIRECT(_xlfn.CONCAT("$K", $F5))</f>
        <v>46087</v>
      </c>
      <c r="D5" s="1"/>
      <c r="E5" s="1" t="str" cm="1">
        <f t="array" aca="1" ref="E5" ca="1">INDIRECT(_xlfn.CONCAT("$L", $F5))</f>
        <v>en es fr de it pt ja ko ru 汉语 漢語</v>
      </c>
      <c r="F5" s="1" cm="1">
        <f t="array" aca="1" ref="F5" ca="1">IF(NOT(OR(ISERROR(INDIRECT(_xlfn.CONCAT("$I", $F4 + 1))), ISBLANK(INDIRECT(_xlfn.CONCAT("$I", $F4 + 1))))), $F4 + 1, IF(NOT(ISBLANK(INDIRECT(_xlfn.CONCAT("$I", $F4 + 2)))), $F4 + 2, ""))</f>
        <v>5</v>
      </c>
      <c r="I5" s="8" t="s">
        <v>180</v>
      </c>
      <c r="J5" s="8">
        <v>1</v>
      </c>
      <c r="K5" s="9">
        <v>46087</v>
      </c>
      <c r="L5" s="8" t="s">
        <v>174</v>
      </c>
    </row>
    <row r="6" spans="1:12" ht="81">
      <c r="A6" s="1" t="str" cm="1">
        <f t="array" aca="1" ref="A6" ca="1">INDIRECT(_xlfn.CONCAT("$I", $F6))</f>
        <v>Teenage Mutant Ninja Turtles Tokens TTMT</v>
      </c>
      <c r="B6" s="1" cm="1">
        <f t="array" aca="1" ref="B6" ca="1">INDIRECT(_xlfn.CONCAT("$J", $F6))</f>
        <v>1</v>
      </c>
      <c r="C6" s="1" cm="1">
        <f t="array" aca="1" ref="C6" ca="1">INDIRECT(_xlfn.CONCAT("$K", $F6))</f>
        <v>46087</v>
      </c>
      <c r="D6" s="1"/>
      <c r="E6" s="1" t="str" cm="1">
        <f t="array" aca="1" ref="E6" ca="1">INDIRECT(_xlfn.CONCAT("$L", $F6))</f>
        <v>en es fr de it pt ja ko ru 汉语 漢語</v>
      </c>
      <c r="F6" s="1" cm="1">
        <f t="array" aca="1" ref="F6" ca="1">IF(NOT(OR(ISERROR(INDIRECT(_xlfn.CONCAT("$I", $F5 + 1))), ISBLANK(INDIRECT(_xlfn.CONCAT("$I", $F5 + 1))))), $F5 + 1, IF(NOT(ISBLANK(INDIRECT(_xlfn.CONCAT("$I", $F5 + 2)))), $F5 + 2, ""))</f>
        <v>6</v>
      </c>
      <c r="I6" s="8" t="s">
        <v>181</v>
      </c>
      <c r="J6" s="8">
        <v>1</v>
      </c>
      <c r="K6" s="9">
        <v>46087</v>
      </c>
      <c r="L6" s="8" t="s">
        <v>174</v>
      </c>
    </row>
    <row r="7" spans="1:12" ht="81">
      <c r="A7" s="1" t="str" cm="1">
        <f t="array" aca="1" ref="A7" ca="1">INDIRECT(_xlfn.CONCAT("$I", $F7))</f>
        <v>Teenage Mutant Ninja Turtles Eternal TMC</v>
      </c>
      <c r="B7" s="1" cm="1">
        <f t="array" aca="1" ref="B7" ca="1">INDIRECT(_xlfn.CONCAT("$J", $F7))</f>
        <v>12</v>
      </c>
      <c r="C7" s="1" cm="1">
        <f t="array" aca="1" ref="C7" ca="1">INDIRECT(_xlfn.CONCAT("$K", $F7))</f>
        <v>46087</v>
      </c>
      <c r="D7" s="1"/>
      <c r="E7" s="1" t="str" cm="1">
        <f t="array" aca="1" ref="E7" ca="1">INDIRECT(_xlfn.CONCAT("$L", $F7))</f>
        <v>en es fr de it pt ja ko ru 汉语 漢語</v>
      </c>
      <c r="F7" s="1" cm="1">
        <f t="array" aca="1" ref="F7" ca="1">IF(NOT(OR(ISERROR(INDIRECT(_xlfn.CONCAT("$I", $F6 + 1))), ISBLANK(INDIRECT(_xlfn.CONCAT("$I", $F6 + 1))))), $F6 + 1, IF(NOT(ISBLANK(INDIRECT(_xlfn.CONCAT("$I", $F6 + 2)))), $F6 + 2, ""))</f>
        <v>7</v>
      </c>
      <c r="I7" s="8" t="s">
        <v>182</v>
      </c>
      <c r="J7" s="8">
        <v>12</v>
      </c>
      <c r="K7" s="9">
        <v>46087</v>
      </c>
      <c r="L7" s="8" t="s">
        <v>174</v>
      </c>
    </row>
    <row r="8" spans="1:12" ht="94.5">
      <c r="A8" s="1" t="str" cm="1">
        <f t="array" aca="1" ref="A8" ca="1">INDIRECT(_xlfn.CONCAT("$I", $F8))</f>
        <v>Teenage Mutant Ninja Turtles Eternal Tokens TTMC</v>
      </c>
      <c r="B8" s="1" cm="1">
        <f t="array" aca="1" ref="B8" ca="1">INDIRECT(_xlfn.CONCAT("$J", $F8))</f>
        <v>4</v>
      </c>
      <c r="C8" s="1" cm="1">
        <f t="array" aca="1" ref="C8" ca="1">INDIRECT(_xlfn.CONCAT("$K", $F8))</f>
        <v>46087</v>
      </c>
      <c r="D8" s="1"/>
      <c r="E8" s="1" t="str" cm="1">
        <f t="array" aca="1" ref="E8" ca="1">INDIRECT(_xlfn.CONCAT("$L", $F8))</f>
        <v>en es fr de it pt ja ko ru 汉语 漢語</v>
      </c>
      <c r="F8" s="1" cm="1">
        <f t="array" aca="1" ref="F8" ca="1">IF(NOT(OR(ISERROR(INDIRECT(_xlfn.CONCAT("$I", $F7 + 1))), ISBLANK(INDIRECT(_xlfn.CONCAT("$I", $F7 + 1))))), $F7 + 1, IF(NOT(ISBLANK(INDIRECT(_xlfn.CONCAT("$I", $F7 + 2)))), $F7 + 2, ""))</f>
        <v>8</v>
      </c>
      <c r="I8" s="8" t="s">
        <v>183</v>
      </c>
      <c r="J8" s="8">
        <v>4</v>
      </c>
      <c r="K8" s="9">
        <v>46087</v>
      </c>
      <c r="L8" s="8" t="s">
        <v>174</v>
      </c>
    </row>
    <row r="9" spans="1:12" ht="59.25">
      <c r="A9" s="1" t="str" cm="1">
        <f t="array" aca="1" ref="A9" ca="1">INDIRECT(_xlfn.CONCAT("$I", $F9))</f>
        <v>Lorwyn Eclipsed ECL</v>
      </c>
      <c r="B9" s="1" cm="1">
        <f t="array" aca="1" ref="B9" ca="1">INDIRECT(_xlfn.CONCAT("$J", $F9))</f>
        <v>33</v>
      </c>
      <c r="C9" s="1" cm="1">
        <f t="array" aca="1" ref="C9" ca="1">INDIRECT(_xlfn.CONCAT("$K", $F9))</f>
        <v>46045</v>
      </c>
      <c r="D9" s="1"/>
      <c r="E9" s="1" t="str" cm="1">
        <f t="array" aca="1" ref="E9" ca="1">INDIRECT(_xlfn.CONCAT("$L", $F9))</f>
        <v>en es fr de it pt ja ko ru 汉语 漢語</v>
      </c>
      <c r="F9" s="1" cm="1">
        <f t="array" aca="1" ref="F9" ca="1">IF(NOT(OR(ISERROR(INDIRECT(_xlfn.CONCAT("$I", $F8 + 1))), ISBLANK(INDIRECT(_xlfn.CONCAT("$I", $F8 + 1))))), $F8 + 1, IF(NOT(ISBLANK(INDIRECT(_xlfn.CONCAT("$I", $F8 + 2)))), $F8 + 2, ""))</f>
        <v>9</v>
      </c>
      <c r="I9" s="8" t="s">
        <v>1225</v>
      </c>
      <c r="J9" s="8">
        <v>33</v>
      </c>
      <c r="K9" s="9">
        <v>46045</v>
      </c>
      <c r="L9" s="8" t="s">
        <v>174</v>
      </c>
    </row>
    <row r="10" spans="1:12" ht="59.25">
      <c r="A10" s="1" t="str" cm="1">
        <f t="array" aca="1" ref="A10" ca="1">INDIRECT(_xlfn.CONCAT("$I", $F10))</f>
        <v>MagicFest 2026 PF26</v>
      </c>
      <c r="B10" s="1" cm="1">
        <f t="array" aca="1" ref="B10" ca="1">INDIRECT(_xlfn.CONCAT("$J", $F10))</f>
        <v>1</v>
      </c>
      <c r="C10" s="1" cm="1">
        <f t="array" aca="1" ref="C10" ca="1">INDIRECT(_xlfn.CONCAT("$K", $F10))</f>
        <v>46023</v>
      </c>
      <c r="D10" s="1"/>
      <c r="E10" s="1" t="str" cm="1">
        <f t="array" aca="1" ref="E10" ca="1">INDIRECT(_xlfn.CONCAT("$L", $F10))</f>
        <v>en es fr de it pt ja ko ru 汉语 漢語</v>
      </c>
      <c r="F10" s="1" cm="1">
        <f t="array" aca="1" ref="F10" ca="1">IF(NOT(OR(ISERROR(INDIRECT(_xlfn.CONCAT("$I", $F9 + 1))), ISBLANK(INDIRECT(_xlfn.CONCAT("$I", $F9 + 1))))), $F9 + 1, IF(NOT(ISBLANK(INDIRECT(_xlfn.CONCAT("$I", $F9 + 2)))), $F9 + 2, ""))</f>
        <v>10</v>
      </c>
      <c r="I10" s="8" t="s">
        <v>184</v>
      </c>
      <c r="J10" s="8">
        <v>1</v>
      </c>
      <c r="K10" s="9">
        <v>46023</v>
      </c>
      <c r="L10" s="8" t="s">
        <v>174</v>
      </c>
    </row>
    <row r="11" spans="1:12" ht="59.25">
      <c r="A11" s="1" t="str" cm="1">
        <f t="array" aca="1" ref="A11" ca="1">INDIRECT(_xlfn.CONCAT("$I", $F11))</f>
        <v>Avatar: The Last Airbender TLA</v>
      </c>
      <c r="B11" s="1" cm="1">
        <f t="array" aca="1" ref="B11" ca="1">INDIRECT(_xlfn.CONCAT("$J", $F11))</f>
        <v>394</v>
      </c>
      <c r="C11" s="1" cm="1">
        <f t="array" aca="1" ref="C11" ca="1">INDIRECT(_xlfn.CONCAT("$K", $F11))</f>
        <v>45982</v>
      </c>
      <c r="D11" s="1"/>
      <c r="E11" s="1" t="str" cm="1">
        <f t="array" aca="1" ref="E11" ca="1">INDIRECT(_xlfn.CONCAT("$L", $F11))</f>
        <v>en es fr de it pt ja ko ru 汉语 漢語</v>
      </c>
      <c r="F11" s="1" cm="1">
        <f t="array" aca="1" ref="F11" ca="1">IF(NOT(OR(ISERROR(INDIRECT(_xlfn.CONCAT("$I", $F10 + 1))), ISBLANK(INDIRECT(_xlfn.CONCAT("$I", $F10 + 1))))), $F10 + 1, IF(NOT(ISBLANK(INDIRECT(_xlfn.CONCAT("$I", $F10 + 2)))), $F10 + 2, ""))</f>
        <v>11</v>
      </c>
      <c r="I11" s="8" t="s">
        <v>1209</v>
      </c>
      <c r="J11" s="8">
        <v>394</v>
      </c>
      <c r="K11" s="9">
        <v>45982</v>
      </c>
      <c r="L11" s="8" t="s">
        <v>174</v>
      </c>
    </row>
    <row r="12" spans="1:12" ht="68.25">
      <c r="A12" s="1" t="str" cm="1">
        <f t="array" aca="1" ref="A12" ca="1">INDIRECT(_xlfn.CONCAT("$I", $F12))</f>
        <v>Avatar: The Last Airbender Tokens TTLA</v>
      </c>
      <c r="B12" s="1" cm="1">
        <f t="array" aca="1" ref="B12" ca="1">INDIRECT(_xlfn.CONCAT("$J", $F12))</f>
        <v>22</v>
      </c>
      <c r="C12" s="1" cm="1">
        <f t="array" aca="1" ref="C12" ca="1">INDIRECT(_xlfn.CONCAT("$K", $F12))</f>
        <v>45982</v>
      </c>
      <c r="D12" s="1"/>
      <c r="E12" s="1" t="str" cm="1">
        <f t="array" aca="1" ref="E12" ca="1">INDIRECT(_xlfn.CONCAT("$L", $F12))</f>
        <v>en es fr de it pt ja ko ru 汉语 漢語</v>
      </c>
      <c r="F12" s="1" cm="1">
        <f t="array" aca="1" ref="F12" ca="1">IF(NOT(OR(ISERROR(INDIRECT(_xlfn.CONCAT("$I", $F11 + 1))), ISBLANK(INDIRECT(_xlfn.CONCAT("$I", $F11 + 1))))), $F11 + 1, IF(NOT(ISBLANK(INDIRECT(_xlfn.CONCAT("$I", $F11 + 2)))), $F11 + 2, ""))</f>
        <v>12</v>
      </c>
      <c r="I12" s="8" t="s">
        <v>185</v>
      </c>
      <c r="J12" s="8">
        <v>22</v>
      </c>
      <c r="K12" s="9">
        <v>45982</v>
      </c>
      <c r="L12" s="8" t="s">
        <v>174</v>
      </c>
    </row>
    <row r="13" spans="1:12" ht="81">
      <c r="A13" s="1" t="str" cm="1">
        <f t="array" aca="1" ref="A13" ca="1">INDIRECT(_xlfn.CONCAT("$I", $F13))</f>
        <v>Avatar: The Last Airbender Beginner Box Front Cards FTLA</v>
      </c>
      <c r="B13" s="1" cm="1">
        <f t="array" aca="1" ref="B13" ca="1">INDIRECT(_xlfn.CONCAT("$J", $F13))</f>
        <v>10</v>
      </c>
      <c r="C13" s="1" cm="1">
        <f t="array" aca="1" ref="C13" ca="1">INDIRECT(_xlfn.CONCAT("$K", $F13))</f>
        <v>45982</v>
      </c>
      <c r="D13" s="1"/>
      <c r="E13" s="1" t="str" cm="1">
        <f t="array" aca="1" ref="E13" ca="1">INDIRECT(_xlfn.CONCAT("$L", $F13))</f>
        <v>en es fr de it pt ja ko ru 汉语 漢語</v>
      </c>
      <c r="F13" s="1" cm="1">
        <f t="array" aca="1" ref="F13" ca="1">IF(NOT(OR(ISERROR(INDIRECT(_xlfn.CONCAT("$I", $F12 + 1))), ISBLANK(INDIRECT(_xlfn.CONCAT("$I", $F12 + 1))))), $F12 + 1, IF(NOT(ISBLANK(INDIRECT(_xlfn.CONCAT("$I", $F12 + 2)))), $F12 + 2, ""))</f>
        <v>13</v>
      </c>
      <c r="I13" s="8" t="s">
        <v>186</v>
      </c>
      <c r="J13" s="8">
        <v>10</v>
      </c>
      <c r="K13" s="9">
        <v>45982</v>
      </c>
      <c r="L13" s="8" t="s">
        <v>174</v>
      </c>
    </row>
    <row r="14" spans="1:12" ht="81">
      <c r="A14" s="1" t="str" cm="1">
        <f t="array" aca="1" ref="A14" ca="1">INDIRECT(_xlfn.CONCAT("$I", $F14))</f>
        <v>Avatar: The Last Airbender Jumpstart Front Cards JTLA</v>
      </c>
      <c r="B14" s="1" cm="1">
        <f t="array" aca="1" ref="B14" ca="1">INDIRECT(_xlfn.CONCAT("$J", $F14))</f>
        <v>46</v>
      </c>
      <c r="C14" s="1" cm="1">
        <f t="array" aca="1" ref="C14" ca="1">INDIRECT(_xlfn.CONCAT("$K", $F14))</f>
        <v>45982</v>
      </c>
      <c r="D14" s="1"/>
      <c r="E14" s="1" t="str" cm="1">
        <f t="array" aca="1" ref="E14" ca="1">INDIRECT(_xlfn.CONCAT("$L", $F14))</f>
        <v>en es fr de it pt ja ko ru 汉语 漢語</v>
      </c>
      <c r="F14" s="1" cm="1">
        <f t="array" aca="1" ref="F14" ca="1">IF(NOT(OR(ISERROR(INDIRECT(_xlfn.CONCAT("$I", $F13 + 1))), ISBLANK(INDIRECT(_xlfn.CONCAT("$I", $F13 + 1))))), $F13 + 1, IF(NOT(ISBLANK(INDIRECT(_xlfn.CONCAT("$I", $F13 + 2)))), $F13 + 2, ""))</f>
        <v>14</v>
      </c>
      <c r="I14" s="8" t="s">
        <v>187</v>
      </c>
      <c r="J14" s="8">
        <v>46</v>
      </c>
      <c r="K14" s="9">
        <v>45982</v>
      </c>
      <c r="L14" s="8" t="s">
        <v>174</v>
      </c>
    </row>
    <row r="15" spans="1:12" ht="59.25">
      <c r="A15" s="1" t="str" cm="1">
        <f t="array" aca="1" ref="A15" ca="1">INDIRECT(_xlfn.CONCAT("$I", $F15))</f>
        <v>Avatar: The Last Airbender Eternal TLE</v>
      </c>
      <c r="B15" s="1" cm="1">
        <f t="array" aca="1" ref="B15" ca="1">INDIRECT(_xlfn.CONCAT("$J", $F15))</f>
        <v>317</v>
      </c>
      <c r="C15" s="1" cm="1">
        <f t="array" aca="1" ref="C15" ca="1">INDIRECT(_xlfn.CONCAT("$K", $F15))</f>
        <v>45982</v>
      </c>
      <c r="D15" s="1"/>
      <c r="E15" s="1" t="str" cm="1">
        <f t="array" aca="1" ref="E15" ca="1">INDIRECT(_xlfn.CONCAT("$L", $F15))</f>
        <v>en es fr de it pt ja ko ru 汉语 漢語</v>
      </c>
      <c r="F15" s="1" cm="1">
        <f t="array" aca="1" ref="F15" ca="1">IF(NOT(OR(ISERROR(INDIRECT(_xlfn.CONCAT("$I", $F14 + 1))), ISBLANK(INDIRECT(_xlfn.CONCAT("$I", $F14 + 1))))), $F14 + 1, IF(NOT(ISBLANK(INDIRECT(_xlfn.CONCAT("$I", $F14 + 2)))), $F14 + 2, ""))</f>
        <v>15</v>
      </c>
      <c r="I15" s="8" t="s">
        <v>188</v>
      </c>
      <c r="J15" s="8">
        <v>317</v>
      </c>
      <c r="K15" s="9">
        <v>45982</v>
      </c>
      <c r="L15" s="8" t="s">
        <v>174</v>
      </c>
    </row>
    <row r="16" spans="1:12" ht="81">
      <c r="A16" s="1" t="str" cm="1">
        <f t="array" aca="1" ref="A16" ca="1">INDIRECT(_xlfn.CONCAT("$I", $F16))</f>
        <v>Avatar: The Last Airbender Eternal Tokens TTLE</v>
      </c>
      <c r="B16" s="1" cm="1">
        <f t="array" aca="1" ref="B16" ca="1">INDIRECT(_xlfn.CONCAT("$J", $F16))</f>
        <v>2</v>
      </c>
      <c r="C16" s="1" cm="1">
        <f t="array" aca="1" ref="C16" ca="1">INDIRECT(_xlfn.CONCAT("$K", $F16))</f>
        <v>45982</v>
      </c>
      <c r="D16" s="1"/>
      <c r="E16" s="1" t="str" cm="1">
        <f t="array" aca="1" ref="E16" ca="1">INDIRECT(_xlfn.CONCAT("$L", $F16))</f>
        <v>en es fr de it pt ja ko ru 汉语 漢語</v>
      </c>
      <c r="F16" s="1" cm="1">
        <f t="array" aca="1" ref="F16" ca="1">IF(NOT(OR(ISERROR(INDIRECT(_xlfn.CONCAT("$I", $F15 + 1))), ISBLANK(INDIRECT(_xlfn.CONCAT("$I", $F15 + 1))))), $F15 + 1, IF(NOT(ISBLANK(INDIRECT(_xlfn.CONCAT("$I", $F15 + 2)))), $F15 + 2, ""))</f>
        <v>16</v>
      </c>
      <c r="I16" s="8" t="s">
        <v>189</v>
      </c>
      <c r="J16" s="8">
        <v>2</v>
      </c>
      <c r="K16" s="9">
        <v>45982</v>
      </c>
      <c r="L16" s="8" t="s">
        <v>174</v>
      </c>
    </row>
    <row r="17" spans="1:12" ht="54.75">
      <c r="A17" s="1" t="str" cm="1">
        <f t="array" aca="1" ref="A17" ca="1">INDIRECT(_xlfn.CONCAT("$I", $F17))</f>
        <v>Arena Powered Cube APCUBE</v>
      </c>
      <c r="B17" s="1" cm="1">
        <f t="array" aca="1" ref="B17" ca="1">INDIRECT(_xlfn.CONCAT("$J", $F17))</f>
        <v>540</v>
      </c>
      <c r="C17" s="1" cm="1">
        <f t="array" aca="1" ref="C17" ca="1">INDIRECT(_xlfn.CONCAT("$K", $F17))</f>
        <v>45953</v>
      </c>
      <c r="D17" s="1"/>
      <c r="E17" s="1" cm="1">
        <f t="array" aca="1" ref="E17" ca="1">INDIRECT(_xlfn.CONCAT("$L", $F17))</f>
        <v>0</v>
      </c>
      <c r="F17" s="1" cm="1">
        <f t="array" aca="1" ref="F17" ca="1">IF(NOT(OR(ISERROR(INDIRECT(_xlfn.CONCAT("$I", $F16 + 1))), ISBLANK(INDIRECT(_xlfn.CONCAT("$I", $F16 + 1))))), $F16 + 1, IF(NOT(ISBLANK(INDIRECT(_xlfn.CONCAT("$I", $F16 + 2)))), $F16 + 2, ""))</f>
        <v>17</v>
      </c>
      <c r="I17" s="8" t="s">
        <v>190</v>
      </c>
      <c r="J17" s="8">
        <v>540</v>
      </c>
      <c r="K17" s="9">
        <v>45953</v>
      </c>
    </row>
    <row r="18" spans="1:12" ht="59.25">
      <c r="A18" s="1" t="str" cm="1">
        <f t="array" aca="1" ref="A18" ca="1">INDIRECT(_xlfn.CONCAT("$I", $F18))</f>
        <v>Marvel Universe MAR</v>
      </c>
      <c r="B18" s="1" cm="1">
        <f t="array" aca="1" ref="B18" ca="1">INDIRECT(_xlfn.CONCAT("$J", $F18))</f>
        <v>53</v>
      </c>
      <c r="C18" s="1" cm="1">
        <f t="array" aca="1" ref="C18" ca="1">INDIRECT(_xlfn.CONCAT("$K", $F18))</f>
        <v>45926</v>
      </c>
      <c r="D18" s="1"/>
      <c r="E18" s="1" t="str" cm="1">
        <f t="array" aca="1" ref="E18" ca="1">INDIRECT(_xlfn.CONCAT("$L", $F18))</f>
        <v>en es fr de it pt ja ko ru 汉语 漢語</v>
      </c>
      <c r="F18" s="1" cm="1">
        <f t="array" aca="1" ref="F18" ca="1">IF(NOT(OR(ISERROR(INDIRECT(_xlfn.CONCAT("$I", $F17 + 1))), ISBLANK(INDIRECT(_xlfn.CONCAT("$I", $F17 + 1))))), $F17 + 1, IF(NOT(ISBLANK(INDIRECT(_xlfn.CONCAT("$I", $F17 + 2)))), $F17 + 2, ""))</f>
        <v>18</v>
      </c>
      <c r="I18" s="8" t="s">
        <v>191</v>
      </c>
      <c r="J18" s="8">
        <v>53</v>
      </c>
      <c r="K18" s="9">
        <v>45926</v>
      </c>
      <c r="L18" t="s">
        <v>174</v>
      </c>
    </row>
    <row r="19" spans="1:12" ht="68.25">
      <c r="A19" s="1" t="str" cm="1">
        <f t="array" aca="1" ref="A19" ca="1">INDIRECT(_xlfn.CONCAT("$I", $F19))</f>
        <v>Through the Omenpaths Bonus Sheet OMB</v>
      </c>
      <c r="B19" s="1" cm="1">
        <f t="array" aca="1" ref="B19" ca="1">INDIRECT(_xlfn.CONCAT("$J", $F19))</f>
        <v>40</v>
      </c>
      <c r="C19" s="1" cm="1">
        <f t="array" aca="1" ref="C19" ca="1">INDIRECT(_xlfn.CONCAT("$K", $F19))</f>
        <v>45923</v>
      </c>
      <c r="D19" s="1"/>
      <c r="E19" s="1" t="str" cm="1">
        <f t="array" aca="1" ref="E19" ca="1">INDIRECT(_xlfn.CONCAT("$L", $F19))</f>
        <v>en es fr de it pt ja ko ru 汉语 漢語</v>
      </c>
      <c r="F19" s="1" cm="1">
        <f t="array" aca="1" ref="F19" ca="1">IF(NOT(OR(ISERROR(INDIRECT(_xlfn.CONCAT("$I", $F18 + 1))), ISBLANK(INDIRECT(_xlfn.CONCAT("$I", $F18 + 1))))), $F18 + 1, IF(NOT(ISBLANK(INDIRECT(_xlfn.CONCAT("$I", $F18 + 2)))), $F18 + 2, ""))</f>
        <v>19</v>
      </c>
      <c r="I19" s="8" t="s">
        <v>192</v>
      </c>
      <c r="J19" s="8">
        <v>40</v>
      </c>
      <c r="K19" s="9">
        <v>45923</v>
      </c>
      <c r="L19" s="8" t="s">
        <v>174</v>
      </c>
    </row>
    <row r="20" spans="1:12" ht="68.25">
      <c r="A20" s="1" t="str" cm="1">
        <f t="array" aca="1" ref="A20" ca="1">INDIRECT(_xlfn.CONCAT("$I", $F20))</f>
        <v>Marvel Legends Series Inserts LMAR</v>
      </c>
      <c r="B20" s="1" cm="1">
        <f t="array" aca="1" ref="B20" ca="1">INDIRECT(_xlfn.CONCAT("$J", $F20))</f>
        <v>4</v>
      </c>
      <c r="C20" s="1" cm="1">
        <f t="array" aca="1" ref="C20" ca="1">INDIRECT(_xlfn.CONCAT("$K", $F20))</f>
        <v>45930</v>
      </c>
      <c r="D20" s="1"/>
      <c r="E20" s="1" t="str" cm="1">
        <f t="array" aca="1" ref="E20" ca="1">INDIRECT(_xlfn.CONCAT("$L", $F20))</f>
        <v>en es fr de it pt ja ko ru 汉语 漢語</v>
      </c>
      <c r="F20" s="1" cm="1">
        <f t="array" aca="1" ref="F20" ca="1">IF(NOT(OR(ISERROR(INDIRECT(_xlfn.CONCAT("$I", $F19 + 1))), ISBLANK(INDIRECT(_xlfn.CONCAT("$I", $F19 + 1))))), $F19 + 1, IF(NOT(ISBLANK(INDIRECT(_xlfn.CONCAT("$I", $F19 + 2)))), $F19 + 2, ""))</f>
        <v>20</v>
      </c>
      <c r="I20" s="8" t="s">
        <v>193</v>
      </c>
      <c r="J20" s="8">
        <v>4</v>
      </c>
      <c r="K20" s="9">
        <v>45930</v>
      </c>
      <c r="L20" s="8" t="s">
        <v>174</v>
      </c>
    </row>
    <row r="21" spans="1:12" ht="59.25">
      <c r="A21" s="1" t="str" cm="1">
        <f t="array" aca="1" ref="A21" ca="1">INDIRECT(_xlfn.CONCAT("$I", $F21))</f>
        <v>Marvel's Spider-Man SPM</v>
      </c>
      <c r="B21" s="1" cm="1">
        <f t="array" aca="1" ref="B21" ca="1">INDIRECT(_xlfn.CONCAT("$J", $F21))</f>
        <v>286</v>
      </c>
      <c r="C21" s="1" cm="1">
        <f t="array" aca="1" ref="C21" ca="1">INDIRECT(_xlfn.CONCAT("$K", $F21))</f>
        <v>45926</v>
      </c>
      <c r="D21" s="1"/>
      <c r="E21" s="1" t="str" cm="1">
        <f t="array" aca="1" ref="E21" ca="1">INDIRECT(_xlfn.CONCAT("$L", $F21))</f>
        <v>en es fr de it pt ja ko ru 汉语 漢語</v>
      </c>
      <c r="F21" s="1" cm="1">
        <f t="array" aca="1" ref="F21" ca="1">IF(NOT(OR(ISERROR(INDIRECT(_xlfn.CONCAT("$I", $F20 + 1))), ISBLANK(INDIRECT(_xlfn.CONCAT("$I", $F20 + 1))))), $F20 + 1, IF(NOT(ISBLANK(INDIRECT(_xlfn.CONCAT("$I", $F20 + 2)))), $F20 + 2, ""))</f>
        <v>21</v>
      </c>
      <c r="I21" s="8" t="s">
        <v>1178</v>
      </c>
      <c r="J21" s="8">
        <v>286</v>
      </c>
      <c r="K21" s="9">
        <v>45926</v>
      </c>
      <c r="L21" t="s">
        <v>174</v>
      </c>
    </row>
    <row r="22" spans="1:12" ht="59.25">
      <c r="A22" s="1" t="str" cm="1">
        <f t="array" aca="1" ref="A22" ca="1">INDIRECT(_xlfn.CONCAT("$I", $F22))</f>
        <v>Marvel's Spider-Man Promos PSPM</v>
      </c>
      <c r="B22" s="1" cm="1">
        <f t="array" aca="1" ref="B22" ca="1">INDIRECT(_xlfn.CONCAT("$J", $F22))</f>
        <v>68</v>
      </c>
      <c r="C22" s="1" cm="1">
        <f t="array" aca="1" ref="C22" ca="1">INDIRECT(_xlfn.CONCAT("$K", $F22))</f>
        <v>45926</v>
      </c>
      <c r="D22" s="1"/>
      <c r="E22" s="1" t="str" cm="1">
        <f t="array" aca="1" ref="E22" ca="1">INDIRECT(_xlfn.CONCAT("$L", $F22))</f>
        <v>en es fr de it pt ja ko ru 汉语 漢語</v>
      </c>
      <c r="F22" s="1" cm="1">
        <f t="array" aca="1" ref="F22" ca="1">IF(NOT(OR(ISERROR(INDIRECT(_xlfn.CONCAT("$I", $F21 + 1))), ISBLANK(INDIRECT(_xlfn.CONCAT("$I", $F21 + 1))))), $F21 + 1, IF(NOT(ISBLANK(INDIRECT(_xlfn.CONCAT("$I", $F21 + 2)))), $F21 + 2, ""))</f>
        <v>22</v>
      </c>
      <c r="I22" s="8" t="s">
        <v>194</v>
      </c>
      <c r="J22" s="8">
        <v>68</v>
      </c>
      <c r="K22" s="9">
        <v>45926</v>
      </c>
      <c r="L22" s="8" t="s">
        <v>174</v>
      </c>
    </row>
    <row r="23" spans="1:12" ht="59.25">
      <c r="A23" s="1" t="str" cm="1">
        <f t="array" aca="1" ref="A23" ca="1">INDIRECT(_xlfn.CONCAT("$I", $F23))</f>
        <v>Marvel's Spider-Man Tokens TSPM</v>
      </c>
      <c r="B23" s="1" cm="1">
        <f t="array" aca="1" ref="B23" ca="1">INDIRECT(_xlfn.CONCAT("$J", $F23))</f>
        <v>7</v>
      </c>
      <c r="C23" s="1" cm="1">
        <f t="array" aca="1" ref="C23" ca="1">INDIRECT(_xlfn.CONCAT("$K", $F23))</f>
        <v>45926</v>
      </c>
      <c r="D23" s="1"/>
      <c r="E23" s="1" t="str" cm="1">
        <f t="array" aca="1" ref="E23" ca="1">INDIRECT(_xlfn.CONCAT("$L", $F23))</f>
        <v>en es fr de it pt ja ko ru 汉语 漢語</v>
      </c>
      <c r="F23" s="1" cm="1">
        <f t="array" aca="1" ref="F23" ca="1">IF(NOT(OR(ISERROR(INDIRECT(_xlfn.CONCAT("$I", $F22 + 1))), ISBLANK(INDIRECT(_xlfn.CONCAT("$I", $F22 + 1))))), $F22 + 1, IF(NOT(ISBLANK(INDIRECT(_xlfn.CONCAT("$I", $F22 + 2)))), $F22 + 2, ""))</f>
        <v>23</v>
      </c>
      <c r="I23" s="8" t="s">
        <v>195</v>
      </c>
      <c r="J23" s="8">
        <v>7</v>
      </c>
      <c r="K23" s="9">
        <v>45926</v>
      </c>
      <c r="L23" s="8" t="s">
        <v>174</v>
      </c>
    </row>
    <row r="24" spans="1:12" ht="59.25">
      <c r="A24" s="1" t="str" cm="1">
        <f t="array" aca="1" ref="A24" ca="1">INDIRECT(_xlfn.CONCAT("$I", $F24))</f>
        <v>Marvel's Spider-Man Eternal SPE</v>
      </c>
      <c r="B24" s="1" cm="1">
        <f t="array" aca="1" ref="B24" ca="1">INDIRECT(_xlfn.CONCAT("$J", $F24))</f>
        <v>26</v>
      </c>
      <c r="C24" s="1" cm="1">
        <f t="array" aca="1" ref="C24" ca="1">INDIRECT(_xlfn.CONCAT("$K", $F24))</f>
        <v>45926</v>
      </c>
      <c r="D24" s="1"/>
      <c r="E24" s="1" t="str" cm="1">
        <f t="array" aca="1" ref="E24" ca="1">INDIRECT(_xlfn.CONCAT("$L", $F24))</f>
        <v>en es fr de it pt ja ko ru 汉语 漢語</v>
      </c>
      <c r="F24" s="1" cm="1">
        <f t="array" aca="1" ref="F24" ca="1">IF(NOT(OR(ISERROR(INDIRECT(_xlfn.CONCAT("$I", $F23 + 1))), ISBLANK(INDIRECT(_xlfn.CONCAT("$I", $F23 + 1))))), $F23 + 1, IF(NOT(ISBLANK(INDIRECT(_xlfn.CONCAT("$I", $F23 + 2)))), $F23 + 2, ""))</f>
        <v>24</v>
      </c>
      <c r="I24" s="8" t="s">
        <v>196</v>
      </c>
      <c r="J24" s="8">
        <v>26</v>
      </c>
      <c r="K24" s="9">
        <v>45926</v>
      </c>
      <c r="L24" t="s">
        <v>174</v>
      </c>
    </row>
    <row r="25" spans="1:12" ht="59.25">
      <c r="A25" s="1" t="str" cm="1">
        <f t="array" aca="1" ref="A25" ca="1">INDIRECT(_xlfn.CONCAT("$I", $F25))</f>
        <v>Through the Omenpaths OM1</v>
      </c>
      <c r="B25" s="1" cm="1">
        <f t="array" aca="1" ref="B25" ca="1">INDIRECT(_xlfn.CONCAT("$J", $F25))</f>
        <v>189</v>
      </c>
      <c r="C25" s="1" cm="1">
        <f t="array" aca="1" ref="C25" ca="1">INDIRECT(_xlfn.CONCAT("$K", $F25))</f>
        <v>45923</v>
      </c>
      <c r="D25" s="1"/>
      <c r="E25" s="1" t="str" cm="1">
        <f t="array" aca="1" ref="E25" ca="1">INDIRECT(_xlfn.CONCAT("$L", $F25))</f>
        <v>en es fr de it pt ja ko ru 汉语 漢語</v>
      </c>
      <c r="F25" s="1" cm="1">
        <f t="array" aca="1" ref="F25" ca="1">IF(NOT(OR(ISERROR(INDIRECT(_xlfn.CONCAT("$I", $F24 + 1))), ISBLANK(INDIRECT(_xlfn.CONCAT("$I", $F24 + 1))))), $F24 + 1, IF(NOT(ISBLANK(INDIRECT(_xlfn.CONCAT("$I", $F24 + 2)))), $F24 + 2, ""))</f>
        <v>25</v>
      </c>
      <c r="I25" s="8" t="s">
        <v>197</v>
      </c>
      <c r="J25" s="8">
        <v>189</v>
      </c>
      <c r="K25" s="9">
        <v>45923</v>
      </c>
      <c r="L25" s="8" t="s">
        <v>174</v>
      </c>
    </row>
    <row r="26" spans="1:12" ht="59.25">
      <c r="A26" s="1" t="str" cm="1">
        <f t="array" aca="1" ref="A26" ca="1">INDIRECT(_xlfn.CONCAT("$I", $F26))</f>
        <v>Arena Anthology 4 AA4</v>
      </c>
      <c r="B26" s="1" cm="1">
        <f t="array" aca="1" ref="B26" ca="1">INDIRECT(_xlfn.CONCAT("$J", $F26))</f>
        <v>28</v>
      </c>
      <c r="C26" s="1" cm="1">
        <f t="array" aca="1" ref="C26" ca="1">INDIRECT(_xlfn.CONCAT("$K", $F26))</f>
        <v>45923</v>
      </c>
      <c r="D26" s="1"/>
      <c r="E26" s="1" t="str" cm="1">
        <f t="array" aca="1" ref="E26" ca="1">INDIRECT(_xlfn.CONCAT("$L", $F26))</f>
        <v>en es fr de it pt ja ko ru 汉语 漢語</v>
      </c>
      <c r="F26" s="1" cm="1">
        <f t="array" aca="1" ref="F26" ca="1">IF(NOT(OR(ISERROR(INDIRECT(_xlfn.CONCAT("$I", $F25 + 1))), ISBLANK(INDIRECT(_xlfn.CONCAT("$I", $F25 + 1))))), $F25 + 1, IF(NOT(ISBLANK(INDIRECT(_xlfn.CONCAT("$I", $F25 + 2)))), $F25 + 2, ""))</f>
        <v>26</v>
      </c>
      <c r="I26" s="8" t="s">
        <v>198</v>
      </c>
      <c r="J26" s="8">
        <v>28</v>
      </c>
      <c r="K26" s="9">
        <v>45923</v>
      </c>
      <c r="L26" s="8" t="s">
        <v>174</v>
      </c>
    </row>
    <row r="27" spans="1:12" ht="59.25">
      <c r="A27" s="1" t="str" cm="1">
        <f t="array" aca="1" ref="A27" ca="1">INDIRECT(_xlfn.CONCAT("$I", $F27))</f>
        <v>Arena Anthology 3 AA3</v>
      </c>
      <c r="B27" s="1" cm="1">
        <f t="array" aca="1" ref="B27" ca="1">INDIRECT(_xlfn.CONCAT("$J", $F27))</f>
        <v>25</v>
      </c>
      <c r="C27" s="1" cm="1">
        <f t="array" aca="1" ref="C27" ca="1">INDIRECT(_xlfn.CONCAT("$K", $F27))</f>
        <v>45923</v>
      </c>
      <c r="D27" s="1"/>
      <c r="E27" s="1" t="str" cm="1">
        <f t="array" aca="1" ref="E27" ca="1">INDIRECT(_xlfn.CONCAT("$L", $F27))</f>
        <v>en es fr de it pt ja ko ru 汉语 漢語</v>
      </c>
      <c r="F27" s="1" cm="1">
        <f t="array" aca="1" ref="F27" ca="1">IF(NOT(OR(ISERROR(INDIRECT(_xlfn.CONCAT("$I", $F26 + 1))), ISBLANK(INDIRECT(_xlfn.CONCAT("$I", $F26 + 1))))), $F26 + 1, IF(NOT(ISBLANK(INDIRECT(_xlfn.CONCAT("$I", $F26 + 2)))), $F26 + 2, ""))</f>
        <v>27</v>
      </c>
      <c r="I27" s="8" t="s">
        <v>199</v>
      </c>
      <c r="J27" s="8">
        <v>25</v>
      </c>
      <c r="K27" s="9">
        <v>45923</v>
      </c>
      <c r="L27" s="8" t="s">
        <v>174</v>
      </c>
    </row>
    <row r="28" spans="1:12" ht="59.25">
      <c r="A28" s="1" t="str" cm="1">
        <f t="array" aca="1" ref="A28" ca="1">INDIRECT(_xlfn.CONCAT("$I", $F28))</f>
        <v>2023 Heroes of the Realm PH23</v>
      </c>
      <c r="B28" s="1" cm="1">
        <f t="array" aca="1" ref="B28" ca="1">INDIRECT(_xlfn.CONCAT("$J", $F28))</f>
        <v>1</v>
      </c>
      <c r="C28" s="1" cm="1">
        <f t="array" aca="1" ref="C28" ca="1">INDIRECT(_xlfn.CONCAT("$K", $F28))</f>
        <v>45893</v>
      </c>
      <c r="D28" s="1"/>
      <c r="E28" s="1" t="str" cm="1">
        <f t="array" aca="1" ref="E28" ca="1">INDIRECT(_xlfn.CONCAT("$L", $F28))</f>
        <v>en es fr de it pt ja ko ru 汉语 漢語</v>
      </c>
      <c r="F28" s="1" cm="1">
        <f t="array" aca="1" ref="F28" ca="1">IF(NOT(OR(ISERROR(INDIRECT(_xlfn.CONCAT("$I", $F27 + 1))), ISBLANK(INDIRECT(_xlfn.CONCAT("$I", $F27 + 1))))), $F27 + 1, IF(NOT(ISBLANK(INDIRECT(_xlfn.CONCAT("$I", $F27 + 2)))), $F27 + 2, ""))</f>
        <v>28</v>
      </c>
      <c r="I28" s="8" t="s">
        <v>200</v>
      </c>
      <c r="J28" s="8">
        <v>1</v>
      </c>
      <c r="K28" s="9">
        <v>45893</v>
      </c>
      <c r="L28" s="8" t="s">
        <v>174</v>
      </c>
    </row>
    <row r="29" spans="1:12" ht="59.25">
      <c r="A29" s="1" t="str" cm="1">
        <f t="array" aca="1" ref="A29" ca="1">INDIRECT(_xlfn.CONCAT("$I", $F29))</f>
        <v>Arena Anthology 2 AA2</v>
      </c>
      <c r="B29" s="1" cm="1">
        <f t="array" aca="1" ref="B29" ca="1">INDIRECT(_xlfn.CONCAT("$J", $F29))</f>
        <v>25</v>
      </c>
      <c r="C29" s="1" cm="1">
        <f t="array" aca="1" ref="C29" ca="1">INDIRECT(_xlfn.CONCAT("$K", $F29))</f>
        <v>45888</v>
      </c>
      <c r="D29" s="1"/>
      <c r="E29" s="1" t="str" cm="1">
        <f t="array" aca="1" ref="E29" ca="1">INDIRECT(_xlfn.CONCAT("$L", $F29))</f>
        <v>en es fr de it pt ja ko ru 汉语 漢語</v>
      </c>
      <c r="F29" s="1" cm="1">
        <f t="array" aca="1" ref="F29" ca="1">IF(NOT(OR(ISERROR(INDIRECT(_xlfn.CONCAT("$I", $F28 + 1))), ISBLANK(INDIRECT(_xlfn.CONCAT("$I", $F28 + 1))))), $F28 + 1, IF(NOT(ISBLANK(INDIRECT(_xlfn.CONCAT("$I", $F28 + 2)))), $F28 + 2, ""))</f>
        <v>29</v>
      </c>
      <c r="I29" s="8" t="s">
        <v>201</v>
      </c>
      <c r="J29" s="8">
        <v>25</v>
      </c>
      <c r="K29" s="9">
        <v>45888</v>
      </c>
      <c r="L29" s="8" t="s">
        <v>174</v>
      </c>
    </row>
    <row r="30" spans="1:12" ht="59.25">
      <c r="A30" s="1" t="str" cm="1">
        <f t="array" aca="1" ref="A30" ca="1">INDIRECT(_xlfn.CONCAT("$I", $F30))</f>
        <v>Arena Anthology 1 AA1</v>
      </c>
      <c r="B30" s="1" cm="1">
        <f t="array" aca="1" ref="B30" ca="1">INDIRECT(_xlfn.CONCAT("$J", $F30))</f>
        <v>26</v>
      </c>
      <c r="C30" s="1" cm="1">
        <f t="array" aca="1" ref="C30" ca="1">INDIRECT(_xlfn.CONCAT("$K", $F30))</f>
        <v>45888</v>
      </c>
      <c r="D30" s="1"/>
      <c r="E30" s="1" t="str" cm="1">
        <f t="array" aca="1" ref="E30" ca="1">INDIRECT(_xlfn.CONCAT("$L", $F30))</f>
        <v>en es fr de it pt ja ko ru 汉语 漢語</v>
      </c>
      <c r="F30" s="1" cm="1">
        <f t="array" aca="1" ref="F30" ca="1">IF(NOT(OR(ISERROR(INDIRECT(_xlfn.CONCAT("$I", $F29 + 1))), ISBLANK(INDIRECT(_xlfn.CONCAT("$I", $F29 + 1))))), $F29 + 1, IF(NOT(ISBLANK(INDIRECT(_xlfn.CONCAT("$I", $F29 + 2)))), $F29 + 2, ""))</f>
        <v>30</v>
      </c>
      <c r="I30" s="8" t="s">
        <v>202</v>
      </c>
      <c r="J30" s="8">
        <v>26</v>
      </c>
      <c r="K30" s="9">
        <v>45888</v>
      </c>
      <c r="L30" s="8" t="s">
        <v>174</v>
      </c>
    </row>
    <row r="31" spans="1:12" ht="59.25">
      <c r="A31" s="1" t="str" cm="1">
        <f t="array" aca="1" ref="A31" ca="1">INDIRECT(_xlfn.CONCAT("$I", $F31))</f>
        <v>Edge of Eternities EOE</v>
      </c>
      <c r="B31" s="1" cm="1">
        <f t="array" aca="1" ref="B31" ca="1">INDIRECT(_xlfn.CONCAT("$J", $F31))</f>
        <v>399</v>
      </c>
      <c r="C31" s="1" cm="1">
        <f t="array" aca="1" ref="C31" ca="1">INDIRECT(_xlfn.CONCAT("$K", $F31))</f>
        <v>45870</v>
      </c>
      <c r="D31" s="1"/>
      <c r="E31" s="1" t="str" cm="1">
        <f t="array" aca="1" ref="E31" ca="1">INDIRECT(_xlfn.CONCAT("$L", $F31))</f>
        <v>en es fr de it pt ja ko ru 汉语 漢語</v>
      </c>
      <c r="F31" s="1" cm="1">
        <f t="array" aca="1" ref="F31" ca="1">IF(NOT(OR(ISERROR(INDIRECT(_xlfn.CONCAT("$I", $F30 + 1))), ISBLANK(INDIRECT(_xlfn.CONCAT("$I", $F30 + 1))))), $F30 + 1, IF(NOT(ISBLANK(INDIRECT(_xlfn.CONCAT("$I", $F30 + 2)))), $F30 + 2, ""))</f>
        <v>31</v>
      </c>
      <c r="I31" s="8" t="s">
        <v>1205</v>
      </c>
      <c r="J31" s="8">
        <v>399</v>
      </c>
      <c r="K31" s="9">
        <v>45870</v>
      </c>
      <c r="L31" t="s">
        <v>174</v>
      </c>
    </row>
    <row r="32" spans="1:12" ht="59.25">
      <c r="A32" s="1" t="str" cm="1">
        <f t="array" aca="1" ref="A32" ca="1">INDIRECT(_xlfn.CONCAT("$I", $F32))</f>
        <v>Edge of Eternities: Stellar Sights EOS</v>
      </c>
      <c r="B32" s="1" cm="1">
        <f t="array" aca="1" ref="B32" ca="1">INDIRECT(_xlfn.CONCAT("$J", $F32))</f>
        <v>180</v>
      </c>
      <c r="C32" s="1" cm="1">
        <f t="array" aca="1" ref="C32" ca="1">INDIRECT(_xlfn.CONCAT("$K", $F32))</f>
        <v>45870</v>
      </c>
      <c r="D32" s="1"/>
      <c r="E32" s="1" t="str" cm="1">
        <f t="array" aca="1" ref="E32" ca="1">INDIRECT(_xlfn.CONCAT("$L", $F32))</f>
        <v>en es fr de it pt ja ko ru 汉语 漢語</v>
      </c>
      <c r="F32" s="1" cm="1">
        <f t="array" aca="1" ref="F32" ca="1">IF(NOT(OR(ISERROR(INDIRECT(_xlfn.CONCAT("$I", $F31 + 1))), ISBLANK(INDIRECT(_xlfn.CONCAT("$I", $F31 + 1))))), $F31 + 1, IF(NOT(ISBLANK(INDIRECT(_xlfn.CONCAT("$I", $F31 + 2)))), $F31 + 2, ""))</f>
        <v>32</v>
      </c>
      <c r="I32" s="8" t="s">
        <v>203</v>
      </c>
      <c r="J32" s="8">
        <v>180</v>
      </c>
      <c r="K32" s="9">
        <v>45870</v>
      </c>
      <c r="L32" s="8" t="s">
        <v>174</v>
      </c>
    </row>
    <row r="33" spans="1:12" ht="59.25">
      <c r="A33" s="1" t="str" cm="1">
        <f t="array" aca="1" ref="A33" ca="1">INDIRECT(_xlfn.CONCAT("$I", $F33))</f>
        <v>Edge of Eternities Promos PEOE</v>
      </c>
      <c r="B33" s="1" cm="1">
        <f t="array" aca="1" ref="B33" ca="1">INDIRECT(_xlfn.CONCAT("$J", $F33))</f>
        <v>160</v>
      </c>
      <c r="C33" s="1" cm="1">
        <f t="array" aca="1" ref="C33" ca="1">INDIRECT(_xlfn.CONCAT("$K", $F33))</f>
        <v>45870</v>
      </c>
      <c r="D33" s="1"/>
      <c r="E33" s="1" t="str" cm="1">
        <f t="array" aca="1" ref="E33" ca="1">INDIRECT(_xlfn.CONCAT("$L", $F33))</f>
        <v>en es fr de it pt ja ko ru 汉语 漢語</v>
      </c>
      <c r="F33" s="1" cm="1">
        <f t="array" aca="1" ref="F33" ca="1">IF(NOT(OR(ISERROR(INDIRECT(_xlfn.CONCAT("$I", $F32 + 1))), ISBLANK(INDIRECT(_xlfn.CONCAT("$I", $F32 + 1))))), $F32 + 1, IF(NOT(ISBLANK(INDIRECT(_xlfn.CONCAT("$I", $F32 + 2)))), $F32 + 2, ""))</f>
        <v>33</v>
      </c>
      <c r="I33" s="8" t="s">
        <v>204</v>
      </c>
      <c r="J33" s="8">
        <v>160</v>
      </c>
      <c r="K33" s="9">
        <v>45870</v>
      </c>
      <c r="L33" s="8" t="s">
        <v>174</v>
      </c>
    </row>
    <row r="34" spans="1:12" ht="59.25">
      <c r="A34" s="1" t="str" cm="1">
        <f t="array" aca="1" ref="A34" ca="1">INDIRECT(_xlfn.CONCAT("$I", $F34))</f>
        <v>Edge of Eternities Tokens TEOE</v>
      </c>
      <c r="B34" s="1" cm="1">
        <f t="array" aca="1" ref="B34" ca="1">INDIRECT(_xlfn.CONCAT("$J", $F34))</f>
        <v>12</v>
      </c>
      <c r="C34" s="1" cm="1">
        <f t="array" aca="1" ref="C34" ca="1">INDIRECT(_xlfn.CONCAT("$K", $F34))</f>
        <v>45870</v>
      </c>
      <c r="D34" s="1"/>
      <c r="E34" s="1" t="str" cm="1">
        <f t="array" aca="1" ref="E34" ca="1">INDIRECT(_xlfn.CONCAT("$L", $F34))</f>
        <v>en es fr de it pt ja ko ru 汉语 漢語</v>
      </c>
      <c r="F34" s="1" cm="1">
        <f t="array" aca="1" ref="F34" ca="1">IF(NOT(OR(ISERROR(INDIRECT(_xlfn.CONCAT("$I", $F33 + 1))), ISBLANK(INDIRECT(_xlfn.CONCAT("$I", $F33 + 1))))), $F33 + 1, IF(NOT(ISBLANK(INDIRECT(_xlfn.CONCAT("$I", $F33 + 2)))), $F33 + 2, ""))</f>
        <v>34</v>
      </c>
      <c r="I34" s="8" t="s">
        <v>205</v>
      </c>
      <c r="J34" s="8">
        <v>12</v>
      </c>
      <c r="K34" s="9">
        <v>45870</v>
      </c>
      <c r="L34" s="8" t="s">
        <v>174</v>
      </c>
    </row>
    <row r="35" spans="1:12" ht="59.25">
      <c r="A35" s="1" t="str" cm="1">
        <f t="array" aca="1" ref="A35" ca="1">INDIRECT(_xlfn.CONCAT("$I", $F35))</f>
        <v>Alchemy: Edge of Eternities YEOE</v>
      </c>
      <c r="B35" s="1" cm="1">
        <f t="array" aca="1" ref="B35" ca="1">INDIRECT(_xlfn.CONCAT("$J", $F35))</f>
        <v>40</v>
      </c>
      <c r="C35" s="1" cm="1">
        <f t="array" aca="1" ref="C35" ca="1">INDIRECT(_xlfn.CONCAT("$K", $F35))</f>
        <v>45888</v>
      </c>
      <c r="D35" s="1"/>
      <c r="E35" s="1" t="str" cm="1">
        <f t="array" aca="1" ref="E35" ca="1">INDIRECT(_xlfn.CONCAT("$L", $F35))</f>
        <v>en es fr de it pt ja ko ru 汉语 漢語</v>
      </c>
      <c r="F35" s="1" cm="1">
        <f t="array" aca="1" ref="F35" ca="1">IF(NOT(OR(ISERROR(INDIRECT(_xlfn.CONCAT("$I", $F34 + 1))), ISBLANK(INDIRECT(_xlfn.CONCAT("$I", $F34 + 1))))), $F34 + 1, IF(NOT(ISBLANK(INDIRECT(_xlfn.CONCAT("$I", $F34 + 2)))), $F34 + 2, ""))</f>
        <v>35</v>
      </c>
      <c r="I35" s="8" t="s">
        <v>206</v>
      </c>
      <c r="J35" s="8">
        <v>40</v>
      </c>
      <c r="K35" s="9">
        <v>45888</v>
      </c>
      <c r="L35" s="8" t="s">
        <v>174</v>
      </c>
    </row>
    <row r="36" spans="1:12" ht="59.25">
      <c r="A36" s="1" t="str" cm="1">
        <f t="array" aca="1" ref="A36" ca="1">INDIRECT(_xlfn.CONCAT("$I", $F36))</f>
        <v>Edge of Eternities Art Series AEOE</v>
      </c>
      <c r="B36" s="1" cm="1">
        <f t="array" aca="1" ref="B36" ca="1">INDIRECT(_xlfn.CONCAT("$J", $F36))</f>
        <v>54</v>
      </c>
      <c r="C36" s="1" cm="1">
        <f t="array" aca="1" ref="C36" ca="1">INDIRECT(_xlfn.CONCAT("$K", $F36))</f>
        <v>45870</v>
      </c>
      <c r="D36" s="1"/>
      <c r="E36" s="1" t="str" cm="1">
        <f t="array" aca="1" ref="E36" ca="1">INDIRECT(_xlfn.CONCAT("$L", $F36))</f>
        <v>en es fr de it pt ja ko ru 汉语 漢語</v>
      </c>
      <c r="F36" s="1" cm="1">
        <f t="array" aca="1" ref="F36" ca="1">IF(NOT(OR(ISERROR(INDIRECT(_xlfn.CONCAT("$I", $F35 + 1))), ISBLANK(INDIRECT(_xlfn.CONCAT("$I", $F35 + 1))))), $F35 + 1, IF(NOT(ISBLANK(INDIRECT(_xlfn.CONCAT("$I", $F35 + 2)))), $F35 + 2, ""))</f>
        <v>36</v>
      </c>
      <c r="I36" s="8" t="s">
        <v>207</v>
      </c>
      <c r="J36" s="8">
        <v>54</v>
      </c>
      <c r="K36" s="9">
        <v>45870</v>
      </c>
      <c r="L36" s="8" t="s">
        <v>174</v>
      </c>
    </row>
    <row r="37" spans="1:12" ht="59.25">
      <c r="A37" s="1" t="str" cm="1">
        <f t="array" aca="1" ref="A37" ca="1">INDIRECT(_xlfn.CONCAT("$I", $F37))</f>
        <v>Edge of Eternities Commander EOC</v>
      </c>
      <c r="B37" s="1" cm="1">
        <f t="array" aca="1" ref="B37" ca="1">INDIRECT(_xlfn.CONCAT("$J", $F37))</f>
        <v>191</v>
      </c>
      <c r="C37" s="1" cm="1">
        <f t="array" aca="1" ref="C37" ca="1">INDIRECT(_xlfn.CONCAT("$K", $F37))</f>
        <v>45870</v>
      </c>
      <c r="D37" s="1"/>
      <c r="E37" s="1" t="str" cm="1">
        <f t="array" aca="1" ref="E37" ca="1">INDIRECT(_xlfn.CONCAT("$L", $F37))</f>
        <v>en es fr de it pt ja ko ru 汉语 漢語</v>
      </c>
      <c r="F37" s="1" cm="1">
        <f t="array" aca="1" ref="F37" ca="1">IF(NOT(OR(ISERROR(INDIRECT(_xlfn.CONCAT("$I", $F36 + 1))), ISBLANK(INDIRECT(_xlfn.CONCAT("$I", $F36 + 1))))), $F36 + 1, IF(NOT(ISBLANK(INDIRECT(_xlfn.CONCAT("$I", $F36 + 2)))), $F36 + 2, ""))</f>
        <v>37</v>
      </c>
      <c r="I37" s="8" t="s">
        <v>208</v>
      </c>
      <c r="J37" s="8">
        <v>191</v>
      </c>
      <c r="K37" s="9">
        <v>45870</v>
      </c>
      <c r="L37" t="s">
        <v>174</v>
      </c>
    </row>
    <row r="38" spans="1:12" ht="68.25">
      <c r="A38" s="1" t="str" cm="1">
        <f t="array" aca="1" ref="A38" ca="1">INDIRECT(_xlfn.CONCAT("$I", $F38))</f>
        <v>Edge of Eternities Commander Tokens TEOC</v>
      </c>
      <c r="B38" s="1" cm="1">
        <f t="array" aca="1" ref="B38" ca="1">INDIRECT(_xlfn.CONCAT("$J", $F38))</f>
        <v>16</v>
      </c>
      <c r="C38" s="1" cm="1">
        <f t="array" aca="1" ref="C38" ca="1">INDIRECT(_xlfn.CONCAT("$K", $F38))</f>
        <v>45870</v>
      </c>
      <c r="D38" s="1"/>
      <c r="E38" s="1" t="str" cm="1">
        <f t="array" aca="1" ref="E38" ca="1">INDIRECT(_xlfn.CONCAT("$L", $F38))</f>
        <v>en es fr de it pt ja ko ru 汉语 漢語</v>
      </c>
      <c r="F38" s="1" cm="1">
        <f t="array" aca="1" ref="F38" ca="1">IF(NOT(OR(ISERROR(INDIRECT(_xlfn.CONCAT("$I", $F37 + 1))), ISBLANK(INDIRECT(_xlfn.CONCAT("$I", $F37 + 1))))), $F37 + 1, IF(NOT(ISBLANK(INDIRECT(_xlfn.CONCAT("$I", $F37 + 2)))), $F37 + 2, ""))</f>
        <v>38</v>
      </c>
      <c r="I38" s="8" t="s">
        <v>209</v>
      </c>
      <c r="J38" s="8">
        <v>16</v>
      </c>
      <c r="K38" s="9">
        <v>45870</v>
      </c>
      <c r="L38" s="8" t="s">
        <v>174</v>
      </c>
    </row>
    <row r="39" spans="1:12" ht="59.25">
      <c r="A39" s="1" t="str" cm="1">
        <f t="array" aca="1" ref="A39" ca="1">INDIRECT(_xlfn.CONCAT("$I", $F39))</f>
        <v>Final Fantasy FIN</v>
      </c>
      <c r="B39" s="1" cm="1">
        <f t="array" aca="1" ref="B39" ca="1">INDIRECT(_xlfn.CONCAT("$J", $F39))</f>
        <v>599</v>
      </c>
      <c r="C39" s="1" cm="1">
        <f t="array" aca="1" ref="C39" ca="1">INDIRECT(_xlfn.CONCAT("$K", $F39))</f>
        <v>45821</v>
      </c>
      <c r="D39" s="1"/>
      <c r="E39" s="1" t="str" cm="1">
        <f t="array" aca="1" ref="E39" ca="1">INDIRECT(_xlfn.CONCAT("$L", $F39))</f>
        <v>en es fr de it pt ja ko ru 汉语 漢語</v>
      </c>
      <c r="F39" s="1" cm="1">
        <f t="array" aca="1" ref="F39" ca="1">IF(NOT(OR(ISERROR(INDIRECT(_xlfn.CONCAT("$I", $F38 + 1))), ISBLANK(INDIRECT(_xlfn.CONCAT("$I", $F38 + 1))))), $F38 + 1, IF(NOT(ISBLANK(INDIRECT(_xlfn.CONCAT("$I", $F38 + 2)))), $F38 + 2, ""))</f>
        <v>39</v>
      </c>
      <c r="I39" s="8" t="s">
        <v>1189</v>
      </c>
      <c r="J39" s="8">
        <v>599</v>
      </c>
      <c r="K39" s="9">
        <v>45821</v>
      </c>
      <c r="L39" t="s">
        <v>174</v>
      </c>
    </row>
    <row r="40" spans="1:12" ht="68.25">
      <c r="A40" s="1" t="str" cm="1">
        <f t="array" aca="1" ref="A40" ca="1">INDIRECT(_xlfn.CONCAT("$I", $F40))</f>
        <v>Final Fantasy: Through the Ages FCA</v>
      </c>
      <c r="B40" s="1" cm="1">
        <f t="array" aca="1" ref="B40" ca="1">INDIRECT(_xlfn.CONCAT("$J", $F40))</f>
        <v>66</v>
      </c>
      <c r="C40" s="1" cm="1">
        <f t="array" aca="1" ref="C40" ca="1">INDIRECT(_xlfn.CONCAT("$K", $F40))</f>
        <v>45821</v>
      </c>
      <c r="D40" s="1"/>
      <c r="E40" s="1" t="str" cm="1">
        <f t="array" aca="1" ref="E40" ca="1">INDIRECT(_xlfn.CONCAT("$L", $F40))</f>
        <v>en es fr de it pt ja ko ru 汉语 漢語</v>
      </c>
      <c r="F40" s="1" cm="1">
        <f t="array" aca="1" ref="F40" ca="1">IF(NOT(OR(ISERROR(INDIRECT(_xlfn.CONCAT("$I", $F39 + 1))), ISBLANK(INDIRECT(_xlfn.CONCAT("$I", $F39 + 1))))), $F39 + 1, IF(NOT(ISBLANK(INDIRECT(_xlfn.CONCAT("$I", $F39 + 2)))), $F39 + 2, ""))</f>
        <v>40</v>
      </c>
      <c r="I40" s="8" t="s">
        <v>210</v>
      </c>
      <c r="J40" s="8">
        <v>66</v>
      </c>
      <c r="K40" s="9">
        <v>45821</v>
      </c>
      <c r="L40" t="s">
        <v>174</v>
      </c>
    </row>
    <row r="41" spans="1:12" ht="59.25">
      <c r="A41" s="1" t="str" cm="1">
        <f t="array" aca="1" ref="A41" ca="1">INDIRECT(_xlfn.CONCAT("$I", $F41))</f>
        <v>Final Fantasy Promos PFIN</v>
      </c>
      <c r="B41" s="1" cm="1">
        <f t="array" aca="1" ref="B41" ca="1">INDIRECT(_xlfn.CONCAT("$J", $F41))</f>
        <v>94</v>
      </c>
      <c r="C41" s="1" cm="1">
        <f t="array" aca="1" ref="C41" ca="1">INDIRECT(_xlfn.CONCAT("$K", $F41))</f>
        <v>45821</v>
      </c>
      <c r="D41" s="1"/>
      <c r="E41" s="1" t="str" cm="1">
        <f t="array" aca="1" ref="E41" ca="1">INDIRECT(_xlfn.CONCAT("$L", $F41))</f>
        <v>en es fr de it pt ja ko ru 汉语 漢語</v>
      </c>
      <c r="F41" s="1" cm="1">
        <f t="array" aca="1" ref="F41" ca="1">IF(NOT(OR(ISERROR(INDIRECT(_xlfn.CONCAT("$I", $F40 + 1))), ISBLANK(INDIRECT(_xlfn.CONCAT("$I", $F40 + 1))))), $F40 + 1, IF(NOT(ISBLANK(INDIRECT(_xlfn.CONCAT("$I", $F40 + 2)))), $F40 + 2, ""))</f>
        <v>41</v>
      </c>
      <c r="I41" s="8" t="s">
        <v>211</v>
      </c>
      <c r="J41" s="8">
        <v>94</v>
      </c>
      <c r="K41" s="9">
        <v>45821</v>
      </c>
      <c r="L41" s="8" t="s">
        <v>174</v>
      </c>
    </row>
    <row r="42" spans="1:12" ht="59.25">
      <c r="A42" s="1" t="str" cm="1">
        <f t="array" aca="1" ref="A42" ca="1">INDIRECT(_xlfn.CONCAT("$I", $F42))</f>
        <v>Final Fantasy Tokens TFIN</v>
      </c>
      <c r="B42" s="1" cm="1">
        <f t="array" aca="1" ref="B42" ca="1">INDIRECT(_xlfn.CONCAT("$J", $F42))</f>
        <v>37</v>
      </c>
      <c r="C42" s="1" cm="1">
        <f t="array" aca="1" ref="C42" ca="1">INDIRECT(_xlfn.CONCAT("$K", $F42))</f>
        <v>45821</v>
      </c>
      <c r="D42" s="1"/>
      <c r="E42" s="1" t="str" cm="1">
        <f t="array" aca="1" ref="E42" ca="1">INDIRECT(_xlfn.CONCAT("$L", $F42))</f>
        <v>en es fr de it pt ja ko ru 汉语 漢語</v>
      </c>
      <c r="F42" s="1" cm="1">
        <f t="array" aca="1" ref="F42" ca="1">IF(NOT(OR(ISERROR(INDIRECT(_xlfn.CONCAT("$I", $F41 + 1))), ISBLANK(INDIRECT(_xlfn.CONCAT("$I", $F41 + 1))))), $F41 + 1, IF(NOT(ISBLANK(INDIRECT(_xlfn.CONCAT("$I", $F41 + 2)))), $F41 + 2, ""))</f>
        <v>42</v>
      </c>
      <c r="I42" s="8" t="s">
        <v>212</v>
      </c>
      <c r="J42" s="8">
        <v>37</v>
      </c>
      <c r="K42" s="9">
        <v>45821</v>
      </c>
      <c r="L42" s="8" t="s">
        <v>174</v>
      </c>
    </row>
    <row r="43" spans="1:12" ht="68.25">
      <c r="A43" s="1" t="str" cm="1">
        <f t="array" aca="1" ref="A43" ca="1">INDIRECT(_xlfn.CONCAT("$I", $F43))</f>
        <v>Final Fantasy Regional Promos RFIN</v>
      </c>
      <c r="B43" s="1" cm="1">
        <f t="array" aca="1" ref="B43" ca="1">INDIRECT(_xlfn.CONCAT("$J", $F43))</f>
        <v>2</v>
      </c>
      <c r="C43" s="1" cm="1">
        <f t="array" aca="1" ref="C43" ca="1">INDIRECT(_xlfn.CONCAT("$K", $F43))</f>
        <v>45821</v>
      </c>
      <c r="D43" s="1"/>
      <c r="E43" s="1" t="str" cm="1">
        <f t="array" aca="1" ref="E43" ca="1">INDIRECT(_xlfn.CONCAT("$L", $F43))</f>
        <v>en es fr de it pt ja ko ru 汉语 漢語</v>
      </c>
      <c r="F43" s="1" cm="1">
        <f t="array" aca="1" ref="F43" ca="1">IF(NOT(OR(ISERROR(INDIRECT(_xlfn.CONCAT("$I", $F42 + 1))), ISBLANK(INDIRECT(_xlfn.CONCAT("$I", $F42 + 1))))), $F42 + 1, IF(NOT(ISBLANK(INDIRECT(_xlfn.CONCAT("$I", $F42 + 2)))), $F42 + 2, ""))</f>
        <v>43</v>
      </c>
      <c r="I43" s="8" t="s">
        <v>213</v>
      </c>
      <c r="J43" s="8">
        <v>2</v>
      </c>
      <c r="K43" s="9">
        <v>45821</v>
      </c>
      <c r="L43" s="8" t="s">
        <v>174</v>
      </c>
    </row>
    <row r="44" spans="1:12" ht="59.25">
      <c r="A44" s="1" t="str" cm="1">
        <f t="array" aca="1" ref="A44" ca="1">INDIRECT(_xlfn.CONCAT("$I", $F44))</f>
        <v>Final Fantasy Art Series AFIN</v>
      </c>
      <c r="B44" s="1" cm="1">
        <f t="array" aca="1" ref="B44" ca="1">INDIRECT(_xlfn.CONCAT("$J", $F44))</f>
        <v>53</v>
      </c>
      <c r="C44" s="1" cm="1">
        <f t="array" aca="1" ref="C44" ca="1">INDIRECT(_xlfn.CONCAT("$K", $F44))</f>
        <v>45821</v>
      </c>
      <c r="D44" s="1"/>
      <c r="E44" s="1" t="str" cm="1">
        <f t="array" aca="1" ref="E44" ca="1">INDIRECT(_xlfn.CONCAT("$L", $F44))</f>
        <v>en es fr de it pt ja ko ru 汉语 漢語</v>
      </c>
      <c r="F44" s="1" cm="1">
        <f t="array" aca="1" ref="F44" ca="1">IF(NOT(OR(ISERROR(INDIRECT(_xlfn.CONCAT("$I", $F43 + 1))), ISBLANK(INDIRECT(_xlfn.CONCAT("$I", $F43 + 1))))), $F43 + 1, IF(NOT(ISBLANK(INDIRECT(_xlfn.CONCAT("$I", $F43 + 2)))), $F43 + 2, ""))</f>
        <v>44</v>
      </c>
      <c r="I44" s="8" t="s">
        <v>214</v>
      </c>
      <c r="J44" s="8">
        <v>53</v>
      </c>
      <c r="K44" s="9">
        <v>45821</v>
      </c>
      <c r="L44" s="8" t="s">
        <v>174</v>
      </c>
    </row>
    <row r="45" spans="1:12" ht="59.25">
      <c r="A45" s="1" t="str" cm="1">
        <f t="array" aca="1" ref="A45" ca="1">INDIRECT(_xlfn.CONCAT("$I", $F45))</f>
        <v>Final Fantasy Commander FIC</v>
      </c>
      <c r="B45" s="1" cm="1">
        <f t="array" aca="1" ref="B45" ca="1">INDIRECT(_xlfn.CONCAT("$J", $F45))</f>
        <v>486</v>
      </c>
      <c r="C45" s="1" cm="1">
        <f t="array" aca="1" ref="C45" ca="1">INDIRECT(_xlfn.CONCAT("$K", $F45))</f>
        <v>45821</v>
      </c>
      <c r="D45" s="1"/>
      <c r="E45" s="1" t="str" cm="1">
        <f t="array" aca="1" ref="E45" ca="1">INDIRECT(_xlfn.CONCAT("$L", $F45))</f>
        <v>en es fr de it pt ja ko ru 汉语 漢語</v>
      </c>
      <c r="F45" s="1" cm="1">
        <f t="array" aca="1" ref="F45" ca="1">IF(NOT(OR(ISERROR(INDIRECT(_xlfn.CONCAT("$I", $F44 + 1))), ISBLANK(INDIRECT(_xlfn.CONCAT("$I", $F44 + 1))))), $F44 + 1, IF(NOT(ISBLANK(INDIRECT(_xlfn.CONCAT("$I", $F44 + 2)))), $F44 + 2, ""))</f>
        <v>45</v>
      </c>
      <c r="I45" s="8" t="s">
        <v>215</v>
      </c>
      <c r="J45" s="8">
        <v>486</v>
      </c>
      <c r="K45" s="9">
        <v>45821</v>
      </c>
      <c r="L45" t="s">
        <v>174</v>
      </c>
    </row>
    <row r="46" spans="1:12" ht="68.25">
      <c r="A46" s="1" t="str" cm="1">
        <f t="array" aca="1" ref="A46" ca="1">INDIRECT(_xlfn.CONCAT("$I", $F46))</f>
        <v>Final Fantasy Commander Tokens TFIC</v>
      </c>
      <c r="B46" s="1" cm="1">
        <f t="array" aca="1" ref="B46" ca="1">INDIRECT(_xlfn.CONCAT("$J", $F46))</f>
        <v>11</v>
      </c>
      <c r="C46" s="1" cm="1">
        <f t="array" aca="1" ref="C46" ca="1">INDIRECT(_xlfn.CONCAT("$K", $F46))</f>
        <v>45821</v>
      </c>
      <c r="D46" s="1"/>
      <c r="E46" s="1" t="str" cm="1">
        <f t="array" aca="1" ref="E46" ca="1">INDIRECT(_xlfn.CONCAT("$L", $F46))</f>
        <v>en es fr de it pt ja ko ru 汉语 漢語</v>
      </c>
      <c r="F46" s="1" cm="1">
        <f t="array" aca="1" ref="F46" ca="1">IF(NOT(OR(ISERROR(INDIRECT(_xlfn.CONCAT("$I", $F45 + 1))), ISBLANK(INDIRECT(_xlfn.CONCAT("$I", $F45 + 1))))), $F45 + 1, IF(NOT(ISBLANK(INDIRECT(_xlfn.CONCAT("$I", $F45 + 2)))), $F45 + 2, ""))</f>
        <v>46</v>
      </c>
      <c r="I46" s="8" t="s">
        <v>216</v>
      </c>
      <c r="J46" s="8">
        <v>11</v>
      </c>
      <c r="K46" s="9">
        <v>45821</v>
      </c>
      <c r="L46" s="8" t="s">
        <v>174</v>
      </c>
    </row>
    <row r="47" spans="1:12" ht="68.25">
      <c r="A47" s="1" t="str" cm="1">
        <f t="array" aca="1" ref="A47" ca="1">INDIRECT(_xlfn.CONCAT("$I", $F47))</f>
        <v>FIN Asia WPN Promo Tokens WFIN</v>
      </c>
      <c r="B47" s="1" cm="1">
        <f t="array" aca="1" ref="B47" ca="1">INDIRECT(_xlfn.CONCAT("$J", $F47))</f>
        <v>3</v>
      </c>
      <c r="C47" s="1" cm="1">
        <f t="array" aca="1" ref="C47" ca="1">INDIRECT(_xlfn.CONCAT("$K", $F47))</f>
        <v>45821</v>
      </c>
      <c r="D47" s="1"/>
      <c r="E47" s="1" t="str" cm="1">
        <f t="array" aca="1" ref="E47" ca="1">INDIRECT(_xlfn.CONCAT("$L", $F47))</f>
        <v>en es fr de it pt ja ko ru 汉语 漢語</v>
      </c>
      <c r="F47" s="1" cm="1">
        <f t="array" aca="1" ref="F47" ca="1">IF(NOT(OR(ISERROR(INDIRECT(_xlfn.CONCAT("$I", $F46 + 1))), ISBLANK(INDIRECT(_xlfn.CONCAT("$I", $F46 + 1))))), $F46 + 1, IF(NOT(ISBLANK(INDIRECT(_xlfn.CONCAT("$I", $F46 + 2)))), $F46 + 2, ""))</f>
        <v>47</v>
      </c>
      <c r="I47" s="8" t="s">
        <v>217</v>
      </c>
      <c r="J47" s="8">
        <v>3</v>
      </c>
      <c r="K47" s="9">
        <v>45821</v>
      </c>
      <c r="L47" s="8" t="s">
        <v>174</v>
      </c>
    </row>
    <row r="48" spans="1:12" ht="59.25">
      <c r="A48" s="1" t="str" cm="1">
        <f t="array" aca="1" ref="A48" ca="1">INDIRECT(_xlfn.CONCAT("$I", $F48))</f>
        <v>FIN Standard Showdown PSS5</v>
      </c>
      <c r="B48" s="1" cm="1">
        <f t="array" aca="1" ref="B48" ca="1">INDIRECT(_xlfn.CONCAT("$J", $F48))</f>
        <v>2</v>
      </c>
      <c r="C48" s="1" cm="1">
        <f t="array" aca="1" ref="C48" ca="1">INDIRECT(_xlfn.CONCAT("$K", $F48))</f>
        <v>45821</v>
      </c>
      <c r="D48" s="1"/>
      <c r="E48" s="1" t="str" cm="1">
        <f t="array" aca="1" ref="E48" ca="1">INDIRECT(_xlfn.CONCAT("$L", $F48))</f>
        <v>en es fr de it pt ja ko ru 汉语 漢語</v>
      </c>
      <c r="F48" s="1" cm="1">
        <f t="array" aca="1" ref="F48" ca="1">IF(NOT(OR(ISERROR(INDIRECT(_xlfn.CONCAT("$I", $F47 + 1))), ISBLANK(INDIRECT(_xlfn.CONCAT("$I", $F47 + 1))))), $F47 + 1, IF(NOT(ISBLANK(INDIRECT(_xlfn.CONCAT("$I", $F47 + 2)))), $F47 + 2, ""))</f>
        <v>48</v>
      </c>
      <c r="I48" s="8" t="s">
        <v>218</v>
      </c>
      <c r="J48" s="8">
        <v>2</v>
      </c>
      <c r="K48" s="9">
        <v>45821</v>
      </c>
      <c r="L48" s="8" t="s">
        <v>174</v>
      </c>
    </row>
    <row r="49" spans="1:12" ht="59.25">
      <c r="A49" s="1" t="str" cm="1">
        <f t="array" aca="1" ref="A49" ca="1">INDIRECT(_xlfn.CONCAT("$I", $F49))</f>
        <v>Pioneer Anthology 1 PA1</v>
      </c>
      <c r="B49" s="1" cm="1">
        <f t="array" aca="1" ref="B49" ca="1">INDIRECT(_xlfn.CONCAT("$J", $F49))</f>
        <v>11</v>
      </c>
      <c r="C49" s="1" cm="1">
        <f t="array" aca="1" ref="C49" ca="1">INDIRECT(_xlfn.CONCAT("$K", $F49))</f>
        <v>45782</v>
      </c>
      <c r="D49" s="1"/>
      <c r="E49" s="1" t="str" cm="1">
        <f t="array" aca="1" ref="E49" ca="1">INDIRECT(_xlfn.CONCAT("$L", $F49))</f>
        <v>en es fr de it pt ja ko ru 汉语 漢語</v>
      </c>
      <c r="F49" s="1" cm="1">
        <f t="array" aca="1" ref="F49" ca="1">IF(NOT(OR(ISERROR(INDIRECT(_xlfn.CONCAT("$I", $F48 + 1))), ISBLANK(INDIRECT(_xlfn.CONCAT("$I", $F48 + 1))))), $F48 + 1, IF(NOT(ISBLANK(INDIRECT(_xlfn.CONCAT("$I", $F48 + 2)))), $F48 + 2, ""))</f>
        <v>49</v>
      </c>
      <c r="I49" s="8" t="s">
        <v>219</v>
      </c>
      <c r="J49" s="8">
        <v>11</v>
      </c>
      <c r="K49" s="9">
        <v>45782</v>
      </c>
      <c r="L49" s="8" t="s">
        <v>174</v>
      </c>
    </row>
    <row r="50" spans="1:12" ht="59.25">
      <c r="A50" s="1" t="str" cm="1">
        <f t="array" aca="1" ref="A50" ca="1">INDIRECT(_xlfn.CONCAT("$I", $F50))</f>
        <v>Tarkir: Dragonstorm TDM</v>
      </c>
      <c r="B50" s="1" cm="1">
        <f t="array" aca="1" ref="B50" ca="1">INDIRECT(_xlfn.CONCAT("$J", $F50))</f>
        <v>427</v>
      </c>
      <c r="C50" s="1" cm="1">
        <f t="array" aca="1" ref="C50" ca="1">INDIRECT(_xlfn.CONCAT("$K", $F50))</f>
        <v>45758</v>
      </c>
      <c r="D50" s="1"/>
      <c r="E50" s="1" t="str" cm="1">
        <f t="array" aca="1" ref="E50" ca="1">INDIRECT(_xlfn.CONCAT("$L", $F50))</f>
        <v>en es fr de it pt ja ko ru 汉语 漢語</v>
      </c>
      <c r="F50" s="1" cm="1">
        <f t="array" aca="1" ref="F50" ca="1">IF(NOT(OR(ISERROR(INDIRECT(_xlfn.CONCAT("$I", $F49 + 1))), ISBLANK(INDIRECT(_xlfn.CONCAT("$I", $F49 + 1))))), $F49 + 1, IF(NOT(ISBLANK(INDIRECT(_xlfn.CONCAT("$I", $F49 + 2)))), $F49 + 2, ""))</f>
        <v>50</v>
      </c>
      <c r="I50" s="8" t="s">
        <v>1213</v>
      </c>
      <c r="J50" s="8">
        <v>427</v>
      </c>
      <c r="K50" s="9">
        <v>45758</v>
      </c>
      <c r="L50" t="s">
        <v>174</v>
      </c>
    </row>
    <row r="51" spans="1:12" ht="59.25">
      <c r="A51" s="1" t="str" cm="1">
        <f t="array" aca="1" ref="A51" ca="1">INDIRECT(_xlfn.CONCAT("$I", $F51))</f>
        <v>Tarkir: Dragonstorm Promos PTDM</v>
      </c>
      <c r="B51" s="1" cm="1">
        <f t="array" aca="1" ref="B51" ca="1">INDIRECT(_xlfn.CONCAT("$J", $F51))</f>
        <v>160</v>
      </c>
      <c r="C51" s="1" cm="1">
        <f t="array" aca="1" ref="C51" ca="1">INDIRECT(_xlfn.CONCAT("$K", $F51))</f>
        <v>45758</v>
      </c>
      <c r="D51" s="1"/>
      <c r="E51" s="1" t="str" cm="1">
        <f t="array" aca="1" ref="E51" ca="1">INDIRECT(_xlfn.CONCAT("$L", $F51))</f>
        <v>en es fr de it pt ja ko ru 汉语 漢語</v>
      </c>
      <c r="F51" s="1" cm="1">
        <f t="array" aca="1" ref="F51" ca="1">IF(NOT(OR(ISERROR(INDIRECT(_xlfn.CONCAT("$I", $F50 + 1))), ISBLANK(INDIRECT(_xlfn.CONCAT("$I", $F50 + 1))))), $F50 + 1, IF(NOT(ISBLANK(INDIRECT(_xlfn.CONCAT("$I", $F50 + 2)))), $F50 + 2, ""))</f>
        <v>51</v>
      </c>
      <c r="I51" s="8" t="s">
        <v>220</v>
      </c>
      <c r="J51" s="8">
        <v>160</v>
      </c>
      <c r="K51" s="9">
        <v>45758</v>
      </c>
      <c r="L51" s="8" t="s">
        <v>174</v>
      </c>
    </row>
    <row r="52" spans="1:12" ht="59.25">
      <c r="A52" s="1" t="str" cm="1">
        <f t="array" aca="1" ref="A52" ca="1">INDIRECT(_xlfn.CONCAT("$I", $F52))</f>
        <v>Tarkir: Dragonstorm Tokens TTDM</v>
      </c>
      <c r="B52" s="1" cm="1">
        <f t="array" aca="1" ref="B52" ca="1">INDIRECT(_xlfn.CONCAT("$J", $F52))</f>
        <v>16</v>
      </c>
      <c r="C52" s="1" cm="1">
        <f t="array" aca="1" ref="C52" ca="1">INDIRECT(_xlfn.CONCAT("$K", $F52))</f>
        <v>45758</v>
      </c>
      <c r="D52" s="1"/>
      <c r="E52" s="1" t="str" cm="1">
        <f t="array" aca="1" ref="E52" ca="1">INDIRECT(_xlfn.CONCAT("$L", $F52))</f>
        <v>en es fr de it pt ja ko ru 汉语 漢語</v>
      </c>
      <c r="F52" s="1" cm="1">
        <f t="array" aca="1" ref="F52" ca="1">IF(NOT(OR(ISERROR(INDIRECT(_xlfn.CONCAT("$I", $F51 + 1))), ISBLANK(INDIRECT(_xlfn.CONCAT("$I", $F51 + 1))))), $F51 + 1, IF(NOT(ISBLANK(INDIRECT(_xlfn.CONCAT("$I", $F51 + 2)))), $F51 + 2, ""))</f>
        <v>52</v>
      </c>
      <c r="I52" s="8" t="s">
        <v>221</v>
      </c>
      <c r="J52" s="8">
        <v>16</v>
      </c>
      <c r="K52" s="9">
        <v>45758</v>
      </c>
      <c r="L52" s="8" t="s">
        <v>174</v>
      </c>
    </row>
    <row r="53" spans="1:12" ht="59.25">
      <c r="A53" s="1" t="str" cm="1">
        <f t="array" aca="1" ref="A53" ca="1">INDIRECT(_xlfn.CONCAT("$I", $F53))</f>
        <v>Alchemy: Tarkir YTDM</v>
      </c>
      <c r="B53" s="1" cm="1">
        <f t="array" aca="1" ref="B53" ca="1">INDIRECT(_xlfn.CONCAT("$J", $F53))</f>
        <v>30</v>
      </c>
      <c r="C53" s="1" cm="1">
        <f t="array" aca="1" ref="C53" ca="1">INDIRECT(_xlfn.CONCAT("$K", $F53))</f>
        <v>45776</v>
      </c>
      <c r="D53" s="1"/>
      <c r="E53" s="1" t="str" cm="1">
        <f t="array" aca="1" ref="E53" ca="1">INDIRECT(_xlfn.CONCAT("$L", $F53))</f>
        <v>en es fr de it pt ja ko ru 汉语 漢語</v>
      </c>
      <c r="F53" s="1" cm="1">
        <f t="array" aca="1" ref="F53" ca="1">IF(NOT(OR(ISERROR(INDIRECT(_xlfn.CONCAT("$I", $F52 + 1))), ISBLANK(INDIRECT(_xlfn.CONCAT("$I", $F52 + 1))))), $F52 + 1, IF(NOT(ISBLANK(INDIRECT(_xlfn.CONCAT("$I", $F52 + 2)))), $F52 + 2, ""))</f>
        <v>53</v>
      </c>
      <c r="I53" s="8" t="s">
        <v>222</v>
      </c>
      <c r="J53" s="8">
        <v>30</v>
      </c>
      <c r="K53" s="9">
        <v>45776</v>
      </c>
      <c r="L53" s="8" t="s">
        <v>174</v>
      </c>
    </row>
    <row r="54" spans="1:12" ht="68.25">
      <c r="A54" s="1" t="str" cm="1">
        <f t="array" aca="1" ref="A54" ca="1">INDIRECT(_xlfn.CONCAT("$I", $F54))</f>
        <v>Tarkir: Dragonstorm Art Series ATDM</v>
      </c>
      <c r="B54" s="1" cm="1">
        <f t="array" aca="1" ref="B54" ca="1">INDIRECT(_xlfn.CONCAT("$J", $F54))</f>
        <v>54</v>
      </c>
      <c r="C54" s="1" cm="1">
        <f t="array" aca="1" ref="C54" ca="1">INDIRECT(_xlfn.CONCAT("$K", $F54))</f>
        <v>45758</v>
      </c>
      <c r="D54" s="1"/>
      <c r="E54" s="1" t="str" cm="1">
        <f t="array" aca="1" ref="E54" ca="1">INDIRECT(_xlfn.CONCAT("$L", $F54))</f>
        <v>en es fr de it pt ja ko ru 汉语 漢語</v>
      </c>
      <c r="F54" s="1" cm="1">
        <f t="array" aca="1" ref="F54" ca="1">IF(NOT(OR(ISERROR(INDIRECT(_xlfn.CONCAT("$I", $F53 + 1))), ISBLANK(INDIRECT(_xlfn.CONCAT("$I", $F53 + 1))))), $F53 + 1, IF(NOT(ISBLANK(INDIRECT(_xlfn.CONCAT("$I", $F53 + 2)))), $F53 + 2, ""))</f>
        <v>54</v>
      </c>
      <c r="I54" s="8" t="s">
        <v>223</v>
      </c>
      <c r="J54" s="8">
        <v>54</v>
      </c>
      <c r="K54" s="9">
        <v>45758</v>
      </c>
      <c r="L54" s="8" t="s">
        <v>174</v>
      </c>
    </row>
    <row r="55" spans="1:12" ht="68.25">
      <c r="A55" s="1" t="str" cm="1">
        <f t="array" aca="1" ref="A55" ca="1">INDIRECT(_xlfn.CONCAT("$I", $F55))</f>
        <v>Tarkir: Dragonstorm Commander TDC</v>
      </c>
      <c r="B55" s="1" cm="1">
        <f t="array" aca="1" ref="B55" ca="1">INDIRECT(_xlfn.CONCAT("$J", $F55))</f>
        <v>413</v>
      </c>
      <c r="C55" s="1" cm="1">
        <f t="array" aca="1" ref="C55" ca="1">INDIRECT(_xlfn.CONCAT("$K", $F55))</f>
        <v>45758</v>
      </c>
      <c r="D55" s="1"/>
      <c r="E55" s="1" t="str" cm="1">
        <f t="array" aca="1" ref="E55" ca="1">INDIRECT(_xlfn.CONCAT("$L", $F55))</f>
        <v>en es fr de it pt ja ko ru 汉语 漢語</v>
      </c>
      <c r="F55" s="1" cm="1">
        <f t="array" aca="1" ref="F55" ca="1">IF(NOT(OR(ISERROR(INDIRECT(_xlfn.CONCAT("$I", $F54 + 1))), ISBLANK(INDIRECT(_xlfn.CONCAT("$I", $F54 + 1))))), $F54 + 1, IF(NOT(ISBLANK(INDIRECT(_xlfn.CONCAT("$I", $F54 + 2)))), $F54 + 2, ""))</f>
        <v>55</v>
      </c>
      <c r="I55" s="8" t="s">
        <v>224</v>
      </c>
      <c r="J55" s="8">
        <v>413</v>
      </c>
      <c r="K55" s="9">
        <v>45758</v>
      </c>
      <c r="L55" t="s">
        <v>174</v>
      </c>
    </row>
    <row r="56" spans="1:12" ht="81">
      <c r="A56" s="1" t="str" cm="1">
        <f t="array" aca="1" ref="A56" ca="1">INDIRECT(_xlfn.CONCAT("$I", $F56))</f>
        <v>Tarkir: Dragonstorm Commander Tokens TTDC</v>
      </c>
      <c r="B56" s="1" cm="1">
        <f t="array" aca="1" ref="B56" ca="1">INDIRECT(_xlfn.CONCAT("$J", $F56))</f>
        <v>34</v>
      </c>
      <c r="C56" s="1" cm="1">
        <f t="array" aca="1" ref="C56" ca="1">INDIRECT(_xlfn.CONCAT("$K", $F56))</f>
        <v>45758</v>
      </c>
      <c r="D56" s="1"/>
      <c r="E56" s="1" t="str" cm="1">
        <f t="array" aca="1" ref="E56" ca="1">INDIRECT(_xlfn.CONCAT("$L", $F56))</f>
        <v>en es fr de it pt ja ko ru 汉语 漢語</v>
      </c>
      <c r="F56" s="1" cm="1">
        <f t="array" aca="1" ref="F56" ca="1">IF(NOT(OR(ISERROR(INDIRECT(_xlfn.CONCAT("$I", $F55 + 1))), ISBLANK(INDIRECT(_xlfn.CONCAT("$I", $F55 + 1))))), $F55 + 1, IF(NOT(ISBLANK(INDIRECT(_xlfn.CONCAT("$I", $F55 + 2)))), $F55 + 2, ""))</f>
        <v>56</v>
      </c>
      <c r="I56" s="8" t="s">
        <v>225</v>
      </c>
      <c r="J56" s="8">
        <v>34</v>
      </c>
      <c r="K56" s="9">
        <v>45758</v>
      </c>
      <c r="L56" s="8" t="s">
        <v>174</v>
      </c>
    </row>
    <row r="57" spans="1:12" ht="59.25">
      <c r="A57" s="1" t="str" cm="1">
        <f t="array" aca="1" ref="A57" ca="1">INDIRECT(_xlfn.CONCAT("$I", $F57))</f>
        <v>Love Your LGS 2025 PLG25</v>
      </c>
      <c r="B57" s="1" cm="1">
        <f t="array" aca="1" ref="B57" ca="1">INDIRECT(_xlfn.CONCAT("$J", $F57))</f>
        <v>2</v>
      </c>
      <c r="C57" s="1" cm="1">
        <f t="array" aca="1" ref="C57" ca="1">INDIRECT(_xlfn.CONCAT("$K", $F57))</f>
        <v>45742</v>
      </c>
      <c r="D57" s="1"/>
      <c r="E57" s="1" t="str" cm="1">
        <f t="array" aca="1" ref="E57" ca="1">INDIRECT(_xlfn.CONCAT("$L", $F57))</f>
        <v>en es fr de it pt ja ko ru 汉语 漢語</v>
      </c>
      <c r="F57" s="1" cm="1">
        <f t="array" aca="1" ref="F57" ca="1">IF(NOT(OR(ISERROR(INDIRECT(_xlfn.CONCAT("$I", $F56 + 1))), ISBLANK(INDIRECT(_xlfn.CONCAT("$I", $F56 + 1))))), $F56 + 1, IF(NOT(ISBLANK(INDIRECT(_xlfn.CONCAT("$I", $F56 + 2)))), $F56 + 2, ""))</f>
        <v>58</v>
      </c>
    </row>
    <row r="58" spans="1:12" ht="59.25">
      <c r="A58" s="1" t="str" cm="1">
        <f t="array" aca="1" ref="A58" ca="1">INDIRECT(_xlfn.CONCAT("$I", $F58))</f>
        <v>Year of the Snake 2025 PL25</v>
      </c>
      <c r="B58" s="1" cm="1">
        <f t="array" aca="1" ref="B58" ca="1">INDIRECT(_xlfn.CONCAT("$J", $F58))</f>
        <v>6</v>
      </c>
      <c r="C58" s="1" cm="1">
        <f t="array" aca="1" ref="C58" ca="1">INDIRECT(_xlfn.CONCAT("$K", $F58))</f>
        <v>45702</v>
      </c>
      <c r="D58" s="1"/>
      <c r="E58" s="1" t="str" cm="1">
        <f t="array" aca="1" ref="E58" ca="1">INDIRECT(_xlfn.CONCAT("$L", $F58))</f>
        <v>en es fr de it pt ja ko ru 汉语 漢語</v>
      </c>
      <c r="F58" s="1" cm="1">
        <f t="array" aca="1" ref="F58" ca="1">IF(NOT(OR(ISERROR(INDIRECT(_xlfn.CONCAT("$I", $F57 + 1))), ISBLANK(INDIRECT(_xlfn.CONCAT("$I", $F57 + 1))))), $F57 + 1, IF(NOT(ISBLANK(INDIRECT(_xlfn.CONCAT("$I", $F57 + 2)))), $F57 + 2, ""))</f>
        <v>60</v>
      </c>
      <c r="I58" s="8" t="s">
        <v>226</v>
      </c>
      <c r="J58" s="8">
        <v>2</v>
      </c>
      <c r="K58" s="9">
        <v>45742</v>
      </c>
      <c r="L58" s="8" t="s">
        <v>174</v>
      </c>
    </row>
    <row r="59" spans="1:12" ht="59.25">
      <c r="A59" s="1" t="str" cm="1">
        <f t="array" aca="1" ref="A59" ca="1">INDIRECT(_xlfn.CONCAT("$I", $F59))</f>
        <v>Aetherdrift DFT</v>
      </c>
      <c r="B59" s="1" cm="1">
        <f t="array" aca="1" ref="B59" ca="1">INDIRECT(_xlfn.CONCAT("$J", $F59))</f>
        <v>553</v>
      </c>
      <c r="C59" s="1" cm="1">
        <f t="array" aca="1" ref="C59" ca="1">INDIRECT(_xlfn.CONCAT("$K", $F59))</f>
        <v>45702</v>
      </c>
      <c r="D59" s="1"/>
      <c r="E59" s="1" t="str" cm="1">
        <f t="array" aca="1" ref="E59" ca="1">INDIRECT(_xlfn.CONCAT("$L", $F59))</f>
        <v>en es fr de it pt ja ko ru 汉语 漢語</v>
      </c>
      <c r="F59" s="1" cm="1">
        <f t="array" aca="1" ref="F59" ca="1">IF(NOT(OR(ISERROR(INDIRECT(_xlfn.CONCAT("$I", $F58 + 1))), ISBLANK(INDIRECT(_xlfn.CONCAT("$I", $F58 + 1))))), $F58 + 1, IF(NOT(ISBLANK(INDIRECT(_xlfn.CONCAT("$I", $F58 + 2)))), $F58 + 2, ""))</f>
        <v>62</v>
      </c>
    </row>
    <row r="60" spans="1:12" ht="59.25">
      <c r="A60" s="1" t="str" cm="1">
        <f t="array" aca="1" ref="A60" ca="1">INDIRECT(_xlfn.CONCAT("$I", $F60))</f>
        <v>Aetherdrift Promos PDFT</v>
      </c>
      <c r="B60" s="1" cm="1">
        <f t="array" aca="1" ref="B60" ca="1">INDIRECT(_xlfn.CONCAT("$J", $F60))</f>
        <v>160</v>
      </c>
      <c r="C60" s="1" cm="1">
        <f t="array" aca="1" ref="C60" ca="1">INDIRECT(_xlfn.CONCAT("$K", $F60))</f>
        <v>45702</v>
      </c>
      <c r="D60" s="1"/>
      <c r="E60" s="1" t="str" cm="1">
        <f t="array" aca="1" ref="E60" ca="1">INDIRECT(_xlfn.CONCAT("$L", $F60))</f>
        <v>en es fr de it pt ja ko ru 汉语 漢語</v>
      </c>
      <c r="F60" s="1" cm="1">
        <f t="array" aca="1" ref="F60" ca="1">IF(NOT(OR(ISERROR(INDIRECT(_xlfn.CONCAT("$I", $F59 + 1))), ISBLANK(INDIRECT(_xlfn.CONCAT("$I", $F59 + 1))))), $F59 + 1, IF(NOT(ISBLANK(INDIRECT(_xlfn.CONCAT("$I", $F59 + 2)))), $F59 + 2, ""))</f>
        <v>64</v>
      </c>
      <c r="I60" s="8" t="s">
        <v>227</v>
      </c>
      <c r="J60" s="8">
        <v>6</v>
      </c>
      <c r="K60" s="9">
        <v>45702</v>
      </c>
      <c r="L60" s="8" t="s">
        <v>174</v>
      </c>
    </row>
    <row r="61" spans="1:12" ht="59.25">
      <c r="A61" s="1" t="str" cm="1">
        <f t="array" aca="1" ref="A61" ca="1">INDIRECT(_xlfn.CONCAT("$I", $F61))</f>
        <v>Aetherdrift Tokens TDFT</v>
      </c>
      <c r="B61" s="1" cm="1">
        <f t="array" aca="1" ref="B61" ca="1">INDIRECT(_xlfn.CONCAT("$J", $F61))</f>
        <v>14</v>
      </c>
      <c r="C61" s="1" cm="1">
        <f t="array" aca="1" ref="C61" ca="1">INDIRECT(_xlfn.CONCAT("$K", $F61))</f>
        <v>45702</v>
      </c>
      <c r="D61" s="1"/>
      <c r="E61" s="1" t="str" cm="1">
        <f t="array" aca="1" ref="E61" ca="1">INDIRECT(_xlfn.CONCAT("$L", $F61))</f>
        <v>en es fr de it pt ja ko ru 汉语 漢語</v>
      </c>
      <c r="F61" s="1" cm="1">
        <f t="array" aca="1" ref="F61" ca="1">IF(NOT(OR(ISERROR(INDIRECT(_xlfn.CONCAT("$I", $F60 + 1))), ISBLANK(INDIRECT(_xlfn.CONCAT("$I", $F60 + 1))))), $F60 + 1, IF(NOT(ISBLANK(INDIRECT(_xlfn.CONCAT("$I", $F60 + 2)))), $F60 + 2, ""))</f>
        <v>66</v>
      </c>
    </row>
    <row r="62" spans="1:12" ht="59.25">
      <c r="A62" s="1" t="str" cm="1">
        <f t="array" aca="1" ref="A62" ca="1">INDIRECT(_xlfn.CONCAT("$I", $F62))</f>
        <v>Alchemy: Aetherdrift YDFT</v>
      </c>
      <c r="B62" s="1" cm="1">
        <f t="array" aca="1" ref="B62" ca="1">INDIRECT(_xlfn.CONCAT("$J", $F62))</f>
        <v>30</v>
      </c>
      <c r="C62" s="1" cm="1">
        <f t="array" aca="1" ref="C62" ca="1">INDIRECT(_xlfn.CONCAT("$K", $F62))</f>
        <v>45720</v>
      </c>
      <c r="D62" s="1"/>
      <c r="E62" s="1" t="str" cm="1">
        <f t="array" aca="1" ref="E62" ca="1">INDIRECT(_xlfn.CONCAT("$L", $F62))</f>
        <v>en es fr de it pt ja ko ru 汉语 漢語</v>
      </c>
      <c r="F62" s="1" cm="1">
        <f t="array" aca="1" ref="F62" ca="1">IF(NOT(OR(ISERROR(INDIRECT(_xlfn.CONCAT("$I", $F61 + 1))), ISBLANK(INDIRECT(_xlfn.CONCAT("$I", $F61 + 1))))), $F61 + 1, IF(NOT(ISBLANK(INDIRECT(_xlfn.CONCAT("$I", $F61 + 2)))), $F61 + 2, ""))</f>
        <v>68</v>
      </c>
      <c r="I62" s="8" t="s">
        <v>1268</v>
      </c>
      <c r="J62" s="8">
        <v>553</v>
      </c>
      <c r="K62" s="9">
        <v>45702</v>
      </c>
      <c r="L62" t="s">
        <v>174</v>
      </c>
    </row>
    <row r="63" spans="1:12" ht="59.25">
      <c r="A63" s="1" t="str" cm="1">
        <f t="array" aca="1" ref="A63" ca="1">INDIRECT(_xlfn.CONCAT("$I", $F63))</f>
        <v>Aetherdrift Art Series ADFT</v>
      </c>
      <c r="B63" s="1" cm="1">
        <f t="array" aca="1" ref="B63" ca="1">INDIRECT(_xlfn.CONCAT("$J", $F63))</f>
        <v>54</v>
      </c>
      <c r="C63" s="1" cm="1">
        <f t="array" aca="1" ref="C63" ca="1">INDIRECT(_xlfn.CONCAT("$K", $F63))</f>
        <v>45702</v>
      </c>
      <c r="D63" s="1"/>
      <c r="E63" s="1" t="str" cm="1">
        <f t="array" aca="1" ref="E63" ca="1">INDIRECT(_xlfn.CONCAT("$L", $F63))</f>
        <v>en es fr de it pt ja ko ru 汉语 漢語</v>
      </c>
      <c r="F63" s="1" cm="1">
        <f t="array" aca="1" ref="F63" ca="1">IF(NOT(OR(ISERROR(INDIRECT(_xlfn.CONCAT("$I", $F62 + 1))), ISBLANK(INDIRECT(_xlfn.CONCAT("$I", $F62 + 1))))), $F62 + 1, IF(NOT(ISBLANK(INDIRECT(_xlfn.CONCAT("$I", $F62 + 2)))), $F62 + 2, ""))</f>
        <v>70</v>
      </c>
    </row>
    <row r="64" spans="1:12" ht="59.25">
      <c r="A64" s="1" t="str" cm="1">
        <f t="array" aca="1" ref="A64" ca="1">INDIRECT(_xlfn.CONCAT("$I", $F64))</f>
        <v>Aetherdrift Commander DRC</v>
      </c>
      <c r="B64" s="1" cm="1">
        <f t="array" aca="1" ref="B64" ca="1">INDIRECT(_xlfn.CONCAT("$J", $F64))</f>
        <v>184</v>
      </c>
      <c r="C64" s="1" cm="1">
        <f t="array" aca="1" ref="C64" ca="1">INDIRECT(_xlfn.CONCAT("$K", $F64))</f>
        <v>45702</v>
      </c>
      <c r="D64" s="1"/>
      <c r="E64" s="1" t="str" cm="1">
        <f t="array" aca="1" ref="E64" ca="1">INDIRECT(_xlfn.CONCAT("$L", $F64))</f>
        <v>en es fr de it pt ja ko ru 汉语 漢語</v>
      </c>
      <c r="F64" s="1" cm="1">
        <f t="array" aca="1" ref="F64" ca="1">IF(NOT(OR(ISERROR(INDIRECT(_xlfn.CONCAT("$I", $F63 + 1))), ISBLANK(INDIRECT(_xlfn.CONCAT("$I", $F63 + 1))))), $F63 + 1, IF(NOT(ISBLANK(INDIRECT(_xlfn.CONCAT("$I", $F63 + 2)))), $F63 + 2, ""))</f>
        <v>72</v>
      </c>
      <c r="I64" s="8" t="s">
        <v>228</v>
      </c>
      <c r="J64" s="8">
        <v>160</v>
      </c>
      <c r="K64" s="9">
        <v>45702</v>
      </c>
      <c r="L64" s="8" t="s">
        <v>174</v>
      </c>
    </row>
    <row r="65" spans="1:12" ht="59.25">
      <c r="A65" s="1" t="str" cm="1">
        <f t="array" aca="1" ref="A65" ca="1">INDIRECT(_xlfn.CONCAT("$I", $F65))</f>
        <v>Aetherdrift Commander Tokens TDRC</v>
      </c>
      <c r="B65" s="1" cm="1">
        <f t="array" aca="1" ref="B65" ca="1">INDIRECT(_xlfn.CONCAT("$J", $F65))</f>
        <v>17</v>
      </c>
      <c r="C65" s="1" cm="1">
        <f t="array" aca="1" ref="C65" ca="1">INDIRECT(_xlfn.CONCAT("$K", $F65))</f>
        <v>45702</v>
      </c>
      <c r="D65" s="1"/>
      <c r="E65" s="1" t="str" cm="1">
        <f t="array" aca="1" ref="E65" ca="1">INDIRECT(_xlfn.CONCAT("$L", $F65))</f>
        <v>en es fr de it pt ja ko ru 汉语 漢語</v>
      </c>
      <c r="F65" s="1" cm="1">
        <f t="array" aca="1" ref="F65" ca="1">IF(NOT(OR(ISERROR(INDIRECT(_xlfn.CONCAT("$I", $F64 + 1))), ISBLANK(INDIRECT(_xlfn.CONCAT("$I", $F64 + 1))))), $F64 + 1, IF(NOT(ISBLANK(INDIRECT(_xlfn.CONCAT("$I", $F64 + 2)))), $F64 + 2, ""))</f>
        <v>74</v>
      </c>
    </row>
    <row r="66" spans="1:12" ht="59.25">
      <c r="A66" s="1" t="str" cm="1">
        <f t="array" aca="1" ref="A66" ca="1">INDIRECT(_xlfn.CONCAT("$I", $F66))</f>
        <v>Japan Standard Cup PJSC</v>
      </c>
      <c r="B66" s="1" cm="1">
        <f t="array" aca="1" ref="B66" ca="1">INDIRECT(_xlfn.CONCAT("$J", $F66))</f>
        <v>2</v>
      </c>
      <c r="C66" s="1" cm="1">
        <f t="array" aca="1" ref="C66" ca="1">INDIRECT(_xlfn.CONCAT("$K", $F66))</f>
        <v>45697</v>
      </c>
      <c r="D66" s="1"/>
      <c r="E66" s="1" t="str" cm="1">
        <f t="array" aca="1" ref="E66" ca="1">INDIRECT(_xlfn.CONCAT("$L", $F66))</f>
        <v>en es fr de it pt ja ko ru 汉语 漢語</v>
      </c>
      <c r="F66" s="1" cm="1">
        <f t="array" aca="1" ref="F66" ca="1">IF(NOT(OR(ISERROR(INDIRECT(_xlfn.CONCAT("$I", $F65 + 1))), ISBLANK(INDIRECT(_xlfn.CONCAT("$I", $F65 + 1))))), $F65 + 1, IF(NOT(ISBLANK(INDIRECT(_xlfn.CONCAT("$I", $F65 + 2)))), $F65 + 2, ""))</f>
        <v>76</v>
      </c>
      <c r="I66" s="8" t="s">
        <v>229</v>
      </c>
      <c r="J66" s="8">
        <v>14</v>
      </c>
      <c r="K66" s="9">
        <v>45702</v>
      </c>
      <c r="L66" s="8" t="s">
        <v>174</v>
      </c>
    </row>
    <row r="67" spans="1:12" ht="59.25">
      <c r="A67" s="1" t="str" cm="1">
        <f t="array" aca="1" ref="A67" ca="1">INDIRECT(_xlfn.CONCAT("$I", $F67))</f>
        <v>Innistrad Remastered INR</v>
      </c>
      <c r="B67" s="1" cm="1">
        <f t="array" aca="1" ref="B67" ca="1">INDIRECT(_xlfn.CONCAT("$J", $F67))</f>
        <v>495</v>
      </c>
      <c r="C67" s="1" cm="1">
        <f t="array" aca="1" ref="C67" ca="1">INDIRECT(_xlfn.CONCAT("$K", $F67))</f>
        <v>45681</v>
      </c>
      <c r="D67" s="1"/>
      <c r="E67" s="1" t="str" cm="1">
        <f t="array" aca="1" ref="E67" ca="1">INDIRECT(_xlfn.CONCAT("$L", $F67))</f>
        <v>en es fr de it pt ja ko ru 汉语 漢語</v>
      </c>
      <c r="F67" s="1" cm="1">
        <f t="array" aca="1" ref="F67" ca="1">IF(NOT(OR(ISERROR(INDIRECT(_xlfn.CONCAT("$I", $F66 + 1))), ISBLANK(INDIRECT(_xlfn.CONCAT("$I", $F66 + 1))))), $F66 + 1, IF(NOT(ISBLANK(INDIRECT(_xlfn.CONCAT("$I", $F66 + 2)))), $F66 + 2, ""))</f>
        <v>78</v>
      </c>
    </row>
    <row r="68" spans="1:12" ht="59.25">
      <c r="A68" s="1" t="str" cm="1">
        <f t="array" aca="1" ref="A68" ca="1">INDIRECT(_xlfn.CONCAT("$I", $F68))</f>
        <v>Innistrad Remastered Tokens TINR</v>
      </c>
      <c r="B68" s="1" cm="1">
        <f t="array" aca="1" ref="B68" ca="1">INDIRECT(_xlfn.CONCAT("$J", $F68))</f>
        <v>27</v>
      </c>
      <c r="C68" s="1" cm="1">
        <f t="array" aca="1" ref="C68" ca="1">INDIRECT(_xlfn.CONCAT("$K", $F68))</f>
        <v>45681</v>
      </c>
      <c r="D68" s="1"/>
      <c r="E68" s="1" t="str" cm="1">
        <f t="array" aca="1" ref="E68" ca="1">INDIRECT(_xlfn.CONCAT("$L", $F68))</f>
        <v>en es fr de it pt ja ko ru 汉语 漢語</v>
      </c>
      <c r="F68" s="1" cm="1">
        <f t="array" aca="1" ref="F68" ca="1">IF(NOT(OR(ISERROR(INDIRECT(_xlfn.CONCAT("$I", $F67 + 1))), ISBLANK(INDIRECT(_xlfn.CONCAT("$I", $F67 + 1))))), $F67 + 1, IF(NOT(ISBLANK(INDIRECT(_xlfn.CONCAT("$I", $F67 + 2)))), $F67 + 2, ""))</f>
        <v>80</v>
      </c>
      <c r="I68" s="8" t="s">
        <v>230</v>
      </c>
      <c r="J68" s="8">
        <v>30</v>
      </c>
      <c r="K68" s="9">
        <v>45720</v>
      </c>
      <c r="L68" s="8" t="s">
        <v>174</v>
      </c>
    </row>
    <row r="69" spans="1:12" ht="59.25">
      <c r="A69" s="1" t="str" cm="1">
        <f t="array" aca="1" ref="A69" ca="1">INDIRECT(_xlfn.CONCAT("$I", $F69))</f>
        <v>Innistrad Remastered Art Series AINR</v>
      </c>
      <c r="B69" s="1" cm="1">
        <f t="array" aca="1" ref="B69" ca="1">INDIRECT(_xlfn.CONCAT("$J", $F69))</f>
        <v>25</v>
      </c>
      <c r="C69" s="1" cm="1">
        <f t="array" aca="1" ref="C69" ca="1">INDIRECT(_xlfn.CONCAT("$K", $F69))</f>
        <v>45681</v>
      </c>
      <c r="D69" s="1"/>
      <c r="E69" s="1" t="str" cm="1">
        <f t="array" aca="1" ref="E69" ca="1">INDIRECT(_xlfn.CONCAT("$L", $F69))</f>
        <v>en es fr de it pt ja ko ru 汉语 漢語</v>
      </c>
      <c r="F69" s="1" cm="1">
        <f t="array" aca="1" ref="F69" ca="1">IF(NOT(OR(ISERROR(INDIRECT(_xlfn.CONCAT("$I", $F68 + 1))), ISBLANK(INDIRECT(_xlfn.CONCAT("$I", $F68 + 1))))), $F68 + 1, IF(NOT(ISBLANK(INDIRECT(_xlfn.CONCAT("$I", $F68 + 2)))), $F68 + 2, ""))</f>
        <v>82</v>
      </c>
    </row>
    <row r="70" spans="1:12" ht="59.25">
      <c r="A70" s="1" t="str" cm="1">
        <f t="array" aca="1" ref="A70" ca="1">INDIRECT(_xlfn.CONCAT("$I", $F70))</f>
        <v>Spotlight Series PSPL</v>
      </c>
      <c r="B70" s="1" cm="1">
        <f t="array" aca="1" ref="B70" ca="1">INDIRECT(_xlfn.CONCAT("$J", $F70))</f>
        <v>8</v>
      </c>
      <c r="C70" s="1" cm="1">
        <f t="array" aca="1" ref="C70" ca="1">INDIRECT(_xlfn.CONCAT("$K", $F70))</f>
        <v>45660</v>
      </c>
      <c r="D70" s="1"/>
      <c r="E70" s="1" t="str" cm="1">
        <f t="array" aca="1" ref="E70" ca="1">INDIRECT(_xlfn.CONCAT("$L", $F70))</f>
        <v>en es fr de it pt ja ko ru 汉语 漢語</v>
      </c>
      <c r="F70" s="1" cm="1">
        <f t="array" aca="1" ref="F70" ca="1">IF(NOT(OR(ISERROR(INDIRECT(_xlfn.CONCAT("$I", $F69 + 1))), ISBLANK(INDIRECT(_xlfn.CONCAT("$I", $F69 + 1))))), $F69 + 1, IF(NOT(ISBLANK(INDIRECT(_xlfn.CONCAT("$I", $F69 + 2)))), $F69 + 2, ""))</f>
        <v>84</v>
      </c>
      <c r="I70" s="8" t="s">
        <v>231</v>
      </c>
      <c r="J70" s="8">
        <v>54</v>
      </c>
      <c r="K70" s="9">
        <v>45702</v>
      </c>
      <c r="L70" s="8" t="s">
        <v>174</v>
      </c>
    </row>
    <row r="71" spans="1:12" ht="59.25">
      <c r="A71" s="1" t="str" cm="1">
        <f t="array" aca="1" ref="A71" ca="1">INDIRECT(_xlfn.CONCAT("$I", $F71))</f>
        <v>MagicFest 2025 PF25</v>
      </c>
      <c r="B71" s="1" cm="1">
        <f t="array" aca="1" ref="B71" ca="1">INDIRECT(_xlfn.CONCAT("$J", $F71))</f>
        <v>19</v>
      </c>
      <c r="C71" s="1" cm="1">
        <f t="array" aca="1" ref="C71" ca="1">INDIRECT(_xlfn.CONCAT("$K", $F71))</f>
        <v>45658</v>
      </c>
      <c r="D71" s="1"/>
      <c r="E71" s="1" t="str" cm="1">
        <f t="array" aca="1" ref="E71" ca="1">INDIRECT(_xlfn.CONCAT("$L", $F71))</f>
        <v>en es fr de it pt ja ko ru 汉语 漢語</v>
      </c>
      <c r="F71" s="1" cm="1">
        <f t="array" aca="1" ref="F71" ca="1">IF(NOT(OR(ISERROR(INDIRECT(_xlfn.CONCAT("$I", $F70 + 1))), ISBLANK(INDIRECT(_xlfn.CONCAT("$I", $F70 + 1))))), $F70 + 1, IF(NOT(ISBLANK(INDIRECT(_xlfn.CONCAT("$I", $F70 + 2)))), $F70 + 2, ""))</f>
        <v>86</v>
      </c>
    </row>
    <row r="72" spans="1:12" ht="59.25">
      <c r="A72" s="1" t="str" cm="1">
        <f t="array" aca="1" ref="A72" ca="1">INDIRECT(_xlfn.CONCAT("$I", $F72))</f>
        <v>Wizards Play Network 2025 PW25</v>
      </c>
      <c r="B72" s="1" cm="1">
        <f t="array" aca="1" ref="B72" ca="1">INDIRECT(_xlfn.CONCAT("$J", $F72))</f>
        <v>17</v>
      </c>
      <c r="C72" s="1" cm="1">
        <f t="array" aca="1" ref="C72" ca="1">INDIRECT(_xlfn.CONCAT("$K", $F72))</f>
        <v>45658</v>
      </c>
      <c r="D72" s="1"/>
      <c r="E72" s="1" t="str" cm="1">
        <f t="array" aca="1" ref="E72" ca="1">INDIRECT(_xlfn.CONCAT("$L", $F72))</f>
        <v>en es fr de it pt ja ko ru 汉语 漢語</v>
      </c>
      <c r="F72" s="1" cm="1">
        <f t="array" aca="1" ref="F72" ca="1">IF(NOT(OR(ISERROR(INDIRECT(_xlfn.CONCAT("$I", $F71 + 1))), ISBLANK(INDIRECT(_xlfn.CONCAT("$I", $F71 + 1))))), $F71 + 1, IF(NOT(ISBLANK(INDIRECT(_xlfn.CONCAT("$I", $F71 + 2)))), $F71 + 2, ""))</f>
        <v>88</v>
      </c>
      <c r="I72" s="8" t="s">
        <v>232</v>
      </c>
      <c r="J72" s="8">
        <v>184</v>
      </c>
      <c r="K72" s="9">
        <v>45702</v>
      </c>
      <c r="L72" t="s">
        <v>174</v>
      </c>
    </row>
    <row r="73" spans="1:12" ht="59.25">
      <c r="A73" s="1" t="str" cm="1">
        <f t="array" aca="1" ref="A73" ca="1">INDIRECT(_xlfn.CONCAT("$I", $F73))</f>
        <v>Pioneer Masters PIO</v>
      </c>
      <c r="B73" s="1" cm="1">
        <f t="array" aca="1" ref="B73" ca="1">INDIRECT(_xlfn.CONCAT("$J", $F73))</f>
        <v>398</v>
      </c>
      <c r="C73" s="1" cm="1">
        <f t="array" aca="1" ref="C73" ca="1">INDIRECT(_xlfn.CONCAT("$K", $F73))</f>
        <v>45636</v>
      </c>
      <c r="D73" s="1"/>
      <c r="E73" s="1" t="str" cm="1">
        <f t="array" aca="1" ref="E73" ca="1">INDIRECT(_xlfn.CONCAT("$L", $F73))</f>
        <v>en es fr de it pt ja ko ru 汉语 漢語</v>
      </c>
      <c r="F73" s="1" cm="1">
        <f t="array" aca="1" ref="F73" ca="1">IF(NOT(OR(ISERROR(INDIRECT(_xlfn.CONCAT("$I", $F72 + 1))), ISBLANK(INDIRECT(_xlfn.CONCAT("$I", $F72 + 1))))), $F72 + 1, IF(NOT(ISBLANK(INDIRECT(_xlfn.CONCAT("$I", $F72 + 2)))), $F72 + 2, ""))</f>
        <v>90</v>
      </c>
    </row>
    <row r="74" spans="1:12" ht="59.25">
      <c r="A74" s="1" t="str" cm="1">
        <f t="array" aca="1" ref="A74" ca="1">INDIRECT(_xlfn.CONCAT("$I", $F74))</f>
        <v>Foundations FDN</v>
      </c>
      <c r="B74" s="1" cm="1">
        <f t="array" aca="1" ref="B74" ca="1">INDIRECT(_xlfn.CONCAT("$J", $F74))</f>
        <v>730</v>
      </c>
      <c r="C74" s="1" cm="1">
        <f t="array" aca="1" ref="C74" ca="1">INDIRECT(_xlfn.CONCAT("$K", $F74))</f>
        <v>45611</v>
      </c>
      <c r="D74" s="1"/>
      <c r="E74" s="1" t="str" cm="1">
        <f t="array" aca="1" ref="E74" ca="1">INDIRECT(_xlfn.CONCAT("$L", $F74))</f>
        <v>en es fr de it pt ja ko ru 汉语 漢語</v>
      </c>
      <c r="F74" s="1" cm="1">
        <f t="array" aca="1" ref="F74" ca="1">IF(NOT(OR(ISERROR(INDIRECT(_xlfn.CONCAT("$I", $F73 + 1))), ISBLANK(INDIRECT(_xlfn.CONCAT("$I", $F73 + 1))))), $F73 + 1, IF(NOT(ISBLANK(INDIRECT(_xlfn.CONCAT("$I", $F73 + 2)))), $F73 + 2, ""))</f>
        <v>92</v>
      </c>
      <c r="I74" s="8" t="s">
        <v>233</v>
      </c>
      <c r="J74" s="8">
        <v>17</v>
      </c>
      <c r="K74" s="9">
        <v>45702</v>
      </c>
      <c r="L74" s="8" t="s">
        <v>174</v>
      </c>
    </row>
    <row r="75" spans="1:12" ht="59.25">
      <c r="A75" s="1" t="str" cm="1">
        <f t="array" aca="1" ref="A75" ca="1">INDIRECT(_xlfn.CONCAT("$I", $F75))</f>
        <v>Foundations Promos PFDN</v>
      </c>
      <c r="B75" s="1" cm="1">
        <f t="array" aca="1" ref="B75" ca="1">INDIRECT(_xlfn.CONCAT("$J", $F75))</f>
        <v>93</v>
      </c>
      <c r="C75" s="1" cm="1">
        <f t="array" aca="1" ref="C75" ca="1">INDIRECT(_xlfn.CONCAT("$K", $F75))</f>
        <v>45611</v>
      </c>
      <c r="D75" s="1"/>
      <c r="E75" s="1" t="str" cm="1">
        <f t="array" aca="1" ref="E75" ca="1">INDIRECT(_xlfn.CONCAT("$L", $F75))</f>
        <v>en es fr de it pt ja ko ru 汉语 漢語</v>
      </c>
      <c r="F75" s="1" cm="1">
        <f t="array" aca="1" ref="F75" ca="1">IF(NOT(OR(ISERROR(INDIRECT(_xlfn.CONCAT("$I", $F74 + 1))), ISBLANK(INDIRECT(_xlfn.CONCAT("$I", $F74 + 1))))), $F74 + 1, IF(NOT(ISBLANK(INDIRECT(_xlfn.CONCAT("$I", $F74 + 2)))), $F74 + 2, ""))</f>
        <v>94</v>
      </c>
    </row>
    <row r="76" spans="1:12" ht="59.25">
      <c r="A76" s="1" t="str" cm="1">
        <f t="array" aca="1" ref="A76" ca="1">INDIRECT(_xlfn.CONCAT("$I", $F76))</f>
        <v>Foundations Tokens TFDN</v>
      </c>
      <c r="B76" s="1" cm="1">
        <f t="array" aca="1" ref="B76" ca="1">INDIRECT(_xlfn.CONCAT("$J", $F76))</f>
        <v>33</v>
      </c>
      <c r="C76" s="1" cm="1">
        <f t="array" aca="1" ref="C76" ca="1">INDIRECT(_xlfn.CONCAT("$K", $F76))</f>
        <v>45611</v>
      </c>
      <c r="D76" s="1"/>
      <c r="E76" s="1" t="str" cm="1">
        <f t="array" aca="1" ref="E76" ca="1">INDIRECT(_xlfn.CONCAT("$L", $F76))</f>
        <v>en es fr de it pt ja ko ru 汉语 漢語</v>
      </c>
      <c r="F76" s="1" cm="1">
        <f t="array" aca="1" ref="F76" ca="1">IF(NOT(OR(ISERROR(INDIRECT(_xlfn.CONCAT("$I", $F75 + 1))), ISBLANK(INDIRECT(_xlfn.CONCAT("$I", $F75 + 1))))), $F75 + 1, IF(NOT(ISBLANK(INDIRECT(_xlfn.CONCAT("$I", $F75 + 2)))), $F75 + 2, ""))</f>
        <v>96</v>
      </c>
      <c r="I76" s="8" t="s">
        <v>234</v>
      </c>
      <c r="J76" s="8">
        <v>2</v>
      </c>
      <c r="K76" s="9">
        <v>45697</v>
      </c>
      <c r="L76" s="8" t="s">
        <v>174</v>
      </c>
    </row>
    <row r="77" spans="1:12" ht="59.25">
      <c r="A77" s="1" t="str" cm="1">
        <f t="array" aca="1" ref="A77" ca="1">INDIRECT(_xlfn.CONCAT("$I", $F77))</f>
        <v>Foundations Art Series AFDN</v>
      </c>
      <c r="B77" s="1" cm="1">
        <f t="array" aca="1" ref="B77" ca="1">INDIRECT(_xlfn.CONCAT("$J", $F77))</f>
        <v>55</v>
      </c>
      <c r="C77" s="1" cm="1">
        <f t="array" aca="1" ref="C77" ca="1">INDIRECT(_xlfn.CONCAT("$K", $F77))</f>
        <v>45611</v>
      </c>
      <c r="D77" s="1"/>
      <c r="E77" s="1" t="str" cm="1">
        <f t="array" aca="1" ref="E77" ca="1">INDIRECT(_xlfn.CONCAT("$L", $F77))</f>
        <v>en es fr de it pt ja ko ru 汉语 漢語</v>
      </c>
      <c r="F77" s="1" cm="1">
        <f t="array" aca="1" ref="F77" ca="1">IF(NOT(OR(ISERROR(INDIRECT(_xlfn.CONCAT("$I", $F76 + 1))), ISBLANK(INDIRECT(_xlfn.CONCAT("$I", $F76 + 1))))), $F76 + 1, IF(NOT(ISBLANK(INDIRECT(_xlfn.CONCAT("$I", $F76 + 2)))), $F76 + 2, ""))</f>
        <v>98</v>
      </c>
    </row>
    <row r="78" spans="1:12" ht="59.25">
      <c r="A78" s="1" t="str" cm="1">
        <f t="array" aca="1" ref="A78" ca="1">INDIRECT(_xlfn.CONCAT("$I", $F78))</f>
        <v>Foundations Commander FDC</v>
      </c>
      <c r="B78" s="1" cm="1">
        <f t="array" aca="1" ref="B78" ca="1">INDIRECT(_xlfn.CONCAT("$J", $F78))</f>
        <v>3</v>
      </c>
      <c r="C78" s="1" cm="1">
        <f t="array" aca="1" ref="C78" ca="1">INDIRECT(_xlfn.CONCAT("$K", $F78))</f>
        <v>45611</v>
      </c>
      <c r="D78" s="1"/>
      <c r="E78" s="1" t="str" cm="1">
        <f t="array" aca="1" ref="E78" ca="1">INDIRECT(_xlfn.CONCAT("$L", $F78))</f>
        <v>en es fr de it pt ja ko ru 汉语 漢語</v>
      </c>
      <c r="F78" s="1" cm="1">
        <f t="array" aca="1" ref="F78" ca="1">IF(NOT(OR(ISERROR(INDIRECT(_xlfn.CONCAT("$I", $F77 + 1))), ISBLANK(INDIRECT(_xlfn.CONCAT("$I", $F77 + 1))))), $F77 + 1, IF(NOT(ISBLANK(INDIRECT(_xlfn.CONCAT("$I", $F77 + 2)))), $F77 + 2, ""))</f>
        <v>100</v>
      </c>
      <c r="I78" s="8" t="s">
        <v>1217</v>
      </c>
      <c r="J78" s="8">
        <v>495</v>
      </c>
      <c r="K78" s="9">
        <v>45681</v>
      </c>
      <c r="L78" s="8" t="s">
        <v>174</v>
      </c>
    </row>
    <row r="79" spans="1:12" ht="59.25">
      <c r="A79" s="1" t="str" cm="1">
        <f t="array" aca="1" ref="A79" ca="1">INDIRECT(_xlfn.CONCAT("$I", $F79))</f>
        <v>Foundations Jumpstart J25</v>
      </c>
      <c r="B79" s="1" cm="1">
        <f t="array" aca="1" ref="B79" ca="1">INDIRECT(_xlfn.CONCAT("$J", $F79))</f>
        <v>779</v>
      </c>
      <c r="C79" s="1" cm="1">
        <f t="array" aca="1" ref="C79" ca="1">INDIRECT(_xlfn.CONCAT("$K", $F79))</f>
        <v>45611</v>
      </c>
      <c r="D79" s="1"/>
      <c r="E79" s="1" t="str" cm="1">
        <f t="array" aca="1" ref="E79" ca="1">INDIRECT(_xlfn.CONCAT("$L", $F79))</f>
        <v>en es fr de it pt ja ko ru 汉语 漢語</v>
      </c>
      <c r="F79" s="1" cm="1">
        <f t="array" aca="1" ref="F79" ca="1">IF(NOT(OR(ISERROR(INDIRECT(_xlfn.CONCAT("$I", $F78 + 1))), ISBLANK(INDIRECT(_xlfn.CONCAT("$I", $F78 + 1))))), $F78 + 1, IF(NOT(ISBLANK(INDIRECT(_xlfn.CONCAT("$I", $F78 + 2)))), $F78 + 2, ""))</f>
        <v>102</v>
      </c>
    </row>
    <row r="80" spans="1:12" ht="59.25">
      <c r="A80" s="1" t="str" cm="1">
        <f t="array" aca="1" ref="A80" ca="1">INDIRECT(_xlfn.CONCAT("$I", $F80))</f>
        <v>Foundations Jumpstart Front Cards FJ25</v>
      </c>
      <c r="B80" s="1" cm="1">
        <f t="array" aca="1" ref="B80" ca="1">INDIRECT(_xlfn.CONCAT("$J", $F80))</f>
        <v>46</v>
      </c>
      <c r="C80" s="1" cm="1">
        <f t="array" aca="1" ref="C80" ca="1">INDIRECT(_xlfn.CONCAT("$K", $F80))</f>
        <v>45611</v>
      </c>
      <c r="D80" s="1"/>
      <c r="E80" s="1" t="str" cm="1">
        <f t="array" aca="1" ref="E80" ca="1">INDIRECT(_xlfn.CONCAT("$L", $F80))</f>
        <v>en es fr de it pt ja ko ru 汉语 漢語</v>
      </c>
      <c r="F80" s="1" cm="1">
        <f t="array" aca="1" ref="F80" ca="1">IF(NOT(OR(ISERROR(INDIRECT(_xlfn.CONCAT("$I", $F79 + 1))), ISBLANK(INDIRECT(_xlfn.CONCAT("$I", $F79 + 1))))), $F79 + 1, IF(NOT(ISBLANK(INDIRECT(_xlfn.CONCAT("$I", $F79 + 2)))), $F79 + 2, ""))</f>
        <v>104</v>
      </c>
      <c r="I80" s="8" t="s">
        <v>235</v>
      </c>
      <c r="J80" s="8">
        <v>27</v>
      </c>
      <c r="K80" s="9">
        <v>45681</v>
      </c>
      <c r="L80" s="8" t="s">
        <v>174</v>
      </c>
    </row>
    <row r="81" spans="1:12" ht="59.25">
      <c r="A81" s="1" t="str" cm="1">
        <f t="array" aca="1" ref="A81" ca="1">INDIRECT(_xlfn.CONCAT("$I", $F81))</f>
        <v>Foundations Front Cards FFDN</v>
      </c>
      <c r="B81" s="1" cm="1">
        <f t="array" aca="1" ref="B81" ca="1">INDIRECT(_xlfn.CONCAT("$J", $F81))</f>
        <v>10</v>
      </c>
      <c r="C81" s="1" cm="1">
        <f t="array" aca="1" ref="C81" ca="1">INDIRECT(_xlfn.CONCAT("$K", $F81))</f>
        <v>45611</v>
      </c>
      <c r="D81" s="1"/>
      <c r="E81" s="1" t="str" cm="1">
        <f t="array" aca="1" ref="E81" ca="1">INDIRECT(_xlfn.CONCAT("$L", $F81))</f>
        <v>en es fr de it pt ja ko ru 汉语 漢語</v>
      </c>
      <c r="F81" s="1" cm="1">
        <f t="array" aca="1" ref="F81" ca="1">IF(NOT(OR(ISERROR(INDIRECT(_xlfn.CONCAT("$I", $F80 + 1))), ISBLANK(INDIRECT(_xlfn.CONCAT("$I", $F80 + 1))))), $F80 + 1, IF(NOT(ISBLANK(INDIRECT(_xlfn.CONCAT("$I", $F80 + 2)))), $F80 + 2, ""))</f>
        <v>106</v>
      </c>
    </row>
    <row r="82" spans="1:12" ht="59.25">
      <c r="A82" s="1" t="str" cm="1">
        <f t="array" aca="1" ref="A82" ca="1">INDIRECT(_xlfn.CONCAT("$I", $F82))</f>
        <v>Duskmourn: House of Horror DSK</v>
      </c>
      <c r="B82" s="1" cm="1">
        <f t="array" aca="1" ref="B82" ca="1">INDIRECT(_xlfn.CONCAT("$J", $F82))</f>
        <v>418</v>
      </c>
      <c r="C82" s="1" cm="1">
        <f t="array" aca="1" ref="C82" ca="1">INDIRECT(_xlfn.CONCAT("$K", $F82))</f>
        <v>45562</v>
      </c>
      <c r="D82" s="1"/>
      <c r="E82" s="1" t="str" cm="1">
        <f t="array" aca="1" ref="E82" ca="1">INDIRECT(_xlfn.CONCAT("$L", $F82))</f>
        <v>en es fr de it pt ja ko ru 汉语 漢語</v>
      </c>
      <c r="F82" s="1" cm="1">
        <f t="array" aca="1" ref="F82" ca="1">IF(NOT(OR(ISERROR(INDIRECT(_xlfn.CONCAT("$I", $F81 + 1))), ISBLANK(INDIRECT(_xlfn.CONCAT("$I", $F81 + 1))))), $F81 + 1, IF(NOT(ISBLANK(INDIRECT(_xlfn.CONCAT("$I", $F81 + 2)))), $F81 + 2, ""))</f>
        <v>108</v>
      </c>
      <c r="I82" s="8" t="s">
        <v>236</v>
      </c>
      <c r="J82" s="8">
        <v>25</v>
      </c>
      <c r="K82" s="9">
        <v>45681</v>
      </c>
      <c r="L82" s="8" t="s">
        <v>174</v>
      </c>
    </row>
    <row r="83" spans="1:12" ht="68.25">
      <c r="A83" s="1" t="str" cm="1">
        <f t="array" aca="1" ref="A83" ca="1">INDIRECT(_xlfn.CONCAT("$I", $F83))</f>
        <v>Duskmourn: House of Horror Promos PDSK</v>
      </c>
      <c r="B83" s="1" cm="1">
        <f t="array" aca="1" ref="B83" ca="1">INDIRECT(_xlfn.CONCAT("$J", $F83))</f>
        <v>160</v>
      </c>
      <c r="C83" s="1" cm="1">
        <f t="array" aca="1" ref="C83" ca="1">INDIRECT(_xlfn.CONCAT("$K", $F83))</f>
        <v>45562</v>
      </c>
      <c r="D83" s="1"/>
      <c r="E83" s="1" t="str" cm="1">
        <f t="array" aca="1" ref="E83" ca="1">INDIRECT(_xlfn.CONCAT("$L", $F83))</f>
        <v>en es fr de it pt ja ko ru 汉语 漢語</v>
      </c>
      <c r="F83" s="1" cm="1">
        <f t="array" aca="1" ref="F83" ca="1">IF(NOT(OR(ISERROR(INDIRECT(_xlfn.CONCAT("$I", $F82 + 1))), ISBLANK(INDIRECT(_xlfn.CONCAT("$I", $F82 + 1))))), $F82 + 1, IF(NOT(ISBLANK(INDIRECT(_xlfn.CONCAT("$I", $F82 + 2)))), $F82 + 2, ""))</f>
        <v>110</v>
      </c>
    </row>
    <row r="84" spans="1:12" ht="68.25">
      <c r="A84" s="1" t="str" cm="1">
        <f t="array" aca="1" ref="A84" ca="1">INDIRECT(_xlfn.CONCAT("$I", $F84))</f>
        <v>Duskmourn: House of Horror Tokens TDSK</v>
      </c>
      <c r="B84" s="1" cm="1">
        <f t="array" aca="1" ref="B84" ca="1">INDIRECT(_xlfn.CONCAT("$J", $F84))</f>
        <v>19</v>
      </c>
      <c r="C84" s="1" cm="1">
        <f t="array" aca="1" ref="C84" ca="1">INDIRECT(_xlfn.CONCAT("$K", $F84))</f>
        <v>45562</v>
      </c>
      <c r="D84" s="1"/>
      <c r="E84" s="1" t="str" cm="1">
        <f t="array" aca="1" ref="E84" ca="1">INDIRECT(_xlfn.CONCAT("$L", $F84))</f>
        <v>en es fr de it pt ja ko ru 汉语 漢語</v>
      </c>
      <c r="F84" s="1" cm="1">
        <f t="array" aca="1" ref="F84" ca="1">IF(NOT(OR(ISERROR(INDIRECT(_xlfn.CONCAT("$I", $F83 + 1))), ISBLANK(INDIRECT(_xlfn.CONCAT("$I", $F83 + 1))))), $F83 + 1, IF(NOT(ISBLANK(INDIRECT(_xlfn.CONCAT("$I", $F83 + 2)))), $F83 + 2, ""))</f>
        <v>112</v>
      </c>
      <c r="I84" s="8" t="s">
        <v>237</v>
      </c>
      <c r="J84" s="8">
        <v>8</v>
      </c>
      <c r="K84" s="9">
        <v>45660</v>
      </c>
      <c r="L84" t="s">
        <v>174</v>
      </c>
    </row>
    <row r="85" spans="1:12" ht="59.25">
      <c r="A85" s="1" t="str" cm="1">
        <f t="array" aca="1" ref="A85" ca="1">INDIRECT(_xlfn.CONCAT("$I", $F85))</f>
        <v>Alchemy: Duskmourn YDSK</v>
      </c>
      <c r="B85" s="1" cm="1">
        <f t="array" aca="1" ref="B85" ca="1">INDIRECT(_xlfn.CONCAT("$J", $F85))</f>
        <v>30</v>
      </c>
      <c r="C85" s="1" cm="1">
        <f t="array" aca="1" ref="C85" ca="1">INDIRECT(_xlfn.CONCAT("$K", $F85))</f>
        <v>45580</v>
      </c>
      <c r="D85" s="1"/>
      <c r="E85" s="1" t="str" cm="1">
        <f t="array" aca="1" ref="E85" ca="1">INDIRECT(_xlfn.CONCAT("$L", $F85))</f>
        <v>en es fr de it pt ja ko ru 汉语 漢語</v>
      </c>
      <c r="F85" s="1" cm="1">
        <f t="array" aca="1" ref="F85" ca="1">IF(NOT(OR(ISERROR(INDIRECT(_xlfn.CONCAT("$I", $F84 + 1))), ISBLANK(INDIRECT(_xlfn.CONCAT("$I", $F84 + 1))))), $F84 + 1, IF(NOT(ISBLANK(INDIRECT(_xlfn.CONCAT("$I", $F84 + 2)))), $F84 + 2, ""))</f>
        <v>114</v>
      </c>
    </row>
    <row r="86" spans="1:12" ht="68.25">
      <c r="A86" s="1" t="str" cm="1">
        <f t="array" aca="1" ref="A86" ca="1">INDIRECT(_xlfn.CONCAT("$I", $F86))</f>
        <v>Duskmourn: House of Horror Commander DSC</v>
      </c>
      <c r="B86" s="1" cm="1">
        <f t="array" aca="1" ref="B86" ca="1">INDIRECT(_xlfn.CONCAT("$J", $F86))</f>
        <v>373</v>
      </c>
      <c r="C86" s="1" cm="1">
        <f t="array" aca="1" ref="C86" ca="1">INDIRECT(_xlfn.CONCAT("$K", $F86))</f>
        <v>45562</v>
      </c>
      <c r="D86" s="1"/>
      <c r="E86" s="1" t="str" cm="1">
        <f t="array" aca="1" ref="E86" ca="1">INDIRECT(_xlfn.CONCAT("$L", $F86))</f>
        <v>en es fr de it pt ja ko ru 汉语 漢語</v>
      </c>
      <c r="F86" s="1" cm="1">
        <f t="array" aca="1" ref="F86" ca="1">IF(NOT(OR(ISERROR(INDIRECT(_xlfn.CONCAT("$I", $F85 + 1))), ISBLANK(INDIRECT(_xlfn.CONCAT("$I", $F85 + 1))))), $F85 + 1, IF(NOT(ISBLANK(INDIRECT(_xlfn.CONCAT("$I", $F85 + 2)))), $F85 + 2, ""))</f>
        <v>116</v>
      </c>
      <c r="I86" s="8" t="s">
        <v>238</v>
      </c>
      <c r="J86" s="8">
        <v>19</v>
      </c>
      <c r="K86" s="9">
        <v>45658</v>
      </c>
      <c r="L86" t="s">
        <v>174</v>
      </c>
    </row>
    <row r="87" spans="1:12" ht="68.25">
      <c r="A87" s="1" t="str" cm="1">
        <f t="array" aca="1" ref="A87" ca="1">INDIRECT(_xlfn.CONCAT("$I", $F87))</f>
        <v>Duskmourn Commander Tokens TDSC</v>
      </c>
      <c r="B87" s="1" cm="1">
        <f t="array" aca="1" ref="B87" ca="1">INDIRECT(_xlfn.CONCAT("$J", $F87))</f>
        <v>23</v>
      </c>
      <c r="C87" s="1" cm="1">
        <f t="array" aca="1" ref="C87" ca="1">INDIRECT(_xlfn.CONCAT("$K", $F87))</f>
        <v>45562</v>
      </c>
      <c r="D87" s="1"/>
      <c r="E87" s="1" t="str" cm="1">
        <f t="array" aca="1" ref="E87" ca="1">INDIRECT(_xlfn.CONCAT("$L", $F87))</f>
        <v>en es fr de it pt ja ko ru 汉语 漢語</v>
      </c>
      <c r="F87" s="1" cm="1">
        <f t="array" aca="1" ref="F87" ca="1">IF(NOT(OR(ISERROR(INDIRECT(_xlfn.CONCAT("$I", $F86 + 1))), ISBLANK(INDIRECT(_xlfn.CONCAT("$I", $F86 + 1))))), $F86 + 1, IF(NOT(ISBLANK(INDIRECT(_xlfn.CONCAT("$I", $F86 + 2)))), $F86 + 2, ""))</f>
        <v>118</v>
      </c>
    </row>
    <row r="88" spans="1:12" ht="68.25">
      <c r="A88" s="1" t="str" cm="1">
        <f t="array" aca="1" ref="A88" ca="1">INDIRECT(_xlfn.CONCAT("$I", $F88))</f>
        <v>Duskmourn: House of Horror Art Series ADSK</v>
      </c>
      <c r="B88" s="1" cm="1">
        <f t="array" aca="1" ref="B88" ca="1">INDIRECT(_xlfn.CONCAT("$J", $F88))</f>
        <v>54</v>
      </c>
      <c r="C88" s="1" cm="1">
        <f t="array" aca="1" ref="C88" ca="1">INDIRECT(_xlfn.CONCAT("$K", $F88))</f>
        <v>45562</v>
      </c>
      <c r="D88" s="1"/>
      <c r="E88" s="1" t="str" cm="1">
        <f t="array" aca="1" ref="E88" ca="1">INDIRECT(_xlfn.CONCAT("$L", $F88))</f>
        <v>en es fr de it pt ja ko ru 汉语 漢語</v>
      </c>
      <c r="F88" s="1" cm="1">
        <f t="array" aca="1" ref="F88" ca="1">IF(NOT(OR(ISERROR(INDIRECT(_xlfn.CONCAT("$I", $F87 + 1))), ISBLANK(INDIRECT(_xlfn.CONCAT("$I", $F87 + 1))))), $F87 + 1, IF(NOT(ISBLANK(INDIRECT(_xlfn.CONCAT("$I", $F87 + 2)))), $F87 + 2, ""))</f>
        <v>120</v>
      </c>
      <c r="I88" s="8" t="s">
        <v>239</v>
      </c>
      <c r="J88" s="8">
        <v>17</v>
      </c>
      <c r="K88" s="9">
        <v>45658</v>
      </c>
      <c r="L88" s="8" t="s">
        <v>174</v>
      </c>
    </row>
    <row r="89" spans="1:12" ht="59.25">
      <c r="A89" s="1" t="str" cm="1">
        <f t="array" aca="1" ref="A89" ca="1">INDIRECT(_xlfn.CONCAT("$I", $F89))</f>
        <v>Love Your LGS 2024 PLG24</v>
      </c>
      <c r="B89" s="1" cm="1">
        <f t="array" aca="1" ref="B89" ca="1">INDIRECT(_xlfn.CONCAT("$J", $F89))</f>
        <v>7</v>
      </c>
      <c r="C89" s="1" cm="1">
        <f t="array" aca="1" ref="C89" ca="1">INDIRECT(_xlfn.CONCAT("$K", $F89))</f>
        <v>45510</v>
      </c>
      <c r="D89" s="1"/>
      <c r="E89" s="1" t="str" cm="1">
        <f t="array" aca="1" ref="E89" ca="1">INDIRECT(_xlfn.CONCAT("$L", $F89))</f>
        <v>en es fr de it pt ja ko ru 汉语 漢語</v>
      </c>
      <c r="F89" s="1" cm="1">
        <f t="array" aca="1" ref="F89" ca="1">IF(NOT(OR(ISERROR(INDIRECT(_xlfn.CONCAT("$I", $F88 + 1))), ISBLANK(INDIRECT(_xlfn.CONCAT("$I", $F88 + 1))))), $F88 + 1, IF(NOT(ISBLANK(INDIRECT(_xlfn.CONCAT("$I", $F88 + 2)))), $F88 + 2, ""))</f>
        <v>122</v>
      </c>
    </row>
    <row r="90" spans="1:12" ht="59.25">
      <c r="A90" s="1" t="str" cm="1">
        <f t="array" aca="1" ref="A90" ca="1">INDIRECT(_xlfn.CONCAT("$I", $F90))</f>
        <v>Mystery Booster 2 MB2</v>
      </c>
      <c r="B90" s="1" cm="1">
        <f t="array" aca="1" ref="B90" ca="1">INDIRECT(_xlfn.CONCAT("$J", $F90))</f>
        <v>385</v>
      </c>
      <c r="C90" s="1" cm="1">
        <f t="array" aca="1" ref="C90" ca="1">INDIRECT(_xlfn.CONCAT("$K", $F90))</f>
        <v>45506</v>
      </c>
      <c r="D90" s="1"/>
      <c r="E90" s="1" t="str" cm="1">
        <f t="array" aca="1" ref="E90" ca="1">INDIRECT(_xlfn.CONCAT("$L", $F90))</f>
        <v>en es fr de it pt ja ko ru 汉语 漢語</v>
      </c>
      <c r="F90" s="1" cm="1">
        <f t="array" aca="1" ref="F90" ca="1">IF(NOT(OR(ISERROR(INDIRECT(_xlfn.CONCAT("$I", $F89 + 1))), ISBLANK(INDIRECT(_xlfn.CONCAT("$I", $F89 + 1))))), $F89 + 1, IF(NOT(ISBLANK(INDIRECT(_xlfn.CONCAT("$I", $F89 + 2)))), $F89 + 2, ""))</f>
        <v>124</v>
      </c>
      <c r="I90" s="8" t="s">
        <v>240</v>
      </c>
      <c r="J90" s="8">
        <v>398</v>
      </c>
      <c r="K90" s="9">
        <v>45636</v>
      </c>
      <c r="L90" s="8" t="s">
        <v>174</v>
      </c>
    </row>
    <row r="91" spans="1:12" ht="59.25">
      <c r="A91" s="1" t="str" cm="1">
        <f t="array" aca="1" ref="A91" ca="1">INDIRECT(_xlfn.CONCAT("$I", $F91))</f>
        <v>Bloomburrow BLB</v>
      </c>
      <c r="B91" s="1" cm="1">
        <f t="array" aca="1" ref="B91" ca="1">INDIRECT(_xlfn.CONCAT("$J", $F91))</f>
        <v>398</v>
      </c>
      <c r="C91" s="1" cm="1">
        <f t="array" aca="1" ref="C91" ca="1">INDIRECT(_xlfn.CONCAT("$K", $F91))</f>
        <v>45506</v>
      </c>
      <c r="D91" s="1"/>
      <c r="E91" s="1" t="str" cm="1">
        <f t="array" aca="1" ref="E91" ca="1">INDIRECT(_xlfn.CONCAT("$L", $F91))</f>
        <v>en es fr de it pt ja ko ru 汉语 漢語</v>
      </c>
      <c r="F91" s="1" cm="1">
        <f t="array" aca="1" ref="F91" ca="1">IF(NOT(OR(ISERROR(INDIRECT(_xlfn.CONCAT("$I", $F90 + 1))), ISBLANK(INDIRECT(_xlfn.CONCAT("$I", $F90 + 1))))), $F90 + 1, IF(NOT(ISBLANK(INDIRECT(_xlfn.CONCAT("$I", $F90 + 2)))), $F90 + 2, ""))</f>
        <v>126</v>
      </c>
    </row>
    <row r="92" spans="1:12" ht="59.25">
      <c r="A92" s="1" t="str" cm="1">
        <f t="array" aca="1" ref="A92" ca="1">INDIRECT(_xlfn.CONCAT("$I", $F92))</f>
        <v>Bloomburrow Promos PBLB</v>
      </c>
      <c r="B92" s="1" cm="1">
        <f t="array" aca="1" ref="B92" ca="1">INDIRECT(_xlfn.CONCAT("$J", $F92))</f>
        <v>160</v>
      </c>
      <c r="C92" s="1" cm="1">
        <f t="array" aca="1" ref="C92" ca="1">INDIRECT(_xlfn.CONCAT("$K", $F92))</f>
        <v>45506</v>
      </c>
      <c r="D92" s="1"/>
      <c r="E92" s="1" t="str" cm="1">
        <f t="array" aca="1" ref="E92" ca="1">INDIRECT(_xlfn.CONCAT("$L", $F92))</f>
        <v>en es fr de it pt ja ko ru 汉语 漢語</v>
      </c>
      <c r="F92" s="1" cm="1">
        <f t="array" aca="1" ref="F92" ca="1">IF(NOT(OR(ISERROR(INDIRECT(_xlfn.CONCAT("$I", $F91 + 1))), ISBLANK(INDIRECT(_xlfn.CONCAT("$I", $F91 + 1))))), $F91 + 1, IF(NOT(ISBLANK(INDIRECT(_xlfn.CONCAT("$I", $F91 + 2)))), $F91 + 2, ""))</f>
        <v>128</v>
      </c>
      <c r="I92" s="8" t="s">
        <v>1243</v>
      </c>
      <c r="J92" s="8">
        <v>730</v>
      </c>
      <c r="K92" s="9">
        <v>45611</v>
      </c>
      <c r="L92" t="s">
        <v>174</v>
      </c>
    </row>
    <row r="93" spans="1:12" ht="59.25">
      <c r="A93" s="1" t="str" cm="1">
        <f t="array" aca="1" ref="A93" ca="1">INDIRECT(_xlfn.CONCAT("$I", $F93))</f>
        <v>Bloomburrow Tokens TBLB</v>
      </c>
      <c r="B93" s="1" cm="1">
        <f t="array" aca="1" ref="B93" ca="1">INDIRECT(_xlfn.CONCAT("$J", $F93))</f>
        <v>30</v>
      </c>
      <c r="C93" s="1" cm="1">
        <f t="array" aca="1" ref="C93" ca="1">INDIRECT(_xlfn.CONCAT("$K", $F93))</f>
        <v>45506</v>
      </c>
      <c r="D93" s="1"/>
      <c r="E93" s="1" t="str" cm="1">
        <f t="array" aca="1" ref="E93" ca="1">INDIRECT(_xlfn.CONCAT("$L", $F93))</f>
        <v>en es fr de it pt ja ko ru 汉语 漢語</v>
      </c>
      <c r="F93" s="1" cm="1">
        <f t="array" aca="1" ref="F93" ca="1">IF(NOT(OR(ISERROR(INDIRECT(_xlfn.CONCAT("$I", $F92 + 1))), ISBLANK(INDIRECT(_xlfn.CONCAT("$I", $F92 + 1))))), $F92 + 1, IF(NOT(ISBLANK(INDIRECT(_xlfn.CONCAT("$I", $F92 + 2)))), $F92 + 2, ""))</f>
        <v>130</v>
      </c>
    </row>
    <row r="94" spans="1:12" ht="59.25">
      <c r="A94" s="1" t="str" cm="1">
        <f t="array" aca="1" ref="A94" ca="1">INDIRECT(_xlfn.CONCAT("$I", $F94))</f>
        <v>Alchemy: Bloomburrow YBLB</v>
      </c>
      <c r="B94" s="1" cm="1">
        <f t="array" aca="1" ref="B94" ca="1">INDIRECT(_xlfn.CONCAT("$J", $F94))</f>
        <v>30</v>
      </c>
      <c r="C94" s="1" cm="1">
        <f t="array" aca="1" ref="C94" ca="1">INDIRECT(_xlfn.CONCAT("$K", $F94))</f>
        <v>45524</v>
      </c>
      <c r="D94" s="1"/>
      <c r="E94" s="1" t="str" cm="1">
        <f t="array" aca="1" ref="E94" ca="1">INDIRECT(_xlfn.CONCAT("$L", $F94))</f>
        <v>en es fr de it pt ja ko ru 汉语 漢語</v>
      </c>
      <c r="F94" s="1" cm="1">
        <f t="array" aca="1" ref="F94" ca="1">IF(NOT(OR(ISERROR(INDIRECT(_xlfn.CONCAT("$I", $F93 + 1))), ISBLANK(INDIRECT(_xlfn.CONCAT("$I", $F93 + 1))))), $F93 + 1, IF(NOT(ISBLANK(INDIRECT(_xlfn.CONCAT("$I", $F93 + 2)))), $F93 + 2, ""))</f>
        <v>132</v>
      </c>
      <c r="I94" s="8" t="s">
        <v>241</v>
      </c>
      <c r="J94" s="8">
        <v>93</v>
      </c>
      <c r="K94" s="9">
        <v>45611</v>
      </c>
      <c r="L94" s="8" t="s">
        <v>174</v>
      </c>
    </row>
    <row r="95" spans="1:12" ht="59.25">
      <c r="A95" s="1" t="str" cm="1">
        <f t="array" aca="1" ref="A95" ca="1">INDIRECT(_xlfn.CONCAT("$I", $F95))</f>
        <v>Bloomburrow Art Series ABLB</v>
      </c>
      <c r="B95" s="1" cm="1">
        <f t="array" aca="1" ref="B95" ca="1">INDIRECT(_xlfn.CONCAT("$J", $F95))</f>
        <v>54</v>
      </c>
      <c r="C95" s="1" cm="1">
        <f t="array" aca="1" ref="C95" ca="1">INDIRECT(_xlfn.CONCAT("$K", $F95))</f>
        <v>45506</v>
      </c>
      <c r="D95" s="1"/>
      <c r="E95" s="1" t="str" cm="1">
        <f t="array" aca="1" ref="E95" ca="1">INDIRECT(_xlfn.CONCAT("$L", $F95))</f>
        <v>en es fr de it pt ja ko ru 汉语 漢語</v>
      </c>
      <c r="F95" s="1" cm="1">
        <f t="array" aca="1" ref="F95" ca="1">IF(NOT(OR(ISERROR(INDIRECT(_xlfn.CONCAT("$I", $F94 + 1))), ISBLANK(INDIRECT(_xlfn.CONCAT("$I", $F94 + 1))))), $F94 + 1, IF(NOT(ISBLANK(INDIRECT(_xlfn.CONCAT("$I", $F94 + 2)))), $F94 + 2, ""))</f>
        <v>134</v>
      </c>
    </row>
    <row r="96" spans="1:12" ht="59.25">
      <c r="A96" s="1" t="str" cm="1">
        <f t="array" aca="1" ref="A96" ca="1">INDIRECT(_xlfn.CONCAT("$I", $F96))</f>
        <v>Bloomburrow Commander BLC</v>
      </c>
      <c r="B96" s="1" cm="1">
        <f t="array" aca="1" ref="B96" ca="1">INDIRECT(_xlfn.CONCAT("$J", $F96))</f>
        <v>356</v>
      </c>
      <c r="C96" s="1" cm="1">
        <f t="array" aca="1" ref="C96" ca="1">INDIRECT(_xlfn.CONCAT("$K", $F96))</f>
        <v>45506</v>
      </c>
      <c r="D96" s="1"/>
      <c r="E96" s="1" t="str" cm="1">
        <f t="array" aca="1" ref="E96" ca="1">INDIRECT(_xlfn.CONCAT("$L", $F96))</f>
        <v>en es fr de it pt ja ko ru 汉语 漢語</v>
      </c>
      <c r="F96" s="1" cm="1">
        <f t="array" aca="1" ref="F96" ca="1">IF(NOT(OR(ISERROR(INDIRECT(_xlfn.CONCAT("$I", $F95 + 1))), ISBLANK(INDIRECT(_xlfn.CONCAT("$I", $F95 + 1))))), $F95 + 1, IF(NOT(ISBLANK(INDIRECT(_xlfn.CONCAT("$I", $F95 + 2)))), $F95 + 2, ""))</f>
        <v>136</v>
      </c>
      <c r="I96" s="8" t="s">
        <v>242</v>
      </c>
      <c r="J96" s="8">
        <v>33</v>
      </c>
      <c r="K96" s="9">
        <v>45611</v>
      </c>
      <c r="L96" s="8" t="s">
        <v>174</v>
      </c>
    </row>
    <row r="97" spans="1:12" ht="68.25">
      <c r="A97" s="1" t="str" cm="1">
        <f t="array" aca="1" ref="A97" ca="1">INDIRECT(_xlfn.CONCAT("$I", $F97))</f>
        <v>Bloomburrow Commander Tokens TBLC</v>
      </c>
      <c r="B97" s="1" cm="1">
        <f t="array" aca="1" ref="B97" ca="1">INDIRECT(_xlfn.CONCAT("$J", $F97))</f>
        <v>41</v>
      </c>
      <c r="C97" s="1" cm="1">
        <f t="array" aca="1" ref="C97" ca="1">INDIRECT(_xlfn.CONCAT("$K", $F97))</f>
        <v>45506</v>
      </c>
      <c r="D97" s="1"/>
      <c r="E97" s="1" t="str" cm="1">
        <f t="array" aca="1" ref="E97" ca="1">INDIRECT(_xlfn.CONCAT("$L", $F97))</f>
        <v>en es fr de it pt ja ko ru 汉语 漢語</v>
      </c>
      <c r="F97" s="1" cm="1">
        <f t="array" aca="1" ref="F97" ca="1">IF(NOT(OR(ISERROR(INDIRECT(_xlfn.CONCAT("$I", $F96 + 1))), ISBLANK(INDIRECT(_xlfn.CONCAT("$I", $F96 + 1))))), $F96 + 1, IF(NOT(ISBLANK(INDIRECT(_xlfn.CONCAT("$I", $F96 + 2)))), $F96 + 2, ""))</f>
        <v>138</v>
      </c>
    </row>
    <row r="98" spans="1:12" ht="59.25">
      <c r="A98" s="1" t="str" cm="1">
        <f t="array" aca="1" ref="A98" ca="1">INDIRECT(_xlfn.CONCAT("$I", $F98))</f>
        <v>Cowboy Bebop PCBB</v>
      </c>
      <c r="B98" s="1" cm="1">
        <f t="array" aca="1" ref="B98" ca="1">INDIRECT(_xlfn.CONCAT("$J", $F98))</f>
        <v>5</v>
      </c>
      <c r="C98" s="1" cm="1">
        <f t="array" aca="1" ref="C98" ca="1">INDIRECT(_xlfn.CONCAT("$K", $F98))</f>
        <v>45506</v>
      </c>
      <c r="D98" s="1"/>
      <c r="E98" s="1" t="str" cm="1">
        <f t="array" aca="1" ref="E98" ca="1">INDIRECT(_xlfn.CONCAT("$L", $F98))</f>
        <v>en es fr de it pt ja ko ru 汉语 漢語</v>
      </c>
      <c r="F98" s="1" cm="1">
        <f t="array" aca="1" ref="F98" ca="1">IF(NOT(OR(ISERROR(INDIRECT(_xlfn.CONCAT("$I", $F97 + 1))), ISBLANK(INDIRECT(_xlfn.CONCAT("$I", $F97 + 1))))), $F97 + 1, IF(NOT(ISBLANK(INDIRECT(_xlfn.CONCAT("$I", $F97 + 2)))), $F97 + 2, ""))</f>
        <v>140</v>
      </c>
      <c r="I98" s="8" t="s">
        <v>243</v>
      </c>
      <c r="J98" s="8">
        <v>55</v>
      </c>
      <c r="K98" s="9">
        <v>45611</v>
      </c>
      <c r="L98" s="8" t="s">
        <v>174</v>
      </c>
    </row>
    <row r="99" spans="1:12" ht="59.25">
      <c r="A99" s="1" t="str" cm="1">
        <f t="array" aca="1" ref="A99" ca="1">INDIRECT(_xlfn.CONCAT("$I", $F99))</f>
        <v>Assassin's Creed ACR</v>
      </c>
      <c r="B99" s="1" cm="1">
        <f t="array" aca="1" ref="B99" ca="1">INDIRECT(_xlfn.CONCAT("$J", $F99))</f>
        <v>309</v>
      </c>
      <c r="C99" s="1" cm="1">
        <f t="array" aca="1" ref="C99" ca="1">INDIRECT(_xlfn.CONCAT("$K", $F99))</f>
        <v>45478</v>
      </c>
      <c r="D99" s="1"/>
      <c r="E99" s="1" t="str" cm="1">
        <f t="array" aca="1" ref="E99" ca="1">INDIRECT(_xlfn.CONCAT("$L", $F99))</f>
        <v>en es fr de it pt ja ko ru 汉语 漢語</v>
      </c>
      <c r="F99" s="1" cm="1">
        <f t="array" aca="1" ref="F99" ca="1">IF(NOT(OR(ISERROR(INDIRECT(_xlfn.CONCAT("$I", $F98 + 1))), ISBLANK(INDIRECT(_xlfn.CONCAT("$I", $F98 + 1))))), $F98 + 1, IF(NOT(ISBLANK(INDIRECT(_xlfn.CONCAT("$I", $F98 + 2)))), $F98 + 2, ""))</f>
        <v>142</v>
      </c>
    </row>
    <row r="100" spans="1:12" ht="59.25">
      <c r="A100" s="1" t="str" cm="1">
        <f t="array" aca="1" ref="A100" ca="1">INDIRECT(_xlfn.CONCAT("$I", $F100))</f>
        <v>Assassin's Creed Tokens TACR</v>
      </c>
      <c r="B100" s="1" cm="1">
        <f t="array" aca="1" ref="B100" ca="1">INDIRECT(_xlfn.CONCAT("$J", $F100))</f>
        <v>8</v>
      </c>
      <c r="C100" s="1" cm="1">
        <f t="array" aca="1" ref="C100" ca="1">INDIRECT(_xlfn.CONCAT("$K", $F100))</f>
        <v>45478</v>
      </c>
      <c r="D100" s="1"/>
      <c r="E100" s="1" t="str" cm="1">
        <f t="array" aca="1" ref="E100" ca="1">INDIRECT(_xlfn.CONCAT("$L", $F100))</f>
        <v>en es fr de it pt ja ko ru 汉语 漢語</v>
      </c>
      <c r="F100" s="1" cm="1">
        <f t="array" aca="1" ref="F100" ca="1">IF(NOT(OR(ISERROR(INDIRECT(_xlfn.CONCAT("$I", $F99 + 1))), ISBLANK(INDIRECT(_xlfn.CONCAT("$I", $F99 + 1))))), $F99 + 1, IF(NOT(ISBLANK(INDIRECT(_xlfn.CONCAT("$I", $F99 + 2)))), $F99 + 2, ""))</f>
        <v>144</v>
      </c>
      <c r="I100" s="8" t="s">
        <v>244</v>
      </c>
      <c r="J100" s="8">
        <v>3</v>
      </c>
      <c r="K100" s="9">
        <v>45611</v>
      </c>
      <c r="L100" s="8" t="s">
        <v>174</v>
      </c>
    </row>
    <row r="101" spans="1:12" ht="59.25">
      <c r="A101" s="1" t="str" cm="1">
        <f t="array" aca="1" ref="A101" ca="1">INDIRECT(_xlfn.CONCAT("$I", $F101))</f>
        <v>Assassin's Creed Minigames MACR</v>
      </c>
      <c r="B101" s="1" cm="1">
        <f t="array" aca="1" ref="B101" ca="1">INDIRECT(_xlfn.CONCAT("$J", $F101))</f>
        <v>3</v>
      </c>
      <c r="C101" s="1" cm="1">
        <f t="array" aca="1" ref="C101" ca="1">INDIRECT(_xlfn.CONCAT("$K", $F101))</f>
        <v>45478</v>
      </c>
      <c r="D101" s="1"/>
      <c r="E101" s="1" t="str" cm="1">
        <f t="array" aca="1" ref="E101" ca="1">INDIRECT(_xlfn.CONCAT("$L", $F101))</f>
        <v>en es fr de it pt ja ko ru 汉语 漢語</v>
      </c>
      <c r="F101" s="1" cm="1">
        <f t="array" aca="1" ref="F101" ca="1">IF(NOT(OR(ISERROR(INDIRECT(_xlfn.CONCAT("$I", $F100 + 1))), ISBLANK(INDIRECT(_xlfn.CONCAT("$I", $F100 + 1))))), $F100 + 1, IF(NOT(ISBLANK(INDIRECT(_xlfn.CONCAT("$I", $F100 + 2)))), $F100 + 2, ""))</f>
        <v>146</v>
      </c>
    </row>
    <row r="102" spans="1:12" ht="59.25">
      <c r="A102" s="1" t="str" cm="1">
        <f t="array" aca="1" ref="A102" ca="1">INDIRECT(_xlfn.CONCAT("$I", $F102))</f>
        <v>Assassin's Creed Art Series AACR</v>
      </c>
      <c r="B102" s="1" cm="1">
        <f t="array" aca="1" ref="B102" ca="1">INDIRECT(_xlfn.CONCAT("$J", $F102))</f>
        <v>20</v>
      </c>
      <c r="C102" s="1" cm="1">
        <f t="array" aca="1" ref="C102" ca="1">INDIRECT(_xlfn.CONCAT("$K", $F102))</f>
        <v>45478</v>
      </c>
      <c r="D102" s="1"/>
      <c r="E102" s="1" t="str" cm="1">
        <f t="array" aca="1" ref="E102" ca="1">INDIRECT(_xlfn.CONCAT("$L", $F102))</f>
        <v>en es fr de it pt ja ko ru 汉语 漢語</v>
      </c>
      <c r="F102" s="1" cm="1">
        <f t="array" aca="1" ref="F102" ca="1">IF(NOT(OR(ISERROR(INDIRECT(_xlfn.CONCAT("$I", $F101 + 1))), ISBLANK(INDIRECT(_xlfn.CONCAT("$I", $F101 + 1))))), $F101 + 1, IF(NOT(ISBLANK(INDIRECT(_xlfn.CONCAT("$I", $F101 + 2)))), $F101 + 2, ""))</f>
        <v>148</v>
      </c>
      <c r="I102" s="8" t="s">
        <v>245</v>
      </c>
      <c r="J102" s="8">
        <v>779</v>
      </c>
      <c r="K102" s="9">
        <v>45611</v>
      </c>
      <c r="L102" t="s">
        <v>174</v>
      </c>
    </row>
    <row r="103" spans="1:12" ht="59.25">
      <c r="A103" s="1" t="str" cm="1">
        <f t="array" aca="1" ref="A103" ca="1">INDIRECT(_xlfn.CONCAT("$I", $F103))</f>
        <v>Modern Horizons 3 MH3</v>
      </c>
      <c r="B103" s="1" cm="1">
        <f t="array" aca="1" ref="B103" ca="1">INDIRECT(_xlfn.CONCAT("$J", $F103))</f>
        <v>528</v>
      </c>
      <c r="C103" s="1" cm="1">
        <f t="array" aca="1" ref="C103" ca="1">INDIRECT(_xlfn.CONCAT("$K", $F103))</f>
        <v>45457</v>
      </c>
      <c r="D103" s="1"/>
      <c r="E103" s="1" t="str" cm="1">
        <f t="array" aca="1" ref="E103" ca="1">INDIRECT(_xlfn.CONCAT("$L", $F103))</f>
        <v>en es fr de it pt ja ko ru 汉语 漢語</v>
      </c>
      <c r="F103" s="1" cm="1">
        <f t="array" aca="1" ref="F103" ca="1">IF(NOT(OR(ISERROR(INDIRECT(_xlfn.CONCAT("$I", $F102 + 1))), ISBLANK(INDIRECT(_xlfn.CONCAT("$I", $F102 + 1))))), $F102 + 1, IF(NOT(ISBLANK(INDIRECT(_xlfn.CONCAT("$I", $F102 + 2)))), $F102 + 2, ""))</f>
        <v>150</v>
      </c>
    </row>
    <row r="104" spans="1:12" ht="59.25">
      <c r="A104" s="1" t="str" cm="1">
        <f t="array" aca="1" ref="A104" ca="1">INDIRECT(_xlfn.CONCAT("$I", $F104))</f>
        <v>Modern Horizons 3 Promos PMH3</v>
      </c>
      <c r="B104" s="1" cm="1">
        <f t="array" aca="1" ref="B104" ca="1">INDIRECT(_xlfn.CONCAT("$J", $F104))</f>
        <v>85</v>
      </c>
      <c r="C104" s="1" cm="1">
        <f t="array" aca="1" ref="C104" ca="1">INDIRECT(_xlfn.CONCAT("$K", $F104))</f>
        <v>45457</v>
      </c>
      <c r="D104" s="1"/>
      <c r="E104" s="1" t="str" cm="1">
        <f t="array" aca="1" ref="E104" ca="1">INDIRECT(_xlfn.CONCAT("$L", $F104))</f>
        <v>en es fr de it pt ja ko ru 汉语 漢語</v>
      </c>
      <c r="F104" s="1" cm="1">
        <f t="array" aca="1" ref="F104" ca="1">IF(NOT(OR(ISERROR(INDIRECT(_xlfn.CONCAT("$I", $F103 + 1))), ISBLANK(INDIRECT(_xlfn.CONCAT("$I", $F103 + 1))))), $F103 + 1, IF(NOT(ISBLANK(INDIRECT(_xlfn.CONCAT("$I", $F103 + 2)))), $F103 + 2, ""))</f>
        <v>152</v>
      </c>
      <c r="I104" s="8" t="s">
        <v>246</v>
      </c>
      <c r="J104" s="8">
        <v>46</v>
      </c>
      <c r="K104" s="9">
        <v>45611</v>
      </c>
      <c r="L104" s="8" t="s">
        <v>174</v>
      </c>
    </row>
    <row r="105" spans="1:12" ht="59.25">
      <c r="A105" s="1" t="str" cm="1">
        <f t="array" aca="1" ref="A105" ca="1">INDIRECT(_xlfn.CONCAT("$I", $F105))</f>
        <v>Modern Horizons 3 Tokens TMH3</v>
      </c>
      <c r="B105" s="1" cm="1">
        <f t="array" aca="1" ref="B105" ca="1">INDIRECT(_xlfn.CONCAT("$J", $F105))</f>
        <v>43</v>
      </c>
      <c r="C105" s="1" cm="1">
        <f t="array" aca="1" ref="C105" ca="1">INDIRECT(_xlfn.CONCAT("$K", $F105))</f>
        <v>45457</v>
      </c>
      <c r="D105" s="1"/>
      <c r="E105" s="1" t="str" cm="1">
        <f t="array" aca="1" ref="E105" ca="1">INDIRECT(_xlfn.CONCAT("$L", $F105))</f>
        <v>en es fr de it pt ja ko ru 汉语 漢語</v>
      </c>
      <c r="F105" s="1" cm="1">
        <f t="array" aca="1" ref="F105" ca="1">IF(NOT(OR(ISERROR(INDIRECT(_xlfn.CONCAT("$I", $F104 + 1))), ISBLANK(INDIRECT(_xlfn.CONCAT("$I", $F104 + 1))))), $F104 + 1, IF(NOT(ISBLANK(INDIRECT(_xlfn.CONCAT("$I", $F104 + 2)))), $F104 + 2, ""))</f>
        <v>154</v>
      </c>
    </row>
    <row r="106" spans="1:12" ht="68.25">
      <c r="A106" s="1" t="str" cm="1">
        <f t="array" aca="1" ref="A106" ca="1">INDIRECT(_xlfn.CONCAT("$I", $F106))</f>
        <v>Modern Horizons 3 Substitute Cards SMH3</v>
      </c>
      <c r="B106" s="1" cm="1">
        <f t="array" aca="1" ref="B106" ca="1">INDIRECT(_xlfn.CONCAT("$J", $F106))</f>
        <v>1</v>
      </c>
      <c r="C106" s="1" cm="1">
        <f t="array" aca="1" ref="C106" ca="1">INDIRECT(_xlfn.CONCAT("$K", $F106))</f>
        <v>45457</v>
      </c>
      <c r="D106" s="1"/>
      <c r="E106" s="1" t="str" cm="1">
        <f t="array" aca="1" ref="E106" ca="1">INDIRECT(_xlfn.CONCAT("$L", $F106))</f>
        <v>en es fr de it pt ja ko ru 汉语 漢語</v>
      </c>
      <c r="F106" s="1" cm="1">
        <f t="array" aca="1" ref="F106" ca="1">IF(NOT(OR(ISERROR(INDIRECT(_xlfn.CONCAT("$I", $F105 + 1))), ISBLANK(INDIRECT(_xlfn.CONCAT("$I", $F105 + 1))))), $F105 + 1, IF(NOT(ISBLANK(INDIRECT(_xlfn.CONCAT("$I", $F105 + 2)))), $F105 + 2, ""))</f>
        <v>156</v>
      </c>
      <c r="I106" s="8" t="s">
        <v>247</v>
      </c>
      <c r="J106" s="8">
        <v>10</v>
      </c>
      <c r="K106" s="9">
        <v>45611</v>
      </c>
      <c r="L106" t="s">
        <v>174</v>
      </c>
    </row>
    <row r="107" spans="1:12" ht="59.25">
      <c r="A107" s="1" t="str" cm="1">
        <f t="array" aca="1" ref="A107" ca="1">INDIRECT(_xlfn.CONCAT("$I", $F107))</f>
        <v>Modern Horizons 3 Commander M3C</v>
      </c>
      <c r="B107" s="1" cm="1">
        <f t="array" aca="1" ref="B107" ca="1">INDIRECT(_xlfn.CONCAT("$J", $F107))</f>
        <v>398</v>
      </c>
      <c r="C107" s="1" cm="1">
        <f t="array" aca="1" ref="C107" ca="1">INDIRECT(_xlfn.CONCAT("$K", $F107))</f>
        <v>45457</v>
      </c>
      <c r="D107" s="1"/>
      <c r="E107" s="1" t="str" cm="1">
        <f t="array" aca="1" ref="E107" ca="1">INDIRECT(_xlfn.CONCAT("$L", $F107))</f>
        <v>en es fr de it pt ja ko ru 汉语 漢語</v>
      </c>
      <c r="F107" s="1" cm="1">
        <f t="array" aca="1" ref="F107" ca="1">IF(NOT(OR(ISERROR(INDIRECT(_xlfn.CONCAT("$I", $F106 + 1))), ISBLANK(INDIRECT(_xlfn.CONCAT("$I", $F106 + 1))))), $F106 + 1, IF(NOT(ISBLANK(INDIRECT(_xlfn.CONCAT("$I", $F106 + 2)))), $F106 + 2, ""))</f>
        <v>158</v>
      </c>
    </row>
    <row r="108" spans="1:12" ht="68.25">
      <c r="A108" s="1" t="str" cm="1">
        <f t="array" aca="1" ref="A108" ca="1">INDIRECT(_xlfn.CONCAT("$I", $F108))</f>
        <v>Modern Horizons 3 Commander Tokens TM3C</v>
      </c>
      <c r="B108" s="1" cm="1">
        <f t="array" aca="1" ref="B108" ca="1">INDIRECT(_xlfn.CONCAT("$J", $F108))</f>
        <v>28</v>
      </c>
      <c r="C108" s="1" cm="1">
        <f t="array" aca="1" ref="C108" ca="1">INDIRECT(_xlfn.CONCAT("$K", $F108))</f>
        <v>45457</v>
      </c>
      <c r="D108" s="1"/>
      <c r="E108" s="1" t="str" cm="1">
        <f t="array" aca="1" ref="E108" ca="1">INDIRECT(_xlfn.CONCAT("$L", $F108))</f>
        <v>en es fr de it pt ja ko ru 汉语 漢語</v>
      </c>
      <c r="F108" s="1" cm="1">
        <f t="array" aca="1" ref="F108" ca="1">IF(NOT(OR(ISERROR(INDIRECT(_xlfn.CONCAT("$I", $F107 + 1))), ISBLANK(INDIRECT(_xlfn.CONCAT("$I", $F107 + 1))))), $F107 + 1, IF(NOT(ISBLANK(INDIRECT(_xlfn.CONCAT("$I", $F107 + 2)))), $F107 + 2, ""))</f>
        <v>160</v>
      </c>
      <c r="I108" s="8" t="s">
        <v>1261</v>
      </c>
      <c r="J108" s="8">
        <v>418</v>
      </c>
      <c r="K108" s="9">
        <v>45562</v>
      </c>
      <c r="L108" t="s">
        <v>174</v>
      </c>
    </row>
    <row r="109" spans="1:12" ht="59.25">
      <c r="A109" s="1" t="str" cm="1">
        <f t="array" aca="1" ref="A109" ca="1">INDIRECT(_xlfn.CONCAT("$I", $F109))</f>
        <v>Modern Horizons 3 Art Series AMH3</v>
      </c>
      <c r="B109" s="1" cm="1">
        <f t="array" aca="1" ref="B109" ca="1">INDIRECT(_xlfn.CONCAT("$J", $F109))</f>
        <v>54</v>
      </c>
      <c r="C109" s="1" cm="1">
        <f t="array" aca="1" ref="C109" ca="1">INDIRECT(_xlfn.CONCAT("$K", $F109))</f>
        <v>45457</v>
      </c>
      <c r="D109" s="1"/>
      <c r="E109" s="1" t="str" cm="1">
        <f t="array" aca="1" ref="E109" ca="1">INDIRECT(_xlfn.CONCAT("$L", $F109))</f>
        <v>en es fr de it pt ja ko ru 汉语 漢語</v>
      </c>
      <c r="F109" s="1" cm="1">
        <f t="array" aca="1" ref="F109" ca="1">IF(NOT(OR(ISERROR(INDIRECT(_xlfn.CONCAT("$I", $F108 + 1))), ISBLANK(INDIRECT(_xlfn.CONCAT("$I", $F108 + 1))))), $F108 + 1, IF(NOT(ISBLANK(INDIRECT(_xlfn.CONCAT("$I", $F108 + 2)))), $F108 + 2, ""))</f>
        <v>162</v>
      </c>
    </row>
    <row r="110" spans="1:12" ht="59.25">
      <c r="A110" s="1" t="str" cm="1">
        <f t="array" aca="1" ref="A110" ca="1">INDIRECT(_xlfn.CONCAT("$I", $F110))</f>
        <v>Modern Horizons 2 Timeshifts H2R</v>
      </c>
      <c r="B110" s="1" cm="1">
        <f t="array" aca="1" ref="B110" ca="1">INDIRECT(_xlfn.CONCAT("$J", $F110))</f>
        <v>16</v>
      </c>
      <c r="C110" s="1" cm="1">
        <f t="array" aca="1" ref="C110" ca="1">INDIRECT(_xlfn.CONCAT("$K", $F110))</f>
        <v>45450</v>
      </c>
      <c r="D110" s="1"/>
      <c r="E110" s="1" t="str" cm="1">
        <f t="array" aca="1" ref="E110" ca="1">INDIRECT(_xlfn.CONCAT("$L", $F110))</f>
        <v>en es fr de it pt ja ko ru 汉语 漢語</v>
      </c>
      <c r="F110" s="1" cm="1">
        <f t="array" aca="1" ref="F110" ca="1">IF(NOT(OR(ISERROR(INDIRECT(_xlfn.CONCAT("$I", $F109 + 1))), ISBLANK(INDIRECT(_xlfn.CONCAT("$I", $F109 + 1))))), $F109 + 1, IF(NOT(ISBLANK(INDIRECT(_xlfn.CONCAT("$I", $F109 + 2)))), $F109 + 2, ""))</f>
        <v>164</v>
      </c>
      <c r="I110" s="8" t="s">
        <v>248</v>
      </c>
      <c r="J110" s="8">
        <v>160</v>
      </c>
      <c r="K110" s="9">
        <v>45562</v>
      </c>
      <c r="L110" s="8" t="s">
        <v>174</v>
      </c>
    </row>
    <row r="111" spans="1:12" ht="59.25">
      <c r="A111" s="1" t="str" cm="1">
        <f t="array" aca="1" ref="A111" ca="1">INDIRECT(_xlfn.CONCAT("$I", $F111))</f>
        <v>Outlaws of Thunder Junction OTJ</v>
      </c>
      <c r="B111" s="1" cm="1">
        <f t="array" aca="1" ref="B111" ca="1">INDIRECT(_xlfn.CONCAT("$J", $F111))</f>
        <v>374</v>
      </c>
      <c r="C111" s="1" cm="1">
        <f t="array" aca="1" ref="C111" ca="1">INDIRECT(_xlfn.CONCAT("$K", $F111))</f>
        <v>45401</v>
      </c>
      <c r="D111" s="1"/>
      <c r="E111" s="1" t="str" cm="1">
        <f t="array" aca="1" ref="E111" ca="1">INDIRECT(_xlfn.CONCAT("$L", $F111))</f>
        <v>en es fr de it pt ja ko ru 汉语 漢語</v>
      </c>
      <c r="F111" s="1" cm="1">
        <f t="array" aca="1" ref="F111" ca="1">IF(NOT(OR(ISERROR(INDIRECT(_xlfn.CONCAT("$I", $F110 + 1))), ISBLANK(INDIRECT(_xlfn.CONCAT("$I", $F110 + 1))))), $F110 + 1, IF(NOT(ISBLANK(INDIRECT(_xlfn.CONCAT("$I", $F110 + 2)))), $F110 + 2, ""))</f>
        <v>166</v>
      </c>
    </row>
    <row r="112" spans="1:12" ht="59.25">
      <c r="A112" s="1" t="str" cm="1">
        <f t="array" aca="1" ref="A112" ca="1">INDIRECT(_xlfn.CONCAT("$I", $F112))</f>
        <v>Breaking News OTP</v>
      </c>
      <c r="B112" s="1" cm="1">
        <f t="array" aca="1" ref="B112" ca="1">INDIRECT(_xlfn.CONCAT("$J", $F112))</f>
        <v>80</v>
      </c>
      <c r="C112" s="1" cm="1">
        <f t="array" aca="1" ref="C112" ca="1">INDIRECT(_xlfn.CONCAT("$K", $F112))</f>
        <v>45401</v>
      </c>
      <c r="D112" s="1"/>
      <c r="E112" s="1" t="str" cm="1">
        <f t="array" aca="1" ref="E112" ca="1">INDIRECT(_xlfn.CONCAT("$L", $F112))</f>
        <v>en es fr de it pt ja ko ru 汉语 漢語</v>
      </c>
      <c r="F112" s="1" cm="1">
        <f t="array" aca="1" ref="F112" ca="1">IF(NOT(OR(ISERROR(INDIRECT(_xlfn.CONCAT("$I", $F111 + 1))), ISBLANK(INDIRECT(_xlfn.CONCAT("$I", $F111 + 1))))), $F111 + 1, IF(NOT(ISBLANK(INDIRECT(_xlfn.CONCAT("$I", $F111 + 2)))), $F111 + 2, ""))</f>
        <v>168</v>
      </c>
      <c r="I112" s="8" t="s">
        <v>249</v>
      </c>
      <c r="J112" s="8">
        <v>19</v>
      </c>
      <c r="K112" s="9">
        <v>45562</v>
      </c>
      <c r="L112" s="8" t="s">
        <v>174</v>
      </c>
    </row>
    <row r="113" spans="1:12" ht="59.25">
      <c r="A113" s="1" t="str" cm="1">
        <f t="array" aca="1" ref="A113" ca="1">INDIRECT(_xlfn.CONCAT("$I", $F113))</f>
        <v>Breaking News Tokens TOTP</v>
      </c>
      <c r="B113" s="1" cm="1">
        <f t="array" aca="1" ref="B113" ca="1">INDIRECT(_xlfn.CONCAT("$J", $F113))</f>
        <v>5</v>
      </c>
      <c r="C113" s="1" cm="1">
        <f t="array" aca="1" ref="C113" ca="1">INDIRECT(_xlfn.CONCAT("$K", $F113))</f>
        <v>45401</v>
      </c>
      <c r="D113" s="1"/>
      <c r="E113" s="1" t="str" cm="1">
        <f t="array" aca="1" ref="E113" ca="1">INDIRECT(_xlfn.CONCAT("$L", $F113))</f>
        <v>en es fr de it pt ja ko ru 汉语 漢語</v>
      </c>
      <c r="F113" s="1" cm="1">
        <f t="array" aca="1" ref="F113" ca="1">IF(NOT(OR(ISERROR(INDIRECT(_xlfn.CONCAT("$I", $F112 + 1))), ISBLANK(INDIRECT(_xlfn.CONCAT("$I", $F112 + 1))))), $F112 + 1, IF(NOT(ISBLANK(INDIRECT(_xlfn.CONCAT("$I", $F112 + 2)))), $F112 + 2, ""))</f>
        <v>170</v>
      </c>
    </row>
    <row r="114" spans="1:12" ht="68.25">
      <c r="A114" s="1" t="str" cm="1">
        <f t="array" aca="1" ref="A114" ca="1">INDIRECT(_xlfn.CONCAT("$I", $F114))</f>
        <v>Outlaws of Thunder Junction Promos POTJ</v>
      </c>
      <c r="B114" s="1" cm="1">
        <f t="array" aca="1" ref="B114" ca="1">INDIRECT(_xlfn.CONCAT("$J", $F114))</f>
        <v>160</v>
      </c>
      <c r="C114" s="1" cm="1">
        <f t="array" aca="1" ref="C114" ca="1">INDIRECT(_xlfn.CONCAT("$K", $F114))</f>
        <v>45401</v>
      </c>
      <c r="D114" s="1"/>
      <c r="E114" s="1" t="str" cm="1">
        <f t="array" aca="1" ref="E114" ca="1">INDIRECT(_xlfn.CONCAT("$L", $F114))</f>
        <v>en es fr de it pt ja ko ru 汉语 漢語</v>
      </c>
      <c r="F114" s="1" cm="1">
        <f t="array" aca="1" ref="F114" ca="1">IF(NOT(OR(ISERROR(INDIRECT(_xlfn.CONCAT("$I", $F113 + 1))), ISBLANK(INDIRECT(_xlfn.CONCAT("$I", $F113 + 1))))), $F113 + 1, IF(NOT(ISBLANK(INDIRECT(_xlfn.CONCAT("$I", $F113 + 2)))), $F113 + 2, ""))</f>
        <v>172</v>
      </c>
      <c r="I114" s="8" t="s">
        <v>250</v>
      </c>
      <c r="J114" s="8">
        <v>30</v>
      </c>
      <c r="K114" s="9">
        <v>45580</v>
      </c>
      <c r="L114" s="8" t="s">
        <v>174</v>
      </c>
    </row>
    <row r="115" spans="1:12" ht="68.25">
      <c r="A115" s="1" t="str" cm="1">
        <f t="array" aca="1" ref="A115" ca="1">INDIRECT(_xlfn.CONCAT("$I", $F115))</f>
        <v>Outlaws of Thunder Junction Tokens TOTJ</v>
      </c>
      <c r="B115" s="1" cm="1">
        <f t="array" aca="1" ref="B115" ca="1">INDIRECT(_xlfn.CONCAT("$J", $F115))</f>
        <v>19</v>
      </c>
      <c r="C115" s="1" cm="1">
        <f t="array" aca="1" ref="C115" ca="1">INDIRECT(_xlfn.CONCAT("$K", $F115))</f>
        <v>45401</v>
      </c>
      <c r="D115" s="1"/>
      <c r="E115" s="1" t="str" cm="1">
        <f t="array" aca="1" ref="E115" ca="1">INDIRECT(_xlfn.CONCAT("$L", $F115))</f>
        <v>en es fr de it pt ja ko ru 汉语 漢語</v>
      </c>
      <c r="F115" s="1" cm="1">
        <f t="array" aca="1" ref="F115" ca="1">IF(NOT(OR(ISERROR(INDIRECT(_xlfn.CONCAT("$I", $F114 + 1))), ISBLANK(INDIRECT(_xlfn.CONCAT("$I", $F114 + 1))))), $F114 + 1, IF(NOT(ISBLANK(INDIRECT(_xlfn.CONCAT("$I", $F114 + 2)))), $F114 + 2, ""))</f>
        <v>174</v>
      </c>
    </row>
    <row r="116" spans="1:12" ht="68.25">
      <c r="A116" s="1" t="str" cm="1">
        <f t="array" aca="1" ref="A116" ca="1">INDIRECT(_xlfn.CONCAT("$I", $F116))</f>
        <v>Alchemy: Outlaws of Thunder Junction YOTJ</v>
      </c>
      <c r="B116" s="1" cm="1">
        <f t="array" aca="1" ref="B116" ca="1">INDIRECT(_xlfn.CONCAT("$J", $F116))</f>
        <v>30</v>
      </c>
      <c r="C116" s="1" cm="1">
        <f t="array" aca="1" ref="C116" ca="1">INDIRECT(_xlfn.CONCAT("$K", $F116))</f>
        <v>45419</v>
      </c>
      <c r="D116" s="1"/>
      <c r="E116" s="1" t="str" cm="1">
        <f t="array" aca="1" ref="E116" ca="1">INDIRECT(_xlfn.CONCAT("$L", $F116))</f>
        <v>en es fr de it pt ja ko ru 汉语 漢語</v>
      </c>
      <c r="F116" s="1" cm="1">
        <f t="array" aca="1" ref="F116" ca="1">IF(NOT(OR(ISERROR(INDIRECT(_xlfn.CONCAT("$I", $F115 + 1))), ISBLANK(INDIRECT(_xlfn.CONCAT("$I", $F115 + 1))))), $F115 + 1, IF(NOT(ISBLANK(INDIRECT(_xlfn.CONCAT("$I", $F115 + 2)))), $F115 + 2, ""))</f>
        <v>176</v>
      </c>
      <c r="I116" s="8" t="s">
        <v>251</v>
      </c>
      <c r="J116" s="8">
        <v>373</v>
      </c>
      <c r="K116" s="9">
        <v>45562</v>
      </c>
      <c r="L116" t="s">
        <v>174</v>
      </c>
    </row>
    <row r="117" spans="1:12" ht="68.25">
      <c r="A117" s="1" t="str" cm="1">
        <f t="array" aca="1" ref="A117" ca="1">INDIRECT(_xlfn.CONCAT("$I", $F117))</f>
        <v>Outlaws of Thunder Junction Art Series AOTJ</v>
      </c>
      <c r="B117" s="1" cm="1">
        <f t="array" aca="1" ref="B117" ca="1">INDIRECT(_xlfn.CONCAT("$J", $F117))</f>
        <v>54</v>
      </c>
      <c r="C117" s="1" cm="1">
        <f t="array" aca="1" ref="C117" ca="1">INDIRECT(_xlfn.CONCAT("$K", $F117))</f>
        <v>45401</v>
      </c>
      <c r="D117" s="1"/>
      <c r="E117" s="1" t="str" cm="1">
        <f t="array" aca="1" ref="E117" ca="1">INDIRECT(_xlfn.CONCAT("$L", $F117))</f>
        <v>en es fr de it pt ja ko ru 汉语 漢語</v>
      </c>
      <c r="F117" s="1" cm="1">
        <f t="array" aca="1" ref="F117" ca="1">IF(NOT(OR(ISERROR(INDIRECT(_xlfn.CONCAT("$I", $F116 + 1))), ISBLANK(INDIRECT(_xlfn.CONCAT("$I", $F116 + 1))))), $F116 + 1, IF(NOT(ISBLANK(INDIRECT(_xlfn.CONCAT("$I", $F116 + 2)))), $F116 + 2, ""))</f>
        <v>178</v>
      </c>
    </row>
    <row r="118" spans="1:12" ht="59.25">
      <c r="A118" s="1" t="str" cm="1">
        <f t="array" aca="1" ref="A118" ca="1">INDIRECT(_xlfn.CONCAT("$I", $F118))</f>
        <v>The Big Score BIG</v>
      </c>
      <c r="B118" s="1" cm="1">
        <f t="array" aca="1" ref="B118" ca="1">INDIRECT(_xlfn.CONCAT("$J", $F118))</f>
        <v>95</v>
      </c>
      <c r="C118" s="1" cm="1">
        <f t="array" aca="1" ref="C118" ca="1">INDIRECT(_xlfn.CONCAT("$K", $F118))</f>
        <v>45401</v>
      </c>
      <c r="D118" s="1"/>
      <c r="E118" s="1" t="str" cm="1">
        <f t="array" aca="1" ref="E118" ca="1">INDIRECT(_xlfn.CONCAT("$L", $F118))</f>
        <v>en es fr de it pt ja ko ru 汉语 漢語</v>
      </c>
      <c r="F118" s="1" cm="1">
        <f t="array" aca="1" ref="F118" ca="1">IF(NOT(OR(ISERROR(INDIRECT(_xlfn.CONCAT("$I", $F117 + 1))), ISBLANK(INDIRECT(_xlfn.CONCAT("$I", $F117 + 1))))), $F117 + 1, IF(NOT(ISBLANK(INDIRECT(_xlfn.CONCAT("$I", $F117 + 2)))), $F117 + 2, ""))</f>
        <v>180</v>
      </c>
      <c r="I118" s="8" t="s">
        <v>252</v>
      </c>
      <c r="J118" s="8">
        <v>23</v>
      </c>
      <c r="K118" s="9">
        <v>45562</v>
      </c>
      <c r="L118" s="8" t="s">
        <v>174</v>
      </c>
    </row>
    <row r="119" spans="1:12" ht="59.25">
      <c r="A119" s="1" t="str" cm="1">
        <f t="array" aca="1" ref="A119" ca="1">INDIRECT(_xlfn.CONCAT("$I", $F119))</f>
        <v>The Big Score Promos PBIG</v>
      </c>
      <c r="B119" s="1" cm="1">
        <f t="array" aca="1" ref="B119" ca="1">INDIRECT(_xlfn.CONCAT("$J", $F119))</f>
        <v>5</v>
      </c>
      <c r="C119" s="1" cm="1">
        <f t="array" aca="1" ref="C119" ca="1">INDIRECT(_xlfn.CONCAT("$K", $F119))</f>
        <v>45870</v>
      </c>
      <c r="D119" s="1"/>
      <c r="E119" s="1" t="str" cm="1">
        <f t="array" aca="1" ref="E119" ca="1">INDIRECT(_xlfn.CONCAT("$L", $F119))</f>
        <v>en es fr de it pt ja ko ru 汉语 漢語</v>
      </c>
      <c r="F119" s="1" cm="1">
        <f t="array" aca="1" ref="F119" ca="1">IF(NOT(OR(ISERROR(INDIRECT(_xlfn.CONCAT("$I", $F118 + 1))), ISBLANK(INDIRECT(_xlfn.CONCAT("$I", $F118 + 1))))), $F118 + 1, IF(NOT(ISBLANK(INDIRECT(_xlfn.CONCAT("$I", $F118 + 2)))), $F118 + 2, ""))</f>
        <v>182</v>
      </c>
    </row>
    <row r="120" spans="1:12" ht="59.25">
      <c r="A120" s="1" t="str" cm="1">
        <f t="array" aca="1" ref="A120" ca="1">INDIRECT(_xlfn.CONCAT("$I", $F120))</f>
        <v>The Big Score Tokens TBIG</v>
      </c>
      <c r="B120" s="1" cm="1">
        <f t="array" aca="1" ref="B120" ca="1">INDIRECT(_xlfn.CONCAT("$J", $F120))</f>
        <v>7</v>
      </c>
      <c r="C120" s="1" cm="1">
        <f t="array" aca="1" ref="C120" ca="1">INDIRECT(_xlfn.CONCAT("$K", $F120))</f>
        <v>45401</v>
      </c>
      <c r="D120" s="1"/>
      <c r="E120" s="1" t="str" cm="1">
        <f t="array" aca="1" ref="E120" ca="1">INDIRECT(_xlfn.CONCAT("$L", $F120))</f>
        <v>en es fr de it pt ja ko ru 汉语 漢語</v>
      </c>
      <c r="F120" s="1" cm="1">
        <f t="array" aca="1" ref="F120" ca="1">IF(NOT(OR(ISERROR(INDIRECT(_xlfn.CONCAT("$I", $F119 + 1))), ISBLANK(INDIRECT(_xlfn.CONCAT("$I", $F119 + 1))))), $F119 + 1, IF(NOT(ISBLANK(INDIRECT(_xlfn.CONCAT("$I", $F119 + 2)))), $F119 + 2, ""))</f>
        <v>184</v>
      </c>
      <c r="I120" s="8" t="s">
        <v>253</v>
      </c>
      <c r="J120" s="8">
        <v>54</v>
      </c>
      <c r="K120" s="9">
        <v>45562</v>
      </c>
      <c r="L120" s="8" t="s">
        <v>174</v>
      </c>
    </row>
    <row r="121" spans="1:12" ht="68.25">
      <c r="A121" s="1" t="str" cm="1">
        <f t="array" aca="1" ref="A121" ca="1">INDIRECT(_xlfn.CONCAT("$I", $F121))</f>
        <v>Outlaws of Thunder Junction Commander OTC</v>
      </c>
      <c r="B121" s="1" cm="1">
        <f t="array" aca="1" ref="B121" ca="1">INDIRECT(_xlfn.CONCAT("$J", $F121))</f>
        <v>342</v>
      </c>
      <c r="C121" s="1" cm="1">
        <f t="array" aca="1" ref="C121" ca="1">INDIRECT(_xlfn.CONCAT("$K", $F121))</f>
        <v>45401</v>
      </c>
      <c r="D121" s="1"/>
      <c r="E121" s="1" t="str" cm="1">
        <f t="array" aca="1" ref="E121" ca="1">INDIRECT(_xlfn.CONCAT("$L", $F121))</f>
        <v>en es fr de it pt ja ko ru 汉语 漢語</v>
      </c>
      <c r="F121" s="1" cm="1">
        <f t="array" aca="1" ref="F121" ca="1">IF(NOT(OR(ISERROR(INDIRECT(_xlfn.CONCAT("$I", $F120 + 1))), ISBLANK(INDIRECT(_xlfn.CONCAT("$I", $F120 + 1))))), $F120 + 1, IF(NOT(ISBLANK(INDIRECT(_xlfn.CONCAT("$I", $F120 + 2)))), $F120 + 2, ""))</f>
        <v>186</v>
      </c>
    </row>
    <row r="122" spans="1:12" ht="81">
      <c r="A122" s="1" t="str" cm="1">
        <f t="array" aca="1" ref="A122" ca="1">INDIRECT(_xlfn.CONCAT("$I", $F122))</f>
        <v>Outlaws of Thunder Junction Commander Tokens TOTC</v>
      </c>
      <c r="B122" s="1" cm="1">
        <f t="array" aca="1" ref="B122" ca="1">INDIRECT(_xlfn.CONCAT("$J", $F122))</f>
        <v>41</v>
      </c>
      <c r="C122" s="1" cm="1">
        <f t="array" aca="1" ref="C122" ca="1">INDIRECT(_xlfn.CONCAT("$K", $F122))</f>
        <v>45401</v>
      </c>
      <c r="D122" s="1"/>
      <c r="E122" s="1" t="str" cm="1">
        <f t="array" aca="1" ref="E122" ca="1">INDIRECT(_xlfn.CONCAT("$L", $F122))</f>
        <v>en es fr de it pt ja ko ru 汉语 漢語</v>
      </c>
      <c r="F122" s="1" cm="1">
        <f t="array" aca="1" ref="F122" ca="1">IF(NOT(OR(ISERROR(INDIRECT(_xlfn.CONCAT("$I", $F121 + 1))), ISBLANK(INDIRECT(_xlfn.CONCAT("$I", $F121 + 1))))), $F121 + 1, IF(NOT(ISBLANK(INDIRECT(_xlfn.CONCAT("$I", $F121 + 2)))), $F121 + 2, ""))</f>
        <v>188</v>
      </c>
      <c r="I122" s="8" t="s">
        <v>254</v>
      </c>
      <c r="J122" s="8">
        <v>7</v>
      </c>
      <c r="K122" s="9">
        <v>45510</v>
      </c>
      <c r="L122" t="s">
        <v>174</v>
      </c>
    </row>
    <row r="123" spans="1:12" ht="59.25">
      <c r="A123" s="1" t="str" cm="1">
        <f t="array" aca="1" ref="A123" ca="1">INDIRECT(_xlfn.CONCAT("$I", $F123))</f>
        <v>Fallout PIP</v>
      </c>
      <c r="B123" s="1" cm="1">
        <f t="array" aca="1" ref="B123" ca="1">INDIRECT(_xlfn.CONCAT("$J", $F123))</f>
        <v>1068</v>
      </c>
      <c r="C123" s="1" cm="1">
        <f t="array" aca="1" ref="C123" ca="1">INDIRECT(_xlfn.CONCAT("$K", $F123))</f>
        <v>45359</v>
      </c>
      <c r="D123" s="1"/>
      <c r="E123" s="1" t="str" cm="1">
        <f t="array" aca="1" ref="E123" ca="1">INDIRECT(_xlfn.CONCAT("$L", $F123))</f>
        <v>en es fr de it pt ja ko ru 汉语 漢語</v>
      </c>
      <c r="F123" s="1" cm="1">
        <f t="array" aca="1" ref="F123" ca="1">IF(NOT(OR(ISERROR(INDIRECT(_xlfn.CONCAT("$I", $F122 + 1))), ISBLANK(INDIRECT(_xlfn.CONCAT("$I", $F122 + 1))))), $F122 + 1, IF(NOT(ISBLANK(INDIRECT(_xlfn.CONCAT("$I", $F122 + 2)))), $F122 + 2, ""))</f>
        <v>190</v>
      </c>
    </row>
    <row r="124" spans="1:12" ht="59.25">
      <c r="A124" s="1" t="str" cm="1">
        <f t="array" aca="1" ref="A124" ca="1">INDIRECT(_xlfn.CONCAT("$I", $F124))</f>
        <v>Fallout Tokens TPIP</v>
      </c>
      <c r="B124" s="1" cm="1">
        <f t="array" aca="1" ref="B124" ca="1">INDIRECT(_xlfn.CONCAT("$J", $F124))</f>
        <v>22</v>
      </c>
      <c r="C124" s="1" cm="1">
        <f t="array" aca="1" ref="C124" ca="1">INDIRECT(_xlfn.CONCAT("$K", $F124))</f>
        <v>45359</v>
      </c>
      <c r="D124" s="1"/>
      <c r="E124" s="1" t="str" cm="1">
        <f t="array" aca="1" ref="E124" ca="1">INDIRECT(_xlfn.CONCAT("$L", $F124))</f>
        <v>en es fr de it pt ja ko ru 汉语 漢語</v>
      </c>
      <c r="F124" s="1" cm="1">
        <f t="array" aca="1" ref="F124" ca="1">IF(NOT(OR(ISERROR(INDIRECT(_xlfn.CONCAT("$I", $F123 + 1))), ISBLANK(INDIRECT(_xlfn.CONCAT("$I", $F123 + 1))))), $F123 + 1, IF(NOT(ISBLANK(INDIRECT(_xlfn.CONCAT("$I", $F123 + 2)))), $F123 + 2, ""))</f>
        <v>192</v>
      </c>
      <c r="I124" s="8" t="s">
        <v>255</v>
      </c>
      <c r="J124" s="8">
        <v>385</v>
      </c>
      <c r="K124" s="9">
        <v>45506</v>
      </c>
      <c r="L124" s="8" t="s">
        <v>174</v>
      </c>
    </row>
    <row r="125" spans="1:12" ht="59.25">
      <c r="A125" s="1" t="str" cm="1">
        <f t="array" aca="1" ref="A125" ca="1">INDIRECT(_xlfn.CONCAT("$I", $F125))</f>
        <v>Murders at Karlov Manor MKM</v>
      </c>
      <c r="B125" s="1" cm="1">
        <f t="array" aca="1" ref="B125" ca="1">INDIRECT(_xlfn.CONCAT("$J", $F125))</f>
        <v>451</v>
      </c>
      <c r="C125" s="1" cm="1">
        <f t="array" aca="1" ref="C125" ca="1">INDIRECT(_xlfn.CONCAT("$K", $F125))</f>
        <v>45331</v>
      </c>
      <c r="D125" s="1"/>
      <c r="E125" s="1" t="str" cm="1">
        <f t="array" aca="1" ref="E125" ca="1">INDIRECT(_xlfn.CONCAT("$L", $F125))</f>
        <v>en es fr de it pt ja ko ru 汉语 漢語</v>
      </c>
      <c r="F125" s="1" cm="1">
        <f t="array" aca="1" ref="F125" ca="1">IF(NOT(OR(ISERROR(INDIRECT(_xlfn.CONCAT("$I", $F124 + 1))), ISBLANK(INDIRECT(_xlfn.CONCAT("$I", $F124 + 1))))), $F124 + 1, IF(NOT(ISBLANK(INDIRECT(_xlfn.CONCAT("$I", $F124 + 2)))), $F124 + 2, ""))</f>
        <v>194</v>
      </c>
    </row>
    <row r="126" spans="1:12" ht="68.25">
      <c r="A126" s="1" t="str" cm="1">
        <f t="array" aca="1" ref="A126" ca="1">INDIRECT(_xlfn.CONCAT("$I", $F126))</f>
        <v>Murders at Karlov Manor Promos PMKM</v>
      </c>
      <c r="B126" s="1" cm="1">
        <f t="array" aca="1" ref="B126" ca="1">INDIRECT(_xlfn.CONCAT("$J", $F126))</f>
        <v>180</v>
      </c>
      <c r="C126" s="1" cm="1">
        <f t="array" aca="1" ref="C126" ca="1">INDIRECT(_xlfn.CONCAT("$K", $F126))</f>
        <v>45331</v>
      </c>
      <c r="D126" s="1"/>
      <c r="E126" s="1" t="str" cm="1">
        <f t="array" aca="1" ref="E126" ca="1">INDIRECT(_xlfn.CONCAT("$L", $F126))</f>
        <v>en es fr de it pt ja ko ru 汉语 漢語</v>
      </c>
      <c r="F126" s="1" cm="1">
        <f t="array" aca="1" ref="F126" ca="1">IF(NOT(OR(ISERROR(INDIRECT(_xlfn.CONCAT("$I", $F125 + 1))), ISBLANK(INDIRECT(_xlfn.CONCAT("$I", $F125 + 1))))), $F125 + 1, IF(NOT(ISBLANK(INDIRECT(_xlfn.CONCAT("$I", $F125 + 2)))), $F125 + 2, ""))</f>
        <v>196</v>
      </c>
      <c r="I126" s="8" t="s">
        <v>1171</v>
      </c>
      <c r="J126" s="8">
        <v>398</v>
      </c>
      <c r="K126" s="9">
        <v>45506</v>
      </c>
      <c r="L126" t="s">
        <v>174</v>
      </c>
    </row>
    <row r="127" spans="1:12" ht="68.25">
      <c r="A127" s="1" t="str" cm="1">
        <f t="array" aca="1" ref="A127" ca="1">INDIRECT(_xlfn.CONCAT("$I", $F127))</f>
        <v>Murders at Karlov Manor Tokens TMKM</v>
      </c>
      <c r="B127" s="1" cm="1">
        <f t="array" aca="1" ref="B127" ca="1">INDIRECT(_xlfn.CONCAT("$J", $F127))</f>
        <v>22</v>
      </c>
      <c r="C127" s="1" cm="1">
        <f t="array" aca="1" ref="C127" ca="1">INDIRECT(_xlfn.CONCAT("$K", $F127))</f>
        <v>45331</v>
      </c>
      <c r="D127" s="1"/>
      <c r="E127" s="1" t="str" cm="1">
        <f t="array" aca="1" ref="E127" ca="1">INDIRECT(_xlfn.CONCAT("$L", $F127))</f>
        <v>en es fr de it pt ja ko ru 汉语 漢語</v>
      </c>
      <c r="F127" s="1" cm="1">
        <f t="array" aca="1" ref="F127" ca="1">IF(NOT(OR(ISERROR(INDIRECT(_xlfn.CONCAT("$I", $F126 + 1))), ISBLANK(INDIRECT(_xlfn.CONCAT("$I", $F126 + 1))))), $F126 + 1, IF(NOT(ISBLANK(INDIRECT(_xlfn.CONCAT("$I", $F126 + 2)))), $F126 + 2, ""))</f>
        <v>198</v>
      </c>
    </row>
    <row r="128" spans="1:12" ht="68.25">
      <c r="A128" s="1" t="str" cm="1">
        <f t="array" aca="1" ref="A128" ca="1">INDIRECT(_xlfn.CONCAT("$I", $F128))</f>
        <v>Alchemy: Murders at Karlov Manor YMKM</v>
      </c>
      <c r="B128" s="1" cm="1">
        <f t="array" aca="1" ref="B128" ca="1">INDIRECT(_xlfn.CONCAT("$J", $F128))</f>
        <v>30</v>
      </c>
      <c r="C128" s="1" cm="1">
        <f t="array" aca="1" ref="C128" ca="1">INDIRECT(_xlfn.CONCAT("$K", $F128))</f>
        <v>45356</v>
      </c>
      <c r="D128" s="1"/>
      <c r="E128" s="1" t="str" cm="1">
        <f t="array" aca="1" ref="E128" ca="1">INDIRECT(_xlfn.CONCAT("$L", $F128))</f>
        <v>en es fr de it pt ja ko ru 汉语 漢語</v>
      </c>
      <c r="F128" s="1" cm="1">
        <f t="array" aca="1" ref="F128" ca="1">IF(NOT(OR(ISERROR(INDIRECT(_xlfn.CONCAT("$I", $F127 + 1))), ISBLANK(INDIRECT(_xlfn.CONCAT("$I", $F127 + 1))))), $F127 + 1, IF(NOT(ISBLANK(INDIRECT(_xlfn.CONCAT("$I", $F127 + 2)))), $F127 + 2, ""))</f>
        <v>200</v>
      </c>
      <c r="I128" s="8" t="s">
        <v>256</v>
      </c>
      <c r="J128" s="8">
        <v>160</v>
      </c>
      <c r="K128" s="9">
        <v>45506</v>
      </c>
      <c r="L128" s="8" t="s">
        <v>174</v>
      </c>
    </row>
    <row r="129" spans="1:12" ht="59.25">
      <c r="A129" s="1" t="str" cm="1">
        <f t="array" aca="1" ref="A129" ca="1">INDIRECT(_xlfn.CONCAT("$I", $F129))</f>
        <v>Ravnica: Clue Edition CLU</v>
      </c>
      <c r="B129" s="1" cm="1">
        <f t="array" aca="1" ref="B129" ca="1">INDIRECT(_xlfn.CONCAT("$J", $F129))</f>
        <v>284</v>
      </c>
      <c r="C129" s="1" cm="1">
        <f t="array" aca="1" ref="C129" ca="1">INDIRECT(_xlfn.CONCAT("$K", $F129))</f>
        <v>45345</v>
      </c>
      <c r="D129" s="1"/>
      <c r="E129" s="1" t="str" cm="1">
        <f t="array" aca="1" ref="E129" ca="1">INDIRECT(_xlfn.CONCAT("$L", $F129))</f>
        <v>en es fr de it pt ja ko ru 汉语 漢語</v>
      </c>
      <c r="F129" s="1" cm="1">
        <f t="array" aca="1" ref="F129" ca="1">IF(NOT(OR(ISERROR(INDIRECT(_xlfn.CONCAT("$I", $F128 + 1))), ISBLANK(INDIRECT(_xlfn.CONCAT("$I", $F128 + 1))))), $F128 + 1, IF(NOT(ISBLANK(INDIRECT(_xlfn.CONCAT("$I", $F128 + 2)))), $F128 + 2, ""))</f>
        <v>202</v>
      </c>
    </row>
    <row r="130" spans="1:12" ht="81">
      <c r="A130" s="1" t="str" cm="1">
        <f t="array" aca="1" ref="A130" ca="1">INDIRECT(_xlfn.CONCAT("$I", $F130))</f>
        <v>Ravnica: Clue Edition Front Cards FCLU</v>
      </c>
      <c r="B130" s="1" cm="1">
        <f t="array" aca="1" ref="B130" ca="1">INDIRECT(_xlfn.CONCAT("$J", $F130))</f>
        <v>10</v>
      </c>
      <c r="C130" s="1" cm="1">
        <f t="array" aca="1" ref="C130" ca="1">INDIRECT(_xlfn.CONCAT("$K", $F130))</f>
        <v>45345</v>
      </c>
      <c r="D130" s="1"/>
      <c r="E130" s="1" t="str" cm="1">
        <f t="array" aca="1" ref="E130" ca="1">INDIRECT(_xlfn.CONCAT("$L", $F130))</f>
        <v>en es fr de it pt ja ko ru 汉语 漢語</v>
      </c>
      <c r="F130" s="1" cm="1">
        <f t="array" aca="1" ref="F130" ca="1">IF(NOT(OR(ISERROR(INDIRECT(_xlfn.CONCAT("$I", $F129 + 1))), ISBLANK(INDIRECT(_xlfn.CONCAT("$I", $F129 + 1))))), $F129 + 1, IF(NOT(ISBLANK(INDIRECT(_xlfn.CONCAT("$I", $F129 + 2)))), $F129 + 2, ""))</f>
        <v>204</v>
      </c>
      <c r="I130" s="8" t="s">
        <v>257</v>
      </c>
      <c r="J130" s="8">
        <v>30</v>
      </c>
      <c r="K130" s="9">
        <v>45506</v>
      </c>
      <c r="L130" s="8" t="s">
        <v>174</v>
      </c>
    </row>
    <row r="131" spans="1:12" ht="59.25">
      <c r="A131" s="1" t="str" cm="1">
        <f t="array" aca="1" ref="A131" ca="1">INDIRECT(_xlfn.CONCAT("$I", $F131))</f>
        <v>MKM Standard Showdown PSS4</v>
      </c>
      <c r="B131" s="1" cm="1">
        <f t="array" aca="1" ref="B131" ca="1">INDIRECT(_xlfn.CONCAT("$J", $F131))</f>
        <v>5</v>
      </c>
      <c r="C131" s="1" cm="1">
        <f t="array" aca="1" ref="C131" ca="1">INDIRECT(_xlfn.CONCAT("$K", $F131))</f>
        <v>45332</v>
      </c>
      <c r="D131" s="1"/>
      <c r="E131" s="1" t="str" cm="1">
        <f t="array" aca="1" ref="E131" ca="1">INDIRECT(_xlfn.CONCAT("$L", $F131))</f>
        <v>en es fr de it pt ja ko ru 汉语 漢語</v>
      </c>
      <c r="F131" s="1" cm="1">
        <f t="array" aca="1" ref="F131" ca="1">IF(NOT(OR(ISERROR(INDIRECT(_xlfn.CONCAT("$I", $F130 + 1))), ISBLANK(INDIRECT(_xlfn.CONCAT("$I", $F130 + 1))))), $F130 + 1, IF(NOT(ISBLANK(INDIRECT(_xlfn.CONCAT("$I", $F130 + 2)))), $F130 + 2, ""))</f>
        <v>206</v>
      </c>
    </row>
    <row r="132" spans="1:12" ht="68.25">
      <c r="A132" s="1" t="str" cm="1">
        <f t="array" aca="1" ref="A132" ca="1">INDIRECT(_xlfn.CONCAT("$I", $F132))</f>
        <v>Murders at Karlov Manor Art Series AMKM</v>
      </c>
      <c r="B132" s="1" cm="1">
        <f t="array" aca="1" ref="B132" ca="1">INDIRECT(_xlfn.CONCAT("$J", $F132))</f>
        <v>49</v>
      </c>
      <c r="C132" s="1" cm="1">
        <f t="array" aca="1" ref="C132" ca="1">INDIRECT(_xlfn.CONCAT("$K", $F132))</f>
        <v>45331</v>
      </c>
      <c r="D132" s="1"/>
      <c r="E132" s="1" t="str" cm="1">
        <f t="array" aca="1" ref="E132" ca="1">INDIRECT(_xlfn.CONCAT("$L", $F132))</f>
        <v>en es fr de it pt ja ko ru 汉语 漢語</v>
      </c>
      <c r="F132" s="1" cm="1">
        <f t="array" aca="1" ref="F132" ca="1">IF(NOT(OR(ISERROR(INDIRECT(_xlfn.CONCAT("$I", $F131 + 1))), ISBLANK(INDIRECT(_xlfn.CONCAT("$I", $F131 + 1))))), $F131 + 1, IF(NOT(ISBLANK(INDIRECT(_xlfn.CONCAT("$I", $F131 + 2)))), $F131 + 2, ""))</f>
        <v>208</v>
      </c>
      <c r="I132" s="8" t="s">
        <v>258</v>
      </c>
      <c r="J132" s="8">
        <v>30</v>
      </c>
      <c r="K132" s="9">
        <v>45524</v>
      </c>
      <c r="L132" s="8" t="s">
        <v>174</v>
      </c>
    </row>
    <row r="133" spans="1:12" ht="68.25">
      <c r="A133" s="1" t="str" cm="1">
        <f t="array" aca="1" ref="A133" ca="1">INDIRECT(_xlfn.CONCAT("$I", $F133))</f>
        <v>MKM Japanese Promo Tokens WMKM</v>
      </c>
      <c r="B133" s="1" cm="1">
        <f t="array" aca="1" ref="B133" ca="1">INDIRECT(_xlfn.CONCAT("$J", $F133))</f>
        <v>4</v>
      </c>
      <c r="C133" s="1" cm="1">
        <f t="array" aca="1" ref="C133" ca="1">INDIRECT(_xlfn.CONCAT("$K", $F133))</f>
        <v>45331</v>
      </c>
      <c r="D133" s="1"/>
      <c r="E133" s="1" t="str" cm="1">
        <f t="array" aca="1" ref="E133" ca="1">INDIRECT(_xlfn.CONCAT("$L", $F133))</f>
        <v>en es fr de it pt ja ko ru 汉语 漢語</v>
      </c>
      <c r="F133" s="1" cm="1">
        <f t="array" aca="1" ref="F133" ca="1">IF(NOT(OR(ISERROR(INDIRECT(_xlfn.CONCAT("$I", $F132 + 1))), ISBLANK(INDIRECT(_xlfn.CONCAT("$I", $F132 + 1))))), $F132 + 1, IF(NOT(ISBLANK(INDIRECT(_xlfn.CONCAT("$I", $F132 + 2)))), $F132 + 2, ""))</f>
        <v>210</v>
      </c>
    </row>
    <row r="134" spans="1:12" ht="68.25">
      <c r="A134" s="1" t="str" cm="1">
        <f t="array" aca="1" ref="A134" ca="1">INDIRECT(_xlfn.CONCAT("$I", $F134))</f>
        <v>Murders at Karlov Manor Commander MKC</v>
      </c>
      <c r="B134" s="1" cm="1">
        <f t="array" aca="1" ref="B134" ca="1">INDIRECT(_xlfn.CONCAT("$J", $F134))</f>
        <v>358</v>
      </c>
      <c r="C134" s="1" cm="1">
        <f t="array" aca="1" ref="C134" ca="1">INDIRECT(_xlfn.CONCAT("$K", $F134))</f>
        <v>45331</v>
      </c>
      <c r="D134" s="1"/>
      <c r="E134" s="1" t="str" cm="1">
        <f t="array" aca="1" ref="E134" ca="1">INDIRECT(_xlfn.CONCAT("$L", $F134))</f>
        <v>en es fr de it pt ja ko ru 汉语 漢語</v>
      </c>
      <c r="F134" s="1" cm="1">
        <f t="array" aca="1" ref="F134" ca="1">IF(NOT(OR(ISERROR(INDIRECT(_xlfn.CONCAT("$I", $F133 + 1))), ISBLANK(INDIRECT(_xlfn.CONCAT("$I", $F133 + 1))))), $F133 + 1, IF(NOT(ISBLANK(INDIRECT(_xlfn.CONCAT("$I", $F133 + 2)))), $F133 + 2, ""))</f>
        <v>212</v>
      </c>
      <c r="I134" s="8" t="s">
        <v>259</v>
      </c>
      <c r="J134" s="8">
        <v>54</v>
      </c>
      <c r="K134" s="9">
        <v>45506</v>
      </c>
      <c r="L134" s="8" t="s">
        <v>174</v>
      </c>
    </row>
    <row r="135" spans="1:12" ht="81">
      <c r="A135" s="1" t="str" cm="1">
        <f t="array" aca="1" ref="A135" ca="1">INDIRECT(_xlfn.CONCAT("$I", $F135))</f>
        <v>Murders at Karlov Manor Commander Tokens TMKC</v>
      </c>
      <c r="B135" s="1" cm="1">
        <f t="array" aca="1" ref="B135" ca="1">INDIRECT(_xlfn.CONCAT("$J", $F135))</f>
        <v>31</v>
      </c>
      <c r="C135" s="1" cm="1">
        <f t="array" aca="1" ref="C135" ca="1">INDIRECT(_xlfn.CONCAT("$K", $F135))</f>
        <v>45331</v>
      </c>
      <c r="D135" s="1"/>
      <c r="E135" s="1" t="str" cm="1">
        <f t="array" aca="1" ref="E135" ca="1">INDIRECT(_xlfn.CONCAT("$L", $F135))</f>
        <v>en es fr de it pt ja ko ru 汉语 漢語</v>
      </c>
      <c r="F135" s="1" cm="1">
        <f t="array" aca="1" ref="F135" ca="1">IF(NOT(OR(ISERROR(INDIRECT(_xlfn.CONCAT("$I", $F134 + 1))), ISBLANK(INDIRECT(_xlfn.CONCAT("$I", $F134 + 1))))), $F134 + 1, IF(NOT(ISBLANK(INDIRECT(_xlfn.CONCAT("$I", $F134 + 2)))), $F134 + 2, ""))</f>
        <v>214</v>
      </c>
    </row>
    <row r="136" spans="1:12" ht="59.25">
      <c r="A136" s="1" t="str" cm="1">
        <f t="array" aca="1" ref="A136" ca="1">INDIRECT(_xlfn.CONCAT("$I", $F136))</f>
        <v>Year of the Dragon 2024 PL24</v>
      </c>
      <c r="B136" s="1" cm="1">
        <f t="array" aca="1" ref="B136" ca="1">INDIRECT(_xlfn.CONCAT("$J", $F136))</f>
        <v>7</v>
      </c>
      <c r="C136" s="1" cm="1">
        <f t="array" aca="1" ref="C136" ca="1">INDIRECT(_xlfn.CONCAT("$K", $F136))</f>
        <v>45330</v>
      </c>
      <c r="D136" s="1"/>
      <c r="E136" s="1" t="str" cm="1">
        <f t="array" aca="1" ref="E136" ca="1">INDIRECT(_xlfn.CONCAT("$L", $F136))</f>
        <v>en es fr de it pt ja ko ru 汉语 漢語</v>
      </c>
      <c r="F136" s="1" cm="1">
        <f t="array" aca="1" ref="F136" ca="1">IF(NOT(OR(ISERROR(INDIRECT(_xlfn.CONCAT("$I", $F135 + 1))), ISBLANK(INDIRECT(_xlfn.CONCAT("$I", $F135 + 1))))), $F135 + 1, IF(NOT(ISBLANK(INDIRECT(_xlfn.CONCAT("$I", $F135 + 2)))), $F135 + 2, ""))</f>
        <v>216</v>
      </c>
      <c r="I136" s="8" t="s">
        <v>260</v>
      </c>
      <c r="J136" s="8">
        <v>356</v>
      </c>
      <c r="K136" s="9">
        <v>45506</v>
      </c>
      <c r="L136" t="s">
        <v>174</v>
      </c>
    </row>
    <row r="137" spans="1:12" ht="59.25">
      <c r="A137" s="1" t="str" cm="1">
        <f t="array" aca="1" ref="A137" ca="1">INDIRECT(_xlfn.CONCAT("$I", $F137))</f>
        <v>Ravnica Remastered RVR</v>
      </c>
      <c r="B137" s="1" cm="1">
        <f t="array" aca="1" ref="B137" ca="1">INDIRECT(_xlfn.CONCAT("$J", $F137))</f>
        <v>531</v>
      </c>
      <c r="C137" s="1" cm="1">
        <f t="array" aca="1" ref="C137" ca="1">INDIRECT(_xlfn.CONCAT("$K", $F137))</f>
        <v>45303</v>
      </c>
      <c r="D137" s="1"/>
      <c r="E137" s="1" t="str" cm="1">
        <f t="array" aca="1" ref="E137" ca="1">INDIRECT(_xlfn.CONCAT("$L", $F137))</f>
        <v>en es fr de it pt ja ko ru 汉语 漢語</v>
      </c>
      <c r="F137" s="1" cm="1">
        <f t="array" aca="1" ref="F137" ca="1">IF(NOT(OR(ISERROR(INDIRECT(_xlfn.CONCAT("$I", $F136 + 1))), ISBLANK(INDIRECT(_xlfn.CONCAT("$I", $F136 + 1))))), $F136 + 1, IF(NOT(ISBLANK(INDIRECT(_xlfn.CONCAT("$I", $F136 + 2)))), $F136 + 2, ""))</f>
        <v>218</v>
      </c>
    </row>
    <row r="138" spans="1:12" ht="59.25">
      <c r="A138" s="1" t="str" cm="1">
        <f t="array" aca="1" ref="A138" ca="1">INDIRECT(_xlfn.CONCAT("$I", $F138))</f>
        <v>Ravnica Remastered Tokens TRVR</v>
      </c>
      <c r="B138" s="1" cm="1">
        <f t="array" aca="1" ref="B138" ca="1">INDIRECT(_xlfn.CONCAT("$J", $F138))</f>
        <v>20</v>
      </c>
      <c r="C138" s="1" cm="1">
        <f t="array" aca="1" ref="C138" ca="1">INDIRECT(_xlfn.CONCAT("$K", $F138))</f>
        <v>45303</v>
      </c>
      <c r="D138" s="1"/>
      <c r="E138" s="1" t="str" cm="1">
        <f t="array" aca="1" ref="E138" ca="1">INDIRECT(_xlfn.CONCAT("$L", $F138))</f>
        <v>en es fr de it pt ja ko ru 汉语 漢語</v>
      </c>
      <c r="F138" s="1" cm="1">
        <f t="array" aca="1" ref="F138" ca="1">IF(NOT(OR(ISERROR(INDIRECT(_xlfn.CONCAT("$I", $F137 + 1))), ISBLANK(INDIRECT(_xlfn.CONCAT("$I", $F137 + 1))))), $F137 + 1, IF(NOT(ISBLANK(INDIRECT(_xlfn.CONCAT("$I", $F137 + 2)))), $F137 + 2, ""))</f>
        <v>220</v>
      </c>
      <c r="I138" s="8" t="s">
        <v>261</v>
      </c>
      <c r="J138" s="8">
        <v>41</v>
      </c>
      <c r="K138" s="9">
        <v>45506</v>
      </c>
      <c r="L138" s="8" t="s">
        <v>174</v>
      </c>
    </row>
    <row r="139" spans="1:12" ht="59.25">
      <c r="A139" s="1" t="str" cm="1">
        <f t="array" aca="1" ref="A139" ca="1">INDIRECT(_xlfn.CONCAT("$I", $F139))</f>
        <v>MagicFest 2024 PF24</v>
      </c>
      <c r="B139" s="1" cm="1">
        <f t="array" aca="1" ref="B139" ca="1">INDIRECT(_xlfn.CONCAT("$J", $F139))</f>
        <v>2</v>
      </c>
      <c r="C139" s="1" cm="1">
        <f t="array" aca="1" ref="C139" ca="1">INDIRECT(_xlfn.CONCAT("$K", $F139))</f>
        <v>45292</v>
      </c>
      <c r="D139" s="1"/>
      <c r="E139" s="1" t="str" cm="1">
        <f t="array" aca="1" ref="E139" ca="1">INDIRECT(_xlfn.CONCAT("$L", $F139))</f>
        <v>en es fr de it pt ja ko ru 汉语 漢語</v>
      </c>
      <c r="F139" s="1" cm="1">
        <f t="array" aca="1" ref="F139" ca="1">IF(NOT(OR(ISERROR(INDIRECT(_xlfn.CONCAT("$I", $F138 + 1))), ISBLANK(INDIRECT(_xlfn.CONCAT("$I", $F138 + 1))))), $F138 + 1, IF(NOT(ISBLANK(INDIRECT(_xlfn.CONCAT("$I", $F138 + 2)))), $F138 + 2, ""))</f>
        <v>222</v>
      </c>
    </row>
    <row r="140" spans="1:12" ht="59.25">
      <c r="A140" s="1" t="str" cm="1">
        <f t="array" aca="1" ref="A140" ca="1">INDIRECT(_xlfn.CONCAT("$I", $F140))</f>
        <v>Wizards Play Network 2024 PW24</v>
      </c>
      <c r="B140" s="1" cm="1">
        <f t="array" aca="1" ref="B140" ca="1">INDIRECT(_xlfn.CONCAT("$J", $F140))</f>
        <v>18</v>
      </c>
      <c r="C140" s="1" cm="1">
        <f t="array" aca="1" ref="C140" ca="1">INDIRECT(_xlfn.CONCAT("$K", $F140))</f>
        <v>45292</v>
      </c>
      <c r="D140" s="1"/>
      <c r="E140" s="1" t="str" cm="1">
        <f t="array" aca="1" ref="E140" ca="1">INDIRECT(_xlfn.CONCAT("$L", $F140))</f>
        <v>en es fr de it pt ja ko ru 汉语 漢語</v>
      </c>
      <c r="F140" s="1" cm="1">
        <f t="array" aca="1" ref="F140" ca="1">IF(NOT(OR(ISERROR(INDIRECT(_xlfn.CONCAT("$I", $F139 + 1))), ISBLANK(INDIRECT(_xlfn.CONCAT("$I", $F139 + 1))))), $F139 + 1, IF(NOT(ISBLANK(INDIRECT(_xlfn.CONCAT("$I", $F139 + 2)))), $F139 + 2, ""))</f>
        <v>224</v>
      </c>
      <c r="I140" s="8" t="s">
        <v>262</v>
      </c>
      <c r="J140" s="8">
        <v>5</v>
      </c>
      <c r="K140" s="9">
        <v>45506</v>
      </c>
      <c r="L140" s="8" t="s">
        <v>174</v>
      </c>
    </row>
    <row r="141" spans="1:12" ht="59.25">
      <c r="A141" s="1" t="str" cm="1">
        <f t="array" aca="1" ref="A141" ca="1">INDIRECT(_xlfn.CONCAT("$I", $F141))</f>
        <v>Special Guests SPG</v>
      </c>
      <c r="B141" s="1" cm="1">
        <f t="array" aca="1" ref="B141" ca="1">INDIRECT(_xlfn.CONCAT("$J", $F141))</f>
        <v>134</v>
      </c>
      <c r="C141" s="1" cm="1">
        <f t="array" aca="1" ref="C141" ca="1">INDIRECT(_xlfn.CONCAT("$K", $F141))</f>
        <v>45247</v>
      </c>
      <c r="D141" s="1"/>
      <c r="E141" s="1" t="str" cm="1">
        <f t="array" aca="1" ref="E141" ca="1">INDIRECT(_xlfn.CONCAT("$L", $F141))</f>
        <v>en es fr de it pt ja ko ru 汉语 漢語</v>
      </c>
      <c r="F141" s="1" cm="1">
        <f t="array" aca="1" ref="F141" ca="1">IF(NOT(OR(ISERROR(INDIRECT(_xlfn.CONCAT("$I", $F140 + 1))), ISBLANK(INDIRECT(_xlfn.CONCAT("$I", $F140 + 1))))), $F140 + 1, IF(NOT(ISBLANK(INDIRECT(_xlfn.CONCAT("$I", $F140 + 2)))), $F140 + 2, ""))</f>
        <v>226</v>
      </c>
    </row>
    <row r="142" spans="1:12" ht="59.25">
      <c r="A142" s="1" t="str" cm="1">
        <f t="array" aca="1" ref="A142" ca="1">INDIRECT(_xlfn.CONCAT("$I", $F142))</f>
        <v>The Lost Caverns of Ixalan LCI</v>
      </c>
      <c r="B142" s="1" cm="1">
        <f t="array" aca="1" ref="B142" ca="1">INDIRECT(_xlfn.CONCAT("$J", $F142))</f>
        <v>416</v>
      </c>
      <c r="C142" s="1" cm="1">
        <f t="array" aca="1" ref="C142" ca="1">INDIRECT(_xlfn.CONCAT("$K", $F142))</f>
        <v>45247</v>
      </c>
      <c r="D142" s="1"/>
      <c r="E142" s="1" t="str" cm="1">
        <f t="array" aca="1" ref="E142" ca="1">INDIRECT(_xlfn.CONCAT("$L", $F142))</f>
        <v>en es fr de it pt ja ko ru 汉语 漢語</v>
      </c>
      <c r="F142" s="1" cm="1">
        <f t="array" aca="1" ref="F142" ca="1">IF(NOT(OR(ISERROR(INDIRECT(_xlfn.CONCAT("$I", $F141 + 1))), ISBLANK(INDIRECT(_xlfn.CONCAT("$I", $F141 + 1))))), $F141 + 1, IF(NOT(ISBLANK(INDIRECT(_xlfn.CONCAT("$I", $F141 + 2)))), $F141 + 2, ""))</f>
        <v>228</v>
      </c>
      <c r="I142" s="8" t="s">
        <v>1276</v>
      </c>
      <c r="J142" s="8">
        <v>309</v>
      </c>
      <c r="K142" s="9">
        <v>45478</v>
      </c>
      <c r="L142" t="s">
        <v>174</v>
      </c>
    </row>
    <row r="143" spans="1:12" ht="68.25">
      <c r="A143" s="1" t="str" cm="1">
        <f t="array" aca="1" ref="A143" ca="1">INDIRECT(_xlfn.CONCAT("$I", $F143))</f>
        <v>The Lost Caverns of Ixalan Promos PLCI</v>
      </c>
      <c r="B143" s="1" cm="1">
        <f t="array" aca="1" ref="B143" ca="1">INDIRECT(_xlfn.CONCAT("$J", $F143))</f>
        <v>136</v>
      </c>
      <c r="C143" s="1" cm="1">
        <f t="array" aca="1" ref="C143" ca="1">INDIRECT(_xlfn.CONCAT("$K", $F143))</f>
        <v>45247</v>
      </c>
      <c r="D143" s="1"/>
      <c r="E143" s="1" t="str" cm="1">
        <f t="array" aca="1" ref="E143" ca="1">INDIRECT(_xlfn.CONCAT("$L", $F143))</f>
        <v>en es fr de it pt ja ko ru 汉语 漢語</v>
      </c>
      <c r="F143" s="1" cm="1">
        <f t="array" aca="1" ref="F143" ca="1">IF(NOT(OR(ISERROR(INDIRECT(_xlfn.CONCAT("$I", $F142 + 1))), ISBLANK(INDIRECT(_xlfn.CONCAT("$I", $F142 + 1))))), $F142 + 1, IF(NOT(ISBLANK(INDIRECT(_xlfn.CONCAT("$I", $F142 + 2)))), $F142 + 2, ""))</f>
        <v>230</v>
      </c>
    </row>
    <row r="144" spans="1:12" ht="68.25">
      <c r="A144" s="1" t="str" cm="1">
        <f t="array" aca="1" ref="A144" ca="1">INDIRECT(_xlfn.CONCAT("$I", $F144))</f>
        <v>The Lost Caverns of Ixalan Tokens TLCI</v>
      </c>
      <c r="B144" s="1" cm="1">
        <f t="array" aca="1" ref="B144" ca="1">INDIRECT(_xlfn.CONCAT("$J", $F144))</f>
        <v>19</v>
      </c>
      <c r="C144" s="1" cm="1">
        <f t="array" aca="1" ref="C144" ca="1">INDIRECT(_xlfn.CONCAT("$K", $F144))</f>
        <v>45247</v>
      </c>
      <c r="D144" s="1"/>
      <c r="E144" s="1" t="str" cm="1">
        <f t="array" aca="1" ref="E144" ca="1">INDIRECT(_xlfn.CONCAT("$L", $F144))</f>
        <v>en es fr de it pt ja ko ru 汉语 漢語</v>
      </c>
      <c r="F144" s="1" cm="1">
        <f t="array" aca="1" ref="F144" ca="1">IF(NOT(OR(ISERROR(INDIRECT(_xlfn.CONCAT("$I", $F143 + 1))), ISBLANK(INDIRECT(_xlfn.CONCAT("$I", $F143 + 1))))), $F143 + 1, IF(NOT(ISBLANK(INDIRECT(_xlfn.CONCAT("$I", $F143 + 2)))), $F143 + 2, ""))</f>
        <v>232</v>
      </c>
      <c r="I144" s="8" t="s">
        <v>263</v>
      </c>
      <c r="J144" s="8">
        <v>8</v>
      </c>
      <c r="K144" s="9">
        <v>45478</v>
      </c>
      <c r="L144" s="8" t="s">
        <v>174</v>
      </c>
    </row>
    <row r="145" spans="1:12" ht="59.25">
      <c r="A145" s="1" t="str" cm="1">
        <f t="array" aca="1" ref="A145" ca="1">INDIRECT(_xlfn.CONCAT("$I", $F145))</f>
        <v>Alchemy: Ixalan YLCI</v>
      </c>
      <c r="B145" s="1" cm="1">
        <f t="array" aca="1" ref="B145" ca="1">INDIRECT(_xlfn.CONCAT("$J", $F145))</f>
        <v>30</v>
      </c>
      <c r="C145" s="1" cm="1">
        <f t="array" aca="1" ref="C145" ca="1">INDIRECT(_xlfn.CONCAT("$K", $F145))</f>
        <v>45265</v>
      </c>
      <c r="D145" s="1"/>
      <c r="E145" s="1" t="str" cm="1">
        <f t="array" aca="1" ref="E145" ca="1">INDIRECT(_xlfn.CONCAT("$L", $F145))</f>
        <v>en es fr de it pt ja ko ru 汉语 漢語</v>
      </c>
      <c r="F145" s="1" cm="1">
        <f t="array" aca="1" ref="F145" ca="1">IF(NOT(OR(ISERROR(INDIRECT(_xlfn.CONCAT("$I", $F144 + 1))), ISBLANK(INDIRECT(_xlfn.CONCAT("$I", $F144 + 1))))), $F144 + 1, IF(NOT(ISBLANK(INDIRECT(_xlfn.CONCAT("$I", $F144 + 2)))), $F144 + 2, ""))</f>
        <v>234</v>
      </c>
    </row>
    <row r="146" spans="1:12" ht="59.25">
      <c r="A146" s="1" t="str" cm="1">
        <f t="array" aca="1" ref="A146" ca="1">INDIRECT(_xlfn.CONCAT("$I", $F146))</f>
        <v>The Lost Caverns of Ixalan Art Series ALCI</v>
      </c>
      <c r="B146" s="1" cm="1">
        <f t="array" aca="1" ref="B146" ca="1">INDIRECT(_xlfn.CONCAT("$J", $F146))</f>
        <v>81</v>
      </c>
      <c r="C146" s="1" cm="1">
        <f t="array" aca="1" ref="C146" ca="1">INDIRECT(_xlfn.CONCAT("$K", $F146))</f>
        <v>45247</v>
      </c>
      <c r="D146" s="1"/>
      <c r="E146" s="1" t="str" cm="1">
        <f t="array" aca="1" ref="E146" ca="1">INDIRECT(_xlfn.CONCAT("$L", $F146))</f>
        <v>en es fr de it pt ja ko ru 汉语 漢語</v>
      </c>
      <c r="F146" s="1" cm="1">
        <f t="array" aca="1" ref="F146" ca="1">IF(NOT(OR(ISERROR(INDIRECT(_xlfn.CONCAT("$I", $F145 + 1))), ISBLANK(INDIRECT(_xlfn.CONCAT("$I", $F145 + 1))))), $F145 + 1, IF(NOT(ISBLANK(INDIRECT(_xlfn.CONCAT("$I", $F145 + 2)))), $F145 + 2, ""))</f>
        <v>236</v>
      </c>
      <c r="I146" s="8" t="s">
        <v>264</v>
      </c>
      <c r="J146" s="8">
        <v>3</v>
      </c>
      <c r="K146" s="9">
        <v>45478</v>
      </c>
      <c r="L146" s="8" t="s">
        <v>174</v>
      </c>
    </row>
    <row r="147" spans="1:12" ht="68.25">
      <c r="A147" s="1" t="str" cm="1">
        <f t="array" aca="1" ref="A147" ca="1">INDIRECT(_xlfn.CONCAT("$I", $F147))</f>
        <v>The Lost Caverns of Ixalan Substitute Cards SLCI</v>
      </c>
      <c r="B147" s="1" cm="1">
        <f t="array" aca="1" ref="B147" ca="1">INDIRECT(_xlfn.CONCAT("$J", $F147))</f>
        <v>1</v>
      </c>
      <c r="C147" s="1" cm="1">
        <f t="array" aca="1" ref="C147" ca="1">INDIRECT(_xlfn.CONCAT("$K", $F147))</f>
        <v>45247</v>
      </c>
      <c r="D147" s="1"/>
      <c r="E147" s="1" t="str" cm="1">
        <f t="array" aca="1" ref="E147" ca="1">INDIRECT(_xlfn.CONCAT("$L", $F147))</f>
        <v>en es fr de it pt ja ko ru 汉语 漢語</v>
      </c>
      <c r="F147" s="1" cm="1">
        <f t="array" aca="1" ref="F147" ca="1">IF(NOT(OR(ISERROR(INDIRECT(_xlfn.CONCAT("$I", $F146 + 1))), ISBLANK(INDIRECT(_xlfn.CONCAT("$I", $F146 + 1))))), $F146 + 1, IF(NOT(ISBLANK(INDIRECT(_xlfn.CONCAT("$I", $F146 + 2)))), $F146 + 2, ""))</f>
        <v>238</v>
      </c>
    </row>
    <row r="148" spans="1:12" ht="59.25">
      <c r="A148" s="1" t="str" cm="1">
        <f t="array" aca="1" ref="A148" ca="1">INDIRECT(_xlfn.CONCAT("$I", $F148))</f>
        <v>Jurassic World Collection REX</v>
      </c>
      <c r="B148" s="1" cm="1">
        <f t="array" aca="1" ref="B148" ca="1">INDIRECT(_xlfn.CONCAT("$J", $F148))</f>
        <v>45</v>
      </c>
      <c r="C148" s="1" cm="1">
        <f t="array" aca="1" ref="C148" ca="1">INDIRECT(_xlfn.CONCAT("$K", $F148))</f>
        <v>45247</v>
      </c>
      <c r="D148" s="1"/>
      <c r="E148" s="1" t="str" cm="1">
        <f t="array" aca="1" ref="E148" ca="1">INDIRECT(_xlfn.CONCAT("$L", $F148))</f>
        <v>en es fr de it pt ja ko ru 汉语 漢語</v>
      </c>
      <c r="F148" s="1" cm="1">
        <f t="array" aca="1" ref="F148" ca="1">IF(NOT(OR(ISERROR(INDIRECT(_xlfn.CONCAT("$I", $F147 + 1))), ISBLANK(INDIRECT(_xlfn.CONCAT("$I", $F147 + 1))))), $F147 + 1, IF(NOT(ISBLANK(INDIRECT(_xlfn.CONCAT("$I", $F147 + 2)))), $F147 + 2, ""))</f>
        <v>240</v>
      </c>
      <c r="I148" s="8" t="s">
        <v>265</v>
      </c>
      <c r="J148" s="8">
        <v>20</v>
      </c>
      <c r="K148" s="9">
        <v>45478</v>
      </c>
      <c r="L148" s="8" t="s">
        <v>174</v>
      </c>
    </row>
    <row r="149" spans="1:12" ht="68.25">
      <c r="A149" s="1" t="str" cm="1">
        <f t="array" aca="1" ref="A149" ca="1">INDIRECT(_xlfn.CONCAT("$I", $F149))</f>
        <v>Jurassic World Collection Tokens TREX</v>
      </c>
      <c r="B149" s="1" cm="1">
        <f t="array" aca="1" ref="B149" ca="1">INDIRECT(_xlfn.CONCAT("$J", $F149))</f>
        <v>2</v>
      </c>
      <c r="C149" s="1" cm="1">
        <f t="array" aca="1" ref="C149" ca="1">INDIRECT(_xlfn.CONCAT("$K", $F149))</f>
        <v>45247</v>
      </c>
      <c r="D149" s="1"/>
      <c r="E149" s="1" t="str" cm="1">
        <f t="array" aca="1" ref="E149" ca="1">INDIRECT(_xlfn.CONCAT("$L", $F149))</f>
        <v>en es fr de it pt ja ko ru 汉语 漢語</v>
      </c>
      <c r="F149" s="1" cm="1">
        <f t="array" aca="1" ref="F149" ca="1">IF(NOT(OR(ISERROR(INDIRECT(_xlfn.CONCAT("$I", $F148 + 1))), ISBLANK(INDIRECT(_xlfn.CONCAT("$I", $F148 + 1))))), $F148 + 1, IF(NOT(ISBLANK(INDIRECT(_xlfn.CONCAT("$I", $F148 + 2)))), $F148 + 2, ""))</f>
        <v>242</v>
      </c>
    </row>
    <row r="150" spans="1:12" ht="68.25">
      <c r="A150" s="1" t="str" cm="1">
        <f t="array" aca="1" ref="A150" ca="1">INDIRECT(_xlfn.CONCAT("$I", $F150))</f>
        <v>The Lost Caverns of Ixalan Commander LCC</v>
      </c>
      <c r="B150" s="1" cm="1">
        <f t="array" aca="1" ref="B150" ca="1">INDIRECT(_xlfn.CONCAT("$J", $F150))</f>
        <v>370</v>
      </c>
      <c r="C150" s="1" cm="1">
        <f t="array" aca="1" ref="C150" ca="1">INDIRECT(_xlfn.CONCAT("$K", $F150))</f>
        <v>45247</v>
      </c>
      <c r="D150" s="1"/>
      <c r="E150" s="1" t="str" cm="1">
        <f t="array" aca="1" ref="E150" ca="1">INDIRECT(_xlfn.CONCAT("$L", $F150))</f>
        <v>en es fr de it pt ja ko ru 汉语 漢語</v>
      </c>
      <c r="F150" s="1" cm="1">
        <f t="array" aca="1" ref="F150" ca="1">IF(NOT(OR(ISERROR(INDIRECT(_xlfn.CONCAT("$I", $F149 + 1))), ISBLANK(INDIRECT(_xlfn.CONCAT("$I", $F149 + 1))))), $F149 + 1, IF(NOT(ISBLANK(INDIRECT(_xlfn.CONCAT("$I", $F149 + 2)))), $F149 + 2, ""))</f>
        <v>244</v>
      </c>
      <c r="I150" s="8" t="s">
        <v>1185</v>
      </c>
      <c r="J150" s="8">
        <v>528</v>
      </c>
      <c r="K150" s="9">
        <v>45457</v>
      </c>
      <c r="L150" t="s">
        <v>174</v>
      </c>
    </row>
    <row r="151" spans="1:12" ht="81">
      <c r="A151" s="1" t="str" cm="1">
        <f t="array" aca="1" ref="A151" ca="1">INDIRECT(_xlfn.CONCAT("$I", $F151))</f>
        <v>The Lost Caverns of Ixalan Commander Tokens TLCC</v>
      </c>
      <c r="B151" s="1" cm="1">
        <f t="array" aca="1" ref="B151" ca="1">INDIRECT(_xlfn.CONCAT("$J", $F151))</f>
        <v>18</v>
      </c>
      <c r="C151" s="1" cm="1">
        <f t="array" aca="1" ref="C151" ca="1">INDIRECT(_xlfn.CONCAT("$K", $F151))</f>
        <v>45247</v>
      </c>
      <c r="D151" s="1"/>
      <c r="E151" s="1" t="str" cm="1">
        <f t="array" aca="1" ref="E151" ca="1">INDIRECT(_xlfn.CONCAT("$L", $F151))</f>
        <v>en es fr de it pt ja ko ru 汉语 漢語</v>
      </c>
      <c r="F151" s="1" cm="1">
        <f t="array" aca="1" ref="F151" ca="1">IF(NOT(OR(ISERROR(INDIRECT(_xlfn.CONCAT("$I", $F150 + 1))), ISBLANK(INDIRECT(_xlfn.CONCAT("$I", $F150 + 1))))), $F150 + 1, IF(NOT(ISBLANK(INDIRECT(_xlfn.CONCAT("$I", $F150 + 2)))), $F150 + 2, ""))</f>
        <v>246</v>
      </c>
    </row>
    <row r="152" spans="1:12" ht="59.25">
      <c r="A152" s="1" t="str" cm="1">
        <f t="array" aca="1" ref="A152" ca="1">INDIRECT(_xlfn.CONCAT("$I", $F152))</f>
        <v>Doctor Who WHO</v>
      </c>
      <c r="B152" s="1" cm="1">
        <f t="array" aca="1" ref="B152" ca="1">INDIRECT(_xlfn.CONCAT("$J", $F152))</f>
        <v>1178</v>
      </c>
      <c r="C152" s="1" cm="1">
        <f t="array" aca="1" ref="C152" ca="1">INDIRECT(_xlfn.CONCAT("$K", $F152))</f>
        <v>45212</v>
      </c>
      <c r="D152" s="1"/>
      <c r="E152" s="1" t="str" cm="1">
        <f t="array" aca="1" ref="E152" ca="1">INDIRECT(_xlfn.CONCAT("$L", $F152))</f>
        <v>en es fr de it pt ja ko ru 汉语 漢語</v>
      </c>
      <c r="F152" s="1" cm="1">
        <f t="array" aca="1" ref="F152" ca="1">IF(NOT(OR(ISERROR(INDIRECT(_xlfn.CONCAT("$I", $F151 + 1))), ISBLANK(INDIRECT(_xlfn.CONCAT("$I", $F151 + 1))))), $F151 + 1, IF(NOT(ISBLANK(INDIRECT(_xlfn.CONCAT("$I", $F151 + 2)))), $F151 + 2, ""))</f>
        <v>248</v>
      </c>
      <c r="I152" s="8" t="s">
        <v>266</v>
      </c>
      <c r="J152" s="8">
        <v>85</v>
      </c>
      <c r="K152" s="9">
        <v>45457</v>
      </c>
      <c r="L152" s="8" t="s">
        <v>174</v>
      </c>
    </row>
    <row r="153" spans="1:12" ht="59.25">
      <c r="A153" s="1" t="str" cm="1">
        <f t="array" aca="1" ref="A153" ca="1">INDIRECT(_xlfn.CONCAT("$I", $F153))</f>
        <v>Doctor Who Tokens TWHO</v>
      </c>
      <c r="B153" s="1" cm="1">
        <f t="array" aca="1" ref="B153" ca="1">INDIRECT(_xlfn.CONCAT("$J", $F153))</f>
        <v>64</v>
      </c>
      <c r="C153" s="1" cm="1">
        <f t="array" aca="1" ref="C153" ca="1">INDIRECT(_xlfn.CONCAT("$K", $F153))</f>
        <v>45212</v>
      </c>
      <c r="D153" s="1"/>
      <c r="E153" s="1" t="str" cm="1">
        <f t="array" aca="1" ref="E153" ca="1">INDIRECT(_xlfn.CONCAT("$L", $F153))</f>
        <v>en es fr de it pt ja ko ru 汉语 漢語</v>
      </c>
      <c r="F153" s="1" cm="1">
        <f t="array" aca="1" ref="F153" ca="1">IF(NOT(OR(ISERROR(INDIRECT(_xlfn.CONCAT("$I", $F152 + 1))), ISBLANK(INDIRECT(_xlfn.CONCAT("$I", $F152 + 1))))), $F152 + 1, IF(NOT(ISBLANK(INDIRECT(_xlfn.CONCAT("$I", $F152 + 2)))), $F152 + 2, ""))</f>
        <v>250</v>
      </c>
    </row>
    <row r="154" spans="1:12" ht="68.25">
      <c r="A154" s="1" t="str" cm="1">
        <f t="array" aca="1" ref="A154" ca="1">INDIRECT(_xlfn.CONCAT("$I", $F154))</f>
        <v>Magic × Duel Masters Promos PMDA</v>
      </c>
      <c r="B154" s="1" cm="1">
        <f t="array" aca="1" ref="B154" ca="1">INDIRECT(_xlfn.CONCAT("$J", $F154))</f>
        <v>4</v>
      </c>
      <c r="C154" s="1" cm="1">
        <f t="array" aca="1" ref="C154" ca="1">INDIRECT(_xlfn.CONCAT("$K", $F154))</f>
        <v>45177</v>
      </c>
      <c r="D154" s="1"/>
      <c r="E154" s="1" t="str" cm="1">
        <f t="array" aca="1" ref="E154" ca="1">INDIRECT(_xlfn.CONCAT("$L", $F154))</f>
        <v>en es fr de it pt ja ko ru 汉语 漢語</v>
      </c>
      <c r="F154" s="1" cm="1">
        <f t="array" aca="1" ref="F154" ca="1">IF(NOT(OR(ISERROR(INDIRECT(_xlfn.CONCAT("$I", $F153 + 1))), ISBLANK(INDIRECT(_xlfn.CONCAT("$I", $F153 + 1))))), $F153 + 1, IF(NOT(ISBLANK(INDIRECT(_xlfn.CONCAT("$I", $F153 + 2)))), $F153 + 2, ""))</f>
        <v>252</v>
      </c>
      <c r="I154" s="8" t="s">
        <v>267</v>
      </c>
      <c r="J154" s="8">
        <v>43</v>
      </c>
      <c r="K154" s="9">
        <v>45457</v>
      </c>
      <c r="L154" s="8" t="s">
        <v>174</v>
      </c>
    </row>
    <row r="155" spans="1:12" ht="59.25">
      <c r="A155" s="1" t="str" cm="1">
        <f t="array" aca="1" ref="A155" ca="1">INDIRECT(_xlfn.CONCAT("$I", $F155))</f>
        <v>Wilds of Eldraine WOE</v>
      </c>
      <c r="B155" s="1" cm="1">
        <f t="array" aca="1" ref="B155" ca="1">INDIRECT(_xlfn.CONCAT("$J", $F155))</f>
        <v>381</v>
      </c>
      <c r="C155" s="1" cm="1">
        <f t="array" aca="1" ref="C155" ca="1">INDIRECT(_xlfn.CONCAT("$K", $F155))</f>
        <v>45177</v>
      </c>
      <c r="D155" s="1"/>
      <c r="E155" s="1" t="str" cm="1">
        <f t="array" aca="1" ref="E155" ca="1">INDIRECT(_xlfn.CONCAT("$L", $F155))</f>
        <v>en es fr de it pt ja ko ru 汉语 漢語</v>
      </c>
      <c r="F155" s="1" cm="1">
        <f t="array" aca="1" ref="F155" ca="1">IF(NOT(OR(ISERROR(INDIRECT(_xlfn.CONCAT("$I", $F154 + 1))), ISBLANK(INDIRECT(_xlfn.CONCAT("$I", $F154 + 1))))), $F154 + 1, IF(NOT(ISBLANK(INDIRECT(_xlfn.CONCAT("$I", $F154 + 2)))), $F154 + 2, ""))</f>
        <v>254</v>
      </c>
    </row>
    <row r="156" spans="1:12" ht="59.25">
      <c r="A156" s="1" t="str" cm="1">
        <f t="array" aca="1" ref="A156" ca="1">INDIRECT(_xlfn.CONCAT("$I", $F156))</f>
        <v>Wilds of Eldraine: Enchanting Tales WOT</v>
      </c>
      <c r="B156" s="1" cm="1">
        <f t="array" aca="1" ref="B156" ca="1">INDIRECT(_xlfn.CONCAT("$J", $F156))</f>
        <v>103</v>
      </c>
      <c r="C156" s="1" cm="1">
        <f t="array" aca="1" ref="C156" ca="1">INDIRECT(_xlfn.CONCAT("$K", $F156))</f>
        <v>45177</v>
      </c>
      <c r="D156" s="1"/>
      <c r="E156" s="1" t="str" cm="1">
        <f t="array" aca="1" ref="E156" ca="1">INDIRECT(_xlfn.CONCAT("$L", $F156))</f>
        <v>en es fr de it pt ja ko ru 汉语 漢語</v>
      </c>
      <c r="F156" s="1" cm="1">
        <f t="array" aca="1" ref="F156" ca="1">IF(NOT(OR(ISERROR(INDIRECT(_xlfn.CONCAT("$I", $F155 + 1))), ISBLANK(INDIRECT(_xlfn.CONCAT("$I", $F155 + 1))))), $F155 + 1, IF(NOT(ISBLANK(INDIRECT(_xlfn.CONCAT("$I", $F155 + 2)))), $F155 + 2, ""))</f>
        <v>256</v>
      </c>
      <c r="I156" s="8" t="s">
        <v>268</v>
      </c>
      <c r="J156" s="8">
        <v>1</v>
      </c>
      <c r="K156" s="9">
        <v>45457</v>
      </c>
      <c r="L156" s="8" t="s">
        <v>174</v>
      </c>
    </row>
    <row r="157" spans="1:12" ht="59.25">
      <c r="A157" s="1" t="str" cm="1">
        <f t="array" aca="1" ref="A157" ca="1">INDIRECT(_xlfn.CONCAT("$I", $F157))</f>
        <v>Wilds of Eldraine Promos PWOE</v>
      </c>
      <c r="B157" s="1" cm="1">
        <f t="array" aca="1" ref="B157" ca="1">INDIRECT(_xlfn.CONCAT("$J", $F157))</f>
        <v>160</v>
      </c>
      <c r="C157" s="1" cm="1">
        <f t="array" aca="1" ref="C157" ca="1">INDIRECT(_xlfn.CONCAT("$K", $F157))</f>
        <v>45177</v>
      </c>
      <c r="D157" s="1"/>
      <c r="E157" s="1" t="str" cm="1">
        <f t="array" aca="1" ref="E157" ca="1">INDIRECT(_xlfn.CONCAT("$L", $F157))</f>
        <v>en es fr de it pt ja ko ru 汉语 漢語</v>
      </c>
      <c r="F157" s="1" cm="1">
        <f t="array" aca="1" ref="F157" ca="1">IF(NOT(OR(ISERROR(INDIRECT(_xlfn.CONCAT("$I", $F156 + 1))), ISBLANK(INDIRECT(_xlfn.CONCAT("$I", $F156 + 1))))), $F156 + 1, IF(NOT(ISBLANK(INDIRECT(_xlfn.CONCAT("$I", $F156 + 2)))), $F156 + 2, ""))</f>
        <v>258</v>
      </c>
    </row>
    <row r="158" spans="1:12" ht="59.25">
      <c r="A158" s="1" t="str" cm="1">
        <f t="array" aca="1" ref="A158" ca="1">INDIRECT(_xlfn.CONCAT("$I", $F158))</f>
        <v>Wilds of Eldraine Tokens TWOE</v>
      </c>
      <c r="B158" s="1" cm="1">
        <f t="array" aca="1" ref="B158" ca="1">INDIRECT(_xlfn.CONCAT("$J", $F158))</f>
        <v>18</v>
      </c>
      <c r="C158" s="1" cm="1">
        <f t="array" aca="1" ref="C158" ca="1">INDIRECT(_xlfn.CONCAT("$K", $F158))</f>
        <v>45177</v>
      </c>
      <c r="D158" s="1"/>
      <c r="E158" s="1" t="str" cm="1">
        <f t="array" aca="1" ref="E158" ca="1">INDIRECT(_xlfn.CONCAT("$L", $F158))</f>
        <v>en es fr de it pt ja ko ru 汉语 漢語</v>
      </c>
      <c r="F158" s="1" cm="1">
        <f t="array" aca="1" ref="F158" ca="1">IF(NOT(OR(ISERROR(INDIRECT(_xlfn.CONCAT("$I", $F157 + 1))), ISBLANK(INDIRECT(_xlfn.CONCAT("$I", $F157 + 1))))), $F157 + 1, IF(NOT(ISBLANK(INDIRECT(_xlfn.CONCAT("$I", $F157 + 2)))), $F157 + 2, ""))</f>
        <v>260</v>
      </c>
      <c r="I158" s="8" t="s">
        <v>269</v>
      </c>
      <c r="J158" s="8">
        <v>398</v>
      </c>
      <c r="K158" s="9">
        <v>45457</v>
      </c>
      <c r="L158" t="s">
        <v>174</v>
      </c>
    </row>
    <row r="159" spans="1:12" ht="59.25">
      <c r="A159" s="1" t="str" cm="1">
        <f t="array" aca="1" ref="A159" ca="1">INDIRECT(_xlfn.CONCAT("$I", $F159))</f>
        <v>Alchemy: Wilds of Eldraine YWOE</v>
      </c>
      <c r="B159" s="1" cm="1">
        <f t="array" aca="1" ref="B159" ca="1">INDIRECT(_xlfn.CONCAT("$J", $F159))</f>
        <v>30</v>
      </c>
      <c r="C159" s="1" cm="1">
        <f t="array" aca="1" ref="C159" ca="1">INDIRECT(_xlfn.CONCAT("$K", $F159))</f>
        <v>45209</v>
      </c>
      <c r="D159" s="1"/>
      <c r="E159" s="1" t="str" cm="1">
        <f t="array" aca="1" ref="E159" ca="1">INDIRECT(_xlfn.CONCAT("$L", $F159))</f>
        <v>en es fr de it pt ja ko ru 汉语 漢語</v>
      </c>
      <c r="F159" s="1" cm="1">
        <f t="array" aca="1" ref="F159" ca="1">IF(NOT(OR(ISERROR(INDIRECT(_xlfn.CONCAT("$I", $F158 + 1))), ISBLANK(INDIRECT(_xlfn.CONCAT("$I", $F158 + 1))))), $F158 + 1, IF(NOT(ISBLANK(INDIRECT(_xlfn.CONCAT("$I", $F158 + 2)))), $F158 + 2, ""))</f>
        <v>262</v>
      </c>
    </row>
    <row r="160" spans="1:12" ht="59.25">
      <c r="A160" s="1" t="str" cm="1">
        <f t="array" aca="1" ref="A160" ca="1">INDIRECT(_xlfn.CONCAT("$I", $F160))</f>
        <v>Wilds of Eldraine Commander WOC</v>
      </c>
      <c r="B160" s="1" cm="1">
        <f t="array" aca="1" ref="B160" ca="1">INDIRECT(_xlfn.CONCAT("$J", $F160))</f>
        <v>173</v>
      </c>
      <c r="C160" s="1" cm="1">
        <f t="array" aca="1" ref="C160" ca="1">INDIRECT(_xlfn.CONCAT("$K", $F160))</f>
        <v>45177</v>
      </c>
      <c r="D160" s="1"/>
      <c r="E160" s="1" t="str" cm="1">
        <f t="array" aca="1" ref="E160" ca="1">INDIRECT(_xlfn.CONCAT("$L", $F160))</f>
        <v>en es fr de it pt ja ko ru 汉语 漢語</v>
      </c>
      <c r="F160" s="1" cm="1">
        <f t="array" aca="1" ref="F160" ca="1">IF(NOT(OR(ISERROR(INDIRECT(_xlfn.CONCAT("$I", $F159 + 1))), ISBLANK(INDIRECT(_xlfn.CONCAT("$I", $F159 + 1))))), $F159 + 1, IF(NOT(ISBLANK(INDIRECT(_xlfn.CONCAT("$I", $F159 + 2)))), $F159 + 2, ""))</f>
        <v>264</v>
      </c>
      <c r="I160" s="8" t="s">
        <v>270</v>
      </c>
      <c r="J160" s="8">
        <v>28</v>
      </c>
      <c r="K160" s="9">
        <v>45457</v>
      </c>
      <c r="L160" s="8" t="s">
        <v>174</v>
      </c>
    </row>
    <row r="161" spans="1:12" ht="68.25">
      <c r="A161" s="1" t="str" cm="1">
        <f t="array" aca="1" ref="A161" ca="1">INDIRECT(_xlfn.CONCAT("$I", $F161))</f>
        <v>Wilds of Eldraine Commander Tokens TWOC</v>
      </c>
      <c r="B161" s="1" cm="1">
        <f t="array" aca="1" ref="B161" ca="1">INDIRECT(_xlfn.CONCAT("$J", $F161))</f>
        <v>10</v>
      </c>
      <c r="C161" s="1" cm="1">
        <f t="array" aca="1" ref="C161" ca="1">INDIRECT(_xlfn.CONCAT("$K", $F161))</f>
        <v>45177</v>
      </c>
      <c r="D161" s="1"/>
      <c r="E161" s="1" t="str" cm="1">
        <f t="array" aca="1" ref="E161" ca="1">INDIRECT(_xlfn.CONCAT("$L", $F161))</f>
        <v>en es fr de it pt ja ko ru 汉语 漢語</v>
      </c>
      <c r="F161" s="1" cm="1">
        <f t="array" aca="1" ref="F161" ca="1">IF(NOT(OR(ISERROR(INDIRECT(_xlfn.CONCAT("$I", $F160 + 1))), ISBLANK(INDIRECT(_xlfn.CONCAT("$I", $F160 + 1))))), $F160 + 1, IF(NOT(ISBLANK(INDIRECT(_xlfn.CONCAT("$I", $F160 + 2)))), $F160 + 2, ""))</f>
        <v>266</v>
      </c>
    </row>
    <row r="162" spans="1:12" ht="68.25">
      <c r="A162" s="1" t="str" cm="1">
        <f t="array" aca="1" ref="A162" ca="1">INDIRECT(_xlfn.CONCAT("$I", $F162))</f>
        <v>WOE Japanese Promo Tokens WWOE</v>
      </c>
      <c r="B162" s="1" cm="1">
        <f t="array" aca="1" ref="B162" ca="1">INDIRECT(_xlfn.CONCAT("$J", $F162))</f>
        <v>6</v>
      </c>
      <c r="C162" s="1" cm="1">
        <f t="array" aca="1" ref="C162" ca="1">INDIRECT(_xlfn.CONCAT("$K", $F162))</f>
        <v>45177</v>
      </c>
      <c r="D162" s="1"/>
      <c r="E162" s="1" t="str" cm="1">
        <f t="array" aca="1" ref="E162" ca="1">INDIRECT(_xlfn.CONCAT("$L", $F162))</f>
        <v>en es fr de it pt ja ko ru 汉语 漢語</v>
      </c>
      <c r="F162" s="1" cm="1">
        <f t="array" aca="1" ref="F162" ca="1">IF(NOT(OR(ISERROR(INDIRECT(_xlfn.CONCAT("$I", $F161 + 1))), ISBLANK(INDIRECT(_xlfn.CONCAT("$I", $F161 + 1))))), $F161 + 1, IF(NOT(ISBLANK(INDIRECT(_xlfn.CONCAT("$I", $F161 + 2)))), $F161 + 2, ""))</f>
        <v>268</v>
      </c>
      <c r="I162" s="8" t="s">
        <v>271</v>
      </c>
      <c r="J162" s="8">
        <v>54</v>
      </c>
      <c r="K162" s="9">
        <v>45457</v>
      </c>
      <c r="L162" s="8" t="s">
        <v>174</v>
      </c>
    </row>
    <row r="163" spans="1:12" ht="59.25">
      <c r="A163" s="1" t="str" cm="1">
        <f t="array" aca="1" ref="A163" ca="1">INDIRECT(_xlfn.CONCAT("$I", $F163))</f>
        <v>Wilds of Eldraine Art Series AWOE</v>
      </c>
      <c r="B163" s="1" cm="1">
        <f t="array" aca="1" ref="B163" ca="1">INDIRECT(_xlfn.CONCAT("$J", $F163))</f>
        <v>81</v>
      </c>
      <c r="C163" s="1" cm="1">
        <f t="array" aca="1" ref="C163" ca="1">INDIRECT(_xlfn.CONCAT("$K", $F163))</f>
        <v>45177</v>
      </c>
      <c r="D163" s="1"/>
      <c r="E163" s="1" t="str" cm="1">
        <f t="array" aca="1" ref="E163" ca="1">INDIRECT(_xlfn.CONCAT("$L", $F163))</f>
        <v>en es fr de it pt ja ko ru 汉语 漢語</v>
      </c>
      <c r="F163" s="1" cm="1">
        <f t="array" aca="1" ref="F163" ca="1">IF(NOT(OR(ISERROR(INDIRECT(_xlfn.CONCAT("$I", $F162 + 1))), ISBLANK(INDIRECT(_xlfn.CONCAT("$I", $F162 + 1))))), $F162 + 1, IF(NOT(ISBLANK(INDIRECT(_xlfn.CONCAT("$I", $F162 + 2)))), $F162 + 2, ""))</f>
        <v>270</v>
      </c>
    </row>
    <row r="164" spans="1:12" ht="59.25">
      <c r="A164" s="1" t="str" cm="1">
        <f t="array" aca="1" ref="A164" ca="1">INDIRECT(_xlfn.CONCAT("$I", $F164))</f>
        <v>Commander Masters CMM</v>
      </c>
      <c r="B164" s="1" cm="1">
        <f t="array" aca="1" ref="B164" ca="1">INDIRECT(_xlfn.CONCAT("$J", $F164))</f>
        <v>1067</v>
      </c>
      <c r="C164" s="1" cm="1">
        <f t="array" aca="1" ref="C164" ca="1">INDIRECT(_xlfn.CONCAT("$K", $F164))</f>
        <v>45142</v>
      </c>
      <c r="D164" s="1"/>
      <c r="E164" s="1" t="str" cm="1">
        <f t="array" aca="1" ref="E164" ca="1">INDIRECT(_xlfn.CONCAT("$L", $F164))</f>
        <v>en es fr de it pt ja ko ru 汉语 漢語</v>
      </c>
      <c r="F164" s="1" cm="1">
        <f t="array" aca="1" ref="F164" ca="1">IF(NOT(OR(ISERROR(INDIRECT(_xlfn.CONCAT("$I", $F163 + 1))), ISBLANK(INDIRECT(_xlfn.CONCAT("$I", $F163 + 1))))), $F163 + 1, IF(NOT(ISBLANK(INDIRECT(_xlfn.CONCAT("$I", $F163 + 2)))), $F163 + 2, ""))</f>
        <v>272</v>
      </c>
      <c r="I164" s="8" t="s">
        <v>272</v>
      </c>
      <c r="J164" s="8">
        <v>16</v>
      </c>
      <c r="K164" s="9">
        <v>45450</v>
      </c>
      <c r="L164" s="8" t="s">
        <v>174</v>
      </c>
    </row>
    <row r="165" spans="1:12" ht="59.25">
      <c r="A165" s="1" t="str" cm="1">
        <f t="array" aca="1" ref="A165" ca="1">INDIRECT(_xlfn.CONCAT("$I", $F165))</f>
        <v>Commander Masters Tokens TCMM</v>
      </c>
      <c r="B165" s="1" cm="1">
        <f t="array" aca="1" ref="B165" ca="1">INDIRECT(_xlfn.CONCAT("$J", $F165))</f>
        <v>81</v>
      </c>
      <c r="C165" s="1" cm="1">
        <f t="array" aca="1" ref="C165" ca="1">INDIRECT(_xlfn.CONCAT("$K", $F165))</f>
        <v>45142</v>
      </c>
      <c r="D165" s="1"/>
      <c r="E165" s="1" t="str" cm="1">
        <f t="array" aca="1" ref="E165" ca="1">INDIRECT(_xlfn.CONCAT("$L", $F165))</f>
        <v>en es fr de it pt ja ko ru 汉语 漢語</v>
      </c>
      <c r="F165" s="1" cm="1">
        <f t="array" aca="1" ref="F165" ca="1">IF(NOT(OR(ISERROR(INDIRECT(_xlfn.CONCAT("$I", $F164 + 1))), ISBLANK(INDIRECT(_xlfn.CONCAT("$I", $F164 + 1))))), $F164 + 1, IF(NOT(ISBLANK(INDIRECT(_xlfn.CONCAT("$I", $F164 + 2)))), $F164 + 2, ""))</f>
        <v>274</v>
      </c>
    </row>
    <row r="166" spans="1:12" ht="59.25">
      <c r="A166" s="1" t="str" cm="1">
        <f t="array" aca="1" ref="A166" ca="1">INDIRECT(_xlfn.CONCAT("$I", $F166))</f>
        <v>Commander Masters Art Series ACMM</v>
      </c>
      <c r="B166" s="1" cm="1">
        <f t="array" aca="1" ref="B166" ca="1">INDIRECT(_xlfn.CONCAT("$J", $F166))</f>
        <v>81</v>
      </c>
      <c r="C166" s="1" cm="1">
        <f t="array" aca="1" ref="C166" ca="1">INDIRECT(_xlfn.CONCAT("$K", $F166))</f>
        <v>45142</v>
      </c>
      <c r="D166" s="1"/>
      <c r="E166" s="1" t="str" cm="1">
        <f t="array" aca="1" ref="E166" ca="1">INDIRECT(_xlfn.CONCAT("$L", $F166))</f>
        <v>en es fr de it pt ja ko ru 汉语 漢語</v>
      </c>
      <c r="F166" s="1" cm="1">
        <f t="array" aca="1" ref="F166" ca="1">IF(NOT(OR(ISERROR(INDIRECT(_xlfn.CONCAT("$I", $F165 + 1))), ISBLANK(INDIRECT(_xlfn.CONCAT("$I", $F165 + 1))))), $F165 + 1, IF(NOT(ISBLANK(INDIRECT(_xlfn.CONCAT("$I", $F165 + 2)))), $F165 + 2, ""))</f>
        <v>276</v>
      </c>
      <c r="I166" s="8" t="s">
        <v>1272</v>
      </c>
      <c r="J166" s="8">
        <v>374</v>
      </c>
      <c r="K166" s="9">
        <v>45401</v>
      </c>
      <c r="L166" t="s">
        <v>174</v>
      </c>
    </row>
    <row r="167" spans="1:12" ht="59.25">
      <c r="A167" s="1" t="str" cm="1">
        <f t="array" aca="1" ref="A167" ca="1">INDIRECT(_xlfn.CONCAT("$I", $F167))</f>
        <v>2022 Heroes of the Realm PH22</v>
      </c>
      <c r="B167" s="1" cm="1">
        <f t="array" aca="1" ref="B167" ca="1">INDIRECT(_xlfn.CONCAT("$J", $F167))</f>
        <v>5</v>
      </c>
      <c r="C167" s="1" cm="1">
        <f t="array" aca="1" ref="C167" ca="1">INDIRECT(_xlfn.CONCAT("$K", $F167))</f>
        <v>45139</v>
      </c>
      <c r="D167" s="1"/>
      <c r="E167" s="1" t="str" cm="1">
        <f t="array" aca="1" ref="E167" ca="1">INDIRECT(_xlfn.CONCAT("$L", $F167))</f>
        <v>en es fr de it pt ja ko ru 汉语 漢語</v>
      </c>
      <c r="F167" s="1" cm="1">
        <f t="array" aca="1" ref="F167" ca="1">IF(NOT(OR(ISERROR(INDIRECT(_xlfn.CONCAT("$I", $F166 + 1))), ISBLANK(INDIRECT(_xlfn.CONCAT("$I", $F166 + 1))))), $F166 + 1, IF(NOT(ISBLANK(INDIRECT(_xlfn.CONCAT("$I", $F166 + 2)))), $F166 + 2, ""))</f>
        <v>278</v>
      </c>
    </row>
    <row r="168" spans="1:12" ht="59.25">
      <c r="A168" s="1" t="str" cm="1">
        <f t="array" aca="1" ref="A168" ca="1">INDIRECT(_xlfn.CONCAT("$I", $F168))</f>
        <v>Explorer Anthology 3 EA3</v>
      </c>
      <c r="B168" s="1" cm="1">
        <f t="array" aca="1" ref="B168" ca="1">INDIRECT(_xlfn.CONCAT("$J", $F168))</f>
        <v>25</v>
      </c>
      <c r="C168" s="1" cm="1">
        <f t="array" aca="1" ref="C168" ca="1">INDIRECT(_xlfn.CONCAT("$K", $F168))</f>
        <v>45125</v>
      </c>
      <c r="D168" s="1"/>
      <c r="E168" s="1" t="str" cm="1">
        <f t="array" aca="1" ref="E168" ca="1">INDIRECT(_xlfn.CONCAT("$L", $F168))</f>
        <v>en es fr de it pt ja ko ru 汉语 漢語</v>
      </c>
      <c r="F168" s="1" cm="1">
        <f t="array" aca="1" ref="F168" ca="1">IF(NOT(OR(ISERROR(INDIRECT(_xlfn.CONCAT("$I", $F167 + 1))), ISBLANK(INDIRECT(_xlfn.CONCAT("$I", $F167 + 1))))), $F167 + 1, IF(NOT(ISBLANK(INDIRECT(_xlfn.CONCAT("$I", $F167 + 2)))), $F167 + 2, ""))</f>
        <v>280</v>
      </c>
      <c r="I168" s="8" t="s">
        <v>273</v>
      </c>
      <c r="J168" s="8">
        <v>80</v>
      </c>
      <c r="K168" s="9">
        <v>45401</v>
      </c>
      <c r="L168" t="s">
        <v>174</v>
      </c>
    </row>
    <row r="169" spans="1:12" ht="59.25">
      <c r="A169" s="1" t="str" cm="1">
        <f t="array" aca="1" ref="A169" ca="1">INDIRECT(_xlfn.CONCAT("$I", $F169))</f>
        <v>Historic Anthology 7 HA7</v>
      </c>
      <c r="B169" s="1" cm="1">
        <f t="array" aca="1" ref="B169" ca="1">INDIRECT(_xlfn.CONCAT("$J", $F169))</f>
        <v>25</v>
      </c>
      <c r="C169" s="1" cm="1">
        <f t="array" aca="1" ref="C169" ca="1">INDIRECT(_xlfn.CONCAT("$K", $F169))</f>
        <v>45125</v>
      </c>
      <c r="D169" s="1"/>
      <c r="E169" s="1" t="str" cm="1">
        <f t="array" aca="1" ref="E169" ca="1">INDIRECT(_xlfn.CONCAT("$L", $F169))</f>
        <v>en es fr de it pt ja ko ru 汉语 漢語</v>
      </c>
      <c r="F169" s="1" cm="1">
        <f t="array" aca="1" ref="F169" ca="1">IF(NOT(OR(ISERROR(INDIRECT(_xlfn.CONCAT("$I", $F168 + 1))), ISBLANK(INDIRECT(_xlfn.CONCAT("$I", $F168 + 1))))), $F168 + 1, IF(NOT(ISBLANK(INDIRECT(_xlfn.CONCAT("$I", $F168 + 2)))), $F168 + 2, ""))</f>
        <v>282</v>
      </c>
    </row>
    <row r="170" spans="1:12" ht="59.25">
      <c r="A170" s="1" t="str" cm="1">
        <f t="array" aca="1" ref="A170" ca="1">INDIRECT(_xlfn.CONCAT("$I", $F170))</f>
        <v>MagicFest 2023 PF23</v>
      </c>
      <c r="B170" s="1" cm="1">
        <f t="array" aca="1" ref="B170" ca="1">INDIRECT(_xlfn.CONCAT("$J", $F170))</f>
        <v>4</v>
      </c>
      <c r="C170" s="1" cm="1">
        <f t="array" aca="1" ref="C170" ca="1">INDIRECT(_xlfn.CONCAT("$K", $F170))</f>
        <v>45108</v>
      </c>
      <c r="D170" s="1"/>
      <c r="E170" s="1" t="str" cm="1">
        <f t="array" aca="1" ref="E170" ca="1">INDIRECT(_xlfn.CONCAT("$L", $F170))</f>
        <v>en es fr de it pt ja ko ru 汉语 漢語</v>
      </c>
      <c r="F170" s="1" cm="1">
        <f t="array" aca="1" ref="F170" ca="1">IF(NOT(OR(ISERROR(INDIRECT(_xlfn.CONCAT("$I", $F169 + 1))), ISBLANK(INDIRECT(_xlfn.CONCAT("$I", $F169 + 1))))), $F169 + 1, IF(NOT(ISBLANK(INDIRECT(_xlfn.CONCAT("$I", $F169 + 2)))), $F169 + 2, ""))</f>
        <v>284</v>
      </c>
      <c r="I170" s="8" t="s">
        <v>274</v>
      </c>
      <c r="J170" s="8">
        <v>5</v>
      </c>
      <c r="K170" s="9">
        <v>45401</v>
      </c>
      <c r="L170" s="8" t="s">
        <v>174</v>
      </c>
    </row>
    <row r="171" spans="1:12" ht="68.25">
      <c r="A171" s="1" t="str" cm="1">
        <f t="array" aca="1" ref="A171" ca="1">INDIRECT(_xlfn.CONCAT("$I", $F171))</f>
        <v>The Lord of the Rings: Tales of Middle-earth LTR</v>
      </c>
      <c r="B171" s="1" cm="1">
        <f t="array" aca="1" ref="B171" ca="1">INDIRECT(_xlfn.CONCAT("$J", $F171))</f>
        <v>856</v>
      </c>
      <c r="C171" s="1" cm="1">
        <f t="array" aca="1" ref="C171" ca="1">INDIRECT(_xlfn.CONCAT("$K", $F171))</f>
        <v>45100</v>
      </c>
      <c r="D171" s="1"/>
      <c r="E171" s="1" t="str" cm="1">
        <f t="array" aca="1" ref="E171" ca="1">INDIRECT(_xlfn.CONCAT("$L", $F171))</f>
        <v>en es fr de it pt ja ko ru 汉语 漢語</v>
      </c>
      <c r="F171" s="1" cm="1">
        <f t="array" aca="1" ref="F171" ca="1">IF(NOT(OR(ISERROR(INDIRECT(_xlfn.CONCAT("$I", $F170 + 1))), ISBLANK(INDIRECT(_xlfn.CONCAT("$I", $F170 + 1))))), $F170 + 1, IF(NOT(ISBLANK(INDIRECT(_xlfn.CONCAT("$I", $F170 + 2)))), $F170 + 2, ""))</f>
        <v>286</v>
      </c>
    </row>
    <row r="172" spans="1:12" ht="68.25">
      <c r="A172" s="1" t="str" cm="1">
        <f t="array" aca="1" ref="A172" ca="1">INDIRECT(_xlfn.CONCAT("$I", $F172))</f>
        <v>Tales of Middle-earth Promos PLTR</v>
      </c>
      <c r="B172" s="1" cm="1">
        <f t="array" aca="1" ref="B172" ca="1">INDIRECT(_xlfn.CONCAT("$J", $F172))</f>
        <v>86</v>
      </c>
      <c r="C172" s="1" cm="1">
        <f t="array" aca="1" ref="C172" ca="1">INDIRECT(_xlfn.CONCAT("$K", $F172))</f>
        <v>45100</v>
      </c>
      <c r="D172" s="1"/>
      <c r="E172" s="1" t="str" cm="1">
        <f t="array" aca="1" ref="E172" ca="1">INDIRECT(_xlfn.CONCAT("$L", $F172))</f>
        <v>en es fr de it pt ja ko ru 汉语 漢語</v>
      </c>
      <c r="F172" s="1" cm="1">
        <f t="array" aca="1" ref="F172" ca="1">IF(NOT(OR(ISERROR(INDIRECT(_xlfn.CONCAT("$I", $F171 + 1))), ISBLANK(INDIRECT(_xlfn.CONCAT("$I", $F171 + 1))))), $F171 + 1, IF(NOT(ISBLANK(INDIRECT(_xlfn.CONCAT("$I", $F171 + 2)))), $F171 + 2, ""))</f>
        <v>288</v>
      </c>
      <c r="I172" s="8" t="s">
        <v>275</v>
      </c>
      <c r="J172" s="8">
        <v>160</v>
      </c>
      <c r="K172" s="9">
        <v>45401</v>
      </c>
      <c r="L172" s="8" t="s">
        <v>174</v>
      </c>
    </row>
    <row r="173" spans="1:12" ht="68.25">
      <c r="A173" s="1" t="str" cm="1">
        <f t="array" aca="1" ref="A173" ca="1">INDIRECT(_xlfn.CONCAT("$I", $F173))</f>
        <v>Tales of Middle-earth Tokens TLTR</v>
      </c>
      <c r="B173" s="1" cm="1">
        <f t="array" aca="1" ref="B173" ca="1">INDIRECT(_xlfn.CONCAT("$J", $F173))</f>
        <v>25</v>
      </c>
      <c r="C173" s="1" cm="1">
        <f t="array" aca="1" ref="C173" ca="1">INDIRECT(_xlfn.CONCAT("$K", $F173))</f>
        <v>45100</v>
      </c>
      <c r="D173" s="1"/>
      <c r="E173" s="1" t="str" cm="1">
        <f t="array" aca="1" ref="E173" ca="1">INDIRECT(_xlfn.CONCAT("$L", $F173))</f>
        <v>en es fr de it pt ja ko ru 汉语 漢語</v>
      </c>
      <c r="F173" s="1" cm="1">
        <f t="array" aca="1" ref="F173" ca="1">IF(NOT(OR(ISERROR(INDIRECT(_xlfn.CONCAT("$I", $F172 + 1))), ISBLANK(INDIRECT(_xlfn.CONCAT("$I", $F172 + 1))))), $F172 + 1, IF(NOT(ISBLANK(INDIRECT(_xlfn.CONCAT("$I", $F172 + 2)))), $F172 + 2, ""))</f>
        <v>290</v>
      </c>
    </row>
    <row r="174" spans="1:12" ht="81">
      <c r="A174" s="1" t="str" cm="1">
        <f t="array" aca="1" ref="A174" ca="1">INDIRECT(_xlfn.CONCAT("$I", $F174))</f>
        <v>Tales of Middle-earth Deluxe Commander Kit PLTC</v>
      </c>
      <c r="B174" s="1" cm="1">
        <f t="array" aca="1" ref="B174" ca="1">INDIRECT(_xlfn.CONCAT("$J", $F174))</f>
        <v>4</v>
      </c>
      <c r="C174" s="1" cm="1">
        <f t="array" aca="1" ref="C174" ca="1">INDIRECT(_xlfn.CONCAT("$K", $F174))</f>
        <v>45581</v>
      </c>
      <c r="D174" s="1"/>
      <c r="E174" s="1" t="str" cm="1">
        <f t="array" aca="1" ref="E174" ca="1">INDIRECT(_xlfn.CONCAT("$L", $F174))</f>
        <v>en es fr de it pt ja ko ru 汉语 漢語</v>
      </c>
      <c r="F174" s="1" cm="1">
        <f t="array" aca="1" ref="F174" ca="1">IF(NOT(OR(ISERROR(INDIRECT(_xlfn.CONCAT("$I", $F173 + 1))), ISBLANK(INDIRECT(_xlfn.CONCAT("$I", $F173 + 1))))), $F173 + 1, IF(NOT(ISBLANK(INDIRECT(_xlfn.CONCAT("$I", $F173 + 2)))), $F173 + 2, ""))</f>
        <v>292</v>
      </c>
      <c r="I174" s="8" t="s">
        <v>276</v>
      </c>
      <c r="J174" s="8">
        <v>19</v>
      </c>
      <c r="K174" s="9">
        <v>45401</v>
      </c>
      <c r="L174" s="8" t="s">
        <v>174</v>
      </c>
    </row>
    <row r="175" spans="1:12" ht="68.25">
      <c r="A175" s="1" t="str" cm="1">
        <f t="array" aca="1" ref="A175" ca="1">INDIRECT(_xlfn.CONCAT("$I", $F175))</f>
        <v>Tales of Middle-earth Commander LTC</v>
      </c>
      <c r="B175" s="1" cm="1">
        <f t="array" aca="1" ref="B175" ca="1">INDIRECT(_xlfn.CONCAT("$J", $F175))</f>
        <v>591</v>
      </c>
      <c r="C175" s="1" cm="1">
        <f t="array" aca="1" ref="C175" ca="1">INDIRECT(_xlfn.CONCAT("$K", $F175))</f>
        <v>45100</v>
      </c>
      <c r="D175" s="1"/>
      <c r="E175" s="1" t="str" cm="1">
        <f t="array" aca="1" ref="E175" ca="1">INDIRECT(_xlfn.CONCAT("$L", $F175))</f>
        <v>en es fr de it pt ja ko ru 汉语 漢語</v>
      </c>
      <c r="F175" s="1" cm="1">
        <f t="array" aca="1" ref="F175" ca="1">IF(NOT(OR(ISERROR(INDIRECT(_xlfn.CONCAT("$I", $F174 + 1))), ISBLANK(INDIRECT(_xlfn.CONCAT("$I", $F174 + 1))))), $F174 + 1, IF(NOT(ISBLANK(INDIRECT(_xlfn.CONCAT("$I", $F174 + 2)))), $F174 + 2, ""))</f>
        <v>294</v>
      </c>
    </row>
    <row r="176" spans="1:12" ht="81">
      <c r="A176" s="1" t="str" cm="1">
        <f t="array" aca="1" ref="A176" ca="1">INDIRECT(_xlfn.CONCAT("$I", $F176))</f>
        <v>Tales of Middle-earth Commander Tokens TLTC</v>
      </c>
      <c r="B176" s="1" cm="1">
        <f t="array" aca="1" ref="B176" ca="1">INDIRECT(_xlfn.CONCAT("$J", $F176))</f>
        <v>15</v>
      </c>
      <c r="C176" s="1" cm="1">
        <f t="array" aca="1" ref="C176" ca="1">INDIRECT(_xlfn.CONCAT("$K", $F176))</f>
        <v>45100</v>
      </c>
      <c r="D176" s="1"/>
      <c r="E176" s="1" t="str" cm="1">
        <f t="array" aca="1" ref="E176" ca="1">INDIRECT(_xlfn.CONCAT("$L", $F176))</f>
        <v>en es fr de it pt ja ko ru 汉语 漢語</v>
      </c>
      <c r="F176" s="1" cm="1">
        <f t="array" aca="1" ref="F176" ca="1">IF(NOT(OR(ISERROR(INDIRECT(_xlfn.CONCAT("$I", $F175 + 1))), ISBLANK(INDIRECT(_xlfn.CONCAT("$I", $F175 + 1))))), $F175 + 1, IF(NOT(ISBLANK(INDIRECT(_xlfn.CONCAT("$I", $F175 + 2)))), $F175 + 2, ""))</f>
        <v>296</v>
      </c>
      <c r="I176" s="8" t="s">
        <v>277</v>
      </c>
      <c r="J176" s="8">
        <v>30</v>
      </c>
      <c r="K176" s="9">
        <v>45419</v>
      </c>
      <c r="L176" s="8" t="s">
        <v>174</v>
      </c>
    </row>
    <row r="177" spans="1:12" ht="68.25">
      <c r="A177" s="1" t="str" cm="1">
        <f t="array" aca="1" ref="A177" ca="1">INDIRECT(_xlfn.CONCAT("$I", $F177))</f>
        <v>Tales of Middle-earth Scene Box ALTC</v>
      </c>
      <c r="B177" s="1" cm="1">
        <f t="array" aca="1" ref="B177" ca="1">INDIRECT(_xlfn.CONCAT("$J", $F177))</f>
        <v>24</v>
      </c>
      <c r="C177" s="1" cm="1">
        <f t="array" aca="1" ref="C177" ca="1">INDIRECT(_xlfn.CONCAT("$K", $F177))</f>
        <v>45234</v>
      </c>
      <c r="D177" s="1"/>
      <c r="E177" s="1" t="str" cm="1">
        <f t="array" aca="1" ref="E177" ca="1">INDIRECT(_xlfn.CONCAT("$L", $F177))</f>
        <v>en es fr de it pt ja ko ru 汉语 漢語</v>
      </c>
      <c r="F177" s="1" cm="1">
        <f t="array" aca="1" ref="F177" ca="1">IF(NOT(OR(ISERROR(INDIRECT(_xlfn.CONCAT("$I", $F176 + 1))), ISBLANK(INDIRECT(_xlfn.CONCAT("$I", $F176 + 1))))), $F176 + 1, IF(NOT(ISBLANK(INDIRECT(_xlfn.CONCAT("$I", $F176 + 2)))), $F176 + 2, ""))</f>
        <v>298</v>
      </c>
    </row>
    <row r="178" spans="1:12" ht="59.25">
      <c r="A178" s="1" t="str" cm="1">
        <f t="array" aca="1" ref="A178" ca="1">INDIRECT(_xlfn.CONCAT("$I", $F178))</f>
        <v>Tales of Middle-earth Art Series ALTR</v>
      </c>
      <c r="B178" s="1" cm="1">
        <f t="array" aca="1" ref="B178" ca="1">INDIRECT(_xlfn.CONCAT("$J", $F178))</f>
        <v>81</v>
      </c>
      <c r="C178" s="1" cm="1">
        <f t="array" aca="1" ref="C178" ca="1">INDIRECT(_xlfn.CONCAT("$K", $F178))</f>
        <v>45100</v>
      </c>
      <c r="D178" s="1"/>
      <c r="E178" s="1" t="str" cm="1">
        <f t="array" aca="1" ref="E178" ca="1">INDIRECT(_xlfn.CONCAT("$L", $F178))</f>
        <v>en es fr de it pt ja ko ru 汉语 漢語</v>
      </c>
      <c r="F178" s="1" cm="1">
        <f t="array" aca="1" ref="F178" ca="1">IF(NOT(OR(ISERROR(INDIRECT(_xlfn.CONCAT("$I", $F177 + 1))), ISBLANK(INDIRECT(_xlfn.CONCAT("$I", $F177 + 1))))), $F177 + 1, IF(NOT(ISBLANK(INDIRECT(_xlfn.CONCAT("$I", $F177 + 2)))), $F177 + 2, ""))</f>
        <v>300</v>
      </c>
      <c r="I178" s="8" t="s">
        <v>278</v>
      </c>
      <c r="J178" s="8">
        <v>54</v>
      </c>
      <c r="K178" s="9">
        <v>45401</v>
      </c>
      <c r="L178" s="8" t="s">
        <v>174</v>
      </c>
    </row>
    <row r="179" spans="1:12" ht="59.25">
      <c r="A179" s="1" t="str" cm="1">
        <f t="array" aca="1" ref="A179" ca="1">INDIRECT(_xlfn.CONCAT("$I", $F179))</f>
        <v>Tales of Middle-earth Front Cards FLTR</v>
      </c>
      <c r="B179" s="1" cm="1">
        <f t="array" aca="1" ref="B179" ca="1">INDIRECT(_xlfn.CONCAT("$J", $F179))</f>
        <v>10</v>
      </c>
      <c r="C179" s="1" cm="1">
        <f t="array" aca="1" ref="C179" ca="1">INDIRECT(_xlfn.CONCAT("$K", $F179))</f>
        <v>45100</v>
      </c>
      <c r="D179" s="1"/>
      <c r="E179" s="1" t="str" cm="1">
        <f t="array" aca="1" ref="E179" ca="1">INDIRECT(_xlfn.CONCAT("$L", $F179))</f>
        <v>en es fr de it pt ja ko ru 汉语 漢語</v>
      </c>
      <c r="F179" s="1" cm="1">
        <f t="array" aca="1" ref="F179" ca="1">IF(NOT(OR(ISERROR(INDIRECT(_xlfn.CONCAT("$I", $F178 + 1))), ISBLANK(INDIRECT(_xlfn.CONCAT("$I", $F178 + 1))))), $F178 + 1, IF(NOT(ISBLANK(INDIRECT(_xlfn.CONCAT("$I", $F178 + 2)))), $F178 + 2, ""))</f>
        <v>302</v>
      </c>
    </row>
    <row r="180" spans="1:12" ht="94.5">
      <c r="A180" s="1" t="str" cm="1">
        <f t="array" aca="1" ref="A180" ca="1">INDIRECT(_xlfn.CONCAT("$I", $F180))</f>
        <v>The Lord of the Rings: Tales of Middle-earth Minigames MLTR</v>
      </c>
      <c r="B180" s="1" cm="1">
        <f t="array" aca="1" ref="B180" ca="1">INDIRECT(_xlfn.CONCAT("$J", $F180))</f>
        <v>1</v>
      </c>
      <c r="C180" s="1" cm="1">
        <f t="array" aca="1" ref="C180" ca="1">INDIRECT(_xlfn.CONCAT("$K", $F180))</f>
        <v>45100</v>
      </c>
      <c r="D180" s="1"/>
      <c r="E180" s="1" t="str" cm="1">
        <f t="array" aca="1" ref="E180" ca="1">INDIRECT(_xlfn.CONCAT("$L", $F180))</f>
        <v>en es fr de it pt ja ko ru 汉语 漢語</v>
      </c>
      <c r="F180" s="1" cm="1">
        <f t="array" aca="1" ref="F180" ca="1">IF(NOT(OR(ISERROR(INDIRECT(_xlfn.CONCAT("$I", $F179 + 1))), ISBLANK(INDIRECT(_xlfn.CONCAT("$I", $F179 + 1))))), $F179 + 1, IF(NOT(ISBLANK(INDIRECT(_xlfn.CONCAT("$I", $F179 + 2)))), $F179 + 2, ""))</f>
        <v>304</v>
      </c>
      <c r="I180" s="8" t="s">
        <v>279</v>
      </c>
      <c r="J180" s="8">
        <v>95</v>
      </c>
      <c r="K180" s="9">
        <v>45401</v>
      </c>
      <c r="L180" t="s">
        <v>174</v>
      </c>
    </row>
    <row r="181" spans="1:12" ht="81">
      <c r="A181" s="1" t="str" cm="1">
        <f t="array" aca="1" ref="A181" ca="1">INDIRECT(_xlfn.CONCAT("$I", $F181))</f>
        <v>March of the Machine: The Aftermath MAT</v>
      </c>
      <c r="B181" s="1" cm="1">
        <f t="array" aca="1" ref="B181" ca="1">INDIRECT(_xlfn.CONCAT("$J", $F181))</f>
        <v>230</v>
      </c>
      <c r="C181" s="1" cm="1">
        <f t="array" aca="1" ref="C181" ca="1">INDIRECT(_xlfn.CONCAT("$K", $F181))</f>
        <v>45058</v>
      </c>
      <c r="D181" s="1"/>
      <c r="E181" s="1" t="str" cm="1">
        <f t="array" aca="1" ref="E181" ca="1">INDIRECT(_xlfn.CONCAT("$L", $F181))</f>
        <v>en es fr de it pt ja ko ru 汉语 漢語</v>
      </c>
      <c r="F181" s="1" cm="1">
        <f t="array" aca="1" ref="F181" ca="1">IF(NOT(OR(ISERROR(INDIRECT(_xlfn.CONCAT("$I", $F180 + 1))), ISBLANK(INDIRECT(_xlfn.CONCAT("$I", $F180 + 1))))), $F180 + 1, IF(NOT(ISBLANK(INDIRECT(_xlfn.CONCAT("$I", $F180 + 2)))), $F180 + 2, ""))</f>
        <v>306</v>
      </c>
    </row>
    <row r="182" spans="1:12" ht="94.5">
      <c r="A182" s="1" t="str" cm="1">
        <f t="array" aca="1" ref="A182" ca="1">INDIRECT(_xlfn.CONCAT("$I", $F182))</f>
        <v>March of the Machine: The Aftermath Promos PMAT</v>
      </c>
      <c r="B182" s="1" cm="1">
        <f t="array" aca="1" ref="B182" ca="1">INDIRECT(_xlfn.CONCAT("$J", $F182))</f>
        <v>8</v>
      </c>
      <c r="C182" s="1" cm="1">
        <f t="array" aca="1" ref="C182" ca="1">INDIRECT(_xlfn.CONCAT("$K", $F182))</f>
        <v>45247</v>
      </c>
      <c r="D182" s="1"/>
      <c r="E182" s="1" t="str" cm="1">
        <f t="array" aca="1" ref="E182" ca="1">INDIRECT(_xlfn.CONCAT("$L", $F182))</f>
        <v>en es fr de it pt ja ko ru 汉语 漢語</v>
      </c>
      <c r="F182" s="1" cm="1">
        <f t="array" aca="1" ref="F182" ca="1">IF(NOT(OR(ISERROR(INDIRECT(_xlfn.CONCAT("$I", $F181 + 1))), ISBLANK(INDIRECT(_xlfn.CONCAT("$I", $F181 + 1))))), $F181 + 1, IF(NOT(ISBLANK(INDIRECT(_xlfn.CONCAT("$I", $F181 + 2)))), $F181 + 2, ""))</f>
        <v>308</v>
      </c>
      <c r="I182" s="8" t="s">
        <v>280</v>
      </c>
      <c r="J182" s="8">
        <v>5</v>
      </c>
      <c r="K182" s="9">
        <v>45870</v>
      </c>
      <c r="L182" s="8" t="s">
        <v>174</v>
      </c>
    </row>
    <row r="183" spans="1:12" ht="59.25">
      <c r="A183" s="1" t="str" cm="1">
        <f t="array" aca="1" ref="A183" ca="1">INDIRECT(_xlfn.CONCAT("$I", $F183))</f>
        <v>March of the Machine MOM</v>
      </c>
      <c r="B183" s="1" cm="1">
        <f t="array" aca="1" ref="B183" ca="1">INDIRECT(_xlfn.CONCAT("$J", $F183))</f>
        <v>387</v>
      </c>
      <c r="C183" s="1" cm="1">
        <f t="array" aca="1" ref="C183" ca="1">INDIRECT(_xlfn.CONCAT("$K", $F183))</f>
        <v>45037</v>
      </c>
      <c r="D183" s="1"/>
      <c r="E183" s="1" t="str" cm="1">
        <f t="array" aca="1" ref="E183" ca="1">INDIRECT(_xlfn.CONCAT("$L", $F183))</f>
        <v>en es fr de it pt ja ko ru 汉语 漢語</v>
      </c>
      <c r="F183" s="1" cm="1">
        <f t="array" aca="1" ref="F183" ca="1">IF(NOT(OR(ISERROR(INDIRECT(_xlfn.CONCAT("$I", $F182 + 1))), ISBLANK(INDIRECT(_xlfn.CONCAT("$I", $F182 + 1))))), $F182 + 1, IF(NOT(ISBLANK(INDIRECT(_xlfn.CONCAT("$I", $F182 + 2)))), $F182 + 2, ""))</f>
        <v>310</v>
      </c>
    </row>
    <row r="184" spans="1:12" ht="59.25">
      <c r="A184" s="1" t="str" cm="1">
        <f t="array" aca="1" ref="A184" ca="1">INDIRECT(_xlfn.CONCAT("$I", $F184))</f>
        <v>Multiverse Legends MUL</v>
      </c>
      <c r="B184" s="1" cm="1">
        <f t="array" aca="1" ref="B184" ca="1">INDIRECT(_xlfn.CONCAT("$J", $F184))</f>
        <v>261</v>
      </c>
      <c r="C184" s="1" cm="1">
        <f t="array" aca="1" ref="C184" ca="1">INDIRECT(_xlfn.CONCAT("$K", $F184))</f>
        <v>45037</v>
      </c>
      <c r="D184" s="1"/>
      <c r="E184" s="1" t="str" cm="1">
        <f t="array" aca="1" ref="E184" ca="1">INDIRECT(_xlfn.CONCAT("$L", $F184))</f>
        <v>en es fr de it pt ja ko ru 汉语 漢語</v>
      </c>
      <c r="F184" s="1" cm="1">
        <f t="array" aca="1" ref="F184" ca="1">IF(NOT(OR(ISERROR(INDIRECT(_xlfn.CONCAT("$I", $F183 + 1))), ISBLANK(INDIRECT(_xlfn.CONCAT("$I", $F183 + 1))))), $F183 + 1, IF(NOT(ISBLANK(INDIRECT(_xlfn.CONCAT("$I", $F183 + 2)))), $F183 + 2, ""))</f>
        <v>312</v>
      </c>
      <c r="I184" s="8" t="s">
        <v>281</v>
      </c>
      <c r="J184" s="8">
        <v>7</v>
      </c>
      <c r="K184" s="9">
        <v>45401</v>
      </c>
      <c r="L184" s="8" t="s">
        <v>174</v>
      </c>
    </row>
    <row r="185" spans="1:12" ht="59.25">
      <c r="A185" s="1" t="str" cm="1">
        <f t="array" aca="1" ref="A185" ca="1">INDIRECT(_xlfn.CONCAT("$I", $F185))</f>
        <v>Multiverse Legends Tokens TMUL</v>
      </c>
      <c r="B185" s="1" cm="1">
        <f t="array" aca="1" ref="B185" ca="1">INDIRECT(_xlfn.CONCAT("$J", $F185))</f>
        <v>2</v>
      </c>
      <c r="C185" s="1" cm="1">
        <f t="array" aca="1" ref="C185" ca="1">INDIRECT(_xlfn.CONCAT("$K", $F185))</f>
        <v>45037</v>
      </c>
      <c r="D185" s="1"/>
      <c r="E185" s="1" t="str" cm="1">
        <f t="array" aca="1" ref="E185" ca="1">INDIRECT(_xlfn.CONCAT("$L", $F185))</f>
        <v>en es fr de it pt ja ko ru 汉语 漢語</v>
      </c>
      <c r="F185" s="1" cm="1">
        <f t="array" aca="1" ref="F185" ca="1">IF(NOT(OR(ISERROR(INDIRECT(_xlfn.CONCAT("$I", $F184 + 1))), ISBLANK(INDIRECT(_xlfn.CONCAT("$I", $F184 + 1))))), $F184 + 1, IF(NOT(ISBLANK(INDIRECT(_xlfn.CONCAT("$I", $F184 + 2)))), $F184 + 2, ""))</f>
        <v>314</v>
      </c>
    </row>
    <row r="186" spans="1:12" ht="68.25">
      <c r="A186" s="1" t="str" cm="1">
        <f t="array" aca="1" ref="A186" ca="1">INDIRECT(_xlfn.CONCAT("$I", $F186))</f>
        <v>March of the Machine Promos PMOM</v>
      </c>
      <c r="B186" s="1" cm="1">
        <f t="array" aca="1" ref="B186" ca="1">INDIRECT(_xlfn.CONCAT("$J", $F186))</f>
        <v>134</v>
      </c>
      <c r="C186" s="1" cm="1">
        <f t="array" aca="1" ref="C186" ca="1">INDIRECT(_xlfn.CONCAT("$K", $F186))</f>
        <v>45037</v>
      </c>
      <c r="D186" s="1"/>
      <c r="E186" s="1" t="str" cm="1">
        <f t="array" aca="1" ref="E186" ca="1">INDIRECT(_xlfn.CONCAT("$L", $F186))</f>
        <v>en es fr de it pt ja ko ru 汉语 漢語</v>
      </c>
      <c r="F186" s="1" cm="1">
        <f t="array" aca="1" ref="F186" ca="1">IF(NOT(OR(ISERROR(INDIRECT(_xlfn.CONCAT("$I", $F185 + 1))), ISBLANK(INDIRECT(_xlfn.CONCAT("$I", $F185 + 1))))), $F185 + 1, IF(NOT(ISBLANK(INDIRECT(_xlfn.CONCAT("$I", $F185 + 2)))), $F185 + 2, ""))</f>
        <v>316</v>
      </c>
      <c r="I186" s="8" t="s">
        <v>282</v>
      </c>
      <c r="J186" s="8">
        <v>342</v>
      </c>
      <c r="K186" s="9">
        <v>45401</v>
      </c>
      <c r="L186" t="s">
        <v>174</v>
      </c>
    </row>
    <row r="187" spans="1:12" ht="68.25">
      <c r="A187" s="1" t="str" cm="1">
        <f t="array" aca="1" ref="A187" ca="1">INDIRECT(_xlfn.CONCAT("$I", $F187))</f>
        <v>March of the Machine Tokens TMOM</v>
      </c>
      <c r="B187" s="1" cm="1">
        <f t="array" aca="1" ref="B187" ca="1">INDIRECT(_xlfn.CONCAT("$J", $F187))</f>
        <v>23</v>
      </c>
      <c r="C187" s="1" cm="1">
        <f t="array" aca="1" ref="C187" ca="1">INDIRECT(_xlfn.CONCAT("$K", $F187))</f>
        <v>45037</v>
      </c>
      <c r="D187" s="1"/>
      <c r="E187" s="1" t="str" cm="1">
        <f t="array" aca="1" ref="E187" ca="1">INDIRECT(_xlfn.CONCAT("$L", $F187))</f>
        <v>en es fr de it pt ja ko ru 汉语 漢語</v>
      </c>
      <c r="F187" s="1" cm="1">
        <f t="array" aca="1" ref="F187" ca="1">IF(NOT(OR(ISERROR(INDIRECT(_xlfn.CONCAT("$I", $F186 + 1))), ISBLANK(INDIRECT(_xlfn.CONCAT("$I", $F186 + 1))))), $F186 + 1, IF(NOT(ISBLANK(INDIRECT(_xlfn.CONCAT("$I", $F186 + 2)))), $F186 + 2, ""))</f>
        <v>318</v>
      </c>
    </row>
    <row r="188" spans="1:12" ht="94.5">
      <c r="A188" s="1" t="str" cm="1">
        <f t="array" aca="1" ref="A188" ca="1">INDIRECT(_xlfn.CONCAT("$I", $F188))</f>
        <v>March of the Machine Jumpstart Front Cards FMOM</v>
      </c>
      <c r="B188" s="1" cm="1">
        <f t="array" aca="1" ref="B188" ca="1">INDIRECT(_xlfn.CONCAT("$J", $F188))</f>
        <v>5</v>
      </c>
      <c r="C188" s="1" cm="1">
        <f t="array" aca="1" ref="C188" ca="1">INDIRECT(_xlfn.CONCAT("$K", $F188))</f>
        <v>45037</v>
      </c>
      <c r="D188" s="1"/>
      <c r="E188" s="1" t="str" cm="1">
        <f t="array" aca="1" ref="E188" ca="1">INDIRECT(_xlfn.CONCAT("$L", $F188))</f>
        <v>en es fr de it pt ja ko ru 汉语 漢語</v>
      </c>
      <c r="F188" s="1" cm="1">
        <f t="array" aca="1" ref="F188" ca="1">IF(NOT(OR(ISERROR(INDIRECT(_xlfn.CONCAT("$I", $F187 + 1))), ISBLANK(INDIRECT(_xlfn.CONCAT("$I", $F187 + 1))))), $F187 + 1, IF(NOT(ISBLANK(INDIRECT(_xlfn.CONCAT("$I", $F187 + 2)))), $F187 + 2, ""))</f>
        <v>320</v>
      </c>
      <c r="I188" s="8" t="s">
        <v>283</v>
      </c>
      <c r="J188" s="8">
        <v>41</v>
      </c>
      <c r="K188" s="9">
        <v>45401</v>
      </c>
      <c r="L188" s="8" t="s">
        <v>174</v>
      </c>
    </row>
    <row r="189" spans="1:12" ht="68.25">
      <c r="A189" s="1" t="str" cm="1">
        <f t="array" aca="1" ref="A189" ca="1">INDIRECT(_xlfn.CONCAT("$I", $F189))</f>
        <v>March of the Machine Commander MOC</v>
      </c>
      <c r="B189" s="1" cm="1">
        <f t="array" aca="1" ref="B189" ca="1">INDIRECT(_xlfn.CONCAT("$J", $F189))</f>
        <v>450</v>
      </c>
      <c r="C189" s="1" cm="1">
        <f t="array" aca="1" ref="C189" ca="1">INDIRECT(_xlfn.CONCAT("$K", $F189))</f>
        <v>45037</v>
      </c>
      <c r="D189" s="1"/>
      <c r="E189" s="1" t="str" cm="1">
        <f t="array" aca="1" ref="E189" ca="1">INDIRECT(_xlfn.CONCAT("$L", $F189))</f>
        <v>en es fr de it pt ja ko ru 汉语 漢語</v>
      </c>
      <c r="F189" s="1" cm="1">
        <f t="array" aca="1" ref="F189" ca="1">IF(NOT(OR(ISERROR(INDIRECT(_xlfn.CONCAT("$I", $F188 + 1))), ISBLANK(INDIRECT(_xlfn.CONCAT("$I", $F188 + 1))))), $F188 + 1, IF(NOT(ISBLANK(INDIRECT(_xlfn.CONCAT("$I", $F188 + 2)))), $F188 + 2, ""))</f>
        <v>322</v>
      </c>
    </row>
    <row r="190" spans="1:12" ht="81">
      <c r="A190" s="1" t="str" cm="1">
        <f t="array" aca="1" ref="A190" ca="1">INDIRECT(_xlfn.CONCAT("$I", $F190))</f>
        <v>March of the Machine Commander Tokens TMOC</v>
      </c>
      <c r="B190" s="1" cm="1">
        <f t="array" aca="1" ref="B190" ca="1">INDIRECT(_xlfn.CONCAT("$J", $F190))</f>
        <v>46</v>
      </c>
      <c r="C190" s="1" cm="1">
        <f t="array" aca="1" ref="C190" ca="1">INDIRECT(_xlfn.CONCAT("$K", $F190))</f>
        <v>45037</v>
      </c>
      <c r="D190" s="1"/>
      <c r="E190" s="1" t="str" cm="1">
        <f t="array" aca="1" ref="E190" ca="1">INDIRECT(_xlfn.CONCAT("$L", $F190))</f>
        <v>en es fr de it pt ja ko ru 汉语 漢語</v>
      </c>
      <c r="F190" s="1" cm="1">
        <f t="array" aca="1" ref="F190" ca="1">IF(NOT(OR(ISERROR(INDIRECT(_xlfn.CONCAT("$I", $F189 + 1))), ISBLANK(INDIRECT(_xlfn.CONCAT("$I", $F189 + 1))))), $F189 + 1, IF(NOT(ISBLANK(INDIRECT(_xlfn.CONCAT("$I", $F189 + 2)))), $F189 + 2, ""))</f>
        <v>324</v>
      </c>
      <c r="I190" s="8" t="s">
        <v>284</v>
      </c>
      <c r="J190" s="8">
        <v>1068</v>
      </c>
      <c r="K190" s="9">
        <v>45359</v>
      </c>
      <c r="L190" t="s">
        <v>174</v>
      </c>
    </row>
    <row r="191" spans="1:12" ht="68.25">
      <c r="A191" s="1" t="str" cm="1">
        <f t="array" aca="1" ref="A191" ca="1">INDIRECT(_xlfn.CONCAT("$I", $F191))</f>
        <v>MOM Japanese Promo Tokens WMOM</v>
      </c>
      <c r="B191" s="1" cm="1">
        <f t="array" aca="1" ref="B191" ca="1">INDIRECT(_xlfn.CONCAT("$J", $F191))</f>
        <v>12</v>
      </c>
      <c r="C191" s="1" cm="1">
        <f t="array" aca="1" ref="C191" ca="1">INDIRECT(_xlfn.CONCAT("$K", $F191))</f>
        <v>45037</v>
      </c>
      <c r="D191" s="1"/>
      <c r="E191" s="1" t="str" cm="1">
        <f t="array" aca="1" ref="E191" ca="1">INDIRECT(_xlfn.CONCAT("$L", $F191))</f>
        <v>en es fr de it pt ja ko ru 汉语 漢語</v>
      </c>
      <c r="F191" s="1" cm="1">
        <f t="array" aca="1" ref="F191" ca="1">IF(NOT(OR(ISERROR(INDIRECT(_xlfn.CONCAT("$I", $F190 + 1))), ISBLANK(INDIRECT(_xlfn.CONCAT("$I", $F190 + 1))))), $F190 + 1, IF(NOT(ISBLANK(INDIRECT(_xlfn.CONCAT("$I", $F190 + 2)))), $F190 + 2, ""))</f>
        <v>326</v>
      </c>
    </row>
    <row r="192" spans="1:12" ht="68.25">
      <c r="A192" s="1" t="str" cm="1">
        <f t="array" aca="1" ref="A192" ca="1">INDIRECT(_xlfn.CONCAT("$I", $F192))</f>
        <v>March of the Machine Art Series AMOM</v>
      </c>
      <c r="B192" s="1" cm="1">
        <f t="array" aca="1" ref="B192" ca="1">INDIRECT(_xlfn.CONCAT("$J", $F192))</f>
        <v>81</v>
      </c>
      <c r="C192" s="1" cm="1">
        <f t="array" aca="1" ref="C192" ca="1">INDIRECT(_xlfn.CONCAT("$K", $F192))</f>
        <v>45037</v>
      </c>
      <c r="D192" s="1"/>
      <c r="E192" s="1" t="str" cm="1">
        <f t="array" aca="1" ref="E192" ca="1">INDIRECT(_xlfn.CONCAT("$L", $F192))</f>
        <v>en es fr de it pt ja ko ru 汉语 漢語</v>
      </c>
      <c r="F192" s="1" cm="1">
        <f t="array" aca="1" ref="F192" ca="1">IF(NOT(OR(ISERROR(INDIRECT(_xlfn.CONCAT("$I", $F191 + 1))), ISBLANK(INDIRECT(_xlfn.CONCAT("$I", $F191 + 1))))), $F191 + 1, IF(NOT(ISBLANK(INDIRECT(_xlfn.CONCAT("$I", $F191 + 2)))), $F191 + 2, ""))</f>
        <v>328</v>
      </c>
      <c r="I192" s="8" t="s">
        <v>285</v>
      </c>
      <c r="J192" s="8">
        <v>22</v>
      </c>
      <c r="K192" s="9">
        <v>45359</v>
      </c>
      <c r="L192" s="8" t="s">
        <v>174</v>
      </c>
    </row>
    <row r="193" spans="1:12" ht="81">
      <c r="A193" s="1" t="str" cm="1">
        <f t="array" aca="1" ref="A193" ca="1">INDIRECT(_xlfn.CONCAT("$I", $F193))</f>
        <v>March of the Machine Substitute Cards SMOM</v>
      </c>
      <c r="B193" s="1" cm="1">
        <f t="array" aca="1" ref="B193" ca="1">INDIRECT(_xlfn.CONCAT("$J", $F193))</f>
        <v>1</v>
      </c>
      <c r="C193" s="1" cm="1">
        <f t="array" aca="1" ref="C193" ca="1">INDIRECT(_xlfn.CONCAT("$K", $F193))</f>
        <v>45037</v>
      </c>
      <c r="D193" s="1"/>
      <c r="E193" s="1" t="str" cm="1">
        <f t="array" aca="1" ref="E193" ca="1">INDIRECT(_xlfn.CONCAT("$L", $F193))</f>
        <v>en es fr de it pt ja ko ru 汉语 漢語</v>
      </c>
      <c r="F193" s="1" cm="1">
        <f t="array" aca="1" ref="F193" ca="1">IF(NOT(OR(ISERROR(INDIRECT(_xlfn.CONCAT("$I", $F192 + 1))), ISBLANK(INDIRECT(_xlfn.CONCAT("$I", $F192 + 1))))), $F192 + 1, IF(NOT(ISBLANK(INDIRECT(_xlfn.CONCAT("$I", $F192 + 2)))), $F192 + 2, ""))</f>
        <v>330</v>
      </c>
    </row>
    <row r="194" spans="1:12" ht="68.25">
      <c r="A194" s="1" t="str" cm="1">
        <f t="array" aca="1" ref="A194" ca="1">INDIRECT(_xlfn.CONCAT("$I", $F194))</f>
        <v>Shadows over Innistrad Remastered SIR</v>
      </c>
      <c r="B194" s="1" cm="1">
        <f t="array" aca="1" ref="B194" ca="1">INDIRECT(_xlfn.CONCAT("$J", $F194))</f>
        <v>294</v>
      </c>
      <c r="C194" s="1" cm="1">
        <f t="array" aca="1" ref="C194" ca="1">INDIRECT(_xlfn.CONCAT("$K", $F194))</f>
        <v>45006</v>
      </c>
      <c r="D194" s="1"/>
      <c r="E194" s="1" t="str" cm="1">
        <f t="array" aca="1" ref="E194" ca="1">INDIRECT(_xlfn.CONCAT("$L", $F194))</f>
        <v>en es fr de it pt ja ko ru 汉语 漢語</v>
      </c>
      <c r="F194" s="1" cm="1">
        <f t="array" aca="1" ref="F194" ca="1">IF(NOT(OR(ISERROR(INDIRECT(_xlfn.CONCAT("$I", $F193 + 1))), ISBLANK(INDIRECT(_xlfn.CONCAT("$I", $F193 + 1))))), $F193 + 1, IF(NOT(ISBLANK(INDIRECT(_xlfn.CONCAT("$I", $F193 + 2)))), $F193 + 2, ""))</f>
        <v>332</v>
      </c>
      <c r="I194" s="8" t="s">
        <v>1239</v>
      </c>
      <c r="J194" s="8">
        <v>451</v>
      </c>
      <c r="K194" s="9">
        <v>45331</v>
      </c>
      <c r="L194" t="s">
        <v>174</v>
      </c>
    </row>
    <row r="195" spans="1:12" ht="59.25">
      <c r="A195" s="1" t="str" cm="1">
        <f t="array" aca="1" ref="A195" ca="1">INDIRECT(_xlfn.CONCAT("$I", $F195))</f>
        <v>Shadows of the Past SIS</v>
      </c>
      <c r="B195" s="1" cm="1">
        <f t="array" aca="1" ref="B195" ca="1">INDIRECT(_xlfn.CONCAT("$J", $F195))</f>
        <v>76</v>
      </c>
      <c r="C195" s="1" cm="1">
        <f t="array" aca="1" ref="C195" ca="1">INDIRECT(_xlfn.CONCAT("$K", $F195))</f>
        <v>45006</v>
      </c>
      <c r="D195" s="1"/>
      <c r="E195" s="1" t="str" cm="1">
        <f t="array" aca="1" ref="E195" ca="1">INDIRECT(_xlfn.CONCAT("$L", $F195))</f>
        <v>en es fr de it pt ja ko ru 汉语 漢語</v>
      </c>
      <c r="F195" s="1" cm="1">
        <f t="array" aca="1" ref="F195" ca="1">IF(NOT(OR(ISERROR(INDIRECT(_xlfn.CONCAT("$I", $F194 + 1))), ISBLANK(INDIRECT(_xlfn.CONCAT("$I", $F194 + 1))))), $F194 + 1, IF(NOT(ISBLANK(INDIRECT(_xlfn.CONCAT("$I", $F194 + 2)))), $F194 + 2, ""))</f>
        <v>334</v>
      </c>
    </row>
    <row r="196" spans="1:12" ht="59.25">
      <c r="A196" s="1" t="str" cm="1">
        <f t="array" aca="1" ref="A196" ca="1">INDIRECT(_xlfn.CONCAT("$I", $F196))</f>
        <v>Unknown Event UNK</v>
      </c>
      <c r="B196" s="1" cm="1">
        <f t="array" aca="1" ref="B196" ca="1">INDIRECT(_xlfn.CONCAT("$J", $F196))</f>
        <v>471</v>
      </c>
      <c r="C196" s="1" cm="1">
        <f t="array" aca="1" ref="C196" ca="1">INDIRECT(_xlfn.CONCAT("$K", $F196))</f>
        <v>44972</v>
      </c>
      <c r="D196" s="1"/>
      <c r="E196" s="1" t="str" cm="1">
        <f t="array" aca="1" ref="E196" ca="1">INDIRECT(_xlfn.CONCAT("$L", $F196))</f>
        <v>en es fr de it pt ja ko ru 汉语 漢語</v>
      </c>
      <c r="F196" s="1" cm="1">
        <f t="array" aca="1" ref="F196" ca="1">IF(NOT(OR(ISERROR(INDIRECT(_xlfn.CONCAT("$I", $F195 + 1))), ISBLANK(INDIRECT(_xlfn.CONCAT("$I", $F195 + 1))))), $F195 + 1, IF(NOT(ISBLANK(INDIRECT(_xlfn.CONCAT("$I", $F195 + 2)))), $F195 + 2, ""))</f>
        <v>336</v>
      </c>
      <c r="I196" s="8" t="s">
        <v>286</v>
      </c>
      <c r="J196" s="8">
        <v>180</v>
      </c>
      <c r="K196" s="9">
        <v>45331</v>
      </c>
      <c r="L196" s="8" t="s">
        <v>174</v>
      </c>
    </row>
    <row r="197" spans="1:12" ht="59.25">
      <c r="A197" s="1" t="str" cm="1">
        <f t="array" aca="1" ref="A197" ca="1">INDIRECT(_xlfn.CONCAT("$I", $F197))</f>
        <v>Black Lotus Unknown Planechase PUNK</v>
      </c>
      <c r="B197" s="1" cm="1">
        <f t="array" aca="1" ref="B197" ca="1">INDIRECT(_xlfn.CONCAT("$J", $F197))</f>
        <v>52</v>
      </c>
      <c r="C197" s="1" cm="1">
        <f t="array" aca="1" ref="C197" ca="1">INDIRECT(_xlfn.CONCAT("$K", $F197))</f>
        <v>45346</v>
      </c>
      <c r="D197" s="1"/>
      <c r="E197" s="1" t="str" cm="1">
        <f t="array" aca="1" ref="E197" ca="1">INDIRECT(_xlfn.CONCAT("$L", $F197))</f>
        <v>en es fr de it pt ja ko ru 汉语 漢語</v>
      </c>
      <c r="F197" s="1" cm="1">
        <f t="array" aca="1" ref="F197" ca="1">IF(NOT(OR(ISERROR(INDIRECT(_xlfn.CONCAT("$I", $F196 + 1))), ISBLANK(INDIRECT(_xlfn.CONCAT("$I", $F196 + 1))))), $F196 + 1, IF(NOT(ISBLANK(INDIRECT(_xlfn.CONCAT("$I", $F196 + 2)))), $F196 + 2, ""))</f>
        <v>338</v>
      </c>
    </row>
    <row r="198" spans="1:12" ht="59.25">
      <c r="A198" s="1" t="str" cm="1">
        <f t="array" aca="1" ref="A198" ca="1">INDIRECT(_xlfn.CONCAT("$I", $F198))</f>
        <v>Year of the Rabbit 2023 PL23</v>
      </c>
      <c r="B198" s="1" cm="1">
        <f t="array" aca="1" ref="B198" ca="1">INDIRECT(_xlfn.CONCAT("$J", $F198))</f>
        <v>6</v>
      </c>
      <c r="C198" s="1" cm="1">
        <f t="array" aca="1" ref="C198" ca="1">INDIRECT(_xlfn.CONCAT("$K", $F198))</f>
        <v>44967</v>
      </c>
      <c r="D198" s="1"/>
      <c r="E198" s="1" t="str" cm="1">
        <f t="array" aca="1" ref="E198" ca="1">INDIRECT(_xlfn.CONCAT("$L", $F198))</f>
        <v>en es fr de it pt ja ko ru 汉语 漢語</v>
      </c>
      <c r="F198" s="1" cm="1">
        <f t="array" aca="1" ref="F198" ca="1">IF(NOT(OR(ISERROR(INDIRECT(_xlfn.CONCAT("$I", $F197 + 1))), ISBLANK(INDIRECT(_xlfn.CONCAT("$I", $F197 + 1))))), $F197 + 1, IF(NOT(ISBLANK(INDIRECT(_xlfn.CONCAT("$I", $F197 + 2)))), $F197 + 2, ""))</f>
        <v>340</v>
      </c>
      <c r="I198" s="8" t="s">
        <v>287</v>
      </c>
      <c r="J198" s="8">
        <v>22</v>
      </c>
      <c r="K198" s="9">
        <v>45331</v>
      </c>
      <c r="L198" s="8" t="s">
        <v>174</v>
      </c>
    </row>
    <row r="199" spans="1:12" ht="59.25">
      <c r="A199" s="1" t="str" cm="1">
        <f t="array" aca="1" ref="A199" ca="1">INDIRECT(_xlfn.CONCAT("$I", $F199))</f>
        <v>Phyrexia: All Will Be One ONE</v>
      </c>
      <c r="B199" s="1" cm="1">
        <f t="array" aca="1" ref="B199" ca="1">INDIRECT(_xlfn.CONCAT("$J", $F199))</f>
        <v>479</v>
      </c>
      <c r="C199" s="1" cm="1">
        <f t="array" aca="1" ref="C199" ca="1">INDIRECT(_xlfn.CONCAT("$K", $F199))</f>
        <v>44967</v>
      </c>
      <c r="D199" s="1"/>
      <c r="E199" s="1" t="str" cm="1">
        <f t="array" aca="1" ref="E199" ca="1">INDIRECT(_xlfn.CONCAT("$L", $F199))</f>
        <v>en es fr de it pt ja ko ru 汉语 漢語</v>
      </c>
      <c r="F199" s="1" cm="1">
        <f t="array" aca="1" ref="F199" ca="1">IF(NOT(OR(ISERROR(INDIRECT(_xlfn.CONCAT("$I", $F198 + 1))), ISBLANK(INDIRECT(_xlfn.CONCAT("$I", $F198 + 1))))), $F198 + 1, IF(NOT(ISBLANK(INDIRECT(_xlfn.CONCAT("$I", $F198 + 2)))), $F198 + 2, ""))</f>
        <v>342</v>
      </c>
    </row>
    <row r="200" spans="1:12" ht="68.25">
      <c r="A200" s="1" t="str" cm="1">
        <f t="array" aca="1" ref="A200" ca="1">INDIRECT(_xlfn.CONCAT("$I", $F200))</f>
        <v>Phyrexia: All Will Be One Promos PONE</v>
      </c>
      <c r="B200" s="1" cm="1">
        <f t="array" aca="1" ref="B200" ca="1">INDIRECT(_xlfn.CONCAT("$J", $F200))</f>
        <v>160</v>
      </c>
      <c r="C200" s="1" cm="1">
        <f t="array" aca="1" ref="C200" ca="1">INDIRECT(_xlfn.CONCAT("$K", $F200))</f>
        <v>44967</v>
      </c>
      <c r="D200" s="1"/>
      <c r="E200" s="1" t="str" cm="1">
        <f t="array" aca="1" ref="E200" ca="1">INDIRECT(_xlfn.CONCAT("$L", $F200))</f>
        <v>en es fr de it pt ja ko ru 汉语 漢語</v>
      </c>
      <c r="F200" s="1" cm="1">
        <f t="array" aca="1" ref="F200" ca="1">IF(NOT(OR(ISERROR(INDIRECT(_xlfn.CONCAT("$I", $F199 + 1))), ISBLANK(INDIRECT(_xlfn.CONCAT("$I", $F199 + 1))))), $F199 + 1, IF(NOT(ISBLANK(INDIRECT(_xlfn.CONCAT("$I", $F199 + 2)))), $F199 + 2, ""))</f>
        <v>344</v>
      </c>
      <c r="I200" s="8" t="s">
        <v>288</v>
      </c>
      <c r="J200" s="8">
        <v>30</v>
      </c>
      <c r="K200" s="9">
        <v>45356</v>
      </c>
      <c r="L200" s="8" t="s">
        <v>174</v>
      </c>
    </row>
    <row r="201" spans="1:12" ht="68.25">
      <c r="A201" s="1" t="str" cm="1">
        <f t="array" aca="1" ref="A201" ca="1">INDIRECT(_xlfn.CONCAT("$I", $F201))</f>
        <v>Phyrexia: All Will Be One Tokens TONE</v>
      </c>
      <c r="B201" s="1" cm="1">
        <f t="array" aca="1" ref="B201" ca="1">INDIRECT(_xlfn.CONCAT("$J", $F201))</f>
        <v>14</v>
      </c>
      <c r="C201" s="1" cm="1">
        <f t="array" aca="1" ref="C201" ca="1">INDIRECT(_xlfn.CONCAT("$K", $F201))</f>
        <v>44960</v>
      </c>
      <c r="D201" s="1"/>
      <c r="E201" s="1" t="str" cm="1">
        <f t="array" aca="1" ref="E201" ca="1">INDIRECT(_xlfn.CONCAT("$L", $F201))</f>
        <v>en es fr de it pt ja ko ru 汉语 漢語</v>
      </c>
      <c r="F201" s="1" cm="1">
        <f t="array" aca="1" ref="F201" ca="1">IF(NOT(OR(ISERROR(INDIRECT(_xlfn.CONCAT("$I", $F200 + 1))), ISBLANK(INDIRECT(_xlfn.CONCAT("$I", $F200 + 1))))), $F200 + 1, IF(NOT(ISBLANK(INDIRECT(_xlfn.CONCAT("$I", $F200 + 2)))), $F200 + 2, ""))</f>
        <v>346</v>
      </c>
    </row>
    <row r="202" spans="1:12" ht="59.25">
      <c r="A202" s="1" t="str" cm="1">
        <f t="array" aca="1" ref="A202" ca="1">INDIRECT(_xlfn.CONCAT("$I", $F202))</f>
        <v>Alchemy: Phyrexia YONE</v>
      </c>
      <c r="B202" s="1" cm="1">
        <f t="array" aca="1" ref="B202" ca="1">INDIRECT(_xlfn.CONCAT("$J", $F202))</f>
        <v>30</v>
      </c>
      <c r="C202" s="1" cm="1">
        <f t="array" aca="1" ref="C202" ca="1">INDIRECT(_xlfn.CONCAT("$K", $F202))</f>
        <v>44985</v>
      </c>
      <c r="D202" s="1"/>
      <c r="E202" s="1" t="str" cm="1">
        <f t="array" aca="1" ref="E202" ca="1">INDIRECT(_xlfn.CONCAT("$L", $F202))</f>
        <v>en es fr de it pt ja ko ru 汉语 漢語</v>
      </c>
      <c r="F202" s="1" cm="1">
        <f t="array" aca="1" ref="F202" ca="1">IF(NOT(OR(ISERROR(INDIRECT(_xlfn.CONCAT("$I", $F201 + 1))), ISBLANK(INDIRECT(_xlfn.CONCAT("$I", $F201 + 1))))), $F201 + 1, IF(NOT(ISBLANK(INDIRECT(_xlfn.CONCAT("$I", $F201 + 2)))), $F201 + 2, ""))</f>
        <v>348</v>
      </c>
      <c r="I202" s="8" t="s">
        <v>289</v>
      </c>
      <c r="J202" s="8">
        <v>284</v>
      </c>
      <c r="K202" s="9">
        <v>45345</v>
      </c>
      <c r="L202" s="8" t="s">
        <v>174</v>
      </c>
    </row>
    <row r="203" spans="1:12" ht="68.25">
      <c r="A203" s="1" t="str" cm="1">
        <f t="array" aca="1" ref="A203" ca="1">INDIRECT(_xlfn.CONCAT("$I", $F203))</f>
        <v>Phyrexia: All Will Be One Commander ONC</v>
      </c>
      <c r="B203" s="1" cm="1">
        <f t="array" aca="1" ref="B203" ca="1">INDIRECT(_xlfn.CONCAT("$J", $F203))</f>
        <v>174</v>
      </c>
      <c r="C203" s="1" cm="1">
        <f t="array" aca="1" ref="C203" ca="1">INDIRECT(_xlfn.CONCAT("$K", $F203))</f>
        <v>44967</v>
      </c>
      <c r="D203" s="1"/>
      <c r="E203" s="1" t="str" cm="1">
        <f t="array" aca="1" ref="E203" ca="1">INDIRECT(_xlfn.CONCAT("$L", $F203))</f>
        <v>en es fr de it pt ja ko ru 汉语 漢語</v>
      </c>
      <c r="F203" s="1" cm="1">
        <f t="array" aca="1" ref="F203" ca="1">IF(NOT(OR(ISERROR(INDIRECT(_xlfn.CONCAT("$I", $F202 + 1))), ISBLANK(INDIRECT(_xlfn.CONCAT("$I", $F202 + 1))))), $F202 + 1, IF(NOT(ISBLANK(INDIRECT(_xlfn.CONCAT("$I", $F202 + 2)))), $F202 + 2, ""))</f>
        <v>350</v>
      </c>
    </row>
    <row r="204" spans="1:12" ht="81">
      <c r="A204" s="1" t="str" cm="1">
        <f t="array" aca="1" ref="A204" ca="1">INDIRECT(_xlfn.CONCAT("$I", $F204))</f>
        <v>Phyrexia: All Will Be One Commander Tokens TONC</v>
      </c>
      <c r="B204" s="1" cm="1">
        <f t="array" aca="1" ref="B204" ca="1">INDIRECT(_xlfn.CONCAT("$J", $F204))</f>
        <v>23</v>
      </c>
      <c r="C204" s="1" cm="1">
        <f t="array" aca="1" ref="C204" ca="1">INDIRECT(_xlfn.CONCAT("$K", $F204))</f>
        <v>44960</v>
      </c>
      <c r="D204" s="1"/>
      <c r="E204" s="1" t="str" cm="1">
        <f t="array" aca="1" ref="E204" ca="1">INDIRECT(_xlfn.CONCAT("$L", $F204))</f>
        <v>en es fr de it pt ja ko ru 汉语 漢語</v>
      </c>
      <c r="F204" s="1" cm="1">
        <f t="array" aca="1" ref="F204" ca="1">IF(NOT(OR(ISERROR(INDIRECT(_xlfn.CONCAT("$I", $F203 + 1))), ISBLANK(INDIRECT(_xlfn.CONCAT("$I", $F203 + 1))))), $F203 + 1, IF(NOT(ISBLANK(INDIRECT(_xlfn.CONCAT("$I", $F203 + 2)))), $F203 + 2, ""))</f>
        <v>352</v>
      </c>
      <c r="I204" s="8" t="s">
        <v>290</v>
      </c>
      <c r="J204" s="8">
        <v>10</v>
      </c>
      <c r="K204" s="9">
        <v>45345</v>
      </c>
      <c r="L204" s="8" t="s">
        <v>174</v>
      </c>
    </row>
    <row r="205" spans="1:12" ht="68.25">
      <c r="A205" s="1" t="str" cm="1">
        <f t="array" aca="1" ref="A205" ca="1">INDIRECT(_xlfn.CONCAT("$I", $F205))</f>
        <v>Phyrexia: All Will Be One Minigames MONE</v>
      </c>
      <c r="B205" s="1" cm="1">
        <f t="array" aca="1" ref="B205" ca="1">INDIRECT(_xlfn.CONCAT("$J", $F205))</f>
        <v>5</v>
      </c>
      <c r="C205" s="1" cm="1">
        <f t="array" aca="1" ref="C205" ca="1">INDIRECT(_xlfn.CONCAT("$K", $F205))</f>
        <v>44960</v>
      </c>
      <c r="D205" s="1"/>
      <c r="E205" s="1" t="str" cm="1">
        <f t="array" aca="1" ref="E205" ca="1">INDIRECT(_xlfn.CONCAT("$L", $F205))</f>
        <v>en es fr de it pt ja ko ru 汉语 漢語</v>
      </c>
      <c r="F205" s="1" cm="1">
        <f t="array" aca="1" ref="F205" ca="1">IF(NOT(OR(ISERROR(INDIRECT(_xlfn.CONCAT("$I", $F204 + 1))), ISBLANK(INDIRECT(_xlfn.CONCAT("$I", $F204 + 1))))), $F204 + 1, IF(NOT(ISBLANK(INDIRECT(_xlfn.CONCAT("$I", $F204 + 2)))), $F204 + 2, ""))</f>
        <v>354</v>
      </c>
    </row>
    <row r="206" spans="1:12" ht="68.25">
      <c r="A206" s="1" t="str" cm="1">
        <f t="array" aca="1" ref="A206" ca="1">INDIRECT(_xlfn.CONCAT("$I", $F206))</f>
        <v>Phyrexia: All Will Be One Art Series AONE</v>
      </c>
      <c r="B206" s="1" cm="1">
        <f t="array" aca="1" ref="B206" ca="1">INDIRECT(_xlfn.CONCAT("$J", $F206))</f>
        <v>81</v>
      </c>
      <c r="C206" s="1" cm="1">
        <f t="array" aca="1" ref="C206" ca="1">INDIRECT(_xlfn.CONCAT("$K", $F206))</f>
        <v>44960</v>
      </c>
      <c r="D206" s="1"/>
      <c r="E206" s="1" t="str" cm="1">
        <f t="array" aca="1" ref="E206" ca="1">INDIRECT(_xlfn.CONCAT("$L", $F206))</f>
        <v>en es fr de it pt ja ko ru 汉语 漢語</v>
      </c>
      <c r="F206" s="1" cm="1">
        <f t="array" aca="1" ref="F206" ca="1">IF(NOT(OR(ISERROR(INDIRECT(_xlfn.CONCAT("$I", $F205 + 1))), ISBLANK(INDIRECT(_xlfn.CONCAT("$I", $F205 + 1))))), $F205 + 1, IF(NOT(ISBLANK(INDIRECT(_xlfn.CONCAT("$I", $F205 + 2)))), $F205 + 2, ""))</f>
        <v>356</v>
      </c>
      <c r="I206" s="8" t="s">
        <v>291</v>
      </c>
      <c r="J206" s="8">
        <v>5</v>
      </c>
      <c r="K206" s="9">
        <v>45332</v>
      </c>
      <c r="L206" s="8" t="s">
        <v>174</v>
      </c>
    </row>
    <row r="207" spans="1:12" ht="94.5">
      <c r="A207" s="1" t="str" cm="1">
        <f t="array" aca="1" ref="A207" ca="1">INDIRECT(_xlfn.CONCAT("$I", $F207))</f>
        <v>Phyrexia: All Will Be One Jumpstart Front Cards FONE</v>
      </c>
      <c r="B207" s="1" cm="1">
        <f t="array" aca="1" ref="B207" ca="1">INDIRECT(_xlfn.CONCAT("$J", $F207))</f>
        <v>5</v>
      </c>
      <c r="C207" s="1" cm="1">
        <f t="array" aca="1" ref="C207" ca="1">INDIRECT(_xlfn.CONCAT("$K", $F207))</f>
        <v>44960</v>
      </c>
      <c r="D207" s="1"/>
      <c r="E207" s="1" t="str" cm="1">
        <f t="array" aca="1" ref="E207" ca="1">INDIRECT(_xlfn.CONCAT("$L", $F207))</f>
        <v>en es fr de it pt ja ko ru 汉语 漢語</v>
      </c>
      <c r="F207" s="1" cm="1">
        <f t="array" aca="1" ref="F207" ca="1">IF(NOT(OR(ISERROR(INDIRECT(_xlfn.CONCAT("$I", $F206 + 1))), ISBLANK(INDIRECT(_xlfn.CONCAT("$I", $F206 + 1))))), $F206 + 1, IF(NOT(ISBLANK(INDIRECT(_xlfn.CONCAT("$I", $F206 + 2)))), $F206 + 2, ""))</f>
        <v>358</v>
      </c>
    </row>
    <row r="208" spans="1:12" ht="68.25">
      <c r="A208" s="1" t="str" cm="1">
        <f t="array" aca="1" ref="A208" ca="1">INDIRECT(_xlfn.CONCAT("$I", $F208))</f>
        <v>ONE Japanese Promo Tokens WONE</v>
      </c>
      <c r="B208" s="1" cm="1">
        <f t="array" aca="1" ref="B208" ca="1">INDIRECT(_xlfn.CONCAT("$J", $F208))</f>
        <v>6</v>
      </c>
      <c r="C208" s="1" cm="1">
        <f t="array" aca="1" ref="C208" ca="1">INDIRECT(_xlfn.CONCAT("$K", $F208))</f>
        <v>44953</v>
      </c>
      <c r="D208" s="1"/>
      <c r="E208" s="1" t="str" cm="1">
        <f t="array" aca="1" ref="E208" ca="1">INDIRECT(_xlfn.CONCAT("$L", $F208))</f>
        <v>en es fr de it pt ja ko ru 汉语 漢語</v>
      </c>
      <c r="F208" s="1" cm="1">
        <f t="array" aca="1" ref="F208" ca="1">IF(NOT(OR(ISERROR(INDIRECT(_xlfn.CONCAT("$I", $F207 + 1))), ISBLANK(INDIRECT(_xlfn.CONCAT("$I", $F207 + 1))))), $F207 + 1, IF(NOT(ISBLANK(INDIRECT(_xlfn.CONCAT("$I", $F207 + 2)))), $F207 + 2, ""))</f>
        <v>360</v>
      </c>
      <c r="I208" s="8" t="s">
        <v>292</v>
      </c>
      <c r="J208" s="8">
        <v>49</v>
      </c>
      <c r="K208" s="9">
        <v>45331</v>
      </c>
      <c r="L208" s="8" t="s">
        <v>174</v>
      </c>
    </row>
    <row r="209" spans="1:12" ht="59.25">
      <c r="A209" s="1" t="str" cm="1">
        <f t="array" aca="1" ref="A209" ca="1">INDIRECT(_xlfn.CONCAT("$I", $F209))</f>
        <v>Dominaria Remastered DMR</v>
      </c>
      <c r="B209" s="1" cm="1">
        <f t="array" aca="1" ref="B209" ca="1">INDIRECT(_xlfn.CONCAT("$J", $F209))</f>
        <v>457</v>
      </c>
      <c r="C209" s="1" cm="1">
        <f t="array" aca="1" ref="C209" ca="1">INDIRECT(_xlfn.CONCAT("$K", $F209))</f>
        <v>44939</v>
      </c>
      <c r="D209" s="1"/>
      <c r="E209" s="1" t="str" cm="1">
        <f t="array" aca="1" ref="E209" ca="1">INDIRECT(_xlfn.CONCAT("$L", $F209))</f>
        <v>en es fr de it pt ja ko ru 汉语 漢語</v>
      </c>
      <c r="F209" s="1" cm="1">
        <f t="array" aca="1" ref="F209" ca="1">IF(NOT(OR(ISERROR(INDIRECT(_xlfn.CONCAT("$I", $F208 + 1))), ISBLANK(INDIRECT(_xlfn.CONCAT("$I", $F208 + 1))))), $F208 + 1, IF(NOT(ISBLANK(INDIRECT(_xlfn.CONCAT("$I", $F208 + 2)))), $F208 + 2, ""))</f>
        <v>362</v>
      </c>
    </row>
    <row r="210" spans="1:12" ht="59.25">
      <c r="A210" s="1" t="str" cm="1">
        <f t="array" aca="1" ref="A210" ca="1">INDIRECT(_xlfn.CONCAT("$I", $F210))</f>
        <v>Dominaria Remastered Tokens TDMR</v>
      </c>
      <c r="B210" s="1" cm="1">
        <f t="array" aca="1" ref="B210" ca="1">INDIRECT(_xlfn.CONCAT("$J", $F210))</f>
        <v>14</v>
      </c>
      <c r="C210" s="1" cm="1">
        <f t="array" aca="1" ref="C210" ca="1">INDIRECT(_xlfn.CONCAT("$K", $F210))</f>
        <v>44939</v>
      </c>
      <c r="D210" s="1"/>
      <c r="E210" s="1" t="str" cm="1">
        <f t="array" aca="1" ref="E210" ca="1">INDIRECT(_xlfn.CONCAT("$L", $F210))</f>
        <v>en es fr de it pt ja ko ru 汉语 漢語</v>
      </c>
      <c r="F210" s="1" cm="1">
        <f t="array" aca="1" ref="F210" ca="1">IF(NOT(OR(ISERROR(INDIRECT(_xlfn.CONCAT("$I", $F209 + 1))), ISBLANK(INDIRECT(_xlfn.CONCAT("$I", $F209 + 1))))), $F209 + 1, IF(NOT(ISBLANK(INDIRECT(_xlfn.CONCAT("$I", $F209 + 2)))), $F209 + 2, ""))</f>
        <v>364</v>
      </c>
      <c r="I210" s="8" t="s">
        <v>293</v>
      </c>
      <c r="J210" s="8">
        <v>4</v>
      </c>
      <c r="K210" s="9">
        <v>45331</v>
      </c>
      <c r="L210" s="8" t="s">
        <v>174</v>
      </c>
    </row>
    <row r="211" spans="1:12" ht="68.25">
      <c r="A211" s="1" t="str" cm="1">
        <f t="array" aca="1" ref="A211" ca="1">INDIRECT(_xlfn.CONCAT("$I", $F211))</f>
        <v>Regional Championship Qualifiers 2023 PR23</v>
      </c>
      <c r="B211" s="1" cm="1">
        <f t="array" aca="1" ref="B211" ca="1">INDIRECT(_xlfn.CONCAT("$J", $F211))</f>
        <v>3</v>
      </c>
      <c r="C211" s="1" cm="1">
        <f t="array" aca="1" ref="C211" ca="1">INDIRECT(_xlfn.CONCAT("$K", $F211))</f>
        <v>44933</v>
      </c>
      <c r="D211" s="1"/>
      <c r="E211" s="1" t="str" cm="1">
        <f t="array" aca="1" ref="E211" ca="1">INDIRECT(_xlfn.CONCAT("$L", $F211))</f>
        <v>en es fr de it pt ja ko ru 汉语 漢語</v>
      </c>
      <c r="F211" s="1" cm="1">
        <f t="array" aca="1" ref="F211" ca="1">IF(NOT(OR(ISERROR(INDIRECT(_xlfn.CONCAT("$I", $F210 + 1))), ISBLANK(INDIRECT(_xlfn.CONCAT("$I", $F210 + 1))))), $F210 + 1, IF(NOT(ISBLANK(INDIRECT(_xlfn.CONCAT("$I", $F210 + 2)))), $F210 + 2, ""))</f>
        <v>366</v>
      </c>
    </row>
    <row r="212" spans="1:12" ht="59.25">
      <c r="A212" s="1" t="str" cm="1">
        <f t="array" aca="1" ref="A212" ca="1">INDIRECT(_xlfn.CONCAT("$I", $F212))</f>
        <v>Wizards Play Network 2023 PW23</v>
      </c>
      <c r="B212" s="1" cm="1">
        <f t="array" aca="1" ref="B212" ca="1">INDIRECT(_xlfn.CONCAT("$J", $F212))</f>
        <v>11</v>
      </c>
      <c r="C212" s="1" cm="1">
        <f t="array" aca="1" ref="C212" ca="1">INDIRECT(_xlfn.CONCAT("$K", $F212))</f>
        <v>44927</v>
      </c>
      <c r="D212" s="1"/>
      <c r="E212" s="1" t="str" cm="1">
        <f t="array" aca="1" ref="E212" ca="1">INDIRECT(_xlfn.CONCAT("$L", $F212))</f>
        <v>en es fr de it pt ja ko ru 汉语 漢語</v>
      </c>
      <c r="F212" s="1" cm="1">
        <f t="array" aca="1" ref="F212" ca="1">IF(NOT(OR(ISERROR(INDIRECT(_xlfn.CONCAT("$I", $F211 + 1))), ISBLANK(INDIRECT(_xlfn.CONCAT("$I", $F211 + 1))))), $F211 + 1, IF(NOT(ISBLANK(INDIRECT(_xlfn.CONCAT("$I", $F211 + 2)))), $F211 + 2, ""))</f>
        <v>368</v>
      </c>
      <c r="I212" s="8" t="s">
        <v>294</v>
      </c>
      <c r="J212" s="8">
        <v>358</v>
      </c>
      <c r="K212" s="9">
        <v>45331</v>
      </c>
      <c r="L212" t="s">
        <v>174</v>
      </c>
    </row>
    <row r="213" spans="1:12" ht="59.25">
      <c r="A213" s="1" t="str" cm="1">
        <f t="array" aca="1" ref="A213" ca="1">INDIRECT(_xlfn.CONCAT("$I", $F213))</f>
        <v>Judge Gift Cards 2023 P23</v>
      </c>
      <c r="B213" s="1" cm="1">
        <f t="array" aca="1" ref="B213" ca="1">INDIRECT(_xlfn.CONCAT("$J", $F213))</f>
        <v>10</v>
      </c>
      <c r="C213" s="1" cm="1">
        <f t="array" aca="1" ref="C213" ca="1">INDIRECT(_xlfn.CONCAT("$K", $F213))</f>
        <v>44927</v>
      </c>
      <c r="D213" s="1"/>
      <c r="E213" s="1" t="str" cm="1">
        <f t="array" aca="1" ref="E213" ca="1">INDIRECT(_xlfn.CONCAT("$L", $F213))</f>
        <v>en es fr de it pt ja ko ru 汉语 漢語</v>
      </c>
      <c r="F213" s="1" cm="1">
        <f t="array" aca="1" ref="F213" ca="1">IF(NOT(OR(ISERROR(INDIRECT(_xlfn.CONCAT("$I", $F212 + 1))), ISBLANK(INDIRECT(_xlfn.CONCAT("$I", $F212 + 1))))), $F212 + 1, IF(NOT(ISBLANK(INDIRECT(_xlfn.CONCAT("$I", $F212 + 2)))), $F212 + 2, ""))</f>
        <v>370</v>
      </c>
    </row>
    <row r="214" spans="1:12" ht="59.25">
      <c r="A214" s="1" t="str" cm="1">
        <f t="array" aca="1" ref="A214" ca="1">INDIRECT(_xlfn.CONCAT("$I", $F214))</f>
        <v>Explorer Anthology 2 EA2</v>
      </c>
      <c r="B214" s="1" cm="1">
        <f t="array" aca="1" ref="B214" ca="1">INDIRECT(_xlfn.CONCAT("$J", $F214))</f>
        <v>25</v>
      </c>
      <c r="C214" s="1" cm="1">
        <f t="array" aca="1" ref="C214" ca="1">INDIRECT(_xlfn.CONCAT("$K", $F214))</f>
        <v>44908</v>
      </c>
      <c r="D214" s="1"/>
      <c r="E214" s="1" t="str" cm="1">
        <f t="array" aca="1" ref="E214" ca="1">INDIRECT(_xlfn.CONCAT("$L", $F214))</f>
        <v>en es fr de it pt ja ko ru 汉语 漢語</v>
      </c>
      <c r="F214" s="1" cm="1">
        <f t="array" aca="1" ref="F214" ca="1">IF(NOT(OR(ISERROR(INDIRECT(_xlfn.CONCAT("$I", $F213 + 1))), ISBLANK(INDIRECT(_xlfn.CONCAT("$I", $F213 + 1))))), $F213 + 1, IF(NOT(ISBLANK(INDIRECT(_xlfn.CONCAT("$I", $F213 + 2)))), $F213 + 2, ""))</f>
        <v>372</v>
      </c>
      <c r="I214" s="8" t="s">
        <v>295</v>
      </c>
      <c r="J214" s="8">
        <v>31</v>
      </c>
      <c r="K214" s="9">
        <v>45331</v>
      </c>
      <c r="L214" s="8" t="s">
        <v>174</v>
      </c>
    </row>
    <row r="215" spans="1:12" ht="59.25">
      <c r="A215" s="1" t="str" cm="1">
        <f t="array" aca="1" ref="A215" ca="1">INDIRECT(_xlfn.CONCAT("$I", $F215))</f>
        <v>Starter Commander Decks SCD</v>
      </c>
      <c r="B215" s="1" cm="1">
        <f t="array" aca="1" ref="B215" ca="1">INDIRECT(_xlfn.CONCAT("$J", $F215))</f>
        <v>352</v>
      </c>
      <c r="C215" s="1" cm="1">
        <f t="array" aca="1" ref="C215" ca="1">INDIRECT(_xlfn.CONCAT("$K", $F215))</f>
        <v>44897</v>
      </c>
      <c r="D215" s="1"/>
      <c r="E215" s="1" t="str" cm="1">
        <f t="array" aca="1" ref="E215" ca="1">INDIRECT(_xlfn.CONCAT("$L", $F215))</f>
        <v>en es fr de it pt ja ko ru 汉语 漢語</v>
      </c>
      <c r="F215" s="1" cm="1">
        <f t="array" aca="1" ref="F215" ca="1">IF(NOT(OR(ISERROR(INDIRECT(_xlfn.CONCAT("$I", $F214 + 1))), ISBLANK(INDIRECT(_xlfn.CONCAT("$I", $F214 + 1))))), $F214 + 1, IF(NOT(ISBLANK(INDIRECT(_xlfn.CONCAT("$I", $F214 + 2)))), $F214 + 2, ""))</f>
        <v>374</v>
      </c>
    </row>
    <row r="216" spans="1:12" ht="68.25">
      <c r="A216" s="1" t="str" cm="1">
        <f t="array" aca="1" ref="A216" ca="1">INDIRECT(_xlfn.CONCAT("$I", $F216))</f>
        <v>Starter Commander Deck Tokens TSCD</v>
      </c>
      <c r="B216" s="1" cm="1">
        <f t="array" aca="1" ref="B216" ca="1">INDIRECT(_xlfn.CONCAT("$J", $F216))</f>
        <v>27</v>
      </c>
      <c r="C216" s="1" cm="1">
        <f t="array" aca="1" ref="C216" ca="1">INDIRECT(_xlfn.CONCAT("$K", $F216))</f>
        <v>44897</v>
      </c>
      <c r="D216" s="1"/>
      <c r="E216" s="1" t="str" cm="1">
        <f t="array" aca="1" ref="E216" ca="1">INDIRECT(_xlfn.CONCAT("$L", $F216))</f>
        <v>en es fr de it pt ja ko ru 汉语 漢語</v>
      </c>
      <c r="F216" s="1" cm="1">
        <f t="array" aca="1" ref="F216" ca="1">IF(NOT(OR(ISERROR(INDIRECT(_xlfn.CONCAT("$I", $F215 + 1))), ISBLANK(INDIRECT(_xlfn.CONCAT("$I", $F215 + 1))))), $F215 + 1, IF(NOT(ISBLANK(INDIRECT(_xlfn.CONCAT("$I", $F215 + 2)))), $F215 + 2, ""))</f>
        <v>376</v>
      </c>
      <c r="I216" s="8" t="s">
        <v>296</v>
      </c>
      <c r="J216" s="8">
        <v>7</v>
      </c>
      <c r="K216" s="9">
        <v>45330</v>
      </c>
      <c r="L216" t="s">
        <v>174</v>
      </c>
    </row>
    <row r="217" spans="1:12" ht="59.25">
      <c r="A217" s="1" t="str" cm="1">
        <f t="array" aca="1" ref="A217" ca="1">INDIRECT(_xlfn.CONCAT("$I", $F217))</f>
        <v>Jumpstart 2022 J22</v>
      </c>
      <c r="B217" s="1" cm="1">
        <f t="array" aca="1" ref="B217" ca="1">INDIRECT(_xlfn.CONCAT("$J", $F217))</f>
        <v>835</v>
      </c>
      <c r="C217" s="1" cm="1">
        <f t="array" aca="1" ref="C217" ca="1">INDIRECT(_xlfn.CONCAT("$K", $F217))</f>
        <v>44897</v>
      </c>
      <c r="D217" s="1"/>
      <c r="E217" s="1" t="str" cm="1">
        <f t="array" aca="1" ref="E217" ca="1">INDIRECT(_xlfn.CONCAT("$L", $F217))</f>
        <v>en es fr de it pt ja ko ru 汉语 漢語</v>
      </c>
      <c r="F217" s="1" cm="1">
        <f t="array" aca="1" ref="F217" ca="1">IF(NOT(OR(ISERROR(INDIRECT(_xlfn.CONCAT("$I", $F216 + 1))), ISBLANK(INDIRECT(_xlfn.CONCAT("$I", $F216 + 1))))), $F216 + 1, IF(NOT(ISBLANK(INDIRECT(_xlfn.CONCAT("$I", $F216 + 2)))), $F216 + 2, ""))</f>
        <v>378</v>
      </c>
    </row>
    <row r="218" spans="1:12" ht="59.25">
      <c r="A218" s="1" t="str" cm="1">
        <f t="array" aca="1" ref="A218" ca="1">INDIRECT(_xlfn.CONCAT("$I", $F218))</f>
        <v>Jumpstart 2022 Front Cards FJ22</v>
      </c>
      <c r="B218" s="1" cm="1">
        <f t="array" aca="1" ref="B218" ca="1">INDIRECT(_xlfn.CONCAT("$J", $F218))</f>
        <v>46</v>
      </c>
      <c r="C218" s="1" cm="1">
        <f t="array" aca="1" ref="C218" ca="1">INDIRECT(_xlfn.CONCAT("$K", $F218))</f>
        <v>44897</v>
      </c>
      <c r="D218" s="1"/>
      <c r="E218" s="1" t="str" cm="1">
        <f t="array" aca="1" ref="E218" ca="1">INDIRECT(_xlfn.CONCAT("$L", $F218))</f>
        <v>en es fr de it pt ja ko ru 汉语 漢語</v>
      </c>
      <c r="F218" s="1" cm="1">
        <f t="array" aca="1" ref="F218" ca="1">IF(NOT(OR(ISERROR(INDIRECT(_xlfn.CONCAT("$I", $F217 + 1))), ISBLANK(INDIRECT(_xlfn.CONCAT("$I", $F217 + 1))))), $F217 + 1, IF(NOT(ISBLANK(INDIRECT(_xlfn.CONCAT("$I", $F217 + 2)))), $F217 + 2, ""))</f>
        <v>380</v>
      </c>
      <c r="I218" s="8" t="s">
        <v>1202</v>
      </c>
      <c r="J218" s="8">
        <v>531</v>
      </c>
      <c r="K218" s="9">
        <v>45303</v>
      </c>
      <c r="L218" t="s">
        <v>174</v>
      </c>
    </row>
    <row r="219" spans="1:12" ht="59.25">
      <c r="A219" s="1" t="str" cm="1">
        <f t="array" aca="1" ref="A219" ca="1">INDIRECT(_xlfn.CONCAT("$I", $F219))</f>
        <v>30th Anniversary Edition 30A</v>
      </c>
      <c r="B219" s="1" cm="1">
        <f t="array" aca="1" ref="B219" ca="1">INDIRECT(_xlfn.CONCAT("$J", $F219))</f>
        <v>594</v>
      </c>
      <c r="C219" s="1" cm="1">
        <f t="array" aca="1" ref="C219" ca="1">INDIRECT(_xlfn.CONCAT("$K", $F219))</f>
        <v>44893</v>
      </c>
      <c r="D219" s="1"/>
      <c r="E219" s="1" t="str" cm="1">
        <f t="array" aca="1" ref="E219" ca="1">INDIRECT(_xlfn.CONCAT("$L", $F219))</f>
        <v>en es fr de it pt ja ko ru 汉语 漢語</v>
      </c>
      <c r="F219" s="1" cm="1">
        <f t="array" aca="1" ref="F219" ca="1">IF(NOT(OR(ISERROR(INDIRECT(_xlfn.CONCAT("$I", $F218 + 1))), ISBLANK(INDIRECT(_xlfn.CONCAT("$I", $F218 + 1))))), $F218 + 1, IF(NOT(ISBLANK(INDIRECT(_xlfn.CONCAT("$I", $F218 + 2)))), $F218 + 2, ""))</f>
        <v>382</v>
      </c>
    </row>
    <row r="220" spans="1:12" ht="68.25">
      <c r="A220" s="1" t="str" cm="1">
        <f t="array" aca="1" ref="A220" ca="1">INDIRECT(_xlfn.CONCAT("$I", $F220))</f>
        <v>30th Anniversary Play Promos P30A</v>
      </c>
      <c r="B220" s="1" cm="1">
        <f t="array" aca="1" ref="B220" ca="1">INDIRECT(_xlfn.CONCAT("$J", $F220))</f>
        <v>30</v>
      </c>
      <c r="C220" s="1" cm="1">
        <f t="array" aca="1" ref="C220" ca="1">INDIRECT(_xlfn.CONCAT("$K", $F220))</f>
        <v>44806</v>
      </c>
      <c r="D220" s="1"/>
      <c r="E220" s="1" t="str" cm="1">
        <f t="array" aca="1" ref="E220" ca="1">INDIRECT(_xlfn.CONCAT("$L", $F220))</f>
        <v>en es fr de it pt ja ko ru 汉语 漢語</v>
      </c>
      <c r="F220" s="1" cm="1">
        <f t="array" aca="1" ref="F220" ca="1">IF(NOT(OR(ISERROR(INDIRECT(_xlfn.CONCAT("$I", $F219 + 1))), ISBLANK(INDIRECT(_xlfn.CONCAT("$I", $F219 + 1))))), $F219 + 1, IF(NOT(ISBLANK(INDIRECT(_xlfn.CONCAT("$I", $F219 + 2)))), $F219 + 2, ""))</f>
        <v>384</v>
      </c>
      <c r="I220" s="8" t="s">
        <v>297</v>
      </c>
      <c r="J220" s="8">
        <v>20</v>
      </c>
      <c r="K220" s="9">
        <v>45303</v>
      </c>
      <c r="L220" s="8" t="s">
        <v>174</v>
      </c>
    </row>
    <row r="221" spans="1:12" ht="59.25">
      <c r="A221" s="1" t="str" cm="1">
        <f t="array" aca="1" ref="A221" ca="1">INDIRECT(_xlfn.CONCAT("$I", $F221))</f>
        <v>30th Anniversary Tokens T30A</v>
      </c>
      <c r="B221" s="1" cm="1">
        <f t="array" aca="1" ref="B221" ca="1">INDIRECT(_xlfn.CONCAT("$J", $F221))</f>
        <v>16</v>
      </c>
      <c r="C221" s="1" cm="1">
        <f t="array" aca="1" ref="C221" ca="1">INDIRECT(_xlfn.CONCAT("$K", $F221))</f>
        <v>44893</v>
      </c>
      <c r="D221" s="1"/>
      <c r="E221" s="1" t="str" cm="1">
        <f t="array" aca="1" ref="E221" ca="1">INDIRECT(_xlfn.CONCAT("$L", $F221))</f>
        <v>en es fr de it pt ja ko ru 汉语 漢語</v>
      </c>
      <c r="F221" s="1" cm="1">
        <f t="array" aca="1" ref="F221" ca="1">IF(NOT(OR(ISERROR(INDIRECT(_xlfn.CONCAT("$I", $F220 + 1))), ISBLANK(INDIRECT(_xlfn.CONCAT("$I", $F220 + 1))))), $F220 + 1, IF(NOT(ISBLANK(INDIRECT(_xlfn.CONCAT("$I", $F220 + 2)))), $F220 + 2, ""))</f>
        <v>386</v>
      </c>
    </row>
    <row r="222" spans="1:12" ht="68.25">
      <c r="A222" s="1" t="str" cm="1">
        <f t="array" aca="1" ref="A222" ca="1">INDIRECT(_xlfn.CONCAT("$I", $F222))</f>
        <v>30th Anniversary Celebration Tokyo P30T</v>
      </c>
      <c r="B222" s="1" cm="1">
        <f t="array" aca="1" ref="B222" ca="1">INDIRECT(_xlfn.CONCAT("$J", $F222))</f>
        <v>2</v>
      </c>
      <c r="C222" s="1" cm="1">
        <f t="array" aca="1" ref="C222" ca="1">INDIRECT(_xlfn.CONCAT("$K", $F222))</f>
        <v>45170</v>
      </c>
      <c r="D222" s="1"/>
      <c r="E222" s="1" t="str" cm="1">
        <f t="array" aca="1" ref="E222" ca="1">INDIRECT(_xlfn.CONCAT("$L", $F222))</f>
        <v>en es fr de it pt ja ko ru 汉语 漢語</v>
      </c>
      <c r="F222" s="1" cm="1">
        <f t="array" aca="1" ref="F222" ca="1">IF(NOT(OR(ISERROR(INDIRECT(_xlfn.CONCAT("$I", $F221 + 1))), ISBLANK(INDIRECT(_xlfn.CONCAT("$I", $F221 + 1))))), $F221 + 1, IF(NOT(ISBLANK(INDIRECT(_xlfn.CONCAT("$I", $F221 + 2)))), $F221 + 2, ""))</f>
        <v>388</v>
      </c>
      <c r="I222" s="8" t="s">
        <v>298</v>
      </c>
      <c r="J222" s="8">
        <v>2</v>
      </c>
      <c r="K222" s="9">
        <v>45292</v>
      </c>
      <c r="L222" s="8" t="s">
        <v>174</v>
      </c>
    </row>
    <row r="223" spans="1:12" ht="68.25">
      <c r="A223" s="1" t="str" cm="1">
        <f t="array" aca="1" ref="A223" ca="1">INDIRECT(_xlfn.CONCAT("$I", $F223))</f>
        <v>30th Anniversary History Promos P30H</v>
      </c>
      <c r="B223" s="1" cm="1">
        <f t="array" aca="1" ref="B223" ca="1">INDIRECT(_xlfn.CONCAT("$J", $F223))</f>
        <v>10</v>
      </c>
      <c r="C223" s="1" cm="1">
        <f t="array" aca="1" ref="C223" ca="1">INDIRECT(_xlfn.CONCAT("$K", $F223))</f>
        <v>44813</v>
      </c>
      <c r="D223" s="1"/>
      <c r="E223" s="1" t="str" cm="1">
        <f t="array" aca="1" ref="E223" ca="1">INDIRECT(_xlfn.CONCAT("$L", $F223))</f>
        <v>en es fr de it pt ja ko ru 汉语 漢語</v>
      </c>
      <c r="F223" s="1" cm="1">
        <f t="array" aca="1" ref="F223" ca="1">IF(NOT(OR(ISERROR(INDIRECT(_xlfn.CONCAT("$I", $F222 + 1))), ISBLANK(INDIRECT(_xlfn.CONCAT("$I", $F222 + 1))))), $F222 + 1, IF(NOT(ISBLANK(INDIRECT(_xlfn.CONCAT("$I", $F222 + 2)))), $F222 + 2, ""))</f>
        <v>390</v>
      </c>
    </row>
    <row r="224" spans="1:12" ht="68.25">
      <c r="A224" s="1" t="str" cm="1">
        <f t="array" aca="1" ref="A224" ca="1">INDIRECT(_xlfn.CONCAT("$I", $F224))</f>
        <v>30th Anniversary Misc Promos P30M</v>
      </c>
      <c r="B224" s="1" cm="1">
        <f t="array" aca="1" ref="B224" ca="1">INDIRECT(_xlfn.CONCAT("$J", $F224))</f>
        <v>5</v>
      </c>
      <c r="C224" s="1" cm="1">
        <f t="array" aca="1" ref="C224" ca="1">INDIRECT(_xlfn.CONCAT("$K", $F224))</f>
        <v>44806</v>
      </c>
      <c r="D224" s="1"/>
      <c r="E224" s="1" t="str" cm="1">
        <f t="array" aca="1" ref="E224" ca="1">INDIRECT(_xlfn.CONCAT("$L", $F224))</f>
        <v>en es fr de it pt ja ko ru 汉语 漢語</v>
      </c>
      <c r="F224" s="1" cm="1">
        <f t="array" aca="1" ref="F224" ca="1">IF(NOT(OR(ISERROR(INDIRECT(_xlfn.CONCAT("$I", $F223 + 1))), ISBLANK(INDIRECT(_xlfn.CONCAT("$I", $F223 + 1))))), $F223 + 1, IF(NOT(ISBLANK(INDIRECT(_xlfn.CONCAT("$I", $F223 + 2)))), $F223 + 2, ""))</f>
        <v>392</v>
      </c>
      <c r="I224" s="8" t="s">
        <v>299</v>
      </c>
      <c r="J224" s="8">
        <v>18</v>
      </c>
      <c r="K224" s="9">
        <v>45292</v>
      </c>
      <c r="L224" t="s">
        <v>174</v>
      </c>
    </row>
    <row r="225" spans="1:12" ht="59.25">
      <c r="A225" s="1" t="str" cm="1">
        <f t="array" aca="1" ref="A225" ca="1">INDIRECT(_xlfn.CONCAT("$I", $F225))</f>
        <v>Eternal Weekend PEWK</v>
      </c>
      <c r="B225" s="1" cm="1">
        <f t="array" aca="1" ref="B225" ca="1">INDIRECT(_xlfn.CONCAT("$J", $F225))</f>
        <v>8</v>
      </c>
      <c r="C225" s="1" cm="1">
        <f t="array" aca="1" ref="C225" ca="1">INDIRECT(_xlfn.CONCAT("$K", $F225))</f>
        <v>44891</v>
      </c>
      <c r="D225" s="1"/>
      <c r="E225" s="1" t="str" cm="1">
        <f t="array" aca="1" ref="E225" ca="1">INDIRECT(_xlfn.CONCAT("$L", $F225))</f>
        <v>en es fr de it pt ja ko ru 汉语 漢語</v>
      </c>
      <c r="F225" s="1" cm="1">
        <f t="array" aca="1" ref="F225" ca="1">IF(NOT(OR(ISERROR(INDIRECT(_xlfn.CONCAT("$I", $F224 + 1))), ISBLANK(INDIRECT(_xlfn.CONCAT("$I", $F224 + 1))))), $F224 + 1, IF(NOT(ISBLANK(INDIRECT(_xlfn.CONCAT("$I", $F224 + 2)))), $F224 + 2, ""))</f>
        <v>394</v>
      </c>
    </row>
    <row r="226" spans="1:12" ht="59.25">
      <c r="A226" s="1" t="str" cm="1">
        <f t="array" aca="1" ref="A226" ca="1">INDIRECT(_xlfn.CONCAT("$I", $F226))</f>
        <v>The Brothers' War BRO</v>
      </c>
      <c r="B226" s="1" cm="1">
        <f t="array" aca="1" ref="B226" ca="1">INDIRECT(_xlfn.CONCAT("$J", $F226))</f>
        <v>399</v>
      </c>
      <c r="C226" s="1" cm="1">
        <f t="array" aca="1" ref="C226" ca="1">INDIRECT(_xlfn.CONCAT("$K", $F226))</f>
        <v>44883</v>
      </c>
      <c r="D226" s="1"/>
      <c r="E226" s="1" t="str" cm="1">
        <f t="array" aca="1" ref="E226" ca="1">INDIRECT(_xlfn.CONCAT("$L", $F226))</f>
        <v>en es fr de it pt ja ko ru 汉语 漢語</v>
      </c>
      <c r="F226" s="1" cm="1">
        <f t="array" aca="1" ref="F226" ca="1">IF(NOT(OR(ISERROR(INDIRECT(_xlfn.CONCAT("$I", $F225 + 1))), ISBLANK(INDIRECT(_xlfn.CONCAT("$I", $F225 + 1))))), $F225 + 1, IF(NOT(ISBLANK(INDIRECT(_xlfn.CONCAT("$I", $F225 + 2)))), $F225 + 2, ""))</f>
        <v>396</v>
      </c>
      <c r="I226" s="8" t="s">
        <v>300</v>
      </c>
      <c r="J226" s="8">
        <v>134</v>
      </c>
      <c r="K226" s="9">
        <v>45247</v>
      </c>
      <c r="L226" s="8" t="s">
        <v>174</v>
      </c>
    </row>
    <row r="227" spans="1:12" ht="68.25">
      <c r="A227" s="1" t="str" cm="1">
        <f t="array" aca="1" ref="A227" ca="1">INDIRECT(_xlfn.CONCAT("$I", $F227))</f>
        <v>The Brothers' War Retro Artifacts BRR</v>
      </c>
      <c r="B227" s="1" cm="1">
        <f t="array" aca="1" ref="B227" ca="1">INDIRECT(_xlfn.CONCAT("$J", $F227))</f>
        <v>189</v>
      </c>
      <c r="C227" s="1" cm="1">
        <f t="array" aca="1" ref="C227" ca="1">INDIRECT(_xlfn.CONCAT("$K", $F227))</f>
        <v>44883</v>
      </c>
      <c r="D227" s="1"/>
      <c r="E227" s="1" t="str" cm="1">
        <f t="array" aca="1" ref="E227" ca="1">INDIRECT(_xlfn.CONCAT("$L", $F227))</f>
        <v>en es fr de it pt ja ko ru 汉语 漢語</v>
      </c>
      <c r="F227" s="1" cm="1">
        <f t="array" aca="1" ref="F227" ca="1">IF(NOT(OR(ISERROR(INDIRECT(_xlfn.CONCAT("$I", $F226 + 1))), ISBLANK(INDIRECT(_xlfn.CONCAT("$I", $F226 + 1))))), $F226 + 1, IF(NOT(ISBLANK(INDIRECT(_xlfn.CONCAT("$I", $F226 + 2)))), $F226 + 2, ""))</f>
        <v>398</v>
      </c>
    </row>
    <row r="228" spans="1:12" ht="68.25">
      <c r="A228" s="1" t="str" cm="1">
        <f t="array" aca="1" ref="A228" ca="1">INDIRECT(_xlfn.CONCAT("$I", $F228))</f>
        <v>The Brothers' War Promos PBRO</v>
      </c>
      <c r="B228" s="1" cm="1">
        <f t="array" aca="1" ref="B228" ca="1">INDIRECT(_xlfn.CONCAT("$J", $F228))</f>
        <v>171</v>
      </c>
      <c r="C228" s="1" cm="1">
        <f t="array" aca="1" ref="C228" ca="1">INDIRECT(_xlfn.CONCAT("$K", $F228))</f>
        <v>44883</v>
      </c>
      <c r="D228" s="1"/>
      <c r="E228" s="1" t="str" cm="1">
        <f t="array" aca="1" ref="E228" ca="1">INDIRECT(_xlfn.CONCAT("$L", $F228))</f>
        <v>en es fr de it pt ja ko ru 汉语 漢語</v>
      </c>
      <c r="F228" s="1" cm="1">
        <f t="array" aca="1" ref="F228" ca="1">IF(NOT(OR(ISERROR(INDIRECT(_xlfn.CONCAT("$I", $F227 + 1))), ISBLANK(INDIRECT(_xlfn.CONCAT("$I", $F227 + 1))))), $F227 + 1, IF(NOT(ISBLANK(INDIRECT(_xlfn.CONCAT("$I", $F227 + 2)))), $F227 + 2, ""))</f>
        <v>400</v>
      </c>
      <c r="I228" s="8" t="s">
        <v>1236</v>
      </c>
      <c r="J228" s="8">
        <v>416</v>
      </c>
      <c r="K228" s="9">
        <v>45247</v>
      </c>
      <c r="L228" t="s">
        <v>174</v>
      </c>
    </row>
    <row r="229" spans="1:12" ht="59.25">
      <c r="A229" s="1" t="str" cm="1">
        <f t="array" aca="1" ref="A229" ca="1">INDIRECT(_xlfn.CONCAT("$I", $F229))</f>
        <v>The Brothers' War Tokens TBRO</v>
      </c>
      <c r="B229" s="1" cm="1">
        <f t="array" aca="1" ref="B229" ca="1">INDIRECT(_xlfn.CONCAT("$J", $F229))</f>
        <v>12</v>
      </c>
      <c r="C229" s="1" cm="1">
        <f t="array" aca="1" ref="C229" ca="1">INDIRECT(_xlfn.CONCAT("$K", $F229))</f>
        <v>44883</v>
      </c>
      <c r="D229" s="1"/>
      <c r="E229" s="1" t="str" cm="1">
        <f t="array" aca="1" ref="E229" ca="1">INDIRECT(_xlfn.CONCAT("$L", $F229))</f>
        <v>en es fr de it pt ja ko ru 汉语 漢語</v>
      </c>
      <c r="F229" s="1" cm="1">
        <f t="array" aca="1" ref="F229" ca="1">IF(NOT(OR(ISERROR(INDIRECT(_xlfn.CONCAT("$I", $F228 + 1))), ISBLANK(INDIRECT(_xlfn.CONCAT("$I", $F228 + 1))))), $F228 + 1, IF(NOT(ISBLANK(INDIRECT(_xlfn.CONCAT("$I", $F228 + 2)))), $F228 + 2, ""))</f>
        <v>402</v>
      </c>
    </row>
    <row r="230" spans="1:12" ht="59.25">
      <c r="A230" s="1" t="str" cm="1">
        <f t="array" aca="1" ref="A230" ca="1">INDIRECT(_xlfn.CONCAT("$I", $F230))</f>
        <v>Alchemy: The Brothers' War YBRO</v>
      </c>
      <c r="B230" s="1" cm="1">
        <f t="array" aca="1" ref="B230" ca="1">INDIRECT(_xlfn.CONCAT("$J", $F230))</f>
        <v>31</v>
      </c>
      <c r="C230" s="1" cm="1">
        <f t="array" aca="1" ref="C230" ca="1">INDIRECT(_xlfn.CONCAT("$K", $F230))</f>
        <v>44908</v>
      </c>
      <c r="D230" s="1"/>
      <c r="E230" s="1" t="str" cm="1">
        <f t="array" aca="1" ref="E230" ca="1">INDIRECT(_xlfn.CONCAT("$L", $F230))</f>
        <v>en es fr de it pt ja ko ru 汉语 漢語</v>
      </c>
      <c r="F230" s="1" cm="1">
        <f t="array" aca="1" ref="F230" ca="1">IF(NOT(OR(ISERROR(INDIRECT(_xlfn.CONCAT("$I", $F229 + 1))), ISBLANK(INDIRECT(_xlfn.CONCAT("$I", $F229 + 1))))), $F229 + 1, IF(NOT(ISBLANK(INDIRECT(_xlfn.CONCAT("$I", $F229 + 2)))), $F229 + 2, ""))</f>
        <v>404</v>
      </c>
      <c r="I230" s="8" t="s">
        <v>301</v>
      </c>
      <c r="J230" s="8">
        <v>136</v>
      </c>
      <c r="K230" s="9">
        <v>45247</v>
      </c>
      <c r="L230" s="8" t="s">
        <v>174</v>
      </c>
    </row>
    <row r="231" spans="1:12" ht="68.25">
      <c r="A231" s="1" t="str" cm="1">
        <f t="array" aca="1" ref="A231" ca="1">INDIRECT(_xlfn.CONCAT("$I", $F231))</f>
        <v>The Brothers' War Commander BRC</v>
      </c>
      <c r="B231" s="1" cm="1">
        <f t="array" aca="1" ref="B231" ca="1">INDIRECT(_xlfn.CONCAT("$J", $F231))</f>
        <v>209</v>
      </c>
      <c r="C231" s="1" cm="1">
        <f t="array" aca="1" ref="C231" ca="1">INDIRECT(_xlfn.CONCAT("$K", $F231))</f>
        <v>44883</v>
      </c>
      <c r="D231" s="1"/>
      <c r="E231" s="1" t="str" cm="1">
        <f t="array" aca="1" ref="E231" ca="1">INDIRECT(_xlfn.CONCAT("$L", $F231))</f>
        <v>en es fr de it pt ja ko ru 汉语 漢語</v>
      </c>
      <c r="F231" s="1" cm="1">
        <f t="array" aca="1" ref="F231" ca="1">IF(NOT(OR(ISERROR(INDIRECT(_xlfn.CONCAT("$I", $F230 + 1))), ISBLANK(INDIRECT(_xlfn.CONCAT("$I", $F230 + 1))))), $F230 + 1, IF(NOT(ISBLANK(INDIRECT(_xlfn.CONCAT("$I", $F230 + 2)))), $F230 + 2, ""))</f>
        <v>406</v>
      </c>
    </row>
    <row r="232" spans="1:12" ht="81">
      <c r="A232" s="1" t="str" cm="1">
        <f t="array" aca="1" ref="A232" ca="1">INDIRECT(_xlfn.CONCAT("$I", $F232))</f>
        <v>The Brothers' War Commander Tokens TBRC</v>
      </c>
      <c r="B232" s="1" cm="1">
        <f t="array" aca="1" ref="B232" ca="1">INDIRECT(_xlfn.CONCAT("$J", $F232))</f>
        <v>14</v>
      </c>
      <c r="C232" s="1" cm="1">
        <f t="array" aca="1" ref="C232" ca="1">INDIRECT(_xlfn.CONCAT("$K", $F232))</f>
        <v>44883</v>
      </c>
      <c r="D232" s="1"/>
      <c r="E232" s="1" t="str" cm="1">
        <f t="array" aca="1" ref="E232" ca="1">INDIRECT(_xlfn.CONCAT("$L", $F232))</f>
        <v>en es fr de it pt ja ko ru 汉语 漢語</v>
      </c>
      <c r="F232" s="1" cm="1">
        <f t="array" aca="1" ref="F232" ca="1">IF(NOT(OR(ISERROR(INDIRECT(_xlfn.CONCAT("$I", $F231 + 1))), ISBLANK(INDIRECT(_xlfn.CONCAT("$I", $F231 + 1))))), $F231 + 1, IF(NOT(ISBLANK(INDIRECT(_xlfn.CONCAT("$I", $F231 + 2)))), $F231 + 2, ""))</f>
        <v>408</v>
      </c>
      <c r="I232" s="8" t="s">
        <v>302</v>
      </c>
      <c r="J232" s="8">
        <v>19</v>
      </c>
      <c r="K232" s="9">
        <v>45247</v>
      </c>
      <c r="L232" s="8" t="s">
        <v>174</v>
      </c>
    </row>
    <row r="233" spans="1:12" ht="59.25">
      <c r="A233" s="1" t="str" cm="1">
        <f t="array" aca="1" ref="A233" ca="1">INDIRECT(_xlfn.CONCAT("$I", $F233))</f>
        <v>Transformers BOT</v>
      </c>
      <c r="B233" s="1" cm="1">
        <f t="array" aca="1" ref="B233" ca="1">INDIRECT(_xlfn.CONCAT("$J", $F233))</f>
        <v>29</v>
      </c>
      <c r="C233" s="1" cm="1">
        <f t="array" aca="1" ref="C233" ca="1">INDIRECT(_xlfn.CONCAT("$K", $F233))</f>
        <v>44883</v>
      </c>
      <c r="D233" s="1"/>
      <c r="E233" s="1" t="str" cm="1">
        <f t="array" aca="1" ref="E233" ca="1">INDIRECT(_xlfn.CONCAT("$L", $F233))</f>
        <v>en es fr de it pt ja ko ru 汉语 漢語</v>
      </c>
      <c r="F233" s="1" cm="1">
        <f t="array" aca="1" ref="F233" ca="1">IF(NOT(OR(ISERROR(INDIRECT(_xlfn.CONCAT("$I", $F232 + 1))), ISBLANK(INDIRECT(_xlfn.CONCAT("$I", $F232 + 1))))), $F232 + 1, IF(NOT(ISBLANK(INDIRECT(_xlfn.CONCAT("$I", $F232 + 2)))), $F232 + 2, ""))</f>
        <v>410</v>
      </c>
    </row>
    <row r="234" spans="1:12" ht="59.25">
      <c r="A234" s="1" t="str" cm="1">
        <f t="array" aca="1" ref="A234" ca="1">INDIRECT(_xlfn.CONCAT("$I", $F234))</f>
        <v>Transformers Tokens TBOT</v>
      </c>
      <c r="B234" s="1" cm="1">
        <f t="array" aca="1" ref="B234" ca="1">INDIRECT(_xlfn.CONCAT("$J", $F234))</f>
        <v>2</v>
      </c>
      <c r="C234" s="1" cm="1">
        <f t="array" aca="1" ref="C234" ca="1">INDIRECT(_xlfn.CONCAT("$K", $F234))</f>
        <v>44883</v>
      </c>
      <c r="D234" s="1"/>
      <c r="E234" s="1" t="str" cm="1">
        <f t="array" aca="1" ref="E234" ca="1">INDIRECT(_xlfn.CONCAT("$L", $F234))</f>
        <v>en es fr de it pt ja ko ru 汉语 漢語</v>
      </c>
      <c r="F234" s="1" cm="1">
        <f t="array" aca="1" ref="F234" ca="1">IF(NOT(OR(ISERROR(INDIRECT(_xlfn.CONCAT("$I", $F233 + 1))), ISBLANK(INDIRECT(_xlfn.CONCAT("$I", $F233 + 1))))), $F233 + 1, IF(NOT(ISBLANK(INDIRECT(_xlfn.CONCAT("$I", $F233 + 2)))), $F233 + 2, ""))</f>
        <v>412</v>
      </c>
      <c r="I234" s="8" t="s">
        <v>303</v>
      </c>
      <c r="J234" s="8">
        <v>30</v>
      </c>
      <c r="K234" s="9">
        <v>45265</v>
      </c>
      <c r="L234" s="8" t="s">
        <v>174</v>
      </c>
    </row>
    <row r="235" spans="1:12" ht="94.5">
      <c r="A235" s="1" t="str" cm="1">
        <f t="array" aca="1" ref="A235" ca="1">INDIRECT(_xlfn.CONCAT("$I", $F235))</f>
        <v>The Brothers' War Southeast Asia Tokens PTBRO</v>
      </c>
      <c r="B235" s="1" cm="1">
        <f t="array" aca="1" ref="B235" ca="1">INDIRECT(_xlfn.CONCAT("$J", $F235))</f>
        <v>3</v>
      </c>
      <c r="C235" s="1" cm="1">
        <f t="array" aca="1" ref="C235" ca="1">INDIRECT(_xlfn.CONCAT("$K", $F235))</f>
        <v>44883</v>
      </c>
      <c r="D235" s="1"/>
      <c r="E235" s="1" t="str" cm="1">
        <f t="array" aca="1" ref="E235" ca="1">INDIRECT(_xlfn.CONCAT("$L", $F235))</f>
        <v>en es fr de it pt ja ko ru 汉语 漢語</v>
      </c>
      <c r="F235" s="1" cm="1">
        <f t="array" aca="1" ref="F235" ca="1">IF(NOT(OR(ISERROR(INDIRECT(_xlfn.CONCAT("$I", $F234 + 1))), ISBLANK(INDIRECT(_xlfn.CONCAT("$I", $F234 + 1))))), $F234 + 1, IF(NOT(ISBLANK(INDIRECT(_xlfn.CONCAT("$I", $F234 + 2)))), $F234 + 2, ""))</f>
        <v>414</v>
      </c>
    </row>
    <row r="236" spans="1:12" ht="81">
      <c r="A236" s="1" t="str" cm="1">
        <f t="array" aca="1" ref="A236" ca="1">INDIRECT(_xlfn.CONCAT("$I", $F236))</f>
        <v>The Brothers' War Substitute Cards SBRO</v>
      </c>
      <c r="B236" s="1" cm="1">
        <f t="array" aca="1" ref="B236" ca="1">INDIRECT(_xlfn.CONCAT("$J", $F236))</f>
        <v>1</v>
      </c>
      <c r="C236" s="1" cm="1">
        <f t="array" aca="1" ref="C236" ca="1">INDIRECT(_xlfn.CONCAT("$K", $F236))</f>
        <v>44883</v>
      </c>
      <c r="D236" s="1"/>
      <c r="E236" s="1" t="str" cm="1">
        <f t="array" aca="1" ref="E236" ca="1">INDIRECT(_xlfn.CONCAT("$L", $F236))</f>
        <v>en es fr de it pt ja ko ru 汉语 漢語</v>
      </c>
      <c r="F236" s="1" cm="1">
        <f t="array" aca="1" ref="F236" ca="1">IF(NOT(OR(ISERROR(INDIRECT(_xlfn.CONCAT("$I", $F235 + 1))), ISBLANK(INDIRECT(_xlfn.CONCAT("$I", $F235 + 1))))), $F235 + 1, IF(NOT(ISBLANK(INDIRECT(_xlfn.CONCAT("$I", $F235 + 2)))), $F235 + 2, ""))</f>
        <v>416</v>
      </c>
      <c r="I236" s="8" t="s">
        <v>304</v>
      </c>
      <c r="J236" s="8">
        <v>81</v>
      </c>
      <c r="K236" s="9">
        <v>45247</v>
      </c>
      <c r="L236" s="8" t="s">
        <v>174</v>
      </c>
    </row>
    <row r="237" spans="1:12" ht="68.25">
      <c r="A237" s="1" t="str" cm="1">
        <f t="array" aca="1" ref="A237" ca="1">INDIRECT(_xlfn.CONCAT("$I", $F237))</f>
        <v>The Brothers' War Art Series ABRO</v>
      </c>
      <c r="B237" s="1" cm="1">
        <f t="array" aca="1" ref="B237" ca="1">INDIRECT(_xlfn.CONCAT("$J", $F237))</f>
        <v>81</v>
      </c>
      <c r="C237" s="1" cm="1">
        <f t="array" aca="1" ref="C237" ca="1">INDIRECT(_xlfn.CONCAT("$K", $F237))</f>
        <v>44883</v>
      </c>
      <c r="D237" s="1"/>
      <c r="E237" s="1" t="str" cm="1">
        <f t="array" aca="1" ref="E237" ca="1">INDIRECT(_xlfn.CONCAT("$L", $F237))</f>
        <v>en es fr de it pt ja ko ru 汉语 漢語</v>
      </c>
      <c r="F237" s="1" cm="1">
        <f t="array" aca="1" ref="F237" ca="1">IF(NOT(OR(ISERROR(INDIRECT(_xlfn.CONCAT("$I", $F236 + 1))), ISBLANK(INDIRECT(_xlfn.CONCAT("$I", $F236 + 1))))), $F236 + 1, IF(NOT(ISBLANK(INDIRECT(_xlfn.CONCAT("$I", $F236 + 2)))), $F236 + 2, ""))</f>
        <v>418</v>
      </c>
    </row>
    <row r="238" spans="1:12" ht="68.25">
      <c r="A238" s="1" t="str" cm="1">
        <f t="array" aca="1" ref="A238" ca="1">INDIRECT(_xlfn.CONCAT("$I", $F238))</f>
        <v>The Brothers' War Minigames MBRO</v>
      </c>
      <c r="B238" s="1" cm="1">
        <f t="array" aca="1" ref="B238" ca="1">INDIRECT(_xlfn.CONCAT("$J", $F238))</f>
        <v>3</v>
      </c>
      <c r="C238" s="1" cm="1">
        <f t="array" aca="1" ref="C238" ca="1">INDIRECT(_xlfn.CONCAT("$K", $F238))</f>
        <v>44883</v>
      </c>
      <c r="D238" s="1"/>
      <c r="E238" s="1" t="str" cm="1">
        <f t="array" aca="1" ref="E238" ca="1">INDIRECT(_xlfn.CONCAT("$L", $F238))</f>
        <v>en es fr de it pt ja ko ru 汉语 漢語</v>
      </c>
      <c r="F238" s="1" cm="1">
        <f t="array" aca="1" ref="F238" ca="1">IF(NOT(OR(ISERROR(INDIRECT(_xlfn.CONCAT("$I", $F237 + 1))), ISBLANK(INDIRECT(_xlfn.CONCAT("$I", $F237 + 1))))), $F237 + 1, IF(NOT(ISBLANK(INDIRECT(_xlfn.CONCAT("$I", $F237 + 2)))), $F237 + 2, ""))</f>
        <v>420</v>
      </c>
      <c r="I238" s="8" t="s">
        <v>305</v>
      </c>
      <c r="J238" s="8">
        <v>1</v>
      </c>
      <c r="K238" s="9">
        <v>45247</v>
      </c>
      <c r="L238" s="8" t="s">
        <v>174</v>
      </c>
    </row>
    <row r="239" spans="1:12" ht="94.5">
      <c r="A239" s="1" t="str" cm="1">
        <f t="array" aca="1" ref="A239" ca="1">INDIRECT(_xlfn.CONCAT("$I", $F239))</f>
        <v>The Brothers' War Jumpstart Front Cards FBRO</v>
      </c>
      <c r="B239" s="1" cm="1">
        <f t="array" aca="1" ref="B239" ca="1">INDIRECT(_xlfn.CONCAT("$J", $F239))</f>
        <v>5</v>
      </c>
      <c r="C239" s="1" cm="1">
        <f t="array" aca="1" ref="C239" ca="1">INDIRECT(_xlfn.CONCAT("$K", $F239))</f>
        <v>44883</v>
      </c>
      <c r="D239" s="1"/>
      <c r="E239" s="1" t="str" cm="1">
        <f t="array" aca="1" ref="E239" ca="1">INDIRECT(_xlfn.CONCAT("$L", $F239))</f>
        <v>en es fr de it pt ja ko ru 汉语 漢語</v>
      </c>
      <c r="F239" s="1" cm="1">
        <f t="array" aca="1" ref="F239" ca="1">IF(NOT(OR(ISERROR(INDIRECT(_xlfn.CONCAT("$I", $F238 + 1))), ISBLANK(INDIRECT(_xlfn.CONCAT("$I", $F238 + 1))))), $F238 + 1, IF(NOT(ISBLANK(INDIRECT(_xlfn.CONCAT("$I", $F238 + 2)))), $F238 + 2, ""))</f>
        <v>422</v>
      </c>
    </row>
    <row r="240" spans="1:12" ht="59.25">
      <c r="A240" s="1" t="str" cm="1">
        <f t="array" aca="1" ref="A240" ca="1">INDIRECT(_xlfn.CONCAT("$I", $F240))</f>
        <v>Game Night: Free-for-All GN3</v>
      </c>
      <c r="B240" s="1" cm="1">
        <f t="array" aca="1" ref="B240" ca="1">INDIRECT(_xlfn.CONCAT("$J", $F240))</f>
        <v>135</v>
      </c>
      <c r="C240" s="1" cm="1">
        <f t="array" aca="1" ref="C240" ca="1">INDIRECT(_xlfn.CONCAT("$K", $F240))</f>
        <v>44848</v>
      </c>
      <c r="D240" s="1"/>
      <c r="E240" s="1" t="str" cm="1">
        <f t="array" aca="1" ref="E240" ca="1">INDIRECT(_xlfn.CONCAT("$L", $F240))</f>
        <v>en es fr de it pt ja ko ru 汉语 漢語</v>
      </c>
      <c r="F240" s="1" cm="1">
        <f t="array" aca="1" ref="F240" ca="1">IF(NOT(OR(ISERROR(INDIRECT(_xlfn.CONCAT("$I", $F239 + 1))), ISBLANK(INDIRECT(_xlfn.CONCAT("$I", $F239 + 1))))), $F239 + 1, IF(NOT(ISBLANK(INDIRECT(_xlfn.CONCAT("$I", $F239 + 2)))), $F239 + 2, ""))</f>
        <v>424</v>
      </c>
      <c r="I240" s="8" t="s">
        <v>306</v>
      </c>
      <c r="J240" s="8">
        <v>45</v>
      </c>
      <c r="K240" s="9">
        <v>45247</v>
      </c>
      <c r="L240" t="s">
        <v>174</v>
      </c>
    </row>
    <row r="241" spans="1:12" ht="68.25">
      <c r="A241" s="1" t="str" cm="1">
        <f t="array" aca="1" ref="A241" ca="1">INDIRECT(_xlfn.CONCAT("$I", $F241))</f>
        <v>Game Night: Free-for-All Tokens TGN3</v>
      </c>
      <c r="B241" s="1" cm="1">
        <f t="array" aca="1" ref="B241" ca="1">INDIRECT(_xlfn.CONCAT("$J", $F241))</f>
        <v>10</v>
      </c>
      <c r="C241" s="1" cm="1">
        <f t="array" aca="1" ref="C241" ca="1">INDIRECT(_xlfn.CONCAT("$K", $F241))</f>
        <v>44848</v>
      </c>
      <c r="D241" s="1"/>
      <c r="E241" s="1" t="str" cm="1">
        <f t="array" aca="1" ref="E241" ca="1">INDIRECT(_xlfn.CONCAT("$L", $F241))</f>
        <v>en es fr de it pt ja ko ru 汉语 漢語</v>
      </c>
      <c r="F241" s="1" cm="1">
        <f t="array" aca="1" ref="F241" ca="1">IF(NOT(OR(ISERROR(INDIRECT(_xlfn.CONCAT("$I", $F240 + 1))), ISBLANK(INDIRECT(_xlfn.CONCAT("$I", $F240 + 1))))), $F240 + 1, IF(NOT(ISBLANK(INDIRECT(_xlfn.CONCAT("$I", $F240 + 2)))), $F240 + 2, ""))</f>
        <v>426</v>
      </c>
    </row>
    <row r="242" spans="1:12" ht="59.25">
      <c r="A242" s="1" t="str" cm="1">
        <f t="array" aca="1" ref="A242" ca="1">INDIRECT(_xlfn.CONCAT("$I", $F242))</f>
        <v>Unfinity UNF</v>
      </c>
      <c r="B242" s="1" cm="1">
        <f t="array" aca="1" ref="B242" ca="1">INDIRECT(_xlfn.CONCAT("$J", $F242))</f>
        <v>639</v>
      </c>
      <c r="C242" s="1" cm="1">
        <f t="array" aca="1" ref="C242" ca="1">INDIRECT(_xlfn.CONCAT("$K", $F242))</f>
        <v>44841</v>
      </c>
      <c r="D242" s="1"/>
      <c r="E242" s="1" t="str" cm="1">
        <f t="array" aca="1" ref="E242" ca="1">INDIRECT(_xlfn.CONCAT("$L", $F242))</f>
        <v>en es fr de it pt ja ko ru 汉语 漢語</v>
      </c>
      <c r="F242" s="1" cm="1">
        <f t="array" aca="1" ref="F242" ca="1">IF(NOT(OR(ISERROR(INDIRECT(_xlfn.CONCAT("$I", $F241 + 1))), ISBLANK(INDIRECT(_xlfn.CONCAT("$I", $F241 + 1))))), $F241 + 1, IF(NOT(ISBLANK(INDIRECT(_xlfn.CONCAT("$I", $F241 + 2)))), $F241 + 2, ""))</f>
        <v>428</v>
      </c>
      <c r="I242" s="8" t="s">
        <v>307</v>
      </c>
      <c r="J242" s="8">
        <v>2</v>
      </c>
      <c r="K242" s="9">
        <v>45247</v>
      </c>
      <c r="L242" s="8" t="s">
        <v>174</v>
      </c>
    </row>
    <row r="243" spans="1:12" ht="59.25">
      <c r="A243" s="1" t="str" cm="1">
        <f t="array" aca="1" ref="A243" ca="1">INDIRECT(_xlfn.CONCAT("$I", $F243))</f>
        <v>Unfinity Tokens TUNF</v>
      </c>
      <c r="B243" s="1" cm="1">
        <f t="array" aca="1" ref="B243" ca="1">INDIRECT(_xlfn.CONCAT("$J", $F243))</f>
        <v>14</v>
      </c>
      <c r="C243" s="1" cm="1">
        <f t="array" aca="1" ref="C243" ca="1">INDIRECT(_xlfn.CONCAT("$K", $F243))</f>
        <v>44841</v>
      </c>
      <c r="D243" s="1"/>
      <c r="E243" s="1" t="str" cm="1">
        <f t="array" aca="1" ref="E243" ca="1">INDIRECT(_xlfn.CONCAT("$L", $F243))</f>
        <v>en es fr de it pt ja ko ru 汉语 漢語</v>
      </c>
      <c r="F243" s="1" cm="1">
        <f t="array" aca="1" ref="F243" ca="1">IF(NOT(OR(ISERROR(INDIRECT(_xlfn.CONCAT("$I", $F242 + 1))), ISBLANK(INDIRECT(_xlfn.CONCAT("$I", $F242 + 1))))), $F242 + 1, IF(NOT(ISBLANK(INDIRECT(_xlfn.CONCAT("$I", $F242 + 2)))), $F242 + 2, ""))</f>
        <v>430</v>
      </c>
    </row>
    <row r="244" spans="1:12" ht="59.25">
      <c r="A244" s="1" t="str" cm="1">
        <f t="array" aca="1" ref="A244" ca="1">INDIRECT(_xlfn.CONCAT("$I", $F244))</f>
        <v>Unfinity Sticker Sheets SUNF</v>
      </c>
      <c r="B244" s="1" cm="1">
        <f t="array" aca="1" ref="B244" ca="1">INDIRECT(_xlfn.CONCAT("$J", $F244))</f>
        <v>48</v>
      </c>
      <c r="C244" s="1" cm="1">
        <f t="array" aca="1" ref="C244" ca="1">INDIRECT(_xlfn.CONCAT("$K", $F244))</f>
        <v>44841</v>
      </c>
      <c r="D244" s="1"/>
      <c r="E244" s="1" t="str" cm="1">
        <f t="array" aca="1" ref="E244" ca="1">INDIRECT(_xlfn.CONCAT("$L", $F244))</f>
        <v>en es fr de it pt ja ko ru 汉语 漢語</v>
      </c>
      <c r="F244" s="1" cm="1">
        <f t="array" aca="1" ref="F244" ca="1">IF(NOT(OR(ISERROR(INDIRECT(_xlfn.CONCAT("$I", $F243 + 1))), ISBLANK(INDIRECT(_xlfn.CONCAT("$I", $F243 + 1))))), $F243 + 1, IF(NOT(ISBLANK(INDIRECT(_xlfn.CONCAT("$I", $F243 + 2)))), $F243 + 2, ""))</f>
        <v>432</v>
      </c>
      <c r="I244" s="8" t="s">
        <v>308</v>
      </c>
      <c r="J244" s="8">
        <v>370</v>
      </c>
      <c r="K244" s="9">
        <v>45247</v>
      </c>
      <c r="L244" t="s">
        <v>174</v>
      </c>
    </row>
    <row r="245" spans="1:12" ht="59.25">
      <c r="A245" s="1" t="str" cm="1">
        <f t="array" aca="1" ref="A245" ca="1">INDIRECT(_xlfn.CONCAT("$I", $F245))</f>
        <v>Warhammer 40,000 Commander 40K</v>
      </c>
      <c r="B245" s="1" cm="1">
        <f t="array" aca="1" ref="B245" ca="1">INDIRECT(_xlfn.CONCAT("$J", $F245))</f>
        <v>617</v>
      </c>
      <c r="C245" s="1" cm="1">
        <f t="array" aca="1" ref="C245" ca="1">INDIRECT(_xlfn.CONCAT("$K", $F245))</f>
        <v>44841</v>
      </c>
      <c r="D245" s="1"/>
      <c r="E245" s="1" t="str" cm="1">
        <f t="array" aca="1" ref="E245" ca="1">INDIRECT(_xlfn.CONCAT("$L", $F245))</f>
        <v>en es fr de it pt ja ko ru 汉语 漢語</v>
      </c>
      <c r="F245" s="1" cm="1">
        <f t="array" aca="1" ref="F245" ca="1">IF(NOT(OR(ISERROR(INDIRECT(_xlfn.CONCAT("$I", $F244 + 1))), ISBLANK(INDIRECT(_xlfn.CONCAT("$I", $F244 + 1))))), $F244 + 1, IF(NOT(ISBLANK(INDIRECT(_xlfn.CONCAT("$I", $F244 + 2)))), $F244 + 2, ""))</f>
        <v>434</v>
      </c>
    </row>
    <row r="246" spans="1:12" ht="59.25">
      <c r="A246" s="1" t="str" cm="1">
        <f t="array" aca="1" ref="A246" ca="1">INDIRECT(_xlfn.CONCAT("$I", $F246))</f>
        <v>Warhammer 40,000 Tokens T40K</v>
      </c>
      <c r="B246" s="1" cm="1">
        <f t="array" aca="1" ref="B246" ca="1">INDIRECT(_xlfn.CONCAT("$J", $F246))</f>
        <v>31</v>
      </c>
      <c r="C246" s="1" cm="1">
        <f t="array" aca="1" ref="C246" ca="1">INDIRECT(_xlfn.CONCAT("$K", $F246))</f>
        <v>44841</v>
      </c>
      <c r="D246" s="1"/>
      <c r="E246" s="1" t="str" cm="1">
        <f t="array" aca="1" ref="E246" ca="1">INDIRECT(_xlfn.CONCAT("$L", $F246))</f>
        <v>en es fr de it pt ja ko ru 汉语 漢語</v>
      </c>
      <c r="F246" s="1" cm="1">
        <f t="array" aca="1" ref="F246" ca="1">IF(NOT(OR(ISERROR(INDIRECT(_xlfn.CONCAT("$I", $F245 + 1))), ISBLANK(INDIRECT(_xlfn.CONCAT("$I", $F245 + 1))))), $F245 + 1, IF(NOT(ISBLANK(INDIRECT(_xlfn.CONCAT("$I", $F245 + 2)))), $F245 + 2, ""))</f>
        <v>436</v>
      </c>
      <c r="I246" s="8" t="s">
        <v>309</v>
      </c>
      <c r="J246" s="8">
        <v>18</v>
      </c>
      <c r="K246" s="9">
        <v>45247</v>
      </c>
      <c r="L246" s="8" t="s">
        <v>174</v>
      </c>
    </row>
    <row r="247" spans="1:12" ht="68.25">
      <c r="A247" s="1" t="str" cm="1">
        <f t="array" aca="1" ref="A247" ca="1">INDIRECT(_xlfn.CONCAT("$I", $F247))</f>
        <v>Regional Championship Qualifiers 2022 PRCQ</v>
      </c>
      <c r="B247" s="1" cm="1">
        <f t="array" aca="1" ref="B247" ca="1">INDIRECT(_xlfn.CONCAT("$J", $F247))</f>
        <v>3</v>
      </c>
      <c r="C247" s="1" cm="1">
        <f t="array" aca="1" ref="C247" ca="1">INDIRECT(_xlfn.CONCAT("$K", $F247))</f>
        <v>44835</v>
      </c>
      <c r="D247" s="1"/>
      <c r="E247" s="1" t="str" cm="1">
        <f t="array" aca="1" ref="E247" ca="1">INDIRECT(_xlfn.CONCAT("$L", $F247))</f>
        <v>en es fr de it pt ja ko ru 汉语 漢語</v>
      </c>
      <c r="F247" s="1" cm="1">
        <f t="array" aca="1" ref="F247" ca="1">IF(NOT(OR(ISERROR(INDIRECT(_xlfn.CONCAT("$I", $F246 + 1))), ISBLANK(INDIRECT(_xlfn.CONCAT("$I", $F246 + 1))))), $F246 + 1, IF(NOT(ISBLANK(INDIRECT(_xlfn.CONCAT("$I", $F246 + 2)))), $F246 + 2, ""))</f>
        <v>438</v>
      </c>
    </row>
    <row r="248" spans="1:12" ht="59.25">
      <c r="A248" s="1" t="str" cm="1">
        <f t="array" aca="1" ref="A248" ca="1">INDIRECT(_xlfn.CONCAT("$I", $F248))</f>
        <v>Dominaria United DMU</v>
      </c>
      <c r="B248" s="1" cm="1">
        <f t="array" aca="1" ref="B248" ca="1">INDIRECT(_xlfn.CONCAT("$J", $F248))</f>
        <v>453</v>
      </c>
      <c r="C248" s="1" cm="1">
        <f t="array" aca="1" ref="C248" ca="1">INDIRECT(_xlfn.CONCAT("$K", $F248))</f>
        <v>44813</v>
      </c>
      <c r="D248" s="1"/>
      <c r="E248" s="1" t="str" cm="1">
        <f t="array" aca="1" ref="E248" ca="1">INDIRECT(_xlfn.CONCAT("$L", $F248))</f>
        <v>en es fr de it pt ja ko ru 汉语 漢語</v>
      </c>
      <c r="F248" s="1" cm="1">
        <f t="array" aca="1" ref="F248" ca="1">IF(NOT(OR(ISERROR(INDIRECT(_xlfn.CONCAT("$I", $F247 + 1))), ISBLANK(INDIRECT(_xlfn.CONCAT("$I", $F247 + 1))))), $F247 + 1, IF(NOT(ISBLANK(INDIRECT(_xlfn.CONCAT("$I", $F247 + 2)))), $F247 + 2, ""))</f>
        <v>440</v>
      </c>
      <c r="I248" s="8" t="s">
        <v>310</v>
      </c>
      <c r="J248" s="8">
        <v>1178</v>
      </c>
      <c r="K248" s="9">
        <v>45212</v>
      </c>
      <c r="L248" t="s">
        <v>174</v>
      </c>
    </row>
    <row r="249" spans="1:12" ht="59.25">
      <c r="A249" s="1" t="str" cm="1">
        <f t="array" aca="1" ref="A249" ca="1">INDIRECT(_xlfn.CONCAT("$I", $F249))</f>
        <v>Dominaria United Promos PDMU</v>
      </c>
      <c r="B249" s="1" cm="1">
        <f t="array" aca="1" ref="B249" ca="1">INDIRECT(_xlfn.CONCAT("$J", $F249))</f>
        <v>161</v>
      </c>
      <c r="C249" s="1" cm="1">
        <f t="array" aca="1" ref="C249" ca="1">INDIRECT(_xlfn.CONCAT("$K", $F249))</f>
        <v>44813</v>
      </c>
      <c r="D249" s="1"/>
      <c r="E249" s="1" t="str" cm="1">
        <f t="array" aca="1" ref="E249" ca="1">INDIRECT(_xlfn.CONCAT("$L", $F249))</f>
        <v>en es fr de it pt ja ko ru 汉语 漢語</v>
      </c>
      <c r="F249" s="1" cm="1">
        <f t="array" aca="1" ref="F249" ca="1">IF(NOT(OR(ISERROR(INDIRECT(_xlfn.CONCAT("$I", $F248 + 1))), ISBLANK(INDIRECT(_xlfn.CONCAT("$I", $F248 + 1))))), $F248 + 1, IF(NOT(ISBLANK(INDIRECT(_xlfn.CONCAT("$I", $F248 + 2)))), $F248 + 2, ""))</f>
        <v>442</v>
      </c>
    </row>
    <row r="250" spans="1:12" ht="59.25">
      <c r="A250" s="1" t="str" cm="1">
        <f t="array" aca="1" ref="A250" ca="1">INDIRECT(_xlfn.CONCAT("$I", $F250))</f>
        <v>Dominaria United Tokens TDMU</v>
      </c>
      <c r="B250" s="1" cm="1">
        <f t="array" aca="1" ref="B250" ca="1">INDIRECT(_xlfn.CONCAT("$J", $F250))</f>
        <v>26</v>
      </c>
      <c r="C250" s="1" cm="1">
        <f t="array" aca="1" ref="C250" ca="1">INDIRECT(_xlfn.CONCAT("$K", $F250))</f>
        <v>44813</v>
      </c>
      <c r="D250" s="1"/>
      <c r="E250" s="1" t="str" cm="1">
        <f t="array" aca="1" ref="E250" ca="1">INDIRECT(_xlfn.CONCAT("$L", $F250))</f>
        <v>en es fr de it pt ja ko ru 汉语 漢語</v>
      </c>
      <c r="F250" s="1" cm="1">
        <f t="array" aca="1" ref="F250" ca="1">IF(NOT(OR(ISERROR(INDIRECT(_xlfn.CONCAT("$I", $F249 + 1))), ISBLANK(INDIRECT(_xlfn.CONCAT("$I", $F249 + 1))))), $F249 + 1, IF(NOT(ISBLANK(INDIRECT(_xlfn.CONCAT("$I", $F249 + 2)))), $F249 + 2, ""))</f>
        <v>444</v>
      </c>
      <c r="I250" s="8" t="s">
        <v>311</v>
      </c>
      <c r="J250" s="8">
        <v>64</v>
      </c>
      <c r="K250" s="9">
        <v>45212</v>
      </c>
      <c r="L250" s="8" t="s">
        <v>174</v>
      </c>
    </row>
    <row r="251" spans="1:12" ht="59.25">
      <c r="A251" s="1" t="str" cm="1">
        <f t="array" aca="1" ref="A251" ca="1">INDIRECT(_xlfn.CONCAT("$I", $F251))</f>
        <v>Alchemy: Dominaria YDMU</v>
      </c>
      <c r="B251" s="1" cm="1">
        <f t="array" aca="1" ref="B251" ca="1">INDIRECT(_xlfn.CONCAT("$J", $F251))</f>
        <v>39</v>
      </c>
      <c r="C251" s="1" cm="1">
        <f t="array" aca="1" ref="C251" ca="1">INDIRECT(_xlfn.CONCAT("$K", $F251))</f>
        <v>44839</v>
      </c>
      <c r="D251" s="1"/>
      <c r="E251" s="1" t="str" cm="1">
        <f t="array" aca="1" ref="E251" ca="1">INDIRECT(_xlfn.CONCAT("$L", $F251))</f>
        <v>en es fr de it pt ja ko ru 汉语 漢語</v>
      </c>
      <c r="F251" s="1" cm="1">
        <f t="array" aca="1" ref="F251" ca="1">IF(NOT(OR(ISERROR(INDIRECT(_xlfn.CONCAT("$I", $F250 + 1))), ISBLANK(INDIRECT(_xlfn.CONCAT("$I", $F250 + 1))))), $F250 + 1, IF(NOT(ISBLANK(INDIRECT(_xlfn.CONCAT("$I", $F250 + 2)))), $F250 + 2, ""))</f>
        <v>446</v>
      </c>
    </row>
    <row r="252" spans="1:12" ht="81">
      <c r="A252" s="1" t="str" cm="1">
        <f t="array" aca="1" ref="A252" ca="1">INDIRECT(_xlfn.CONCAT("$I", $F252))</f>
        <v>Dominaria United Southeast Asia Tokens PTDMU</v>
      </c>
      <c r="B252" s="1" cm="1">
        <f t="array" aca="1" ref="B252" ca="1">INDIRECT(_xlfn.CONCAT("$J", $F252))</f>
        <v>3</v>
      </c>
      <c r="C252" s="1" cm="1">
        <f t="array" aca="1" ref="C252" ca="1">INDIRECT(_xlfn.CONCAT("$K", $F252))</f>
        <v>44813</v>
      </c>
      <c r="D252" s="1"/>
      <c r="E252" s="1" t="str" cm="1">
        <f t="array" aca="1" ref="E252" ca="1">INDIRECT(_xlfn.CONCAT("$L", $F252))</f>
        <v>en es fr de it pt ja ko ru 汉语 漢語</v>
      </c>
      <c r="F252" s="1" cm="1">
        <f t="array" aca="1" ref="F252" ca="1">IF(NOT(OR(ISERROR(INDIRECT(_xlfn.CONCAT("$I", $F251 + 1))), ISBLANK(INDIRECT(_xlfn.CONCAT("$I", $F251 + 1))))), $F251 + 1, IF(NOT(ISBLANK(INDIRECT(_xlfn.CONCAT("$I", $F251 + 2)))), $F251 + 2, ""))</f>
        <v>448</v>
      </c>
      <c r="I252" s="8" t="s">
        <v>312</v>
      </c>
      <c r="J252" s="8">
        <v>4</v>
      </c>
      <c r="K252" s="9">
        <v>45177</v>
      </c>
      <c r="L252" s="8" t="s">
        <v>174</v>
      </c>
    </row>
    <row r="253" spans="1:12" ht="81">
      <c r="A253" s="1" t="str" cm="1">
        <f t="array" aca="1" ref="A253" ca="1">INDIRECT(_xlfn.CONCAT("$I", $F253))</f>
        <v>Dominaria United Jumpstart Front Cards FDMU</v>
      </c>
      <c r="B253" s="1" cm="1">
        <f t="array" aca="1" ref="B253" ca="1">INDIRECT(_xlfn.CONCAT("$J", $F253))</f>
        <v>10</v>
      </c>
      <c r="C253" s="1" cm="1">
        <f t="array" aca="1" ref="C253" ca="1">INDIRECT(_xlfn.CONCAT("$K", $F253))</f>
        <v>44813</v>
      </c>
      <c r="D253" s="1"/>
      <c r="E253" s="1" t="str" cm="1">
        <f t="array" aca="1" ref="E253" ca="1">INDIRECT(_xlfn.CONCAT("$L", $F253))</f>
        <v>en es fr de it pt ja ko ru 汉语 漢語</v>
      </c>
      <c r="F253" s="1" cm="1">
        <f t="array" aca="1" ref="F253" ca="1">IF(NOT(OR(ISERROR(INDIRECT(_xlfn.CONCAT("$I", $F252 + 1))), ISBLANK(INDIRECT(_xlfn.CONCAT("$I", $F252 + 1))))), $F252 + 1, IF(NOT(ISBLANK(INDIRECT(_xlfn.CONCAT("$I", $F252 + 2)))), $F252 + 2, ""))</f>
        <v>450</v>
      </c>
    </row>
    <row r="254" spans="1:12" ht="68.25">
      <c r="A254" s="1" t="str" cm="1">
        <f t="array" aca="1" ref="A254" ca="1">INDIRECT(_xlfn.CONCAT("$I", $F254))</f>
        <v>DMU Japanese Promo Tokens WDMU</v>
      </c>
      <c r="B254" s="1" cm="1">
        <f t="array" aca="1" ref="B254" ca="1">INDIRECT(_xlfn.CONCAT("$J", $F254))</f>
        <v>5</v>
      </c>
      <c r="C254" s="1" cm="1">
        <f t="array" aca="1" ref="C254" ca="1">INDIRECT(_xlfn.CONCAT("$K", $F254))</f>
        <v>44813</v>
      </c>
      <c r="D254" s="1"/>
      <c r="E254" s="1" t="str" cm="1">
        <f t="array" aca="1" ref="E254" ca="1">INDIRECT(_xlfn.CONCAT("$L", $F254))</f>
        <v>en es fr de it pt ja ko ru 汉语 漢語</v>
      </c>
      <c r="F254" s="1" cm="1">
        <f t="array" aca="1" ref="F254" ca="1">IF(NOT(OR(ISERROR(INDIRECT(_xlfn.CONCAT("$I", $F253 + 1))), ISBLANK(INDIRECT(_xlfn.CONCAT("$I", $F253 + 1))))), $F253 + 1, IF(NOT(ISBLANK(INDIRECT(_xlfn.CONCAT("$I", $F253 + 2)))), $F253 + 2, ""))</f>
        <v>452</v>
      </c>
      <c r="I254" s="8" t="s">
        <v>1199</v>
      </c>
      <c r="J254" s="8">
        <v>381</v>
      </c>
      <c r="K254" s="9">
        <v>45177</v>
      </c>
      <c r="L254" t="s">
        <v>174</v>
      </c>
    </row>
    <row r="255" spans="1:12" ht="59.25">
      <c r="A255" s="1" t="str" cm="1">
        <f t="array" aca="1" ref="A255" ca="1">INDIRECT(_xlfn.CONCAT("$I", $F255))</f>
        <v>Dominaria United Art Series ADMU</v>
      </c>
      <c r="B255" s="1" cm="1">
        <f t="array" aca="1" ref="B255" ca="1">INDIRECT(_xlfn.CONCAT("$J", $F255))</f>
        <v>81</v>
      </c>
      <c r="C255" s="1" cm="1">
        <f t="array" aca="1" ref="C255" ca="1">INDIRECT(_xlfn.CONCAT("$K", $F255))</f>
        <v>44813</v>
      </c>
      <c r="D255" s="1"/>
      <c r="E255" s="1" t="str" cm="1">
        <f t="array" aca="1" ref="E255" ca="1">INDIRECT(_xlfn.CONCAT("$L", $F255))</f>
        <v>en es fr de it pt ja ko ru 汉语 漢語</v>
      </c>
      <c r="F255" s="1" cm="1">
        <f t="array" aca="1" ref="F255" ca="1">IF(NOT(OR(ISERROR(INDIRECT(_xlfn.CONCAT("$I", $F254 + 1))), ISBLANK(INDIRECT(_xlfn.CONCAT("$I", $F254 + 1))))), $F254 + 1, IF(NOT(ISBLANK(INDIRECT(_xlfn.CONCAT("$I", $F254 + 2)))), $F254 + 2, ""))</f>
        <v>454</v>
      </c>
    </row>
    <row r="256" spans="1:12" ht="59.25">
      <c r="A256" s="1" t="str" cm="1">
        <f t="array" aca="1" ref="A256" ca="1">INDIRECT(_xlfn.CONCAT("$I", $F256))</f>
        <v>Dominaria United Commander DMC</v>
      </c>
      <c r="B256" s="1" cm="1">
        <f t="array" aca="1" ref="B256" ca="1">INDIRECT(_xlfn.CONCAT("$J", $F256))</f>
        <v>240</v>
      </c>
      <c r="C256" s="1" cm="1">
        <f t="array" aca="1" ref="C256" ca="1">INDIRECT(_xlfn.CONCAT("$K", $F256))</f>
        <v>44813</v>
      </c>
      <c r="D256" s="1"/>
      <c r="E256" s="1" t="str" cm="1">
        <f t="array" aca="1" ref="E256" ca="1">INDIRECT(_xlfn.CONCAT("$L", $F256))</f>
        <v>en es fr de it pt ja ko ru 汉语 漢語</v>
      </c>
      <c r="F256" s="1" cm="1">
        <f t="array" aca="1" ref="F256" ca="1">IF(NOT(OR(ISERROR(INDIRECT(_xlfn.CONCAT("$I", $F255 + 1))), ISBLANK(INDIRECT(_xlfn.CONCAT("$I", $F255 + 1))))), $F255 + 1, IF(NOT(ISBLANK(INDIRECT(_xlfn.CONCAT("$I", $F255 + 2)))), $F255 + 2, ""))</f>
        <v>456</v>
      </c>
      <c r="I256" s="8" t="s">
        <v>313</v>
      </c>
      <c r="J256" s="8">
        <v>103</v>
      </c>
      <c r="K256" s="9">
        <v>45177</v>
      </c>
      <c r="L256" t="s">
        <v>174</v>
      </c>
    </row>
    <row r="257" spans="1:12" ht="68.25">
      <c r="A257" s="1" t="str" cm="1">
        <f t="array" aca="1" ref="A257" ca="1">INDIRECT(_xlfn.CONCAT("$I", $F257))</f>
        <v>Dominaria United Commander Tokens TDMC</v>
      </c>
      <c r="B257" s="1" cm="1">
        <f t="array" aca="1" ref="B257" ca="1">INDIRECT(_xlfn.CONCAT("$J", $F257))</f>
        <v>12</v>
      </c>
      <c r="C257" s="1" cm="1">
        <f t="array" aca="1" ref="C257" ca="1">INDIRECT(_xlfn.CONCAT("$K", $F257))</f>
        <v>44813</v>
      </c>
      <c r="D257" s="1"/>
      <c r="E257" s="1" t="str" cm="1">
        <f t="array" aca="1" ref="E257" ca="1">INDIRECT(_xlfn.CONCAT("$L", $F257))</f>
        <v>en es fr de it pt ja ko ru 汉语 漢語</v>
      </c>
      <c r="F257" s="1" cm="1">
        <f t="array" aca="1" ref="F257" ca="1">IF(NOT(OR(ISERROR(INDIRECT(_xlfn.CONCAT("$I", $F256 + 1))), ISBLANK(INDIRECT(_xlfn.CONCAT("$I", $F256 + 1))))), $F256 + 1, IF(NOT(ISBLANK(INDIRECT(_xlfn.CONCAT("$I", $F256 + 2)))), $F256 + 2, ""))</f>
        <v>458</v>
      </c>
    </row>
    <row r="258" spans="1:12" ht="59.25">
      <c r="A258" s="1" t="str" cm="1">
        <f t="array" aca="1" ref="A258" ca="1">INDIRECT(_xlfn.CONCAT("$I", $F258))</f>
        <v>Dominaria United Minigames MDMU</v>
      </c>
      <c r="B258" s="1" cm="1">
        <f t="array" aca="1" ref="B258" ca="1">INDIRECT(_xlfn.CONCAT("$J", $F258))</f>
        <v>3</v>
      </c>
      <c r="C258" s="1" cm="1">
        <f t="array" aca="1" ref="C258" ca="1">INDIRECT(_xlfn.CONCAT("$K", $F258))</f>
        <v>44813</v>
      </c>
      <c r="D258" s="1"/>
      <c r="E258" s="1" t="str" cm="1">
        <f t="array" aca="1" ref="E258" ca="1">INDIRECT(_xlfn.CONCAT("$L", $F258))</f>
        <v>en es fr de it pt ja ko ru 汉语 漢語</v>
      </c>
      <c r="F258" s="1" cm="1">
        <f t="array" aca="1" ref="F258" ca="1">IF(NOT(OR(ISERROR(INDIRECT(_xlfn.CONCAT("$I", $F257 + 1))), ISBLANK(INDIRECT(_xlfn.CONCAT("$I", $F257 + 1))))), $F257 + 1, IF(NOT(ISBLANK(INDIRECT(_xlfn.CONCAT("$I", $F257 + 2)))), $F257 + 2, ""))</f>
        <v>460</v>
      </c>
      <c r="I258" s="8" t="s">
        <v>314</v>
      </c>
      <c r="J258" s="8">
        <v>160</v>
      </c>
      <c r="K258" s="9">
        <v>45177</v>
      </c>
      <c r="L258" s="8" t="s">
        <v>174</v>
      </c>
    </row>
    <row r="259" spans="1:12" ht="59.25">
      <c r="A259" s="1" t="str" cm="1">
        <f t="array" aca="1" ref="A259" ca="1">INDIRECT(_xlfn.CONCAT("$I", $F259))</f>
        <v>Summer Vacation Promos 2022 PSVC</v>
      </c>
      <c r="B259" s="1" cm="1">
        <f t="array" aca="1" ref="B259" ca="1">INDIRECT(_xlfn.CONCAT("$J", $F259))</f>
        <v>3</v>
      </c>
      <c r="C259" s="1" cm="1">
        <f t="array" aca="1" ref="C259" ca="1">INDIRECT(_xlfn.CONCAT("$K", $F259))</f>
        <v>44774</v>
      </c>
      <c r="D259" s="1"/>
      <c r="E259" s="1" t="str" cm="1">
        <f t="array" aca="1" ref="E259" ca="1">INDIRECT(_xlfn.CONCAT("$L", $F259))</f>
        <v>en es fr de it pt ja ko ru 汉语 漢語</v>
      </c>
      <c r="F259" s="1" cm="1">
        <f t="array" aca="1" ref="F259" ca="1">IF(NOT(OR(ISERROR(INDIRECT(_xlfn.CONCAT("$I", $F258 + 1))), ISBLANK(INDIRECT(_xlfn.CONCAT("$I", $F258 + 1))))), $F258 + 1, IF(NOT(ISBLANK(INDIRECT(_xlfn.CONCAT("$I", $F258 + 2)))), $F258 + 2, ""))</f>
        <v>462</v>
      </c>
    </row>
    <row r="260" spans="1:12" ht="59.25">
      <c r="A260" s="1" t="str" cm="1">
        <f t="array" aca="1" ref="A260" ca="1">INDIRECT(_xlfn.CONCAT("$I", $F260))</f>
        <v>2021 Heroes of the Realm PH21</v>
      </c>
      <c r="B260" s="1" cm="1">
        <f t="array" aca="1" ref="B260" ca="1">INDIRECT(_xlfn.CONCAT("$J", $F260))</f>
        <v>4</v>
      </c>
      <c r="C260" s="1" cm="1">
        <f t="array" aca="1" ref="C260" ca="1">INDIRECT(_xlfn.CONCAT("$K", $F260))</f>
        <v>44774</v>
      </c>
      <c r="D260" s="1"/>
      <c r="E260" s="1" t="str" cm="1">
        <f t="array" aca="1" ref="E260" ca="1">INDIRECT(_xlfn.CONCAT("$L", $F260))</f>
        <v>en es fr de it pt ja ko ru 汉语 漢語</v>
      </c>
      <c r="F260" s="1" cm="1">
        <f t="array" aca="1" ref="F260" ca="1">IF(NOT(OR(ISERROR(INDIRECT(_xlfn.CONCAT("$I", $F259 + 1))), ISBLANK(INDIRECT(_xlfn.CONCAT("$I", $F259 + 1))))), $F259 + 1, IF(NOT(ISBLANK(INDIRECT(_xlfn.CONCAT("$I", $F259 + 2)))), $F259 + 2, ""))</f>
        <v>464</v>
      </c>
      <c r="I260" s="8" t="s">
        <v>315</v>
      </c>
      <c r="J260" s="8">
        <v>18</v>
      </c>
      <c r="K260" s="9">
        <v>45177</v>
      </c>
      <c r="L260" s="8" t="s">
        <v>174</v>
      </c>
    </row>
    <row r="261" spans="1:12" ht="59.25">
      <c r="A261" s="1" t="str" cm="1">
        <f t="array" aca="1" ref="A261" ca="1">INDIRECT(_xlfn.CONCAT("$I", $F261))</f>
        <v>Explorer Anthology 1 EA1</v>
      </c>
      <c r="B261" s="1" cm="1">
        <f t="array" aca="1" ref="B261" ca="1">INDIRECT(_xlfn.CONCAT("$J", $F261))</f>
        <v>20</v>
      </c>
      <c r="C261" s="1" cm="1">
        <f t="array" aca="1" ref="C261" ca="1">INDIRECT(_xlfn.CONCAT("$K", $F261))</f>
        <v>44770</v>
      </c>
      <c r="D261" s="1"/>
      <c r="E261" s="1" t="str" cm="1">
        <f t="array" aca="1" ref="E261" ca="1">INDIRECT(_xlfn.CONCAT("$L", $F261))</f>
        <v>en es fr de it pt ja ko ru 汉语 漢語</v>
      </c>
      <c r="F261" s="1" cm="1">
        <f t="array" aca="1" ref="F261" ca="1">IF(NOT(OR(ISERROR(INDIRECT(_xlfn.CONCAT("$I", $F260 + 1))), ISBLANK(INDIRECT(_xlfn.CONCAT("$I", $F260 + 1))))), $F260 + 1, IF(NOT(ISBLANK(INDIRECT(_xlfn.CONCAT("$I", $F260 + 2)))), $F260 + 2, ""))</f>
        <v>466</v>
      </c>
    </row>
    <row r="262" spans="1:12" ht="59.25">
      <c r="A262" s="1" t="str" cm="1">
        <f t="array" aca="1" ref="A262" ca="1">INDIRECT(_xlfn.CONCAT("$I", $F262))</f>
        <v>Historic Anthology 6 HA6</v>
      </c>
      <c r="B262" s="1" cm="1">
        <f t="array" aca="1" ref="B262" ca="1">INDIRECT(_xlfn.CONCAT("$J", $F262))</f>
        <v>20</v>
      </c>
      <c r="C262" s="1" cm="1">
        <f t="array" aca="1" ref="C262" ca="1">INDIRECT(_xlfn.CONCAT("$K", $F262))</f>
        <v>44770</v>
      </c>
      <c r="D262" s="1"/>
      <c r="E262" s="1" t="str" cm="1">
        <f t="array" aca="1" ref="E262" ca="1">INDIRECT(_xlfn.CONCAT("$L", $F262))</f>
        <v>en es fr de it pt ja ko ru 汉语 漢語</v>
      </c>
      <c r="F262" s="1" cm="1">
        <f t="array" aca="1" ref="F262" ca="1">IF(NOT(OR(ISERROR(INDIRECT(_xlfn.CONCAT("$I", $F261 + 1))), ISBLANK(INDIRECT(_xlfn.CONCAT("$I", $F261 + 1))))), $F261 + 1, IF(NOT(ISBLANK(INDIRECT(_xlfn.CONCAT("$I", $F261 + 2)))), $F261 + 2, ""))</f>
        <v>468</v>
      </c>
      <c r="I262" s="8" t="s">
        <v>316</v>
      </c>
      <c r="J262" s="8">
        <v>30</v>
      </c>
      <c r="K262" s="9">
        <v>45209</v>
      </c>
      <c r="L262" s="8" t="s">
        <v>174</v>
      </c>
    </row>
    <row r="263" spans="1:12" ht="59.25">
      <c r="A263" s="1" t="str" cm="1">
        <f t="array" aca="1" ref="A263" ca="1">INDIRECT(_xlfn.CONCAT("$I", $F263))</f>
        <v>Store Championships SCH</v>
      </c>
      <c r="B263" s="1" cm="1">
        <f t="array" aca="1" ref="B263" ca="1">INDIRECT(_xlfn.CONCAT("$J", $F263))</f>
        <v>44</v>
      </c>
      <c r="C263" s="1" cm="1">
        <f t="array" aca="1" ref="C263" ca="1">INDIRECT(_xlfn.CONCAT("$K", $F263))</f>
        <v>44751</v>
      </c>
      <c r="D263" s="1"/>
      <c r="E263" s="1" t="str" cm="1">
        <f t="array" aca="1" ref="E263" ca="1">INDIRECT(_xlfn.CONCAT("$L", $F263))</f>
        <v>en es fr de it pt ja ko ru 汉语 漢語</v>
      </c>
      <c r="F263" s="1" cm="1">
        <f t="array" aca="1" ref="F263" ca="1">IF(NOT(OR(ISERROR(INDIRECT(_xlfn.CONCAT("$I", $F262 + 1))), ISBLANK(INDIRECT(_xlfn.CONCAT("$I", $F262 + 1))))), $F262 + 1, IF(NOT(ISBLANK(INDIRECT(_xlfn.CONCAT("$I", $F262 + 2)))), $F262 + 2, ""))</f>
        <v>470</v>
      </c>
    </row>
    <row r="264" spans="1:12" ht="59.25">
      <c r="A264" s="1" t="str" cm="1">
        <f t="array" aca="1" ref="A264" ca="1">INDIRECT(_xlfn.CONCAT("$I", $F264))</f>
        <v>Double Masters 2022 2X2</v>
      </c>
      <c r="B264" s="1" cm="1">
        <f t="array" aca="1" ref="B264" ca="1">INDIRECT(_xlfn.CONCAT("$J", $F264))</f>
        <v>579</v>
      </c>
      <c r="C264" s="1" cm="1">
        <f t="array" aca="1" ref="C264" ca="1">INDIRECT(_xlfn.CONCAT("$K", $F264))</f>
        <v>44750</v>
      </c>
      <c r="D264" s="1"/>
      <c r="E264" s="1" t="str" cm="1">
        <f t="array" aca="1" ref="E264" ca="1">INDIRECT(_xlfn.CONCAT("$L", $F264))</f>
        <v>en es fr de it pt ja ko ru 汉语 漢語</v>
      </c>
      <c r="F264" s="1" cm="1">
        <f t="array" aca="1" ref="F264" ca="1">IF(NOT(OR(ISERROR(INDIRECT(_xlfn.CONCAT("$I", $F263 + 1))), ISBLANK(INDIRECT(_xlfn.CONCAT("$I", $F263 + 1))))), $F263 + 1, IF(NOT(ISBLANK(INDIRECT(_xlfn.CONCAT("$I", $F263 + 2)))), $F263 + 2, ""))</f>
        <v>472</v>
      </c>
      <c r="I264" s="8" t="s">
        <v>317</v>
      </c>
      <c r="J264" s="8">
        <v>173</v>
      </c>
      <c r="K264" s="9">
        <v>45177</v>
      </c>
      <c r="L264" t="s">
        <v>174</v>
      </c>
    </row>
    <row r="265" spans="1:12" ht="68.25">
      <c r="A265" s="1" t="str" cm="1">
        <f t="array" aca="1" ref="A265" ca="1">INDIRECT(_xlfn.CONCAT("$I", $F265))</f>
        <v>Double Masters 2022 Tokens T2X2</v>
      </c>
      <c r="B265" s="1" cm="1">
        <f t="array" aca="1" ref="B265" ca="1">INDIRECT(_xlfn.CONCAT("$J", $F265))</f>
        <v>24</v>
      </c>
      <c r="C265" s="1" cm="1">
        <f t="array" aca="1" ref="C265" ca="1">INDIRECT(_xlfn.CONCAT("$K", $F265))</f>
        <v>44750</v>
      </c>
      <c r="D265" s="1"/>
      <c r="E265" s="1" t="str" cm="1">
        <f t="array" aca="1" ref="E265" ca="1">INDIRECT(_xlfn.CONCAT("$L", $F265))</f>
        <v>en es fr de it pt ja ko ru 汉语 漢語</v>
      </c>
      <c r="F265" s="1" cm="1">
        <f t="array" aca="1" ref="F265" ca="1">IF(NOT(OR(ISERROR(INDIRECT(_xlfn.CONCAT("$I", $F264 + 1))), ISBLANK(INDIRECT(_xlfn.CONCAT("$I", $F264 + 1))))), $F264 + 1, IF(NOT(ISBLANK(INDIRECT(_xlfn.CONCAT("$I", $F264 + 2)))), $F264 + 2, ""))</f>
        <v>474</v>
      </c>
    </row>
    <row r="266" spans="1:12" ht="59.25">
      <c r="A266" s="1" t="str" cm="1">
        <f t="array" aca="1" ref="A266" ca="1">INDIRECT(_xlfn.CONCAT("$I", $F266))</f>
        <v>Alchemy Horizons: Baldur's Gate HBG</v>
      </c>
      <c r="B266" s="1" cm="1">
        <f t="array" aca="1" ref="B266" ca="1">INDIRECT(_xlfn.CONCAT("$J", $F266))</f>
        <v>436</v>
      </c>
      <c r="C266" s="1" cm="1">
        <f t="array" aca="1" ref="C266" ca="1">INDIRECT(_xlfn.CONCAT("$K", $F266))</f>
        <v>44749</v>
      </c>
      <c r="D266" s="1"/>
      <c r="E266" s="1" t="str" cm="1">
        <f t="array" aca="1" ref="E266" ca="1">INDIRECT(_xlfn.CONCAT("$L", $F266))</f>
        <v>en es fr de it pt ja ko ru 汉语 漢語</v>
      </c>
      <c r="F266" s="1" cm="1">
        <f t="array" aca="1" ref="F266" ca="1">IF(NOT(OR(ISERROR(INDIRECT(_xlfn.CONCAT("$I", $F265 + 1))), ISBLANK(INDIRECT(_xlfn.CONCAT("$I", $F265 + 1))))), $F265 + 1, IF(NOT(ISBLANK(INDIRECT(_xlfn.CONCAT("$I", $F265 + 2)))), $F265 + 2, ""))</f>
        <v>476</v>
      </c>
      <c r="I266" s="8" t="s">
        <v>318</v>
      </c>
      <c r="J266" s="8">
        <v>10</v>
      </c>
      <c r="K266" s="9">
        <v>45177</v>
      </c>
      <c r="L266" s="8" t="s">
        <v>174</v>
      </c>
    </row>
    <row r="267" spans="1:12" ht="59.25">
      <c r="A267" s="1" t="str" cm="1">
        <f t="array" aca="1" ref="A267" ca="1">INDIRECT(_xlfn.CONCAT("$I", $F267))</f>
        <v>Love Your LGS 2022 PLG22</v>
      </c>
      <c r="B267" s="1" cm="1">
        <f t="array" aca="1" ref="B267" ca="1">INDIRECT(_xlfn.CONCAT("$J", $F267))</f>
        <v>2</v>
      </c>
      <c r="C267" s="1" cm="1">
        <f t="array" aca="1" ref="C267" ca="1">INDIRECT(_xlfn.CONCAT("$K", $F267))</f>
        <v>44743</v>
      </c>
      <c r="D267" s="1"/>
      <c r="E267" s="1" t="str" cm="1">
        <f t="array" aca="1" ref="E267" ca="1">INDIRECT(_xlfn.CONCAT("$L", $F267))</f>
        <v>en es fr de it pt ja ko ru 汉语 漢語</v>
      </c>
      <c r="F267" s="1" cm="1">
        <f t="array" aca="1" ref="F267" ca="1">IF(NOT(OR(ISERROR(INDIRECT(_xlfn.CONCAT("$I", $F266 + 1))), ISBLANK(INDIRECT(_xlfn.CONCAT("$I", $F266 + 1))))), $F266 + 1, IF(NOT(ISBLANK(INDIRECT(_xlfn.CONCAT("$I", $F266 + 2)))), $F266 + 2, ""))</f>
        <v>478</v>
      </c>
    </row>
    <row r="268" spans="1:12" ht="68.25">
      <c r="A268" s="1" t="str" cm="1">
        <f t="array" aca="1" ref="A268" ca="1">INDIRECT(_xlfn.CONCAT("$I", $F268))</f>
        <v>Commander Legends: Battle for Baldur's Gate CLB</v>
      </c>
      <c r="B268" s="1" cm="1">
        <f t="array" aca="1" ref="B268" ca="1">INDIRECT(_xlfn.CONCAT("$J", $F268))</f>
        <v>936</v>
      </c>
      <c r="C268" s="1" cm="1">
        <f t="array" aca="1" ref="C268" ca="1">INDIRECT(_xlfn.CONCAT("$K", $F268))</f>
        <v>44722</v>
      </c>
      <c r="D268" s="1"/>
      <c r="E268" s="1" t="str" cm="1">
        <f t="array" aca="1" ref="E268" ca="1">INDIRECT(_xlfn.CONCAT("$L", $F268))</f>
        <v>en es fr de it pt ja ko ru 汉语 漢語</v>
      </c>
      <c r="F268" s="1" cm="1">
        <f t="array" aca="1" ref="F268" ca="1">IF(NOT(OR(ISERROR(INDIRECT(_xlfn.CONCAT("$I", $F267 + 1))), ISBLANK(INDIRECT(_xlfn.CONCAT("$I", $F267 + 1))))), $F267 + 1, IF(NOT(ISBLANK(INDIRECT(_xlfn.CONCAT("$I", $F267 + 2)))), $F267 + 2, ""))</f>
        <v>480</v>
      </c>
      <c r="I268" s="8" t="s">
        <v>319</v>
      </c>
      <c r="J268" s="8">
        <v>6</v>
      </c>
      <c r="K268" s="9">
        <v>45177</v>
      </c>
      <c r="L268" s="8" t="s">
        <v>174</v>
      </c>
    </row>
    <row r="269" spans="1:12" ht="68.25">
      <c r="A269" s="1" t="str" cm="1">
        <f t="array" aca="1" ref="A269" ca="1">INDIRECT(_xlfn.CONCAT("$I", $F269))</f>
        <v>Battle for Baldur's Gate Promos PCLB</v>
      </c>
      <c r="B269" s="1" cm="1">
        <f t="array" aca="1" ref="B269" ca="1">INDIRECT(_xlfn.CONCAT("$J", $F269))</f>
        <v>104</v>
      </c>
      <c r="C269" s="1" cm="1">
        <f t="array" aca="1" ref="C269" ca="1">INDIRECT(_xlfn.CONCAT("$K", $F269))</f>
        <v>44722</v>
      </c>
      <c r="D269" s="1"/>
      <c r="E269" s="1" t="str" cm="1">
        <f t="array" aca="1" ref="E269" ca="1">INDIRECT(_xlfn.CONCAT("$L", $F269))</f>
        <v>en es fr de it pt ja ko ru 汉语 漢語</v>
      </c>
      <c r="F269" s="1" cm="1">
        <f t="array" aca="1" ref="F269" ca="1">IF(NOT(OR(ISERROR(INDIRECT(_xlfn.CONCAT("$I", $F268 + 1))), ISBLANK(INDIRECT(_xlfn.CONCAT("$I", $F268 + 1))))), $F268 + 1, IF(NOT(ISBLANK(INDIRECT(_xlfn.CONCAT("$I", $F268 + 2)))), $F268 + 2, ""))</f>
        <v>482</v>
      </c>
    </row>
    <row r="270" spans="1:12" ht="68.25">
      <c r="A270" s="1" t="str" cm="1">
        <f t="array" aca="1" ref="A270" ca="1">INDIRECT(_xlfn.CONCAT("$I", $F270))</f>
        <v>Battle for Baldur's Gate Tokens TCLB</v>
      </c>
      <c r="B270" s="1" cm="1">
        <f t="array" aca="1" ref="B270" ca="1">INDIRECT(_xlfn.CONCAT("$J", $F270))</f>
        <v>51</v>
      </c>
      <c r="C270" s="1" cm="1">
        <f t="array" aca="1" ref="C270" ca="1">INDIRECT(_xlfn.CONCAT("$K", $F270))</f>
        <v>44722</v>
      </c>
      <c r="D270" s="1"/>
      <c r="E270" s="1" t="str" cm="1">
        <f t="array" aca="1" ref="E270" ca="1">INDIRECT(_xlfn.CONCAT("$L", $F270))</f>
        <v>en es fr de it pt ja ko ru 汉语 漢語</v>
      </c>
      <c r="F270" s="1" cm="1">
        <f t="array" aca="1" ref="F270" ca="1">IF(NOT(OR(ISERROR(INDIRECT(_xlfn.CONCAT("$I", $F269 + 1))), ISBLANK(INDIRECT(_xlfn.CONCAT("$I", $F269 + 1))))), $F269 + 1, IF(NOT(ISBLANK(INDIRECT(_xlfn.CONCAT("$I", $F269 + 2)))), $F269 + 2, ""))</f>
        <v>484</v>
      </c>
      <c r="I270" s="8" t="s">
        <v>320</v>
      </c>
      <c r="J270" s="8">
        <v>81</v>
      </c>
      <c r="K270" s="9">
        <v>45177</v>
      </c>
      <c r="L270" s="8" t="s">
        <v>174</v>
      </c>
    </row>
    <row r="271" spans="1:12" ht="94.5">
      <c r="A271" s="1" t="str" cm="1">
        <f t="array" aca="1" ref="A271" ca="1">INDIRECT(_xlfn.CONCAT("$I", $F271))</f>
        <v>Commander Legends: Battle for Baldur's Gate Minigames MCLB</v>
      </c>
      <c r="B271" s="1" cm="1">
        <f t="array" aca="1" ref="B271" ca="1">INDIRECT(_xlfn.CONCAT("$J", $F271))</f>
        <v>3</v>
      </c>
      <c r="C271" s="1" cm="1">
        <f t="array" aca="1" ref="C271" ca="1">INDIRECT(_xlfn.CONCAT("$K", $F271))</f>
        <v>44722</v>
      </c>
      <c r="D271" s="1"/>
      <c r="E271" s="1" t="str" cm="1">
        <f t="array" aca="1" ref="E271" ca="1">INDIRECT(_xlfn.CONCAT("$L", $F271))</f>
        <v>en es fr de it pt ja ko ru 汉语 漢語</v>
      </c>
      <c r="F271" s="1" cm="1">
        <f t="array" aca="1" ref="F271" ca="1">IF(NOT(OR(ISERROR(INDIRECT(_xlfn.CONCAT("$I", $F270 + 1))), ISBLANK(INDIRECT(_xlfn.CONCAT("$I", $F270 + 1))))), $F270 + 1, IF(NOT(ISBLANK(INDIRECT(_xlfn.CONCAT("$I", $F270 + 2)))), $F270 + 2, ""))</f>
        <v>486</v>
      </c>
    </row>
    <row r="272" spans="1:12" ht="81">
      <c r="A272" s="1" t="str" cm="1">
        <f t="array" aca="1" ref="A272" ca="1">INDIRECT(_xlfn.CONCAT("$I", $F272))</f>
        <v>Battle for Baldur's Gate Oversized Cards OCLB</v>
      </c>
      <c r="B272" s="1" cm="1">
        <f t="array" aca="1" ref="B272" ca="1">INDIRECT(_xlfn.CONCAT("$J", $F272))</f>
        <v>1</v>
      </c>
      <c r="C272" s="1" cm="1">
        <f t="array" aca="1" ref="C272" ca="1">INDIRECT(_xlfn.CONCAT("$K", $F272))</f>
        <v>44722</v>
      </c>
      <c r="D272" s="1"/>
      <c r="E272" s="1" t="str" cm="1">
        <f t="array" aca="1" ref="E272" ca="1">INDIRECT(_xlfn.CONCAT("$L", $F272))</f>
        <v>en es fr de it pt ja ko ru 汉语 漢語</v>
      </c>
      <c r="F272" s="1" cm="1">
        <f t="array" aca="1" ref="F272" ca="1">IF(NOT(OR(ISERROR(INDIRECT(_xlfn.CONCAT("$I", $F271 + 1))), ISBLANK(INDIRECT(_xlfn.CONCAT("$I", $F271 + 1))))), $F271 + 1, IF(NOT(ISBLANK(INDIRECT(_xlfn.CONCAT("$I", $F271 + 2)))), $F271 + 2, ""))</f>
        <v>488</v>
      </c>
      <c r="I272" s="8" t="s">
        <v>1175</v>
      </c>
      <c r="J272" s="8">
        <v>1067</v>
      </c>
      <c r="K272" s="9">
        <v>45142</v>
      </c>
      <c r="L272" t="s">
        <v>174</v>
      </c>
    </row>
    <row r="273" spans="1:12" ht="68.25">
      <c r="A273" s="1" t="str" cm="1">
        <f t="array" aca="1" ref="A273" ca="1">INDIRECT(_xlfn.CONCAT("$I", $F273))</f>
        <v>Battle for Baldur's Gate Art Series ACLB</v>
      </c>
      <c r="B273" s="1" cm="1">
        <f t="array" aca="1" ref="B273" ca="1">INDIRECT(_xlfn.CONCAT("$J", $F273))</f>
        <v>81</v>
      </c>
      <c r="C273" s="1" cm="1">
        <f t="array" aca="1" ref="C273" ca="1">INDIRECT(_xlfn.CONCAT("$K", $F273))</f>
        <v>44722</v>
      </c>
      <c r="D273" s="1"/>
      <c r="E273" s="1" t="str" cm="1">
        <f t="array" aca="1" ref="E273" ca="1">INDIRECT(_xlfn.CONCAT("$L", $F273))</f>
        <v>en es fr de it pt ja ko ru 汉语 漢語</v>
      </c>
      <c r="F273" s="1" cm="1">
        <f t="array" aca="1" ref="F273" ca="1">IF(NOT(OR(ISERROR(INDIRECT(_xlfn.CONCAT("$I", $F272 + 1))), ISBLANK(INDIRECT(_xlfn.CONCAT("$I", $F272 + 1))))), $F272 + 1, IF(NOT(ISBLANK(INDIRECT(_xlfn.CONCAT("$I", $F272 + 2)))), $F272 + 2, ""))</f>
        <v>490</v>
      </c>
    </row>
    <row r="274" spans="1:12" ht="59.25">
      <c r="A274" s="1" t="str" cm="1">
        <f t="array" aca="1" ref="A274" ca="1">INDIRECT(_xlfn.CONCAT("$I", $F274))</f>
        <v>Streets of New Capenna SNC</v>
      </c>
      <c r="B274" s="1" cm="1">
        <f t="array" aca="1" ref="B274" ca="1">INDIRECT(_xlfn.CONCAT("$J", $F274))</f>
        <v>513</v>
      </c>
      <c r="C274" s="1" cm="1">
        <f t="array" aca="1" ref="C274" ca="1">INDIRECT(_xlfn.CONCAT("$K", $F274))</f>
        <v>44680</v>
      </c>
      <c r="D274" s="1"/>
      <c r="E274" s="1" t="str" cm="1">
        <f t="array" aca="1" ref="E274" ca="1">INDIRECT(_xlfn.CONCAT("$L", $F274))</f>
        <v>en es fr de it pt ja ko ru 汉语 漢語</v>
      </c>
      <c r="F274" s="1" cm="1">
        <f t="array" aca="1" ref="F274" ca="1">IF(NOT(OR(ISERROR(INDIRECT(_xlfn.CONCAT("$I", $F273 + 1))), ISBLANK(INDIRECT(_xlfn.CONCAT("$I", $F273 + 1))))), $F273 + 1, IF(NOT(ISBLANK(INDIRECT(_xlfn.CONCAT("$I", $F273 + 2)))), $F273 + 2, ""))</f>
        <v>492</v>
      </c>
      <c r="I274" s="8" t="s">
        <v>321</v>
      </c>
      <c r="J274" s="8">
        <v>81</v>
      </c>
      <c r="K274" s="9">
        <v>45142</v>
      </c>
      <c r="L274" s="8" t="s">
        <v>174</v>
      </c>
    </row>
    <row r="275" spans="1:12" ht="68.25">
      <c r="A275" s="1" t="str" cm="1">
        <f t="array" aca="1" ref="A275" ca="1">INDIRECT(_xlfn.CONCAT("$I", $F275))</f>
        <v>Streets of New Capenna Promos PSNC</v>
      </c>
      <c r="B275" s="1" cm="1">
        <f t="array" aca="1" ref="B275" ca="1">INDIRECT(_xlfn.CONCAT("$J", $F275))</f>
        <v>161</v>
      </c>
      <c r="C275" s="1" cm="1">
        <f t="array" aca="1" ref="C275" ca="1">INDIRECT(_xlfn.CONCAT("$K", $F275))</f>
        <v>44680</v>
      </c>
      <c r="D275" s="1"/>
      <c r="E275" s="1" t="str" cm="1">
        <f t="array" aca="1" ref="E275" ca="1">INDIRECT(_xlfn.CONCAT("$L", $F275))</f>
        <v>en es fr de it pt ja ko ru 汉语 漢語</v>
      </c>
      <c r="F275" s="1" cm="1">
        <f t="array" aca="1" ref="F275" ca="1">IF(NOT(OR(ISERROR(INDIRECT(_xlfn.CONCAT("$I", $F274 + 1))), ISBLANK(INDIRECT(_xlfn.CONCAT("$I", $F274 + 1))))), $F274 + 1, IF(NOT(ISBLANK(INDIRECT(_xlfn.CONCAT("$I", $F274 + 2)))), $F274 + 2, ""))</f>
        <v>494</v>
      </c>
    </row>
    <row r="276" spans="1:12" ht="94.5">
      <c r="A276" s="1" t="str" cm="1">
        <f t="array" aca="1" ref="A276" ca="1">INDIRECT(_xlfn.CONCAT("$I", $F276))</f>
        <v>Streets of New Capenna Southeast Asia Tokens PTSNC</v>
      </c>
      <c r="B276" s="1" cm="1">
        <f t="array" aca="1" ref="B276" ca="1">INDIRECT(_xlfn.CONCAT("$J", $F276))</f>
        <v>6</v>
      </c>
      <c r="C276" s="1" cm="1">
        <f t="array" aca="1" ref="C276" ca="1">INDIRECT(_xlfn.CONCAT("$K", $F276))</f>
        <v>44681</v>
      </c>
      <c r="D276" s="1"/>
      <c r="E276" s="1" t="str" cm="1">
        <f t="array" aca="1" ref="E276" ca="1">INDIRECT(_xlfn.CONCAT("$L", $F276))</f>
        <v>en es fr de it pt ja ko ru 汉语 漢語</v>
      </c>
      <c r="F276" s="1" cm="1">
        <f t="array" aca="1" ref="F276" ca="1">IF(NOT(OR(ISERROR(INDIRECT(_xlfn.CONCAT("$I", $F275 + 1))), ISBLANK(INDIRECT(_xlfn.CONCAT("$I", $F275 + 1))))), $F275 + 1, IF(NOT(ISBLANK(INDIRECT(_xlfn.CONCAT("$I", $F275 + 2)))), $F275 + 2, ""))</f>
        <v>496</v>
      </c>
      <c r="I276" s="8" t="s">
        <v>322</v>
      </c>
      <c r="J276" s="8">
        <v>81</v>
      </c>
      <c r="K276" s="9">
        <v>45142</v>
      </c>
      <c r="L276" s="8" t="s">
        <v>174</v>
      </c>
    </row>
    <row r="277" spans="1:12" ht="68.25">
      <c r="A277" s="1" t="str" cm="1">
        <f t="array" aca="1" ref="A277" ca="1">INDIRECT(_xlfn.CONCAT("$I", $F277))</f>
        <v>Streets of New Capenna Tokens TSNC</v>
      </c>
      <c r="B277" s="1" cm="1">
        <f t="array" aca="1" ref="B277" ca="1">INDIRECT(_xlfn.CONCAT("$J", $F277))</f>
        <v>19</v>
      </c>
      <c r="C277" s="1" cm="1">
        <f t="array" aca="1" ref="C277" ca="1">INDIRECT(_xlfn.CONCAT("$K", $F277))</f>
        <v>44680</v>
      </c>
      <c r="D277" s="1"/>
      <c r="E277" s="1" t="str" cm="1">
        <f t="array" aca="1" ref="E277" ca="1">INDIRECT(_xlfn.CONCAT("$L", $F277))</f>
        <v>en es fr de it pt ja ko ru 汉语 漢語</v>
      </c>
      <c r="F277" s="1" cm="1">
        <f t="array" aca="1" ref="F277" ca="1">IF(NOT(OR(ISERROR(INDIRECT(_xlfn.CONCAT("$I", $F276 + 1))), ISBLANK(INDIRECT(_xlfn.CONCAT("$I", $F276 + 1))))), $F276 + 1, IF(NOT(ISBLANK(INDIRECT(_xlfn.CONCAT("$I", $F276 + 2)))), $F276 + 2, ""))</f>
        <v>498</v>
      </c>
    </row>
    <row r="278" spans="1:12" ht="59.25">
      <c r="A278" s="1" t="str" cm="1">
        <f t="array" aca="1" ref="A278" ca="1">INDIRECT(_xlfn.CONCAT("$I", $F278))</f>
        <v>Alchemy: New Capenna YSNC</v>
      </c>
      <c r="B278" s="1" cm="1">
        <f t="array" aca="1" ref="B278" ca="1">INDIRECT(_xlfn.CONCAT("$J", $F278))</f>
        <v>30</v>
      </c>
      <c r="C278" s="1" cm="1">
        <f t="array" aca="1" ref="C278" ca="1">INDIRECT(_xlfn.CONCAT("$K", $F278))</f>
        <v>44714</v>
      </c>
      <c r="D278" s="1"/>
      <c r="E278" s="1" t="str" cm="1">
        <f t="array" aca="1" ref="E278" ca="1">INDIRECT(_xlfn.CONCAT("$L", $F278))</f>
        <v>en es fr de it pt ja ko ru 汉语 漢語</v>
      </c>
      <c r="F278" s="1" cm="1">
        <f t="array" aca="1" ref="F278" ca="1">IF(NOT(OR(ISERROR(INDIRECT(_xlfn.CONCAT("$I", $F277 + 1))), ISBLANK(INDIRECT(_xlfn.CONCAT("$I", $F277 + 1))))), $F277 + 1, IF(NOT(ISBLANK(INDIRECT(_xlfn.CONCAT("$I", $F277 + 2)))), $F277 + 2, ""))</f>
        <v>500</v>
      </c>
      <c r="I278" s="8" t="s">
        <v>323</v>
      </c>
      <c r="J278" s="8">
        <v>5</v>
      </c>
      <c r="K278" s="9">
        <v>45139</v>
      </c>
      <c r="L278" s="8" t="s">
        <v>174</v>
      </c>
    </row>
    <row r="279" spans="1:12" ht="59.25">
      <c r="A279" s="1" t="str" cm="1">
        <f t="array" aca="1" ref="A279" ca="1">INDIRECT(_xlfn.CONCAT("$I", $F279))</f>
        <v>New Capenna Commander NCC</v>
      </c>
      <c r="B279" s="1" cm="1">
        <f t="array" aca="1" ref="B279" ca="1">INDIRECT(_xlfn.CONCAT("$J", $F279))</f>
        <v>447</v>
      </c>
      <c r="C279" s="1" cm="1">
        <f t="array" aca="1" ref="C279" ca="1">INDIRECT(_xlfn.CONCAT("$K", $F279))</f>
        <v>44680</v>
      </c>
      <c r="D279" s="1"/>
      <c r="E279" s="1" t="str" cm="1">
        <f t="array" aca="1" ref="E279" ca="1">INDIRECT(_xlfn.CONCAT("$L", $F279))</f>
        <v>en es fr de it pt ja ko ru 汉语 漢語</v>
      </c>
      <c r="F279" s="1" cm="1">
        <f t="array" aca="1" ref="F279" ca="1">IF(NOT(OR(ISERROR(INDIRECT(_xlfn.CONCAT("$I", $F278 + 1))), ISBLANK(INDIRECT(_xlfn.CONCAT("$I", $F278 + 1))))), $F278 + 1, IF(NOT(ISBLANK(INDIRECT(_xlfn.CONCAT("$I", $F278 + 2)))), $F278 + 2, ""))</f>
        <v>502</v>
      </c>
    </row>
    <row r="280" spans="1:12" ht="68.25">
      <c r="A280" s="1" t="str" cm="1">
        <f t="array" aca="1" ref="A280" ca="1">INDIRECT(_xlfn.CONCAT("$I", $F280))</f>
        <v>New Capenna Commander Promos PNCC</v>
      </c>
      <c r="B280" s="1" cm="1">
        <f t="array" aca="1" ref="B280" ca="1">INDIRECT(_xlfn.CONCAT("$J", $F280))</f>
        <v>75</v>
      </c>
      <c r="C280" s="1" cm="1">
        <f t="array" aca="1" ref="C280" ca="1">INDIRECT(_xlfn.CONCAT("$K", $F280))</f>
        <v>44680</v>
      </c>
      <c r="D280" s="1"/>
      <c r="E280" s="1" t="str" cm="1">
        <f t="array" aca="1" ref="E280" ca="1">INDIRECT(_xlfn.CONCAT("$L", $F280))</f>
        <v>en es fr de it pt ja ko ru 汉语 漢語</v>
      </c>
      <c r="F280" s="1" cm="1">
        <f t="array" aca="1" ref="F280" ca="1">IF(NOT(OR(ISERROR(INDIRECT(_xlfn.CONCAT("$I", $F279 + 1))), ISBLANK(INDIRECT(_xlfn.CONCAT("$I", $F279 + 1))))), $F279 + 1, IF(NOT(ISBLANK(INDIRECT(_xlfn.CONCAT("$I", $F279 + 2)))), $F279 + 2, ""))</f>
        <v>504</v>
      </c>
      <c r="I280" s="8" t="s">
        <v>324</v>
      </c>
      <c r="J280" s="8">
        <v>25</v>
      </c>
      <c r="K280" s="9">
        <v>45125</v>
      </c>
      <c r="L280" s="8" t="s">
        <v>174</v>
      </c>
    </row>
    <row r="281" spans="1:12" ht="68.25">
      <c r="A281" s="1" t="str" cm="1">
        <f t="array" aca="1" ref="A281" ca="1">INDIRECT(_xlfn.CONCAT("$I", $F281))</f>
        <v>New Capenna Commander Tokens TNCC</v>
      </c>
      <c r="B281" s="1" cm="1">
        <f t="array" aca="1" ref="B281" ca="1">INDIRECT(_xlfn.CONCAT("$J", $F281))</f>
        <v>36</v>
      </c>
      <c r="C281" s="1" cm="1">
        <f t="array" aca="1" ref="C281" ca="1">INDIRECT(_xlfn.CONCAT("$K", $F281))</f>
        <v>44680</v>
      </c>
      <c r="D281" s="1"/>
      <c r="E281" s="1" t="str" cm="1">
        <f t="array" aca="1" ref="E281" ca="1">INDIRECT(_xlfn.CONCAT("$L", $F281))</f>
        <v>en es fr de it pt ja ko ru 汉语 漢語</v>
      </c>
      <c r="F281" s="1" cm="1">
        <f t="array" aca="1" ref="F281" ca="1">IF(NOT(OR(ISERROR(INDIRECT(_xlfn.CONCAT("$I", $F280 + 1))), ISBLANK(INDIRECT(_xlfn.CONCAT("$I", $F280 + 1))))), $F280 + 1, IF(NOT(ISBLANK(INDIRECT(_xlfn.CONCAT("$I", $F280 + 2)))), $F280 + 2, ""))</f>
        <v>506</v>
      </c>
    </row>
    <row r="282" spans="1:12" ht="68.25">
      <c r="A282" s="1" t="str" cm="1">
        <f t="array" aca="1" ref="A282" ca="1">INDIRECT(_xlfn.CONCAT("$I", $F282))</f>
        <v>Streets of New Capenna Minigames MSNC</v>
      </c>
      <c r="B282" s="1" cm="1">
        <f t="array" aca="1" ref="B282" ca="1">INDIRECT(_xlfn.CONCAT("$J", $F282))</f>
        <v>3</v>
      </c>
      <c r="C282" s="1" cm="1">
        <f t="array" aca="1" ref="C282" ca="1">INDIRECT(_xlfn.CONCAT("$K", $F282))</f>
        <v>44680</v>
      </c>
      <c r="D282" s="1"/>
      <c r="E282" s="1" t="str" cm="1">
        <f t="array" aca="1" ref="E282" ca="1">INDIRECT(_xlfn.CONCAT("$L", $F282))</f>
        <v>en es fr de it pt ja ko ru 汉语 漢語</v>
      </c>
      <c r="F282" s="1" cm="1">
        <f t="array" aca="1" ref="F282" ca="1">IF(NOT(OR(ISERROR(INDIRECT(_xlfn.CONCAT("$I", $F281 + 1))), ISBLANK(INDIRECT(_xlfn.CONCAT("$I", $F281 + 1))))), $F281 + 1, IF(NOT(ISBLANK(INDIRECT(_xlfn.CONCAT("$I", $F281 + 2)))), $F281 + 2, ""))</f>
        <v>508</v>
      </c>
      <c r="I282" s="8" t="s">
        <v>325</v>
      </c>
      <c r="J282" s="8">
        <v>25</v>
      </c>
      <c r="K282" s="9">
        <v>45125</v>
      </c>
      <c r="L282" s="8" t="s">
        <v>174</v>
      </c>
    </row>
    <row r="283" spans="1:12" ht="59.25">
      <c r="A283" s="1" t="str" cm="1">
        <f t="array" aca="1" ref="A283" ca="1">INDIRECT(_xlfn.CONCAT("$I", $F283))</f>
        <v>New Capenna Art Series ASNC</v>
      </c>
      <c r="B283" s="1" cm="1">
        <f t="array" aca="1" ref="B283" ca="1">INDIRECT(_xlfn.CONCAT("$J", $F283))</f>
        <v>81</v>
      </c>
      <c r="C283" s="1" cm="1">
        <f t="array" aca="1" ref="C283" ca="1">INDIRECT(_xlfn.CONCAT("$K", $F283))</f>
        <v>44680</v>
      </c>
      <c r="D283" s="1"/>
      <c r="E283" s="1" t="str" cm="1">
        <f t="array" aca="1" ref="E283" ca="1">INDIRECT(_xlfn.CONCAT("$L", $F283))</f>
        <v>en es fr de it pt ja ko ru 汉语 漢語</v>
      </c>
      <c r="F283" s="1" cm="1">
        <f t="array" aca="1" ref="F283" ca="1">IF(NOT(OR(ISERROR(INDIRECT(_xlfn.CONCAT("$I", $F282 + 1))), ISBLANK(INDIRECT(_xlfn.CONCAT("$I", $F282 + 1))))), $F282 + 1, IF(NOT(ISBLANK(INDIRECT(_xlfn.CONCAT("$I", $F282 + 2)))), $F282 + 2, ""))</f>
        <v>510</v>
      </c>
    </row>
    <row r="284" spans="1:12" ht="59.25">
      <c r="A284" s="1" t="str" cm="1">
        <f t="array" aca="1" ref="A284" ca="1">INDIRECT(_xlfn.CONCAT("$I", $F284))</f>
        <v>Game Day Promos GDY</v>
      </c>
      <c r="B284" s="1" cm="1">
        <f t="array" aca="1" ref="B284" ca="1">INDIRECT(_xlfn.CONCAT("$J", $F284))</f>
        <v>9</v>
      </c>
      <c r="C284" s="1" cm="1">
        <f t="array" aca="1" ref="C284" ca="1">INDIRECT(_xlfn.CONCAT("$K", $F284))</f>
        <v>44659</v>
      </c>
      <c r="D284" s="1"/>
      <c r="E284" s="1" t="str" cm="1">
        <f t="array" aca="1" ref="E284" ca="1">INDIRECT(_xlfn.CONCAT("$L", $F284))</f>
        <v>en es fr de it pt ja ko ru 汉语 漢語</v>
      </c>
      <c r="F284" s="1" cm="1">
        <f t="array" aca="1" ref="F284" ca="1">IF(NOT(OR(ISERROR(INDIRECT(_xlfn.CONCAT("$I", $F283 + 1))), ISBLANK(INDIRECT(_xlfn.CONCAT("$I", $F283 + 1))))), $F283 + 1, IF(NOT(ISBLANK(INDIRECT(_xlfn.CONCAT("$I", $F283 + 2)))), $F283 + 2, ""))</f>
        <v>512</v>
      </c>
      <c r="I284" s="8" t="s">
        <v>326</v>
      </c>
      <c r="J284" s="8">
        <v>4</v>
      </c>
      <c r="K284" s="9">
        <v>45108</v>
      </c>
      <c r="L284" s="8" t="s">
        <v>174</v>
      </c>
    </row>
    <row r="285" spans="1:12" ht="59.25">
      <c r="A285" s="1" t="str" cm="1">
        <f t="array" aca="1" ref="A285" ca="1">INDIRECT(_xlfn.CONCAT("$I", $F285))</f>
        <v>Challenger Decks 2022 Q07</v>
      </c>
      <c r="B285" s="1" cm="1">
        <f t="array" aca="1" ref="B285" ca="1">INDIRECT(_xlfn.CONCAT("$J", $F285))</f>
        <v>1</v>
      </c>
      <c r="C285" s="1" cm="1">
        <f t="array" aca="1" ref="C285" ca="1">INDIRECT(_xlfn.CONCAT("$K", $F285))</f>
        <v>44652</v>
      </c>
      <c r="D285" s="1"/>
      <c r="E285" s="1" t="str" cm="1">
        <f t="array" aca="1" ref="E285" ca="1">INDIRECT(_xlfn.CONCAT("$L", $F285))</f>
        <v>en es fr de it pt ja ko ru 汉语 漢語</v>
      </c>
      <c r="F285" s="1" cm="1">
        <f t="array" aca="1" ref="F285" ca="1">IF(NOT(OR(ISERROR(INDIRECT(_xlfn.CONCAT("$I", $F284 + 1))), ISBLANK(INDIRECT(_xlfn.CONCAT("$I", $F284 + 1))))), $F284 + 1, IF(NOT(ISBLANK(INDIRECT(_xlfn.CONCAT("$I", $F284 + 2)))), $F284 + 2, ""))</f>
        <v>514</v>
      </c>
    </row>
    <row r="286" spans="1:12" ht="59.25">
      <c r="A286" s="1" t="str" cm="1">
        <f t="array" aca="1" ref="A286" ca="1">INDIRECT(_xlfn.CONCAT("$I", $F286))</f>
        <v>Wizards Play Network 2022 PW22</v>
      </c>
      <c r="B286" s="1" cm="1">
        <f t="array" aca="1" ref="B286" ca="1">INDIRECT(_xlfn.CONCAT("$J", $F286))</f>
        <v>6</v>
      </c>
      <c r="C286" s="1" cm="1">
        <f t="array" aca="1" ref="C286" ca="1">INDIRECT(_xlfn.CONCAT("$K", $F286))</f>
        <v>44625</v>
      </c>
      <c r="D286" s="1"/>
      <c r="E286" s="1" t="str" cm="1">
        <f t="array" aca="1" ref="E286" ca="1">INDIRECT(_xlfn.CONCAT("$L", $F286))</f>
        <v>en es fr de it pt ja ko ru 汉语 漢語</v>
      </c>
      <c r="F286" s="1" cm="1">
        <f t="array" aca="1" ref="F286" ca="1">IF(NOT(OR(ISERROR(INDIRECT(_xlfn.CONCAT("$I", $F285 + 1))), ISBLANK(INDIRECT(_xlfn.CONCAT("$I", $F285 + 1))))), $F285 + 1, IF(NOT(ISBLANK(INDIRECT(_xlfn.CONCAT("$I", $F285 + 2)))), $F285 + 2, ""))</f>
        <v>516</v>
      </c>
      <c r="I286" s="8" t="s">
        <v>1182</v>
      </c>
      <c r="J286" s="8">
        <v>856</v>
      </c>
      <c r="K286" s="9">
        <v>45100</v>
      </c>
      <c r="L286" t="s">
        <v>174</v>
      </c>
    </row>
    <row r="287" spans="1:12" ht="59.25">
      <c r="A287" s="1" t="str" cm="1">
        <f t="array" aca="1" ref="A287" ca="1">INDIRECT(_xlfn.CONCAT("$I", $F287))</f>
        <v>Year of the Tiger 2022 PL22</v>
      </c>
      <c r="B287" s="1" cm="1">
        <f t="array" aca="1" ref="B287" ca="1">INDIRECT(_xlfn.CONCAT("$J", $F287))</f>
        <v>5</v>
      </c>
      <c r="C287" s="1" cm="1">
        <f t="array" aca="1" ref="C287" ca="1">INDIRECT(_xlfn.CONCAT("$K", $F287))</f>
        <v>44617</v>
      </c>
      <c r="D287" s="1"/>
      <c r="E287" s="1" t="str" cm="1">
        <f t="array" aca="1" ref="E287" ca="1">INDIRECT(_xlfn.CONCAT("$L", $F287))</f>
        <v>en es fr de it pt ja ko ru 汉语 漢語</v>
      </c>
      <c r="F287" s="1" cm="1">
        <f t="array" aca="1" ref="F287" ca="1">IF(NOT(OR(ISERROR(INDIRECT(_xlfn.CONCAT("$I", $F286 + 1))), ISBLANK(INDIRECT(_xlfn.CONCAT("$I", $F286 + 1))))), $F286 + 1, IF(NOT(ISBLANK(INDIRECT(_xlfn.CONCAT("$I", $F286 + 2)))), $F286 + 2, ""))</f>
        <v>518</v>
      </c>
    </row>
    <row r="288" spans="1:12" ht="59.25">
      <c r="A288" s="1" t="str" cm="1">
        <f t="array" aca="1" ref="A288" ca="1">INDIRECT(_xlfn.CONCAT("$I", $F288))</f>
        <v>Kamigawa: Neon Dynasty NEO</v>
      </c>
      <c r="B288" s="1" cm="1">
        <f t="array" aca="1" ref="B288" ca="1">INDIRECT(_xlfn.CONCAT("$J", $F288))</f>
        <v>531</v>
      </c>
      <c r="C288" s="1" cm="1">
        <f t="array" aca="1" ref="C288" ca="1">INDIRECT(_xlfn.CONCAT("$K", $F288))</f>
        <v>44610</v>
      </c>
      <c r="D288" s="1"/>
      <c r="E288" s="1" t="str" cm="1">
        <f t="array" aca="1" ref="E288" ca="1">INDIRECT(_xlfn.CONCAT("$L", $F288))</f>
        <v>en es fr de it pt ja ko ru 汉语 漢語</v>
      </c>
      <c r="F288" s="1" cm="1">
        <f t="array" aca="1" ref="F288" ca="1">IF(NOT(OR(ISERROR(INDIRECT(_xlfn.CONCAT("$I", $F287 + 1))), ISBLANK(INDIRECT(_xlfn.CONCAT("$I", $F287 + 1))))), $F287 + 1, IF(NOT(ISBLANK(INDIRECT(_xlfn.CONCAT("$I", $F287 + 2)))), $F287 + 2, ""))</f>
        <v>520</v>
      </c>
      <c r="I288" s="8" t="s">
        <v>327</v>
      </c>
      <c r="J288" s="8">
        <v>86</v>
      </c>
      <c r="K288" s="9">
        <v>45100</v>
      </c>
      <c r="L288" s="8" t="s">
        <v>174</v>
      </c>
    </row>
    <row r="289" spans="1:12" ht="68.25">
      <c r="A289" s="1" t="str" cm="1">
        <f t="array" aca="1" ref="A289" ca="1">INDIRECT(_xlfn.CONCAT("$I", $F289))</f>
        <v>Kamigawa: Neon Dynasty Promos PNEO</v>
      </c>
      <c r="B289" s="1" cm="1">
        <f t="array" aca="1" ref="B289" ca="1">INDIRECT(_xlfn.CONCAT("$J", $F289))</f>
        <v>148</v>
      </c>
      <c r="C289" s="1" cm="1">
        <f t="array" aca="1" ref="C289" ca="1">INDIRECT(_xlfn.CONCAT("$K", $F289))</f>
        <v>44610</v>
      </c>
      <c r="D289" s="1"/>
      <c r="E289" s="1" t="str" cm="1">
        <f t="array" aca="1" ref="E289" ca="1">INDIRECT(_xlfn.CONCAT("$L", $F289))</f>
        <v>en es fr de it pt ja ko ru 汉语 漢語</v>
      </c>
      <c r="F289" s="1" cm="1">
        <f t="array" aca="1" ref="F289" ca="1">IF(NOT(OR(ISERROR(INDIRECT(_xlfn.CONCAT("$I", $F288 + 1))), ISBLANK(INDIRECT(_xlfn.CONCAT("$I", $F288 + 1))))), $F288 + 1, IF(NOT(ISBLANK(INDIRECT(_xlfn.CONCAT("$I", $F288 + 2)))), $F288 + 2, ""))</f>
        <v>522</v>
      </c>
    </row>
    <row r="290" spans="1:12" ht="68.25">
      <c r="A290" s="1" t="str" cm="1">
        <f t="array" aca="1" ref="A290" ca="1">INDIRECT(_xlfn.CONCAT("$I", $F290))</f>
        <v>Kamigawa: Neon Dynasty Tokens TNEO</v>
      </c>
      <c r="B290" s="1" cm="1">
        <f t="array" aca="1" ref="B290" ca="1">INDIRECT(_xlfn.CONCAT("$J", $F290))</f>
        <v>19</v>
      </c>
      <c r="C290" s="1" cm="1">
        <f t="array" aca="1" ref="C290" ca="1">INDIRECT(_xlfn.CONCAT("$K", $F290))</f>
        <v>44610</v>
      </c>
      <c r="D290" s="1"/>
      <c r="E290" s="1" t="str" cm="1">
        <f t="array" aca="1" ref="E290" ca="1">INDIRECT(_xlfn.CONCAT("$L", $F290))</f>
        <v>en es fr de it pt ja ko ru 汉语 漢語</v>
      </c>
      <c r="F290" s="1" cm="1">
        <f t="array" aca="1" ref="F290" ca="1">IF(NOT(OR(ISERROR(INDIRECT(_xlfn.CONCAT("$I", $F289 + 1))), ISBLANK(INDIRECT(_xlfn.CONCAT("$I", $F289 + 1))))), $F289 + 1, IF(NOT(ISBLANK(INDIRECT(_xlfn.CONCAT("$I", $F289 + 2)))), $F289 + 2, ""))</f>
        <v>524</v>
      </c>
      <c r="I290" s="8" t="s">
        <v>328</v>
      </c>
      <c r="J290" s="8">
        <v>25</v>
      </c>
      <c r="K290" s="9">
        <v>45100</v>
      </c>
      <c r="L290" s="8" t="s">
        <v>174</v>
      </c>
    </row>
    <row r="291" spans="1:12" ht="59.25">
      <c r="A291" s="1" t="str" cm="1">
        <f t="array" aca="1" ref="A291" ca="1">INDIRECT(_xlfn.CONCAT("$I", $F291))</f>
        <v>Alchemy: Kamigawa YNEO</v>
      </c>
      <c r="B291" s="1" cm="1">
        <f t="array" aca="1" ref="B291" ca="1">INDIRECT(_xlfn.CONCAT("$J", $F291))</f>
        <v>30</v>
      </c>
      <c r="C291" s="1" cm="1">
        <f t="array" aca="1" ref="C291" ca="1">INDIRECT(_xlfn.CONCAT("$K", $F291))</f>
        <v>44637</v>
      </c>
      <c r="D291" s="1"/>
      <c r="E291" s="1" t="str" cm="1">
        <f t="array" aca="1" ref="E291" ca="1">INDIRECT(_xlfn.CONCAT("$L", $F291))</f>
        <v>en es fr de it pt ja ko ru 汉语 漢語</v>
      </c>
      <c r="F291" s="1" cm="1">
        <f t="array" aca="1" ref="F291" ca="1">IF(NOT(OR(ISERROR(INDIRECT(_xlfn.CONCAT("$I", $F290 + 1))), ISBLANK(INDIRECT(_xlfn.CONCAT("$I", $F290 + 1))))), $F290 + 1, IF(NOT(ISBLANK(INDIRECT(_xlfn.CONCAT("$I", $F290 + 2)))), $F290 + 2, ""))</f>
        <v>526</v>
      </c>
    </row>
    <row r="292" spans="1:12" ht="68.25">
      <c r="A292" s="1" t="str" cm="1">
        <f t="array" aca="1" ref="A292" ca="1">INDIRECT(_xlfn.CONCAT("$I", $F292))</f>
        <v>Kamigawa: Neon Dynasty Minigames MNEO</v>
      </c>
      <c r="B292" s="1" cm="1">
        <f t="array" aca="1" ref="B292" ca="1">INDIRECT(_xlfn.CONCAT("$J", $F292))</f>
        <v>3</v>
      </c>
      <c r="C292" s="1" cm="1">
        <f t="array" aca="1" ref="C292" ca="1">INDIRECT(_xlfn.CONCAT("$K", $F292))</f>
        <v>44610</v>
      </c>
      <c r="D292" s="1"/>
      <c r="E292" s="1" t="str" cm="1">
        <f t="array" aca="1" ref="E292" ca="1">INDIRECT(_xlfn.CONCAT("$L", $F292))</f>
        <v>en es fr de it pt ja ko ru 汉语 漢語</v>
      </c>
      <c r="F292" s="1" cm="1">
        <f t="array" aca="1" ref="F292" ca="1">IF(NOT(OR(ISERROR(INDIRECT(_xlfn.CONCAT("$I", $F291 + 1))), ISBLANK(INDIRECT(_xlfn.CONCAT("$I", $F291 + 1))))), $F291 + 1, IF(NOT(ISBLANK(INDIRECT(_xlfn.CONCAT("$I", $F291 + 2)))), $F291 + 2, ""))</f>
        <v>528</v>
      </c>
      <c r="I292" s="8" t="s">
        <v>329</v>
      </c>
      <c r="J292" s="8">
        <v>4</v>
      </c>
      <c r="K292" s="9">
        <v>45581</v>
      </c>
      <c r="L292" s="8" t="s">
        <v>174</v>
      </c>
    </row>
    <row r="293" spans="1:12" ht="81">
      <c r="A293" s="1" t="str" cm="1">
        <f t="array" aca="1" ref="A293" ca="1">INDIRECT(_xlfn.CONCAT("$I", $F293))</f>
        <v>Kamigawa: Neon Dynasty Substitute Cards SNEO</v>
      </c>
      <c r="B293" s="1" cm="1">
        <f t="array" aca="1" ref="B293" ca="1">INDIRECT(_xlfn.CONCAT("$J", $F293))</f>
        <v>9</v>
      </c>
      <c r="C293" s="1" cm="1">
        <f t="array" aca="1" ref="C293" ca="1">INDIRECT(_xlfn.CONCAT("$K", $F293))</f>
        <v>44610</v>
      </c>
      <c r="D293" s="1"/>
      <c r="E293" s="1" t="str" cm="1">
        <f t="array" aca="1" ref="E293" ca="1">INDIRECT(_xlfn.CONCAT("$L", $F293))</f>
        <v>en es fr de it pt ja ko ru 汉语 漢語</v>
      </c>
      <c r="F293" s="1" cm="1">
        <f t="array" aca="1" ref="F293" ca="1">IF(NOT(OR(ISERROR(INDIRECT(_xlfn.CONCAT("$I", $F292 + 1))), ISBLANK(INDIRECT(_xlfn.CONCAT("$I", $F292 + 1))))), $F292 + 1, IF(NOT(ISBLANK(INDIRECT(_xlfn.CONCAT("$I", $F292 + 2)))), $F292 + 2, ""))</f>
        <v>530</v>
      </c>
    </row>
    <row r="294" spans="1:12" ht="59.25">
      <c r="A294" s="1" t="str" cm="1">
        <f t="array" aca="1" ref="A294" ca="1">INDIRECT(_xlfn.CONCAT("$I", $F294))</f>
        <v>Neon Dynasty Commander NEC</v>
      </c>
      <c r="B294" s="1" cm="1">
        <f t="array" aca="1" ref="B294" ca="1">INDIRECT(_xlfn.CONCAT("$J", $F294))</f>
        <v>179</v>
      </c>
      <c r="C294" s="1" cm="1">
        <f t="array" aca="1" ref="C294" ca="1">INDIRECT(_xlfn.CONCAT("$K", $F294))</f>
        <v>44610</v>
      </c>
      <c r="D294" s="1"/>
      <c r="E294" s="1" t="str" cm="1">
        <f t="array" aca="1" ref="E294" ca="1">INDIRECT(_xlfn.CONCAT("$L", $F294))</f>
        <v>en es fr de it pt ja ko ru 汉语 漢語</v>
      </c>
      <c r="F294" s="1" cm="1">
        <f t="array" aca="1" ref="F294" ca="1">IF(NOT(OR(ISERROR(INDIRECT(_xlfn.CONCAT("$I", $F293 + 1))), ISBLANK(INDIRECT(_xlfn.CONCAT("$I", $F293 + 1))))), $F293 + 1, IF(NOT(ISBLANK(INDIRECT(_xlfn.CONCAT("$I", $F293 + 2)))), $F293 + 2, ""))</f>
        <v>532</v>
      </c>
      <c r="I294" s="8" t="s">
        <v>330</v>
      </c>
      <c r="J294" s="8">
        <v>591</v>
      </c>
      <c r="K294" s="9">
        <v>45100</v>
      </c>
      <c r="L294" t="s">
        <v>174</v>
      </c>
    </row>
    <row r="295" spans="1:12" ht="68.25">
      <c r="A295" s="1" t="str" cm="1">
        <f t="array" aca="1" ref="A295" ca="1">INDIRECT(_xlfn.CONCAT("$I", $F295))</f>
        <v>Neon Dynasty Commander Tokens TNEC</v>
      </c>
      <c r="B295" s="1" cm="1">
        <f t="array" aca="1" ref="B295" ca="1">INDIRECT(_xlfn.CONCAT("$J", $F295))</f>
        <v>12</v>
      </c>
      <c r="C295" s="1" cm="1">
        <f t="array" aca="1" ref="C295" ca="1">INDIRECT(_xlfn.CONCAT("$K", $F295))</f>
        <v>44610</v>
      </c>
      <c r="D295" s="1"/>
      <c r="E295" s="1" t="str" cm="1">
        <f t="array" aca="1" ref="E295" ca="1">INDIRECT(_xlfn.CONCAT("$L", $F295))</f>
        <v>en es fr de it pt ja ko ru 汉语 漢語</v>
      </c>
      <c r="F295" s="1" cm="1">
        <f t="array" aca="1" ref="F295" ca="1">IF(NOT(OR(ISERROR(INDIRECT(_xlfn.CONCAT("$I", $F294 + 1))), ISBLANK(INDIRECT(_xlfn.CONCAT("$I", $F294 + 1))))), $F294 + 1, IF(NOT(ISBLANK(INDIRECT(_xlfn.CONCAT("$I", $F294 + 2)))), $F294 + 2, ""))</f>
        <v>534</v>
      </c>
    </row>
    <row r="296" spans="1:12" ht="59.25">
      <c r="A296" s="1" t="str" cm="1">
        <f t="array" aca="1" ref="A296" ca="1">INDIRECT(_xlfn.CONCAT("$I", $F296))</f>
        <v>Neon Dynasty Art Series ANEO</v>
      </c>
      <c r="B296" s="1" cm="1">
        <f t="array" aca="1" ref="B296" ca="1">INDIRECT(_xlfn.CONCAT("$J", $F296))</f>
        <v>81</v>
      </c>
      <c r="C296" s="1" cm="1">
        <f t="array" aca="1" ref="C296" ca="1">INDIRECT(_xlfn.CONCAT("$K", $F296))</f>
        <v>44610</v>
      </c>
      <c r="D296" s="1"/>
      <c r="E296" s="1" t="str" cm="1">
        <f t="array" aca="1" ref="E296" ca="1">INDIRECT(_xlfn.CONCAT("$L", $F296))</f>
        <v>en es fr de it pt ja ko ru 汉语 漢語</v>
      </c>
      <c r="F296" s="1" cm="1">
        <f t="array" aca="1" ref="F296" ca="1">IF(NOT(OR(ISERROR(INDIRECT(_xlfn.CONCAT("$I", $F295 + 1))), ISBLANK(INDIRECT(_xlfn.CONCAT("$I", $F295 + 1))))), $F295 + 1, IF(NOT(ISBLANK(INDIRECT(_xlfn.CONCAT("$I", $F295 + 2)))), $F295 + 2, ""))</f>
        <v>536</v>
      </c>
      <c r="I296" s="8" t="s">
        <v>331</v>
      </c>
      <c r="J296" s="8">
        <v>15</v>
      </c>
      <c r="K296" s="9">
        <v>45100</v>
      </c>
      <c r="L296" s="8" t="s">
        <v>174</v>
      </c>
    </row>
    <row r="297" spans="1:12" ht="59.25">
      <c r="A297" s="1" t="str" cm="1">
        <f t="array" aca="1" ref="A297" ca="1">INDIRECT(_xlfn.CONCAT("$I", $F297))</f>
        <v>Commander Collection: Black CC2</v>
      </c>
      <c r="B297" s="1" cm="1">
        <f t="array" aca="1" ref="B297" ca="1">INDIRECT(_xlfn.CONCAT("$J", $F297))</f>
        <v>9</v>
      </c>
      <c r="C297" s="1" cm="1">
        <f t="array" aca="1" ref="C297" ca="1">INDIRECT(_xlfn.CONCAT("$K", $F297))</f>
        <v>44589</v>
      </c>
      <c r="D297" s="1"/>
      <c r="E297" s="1" t="str" cm="1">
        <f t="array" aca="1" ref="E297" ca="1">INDIRECT(_xlfn.CONCAT("$L", $F297))</f>
        <v>en es fr de it pt ja ko ru 汉语 漢語</v>
      </c>
      <c r="F297" s="1" cm="1">
        <f t="array" aca="1" ref="F297" ca="1">IF(NOT(OR(ISERROR(INDIRECT(_xlfn.CONCAT("$I", $F296 + 1))), ISBLANK(INDIRECT(_xlfn.CONCAT("$I", $F296 + 1))))), $F296 + 1, IF(NOT(ISBLANK(INDIRECT(_xlfn.CONCAT("$I", $F296 + 2)))), $F296 + 2, ""))</f>
        <v>538</v>
      </c>
    </row>
    <row r="298" spans="1:12" ht="59.25">
      <c r="A298" s="1" t="str" cm="1">
        <f t="array" aca="1" ref="A298" ca="1">INDIRECT(_xlfn.CONCAT("$I", $F298))</f>
        <v>Innistrad: Double Feature DBL</v>
      </c>
      <c r="B298" s="1" cm="1">
        <f t="array" aca="1" ref="B298" ca="1">INDIRECT(_xlfn.CONCAT("$J", $F298))</f>
        <v>535</v>
      </c>
      <c r="C298" s="1" cm="1">
        <f t="array" aca="1" ref="C298" ca="1">INDIRECT(_xlfn.CONCAT("$K", $F298))</f>
        <v>44589</v>
      </c>
      <c r="D298" s="1"/>
      <c r="E298" s="1" t="str" cm="1">
        <f t="array" aca="1" ref="E298" ca="1">INDIRECT(_xlfn.CONCAT("$L", $F298))</f>
        <v>en es fr de it pt ja ko ru 汉语 漢語</v>
      </c>
      <c r="F298" s="1" cm="1">
        <f t="array" aca="1" ref="F298" ca="1">IF(NOT(OR(ISERROR(INDIRECT(_xlfn.CONCAT("$I", $F297 + 1))), ISBLANK(INDIRECT(_xlfn.CONCAT("$I", $F297 + 1))))), $F297 + 1, IF(NOT(ISBLANK(INDIRECT(_xlfn.CONCAT("$I", $F297 + 2)))), $F297 + 2, ""))</f>
        <v>540</v>
      </c>
      <c r="I298" s="8" t="s">
        <v>332</v>
      </c>
      <c r="J298" s="8">
        <v>24</v>
      </c>
      <c r="K298" s="9">
        <v>45234</v>
      </c>
      <c r="L298" s="8" t="s">
        <v>174</v>
      </c>
    </row>
    <row r="299" spans="1:12" ht="59.25">
      <c r="A299" s="1" t="str" cm="1">
        <f t="array" aca="1" ref="A299" ca="1">INDIRECT(_xlfn.CONCAT("$I", $F299))</f>
        <v>Judge Gift Cards 2022 P22</v>
      </c>
      <c r="B299" s="1" cm="1">
        <f t="array" aca="1" ref="B299" ca="1">INDIRECT(_xlfn.CONCAT("$J", $F299))</f>
        <v>10</v>
      </c>
      <c r="C299" s="1" cm="1">
        <f t="array" aca="1" ref="C299" ca="1">INDIRECT(_xlfn.CONCAT("$K", $F299))</f>
        <v>44562</v>
      </c>
      <c r="D299" s="1"/>
      <c r="E299" s="1" t="str" cm="1">
        <f t="array" aca="1" ref="E299" ca="1">INDIRECT(_xlfn.CONCAT("$L", $F299))</f>
        <v>en es fr de it pt ja ko ru 汉语 漢語</v>
      </c>
      <c r="F299" s="1" cm="1">
        <f t="array" aca="1" ref="F299" ca="1">IF(NOT(OR(ISERROR(INDIRECT(_xlfn.CONCAT("$I", $F298 + 1))), ISBLANK(INDIRECT(_xlfn.CONCAT("$I", $F298 + 1))))), $F298 + 1, IF(NOT(ISBLANK(INDIRECT(_xlfn.CONCAT("$I", $F298 + 2)))), $F298 + 2, ""))</f>
        <v>542</v>
      </c>
    </row>
    <row r="300" spans="1:12" ht="59.25">
      <c r="A300" s="1" t="str" cm="1">
        <f t="array" aca="1" ref="A300" ca="1">INDIRECT(_xlfn.CONCAT("$I", $F300))</f>
        <v>Alchemy: Innistrad YMID</v>
      </c>
      <c r="B300" s="1" cm="1">
        <f t="array" aca="1" ref="B300" ca="1">INDIRECT(_xlfn.CONCAT("$J", $F300))</f>
        <v>63</v>
      </c>
      <c r="C300" s="1" cm="1">
        <f t="array" aca="1" ref="C300" ca="1">INDIRECT(_xlfn.CONCAT("$K", $F300))</f>
        <v>44539</v>
      </c>
      <c r="D300" s="1"/>
      <c r="E300" s="1" t="str" cm="1">
        <f t="array" aca="1" ref="E300" ca="1">INDIRECT(_xlfn.CONCAT("$L", $F300))</f>
        <v>en es fr de it pt ja ko ru 汉语 漢語</v>
      </c>
      <c r="F300" s="1" cm="1">
        <f t="array" aca="1" ref="F300" ca="1">IF(NOT(OR(ISERROR(INDIRECT(_xlfn.CONCAT("$I", $F299 + 1))), ISBLANK(INDIRECT(_xlfn.CONCAT("$I", $F299 + 1))))), $F299 + 1, IF(NOT(ISBLANK(INDIRECT(_xlfn.CONCAT("$I", $F299 + 2)))), $F299 + 2, ""))</f>
        <v>544</v>
      </c>
      <c r="I300" s="8" t="s">
        <v>333</v>
      </c>
      <c r="J300" s="8">
        <v>81</v>
      </c>
      <c r="K300" s="9">
        <v>45100</v>
      </c>
      <c r="L300" s="8" t="s">
        <v>174</v>
      </c>
    </row>
    <row r="301" spans="1:12" ht="59.25">
      <c r="A301" s="1" t="str" cm="1">
        <f t="array" aca="1" ref="A301" ca="1">INDIRECT(_xlfn.CONCAT("$I", $F301))</f>
        <v>Innistrad: Crimson Vow VOW</v>
      </c>
      <c r="B301" s="1" cm="1">
        <f t="array" aca="1" ref="B301" ca="1">INDIRECT(_xlfn.CONCAT("$J", $F301))</f>
        <v>423</v>
      </c>
      <c r="C301" s="1" cm="1">
        <f t="array" aca="1" ref="C301" ca="1">INDIRECT(_xlfn.CONCAT("$K", $F301))</f>
        <v>44519</v>
      </c>
      <c r="D301" s="1"/>
      <c r="E301" s="1" t="str" cm="1">
        <f t="array" aca="1" ref="E301" ca="1">INDIRECT(_xlfn.CONCAT("$L", $F301))</f>
        <v>en es fr de it pt ja ko ru 汉语 漢語</v>
      </c>
      <c r="F301" s="1" cm="1">
        <f t="array" aca="1" ref="F301" ca="1">IF(NOT(OR(ISERROR(INDIRECT(_xlfn.CONCAT("$I", $F300 + 1))), ISBLANK(INDIRECT(_xlfn.CONCAT("$I", $F300 + 1))))), $F300 + 1, IF(NOT(ISBLANK(INDIRECT(_xlfn.CONCAT("$I", $F300 + 2)))), $F300 + 2, ""))</f>
        <v>546</v>
      </c>
    </row>
    <row r="302" spans="1:12" ht="68.25">
      <c r="A302" s="1" t="str" cm="1">
        <f t="array" aca="1" ref="A302" ca="1">INDIRECT(_xlfn.CONCAT("$I", $F302))</f>
        <v>Innistrad: Crimson Vow Promos PVOW</v>
      </c>
      <c r="B302" s="1" cm="1">
        <f t="array" aca="1" ref="B302" ca="1">INDIRECT(_xlfn.CONCAT("$J", $F302))</f>
        <v>121</v>
      </c>
      <c r="C302" s="1" cm="1">
        <f t="array" aca="1" ref="C302" ca="1">INDIRECT(_xlfn.CONCAT("$K", $F302))</f>
        <v>44519</v>
      </c>
      <c r="D302" s="1"/>
      <c r="E302" s="1" t="str" cm="1">
        <f t="array" aca="1" ref="E302" ca="1">INDIRECT(_xlfn.CONCAT("$L", $F302))</f>
        <v>en es fr de it pt ja ko ru 汉语 漢語</v>
      </c>
      <c r="F302" s="1" cm="1">
        <f t="array" aca="1" ref="F302" ca="1">IF(NOT(OR(ISERROR(INDIRECT(_xlfn.CONCAT("$I", $F301 + 1))), ISBLANK(INDIRECT(_xlfn.CONCAT("$I", $F301 + 1))))), $F301 + 1, IF(NOT(ISBLANK(INDIRECT(_xlfn.CONCAT("$I", $F301 + 2)))), $F301 + 2, ""))</f>
        <v>548</v>
      </c>
      <c r="I302" s="8" t="s">
        <v>334</v>
      </c>
      <c r="J302" s="8">
        <v>10</v>
      </c>
      <c r="K302" s="9">
        <v>45100</v>
      </c>
      <c r="L302" s="8" t="s">
        <v>174</v>
      </c>
    </row>
    <row r="303" spans="1:12" ht="68.25">
      <c r="A303" s="1" t="str" cm="1">
        <f t="array" aca="1" ref="A303" ca="1">INDIRECT(_xlfn.CONCAT("$I", $F303))</f>
        <v>Innistrad: Crimson Vow Tokens TVOW</v>
      </c>
      <c r="B303" s="1" cm="1">
        <f t="array" aca="1" ref="B303" ca="1">INDIRECT(_xlfn.CONCAT("$J", $F303))</f>
        <v>21</v>
      </c>
      <c r="C303" s="1" cm="1">
        <f t="array" aca="1" ref="C303" ca="1">INDIRECT(_xlfn.CONCAT("$K", $F303))</f>
        <v>44519</v>
      </c>
      <c r="D303" s="1"/>
      <c r="E303" s="1" t="str" cm="1">
        <f t="array" aca="1" ref="E303" ca="1">INDIRECT(_xlfn.CONCAT("$L", $F303))</f>
        <v>en es fr de it pt ja ko ru 汉语 漢語</v>
      </c>
      <c r="F303" s="1" cm="1">
        <f t="array" aca="1" ref="F303" ca="1">IF(NOT(OR(ISERROR(INDIRECT(_xlfn.CONCAT("$I", $F302 + 1))), ISBLANK(INDIRECT(_xlfn.CONCAT("$I", $F302 + 1))))), $F302 + 1, IF(NOT(ISBLANK(INDIRECT(_xlfn.CONCAT("$I", $F302 + 2)))), $F302 + 2, ""))</f>
        <v>550</v>
      </c>
    </row>
    <row r="304" spans="1:12" ht="68.25">
      <c r="A304" s="1" t="str" cm="1">
        <f t="array" aca="1" ref="A304" ca="1">INDIRECT(_xlfn.CONCAT("$I", $F304))</f>
        <v>Innistrad: Crimson Vow Minigames MVOW</v>
      </c>
      <c r="B304" s="1" cm="1">
        <f t="array" aca="1" ref="B304" ca="1">INDIRECT(_xlfn.CONCAT("$J", $F304))</f>
        <v>3</v>
      </c>
      <c r="C304" s="1" cm="1">
        <f t="array" aca="1" ref="C304" ca="1">INDIRECT(_xlfn.CONCAT("$K", $F304))</f>
        <v>44519</v>
      </c>
      <c r="D304" s="1"/>
      <c r="E304" s="1" t="str" cm="1">
        <f t="array" aca="1" ref="E304" ca="1">INDIRECT(_xlfn.CONCAT("$L", $F304))</f>
        <v>en es fr de it pt ja ko ru 汉语 漢語</v>
      </c>
      <c r="F304" s="1" cm="1">
        <f t="array" aca="1" ref="F304" ca="1">IF(NOT(OR(ISERROR(INDIRECT(_xlfn.CONCAT("$I", $F303 + 1))), ISBLANK(INDIRECT(_xlfn.CONCAT("$I", $F303 + 1))))), $F303 + 1, IF(NOT(ISBLANK(INDIRECT(_xlfn.CONCAT("$I", $F303 + 2)))), $F303 + 2, ""))</f>
        <v>552</v>
      </c>
      <c r="I304" s="8" t="s">
        <v>335</v>
      </c>
      <c r="J304" s="8">
        <v>1</v>
      </c>
      <c r="K304" s="9">
        <v>45100</v>
      </c>
      <c r="L304" s="8" t="s">
        <v>174</v>
      </c>
    </row>
    <row r="305" spans="1:12" ht="81">
      <c r="A305" s="1" t="str" cm="1">
        <f t="array" aca="1" ref="A305" ca="1">INDIRECT(_xlfn.CONCAT("$I", $F305))</f>
        <v>Innistrad: Crimson Vow Substitute Cards SVOW</v>
      </c>
      <c r="B305" s="1" cm="1">
        <f t="array" aca="1" ref="B305" ca="1">INDIRECT(_xlfn.CONCAT("$J", $F305))</f>
        <v>9</v>
      </c>
      <c r="C305" s="1" cm="1">
        <f t="array" aca="1" ref="C305" ca="1">INDIRECT(_xlfn.CONCAT("$K", $F305))</f>
        <v>44519</v>
      </c>
      <c r="D305" s="1"/>
      <c r="E305" s="1" t="str" cm="1">
        <f t="array" aca="1" ref="E305" ca="1">INDIRECT(_xlfn.CONCAT("$L", $F305))</f>
        <v>en es fr de it pt ja ko ru 汉语 漢語</v>
      </c>
      <c r="F305" s="1" cm="1">
        <f t="array" aca="1" ref="F305" ca="1">IF(NOT(OR(ISERROR(INDIRECT(_xlfn.CONCAT("$I", $F304 + 1))), ISBLANK(INDIRECT(_xlfn.CONCAT("$I", $F304 + 1))))), $F304 + 1, IF(NOT(ISBLANK(INDIRECT(_xlfn.CONCAT("$I", $F304 + 2)))), $F304 + 2, ""))</f>
        <v>554</v>
      </c>
    </row>
    <row r="306" spans="1:12" ht="59.25">
      <c r="A306" s="1" t="str" cm="1">
        <f t="array" aca="1" ref="A306" ca="1">INDIRECT(_xlfn.CONCAT("$I", $F306))</f>
        <v>Crimson Vow Art Series AVOW</v>
      </c>
      <c r="B306" s="1" cm="1">
        <f t="array" aca="1" ref="B306" ca="1">INDIRECT(_xlfn.CONCAT("$J", $F306))</f>
        <v>81</v>
      </c>
      <c r="C306" s="1" cm="1">
        <f t="array" aca="1" ref="C306" ca="1">INDIRECT(_xlfn.CONCAT("$K", $F306))</f>
        <v>44519</v>
      </c>
      <c r="D306" s="1"/>
      <c r="E306" s="1" t="str" cm="1">
        <f t="array" aca="1" ref="E306" ca="1">INDIRECT(_xlfn.CONCAT("$L", $F306))</f>
        <v>en es fr de it pt ja ko ru 汉语 漢語</v>
      </c>
      <c r="F306" s="1" cm="1">
        <f t="array" aca="1" ref="F306" ca="1">IF(NOT(OR(ISERROR(INDIRECT(_xlfn.CONCAT("$I", $F305 + 1))), ISBLANK(INDIRECT(_xlfn.CONCAT("$I", $F305 + 1))))), $F305 + 1, IF(NOT(ISBLANK(INDIRECT(_xlfn.CONCAT("$I", $F305 + 2)))), $F305 + 2, ""))</f>
        <v>556</v>
      </c>
      <c r="I306" s="8" t="s">
        <v>336</v>
      </c>
      <c r="J306" s="8">
        <v>230</v>
      </c>
      <c r="K306" s="9">
        <v>45058</v>
      </c>
      <c r="L306" t="s">
        <v>174</v>
      </c>
    </row>
    <row r="307" spans="1:12" ht="59.25">
      <c r="A307" s="1" t="str" cm="1">
        <f t="array" aca="1" ref="A307" ca="1">INDIRECT(_xlfn.CONCAT("$I", $F307))</f>
        <v>Crimson Vow Commander VOC</v>
      </c>
      <c r="B307" s="1" cm="1">
        <f t="array" aca="1" ref="B307" ca="1">INDIRECT(_xlfn.CONCAT("$J", $F307))</f>
        <v>188</v>
      </c>
      <c r="C307" s="1" cm="1">
        <f t="array" aca="1" ref="C307" ca="1">INDIRECT(_xlfn.CONCAT("$K", $F307))</f>
        <v>44519</v>
      </c>
      <c r="D307" s="1"/>
      <c r="E307" s="1" t="str" cm="1">
        <f t="array" aca="1" ref="E307" ca="1">INDIRECT(_xlfn.CONCAT("$L", $F307))</f>
        <v>en es fr de it pt ja ko ru 汉语 漢語</v>
      </c>
      <c r="F307" s="1" cm="1">
        <f t="array" aca="1" ref="F307" ca="1">IF(NOT(OR(ISERROR(INDIRECT(_xlfn.CONCAT("$I", $F306 + 1))), ISBLANK(INDIRECT(_xlfn.CONCAT("$I", $F306 + 1))))), $F306 + 1, IF(NOT(ISBLANK(INDIRECT(_xlfn.CONCAT("$I", $F306 + 2)))), $F306 + 2, ""))</f>
        <v>558</v>
      </c>
    </row>
    <row r="308" spans="1:12" ht="68.25">
      <c r="A308" s="1" t="str" cm="1">
        <f t="array" aca="1" ref="A308" ca="1">INDIRECT(_xlfn.CONCAT("$I", $F308))</f>
        <v>Crimson Vow Commander Tokens TVOC</v>
      </c>
      <c r="B308" s="1" cm="1">
        <f t="array" aca="1" ref="B308" ca="1">INDIRECT(_xlfn.CONCAT("$J", $F308))</f>
        <v>6</v>
      </c>
      <c r="C308" s="1" cm="1">
        <f t="array" aca="1" ref="C308" ca="1">INDIRECT(_xlfn.CONCAT("$K", $F308))</f>
        <v>44519</v>
      </c>
      <c r="D308" s="1"/>
      <c r="E308" s="1" t="str" cm="1">
        <f t="array" aca="1" ref="E308" ca="1">INDIRECT(_xlfn.CONCAT("$L", $F308))</f>
        <v>en es fr de it pt ja ko ru 汉语 漢語</v>
      </c>
      <c r="F308" s="1" cm="1">
        <f t="array" aca="1" ref="F308" ca="1">IF(NOT(OR(ISERROR(INDIRECT(_xlfn.CONCAT("$I", $F307 + 1))), ISBLANK(INDIRECT(_xlfn.CONCAT("$I", $F307 + 1))))), $F307 + 1, IF(NOT(ISBLANK(INDIRECT(_xlfn.CONCAT("$I", $F307 + 2)))), $F307 + 2, ""))</f>
        <v>560</v>
      </c>
      <c r="I308" s="8" t="s">
        <v>337</v>
      </c>
      <c r="J308" s="8">
        <v>8</v>
      </c>
      <c r="K308" s="9">
        <v>45247</v>
      </c>
      <c r="L308" s="8" t="s">
        <v>174</v>
      </c>
    </row>
    <row r="309" spans="1:12" ht="81">
      <c r="A309" s="1" t="str" cm="1">
        <f t="array" aca="1" ref="A309" ca="1">INDIRECT(_xlfn.CONCAT("$I", $F309))</f>
        <v>Crimson Vow Commander Display Commanders OVOC</v>
      </c>
      <c r="B309" s="1" cm="1">
        <f t="array" aca="1" ref="B309" ca="1">INDIRECT(_xlfn.CONCAT("$J", $F309))</f>
        <v>2</v>
      </c>
      <c r="C309" s="1" cm="1">
        <f t="array" aca="1" ref="C309" ca="1">INDIRECT(_xlfn.CONCAT("$K", $F309))</f>
        <v>44519</v>
      </c>
      <c r="D309" s="1"/>
      <c r="E309" s="1" t="str" cm="1">
        <f t="array" aca="1" ref="E309" ca="1">INDIRECT(_xlfn.CONCAT("$L", $F309))</f>
        <v>en es fr de it pt ja ko ru 汉语 漢語</v>
      </c>
      <c r="F309" s="1" cm="1">
        <f t="array" aca="1" ref="F309" ca="1">IF(NOT(OR(ISERROR(INDIRECT(_xlfn.CONCAT("$I", $F308 + 1))), ISBLANK(INDIRECT(_xlfn.CONCAT("$I", $F308 + 1))))), $F308 + 1, IF(NOT(ISBLANK(INDIRECT(_xlfn.CONCAT("$I", $F308 + 2)))), $F308 + 2, ""))</f>
        <v>562</v>
      </c>
    </row>
    <row r="310" spans="1:12" ht="59.25">
      <c r="A310" s="1" t="str" cm="1">
        <f t="array" aca="1" ref="A310" ca="1">INDIRECT(_xlfn.CONCAT("$I", $F310))</f>
        <v>Pioneer Challenger Decks 2021 Q06</v>
      </c>
      <c r="B310" s="1" cm="1">
        <f t="array" aca="1" ref="B310" ca="1">INDIRECT(_xlfn.CONCAT("$J", $F310))</f>
        <v>10</v>
      </c>
      <c r="C310" s="1" cm="1">
        <f t="array" aca="1" ref="C310" ca="1">INDIRECT(_xlfn.CONCAT("$K", $F310))</f>
        <v>44484</v>
      </c>
      <c r="D310" s="1"/>
      <c r="E310" s="1" t="str" cm="1">
        <f t="array" aca="1" ref="E310" ca="1">INDIRECT(_xlfn.CONCAT("$L", $F310))</f>
        <v>en es fr de it pt ja ko ru 汉语 漢語</v>
      </c>
      <c r="F310" s="1" cm="1">
        <f t="array" aca="1" ref="F310" ca="1">IF(NOT(OR(ISERROR(INDIRECT(_xlfn.CONCAT("$I", $F309 + 1))), ISBLANK(INDIRECT(_xlfn.CONCAT("$I", $F309 + 1))))), $F309 + 1, IF(NOT(ISBLANK(INDIRECT(_xlfn.CONCAT("$I", $F309 + 2)))), $F309 + 2, ""))</f>
        <v>564</v>
      </c>
      <c r="I310" s="8" t="s">
        <v>1252</v>
      </c>
      <c r="J310" s="8">
        <v>387</v>
      </c>
      <c r="K310" s="9">
        <v>45037</v>
      </c>
      <c r="L310" t="s">
        <v>174</v>
      </c>
    </row>
    <row r="311" spans="1:12" ht="59.25">
      <c r="A311" s="1" t="str" cm="1">
        <f t="array" aca="1" ref="A311" ca="1">INDIRECT(_xlfn.CONCAT("$I", $F311))</f>
        <v>Innistrad: Midnight Hunt MID</v>
      </c>
      <c r="B311" s="1" cm="1">
        <f t="array" aca="1" ref="B311" ca="1">INDIRECT(_xlfn.CONCAT("$J", $F311))</f>
        <v>399</v>
      </c>
      <c r="C311" s="1" cm="1">
        <f t="array" aca="1" ref="C311" ca="1">INDIRECT(_xlfn.CONCAT("$K", $F311))</f>
        <v>44463</v>
      </c>
      <c r="D311" s="1"/>
      <c r="E311" s="1" t="str" cm="1">
        <f t="array" aca="1" ref="E311" ca="1">INDIRECT(_xlfn.CONCAT("$L", $F311))</f>
        <v>en es fr de it pt ja ko ru 汉语 漢語</v>
      </c>
      <c r="F311" s="1" cm="1">
        <f t="array" aca="1" ref="F311" ca="1">IF(NOT(OR(ISERROR(INDIRECT(_xlfn.CONCAT("$I", $F310 + 1))), ISBLANK(INDIRECT(_xlfn.CONCAT("$I", $F310 + 1))))), $F310 + 1, IF(NOT(ISBLANK(INDIRECT(_xlfn.CONCAT("$I", $F310 + 2)))), $F310 + 2, ""))</f>
        <v>566</v>
      </c>
    </row>
    <row r="312" spans="1:12" ht="68.25">
      <c r="A312" s="1" t="str" cm="1">
        <f t="array" aca="1" ref="A312" ca="1">INDIRECT(_xlfn.CONCAT("$I", $F312))</f>
        <v>Innistrad: Midnight Hunt Promos PMID</v>
      </c>
      <c r="B312" s="1" cm="1">
        <f t="array" aca="1" ref="B312" ca="1">INDIRECT(_xlfn.CONCAT("$J", $F312))</f>
        <v>155</v>
      </c>
      <c r="C312" s="1" cm="1">
        <f t="array" aca="1" ref="C312" ca="1">INDIRECT(_xlfn.CONCAT("$K", $F312))</f>
        <v>44463</v>
      </c>
      <c r="D312" s="1"/>
      <c r="E312" s="1" t="str" cm="1">
        <f t="array" aca="1" ref="E312" ca="1">INDIRECT(_xlfn.CONCAT("$L", $F312))</f>
        <v>en es fr de it pt ja ko ru 汉语 漢語</v>
      </c>
      <c r="F312" s="1" cm="1">
        <f t="array" aca="1" ref="F312" ca="1">IF(NOT(OR(ISERROR(INDIRECT(_xlfn.CONCAT("$I", $F311 + 1))), ISBLANK(INDIRECT(_xlfn.CONCAT("$I", $F311 + 1))))), $F311 + 1, IF(NOT(ISBLANK(INDIRECT(_xlfn.CONCAT("$I", $F311 + 2)))), $F311 + 2, ""))</f>
        <v>568</v>
      </c>
      <c r="I312" s="8" t="s">
        <v>338</v>
      </c>
      <c r="J312" s="8">
        <v>261</v>
      </c>
      <c r="K312" s="9">
        <v>45037</v>
      </c>
      <c r="L312" t="s">
        <v>174</v>
      </c>
    </row>
    <row r="313" spans="1:12" ht="68.25">
      <c r="A313" s="1" t="str" cm="1">
        <f t="array" aca="1" ref="A313" ca="1">INDIRECT(_xlfn.CONCAT("$I", $F313))</f>
        <v>Innistrad: Midnight Hunt Tokens TMID</v>
      </c>
      <c r="B313" s="1" cm="1">
        <f t="array" aca="1" ref="B313" ca="1">INDIRECT(_xlfn.CONCAT("$J", $F313))</f>
        <v>19</v>
      </c>
      <c r="C313" s="1" cm="1">
        <f t="array" aca="1" ref="C313" ca="1">INDIRECT(_xlfn.CONCAT("$K", $F313))</f>
        <v>44463</v>
      </c>
      <c r="D313" s="1"/>
      <c r="E313" s="1" t="str" cm="1">
        <f t="array" aca="1" ref="E313" ca="1">INDIRECT(_xlfn.CONCAT("$L", $F313))</f>
        <v>en es fr de it pt ja ko ru 汉语 漢語</v>
      </c>
      <c r="F313" s="1" cm="1">
        <f t="array" aca="1" ref="F313" ca="1">IF(NOT(OR(ISERROR(INDIRECT(_xlfn.CONCAT("$I", $F312 + 1))), ISBLANK(INDIRECT(_xlfn.CONCAT("$I", $F312 + 1))))), $F312 + 1, IF(NOT(ISBLANK(INDIRECT(_xlfn.CONCAT("$I", $F312 + 2)))), $F312 + 2, ""))</f>
        <v>570</v>
      </c>
    </row>
    <row r="314" spans="1:12" ht="81">
      <c r="A314" s="1" t="str" cm="1">
        <f t="array" aca="1" ref="A314" ca="1">INDIRECT(_xlfn.CONCAT("$I", $F314))</f>
        <v>Innistrad: Midnight Hunt Substitute Cards SMID</v>
      </c>
      <c r="B314" s="1" cm="1">
        <f t="array" aca="1" ref="B314" ca="1">INDIRECT(_xlfn.CONCAT("$J", $F314))</f>
        <v>9</v>
      </c>
      <c r="C314" s="1" cm="1">
        <f t="array" aca="1" ref="C314" ca="1">INDIRECT(_xlfn.CONCAT("$K", $F314))</f>
        <v>44463</v>
      </c>
      <c r="D314" s="1"/>
      <c r="E314" s="1" t="str" cm="1">
        <f t="array" aca="1" ref="E314" ca="1">INDIRECT(_xlfn.CONCAT("$L", $F314))</f>
        <v>en es fr de it pt ja ko ru 汉语 漢語</v>
      </c>
      <c r="F314" s="1" cm="1">
        <f t="array" aca="1" ref="F314" ca="1">IF(NOT(OR(ISERROR(INDIRECT(_xlfn.CONCAT("$I", $F313 + 1))), ISBLANK(INDIRECT(_xlfn.CONCAT("$I", $F313 + 1))))), $F313 + 1, IF(NOT(ISBLANK(INDIRECT(_xlfn.CONCAT("$I", $F313 + 2)))), $F313 + 2, ""))</f>
        <v>572</v>
      </c>
      <c r="I314" s="8" t="s">
        <v>339</v>
      </c>
      <c r="J314" s="8">
        <v>2</v>
      </c>
      <c r="K314" s="9">
        <v>45037</v>
      </c>
      <c r="L314" s="8" t="s">
        <v>174</v>
      </c>
    </row>
    <row r="315" spans="1:12" ht="59.25">
      <c r="A315" s="1" t="str" cm="1">
        <f t="array" aca="1" ref="A315" ca="1">INDIRECT(_xlfn.CONCAT("$I", $F315))</f>
        <v>Midnight Hunt Commander MIC</v>
      </c>
      <c r="B315" s="1" cm="1">
        <f t="array" aca="1" ref="B315" ca="1">INDIRECT(_xlfn.CONCAT("$J", $F315))</f>
        <v>187</v>
      </c>
      <c r="C315" s="1" cm="1">
        <f t="array" aca="1" ref="C315" ca="1">INDIRECT(_xlfn.CONCAT("$K", $F315))</f>
        <v>44463</v>
      </c>
      <c r="D315" s="1"/>
      <c r="E315" s="1" t="str" cm="1">
        <f t="array" aca="1" ref="E315" ca="1">INDIRECT(_xlfn.CONCAT("$L", $F315))</f>
        <v>en es fr de it pt ja ko ru 汉语 漢語</v>
      </c>
      <c r="F315" s="1" cm="1">
        <f t="array" aca="1" ref="F315" ca="1">IF(NOT(OR(ISERROR(INDIRECT(_xlfn.CONCAT("$I", $F314 + 1))), ISBLANK(INDIRECT(_xlfn.CONCAT("$I", $F314 + 1))))), $F314 + 1, IF(NOT(ISBLANK(INDIRECT(_xlfn.CONCAT("$I", $F314 + 2)))), $F314 + 2, ""))</f>
        <v>574</v>
      </c>
    </row>
    <row r="316" spans="1:12" ht="68.25">
      <c r="A316" s="1" t="str" cm="1">
        <f t="array" aca="1" ref="A316" ca="1">INDIRECT(_xlfn.CONCAT("$I", $F316))</f>
        <v>Midnight Hunt Commander Tokens TMIC</v>
      </c>
      <c r="B316" s="1" cm="1">
        <f t="array" aca="1" ref="B316" ca="1">INDIRECT(_xlfn.CONCAT("$J", $F316))</f>
        <v>11</v>
      </c>
      <c r="C316" s="1" cm="1">
        <f t="array" aca="1" ref="C316" ca="1">INDIRECT(_xlfn.CONCAT("$K", $F316))</f>
        <v>44463</v>
      </c>
      <c r="D316" s="1"/>
      <c r="E316" s="1" t="str" cm="1">
        <f t="array" aca="1" ref="E316" ca="1">INDIRECT(_xlfn.CONCAT("$L", $F316))</f>
        <v>en es fr de it pt ja ko ru 汉语 漢語</v>
      </c>
      <c r="F316" s="1" cm="1">
        <f t="array" aca="1" ref="F316" ca="1">IF(NOT(OR(ISERROR(INDIRECT(_xlfn.CONCAT("$I", $F315 + 1))), ISBLANK(INDIRECT(_xlfn.CONCAT("$I", $F315 + 1))))), $F315 + 1, IF(NOT(ISBLANK(INDIRECT(_xlfn.CONCAT("$I", $F315 + 2)))), $F315 + 2, ""))</f>
        <v>576</v>
      </c>
      <c r="I316" s="8" t="s">
        <v>340</v>
      </c>
      <c r="J316" s="8">
        <v>134</v>
      </c>
      <c r="K316" s="9">
        <v>45037</v>
      </c>
      <c r="L316" s="8" t="s">
        <v>174</v>
      </c>
    </row>
    <row r="317" spans="1:12" ht="81">
      <c r="A317" s="1" t="str" cm="1">
        <f t="array" aca="1" ref="A317" ca="1">INDIRECT(_xlfn.CONCAT("$I", $F317))</f>
        <v>Midnight Hunt Commander Display Commanders OMIC</v>
      </c>
      <c r="B317" s="1" cm="1">
        <f t="array" aca="1" ref="B317" ca="1">INDIRECT(_xlfn.CONCAT("$J", $F317))</f>
        <v>2</v>
      </c>
      <c r="C317" s="1" cm="1">
        <f t="array" aca="1" ref="C317" ca="1">INDIRECT(_xlfn.CONCAT("$K", $F317))</f>
        <v>44463</v>
      </c>
      <c r="D317" s="1"/>
      <c r="E317" s="1" t="str" cm="1">
        <f t="array" aca="1" ref="E317" ca="1">INDIRECT(_xlfn.CONCAT("$L", $F317))</f>
        <v>en es fr de it pt ja ko ru 汉语 漢語</v>
      </c>
      <c r="F317" s="1" cm="1">
        <f t="array" aca="1" ref="F317" ca="1">IF(NOT(OR(ISERROR(INDIRECT(_xlfn.CONCAT("$I", $F316 + 1))), ISBLANK(INDIRECT(_xlfn.CONCAT("$I", $F316 + 1))))), $F316 + 1, IF(NOT(ISBLANK(INDIRECT(_xlfn.CONCAT("$I", $F316 + 2)))), $F316 + 2, ""))</f>
        <v>578</v>
      </c>
    </row>
    <row r="318" spans="1:12" ht="59.25">
      <c r="A318" s="1" t="str" cm="1">
        <f t="array" aca="1" ref="A318" ca="1">INDIRECT(_xlfn.CONCAT("$I", $F318))</f>
        <v>Midnight Hunt Art Series AMID</v>
      </c>
      <c r="B318" s="1" cm="1">
        <f t="array" aca="1" ref="B318" ca="1">INDIRECT(_xlfn.CONCAT("$J", $F318))</f>
        <v>81</v>
      </c>
      <c r="C318" s="1" cm="1">
        <f t="array" aca="1" ref="C318" ca="1">INDIRECT(_xlfn.CONCAT("$K", $F318))</f>
        <v>44463</v>
      </c>
      <c r="D318" s="1"/>
      <c r="E318" s="1" t="str" cm="1">
        <f t="array" aca="1" ref="E318" ca="1">INDIRECT(_xlfn.CONCAT("$L", $F318))</f>
        <v>en es fr de it pt ja ko ru 汉语 漢語</v>
      </c>
      <c r="F318" s="1" cm="1">
        <f t="array" aca="1" ref="F318" ca="1">IF(NOT(OR(ISERROR(INDIRECT(_xlfn.CONCAT("$I", $F317 + 1))), ISBLANK(INDIRECT(_xlfn.CONCAT("$I", $F317 + 1))))), $F317 + 1, IF(NOT(ISBLANK(INDIRECT(_xlfn.CONCAT("$I", $F317 + 2)))), $F317 + 2, ""))</f>
        <v>580</v>
      </c>
      <c r="I318" s="8" t="s">
        <v>341</v>
      </c>
      <c r="J318" s="8">
        <v>23</v>
      </c>
      <c r="K318" s="9">
        <v>45037</v>
      </c>
      <c r="L318" s="8" t="s">
        <v>174</v>
      </c>
    </row>
    <row r="319" spans="1:12" ht="68.25">
      <c r="A319" s="1" t="str" cm="1">
        <f t="array" aca="1" ref="A319" ca="1">INDIRECT(_xlfn.CONCAT("$I", $F319))</f>
        <v>Innistrad: Midnight Hunt Minigames MMID</v>
      </c>
      <c r="B319" s="1" cm="1">
        <f t="array" aca="1" ref="B319" ca="1">INDIRECT(_xlfn.CONCAT("$J", $F319))</f>
        <v>3</v>
      </c>
      <c r="C319" s="1" cm="1">
        <f t="array" aca="1" ref="C319" ca="1">INDIRECT(_xlfn.CONCAT("$K", $F319))</f>
        <v>44463</v>
      </c>
      <c r="D319" s="1"/>
      <c r="E319" s="1" t="str" cm="1">
        <f t="array" aca="1" ref="E319" ca="1">INDIRECT(_xlfn.CONCAT("$L", $F319))</f>
        <v>en es fr de it pt ja ko ru 汉语 漢語</v>
      </c>
      <c r="F319" s="1" cm="1">
        <f t="array" aca="1" ref="F319" ca="1">IF(NOT(OR(ISERROR(INDIRECT(_xlfn.CONCAT("$I", $F318 + 1))), ISBLANK(INDIRECT(_xlfn.CONCAT("$I", $F318 + 1))))), $F318 + 1, IF(NOT(ISBLANK(INDIRECT(_xlfn.CONCAT("$I", $F318 + 2)))), $F318 + 2, ""))</f>
        <v>582</v>
      </c>
    </row>
    <row r="320" spans="1:12" ht="59.25">
      <c r="A320" s="1" t="str" cm="1">
        <f t="array" aca="1" ref="A320" ca="1">INDIRECT(_xlfn.CONCAT("$I", $F320))</f>
        <v>Jumpstart: Historic Horizons J21</v>
      </c>
      <c r="B320" s="1" cm="1">
        <f t="array" aca="1" ref="B320" ca="1">INDIRECT(_xlfn.CONCAT("$J", $F320))</f>
        <v>389</v>
      </c>
      <c r="C320" s="1" cm="1">
        <f t="array" aca="1" ref="C320" ca="1">INDIRECT(_xlfn.CONCAT("$K", $F320))</f>
        <v>44434</v>
      </c>
      <c r="D320" s="1"/>
      <c r="E320" s="1" t="str" cm="1">
        <f t="array" aca="1" ref="E320" ca="1">INDIRECT(_xlfn.CONCAT("$L", $F320))</f>
        <v>en es fr de it pt ja ko ru 汉语 漢語</v>
      </c>
      <c r="F320" s="1" cm="1">
        <f t="array" aca="1" ref="F320" ca="1">IF(NOT(OR(ISERROR(INDIRECT(_xlfn.CONCAT("$I", $F319 + 1))), ISBLANK(INDIRECT(_xlfn.CONCAT("$I", $F319 + 1))))), $F319 + 1, IF(NOT(ISBLANK(INDIRECT(_xlfn.CONCAT("$I", $F319 + 2)))), $F319 + 2, ""))</f>
        <v>584</v>
      </c>
      <c r="I320" s="8" t="s">
        <v>342</v>
      </c>
      <c r="J320" s="8">
        <v>5</v>
      </c>
      <c r="K320" s="9">
        <v>45037</v>
      </c>
      <c r="L320" s="8" t="s">
        <v>174</v>
      </c>
    </row>
    <row r="321" spans="1:12" ht="68.25">
      <c r="A321" s="1" t="str" cm="1">
        <f t="array" aca="1" ref="A321" ca="1">INDIRECT(_xlfn.CONCAT("$I", $F321))</f>
        <v>Mystery Booster Playtest Cards 2021 CMB2</v>
      </c>
      <c r="B321" s="1" cm="1">
        <f t="array" aca="1" ref="B321" ca="1">INDIRECT(_xlfn.CONCAT("$J", $F321))</f>
        <v>121</v>
      </c>
      <c r="C321" s="1" cm="1">
        <f t="array" aca="1" ref="C321" ca="1">INDIRECT(_xlfn.CONCAT("$K", $F321))</f>
        <v>44428</v>
      </c>
      <c r="D321" s="1"/>
      <c r="E321" s="1" t="str" cm="1">
        <f t="array" aca="1" ref="E321" ca="1">INDIRECT(_xlfn.CONCAT("$L", $F321))</f>
        <v>en es fr de it pt ja ko ru 汉语 漢語</v>
      </c>
      <c r="F321" s="1" cm="1">
        <f t="array" aca="1" ref="F321" ca="1">IF(NOT(OR(ISERROR(INDIRECT(_xlfn.CONCAT("$I", $F320 + 1))), ISBLANK(INDIRECT(_xlfn.CONCAT("$I", $F320 + 1))))), $F320 + 1, IF(NOT(ISBLANK(INDIRECT(_xlfn.CONCAT("$I", $F320 + 2)))), $F320 + 2, ""))</f>
        <v>586</v>
      </c>
    </row>
    <row r="322" spans="1:12" ht="59.25">
      <c r="A322" s="1" t="str" cm="1">
        <f t="array" aca="1" ref="A322" ca="1">INDIRECT(_xlfn.CONCAT("$I", $F322))</f>
        <v>2020 Heroes of the Realm PH20</v>
      </c>
      <c r="B322" s="1" cm="1">
        <f t="array" aca="1" ref="B322" ca="1">INDIRECT(_xlfn.CONCAT("$J", $F322))</f>
        <v>3</v>
      </c>
      <c r="C322" s="1" cm="1">
        <f t="array" aca="1" ref="C322" ca="1">INDIRECT(_xlfn.CONCAT("$K", $F322))</f>
        <v>44409</v>
      </c>
      <c r="D322" s="1"/>
      <c r="E322" s="1" t="str" cm="1">
        <f t="array" aca="1" ref="E322" ca="1">INDIRECT(_xlfn.CONCAT("$L", $F322))</f>
        <v>en es fr de it pt ja ko ru 汉语 漢語</v>
      </c>
      <c r="F322" s="1" cm="1">
        <f t="array" aca="1" ref="F322" ca="1">IF(NOT(OR(ISERROR(INDIRECT(_xlfn.CONCAT("$I", $F321 + 1))), ISBLANK(INDIRECT(_xlfn.CONCAT("$I", $F321 + 1))))), $F321 + 1, IF(NOT(ISBLANK(INDIRECT(_xlfn.CONCAT("$I", $F321 + 2)))), $F321 + 2, ""))</f>
        <v>588</v>
      </c>
      <c r="I322" s="8" t="s">
        <v>343</v>
      </c>
      <c r="J322" s="8">
        <v>450</v>
      </c>
      <c r="K322" s="9">
        <v>45037</v>
      </c>
      <c r="L322" t="s">
        <v>174</v>
      </c>
    </row>
    <row r="323" spans="1:12" ht="68.25">
      <c r="A323" s="1" t="str" cm="1">
        <f t="array" aca="1" ref="A323" ca="1">INDIRECT(_xlfn.CONCAT("$I", $F323))</f>
        <v>Adventures in the Forgotten Realms AFR</v>
      </c>
      <c r="B323" s="1" cm="1">
        <f t="array" aca="1" ref="B323" ca="1">INDIRECT(_xlfn.CONCAT("$J", $F323))</f>
        <v>424</v>
      </c>
      <c r="C323" s="1" cm="1">
        <f t="array" aca="1" ref="C323" ca="1">INDIRECT(_xlfn.CONCAT("$K", $F323))</f>
        <v>44400</v>
      </c>
      <c r="D323" s="1"/>
      <c r="E323" s="1" t="str" cm="1">
        <f t="array" aca="1" ref="E323" ca="1">INDIRECT(_xlfn.CONCAT("$L", $F323))</f>
        <v>en es fr de it pt ja ko ru 汉语 漢語</v>
      </c>
      <c r="F323" s="1" cm="1">
        <f t="array" aca="1" ref="F323" ca="1">IF(NOT(OR(ISERROR(INDIRECT(_xlfn.CONCAT("$I", $F322 + 1))), ISBLANK(INDIRECT(_xlfn.CONCAT("$I", $F322 + 1))))), $F322 + 1, IF(NOT(ISBLANK(INDIRECT(_xlfn.CONCAT("$I", $F322 + 2)))), $F322 + 2, ""))</f>
        <v>590</v>
      </c>
    </row>
    <row r="324" spans="1:12" ht="81">
      <c r="A324" s="1" t="str" cm="1">
        <f t="array" aca="1" ref="A324" ca="1">INDIRECT(_xlfn.CONCAT("$I", $F324))</f>
        <v>Adventures in the Forgotten Realms Promos PAFR</v>
      </c>
      <c r="B324" s="1" cm="1">
        <f t="array" aca="1" ref="B324" ca="1">INDIRECT(_xlfn.CONCAT("$J", $F324))</f>
        <v>241</v>
      </c>
      <c r="C324" s="1" cm="1">
        <f t="array" aca="1" ref="C324" ca="1">INDIRECT(_xlfn.CONCAT("$K", $F324))</f>
        <v>44400</v>
      </c>
      <c r="D324" s="1"/>
      <c r="E324" s="1" t="str" cm="1">
        <f t="array" aca="1" ref="E324" ca="1">INDIRECT(_xlfn.CONCAT("$L", $F324))</f>
        <v>en es fr de it pt ja ko ru 汉语 漢語</v>
      </c>
      <c r="F324" s="1" cm="1">
        <f t="array" aca="1" ref="F324" ca="1">IF(NOT(OR(ISERROR(INDIRECT(_xlfn.CONCAT("$I", $F323 + 1))), ISBLANK(INDIRECT(_xlfn.CONCAT("$I", $F323 + 1))))), $F323 + 1, IF(NOT(ISBLANK(INDIRECT(_xlfn.CONCAT("$I", $F323 + 2)))), $F323 + 2, ""))</f>
        <v>592</v>
      </c>
      <c r="I324" s="8" t="s">
        <v>344</v>
      </c>
      <c r="J324" s="8">
        <v>46</v>
      </c>
      <c r="K324" s="9">
        <v>45037</v>
      </c>
      <c r="L324" s="8" t="s">
        <v>174</v>
      </c>
    </row>
    <row r="325" spans="1:12" ht="81">
      <c r="A325" s="1" t="str" cm="1">
        <f t="array" aca="1" ref="A325" ca="1">INDIRECT(_xlfn.CONCAT("$I", $F325))</f>
        <v>Adventures in the Forgotten Realms Tokens TAFR</v>
      </c>
      <c r="B325" s="1" cm="1">
        <f t="array" aca="1" ref="B325" ca="1">INDIRECT(_xlfn.CONCAT("$J", $F325))</f>
        <v>22</v>
      </c>
      <c r="C325" s="1" cm="1">
        <f t="array" aca="1" ref="C325" ca="1">INDIRECT(_xlfn.CONCAT("$K", $F325))</f>
        <v>44400</v>
      </c>
      <c r="D325" s="1"/>
      <c r="E325" s="1" t="str" cm="1">
        <f t="array" aca="1" ref="E325" ca="1">INDIRECT(_xlfn.CONCAT("$L", $F325))</f>
        <v>en es fr de it pt ja ko ru 汉语 漢語</v>
      </c>
      <c r="F325" s="1" cm="1">
        <f t="array" aca="1" ref="F325" ca="1">IF(NOT(OR(ISERROR(INDIRECT(_xlfn.CONCAT("$I", $F324 + 1))), ISBLANK(INDIRECT(_xlfn.CONCAT("$I", $F324 + 1))))), $F324 + 1, IF(NOT(ISBLANK(INDIRECT(_xlfn.CONCAT("$I", $F324 + 2)))), $F324 + 2, ""))</f>
        <v>594</v>
      </c>
    </row>
    <row r="326" spans="1:12" ht="68.25">
      <c r="A326" s="1" t="str" cm="1">
        <f t="array" aca="1" ref="A326" ca="1">INDIRECT(_xlfn.CONCAT("$I", $F326))</f>
        <v>Forgotten Realms Oversized Cards OAFR</v>
      </c>
      <c r="B326" s="1" cm="1">
        <f t="array" aca="1" ref="B326" ca="1">INDIRECT(_xlfn.CONCAT("$J", $F326))</f>
        <v>3</v>
      </c>
      <c r="C326" s="1" cm="1">
        <f t="array" aca="1" ref="C326" ca="1">INDIRECT(_xlfn.CONCAT("$K", $F326))</f>
        <v>44400</v>
      </c>
      <c r="D326" s="1"/>
      <c r="E326" s="1" t="str" cm="1">
        <f t="array" aca="1" ref="E326" ca="1">INDIRECT(_xlfn.CONCAT("$L", $F326))</f>
        <v>en es fr de it pt ja ko ru 汉语 漢語</v>
      </c>
      <c r="F326" s="1" cm="1">
        <f t="array" aca="1" ref="F326" ca="1">IF(NOT(OR(ISERROR(INDIRECT(_xlfn.CONCAT("$I", $F325 + 1))), ISBLANK(INDIRECT(_xlfn.CONCAT("$I", $F325 + 1))))), $F325 + 1, IF(NOT(ISBLANK(INDIRECT(_xlfn.CONCAT("$I", $F325 + 2)))), $F325 + 2, ""))</f>
        <v>596</v>
      </c>
      <c r="I326" s="8" t="s">
        <v>345</v>
      </c>
      <c r="J326" s="8">
        <v>12</v>
      </c>
      <c r="K326" s="9">
        <v>45037</v>
      </c>
      <c r="L326" s="8" t="s">
        <v>174</v>
      </c>
    </row>
    <row r="327" spans="1:12" ht="81">
      <c r="A327" s="1" t="str" cm="1">
        <f t="array" aca="1" ref="A327" ca="1">INDIRECT(_xlfn.CONCAT("$I", $F327))</f>
        <v>Adventures in the Forgotten Realms Art Series AAFR</v>
      </c>
      <c r="B327" s="1" cm="1">
        <f t="array" aca="1" ref="B327" ca="1">INDIRECT(_xlfn.CONCAT("$J", $F327))</f>
        <v>81</v>
      </c>
      <c r="C327" s="1" cm="1">
        <f t="array" aca="1" ref="C327" ca="1">INDIRECT(_xlfn.CONCAT("$K", $F327))</f>
        <v>44400</v>
      </c>
      <c r="D327" s="1"/>
      <c r="E327" s="1" t="str" cm="1">
        <f t="array" aca="1" ref="E327" ca="1">INDIRECT(_xlfn.CONCAT("$L", $F327))</f>
        <v>en es fr de it pt ja ko ru 汉语 漢語</v>
      </c>
      <c r="F327" s="1" cm="1">
        <f t="array" aca="1" ref="F327" ca="1">IF(NOT(OR(ISERROR(INDIRECT(_xlfn.CONCAT("$I", $F326 + 1))), ISBLANK(INDIRECT(_xlfn.CONCAT("$I", $F326 + 1))))), $F326 + 1, IF(NOT(ISBLANK(INDIRECT(_xlfn.CONCAT("$I", $F326 + 2)))), $F326 + 2, ""))</f>
        <v>598</v>
      </c>
    </row>
    <row r="328" spans="1:12" ht="59.25">
      <c r="A328" s="1" t="str" cm="1">
        <f t="array" aca="1" ref="A328" ca="1">INDIRECT(_xlfn.CONCAT("$I", $F328))</f>
        <v>Forgotten Realms Commander AFC</v>
      </c>
      <c r="B328" s="1" cm="1">
        <f t="array" aca="1" ref="B328" ca="1">INDIRECT(_xlfn.CONCAT("$J", $F328))</f>
        <v>331</v>
      </c>
      <c r="C328" s="1" cm="1">
        <f t="array" aca="1" ref="C328" ca="1">INDIRECT(_xlfn.CONCAT("$K", $F328))</f>
        <v>44400</v>
      </c>
      <c r="D328" s="1"/>
      <c r="E328" s="1" t="str" cm="1">
        <f t="array" aca="1" ref="E328" ca="1">INDIRECT(_xlfn.CONCAT("$L", $F328))</f>
        <v>en es fr de it pt ja ko ru 汉语 漢語</v>
      </c>
      <c r="F328" s="1" cm="1">
        <f t="array" aca="1" ref="F328" ca="1">IF(NOT(OR(ISERROR(INDIRECT(_xlfn.CONCAT("$I", $F327 + 1))), ISBLANK(INDIRECT(_xlfn.CONCAT("$I", $F327 + 1))))), $F327 + 1, IF(NOT(ISBLANK(INDIRECT(_xlfn.CONCAT("$I", $F327 + 2)))), $F327 + 2, ""))</f>
        <v>600</v>
      </c>
      <c r="I328" s="8" t="s">
        <v>346</v>
      </c>
      <c r="J328" s="8">
        <v>81</v>
      </c>
      <c r="K328" s="9">
        <v>45037</v>
      </c>
      <c r="L328" s="8" t="s">
        <v>174</v>
      </c>
    </row>
    <row r="329" spans="1:12" ht="68.25">
      <c r="A329" s="1" t="str" cm="1">
        <f t="array" aca="1" ref="A329" ca="1">INDIRECT(_xlfn.CONCAT("$I", $F329))</f>
        <v>Forgotten Realms Commander Tokens TAFC</v>
      </c>
      <c r="B329" s="1" cm="1">
        <f t="array" aca="1" ref="B329" ca="1">INDIRECT(_xlfn.CONCAT("$J", $F329))</f>
        <v>13</v>
      </c>
      <c r="C329" s="1" cm="1">
        <f t="array" aca="1" ref="C329" ca="1">INDIRECT(_xlfn.CONCAT("$K", $F329))</f>
        <v>44400</v>
      </c>
      <c r="D329" s="1"/>
      <c r="E329" s="1" t="str" cm="1">
        <f t="array" aca="1" ref="E329" ca="1">INDIRECT(_xlfn.CONCAT("$L", $F329))</f>
        <v>en es fr de it pt ja ko ru 汉语 漢語</v>
      </c>
      <c r="F329" s="1" cm="1">
        <f t="array" aca="1" ref="F329" ca="1">IF(NOT(OR(ISERROR(INDIRECT(_xlfn.CONCAT("$I", $F328 + 1))), ISBLANK(INDIRECT(_xlfn.CONCAT("$I", $F328 + 1))))), $F328 + 1, IF(NOT(ISBLANK(INDIRECT(_xlfn.CONCAT("$I", $F328 + 2)))), $F328 + 2, ""))</f>
        <v>602</v>
      </c>
    </row>
    <row r="330" spans="1:12" ht="81">
      <c r="A330" s="1" t="str" cm="1">
        <f t="array" aca="1" ref="A330" ca="1">INDIRECT(_xlfn.CONCAT("$I", $F330))</f>
        <v>Forgotten Realms Commander Display Commanders OAFC</v>
      </c>
      <c r="B330" s="1" cm="1">
        <f t="array" aca="1" ref="B330" ca="1">INDIRECT(_xlfn.CONCAT("$J", $F330))</f>
        <v>4</v>
      </c>
      <c r="C330" s="1" cm="1">
        <f t="array" aca="1" ref="C330" ca="1">INDIRECT(_xlfn.CONCAT("$K", $F330))</f>
        <v>44400</v>
      </c>
      <c r="D330" s="1"/>
      <c r="E330" s="1" t="str" cm="1">
        <f t="array" aca="1" ref="E330" ca="1">INDIRECT(_xlfn.CONCAT("$L", $F330))</f>
        <v>en es fr de it pt ja ko ru 汉语 漢語</v>
      </c>
      <c r="F330" s="1" cm="1">
        <f t="array" aca="1" ref="F330" ca="1">IF(NOT(OR(ISERROR(INDIRECT(_xlfn.CONCAT("$I", $F329 + 1))), ISBLANK(INDIRECT(_xlfn.CONCAT("$I", $F329 + 1))))), $F329 + 1, IF(NOT(ISBLANK(INDIRECT(_xlfn.CONCAT("$I", $F329 + 2)))), $F329 + 2, ""))</f>
        <v>604</v>
      </c>
      <c r="I330" s="8" t="s">
        <v>347</v>
      </c>
      <c r="J330" s="8">
        <v>1</v>
      </c>
      <c r="K330" s="9">
        <v>45037</v>
      </c>
      <c r="L330" s="8" t="s">
        <v>174</v>
      </c>
    </row>
    <row r="331" spans="1:12" ht="81">
      <c r="A331" s="1" t="str" cm="1">
        <f t="array" aca="1" ref="A331" ca="1">INDIRECT(_xlfn.CONCAT("$I", $F331))</f>
        <v>Adventures in the Forgotten Realms Minigames MAFR</v>
      </c>
      <c r="B331" s="1" cm="1">
        <f t="array" aca="1" ref="B331" ca="1">INDIRECT(_xlfn.CONCAT("$J", $F331))</f>
        <v>5</v>
      </c>
      <c r="C331" s="1" cm="1">
        <f t="array" aca="1" ref="C331" ca="1">INDIRECT(_xlfn.CONCAT("$K", $F331))</f>
        <v>44400</v>
      </c>
      <c r="D331" s="1"/>
      <c r="E331" s="1" t="str" cm="1">
        <f t="array" aca="1" ref="E331" ca="1">INDIRECT(_xlfn.CONCAT("$L", $F331))</f>
        <v>en es fr de it pt ja ko ru 汉语 漢語</v>
      </c>
      <c r="F331" s="1" cm="1">
        <f t="array" aca="1" ref="F331" ca="1">IF(NOT(OR(ISERROR(INDIRECT(_xlfn.CONCAT("$I", $F330 + 1))), ISBLANK(INDIRECT(_xlfn.CONCAT("$I", $F330 + 1))))), $F330 + 1, IF(NOT(ISBLANK(INDIRECT(_xlfn.CONCAT("$I", $F330 + 2)))), $F330 + 2, ""))</f>
        <v>606</v>
      </c>
    </row>
    <row r="332" spans="1:12" ht="54.75">
      <c r="A332" s="1" t="str" cm="1">
        <f t="array" aca="1" ref="A332" ca="1">INDIRECT(_xlfn.CONCAT("$I", $F332))</f>
        <v>Chromatic Cube CHROMATIC</v>
      </c>
      <c r="B332" s="1" cm="1">
        <f t="array" aca="1" ref="B332" ca="1">INDIRECT(_xlfn.CONCAT("$J", $F332))</f>
        <v>540</v>
      </c>
      <c r="C332" s="1" cm="1">
        <f t="array" aca="1" ref="C332" ca="1">INDIRECT(_xlfn.CONCAT("$K", $F332))</f>
        <v>44372</v>
      </c>
      <c r="D332" s="1"/>
      <c r="E332" s="1" cm="1">
        <f t="array" aca="1" ref="E332" ca="1">INDIRECT(_xlfn.CONCAT("$L", $F332))</f>
        <v>0</v>
      </c>
      <c r="F332" s="1" cm="1">
        <f t="array" aca="1" ref="F332" ca="1">IF(NOT(OR(ISERROR(INDIRECT(_xlfn.CONCAT("$I", $F331 + 1))), ISBLANK(INDIRECT(_xlfn.CONCAT("$I", $F331 + 1))))), $F331 + 1, IF(NOT(ISBLANK(INDIRECT(_xlfn.CONCAT("$I", $F331 + 2)))), $F331 + 2, ""))</f>
        <v>608</v>
      </c>
      <c r="I332" s="8" t="s">
        <v>348</v>
      </c>
      <c r="J332" s="8">
        <v>294</v>
      </c>
      <c r="K332" s="9">
        <v>45006</v>
      </c>
      <c r="L332" s="8" t="s">
        <v>174</v>
      </c>
    </row>
    <row r="333" spans="1:12" ht="59.25">
      <c r="A333" s="1" t="str" cm="1">
        <f t="array" aca="1" ref="A333" ca="1">INDIRECT(_xlfn.CONCAT("$I", $F333))</f>
        <v>Love Your LGS 2021 PLG21</v>
      </c>
      <c r="B333" s="1" cm="1">
        <f t="array" aca="1" ref="B333" ca="1">INDIRECT(_xlfn.CONCAT("$J", $F333))</f>
        <v>11</v>
      </c>
      <c r="C333" s="1" cm="1">
        <f t="array" aca="1" ref="C333" ca="1">INDIRECT(_xlfn.CONCAT("$K", $F333))</f>
        <v>44369</v>
      </c>
      <c r="D333" s="1"/>
      <c r="E333" s="1" t="str" cm="1">
        <f t="array" aca="1" ref="E333" ca="1">INDIRECT(_xlfn.CONCAT("$L", $F333))</f>
        <v>en es fr de it pt ja ko ru 汉语 漢語</v>
      </c>
      <c r="F333" s="1" cm="1">
        <f t="array" aca="1" ref="F333" ca="1">IF(NOT(OR(ISERROR(INDIRECT(_xlfn.CONCAT("$I", $F332 + 1))), ISBLANK(INDIRECT(_xlfn.CONCAT("$I", $F332 + 1))))), $F332 + 1, IF(NOT(ISBLANK(INDIRECT(_xlfn.CONCAT("$I", $F332 + 2)))), $F332 + 2, ""))</f>
        <v>610</v>
      </c>
    </row>
    <row r="334" spans="1:12" ht="59.25">
      <c r="A334" s="1" t="str" cm="1">
        <f t="array" aca="1" ref="A334" ca="1">INDIRECT(_xlfn.CONCAT("$I", $F334))</f>
        <v>Wizards Play Network 2021 PW21</v>
      </c>
      <c r="B334" s="1" cm="1">
        <f t="array" aca="1" ref="B334" ca="1">INDIRECT(_xlfn.CONCAT("$J", $F334))</f>
        <v>6</v>
      </c>
      <c r="C334" s="1" cm="1">
        <f t="array" aca="1" ref="C334" ca="1">INDIRECT(_xlfn.CONCAT("$K", $F334))</f>
        <v>44365</v>
      </c>
      <c r="D334" s="1"/>
      <c r="E334" s="1" t="str" cm="1">
        <f t="array" aca="1" ref="E334" ca="1">INDIRECT(_xlfn.CONCAT("$L", $F334))</f>
        <v>en es fr de it pt ja ko ru 汉语 漢語</v>
      </c>
      <c r="F334" s="1" cm="1">
        <f t="array" aca="1" ref="F334" ca="1">IF(NOT(OR(ISERROR(INDIRECT(_xlfn.CONCAT("$I", $F333 + 1))), ISBLANK(INDIRECT(_xlfn.CONCAT("$I", $F333 + 1))))), $F333 + 1, IF(NOT(ISBLANK(INDIRECT(_xlfn.CONCAT("$I", $F333 + 2)))), $F333 + 2, ""))</f>
        <v>612</v>
      </c>
      <c r="I334" s="8" t="s">
        <v>349</v>
      </c>
      <c r="J334" s="8">
        <v>76</v>
      </c>
      <c r="K334" s="9">
        <v>45006</v>
      </c>
      <c r="L334" s="8" t="s">
        <v>174</v>
      </c>
    </row>
    <row r="335" spans="1:12" ht="59.25">
      <c r="A335" s="1" t="str" cm="1">
        <f t="array" aca="1" ref="A335" ca="1">INDIRECT(_xlfn.CONCAT("$I", $F335))</f>
        <v>Modern Horizons 2 MH2</v>
      </c>
      <c r="B335" s="1" cm="1">
        <f t="array" aca="1" ref="B335" ca="1">INDIRECT(_xlfn.CONCAT("$J", $F335))</f>
        <v>494</v>
      </c>
      <c r="C335" s="1" cm="1">
        <f t="array" aca="1" ref="C335" ca="1">INDIRECT(_xlfn.CONCAT("$K", $F335))</f>
        <v>44365</v>
      </c>
      <c r="D335" s="1"/>
      <c r="E335" s="1" t="str" cm="1">
        <f t="array" aca="1" ref="E335" ca="1">INDIRECT(_xlfn.CONCAT("$L", $F335))</f>
        <v>en es fr de it pt ja ko ru 汉语 漢語</v>
      </c>
      <c r="F335" s="1" cm="1">
        <f t="array" aca="1" ref="F335" ca="1">IF(NOT(OR(ISERROR(INDIRECT(_xlfn.CONCAT("$I", $F334 + 1))), ISBLANK(INDIRECT(_xlfn.CONCAT("$I", $F334 + 1))))), $F334 + 1, IF(NOT(ISBLANK(INDIRECT(_xlfn.CONCAT("$I", $F334 + 2)))), $F334 + 2, ""))</f>
        <v>614</v>
      </c>
    </row>
    <row r="336" spans="1:12" ht="59.25">
      <c r="A336" s="1" t="str" cm="1">
        <f t="array" aca="1" ref="A336" ca="1">INDIRECT(_xlfn.CONCAT("$I", $F336))</f>
        <v>Modern Horizons 2 Promos PMH2</v>
      </c>
      <c r="B336" s="1" cm="1">
        <f t="array" aca="1" ref="B336" ca="1">INDIRECT(_xlfn.CONCAT("$J", $F336))</f>
        <v>86</v>
      </c>
      <c r="C336" s="1" cm="1">
        <f t="array" aca="1" ref="C336" ca="1">INDIRECT(_xlfn.CONCAT("$K", $F336))</f>
        <v>44365</v>
      </c>
      <c r="D336" s="1"/>
      <c r="E336" s="1" t="str" cm="1">
        <f t="array" aca="1" ref="E336" ca="1">INDIRECT(_xlfn.CONCAT("$L", $F336))</f>
        <v>en es fr de it pt ja ko ru 汉语 漢語</v>
      </c>
      <c r="F336" s="1" cm="1">
        <f t="array" aca="1" ref="F336" ca="1">IF(NOT(OR(ISERROR(INDIRECT(_xlfn.CONCAT("$I", $F335 + 1))), ISBLANK(INDIRECT(_xlfn.CONCAT("$I", $F335 + 1))))), $F335 + 1, IF(NOT(ISBLANK(INDIRECT(_xlfn.CONCAT("$I", $F335 + 2)))), $F335 + 2, ""))</f>
        <v>616</v>
      </c>
      <c r="I336" s="8" t="s">
        <v>350</v>
      </c>
      <c r="J336" s="8">
        <v>471</v>
      </c>
      <c r="K336" s="9">
        <v>44972</v>
      </c>
      <c r="L336" s="8" t="s">
        <v>174</v>
      </c>
    </row>
    <row r="337" spans="1:12" ht="59.25">
      <c r="A337" s="1" t="str" cm="1">
        <f t="array" aca="1" ref="A337" ca="1">INDIRECT(_xlfn.CONCAT("$I", $F337))</f>
        <v>Modern Horizons 2 Tokens TMH2</v>
      </c>
      <c r="B337" s="1" cm="1">
        <f t="array" aca="1" ref="B337" ca="1">INDIRECT(_xlfn.CONCAT("$J", $F337))</f>
        <v>21</v>
      </c>
      <c r="C337" s="1" cm="1">
        <f t="array" aca="1" ref="C337" ca="1">INDIRECT(_xlfn.CONCAT("$K", $F337))</f>
        <v>44365</v>
      </c>
      <c r="D337" s="1"/>
      <c r="E337" s="1" t="str" cm="1">
        <f t="array" aca="1" ref="E337" ca="1">INDIRECT(_xlfn.CONCAT("$L", $F337))</f>
        <v>en es fr de it pt ja ko ru 汉语 漢語</v>
      </c>
      <c r="F337" s="1" cm="1">
        <f t="array" aca="1" ref="F337" ca="1">IF(NOT(OR(ISERROR(INDIRECT(_xlfn.CONCAT("$I", $F336 + 1))), ISBLANK(INDIRECT(_xlfn.CONCAT("$I", $F336 + 1))))), $F336 + 1, IF(NOT(ISBLANK(INDIRECT(_xlfn.CONCAT("$I", $F336 + 2)))), $F336 + 2, ""))</f>
        <v>618</v>
      </c>
    </row>
    <row r="338" spans="1:12" ht="59.25">
      <c r="A338" s="1" t="str" cm="1">
        <f t="array" aca="1" ref="A338" ca="1">INDIRECT(_xlfn.CONCAT("$I", $F338))</f>
        <v>Modern Horizons 2 Art Series AMH2</v>
      </c>
      <c r="B338" s="1" cm="1">
        <f t="array" aca="1" ref="B338" ca="1">INDIRECT(_xlfn.CONCAT("$J", $F338))</f>
        <v>162</v>
      </c>
      <c r="C338" s="1" cm="1">
        <f t="array" aca="1" ref="C338" ca="1">INDIRECT(_xlfn.CONCAT("$K", $F338))</f>
        <v>44365</v>
      </c>
      <c r="D338" s="1"/>
      <c r="E338" s="1" t="str" cm="1">
        <f t="array" aca="1" ref="E338" ca="1">INDIRECT(_xlfn.CONCAT("$L", $F338))</f>
        <v>en es fr de it pt ja ko ru 汉语 漢語</v>
      </c>
      <c r="F338" s="1" cm="1">
        <f t="array" aca="1" ref="F338" ca="1">IF(NOT(OR(ISERROR(INDIRECT(_xlfn.CONCAT("$I", $F337 + 1))), ISBLANK(INDIRECT(_xlfn.CONCAT("$I", $F337 + 1))))), $F337 + 1, IF(NOT(ISBLANK(INDIRECT(_xlfn.CONCAT("$I", $F337 + 2)))), $F337 + 2, ""))</f>
        <v>620</v>
      </c>
      <c r="I338" s="8" t="s">
        <v>351</v>
      </c>
      <c r="J338" s="8">
        <v>52</v>
      </c>
      <c r="K338" s="9">
        <v>45346</v>
      </c>
      <c r="L338" s="8" t="s">
        <v>174</v>
      </c>
    </row>
    <row r="339" spans="1:12" ht="59.25">
      <c r="A339" s="1" t="str" cm="1">
        <f t="array" aca="1" ref="A339" ca="1">INDIRECT(_xlfn.CONCAT("$I", $F339))</f>
        <v>Modern Horizons 2 Minigames MMH2</v>
      </c>
      <c r="B339" s="1" cm="1">
        <f t="array" aca="1" ref="B339" ca="1">INDIRECT(_xlfn.CONCAT("$J", $F339))</f>
        <v>5</v>
      </c>
      <c r="C339" s="1" cm="1">
        <f t="array" aca="1" ref="C339" ca="1">INDIRECT(_xlfn.CONCAT("$K", $F339))</f>
        <v>44365</v>
      </c>
      <c r="D339" s="1"/>
      <c r="E339" s="1" t="str" cm="1">
        <f t="array" aca="1" ref="E339" ca="1">INDIRECT(_xlfn.CONCAT("$L", $F339))</f>
        <v>en es fr de it pt ja ko ru 汉语 漢語</v>
      </c>
      <c r="F339" s="1" cm="1">
        <f t="array" aca="1" ref="F339" ca="1">IF(NOT(OR(ISERROR(INDIRECT(_xlfn.CONCAT("$I", $F338 + 1))), ISBLANK(INDIRECT(_xlfn.CONCAT("$I", $F338 + 1))))), $F338 + 1, IF(NOT(ISBLANK(INDIRECT(_xlfn.CONCAT("$I", $F338 + 2)))), $F338 + 2, ""))</f>
        <v>622</v>
      </c>
    </row>
    <row r="340" spans="1:12" ht="59.25">
      <c r="A340" s="1" t="str" cm="1">
        <f t="array" aca="1" ref="A340" ca="1">INDIRECT(_xlfn.CONCAT("$I", $F340))</f>
        <v>Modern Horizons 1 Timeshifts H1R</v>
      </c>
      <c r="B340" s="1" cm="1">
        <f t="array" aca="1" ref="B340" ca="1">INDIRECT(_xlfn.CONCAT("$J", $F340))</f>
        <v>40</v>
      </c>
      <c r="C340" s="1" cm="1">
        <f t="array" aca="1" ref="C340" ca="1">INDIRECT(_xlfn.CONCAT("$K", $F340))</f>
        <v>44365</v>
      </c>
      <c r="D340" s="1"/>
      <c r="E340" s="1" t="str" cm="1">
        <f t="array" aca="1" ref="E340" ca="1">INDIRECT(_xlfn.CONCAT("$L", $F340))</f>
        <v>en es fr de it pt ja ko ru 汉语 漢語</v>
      </c>
      <c r="F340" s="1" cm="1">
        <f t="array" aca="1" ref="F340" ca="1">IF(NOT(OR(ISERROR(INDIRECT(_xlfn.CONCAT("$I", $F339 + 1))), ISBLANK(INDIRECT(_xlfn.CONCAT("$I", $F339 + 1))))), $F339 + 1, IF(NOT(ISBLANK(INDIRECT(_xlfn.CONCAT("$I", $F339 + 2)))), $F339 + 2, ""))</f>
        <v>624</v>
      </c>
      <c r="I340" s="8" t="s">
        <v>352</v>
      </c>
      <c r="J340" s="8">
        <v>6</v>
      </c>
      <c r="K340" s="9">
        <v>44967</v>
      </c>
      <c r="L340" t="s">
        <v>174</v>
      </c>
    </row>
    <row r="341" spans="1:12" ht="59.25">
      <c r="A341" s="1" t="str" cm="1">
        <f t="array" aca="1" ref="A341" ca="1">INDIRECT(_xlfn.CONCAT("$I", $F341))</f>
        <v>Historic Anthology 5 HA5</v>
      </c>
      <c r="B341" s="1" cm="1">
        <f t="array" aca="1" ref="B341" ca="1">INDIRECT(_xlfn.CONCAT("$J", $F341))</f>
        <v>25</v>
      </c>
      <c r="C341" s="1" cm="1">
        <f t="array" aca="1" ref="C341" ca="1">INDIRECT(_xlfn.CONCAT("$K", $F341))</f>
        <v>44343</v>
      </c>
      <c r="D341" s="1"/>
      <c r="E341" s="1" t="str" cm="1">
        <f t="array" aca="1" ref="E341" ca="1">INDIRECT(_xlfn.CONCAT("$L", $F341))</f>
        <v>en es fr de it pt ja ko ru 汉语 漢語</v>
      </c>
      <c r="F341" s="1" cm="1">
        <f t="array" aca="1" ref="F341" ca="1">IF(NOT(OR(ISERROR(INDIRECT(_xlfn.CONCAT("$I", $F340 + 1))), ISBLANK(INDIRECT(_xlfn.CONCAT("$I", $F340 + 1))))), $F340 + 1, IF(NOT(ISBLANK(INDIRECT(_xlfn.CONCAT("$I", $F340 + 2)))), $F340 + 2, ""))</f>
        <v>626</v>
      </c>
    </row>
    <row r="342" spans="1:12" ht="59.25">
      <c r="A342" s="1" t="str" cm="1">
        <f t="array" aca="1" ref="A342" ca="1">INDIRECT(_xlfn.CONCAT("$I", $F342))</f>
        <v>Strixhaven: School of Mages STX</v>
      </c>
      <c r="B342" s="1" cm="1">
        <f t="array" aca="1" ref="B342" ca="1">INDIRECT(_xlfn.CONCAT("$J", $F342))</f>
        <v>393</v>
      </c>
      <c r="C342" s="1" cm="1">
        <f t="array" aca="1" ref="C342" ca="1">INDIRECT(_xlfn.CONCAT("$K", $F342))</f>
        <v>44309</v>
      </c>
      <c r="D342" s="1"/>
      <c r="E342" s="1" t="str" cm="1">
        <f t="array" aca="1" ref="E342" ca="1">INDIRECT(_xlfn.CONCAT("$L", $F342))</f>
        <v>en es fr de it pt ja ko ru 汉语 漢語</v>
      </c>
      <c r="F342" s="1" cm="1">
        <f t="array" aca="1" ref="F342" ca="1">IF(NOT(OR(ISERROR(INDIRECT(_xlfn.CONCAT("$I", $F341 + 1))), ISBLANK(INDIRECT(_xlfn.CONCAT("$I", $F341 + 1))))), $F341 + 1, IF(NOT(ISBLANK(INDIRECT(_xlfn.CONCAT("$I", $F341 + 2)))), $F341 + 2, ""))</f>
        <v>628</v>
      </c>
      <c r="I342" s="8" t="s">
        <v>1232</v>
      </c>
      <c r="J342" s="8">
        <v>479</v>
      </c>
      <c r="K342" s="9">
        <v>44967</v>
      </c>
      <c r="L342" t="s">
        <v>174</v>
      </c>
    </row>
    <row r="343" spans="1:12" ht="59.25">
      <c r="A343" s="1" t="str" cm="1">
        <f t="array" aca="1" ref="A343" ca="1">INDIRECT(_xlfn.CONCAT("$I", $F343))</f>
        <v>Strixhaven Mystical Archive STA</v>
      </c>
      <c r="B343" s="1" cm="1">
        <f t="array" aca="1" ref="B343" ca="1">INDIRECT(_xlfn.CONCAT("$J", $F343))</f>
        <v>126</v>
      </c>
      <c r="C343" s="1" cm="1">
        <f t="array" aca="1" ref="C343" ca="1">INDIRECT(_xlfn.CONCAT("$K", $F343))</f>
        <v>44309</v>
      </c>
      <c r="D343" s="1"/>
      <c r="E343" s="1" t="str" cm="1">
        <f t="array" aca="1" ref="E343" ca="1">INDIRECT(_xlfn.CONCAT("$L", $F343))</f>
        <v>en es fr de it pt ja ko ru 汉语 漢語</v>
      </c>
      <c r="F343" s="1" cm="1">
        <f t="array" aca="1" ref="F343" ca="1">IF(NOT(OR(ISERROR(INDIRECT(_xlfn.CONCAT("$I", $F342 + 1))), ISBLANK(INDIRECT(_xlfn.CONCAT("$I", $F342 + 1))))), $F342 + 1, IF(NOT(ISBLANK(INDIRECT(_xlfn.CONCAT("$I", $F342 + 2)))), $F342 + 2, ""))</f>
        <v>630</v>
      </c>
    </row>
    <row r="344" spans="1:12" ht="68.25">
      <c r="A344" s="1" t="str" cm="1">
        <f t="array" aca="1" ref="A344" ca="1">INDIRECT(_xlfn.CONCAT("$I", $F344))</f>
        <v>Strixhaven: School of Mages Promos PSTX</v>
      </c>
      <c r="B344" s="1" cm="1">
        <f t="array" aca="1" ref="B344" ca="1">INDIRECT(_xlfn.CONCAT("$J", $F344))</f>
        <v>164</v>
      </c>
      <c r="C344" s="1" cm="1">
        <f t="array" aca="1" ref="C344" ca="1">INDIRECT(_xlfn.CONCAT("$K", $F344))</f>
        <v>44309</v>
      </c>
      <c r="D344" s="1"/>
      <c r="E344" s="1" t="str" cm="1">
        <f t="array" aca="1" ref="E344" ca="1">INDIRECT(_xlfn.CONCAT("$L", $F344))</f>
        <v>en es fr de it pt ja ko ru 汉语 漢語</v>
      </c>
      <c r="F344" s="1" cm="1">
        <f t="array" aca="1" ref="F344" ca="1">IF(NOT(OR(ISERROR(INDIRECT(_xlfn.CONCAT("$I", $F343 + 1))), ISBLANK(INDIRECT(_xlfn.CONCAT("$I", $F343 + 1))))), $F343 + 1, IF(NOT(ISBLANK(INDIRECT(_xlfn.CONCAT("$I", $F343 + 2)))), $F343 + 2, ""))</f>
        <v>632</v>
      </c>
      <c r="I344" s="8" t="s">
        <v>353</v>
      </c>
      <c r="J344" s="8">
        <v>160</v>
      </c>
      <c r="K344" s="9">
        <v>44967</v>
      </c>
      <c r="L344" s="8" t="s">
        <v>174</v>
      </c>
    </row>
    <row r="345" spans="1:12" ht="68.25">
      <c r="A345" s="1" t="str" cm="1">
        <f t="array" aca="1" ref="A345" ca="1">INDIRECT(_xlfn.CONCAT("$I", $F345))</f>
        <v>Strixhaven: School of Mages Tokens TSTX</v>
      </c>
      <c r="B345" s="1" cm="1">
        <f t="array" aca="1" ref="B345" ca="1">INDIRECT(_xlfn.CONCAT("$J", $F345))</f>
        <v>9</v>
      </c>
      <c r="C345" s="1" cm="1">
        <f t="array" aca="1" ref="C345" ca="1">INDIRECT(_xlfn.CONCAT("$K", $F345))</f>
        <v>44309</v>
      </c>
      <c r="D345" s="1"/>
      <c r="E345" s="1" t="str" cm="1">
        <f t="array" aca="1" ref="E345" ca="1">INDIRECT(_xlfn.CONCAT("$L", $F345))</f>
        <v>en es fr de it pt ja ko ru 汉语 漢語</v>
      </c>
      <c r="F345" s="1" cm="1">
        <f t="array" aca="1" ref="F345" ca="1">IF(NOT(OR(ISERROR(INDIRECT(_xlfn.CONCAT("$I", $F344 + 1))), ISBLANK(INDIRECT(_xlfn.CONCAT("$I", $F344 + 1))))), $F344 + 1, IF(NOT(ISBLANK(INDIRECT(_xlfn.CONCAT("$I", $F344 + 2)))), $F344 + 2, ""))</f>
        <v>634</v>
      </c>
    </row>
    <row r="346" spans="1:12" ht="68.25">
      <c r="A346" s="1" t="str" cm="1">
        <f t="array" aca="1" ref="A346" ca="1">INDIRECT(_xlfn.CONCAT("$I", $F346))</f>
        <v>Strixhaven: School of Mages Substitute Cards SSTX</v>
      </c>
      <c r="B346" s="1" cm="1">
        <f t="array" aca="1" ref="B346" ca="1">INDIRECT(_xlfn.CONCAT("$J", $F346))</f>
        <v>9</v>
      </c>
      <c r="C346" s="1" cm="1">
        <f t="array" aca="1" ref="C346" ca="1">INDIRECT(_xlfn.CONCAT("$K", $F346))</f>
        <v>44309</v>
      </c>
      <c r="D346" s="1"/>
      <c r="E346" s="1" t="str" cm="1">
        <f t="array" aca="1" ref="E346" ca="1">INDIRECT(_xlfn.CONCAT("$L", $F346))</f>
        <v>en es fr de it pt ja ko ru 汉语 漢語</v>
      </c>
      <c r="F346" s="1" cm="1">
        <f t="array" aca="1" ref="F346" ca="1">IF(NOT(OR(ISERROR(INDIRECT(_xlfn.CONCAT("$I", $F345 + 1))), ISBLANK(INDIRECT(_xlfn.CONCAT("$I", $F345 + 1))))), $F345 + 1, IF(NOT(ISBLANK(INDIRECT(_xlfn.CONCAT("$I", $F345 + 2)))), $F345 + 2, ""))</f>
        <v>636</v>
      </c>
      <c r="I346" s="8" t="s">
        <v>354</v>
      </c>
      <c r="J346" s="8">
        <v>14</v>
      </c>
      <c r="K346" s="9">
        <v>44960</v>
      </c>
      <c r="L346" s="8" t="s">
        <v>174</v>
      </c>
    </row>
    <row r="347" spans="1:12" ht="68.25">
      <c r="A347" s="1" t="str" cm="1">
        <f t="array" aca="1" ref="A347" ca="1">INDIRECT(_xlfn.CONCAT("$I", $F347))</f>
        <v>Strixhaven: School of Mages Minigames MSTX</v>
      </c>
      <c r="B347" s="1" cm="1">
        <f t="array" aca="1" ref="B347" ca="1">INDIRECT(_xlfn.CONCAT("$J", $F347))</f>
        <v>5</v>
      </c>
      <c r="C347" s="1" cm="1">
        <f t="array" aca="1" ref="C347" ca="1">INDIRECT(_xlfn.CONCAT("$K", $F347))</f>
        <v>44309</v>
      </c>
      <c r="D347" s="1"/>
      <c r="E347" s="1" t="str" cm="1">
        <f t="array" aca="1" ref="E347" ca="1">INDIRECT(_xlfn.CONCAT("$L", $F347))</f>
        <v>en es fr de it pt ja ko ru 汉语 漢語</v>
      </c>
      <c r="F347" s="1" cm="1">
        <f t="array" aca="1" ref="F347" ca="1">IF(NOT(OR(ISERROR(INDIRECT(_xlfn.CONCAT("$I", $F346 + 1))), ISBLANK(INDIRECT(_xlfn.CONCAT("$I", $F346 + 1))))), $F346 + 1, IF(NOT(ISBLANK(INDIRECT(_xlfn.CONCAT("$I", $F346 + 2)))), $F346 + 2, ""))</f>
        <v>638</v>
      </c>
    </row>
    <row r="348" spans="1:12" ht="59.25">
      <c r="A348" s="1" t="str" cm="1">
        <f t="array" aca="1" ref="A348" ca="1">INDIRECT(_xlfn.CONCAT("$I", $F348))</f>
        <v>Strixhaven Art Series ASTX</v>
      </c>
      <c r="B348" s="1" cm="1">
        <f t="array" aca="1" ref="B348" ca="1">INDIRECT(_xlfn.CONCAT("$J", $F348))</f>
        <v>162</v>
      </c>
      <c r="C348" s="1" cm="1">
        <f t="array" aca="1" ref="C348" ca="1">INDIRECT(_xlfn.CONCAT("$K", $F348))</f>
        <v>44309</v>
      </c>
      <c r="D348" s="1"/>
      <c r="E348" s="1" t="str" cm="1">
        <f t="array" aca="1" ref="E348" ca="1">INDIRECT(_xlfn.CONCAT("$L", $F348))</f>
        <v>en es fr de it pt ja ko ru 汉语 漢語</v>
      </c>
      <c r="F348" s="1" cm="1">
        <f t="array" aca="1" ref="F348" ca="1">IF(NOT(OR(ISERROR(INDIRECT(_xlfn.CONCAT("$I", $F347 + 1))), ISBLANK(INDIRECT(_xlfn.CONCAT("$I", $F347 + 1))))), $F347 + 1, IF(NOT(ISBLANK(INDIRECT(_xlfn.CONCAT("$I", $F347 + 2)))), $F347 + 2, ""))</f>
        <v>640</v>
      </c>
      <c r="I348" s="8" t="s">
        <v>355</v>
      </c>
      <c r="J348" s="8">
        <v>30</v>
      </c>
      <c r="K348" s="9">
        <v>44985</v>
      </c>
      <c r="L348" s="8" t="s">
        <v>174</v>
      </c>
    </row>
    <row r="349" spans="1:12" ht="59.25">
      <c r="A349" s="1" t="str" cm="1">
        <f t="array" aca="1" ref="A349" ca="1">INDIRECT(_xlfn.CONCAT("$I", $F349))</f>
        <v>Commander 2021 C21</v>
      </c>
      <c r="B349" s="1" cm="1">
        <f t="array" aca="1" ref="B349" ca="1">INDIRECT(_xlfn.CONCAT("$J", $F349))</f>
        <v>409</v>
      </c>
      <c r="C349" s="1" cm="1">
        <f t="array" aca="1" ref="C349" ca="1">INDIRECT(_xlfn.CONCAT("$K", $F349))</f>
        <v>44309</v>
      </c>
      <c r="D349" s="1"/>
      <c r="E349" s="1" t="str" cm="1">
        <f t="array" aca="1" ref="E349" ca="1">INDIRECT(_xlfn.CONCAT("$L", $F349))</f>
        <v>en es fr de it pt ja ko ru 汉语 漢語</v>
      </c>
      <c r="F349" s="1" cm="1">
        <f t="array" aca="1" ref="F349" ca="1">IF(NOT(OR(ISERROR(INDIRECT(_xlfn.CONCAT("$I", $F348 + 1))), ISBLANK(INDIRECT(_xlfn.CONCAT("$I", $F348 + 1))))), $F348 + 1, IF(NOT(ISBLANK(INDIRECT(_xlfn.CONCAT("$I", $F348 + 2)))), $F348 + 2, ""))</f>
        <v>642</v>
      </c>
    </row>
    <row r="350" spans="1:12" ht="59.25">
      <c r="A350" s="1" t="str" cm="1">
        <f t="array" aca="1" ref="A350" ca="1">INDIRECT(_xlfn.CONCAT("$I", $F350))</f>
        <v>Commander 2021 Tokens TC21</v>
      </c>
      <c r="B350" s="1" cm="1">
        <f t="array" aca="1" ref="B350" ca="1">INDIRECT(_xlfn.CONCAT("$J", $F350))</f>
        <v>30</v>
      </c>
      <c r="C350" s="1" cm="1">
        <f t="array" aca="1" ref="C350" ca="1">INDIRECT(_xlfn.CONCAT("$K", $F350))</f>
        <v>44309</v>
      </c>
      <c r="D350" s="1"/>
      <c r="E350" s="1" t="str" cm="1">
        <f t="array" aca="1" ref="E350" ca="1">INDIRECT(_xlfn.CONCAT("$L", $F350))</f>
        <v>en es fr de it pt ja ko ru 汉语 漢語</v>
      </c>
      <c r="F350" s="1" cm="1">
        <f t="array" aca="1" ref="F350" ca="1">IF(NOT(OR(ISERROR(INDIRECT(_xlfn.CONCAT("$I", $F349 + 1))), ISBLANK(INDIRECT(_xlfn.CONCAT("$I", $F349 + 1))))), $F349 + 1, IF(NOT(ISBLANK(INDIRECT(_xlfn.CONCAT("$I", $F349 + 2)))), $F349 + 2, ""))</f>
        <v>644</v>
      </c>
      <c r="I350" s="8" t="s">
        <v>356</v>
      </c>
      <c r="J350" s="8">
        <v>174</v>
      </c>
      <c r="K350" s="9">
        <v>44967</v>
      </c>
      <c r="L350" t="s">
        <v>174</v>
      </c>
    </row>
    <row r="351" spans="1:12" ht="68.25">
      <c r="A351" s="1" t="str" cm="1">
        <f t="array" aca="1" ref="A351" ca="1">INDIRECT(_xlfn.CONCAT("$I", $F351))</f>
        <v>Commander 2021 Display Commanders OC21</v>
      </c>
      <c r="B351" s="1" cm="1">
        <f t="array" aca="1" ref="B351" ca="1">INDIRECT(_xlfn.CONCAT("$J", $F351))</f>
        <v>5</v>
      </c>
      <c r="C351" s="1" cm="1">
        <f t="array" aca="1" ref="C351" ca="1">INDIRECT(_xlfn.CONCAT("$K", $F351))</f>
        <v>44309</v>
      </c>
      <c r="D351" s="1"/>
      <c r="E351" s="1" t="str" cm="1">
        <f t="array" aca="1" ref="E351" ca="1">INDIRECT(_xlfn.CONCAT("$L", $F351))</f>
        <v>en es fr de it pt ja ko ru 汉语 漢語</v>
      </c>
      <c r="F351" s="1" cm="1">
        <f t="array" aca="1" ref="F351" ca="1">IF(NOT(OR(ISERROR(INDIRECT(_xlfn.CONCAT("$I", $F350 + 1))), ISBLANK(INDIRECT(_xlfn.CONCAT("$I", $F350 + 1))))), $F350 + 1, IF(NOT(ISBLANK(INDIRECT(_xlfn.CONCAT("$I", $F350 + 2)))), $F350 + 2, ""))</f>
        <v>646</v>
      </c>
    </row>
    <row r="352" spans="1:12" ht="59.25">
      <c r="A352" s="1" t="str" cm="1">
        <f t="array" aca="1" ref="A352" ca="1">INDIRECT(_xlfn.CONCAT("$I", $F352))</f>
        <v>Time Spiral Remastered TSR</v>
      </c>
      <c r="B352" s="1" cm="1">
        <f t="array" aca="1" ref="B352" ca="1">INDIRECT(_xlfn.CONCAT("$J", $F352))</f>
        <v>411</v>
      </c>
      <c r="C352" s="1" cm="1">
        <f t="array" aca="1" ref="C352" ca="1">INDIRECT(_xlfn.CONCAT("$K", $F352))</f>
        <v>44274</v>
      </c>
      <c r="D352" s="1"/>
      <c r="E352" s="1" t="str" cm="1">
        <f t="array" aca="1" ref="E352" ca="1">INDIRECT(_xlfn.CONCAT("$L", $F352))</f>
        <v>en es fr de it pt ja ko ru 汉语 漢語</v>
      </c>
      <c r="F352" s="1" cm="1">
        <f t="array" aca="1" ref="F352" ca="1">IF(NOT(OR(ISERROR(INDIRECT(_xlfn.CONCAT("$I", $F351 + 1))), ISBLANK(INDIRECT(_xlfn.CONCAT("$I", $F351 + 1))))), $F351 + 1, IF(NOT(ISBLANK(INDIRECT(_xlfn.CONCAT("$I", $F351 + 2)))), $F351 + 2, ""))</f>
        <v>648</v>
      </c>
      <c r="I352" s="8" t="s">
        <v>357</v>
      </c>
      <c r="J352" s="8">
        <v>23</v>
      </c>
      <c r="K352" s="9">
        <v>44960</v>
      </c>
      <c r="L352" s="8" t="s">
        <v>174</v>
      </c>
    </row>
    <row r="353" spans="1:12" ht="59.25">
      <c r="A353" s="1" t="str" cm="1">
        <f t="array" aca="1" ref="A353" ca="1">INDIRECT(_xlfn.CONCAT("$I", $F353))</f>
        <v>Time Spiral Remastered Promos PTSR</v>
      </c>
      <c r="B353" s="1" cm="1">
        <f t="array" aca="1" ref="B353" ca="1">INDIRECT(_xlfn.CONCAT("$J", $F353))</f>
        <v>3</v>
      </c>
      <c r="C353" s="1" cm="1">
        <f t="array" aca="1" ref="C353" ca="1">INDIRECT(_xlfn.CONCAT("$K", $F353))</f>
        <v>45177</v>
      </c>
      <c r="D353" s="1"/>
      <c r="E353" s="1" t="str" cm="1">
        <f t="array" aca="1" ref="E353" ca="1">INDIRECT(_xlfn.CONCAT("$L", $F353))</f>
        <v>en es fr de it pt ja ko ru 汉语 漢語</v>
      </c>
      <c r="F353" s="1" cm="1">
        <f t="array" aca="1" ref="F353" ca="1">IF(NOT(OR(ISERROR(INDIRECT(_xlfn.CONCAT("$I", $F352 + 1))), ISBLANK(INDIRECT(_xlfn.CONCAT("$I", $F352 + 1))))), $F352 + 1, IF(NOT(ISBLANK(INDIRECT(_xlfn.CONCAT("$I", $F352 + 2)))), $F352 + 2, ""))</f>
        <v>650</v>
      </c>
    </row>
    <row r="354" spans="1:12" ht="59.25">
      <c r="A354" s="1" t="str" cm="1">
        <f t="array" aca="1" ref="A354" ca="1">INDIRECT(_xlfn.CONCAT("$I", $F354))</f>
        <v>Time Spiral Remastered Tokens TTSR</v>
      </c>
      <c r="B354" s="1" cm="1">
        <f t="array" aca="1" ref="B354" ca="1">INDIRECT(_xlfn.CONCAT("$J", $F354))</f>
        <v>15</v>
      </c>
      <c r="C354" s="1" cm="1">
        <f t="array" aca="1" ref="C354" ca="1">INDIRECT(_xlfn.CONCAT("$K", $F354))</f>
        <v>44274</v>
      </c>
      <c r="D354" s="1"/>
      <c r="E354" s="1" t="str" cm="1">
        <f t="array" aca="1" ref="E354" ca="1">INDIRECT(_xlfn.CONCAT("$L", $F354))</f>
        <v>en es fr de it pt ja ko ru 汉语 漢語</v>
      </c>
      <c r="F354" s="1" cm="1">
        <f t="array" aca="1" ref="F354" ca="1">IF(NOT(OR(ISERROR(INDIRECT(_xlfn.CONCAT("$I", $F353 + 1))), ISBLANK(INDIRECT(_xlfn.CONCAT("$I", $F353 + 1))))), $F353 + 1, IF(NOT(ISBLANK(INDIRECT(_xlfn.CONCAT("$I", $F353 + 2)))), $F353 + 2, ""))</f>
        <v>652</v>
      </c>
      <c r="I354" s="8" t="s">
        <v>358</v>
      </c>
      <c r="J354" s="8">
        <v>5</v>
      </c>
      <c r="K354" s="9">
        <v>44960</v>
      </c>
      <c r="L354" s="8" t="s">
        <v>174</v>
      </c>
    </row>
    <row r="355" spans="1:12" ht="59.25">
      <c r="A355" s="1" t="str" cm="1">
        <f t="array" aca="1" ref="A355" ca="1">INDIRECT(_xlfn.CONCAT("$I", $F355))</f>
        <v>Historic Anthology 4 HA4</v>
      </c>
      <c r="B355" s="1" cm="1">
        <f t="array" aca="1" ref="B355" ca="1">INDIRECT(_xlfn.CONCAT("$J", $F355))</f>
        <v>25</v>
      </c>
      <c r="C355" s="1" cm="1">
        <f t="array" aca="1" ref="C355" ca="1">INDIRECT(_xlfn.CONCAT("$K", $F355))</f>
        <v>44266</v>
      </c>
      <c r="D355" s="1"/>
      <c r="E355" s="1" t="str" cm="1">
        <f t="array" aca="1" ref="E355" ca="1">INDIRECT(_xlfn.CONCAT("$L", $F355))</f>
        <v>en es fr de it pt ja ko ru 汉语 漢語</v>
      </c>
      <c r="F355" s="1" cm="1">
        <f t="array" aca="1" ref="F355" ca="1">IF(NOT(OR(ISERROR(INDIRECT(_xlfn.CONCAT("$I", $F354 + 1))), ISBLANK(INDIRECT(_xlfn.CONCAT("$I", $F354 + 1))))), $F354 + 1, IF(NOT(ISBLANK(INDIRECT(_xlfn.CONCAT("$I", $F354 + 2)))), $F354 + 2, ""))</f>
        <v>654</v>
      </c>
    </row>
    <row r="356" spans="1:12" ht="59.25">
      <c r="A356" s="1" t="str" cm="1">
        <f t="array" aca="1" ref="A356" ca="1">INDIRECT(_xlfn.CONCAT("$I", $F356))</f>
        <v>Kaldheim KHM</v>
      </c>
      <c r="B356" s="1" cm="1">
        <f t="array" aca="1" ref="B356" ca="1">INDIRECT(_xlfn.CONCAT("$J", $F356))</f>
        <v>426</v>
      </c>
      <c r="C356" s="1" cm="1">
        <f t="array" aca="1" ref="C356" ca="1">INDIRECT(_xlfn.CONCAT("$K", $F356))</f>
        <v>44232</v>
      </c>
      <c r="D356" s="1"/>
      <c r="E356" s="1" t="str" cm="1">
        <f t="array" aca="1" ref="E356" ca="1">INDIRECT(_xlfn.CONCAT("$L", $F356))</f>
        <v>en es fr de it pt ja ko ru 汉语 漢語</v>
      </c>
      <c r="F356" s="1" cm="1">
        <f t="array" aca="1" ref="F356" ca="1">IF(NOT(OR(ISERROR(INDIRECT(_xlfn.CONCAT("$I", $F355 + 1))), ISBLANK(INDIRECT(_xlfn.CONCAT("$I", $F355 + 1))))), $F355 + 1, IF(NOT(ISBLANK(INDIRECT(_xlfn.CONCAT("$I", $F355 + 2)))), $F355 + 2, ""))</f>
        <v>656</v>
      </c>
      <c r="I356" s="8" t="s">
        <v>359</v>
      </c>
      <c r="J356" s="8">
        <v>81</v>
      </c>
      <c r="K356" s="9">
        <v>44960</v>
      </c>
      <c r="L356" s="8" t="s">
        <v>174</v>
      </c>
    </row>
    <row r="357" spans="1:12" ht="59.25">
      <c r="A357" s="1" t="str" cm="1">
        <f t="array" aca="1" ref="A357" ca="1">INDIRECT(_xlfn.CONCAT("$I", $F357))</f>
        <v>Kaldheim Promos PKHM</v>
      </c>
      <c r="B357" s="1" cm="1">
        <f t="array" aca="1" ref="B357" ca="1">INDIRECT(_xlfn.CONCAT("$J", $F357))</f>
        <v>158</v>
      </c>
      <c r="C357" s="1" cm="1">
        <f t="array" aca="1" ref="C357" ca="1">INDIRECT(_xlfn.CONCAT("$K", $F357))</f>
        <v>44232</v>
      </c>
      <c r="D357" s="1"/>
      <c r="E357" s="1" t="str" cm="1">
        <f t="array" aca="1" ref="E357" ca="1">INDIRECT(_xlfn.CONCAT("$L", $F357))</f>
        <v>en es fr de it pt ja ko ru 汉语 漢語</v>
      </c>
      <c r="F357" s="1" cm="1">
        <f t="array" aca="1" ref="F357" ca="1">IF(NOT(OR(ISERROR(INDIRECT(_xlfn.CONCAT("$I", $F356 + 1))), ISBLANK(INDIRECT(_xlfn.CONCAT("$I", $F356 + 1))))), $F356 + 1, IF(NOT(ISBLANK(INDIRECT(_xlfn.CONCAT("$I", $F356 + 2)))), $F356 + 2, ""))</f>
        <v>658</v>
      </c>
    </row>
    <row r="358" spans="1:12" ht="59.25">
      <c r="A358" s="1" t="str" cm="1">
        <f t="array" aca="1" ref="A358" ca="1">INDIRECT(_xlfn.CONCAT("$I", $F358))</f>
        <v>Kaldheim Tokens TKHM</v>
      </c>
      <c r="B358" s="1" cm="1">
        <f t="array" aca="1" ref="B358" ca="1">INDIRECT(_xlfn.CONCAT("$J", $F358))</f>
        <v>23</v>
      </c>
      <c r="C358" s="1" cm="1">
        <f t="array" aca="1" ref="C358" ca="1">INDIRECT(_xlfn.CONCAT("$K", $F358))</f>
        <v>44232</v>
      </c>
      <c r="D358" s="1"/>
      <c r="E358" s="1" t="str" cm="1">
        <f t="array" aca="1" ref="E358" ca="1">INDIRECT(_xlfn.CONCAT("$L", $F358))</f>
        <v>en es fr de it pt ja ko ru 汉语 漢語</v>
      </c>
      <c r="F358" s="1" cm="1">
        <f t="array" aca="1" ref="F358" ca="1">IF(NOT(OR(ISERROR(INDIRECT(_xlfn.CONCAT("$I", $F357 + 1))), ISBLANK(INDIRECT(_xlfn.CONCAT("$I", $F357 + 1))))), $F357 + 1, IF(NOT(ISBLANK(INDIRECT(_xlfn.CONCAT("$I", $F357 + 2)))), $F357 + 2, ""))</f>
        <v>660</v>
      </c>
      <c r="I358" s="8" t="s">
        <v>360</v>
      </c>
      <c r="J358" s="8">
        <v>5</v>
      </c>
      <c r="K358" s="9">
        <v>44960</v>
      </c>
      <c r="L358" s="8" t="s">
        <v>174</v>
      </c>
    </row>
    <row r="359" spans="1:12" ht="59.25">
      <c r="A359" s="1" t="str" cm="1">
        <f t="array" aca="1" ref="A359" ca="1">INDIRECT(_xlfn.CONCAT("$I", $F359))</f>
        <v>Kaldheim Minigames MKHM</v>
      </c>
      <c r="B359" s="1" cm="1">
        <f t="array" aca="1" ref="B359" ca="1">INDIRECT(_xlfn.CONCAT("$J", $F359))</f>
        <v>5</v>
      </c>
      <c r="C359" s="1" cm="1">
        <f t="array" aca="1" ref="C359" ca="1">INDIRECT(_xlfn.CONCAT("$K", $F359))</f>
        <v>44232</v>
      </c>
      <c r="D359" s="1"/>
      <c r="E359" s="1" t="str" cm="1">
        <f t="array" aca="1" ref="E359" ca="1">INDIRECT(_xlfn.CONCAT("$L", $F359))</f>
        <v>en es fr de it pt ja ko ru 汉语 漢語</v>
      </c>
      <c r="F359" s="1" cm="1">
        <f t="array" aca="1" ref="F359" ca="1">IF(NOT(OR(ISERROR(INDIRECT(_xlfn.CONCAT("$I", $F358 + 1))), ISBLANK(INDIRECT(_xlfn.CONCAT("$I", $F358 + 1))))), $F358 + 1, IF(NOT(ISBLANK(INDIRECT(_xlfn.CONCAT("$I", $F358 + 2)))), $F358 + 2, ""))</f>
        <v>662</v>
      </c>
    </row>
    <row r="360" spans="1:12" ht="59.25">
      <c r="A360" s="1" t="str" cm="1">
        <f t="array" aca="1" ref="A360" ca="1">INDIRECT(_xlfn.CONCAT("$I", $F360))</f>
        <v>Kaldheim Substitute Cards SKHM</v>
      </c>
      <c r="B360" s="1" cm="1">
        <f t="array" aca="1" ref="B360" ca="1">INDIRECT(_xlfn.CONCAT("$J", $F360))</f>
        <v>9</v>
      </c>
      <c r="C360" s="1" cm="1">
        <f t="array" aca="1" ref="C360" ca="1">INDIRECT(_xlfn.CONCAT("$K", $F360))</f>
        <v>44232</v>
      </c>
      <c r="D360" s="1"/>
      <c r="E360" s="1" t="str" cm="1">
        <f t="array" aca="1" ref="E360" ca="1">INDIRECT(_xlfn.CONCAT("$L", $F360))</f>
        <v>en es fr de it pt ja ko ru 汉语 漢語</v>
      </c>
      <c r="F360" s="1" cm="1">
        <f t="array" aca="1" ref="F360" ca="1">IF(NOT(OR(ISERROR(INDIRECT(_xlfn.CONCAT("$I", $F359 + 1))), ISBLANK(INDIRECT(_xlfn.CONCAT("$I", $F359 + 1))))), $F359 + 1, IF(NOT(ISBLANK(INDIRECT(_xlfn.CONCAT("$I", $F359 + 2)))), $F359 + 2, ""))</f>
        <v>664</v>
      </c>
      <c r="I360" s="8" t="s">
        <v>361</v>
      </c>
      <c r="J360" s="8">
        <v>6</v>
      </c>
      <c r="K360" s="9">
        <v>44953</v>
      </c>
      <c r="L360" s="8" t="s">
        <v>174</v>
      </c>
    </row>
    <row r="361" spans="1:12" ht="59.25">
      <c r="A361" s="1" t="str" cm="1">
        <f t="array" aca="1" ref="A361" ca="1">INDIRECT(_xlfn.CONCAT("$I", $F361))</f>
        <v>Kaldheim Commander KHC</v>
      </c>
      <c r="B361" s="1" cm="1">
        <f t="array" aca="1" ref="B361" ca="1">INDIRECT(_xlfn.CONCAT("$J", $F361))</f>
        <v>119</v>
      </c>
      <c r="C361" s="1" cm="1">
        <f t="array" aca="1" ref="C361" ca="1">INDIRECT(_xlfn.CONCAT("$K", $F361))</f>
        <v>44232</v>
      </c>
      <c r="D361" s="1"/>
      <c r="E361" s="1" t="str" cm="1">
        <f t="array" aca="1" ref="E361" ca="1">INDIRECT(_xlfn.CONCAT("$L", $F361))</f>
        <v>en es fr de it pt ja ko ru 汉语 漢語</v>
      </c>
      <c r="F361" s="1" cm="1">
        <f t="array" aca="1" ref="F361" ca="1">IF(NOT(OR(ISERROR(INDIRECT(_xlfn.CONCAT("$I", $F360 + 1))), ISBLANK(INDIRECT(_xlfn.CONCAT("$I", $F360 + 1))))), $F360 + 1, IF(NOT(ISBLANK(INDIRECT(_xlfn.CONCAT("$I", $F360 + 2)))), $F360 + 2, ""))</f>
        <v>666</v>
      </c>
    </row>
    <row r="362" spans="1:12" ht="59.25">
      <c r="A362" s="1" t="str" cm="1">
        <f t="array" aca="1" ref="A362" ca="1">INDIRECT(_xlfn.CONCAT("$I", $F362))</f>
        <v>Kaldheim Commander Tokens TKHC</v>
      </c>
      <c r="B362" s="1" cm="1">
        <f t="array" aca="1" ref="B362" ca="1">INDIRECT(_xlfn.CONCAT("$J", $F362))</f>
        <v>8</v>
      </c>
      <c r="C362" s="1" cm="1">
        <f t="array" aca="1" ref="C362" ca="1">INDIRECT(_xlfn.CONCAT("$K", $F362))</f>
        <v>44232</v>
      </c>
      <c r="D362" s="1"/>
      <c r="E362" s="1" t="str" cm="1">
        <f t="array" aca="1" ref="E362" ca="1">INDIRECT(_xlfn.CONCAT("$L", $F362))</f>
        <v>en es fr de it pt ja ko ru 汉语 漢語</v>
      </c>
      <c r="F362" s="1" cm="1">
        <f t="array" aca="1" ref="F362" ca="1">IF(NOT(OR(ISERROR(INDIRECT(_xlfn.CONCAT("$I", $F361 + 1))), ISBLANK(INDIRECT(_xlfn.CONCAT("$I", $F361 + 1))))), $F361 + 1, IF(NOT(ISBLANK(INDIRECT(_xlfn.CONCAT("$I", $F361 + 2)))), $F361 + 2, ""))</f>
        <v>668</v>
      </c>
      <c r="I362" s="8" t="s">
        <v>362</v>
      </c>
      <c r="J362" s="8">
        <v>457</v>
      </c>
      <c r="K362" s="9">
        <v>44939</v>
      </c>
      <c r="L362" t="s">
        <v>174</v>
      </c>
    </row>
    <row r="363" spans="1:12" ht="59.25">
      <c r="A363" s="1" t="str" cm="1">
        <f t="array" aca="1" ref="A363" ca="1">INDIRECT(_xlfn.CONCAT("$I", $F363))</f>
        <v>Kaldheim Art Series AKHM</v>
      </c>
      <c r="B363" s="1" cm="1">
        <f t="array" aca="1" ref="B363" ca="1">INDIRECT(_xlfn.CONCAT("$J", $F363))</f>
        <v>81</v>
      </c>
      <c r="C363" s="1" cm="1">
        <f t="array" aca="1" ref="C363" ca="1">INDIRECT(_xlfn.CONCAT("$K", $F363))</f>
        <v>44232</v>
      </c>
      <c r="D363" s="1"/>
      <c r="E363" s="1" t="str" cm="1">
        <f t="array" aca="1" ref="E363" ca="1">INDIRECT(_xlfn.CONCAT("$L", $F363))</f>
        <v>en es fr de it pt ja ko ru 汉语 漢語</v>
      </c>
      <c r="F363" s="1" cm="1">
        <f t="array" aca="1" ref="F363" ca="1">IF(NOT(OR(ISERROR(INDIRECT(_xlfn.CONCAT("$I", $F362 + 1))), ISBLANK(INDIRECT(_xlfn.CONCAT("$I", $F362 + 1))))), $F362 + 1, IF(NOT(ISBLANK(INDIRECT(_xlfn.CONCAT("$I", $F362 + 2)))), $F362 + 2, ""))</f>
        <v>670</v>
      </c>
    </row>
    <row r="364" spans="1:12" ht="59.25">
      <c r="A364" s="1" t="str" cm="1">
        <f t="array" aca="1" ref="A364" ca="1">INDIRECT(_xlfn.CONCAT("$I", $F364))</f>
        <v>Year of the Ox 2021 PL21</v>
      </c>
      <c r="B364" s="1" cm="1">
        <f t="array" aca="1" ref="B364" ca="1">INDIRECT(_xlfn.CONCAT("$J", $F364))</f>
        <v>6</v>
      </c>
      <c r="C364" s="1" cm="1">
        <f t="array" aca="1" ref="C364" ca="1">INDIRECT(_xlfn.CONCAT("$K", $F364))</f>
        <v>44221</v>
      </c>
      <c r="D364" s="1"/>
      <c r="E364" s="1" t="str" cm="1">
        <f t="array" aca="1" ref="E364" ca="1">INDIRECT(_xlfn.CONCAT("$L", $F364))</f>
        <v>en es fr de it pt ja ko ru 汉语 漢語</v>
      </c>
      <c r="F364" s="1" cm="1">
        <f t="array" aca="1" ref="F364" ca="1">IF(NOT(OR(ISERROR(INDIRECT(_xlfn.CONCAT("$I", $F363 + 1))), ISBLANK(INDIRECT(_xlfn.CONCAT("$I", $F363 + 1))))), $F363 + 1, IF(NOT(ISBLANK(INDIRECT(_xlfn.CONCAT("$I", $F363 + 2)))), $F363 + 2, ""))</f>
        <v>672</v>
      </c>
      <c r="I364" s="8" t="s">
        <v>363</v>
      </c>
      <c r="J364" s="8">
        <v>14</v>
      </c>
      <c r="K364" s="9">
        <v>44939</v>
      </c>
      <c r="L364" s="8" t="s">
        <v>174</v>
      </c>
    </row>
    <row r="365" spans="1:12" ht="59.25">
      <c r="A365" s="1" t="str" cm="1">
        <f t="array" aca="1" ref="A365" ca="1">INDIRECT(_xlfn.CONCAT("$I", $F365))</f>
        <v>Judge Gift Cards 2021 PJ21</v>
      </c>
      <c r="B365" s="1" cm="1">
        <f t="array" aca="1" ref="B365" ca="1">INDIRECT(_xlfn.CONCAT("$J", $F365))</f>
        <v>10</v>
      </c>
      <c r="C365" s="1" cm="1">
        <f t="array" aca="1" ref="C365" ca="1">INDIRECT(_xlfn.CONCAT("$K", $F365))</f>
        <v>44197</v>
      </c>
      <c r="D365" s="1"/>
      <c r="E365" s="1" t="str" cm="1">
        <f t="array" aca="1" ref="E365" ca="1">INDIRECT(_xlfn.CONCAT("$L", $F365))</f>
        <v>en es fr de it pt ja ko ru 汉语 漢語</v>
      </c>
      <c r="F365" s="1" cm="1">
        <f t="array" aca="1" ref="F365" ca="1">IF(NOT(OR(ISERROR(INDIRECT(_xlfn.CONCAT("$I", $F364 + 1))), ISBLANK(INDIRECT(_xlfn.CONCAT("$I", $F364 + 1))))), $F364 + 1, IF(NOT(ISBLANK(INDIRECT(_xlfn.CONCAT("$I", $F364 + 2)))), $F364 + 2, ""))</f>
        <v>674</v>
      </c>
    </row>
    <row r="366" spans="1:12" ht="59.25">
      <c r="A366" s="1" t="str" cm="1">
        <f t="array" aca="1" ref="A366" ca="1">INDIRECT(_xlfn.CONCAT("$I", $F366))</f>
        <v>Commander Collection: Green CC1</v>
      </c>
      <c r="B366" s="1" cm="1">
        <f t="array" aca="1" ref="B366" ca="1">INDIRECT(_xlfn.CONCAT("$J", $F366))</f>
        <v>8</v>
      </c>
      <c r="C366" s="1" cm="1">
        <f t="array" aca="1" ref="C366" ca="1">INDIRECT(_xlfn.CONCAT("$K", $F366))</f>
        <v>44169</v>
      </c>
      <c r="D366" s="1"/>
      <c r="E366" s="1" t="str" cm="1">
        <f t="array" aca="1" ref="E366" ca="1">INDIRECT(_xlfn.CONCAT("$L", $F366))</f>
        <v>en es fr de it pt ja ko ru 汉语 漢語</v>
      </c>
      <c r="F366" s="1" cm="1">
        <f t="array" aca="1" ref="F366" ca="1">IF(NOT(OR(ISERROR(INDIRECT(_xlfn.CONCAT("$I", $F365 + 1))), ISBLANK(INDIRECT(_xlfn.CONCAT("$I", $F365 + 1))))), $F365 + 1, IF(NOT(ISBLANK(INDIRECT(_xlfn.CONCAT("$I", $F365 + 2)))), $F365 + 2, ""))</f>
        <v>676</v>
      </c>
      <c r="I366" s="8" t="s">
        <v>364</v>
      </c>
      <c r="J366" s="8">
        <v>3</v>
      </c>
      <c r="K366" s="9">
        <v>44933</v>
      </c>
      <c r="L366" s="8" t="s">
        <v>174</v>
      </c>
    </row>
    <row r="367" spans="1:12" ht="59.25">
      <c r="A367" s="1" t="str" cm="1">
        <f t="array" aca="1" ref="A367" ca="1">INDIRECT(_xlfn.CONCAT("$I", $F367))</f>
        <v>Commander Legends CMR</v>
      </c>
      <c r="B367" s="1" cm="1">
        <f t="array" aca="1" ref="B367" ca="1">INDIRECT(_xlfn.CONCAT("$J", $F367))</f>
        <v>718</v>
      </c>
      <c r="C367" s="1" cm="1">
        <f t="array" aca="1" ref="C367" ca="1">INDIRECT(_xlfn.CONCAT("$K", $F367))</f>
        <v>44155</v>
      </c>
      <c r="D367" s="1"/>
      <c r="E367" s="1" t="str" cm="1">
        <f t="array" aca="1" ref="E367" ca="1">INDIRECT(_xlfn.CONCAT("$L", $F367))</f>
        <v>en es fr de it pt ja ko ru 汉语 漢語</v>
      </c>
      <c r="F367" s="1" cm="1">
        <f t="array" aca="1" ref="F367" ca="1">IF(NOT(OR(ISERROR(INDIRECT(_xlfn.CONCAT("$I", $F366 + 1))), ISBLANK(INDIRECT(_xlfn.CONCAT("$I", $F366 + 1))))), $F366 + 1, IF(NOT(ISBLANK(INDIRECT(_xlfn.CONCAT("$I", $F366 + 2)))), $F366 + 2, ""))</f>
        <v>678</v>
      </c>
    </row>
    <row r="368" spans="1:12" ht="59.25">
      <c r="A368" s="1" t="str" cm="1">
        <f t="array" aca="1" ref="A368" ca="1">INDIRECT(_xlfn.CONCAT("$I", $F368))</f>
        <v>Commander Legends Promos PCMR</v>
      </c>
      <c r="B368" s="1" cm="1">
        <f t="array" aca="1" ref="B368" ca="1">INDIRECT(_xlfn.CONCAT("$J", $F368))</f>
        <v>6</v>
      </c>
      <c r="C368" s="1" cm="1">
        <f t="array" aca="1" ref="C368" ca="1">INDIRECT(_xlfn.CONCAT("$K", $F368))</f>
        <v>44155</v>
      </c>
      <c r="D368" s="1"/>
      <c r="E368" s="1" t="str" cm="1">
        <f t="array" aca="1" ref="E368" ca="1">INDIRECT(_xlfn.CONCAT("$L", $F368))</f>
        <v>en es fr de it pt ja ko ru 汉语 漢語</v>
      </c>
      <c r="F368" s="1" cm="1">
        <f t="array" aca="1" ref="F368" ca="1">IF(NOT(OR(ISERROR(INDIRECT(_xlfn.CONCAT("$I", $F367 + 1))), ISBLANK(INDIRECT(_xlfn.CONCAT("$I", $F367 + 1))))), $F367 + 1, IF(NOT(ISBLANK(INDIRECT(_xlfn.CONCAT("$I", $F367 + 2)))), $F367 + 2, ""))</f>
        <v>680</v>
      </c>
      <c r="I368" s="8" t="s">
        <v>365</v>
      </c>
      <c r="J368" s="8">
        <v>11</v>
      </c>
      <c r="K368" s="9">
        <v>44927</v>
      </c>
      <c r="L368" t="s">
        <v>174</v>
      </c>
    </row>
    <row r="369" spans="1:12" ht="59.25">
      <c r="A369" s="1" t="str" cm="1">
        <f t="array" aca="1" ref="A369" ca="1">INDIRECT(_xlfn.CONCAT("$I", $F369))</f>
        <v>Commander Legends Tokens TCMR</v>
      </c>
      <c r="B369" s="1" cm="1">
        <f t="array" aca="1" ref="B369" ca="1">INDIRECT(_xlfn.CONCAT("$J", $F369))</f>
        <v>23</v>
      </c>
      <c r="C369" s="1" cm="1">
        <f t="array" aca="1" ref="C369" ca="1">INDIRECT(_xlfn.CONCAT("$K", $F369))</f>
        <v>44155</v>
      </c>
      <c r="D369" s="1"/>
      <c r="E369" s="1" t="str" cm="1">
        <f t="array" aca="1" ref="E369" ca="1">INDIRECT(_xlfn.CONCAT("$L", $F369))</f>
        <v>en es fr de it pt ja ko ru 汉语 漢語</v>
      </c>
      <c r="F369" s="1" cm="1">
        <f t="array" aca="1" ref="F369" ca="1">IF(NOT(OR(ISERROR(INDIRECT(_xlfn.CONCAT("$I", $F368 + 1))), ISBLANK(INDIRECT(_xlfn.CONCAT("$I", $F368 + 1))))), $F368 + 1, IF(NOT(ISBLANK(INDIRECT(_xlfn.CONCAT("$I", $F368 + 2)))), $F368 + 2, ""))</f>
        <v>682</v>
      </c>
    </row>
    <row r="370" spans="1:12" ht="59.25">
      <c r="A370" s="1" t="str" cm="1">
        <f t="array" aca="1" ref="A370" ca="1">INDIRECT(_xlfn.CONCAT("$I", $F370))</f>
        <v>Kaladesh Remastered KLR</v>
      </c>
      <c r="B370" s="1" cm="1">
        <f t="array" aca="1" ref="B370" ca="1">INDIRECT(_xlfn.CONCAT("$J", $F370))</f>
        <v>302</v>
      </c>
      <c r="C370" s="1" cm="1">
        <f t="array" aca="1" ref="C370" ca="1">INDIRECT(_xlfn.CONCAT("$K", $F370))</f>
        <v>44147</v>
      </c>
      <c r="D370" s="1"/>
      <c r="E370" s="1" t="str" cm="1">
        <f t="array" aca="1" ref="E370" ca="1">INDIRECT(_xlfn.CONCAT("$L", $F370))</f>
        <v>en es fr de it pt ja ko ru 汉语 漢語</v>
      </c>
      <c r="F370" s="1" cm="1">
        <f t="array" aca="1" ref="F370" ca="1">IF(NOT(OR(ISERROR(INDIRECT(_xlfn.CONCAT("$I", $F369 + 1))), ISBLANK(INDIRECT(_xlfn.CONCAT("$I", $F369 + 1))))), $F369 + 1, IF(NOT(ISBLANK(INDIRECT(_xlfn.CONCAT("$I", $F369 + 2)))), $F369 + 2, ""))</f>
        <v>684</v>
      </c>
      <c r="I370" s="8" t="s">
        <v>366</v>
      </c>
      <c r="J370" s="8">
        <v>10</v>
      </c>
      <c r="K370" s="9">
        <v>44927</v>
      </c>
      <c r="L370" s="8" t="s">
        <v>174</v>
      </c>
    </row>
    <row r="371" spans="1:12" ht="59.25">
      <c r="A371" s="1" t="str" cm="1">
        <f t="array" aca="1" ref="A371" ca="1">INDIRECT(_xlfn.CONCAT("$I", $F371))</f>
        <v>The List PLST</v>
      </c>
      <c r="B371" s="1" cm="1">
        <f t="array" aca="1" ref="B371" ca="1">INDIRECT(_xlfn.CONCAT("$J", $F371))</f>
        <v>5050</v>
      </c>
      <c r="C371" s="1" cm="1">
        <f t="array" aca="1" ref="C371" ca="1">INDIRECT(_xlfn.CONCAT("$K", $F371))</f>
        <v>44100</v>
      </c>
      <c r="D371" s="1"/>
      <c r="E371" s="1" t="str" cm="1">
        <f t="array" aca="1" ref="E371" ca="1">INDIRECT(_xlfn.CONCAT("$L", $F371))</f>
        <v>en es fr de it pt ja ko ru 汉语 漢語</v>
      </c>
      <c r="F371" s="1" cm="1">
        <f t="array" aca="1" ref="F371" ca="1">IF(NOT(OR(ISERROR(INDIRECT(_xlfn.CONCAT("$I", $F370 + 1))), ISBLANK(INDIRECT(_xlfn.CONCAT("$I", $F370 + 1))))), $F370 + 1, IF(NOT(ISBLANK(INDIRECT(_xlfn.CONCAT("$I", $F370 + 2)))), $F370 + 2, ""))</f>
        <v>686</v>
      </c>
    </row>
    <row r="372" spans="1:12" ht="68.25">
      <c r="A372" s="1" t="str" cm="1">
        <f t="array" aca="1" ref="A372" ca="1">INDIRECT(_xlfn.CONCAT("$I", $F372))</f>
        <v>The List (Unfinity Foil Edition) ULST</v>
      </c>
      <c r="B372" s="1" cm="1">
        <f t="array" aca="1" ref="B372" ca="1">INDIRECT(_xlfn.CONCAT("$J", $F372))</f>
        <v>62</v>
      </c>
      <c r="C372" s="1" cm="1">
        <f t="array" aca="1" ref="C372" ca="1">INDIRECT(_xlfn.CONCAT("$K", $F372))</f>
        <v>44841</v>
      </c>
      <c r="D372" s="1"/>
      <c r="E372" s="1" t="str" cm="1">
        <f t="array" aca="1" ref="E372" ca="1">INDIRECT(_xlfn.CONCAT("$L", $F372))</f>
        <v>en es fr de it pt ja ko ru 汉语 漢語</v>
      </c>
      <c r="F372" s="1" cm="1">
        <f t="array" aca="1" ref="F372" ca="1">IF(NOT(OR(ISERROR(INDIRECT(_xlfn.CONCAT("$I", $F371 + 1))), ISBLANK(INDIRECT(_xlfn.CONCAT("$I", $F371 + 1))))), $F371 + 1, IF(NOT(ISBLANK(INDIRECT(_xlfn.CONCAT("$I", $F371 + 2)))), $F371 + 2, ""))</f>
        <v>688</v>
      </c>
      <c r="I372" s="8" t="s">
        <v>367</v>
      </c>
      <c r="J372" s="8">
        <v>25</v>
      </c>
      <c r="K372" s="9">
        <v>44908</v>
      </c>
      <c r="L372" s="8" t="s">
        <v>174</v>
      </c>
    </row>
    <row r="373" spans="1:12" ht="59.25">
      <c r="A373" s="1" t="str" cm="1">
        <f t="array" aca="1" ref="A373" ca="1">INDIRECT(_xlfn.CONCAT("$I", $F373))</f>
        <v>Zendikar Rising ZNR</v>
      </c>
      <c r="B373" s="1" cm="1">
        <f t="array" aca="1" ref="B373" ca="1">INDIRECT(_xlfn.CONCAT("$J", $F373))</f>
        <v>408</v>
      </c>
      <c r="C373" s="1" cm="1">
        <f t="array" aca="1" ref="C373" ca="1">INDIRECT(_xlfn.CONCAT("$K", $F373))</f>
        <v>44099</v>
      </c>
      <c r="D373" s="1"/>
      <c r="E373" s="1" t="str" cm="1">
        <f t="array" aca="1" ref="E373" ca="1">INDIRECT(_xlfn.CONCAT("$L", $F373))</f>
        <v>en es fr de it pt ja ko ru 汉语 漢語</v>
      </c>
      <c r="F373" s="1" cm="1">
        <f t="array" aca="1" ref="F373" ca="1">IF(NOT(OR(ISERROR(INDIRECT(_xlfn.CONCAT("$I", $F372 + 1))), ISBLANK(INDIRECT(_xlfn.CONCAT("$I", $F372 + 1))))), $F372 + 1, IF(NOT(ISBLANK(INDIRECT(_xlfn.CONCAT("$I", $F372 + 2)))), $F372 + 2, ""))</f>
        <v>690</v>
      </c>
    </row>
    <row r="374" spans="1:12" ht="59.25">
      <c r="A374" s="1" t="str" cm="1">
        <f t="array" aca="1" ref="A374" ca="1">INDIRECT(_xlfn.CONCAT("$I", $F374))</f>
        <v>Zendikar Rising Expeditions ZNE</v>
      </c>
      <c r="B374" s="1" cm="1">
        <f t="array" aca="1" ref="B374" ca="1">INDIRECT(_xlfn.CONCAT("$J", $F374))</f>
        <v>30</v>
      </c>
      <c r="C374" s="1" cm="1">
        <f t="array" aca="1" ref="C374" ca="1">INDIRECT(_xlfn.CONCAT("$K", $F374))</f>
        <v>44099</v>
      </c>
      <c r="D374" s="1"/>
      <c r="E374" s="1" t="str" cm="1">
        <f t="array" aca="1" ref="E374" ca="1">INDIRECT(_xlfn.CONCAT("$L", $F374))</f>
        <v>en es fr de it pt ja ko ru 汉语 漢語</v>
      </c>
      <c r="F374" s="1" cm="1">
        <f t="array" aca="1" ref="F374" ca="1">IF(NOT(OR(ISERROR(INDIRECT(_xlfn.CONCAT("$I", $F373 + 1))), ISBLANK(INDIRECT(_xlfn.CONCAT("$I", $F373 + 1))))), $F373 + 1, IF(NOT(ISBLANK(INDIRECT(_xlfn.CONCAT("$I", $F373 + 2)))), $F373 + 2, ""))</f>
        <v>692</v>
      </c>
      <c r="I374" s="8" t="s">
        <v>368</v>
      </c>
      <c r="J374" s="8">
        <v>352</v>
      </c>
      <c r="K374" s="9">
        <v>44897</v>
      </c>
      <c r="L374" s="8" t="s">
        <v>174</v>
      </c>
    </row>
    <row r="375" spans="1:12" ht="59.25">
      <c r="A375" s="1" t="str" cm="1">
        <f t="array" aca="1" ref="A375" ca="1">INDIRECT(_xlfn.CONCAT("$I", $F375))</f>
        <v>Zendikar Rising Promos PZNR</v>
      </c>
      <c r="B375" s="1" cm="1">
        <f t="array" aca="1" ref="B375" ca="1">INDIRECT(_xlfn.CONCAT("$J", $F375))</f>
        <v>153</v>
      </c>
      <c r="C375" s="1" cm="1">
        <f t="array" aca="1" ref="C375" ca="1">INDIRECT(_xlfn.CONCAT("$K", $F375))</f>
        <v>44099</v>
      </c>
      <c r="D375" s="1"/>
      <c r="E375" s="1" t="str" cm="1">
        <f t="array" aca="1" ref="E375" ca="1">INDIRECT(_xlfn.CONCAT("$L", $F375))</f>
        <v>en es fr de it pt ja ko ru 汉语 漢語</v>
      </c>
      <c r="F375" s="1" cm="1">
        <f t="array" aca="1" ref="F375" ca="1">IF(NOT(OR(ISERROR(INDIRECT(_xlfn.CONCAT("$I", $F374 + 1))), ISBLANK(INDIRECT(_xlfn.CONCAT("$I", $F374 + 1))))), $F374 + 1, IF(NOT(ISBLANK(INDIRECT(_xlfn.CONCAT("$I", $F374 + 2)))), $F374 + 2, ""))</f>
        <v>694</v>
      </c>
    </row>
    <row r="376" spans="1:12" ht="59.25">
      <c r="A376" s="1" t="str" cm="1">
        <f t="array" aca="1" ref="A376" ca="1">INDIRECT(_xlfn.CONCAT("$I", $F376))</f>
        <v>Zendikar Rising Tokens TZNR</v>
      </c>
      <c r="B376" s="1" cm="1">
        <f t="array" aca="1" ref="B376" ca="1">INDIRECT(_xlfn.CONCAT("$J", $F376))</f>
        <v>12</v>
      </c>
      <c r="C376" s="1" cm="1">
        <f t="array" aca="1" ref="C376" ca="1">INDIRECT(_xlfn.CONCAT("$K", $F376))</f>
        <v>44099</v>
      </c>
      <c r="D376" s="1"/>
      <c r="E376" s="1" t="str" cm="1">
        <f t="array" aca="1" ref="E376" ca="1">INDIRECT(_xlfn.CONCAT("$L", $F376))</f>
        <v>en es fr de it pt ja ko ru 汉语 漢語</v>
      </c>
      <c r="F376" s="1" cm="1">
        <f t="array" aca="1" ref="F376" ca="1">IF(NOT(OR(ISERROR(INDIRECT(_xlfn.CONCAT("$I", $F375 + 1))), ISBLANK(INDIRECT(_xlfn.CONCAT("$I", $F375 + 1))))), $F375 + 1, IF(NOT(ISBLANK(INDIRECT(_xlfn.CONCAT("$I", $F375 + 2)))), $F375 + 2, ""))</f>
        <v>696</v>
      </c>
      <c r="I376" s="8" t="s">
        <v>369</v>
      </c>
      <c r="J376" s="8">
        <v>27</v>
      </c>
      <c r="K376" s="9">
        <v>44897</v>
      </c>
      <c r="L376" s="8" t="s">
        <v>174</v>
      </c>
    </row>
    <row r="377" spans="1:12" ht="59.25">
      <c r="A377" s="1" t="str" cm="1">
        <f t="array" aca="1" ref="A377" ca="1">INDIRECT(_xlfn.CONCAT("$I", $F377))</f>
        <v>Zendikar Rising Art Series AZNR</v>
      </c>
      <c r="B377" s="1" cm="1">
        <f t="array" aca="1" ref="B377" ca="1">INDIRECT(_xlfn.CONCAT("$J", $F377))</f>
        <v>81</v>
      </c>
      <c r="C377" s="1" cm="1">
        <f t="array" aca="1" ref="C377" ca="1">INDIRECT(_xlfn.CONCAT("$K", $F377))</f>
        <v>44099</v>
      </c>
      <c r="D377" s="1"/>
      <c r="E377" s="1" t="str" cm="1">
        <f t="array" aca="1" ref="E377" ca="1">INDIRECT(_xlfn.CONCAT("$L", $F377))</f>
        <v>en es fr de it pt ja ko ru 汉语 漢語</v>
      </c>
      <c r="F377" s="1" cm="1">
        <f t="array" aca="1" ref="F377" ca="1">IF(NOT(OR(ISERROR(INDIRECT(_xlfn.CONCAT("$I", $F376 + 1))), ISBLANK(INDIRECT(_xlfn.CONCAT("$I", $F376 + 1))))), $F376 + 1, IF(NOT(ISBLANK(INDIRECT(_xlfn.CONCAT("$I", $F376 + 2)))), $F376 + 2, ""))</f>
        <v>698</v>
      </c>
    </row>
    <row r="378" spans="1:12" ht="59.25">
      <c r="A378" s="1" t="str" cm="1">
        <f t="array" aca="1" ref="A378" ca="1">INDIRECT(_xlfn.CONCAT("$I", $F378))</f>
        <v>Zendikar Rising Minigames MZNR</v>
      </c>
      <c r="B378" s="1" cm="1">
        <f t="array" aca="1" ref="B378" ca="1">INDIRECT(_xlfn.CONCAT("$J", $F378))</f>
        <v>5</v>
      </c>
      <c r="C378" s="1" cm="1">
        <f t="array" aca="1" ref="C378" ca="1">INDIRECT(_xlfn.CONCAT("$K", $F378))</f>
        <v>44099</v>
      </c>
      <c r="D378" s="1"/>
      <c r="E378" s="1" t="str" cm="1">
        <f t="array" aca="1" ref="E378" ca="1">INDIRECT(_xlfn.CONCAT("$L", $F378))</f>
        <v>en es fr de it pt ja ko ru 汉语 漢語</v>
      </c>
      <c r="F378" s="1" cm="1">
        <f t="array" aca="1" ref="F378" ca="1">IF(NOT(OR(ISERROR(INDIRECT(_xlfn.CONCAT("$I", $F377 + 1))), ISBLANK(INDIRECT(_xlfn.CONCAT("$I", $F377 + 1))))), $F377 + 1, IF(NOT(ISBLANK(INDIRECT(_xlfn.CONCAT("$I", $F377 + 2)))), $F377 + 2, ""))</f>
        <v>700</v>
      </c>
      <c r="I378" s="8" t="s">
        <v>370</v>
      </c>
      <c r="J378" s="8">
        <v>835</v>
      </c>
      <c r="K378" s="9">
        <v>44897</v>
      </c>
      <c r="L378" t="s">
        <v>174</v>
      </c>
    </row>
    <row r="379" spans="1:12" ht="59.25">
      <c r="A379" s="1" t="str" cm="1">
        <f t="array" aca="1" ref="A379" ca="1">INDIRECT(_xlfn.CONCAT("$I", $F379))</f>
        <v>Zendikar Rising Commander ZNC</v>
      </c>
      <c r="B379" s="1" cm="1">
        <f t="array" aca="1" ref="B379" ca="1">INDIRECT(_xlfn.CONCAT("$J", $F379))</f>
        <v>142</v>
      </c>
      <c r="C379" s="1" cm="1">
        <f t="array" aca="1" ref="C379" ca="1">INDIRECT(_xlfn.CONCAT("$K", $F379))</f>
        <v>44099</v>
      </c>
      <c r="D379" s="1"/>
      <c r="E379" s="1" t="str" cm="1">
        <f t="array" aca="1" ref="E379" ca="1">INDIRECT(_xlfn.CONCAT("$L", $F379))</f>
        <v>en es fr de it pt ja ko ru 汉语 漢語</v>
      </c>
      <c r="F379" s="1" cm="1">
        <f t="array" aca="1" ref="F379" ca="1">IF(NOT(OR(ISERROR(INDIRECT(_xlfn.CONCAT("$I", $F378 + 1))), ISBLANK(INDIRECT(_xlfn.CONCAT("$I", $F378 + 1))))), $F378 + 1, IF(NOT(ISBLANK(INDIRECT(_xlfn.CONCAT("$I", $F378 + 2)))), $F378 + 2, ""))</f>
        <v>702</v>
      </c>
    </row>
    <row r="380" spans="1:12" ht="68.25">
      <c r="A380" s="1" t="str" cm="1">
        <f t="array" aca="1" ref="A380" ca="1">INDIRECT(_xlfn.CONCAT("$I", $F380))</f>
        <v>Zendikar Rising Commander Tokens TZNC</v>
      </c>
      <c r="B380" s="1" cm="1">
        <f t="array" aca="1" ref="B380" ca="1">INDIRECT(_xlfn.CONCAT("$J", $F380))</f>
        <v>11</v>
      </c>
      <c r="C380" s="1" cm="1">
        <f t="array" aca="1" ref="C380" ca="1">INDIRECT(_xlfn.CONCAT("$K", $F380))</f>
        <v>44099</v>
      </c>
      <c r="D380" s="1"/>
      <c r="E380" s="1" t="str" cm="1">
        <f t="array" aca="1" ref="E380" ca="1">INDIRECT(_xlfn.CONCAT("$L", $F380))</f>
        <v>en es fr de it pt ja ko ru 汉语 漢語</v>
      </c>
      <c r="F380" s="1" cm="1">
        <f t="array" aca="1" ref="F380" ca="1">IF(NOT(OR(ISERROR(INDIRECT(_xlfn.CONCAT("$I", $F379 + 1))), ISBLANK(INDIRECT(_xlfn.CONCAT("$I", $F379 + 1))))), $F379 + 1, IF(NOT(ISBLANK(INDIRECT(_xlfn.CONCAT("$I", $F379 + 2)))), $F379 + 2, ""))</f>
        <v>704</v>
      </c>
      <c r="I380" s="8" t="s">
        <v>371</v>
      </c>
      <c r="J380" s="8">
        <v>46</v>
      </c>
      <c r="K380" s="9">
        <v>44897</v>
      </c>
      <c r="L380" s="8" t="s">
        <v>174</v>
      </c>
    </row>
    <row r="381" spans="1:12" ht="68.25">
      <c r="A381" s="1" t="str" cm="1">
        <f t="array" aca="1" ref="A381" ca="1">INDIRECT(_xlfn.CONCAT("$I", $F381))</f>
        <v>Zendikar Rising Substitute Cards SZNR</v>
      </c>
      <c r="B381" s="1" cm="1">
        <f t="array" aca="1" ref="B381" ca="1">INDIRECT(_xlfn.CONCAT("$J", $F381))</f>
        <v>9</v>
      </c>
      <c r="C381" s="1" cm="1">
        <f t="array" aca="1" ref="C381" ca="1">INDIRECT(_xlfn.CONCAT("$K", $F381))</f>
        <v>44099</v>
      </c>
      <c r="D381" s="1"/>
      <c r="E381" s="1" t="str" cm="1">
        <f t="array" aca="1" ref="E381" ca="1">INDIRECT(_xlfn.CONCAT("$L", $F381))</f>
        <v>en es fr de it pt ja ko ru 汉语 漢語</v>
      </c>
      <c r="F381" s="1" cm="1">
        <f t="array" aca="1" ref="F381" ca="1">IF(NOT(OR(ISERROR(INDIRECT(_xlfn.CONCAT("$I", $F380 + 1))), ISBLANK(INDIRECT(_xlfn.CONCAT("$I", $F380 + 1))))), $F380 + 1, IF(NOT(ISBLANK(INDIRECT(_xlfn.CONCAT("$I", $F380 + 2)))), $F380 + 2, ""))</f>
        <v>706</v>
      </c>
    </row>
    <row r="382" spans="1:12" ht="54.75">
      <c r="A382" s="1" t="str" cm="1">
        <f t="array" aca="1" ref="A382" ca="1">INDIRECT(_xlfn.CONCAT("$I", $F382))</f>
        <v>Live the Dream LIVETHEDREAM</v>
      </c>
      <c r="B382" s="1" cm="1">
        <f t="array" aca="1" ref="B382" ca="1">INDIRECT(_xlfn.CONCAT("$J", $F382))</f>
        <v>540</v>
      </c>
      <c r="C382" s="1" cm="1">
        <f t="array" aca="1" ref="C382" ca="1">INDIRECT(_xlfn.CONCAT("$K", $F382))</f>
        <v>44083</v>
      </c>
      <c r="D382" s="1"/>
      <c r="E382" s="1" cm="1">
        <f t="array" aca="1" ref="E382" ca="1">INDIRECT(_xlfn.CONCAT("$L", $F382))</f>
        <v>0</v>
      </c>
      <c r="F382" s="1" cm="1">
        <f t="array" aca="1" ref="F382" ca="1">IF(NOT(OR(ISERROR(INDIRECT(_xlfn.CONCAT("$I", $F381 + 1))), ISBLANK(INDIRECT(_xlfn.CONCAT("$I", $F381 + 1))))), $F381 + 1, IF(NOT(ISBLANK(INDIRECT(_xlfn.CONCAT("$I", $F381 + 2)))), $F381 + 2, ""))</f>
        <v>708</v>
      </c>
      <c r="I382" s="8" t="s">
        <v>372</v>
      </c>
      <c r="J382" s="8">
        <v>594</v>
      </c>
      <c r="K382" s="9">
        <v>44893</v>
      </c>
      <c r="L382" s="8" t="s">
        <v>174</v>
      </c>
    </row>
    <row r="383" spans="1:12" ht="41.25">
      <c r="A383" s="1" t="str" cm="1">
        <f t="array" aca="1" ref="A383" ca="1">INDIRECT(_xlfn.CONCAT("$I", $F383))</f>
        <v>Tinkerer's Cube TINKERER</v>
      </c>
      <c r="B383" s="1" cm="1">
        <f t="array" aca="1" ref="B383" ca="1">INDIRECT(_xlfn.CONCAT("$J", $F383))</f>
        <v>540</v>
      </c>
      <c r="C383" s="1" cm="1">
        <f t="array" aca="1" ref="C383" ca="1">INDIRECT(_xlfn.CONCAT("$K", $F383))</f>
        <v>44077</v>
      </c>
      <c r="D383" s="1"/>
      <c r="E383" s="1" cm="1">
        <f t="array" aca="1" ref="E383" ca="1">INDIRECT(_xlfn.CONCAT("$L", $F383))</f>
        <v>0</v>
      </c>
      <c r="F383" s="1" cm="1">
        <f t="array" aca="1" ref="F383" ca="1">IF(NOT(OR(ISERROR(INDIRECT(_xlfn.CONCAT("$I", $F382 + 1))), ISBLANK(INDIRECT(_xlfn.CONCAT("$I", $F382 + 1))))), $F382 + 1, IF(NOT(ISBLANK(INDIRECT(_xlfn.CONCAT("$I", $F382 + 2)))), $F382 + 2, ""))</f>
        <v>710</v>
      </c>
    </row>
    <row r="384" spans="1:12" ht="59.25">
      <c r="A384" s="1" t="str" cm="1">
        <f t="array" aca="1" ref="A384" ca="1">INDIRECT(_xlfn.CONCAT("$I", $F384))</f>
        <v>Amonkhet Remastered AKR</v>
      </c>
      <c r="B384" s="1" cm="1">
        <f t="array" aca="1" ref="B384" ca="1">INDIRECT(_xlfn.CONCAT("$J", $F384))</f>
        <v>339</v>
      </c>
      <c r="C384" s="1" cm="1">
        <f t="array" aca="1" ref="C384" ca="1">INDIRECT(_xlfn.CONCAT("$K", $F384))</f>
        <v>44056</v>
      </c>
      <c r="D384" s="1"/>
      <c r="E384" s="1" t="str" cm="1">
        <f t="array" aca="1" ref="E384" ca="1">INDIRECT(_xlfn.CONCAT("$L", $F384))</f>
        <v>en es fr de it pt ja ko ru 汉语 漢語</v>
      </c>
      <c r="F384" s="1" cm="1">
        <f t="array" aca="1" ref="F384" ca="1">IF(NOT(OR(ISERROR(INDIRECT(_xlfn.CONCAT("$I", $F383 + 1))), ISBLANK(INDIRECT(_xlfn.CONCAT("$I", $F383 + 1))))), $F383 + 1, IF(NOT(ISBLANK(INDIRECT(_xlfn.CONCAT("$I", $F383 + 2)))), $F383 + 2, ""))</f>
        <v>712</v>
      </c>
      <c r="I384" s="8" t="s">
        <v>373</v>
      </c>
      <c r="J384" s="8">
        <v>30</v>
      </c>
      <c r="K384" s="9">
        <v>44806</v>
      </c>
      <c r="L384" t="s">
        <v>174</v>
      </c>
    </row>
    <row r="385" spans="1:12" ht="59.25">
      <c r="A385" s="1" t="str" cm="1">
        <f t="array" aca="1" ref="A385" ca="1">INDIRECT(_xlfn.CONCAT("$I", $F385))</f>
        <v>Arena Beginner Set ANB</v>
      </c>
      <c r="B385" s="1" cm="1">
        <f t="array" aca="1" ref="B385" ca="1">INDIRECT(_xlfn.CONCAT("$J", $F385))</f>
        <v>120</v>
      </c>
      <c r="C385" s="1" cm="1">
        <f t="array" aca="1" ref="C385" ca="1">INDIRECT(_xlfn.CONCAT("$K", $F385))</f>
        <v>44056</v>
      </c>
      <c r="D385" s="1"/>
      <c r="E385" s="1" t="str" cm="1">
        <f t="array" aca="1" ref="E385" ca="1">INDIRECT(_xlfn.CONCAT("$L", $F385))</f>
        <v>en es fr de it pt ja ko ru 汉语 漢語</v>
      </c>
      <c r="F385" s="1" cm="1">
        <f t="array" aca="1" ref="F385" ca="1">IF(NOT(OR(ISERROR(INDIRECT(_xlfn.CONCAT("$I", $F384 + 1))), ISBLANK(INDIRECT(_xlfn.CONCAT("$I", $F384 + 1))))), $F384 + 1, IF(NOT(ISBLANK(INDIRECT(_xlfn.CONCAT("$I", $F384 + 2)))), $F384 + 2, ""))</f>
        <v>714</v>
      </c>
    </row>
    <row r="386" spans="1:12" ht="59.25">
      <c r="A386" s="1" t="str" cm="1">
        <f t="array" aca="1" ref="A386" ca="1">INDIRECT(_xlfn.CONCAT("$I", $F386))</f>
        <v>Double Masters 2XM</v>
      </c>
      <c r="B386" s="1" cm="1">
        <f t="array" aca="1" ref="B386" ca="1">INDIRECT(_xlfn.CONCAT("$J", $F386))</f>
        <v>384</v>
      </c>
      <c r="C386" s="1" cm="1">
        <f t="array" aca="1" ref="C386" ca="1">INDIRECT(_xlfn.CONCAT("$K", $F386))</f>
        <v>44050</v>
      </c>
      <c r="D386" s="1"/>
      <c r="E386" s="1" t="str" cm="1">
        <f t="array" aca="1" ref="E386" ca="1">INDIRECT(_xlfn.CONCAT("$L", $F386))</f>
        <v>en es fr de it pt ja ko ru 汉语 漢語</v>
      </c>
      <c r="F386" s="1" cm="1">
        <f t="array" aca="1" ref="F386" ca="1">IF(NOT(OR(ISERROR(INDIRECT(_xlfn.CONCAT("$I", $F385 + 1))), ISBLANK(INDIRECT(_xlfn.CONCAT("$I", $F385 + 1))))), $F385 + 1, IF(NOT(ISBLANK(INDIRECT(_xlfn.CONCAT("$I", $F385 + 2)))), $F385 + 2, ""))</f>
        <v>716</v>
      </c>
      <c r="I386" s="8" t="s">
        <v>374</v>
      </c>
      <c r="J386" s="8">
        <v>16</v>
      </c>
      <c r="K386" s="9">
        <v>44893</v>
      </c>
      <c r="L386" s="8" t="s">
        <v>174</v>
      </c>
    </row>
    <row r="387" spans="1:12" ht="59.25">
      <c r="A387" s="1" t="str" cm="1">
        <f t="array" aca="1" ref="A387" ca="1">INDIRECT(_xlfn.CONCAT("$I", $F387))</f>
        <v>Double Masters Tokens T2XM</v>
      </c>
      <c r="B387" s="1" cm="1">
        <f t="array" aca="1" ref="B387" ca="1">INDIRECT(_xlfn.CONCAT("$J", $F387))</f>
        <v>31</v>
      </c>
      <c r="C387" s="1" cm="1">
        <f t="array" aca="1" ref="C387" ca="1">INDIRECT(_xlfn.CONCAT("$K", $F387))</f>
        <v>44050</v>
      </c>
      <c r="D387" s="1"/>
      <c r="E387" s="1" t="str" cm="1">
        <f t="array" aca="1" ref="E387" ca="1">INDIRECT(_xlfn.CONCAT("$L", $F387))</f>
        <v>en es fr de it pt ja ko ru 汉语 漢語</v>
      </c>
      <c r="F387" s="1" cm="1">
        <f t="array" aca="1" ref="F387" ca="1">IF(NOT(OR(ISERROR(INDIRECT(_xlfn.CONCAT("$I", $F386 + 1))), ISBLANK(INDIRECT(_xlfn.CONCAT("$I", $F386 + 1))))), $F386 + 1, IF(NOT(ISBLANK(INDIRECT(_xlfn.CONCAT("$I", $F386 + 2)))), $F386 + 2, ""))</f>
        <v>718</v>
      </c>
    </row>
    <row r="388" spans="1:12" ht="59.25">
      <c r="A388" s="1" t="str" cm="1">
        <f t="array" aca="1" ref="A388" ca="1">INDIRECT(_xlfn.CONCAT("$I", $F388))</f>
        <v>2019 Heroes of the Realm PH19</v>
      </c>
      <c r="B388" s="1" cm="1">
        <f t="array" aca="1" ref="B388" ca="1">INDIRECT(_xlfn.CONCAT("$J", $F388))</f>
        <v>7</v>
      </c>
      <c r="C388" s="1" cm="1">
        <f t="array" aca="1" ref="C388" ca="1">INDIRECT(_xlfn.CONCAT("$K", $F388))</f>
        <v>44044</v>
      </c>
      <c r="D388" s="1"/>
      <c r="E388" s="1" t="str" cm="1">
        <f t="array" aca="1" ref="E388" ca="1">INDIRECT(_xlfn.CONCAT("$L", $F388))</f>
        <v>en es fr de it pt ja ko ru 汉语 漢語</v>
      </c>
      <c r="F388" s="1" cm="1">
        <f t="array" aca="1" ref="F388" ca="1">IF(NOT(OR(ISERROR(INDIRECT(_xlfn.CONCAT("$I", $F387 + 1))), ISBLANK(INDIRECT(_xlfn.CONCAT("$I", $F387 + 1))))), $F387 + 1, IF(NOT(ISBLANK(INDIRECT(_xlfn.CONCAT("$I", $F387 + 2)))), $F387 + 2, ""))</f>
        <v>720</v>
      </c>
      <c r="I388" s="8" t="s">
        <v>375</v>
      </c>
      <c r="J388" s="8">
        <v>2</v>
      </c>
      <c r="K388" s="9">
        <v>45170</v>
      </c>
      <c r="L388" s="8" t="s">
        <v>174</v>
      </c>
    </row>
    <row r="389" spans="1:12" ht="59.25">
      <c r="A389" s="1" t="str" cm="1">
        <f t="array" aca="1" ref="A389" ca="1">INDIRECT(_xlfn.CONCAT("$I", $F389))</f>
        <v>Jumpstart JMP</v>
      </c>
      <c r="B389" s="1" cm="1">
        <f t="array" aca="1" ref="B389" ca="1">INDIRECT(_xlfn.CONCAT("$J", $F389))</f>
        <v>497</v>
      </c>
      <c r="C389" s="1" cm="1">
        <f t="array" aca="1" ref="C389" ca="1">INDIRECT(_xlfn.CONCAT("$K", $F389))</f>
        <v>44029</v>
      </c>
      <c r="D389" s="1"/>
      <c r="E389" s="1" t="str" cm="1">
        <f t="array" aca="1" ref="E389" ca="1">INDIRECT(_xlfn.CONCAT("$L", $F389))</f>
        <v>en es fr de it pt ja ko ru 汉语 漢語</v>
      </c>
      <c r="F389" s="1" cm="1">
        <f t="array" aca="1" ref="F389" ca="1">IF(NOT(OR(ISERROR(INDIRECT(_xlfn.CONCAT("$I", $F388 + 1))), ISBLANK(INDIRECT(_xlfn.CONCAT("$I", $F388 + 1))))), $F388 + 1, IF(NOT(ISBLANK(INDIRECT(_xlfn.CONCAT("$I", $F388 + 2)))), $F388 + 2, ""))</f>
        <v>722</v>
      </c>
    </row>
    <row r="390" spans="1:12" ht="59.25">
      <c r="A390" s="1" t="str" cm="1">
        <f t="array" aca="1" ref="A390" ca="1">INDIRECT(_xlfn.CONCAT("$I", $F390))</f>
        <v>Jumpstart Arena Exclusives AJMP</v>
      </c>
      <c r="B390" s="1" cm="1">
        <f t="array" aca="1" ref="B390" ca="1">INDIRECT(_xlfn.CONCAT("$J", $F390))</f>
        <v>18</v>
      </c>
      <c r="C390" s="1" cm="1">
        <f t="array" aca="1" ref="C390" ca="1">INDIRECT(_xlfn.CONCAT("$K", $F390))</f>
        <v>44029</v>
      </c>
      <c r="D390" s="1"/>
      <c r="E390" s="1" t="str" cm="1">
        <f t="array" aca="1" ref="E390" ca="1">INDIRECT(_xlfn.CONCAT("$L", $F390))</f>
        <v>en es fr de it pt ja ko ru 汉语 漢語</v>
      </c>
      <c r="F390" s="1" cm="1">
        <f t="array" aca="1" ref="F390" ca="1">IF(NOT(OR(ISERROR(INDIRECT(_xlfn.CONCAT("$I", $F389 + 1))), ISBLANK(INDIRECT(_xlfn.CONCAT("$I", $F389 + 1))))), $F389 + 1, IF(NOT(ISBLANK(INDIRECT(_xlfn.CONCAT("$I", $F389 + 2)))), $F389 + 2, ""))</f>
        <v>724</v>
      </c>
      <c r="I390" s="8" t="s">
        <v>376</v>
      </c>
      <c r="J390" s="8">
        <v>10</v>
      </c>
      <c r="K390" s="9">
        <v>44813</v>
      </c>
      <c r="L390" t="s">
        <v>174</v>
      </c>
    </row>
    <row r="391" spans="1:12" ht="59.25">
      <c r="A391" s="1" t="str" cm="1">
        <f t="array" aca="1" ref="A391" ca="1">INDIRECT(_xlfn.CONCAT("$I", $F391))</f>
        <v>Jumpstart Front Cards FJMP</v>
      </c>
      <c r="B391" s="1" cm="1">
        <f t="array" aca="1" ref="B391" ca="1">INDIRECT(_xlfn.CONCAT("$J", $F391))</f>
        <v>46</v>
      </c>
      <c r="C391" s="1" cm="1">
        <f t="array" aca="1" ref="C391" ca="1">INDIRECT(_xlfn.CONCAT("$K", $F391))</f>
        <v>44000</v>
      </c>
      <c r="D391" s="1"/>
      <c r="E391" s="1" t="str" cm="1">
        <f t="array" aca="1" ref="E391" ca="1">INDIRECT(_xlfn.CONCAT("$L", $F391))</f>
        <v>en es fr de it pt ja ko ru 汉语 漢語</v>
      </c>
      <c r="F391" s="1" cm="1">
        <f t="array" aca="1" ref="F391" ca="1">IF(NOT(OR(ISERROR(INDIRECT(_xlfn.CONCAT("$I", $F390 + 1))), ISBLANK(INDIRECT(_xlfn.CONCAT("$I", $F390 + 1))))), $F390 + 1, IF(NOT(ISBLANK(INDIRECT(_xlfn.CONCAT("$I", $F390 + 2)))), $F390 + 2, ""))</f>
        <v>726</v>
      </c>
    </row>
    <row r="392" spans="1:12" ht="59.25">
      <c r="A392" s="1" t="str" cm="1">
        <f t="array" aca="1" ref="A392" ca="1">INDIRECT(_xlfn.CONCAT("$I", $F392))</f>
        <v>Core Set 2021 M21</v>
      </c>
      <c r="B392" s="1" cm="1">
        <f t="array" aca="1" ref="B392" ca="1">INDIRECT(_xlfn.CONCAT("$J", $F392))</f>
        <v>397</v>
      </c>
      <c r="C392" s="1" cm="1">
        <f t="array" aca="1" ref="C392" ca="1">INDIRECT(_xlfn.CONCAT("$K", $F392))</f>
        <v>44015</v>
      </c>
      <c r="D392" s="1"/>
      <c r="E392" s="1" t="str" cm="1">
        <f t="array" aca="1" ref="E392" ca="1">INDIRECT(_xlfn.CONCAT("$L", $F392))</f>
        <v>en es fr de it pt ja ko ru 汉语 漢語</v>
      </c>
      <c r="F392" s="1" cm="1">
        <f t="array" aca="1" ref="F392" ca="1">IF(NOT(OR(ISERROR(INDIRECT(_xlfn.CONCAT("$I", $F391 + 1))), ISBLANK(INDIRECT(_xlfn.CONCAT("$I", $F391 + 1))))), $F391 + 1, IF(NOT(ISBLANK(INDIRECT(_xlfn.CONCAT("$I", $F391 + 2)))), $F391 + 2, ""))</f>
        <v>728</v>
      </c>
      <c r="I392" s="8" t="s">
        <v>377</v>
      </c>
      <c r="J392" s="8">
        <v>5</v>
      </c>
      <c r="K392" s="9">
        <v>44806</v>
      </c>
      <c r="L392" s="8" t="s">
        <v>174</v>
      </c>
    </row>
    <row r="393" spans="1:12" ht="59.25">
      <c r="A393" s="1" t="str" cm="1">
        <f t="array" aca="1" ref="A393" ca="1">INDIRECT(_xlfn.CONCAT("$I", $F393))</f>
        <v>Core Set 2021 Promos PM21</v>
      </c>
      <c r="B393" s="1" cm="1">
        <f t="array" aca="1" ref="B393" ca="1">INDIRECT(_xlfn.CONCAT("$J", $F393))</f>
        <v>137</v>
      </c>
      <c r="C393" s="1" cm="1">
        <f t="array" aca="1" ref="C393" ca="1">INDIRECT(_xlfn.CONCAT("$K", $F393))</f>
        <v>44015</v>
      </c>
      <c r="D393" s="1"/>
      <c r="E393" s="1" t="str" cm="1">
        <f t="array" aca="1" ref="E393" ca="1">INDIRECT(_xlfn.CONCAT("$L", $F393))</f>
        <v>en es fr de it pt ja ko ru 汉语 漢語</v>
      </c>
      <c r="F393" s="1" cm="1">
        <f t="array" aca="1" ref="F393" ca="1">IF(NOT(OR(ISERROR(INDIRECT(_xlfn.CONCAT("$I", $F392 + 1))), ISBLANK(INDIRECT(_xlfn.CONCAT("$I", $F392 + 1))))), $F392 + 1, IF(NOT(ISBLANK(INDIRECT(_xlfn.CONCAT("$I", $F392 + 2)))), $F392 + 2, ""))</f>
        <v>730</v>
      </c>
    </row>
    <row r="394" spans="1:12" ht="59.25">
      <c r="A394" s="1" t="str" cm="1">
        <f t="array" aca="1" ref="A394" ca="1">INDIRECT(_xlfn.CONCAT("$I", $F394))</f>
        <v>Core Set 2021 Tokens TM21</v>
      </c>
      <c r="B394" s="1" cm="1">
        <f t="array" aca="1" ref="B394" ca="1">INDIRECT(_xlfn.CONCAT("$J", $F394))</f>
        <v>20</v>
      </c>
      <c r="C394" s="1" cm="1">
        <f t="array" aca="1" ref="C394" ca="1">INDIRECT(_xlfn.CONCAT("$K", $F394))</f>
        <v>44015</v>
      </c>
      <c r="D394" s="1"/>
      <c r="E394" s="1" t="str" cm="1">
        <f t="array" aca="1" ref="E394" ca="1">INDIRECT(_xlfn.CONCAT("$L", $F394))</f>
        <v>en es fr de it pt ja ko ru 汉语 漢語</v>
      </c>
      <c r="F394" s="1" cm="1">
        <f t="array" aca="1" ref="F394" ca="1">IF(NOT(OR(ISERROR(INDIRECT(_xlfn.CONCAT("$I", $F393 + 1))), ISBLANK(INDIRECT(_xlfn.CONCAT("$I", $F393 + 1))))), $F393 + 1, IF(NOT(ISBLANK(INDIRECT(_xlfn.CONCAT("$I", $F393 + 2)))), $F393 + 2, ""))</f>
        <v>732</v>
      </c>
      <c r="I394" s="8" t="s">
        <v>378</v>
      </c>
      <c r="J394" s="8">
        <v>8</v>
      </c>
      <c r="K394" s="9">
        <v>44891</v>
      </c>
      <c r="L394" s="8" t="s">
        <v>174</v>
      </c>
    </row>
    <row r="395" spans="1:12" ht="59.25">
      <c r="A395" s="1" t="str" cm="1">
        <f t="array" aca="1" ref="A395" ca="1">INDIRECT(_xlfn.CONCAT("$I", $F395))</f>
        <v>Signature Spellbook: Chandra SS3</v>
      </c>
      <c r="B395" s="1" cm="1">
        <f t="array" aca="1" ref="B395" ca="1">INDIRECT(_xlfn.CONCAT("$J", $F395))</f>
        <v>8</v>
      </c>
      <c r="C395" s="1" cm="1">
        <f t="array" aca="1" ref="C395" ca="1">INDIRECT(_xlfn.CONCAT("$K", $F395))</f>
        <v>44008</v>
      </c>
      <c r="D395" s="1"/>
      <c r="E395" s="1" t="str" cm="1">
        <f t="array" aca="1" ref="E395" ca="1">INDIRECT(_xlfn.CONCAT("$L", $F395))</f>
        <v>en es fr de it pt ja ko ru 汉语 漢語</v>
      </c>
      <c r="F395" s="1" cm="1">
        <f t="array" aca="1" ref="F395" ca="1">IF(NOT(OR(ISERROR(INDIRECT(_xlfn.CONCAT("$I", $F394 + 1))), ISBLANK(INDIRECT(_xlfn.CONCAT("$I", $F394 + 1))))), $F394 + 1, IF(NOT(ISBLANK(INDIRECT(_xlfn.CONCAT("$I", $F394 + 2)))), $F394 + 2, ""))</f>
        <v>734</v>
      </c>
    </row>
    <row r="396" spans="1:12" ht="41.25">
      <c r="A396" s="1" t="str" cm="1">
        <f t="array" aca="1" ref="A396" ca="1">INDIRECT(_xlfn.CONCAT("$I", $F396))</f>
        <v>MTG Arena Cube ARENA</v>
      </c>
      <c r="B396" s="1" cm="1">
        <f t="array" aca="1" ref="B396" ca="1">INDIRECT(_xlfn.CONCAT("$J", $F396))</f>
        <v>550</v>
      </c>
      <c r="C396" s="1" cm="1">
        <f t="array" aca="1" ref="C396" ca="1">INDIRECT(_xlfn.CONCAT("$K", $F396))</f>
        <v>43992</v>
      </c>
      <c r="D396" s="1"/>
      <c r="E396" s="1" cm="1">
        <f t="array" aca="1" ref="E396" ca="1">INDIRECT(_xlfn.CONCAT("$L", $F396))</f>
        <v>0</v>
      </c>
      <c r="F396" s="1" cm="1">
        <f t="array" aca="1" ref="F396" ca="1">IF(NOT(OR(ISERROR(INDIRECT(_xlfn.CONCAT("$I", $F395 + 1))), ISBLANK(INDIRECT(_xlfn.CONCAT("$I", $F395 + 1))))), $F395 + 1, IF(NOT(ISBLANK(INDIRECT(_xlfn.CONCAT("$I", $F395 + 2)))), $F395 + 2, ""))</f>
        <v>736</v>
      </c>
      <c r="I396" s="8" t="s">
        <v>1193</v>
      </c>
      <c r="J396" s="8">
        <v>399</v>
      </c>
      <c r="K396" s="9">
        <v>44883</v>
      </c>
      <c r="L396" t="s">
        <v>174</v>
      </c>
    </row>
    <row r="397" spans="1:12" ht="59.25">
      <c r="A397" s="1" t="str" cm="1">
        <f t="array" aca="1" ref="A397" ca="1">INDIRECT(_xlfn.CONCAT("$I", $F397))</f>
        <v>Historic Anthology 3 HA3</v>
      </c>
      <c r="B397" s="1" cm="1">
        <f t="array" aca="1" ref="B397" ca="1">INDIRECT(_xlfn.CONCAT("$J", $F397))</f>
        <v>27</v>
      </c>
      <c r="C397" s="1" cm="1">
        <f t="array" aca="1" ref="C397" ca="1">INDIRECT(_xlfn.CONCAT("$K", $F397))</f>
        <v>43972</v>
      </c>
      <c r="D397" s="1"/>
      <c r="E397" s="1" t="str" cm="1">
        <f t="array" aca="1" ref="E397" ca="1">INDIRECT(_xlfn.CONCAT("$L", $F397))</f>
        <v>en es fr de it pt ja ko ru 汉语 漢語</v>
      </c>
      <c r="F397" s="1" cm="1">
        <f t="array" aca="1" ref="F397" ca="1">IF(NOT(OR(ISERROR(INDIRECT(_xlfn.CONCAT("$I", $F396 + 1))), ISBLANK(INDIRECT(_xlfn.CONCAT("$I", $F396 + 1))))), $F396 + 1, IF(NOT(ISBLANK(INDIRECT(_xlfn.CONCAT("$I", $F396 + 2)))), $F396 + 2, ""))</f>
        <v>738</v>
      </c>
    </row>
    <row r="398" spans="1:12" ht="59.25">
      <c r="A398" s="1" t="str" cm="1">
        <f t="array" aca="1" ref="A398" ca="1">INDIRECT(_xlfn.CONCAT("$I", $F398))</f>
        <v>Love Your LGS 2020 PLG20</v>
      </c>
      <c r="B398" s="1" cm="1">
        <f t="array" aca="1" ref="B398" ca="1">INDIRECT(_xlfn.CONCAT("$J", $F398))</f>
        <v>2</v>
      </c>
      <c r="C398" s="1" cm="1">
        <f t="array" aca="1" ref="C398" ca="1">INDIRECT(_xlfn.CONCAT("$K", $F398))</f>
        <v>43969</v>
      </c>
      <c r="D398" s="1"/>
      <c r="E398" s="1" t="str" cm="1">
        <f t="array" aca="1" ref="E398" ca="1">INDIRECT(_xlfn.CONCAT("$L", $F398))</f>
        <v>en es fr de it pt ja ko ru 汉语 漢語</v>
      </c>
      <c r="F398" s="1" cm="1">
        <f t="array" aca="1" ref="F398" ca="1">IF(NOT(OR(ISERROR(INDIRECT(_xlfn.CONCAT("$I", $F397 + 1))), ISBLANK(INDIRECT(_xlfn.CONCAT("$I", $F397 + 1))))), $F397 + 1, IF(NOT(ISBLANK(INDIRECT(_xlfn.CONCAT("$I", $F397 + 2)))), $F397 + 2, ""))</f>
        <v>740</v>
      </c>
      <c r="I398" s="8" t="s">
        <v>379</v>
      </c>
      <c r="J398" s="8">
        <v>189</v>
      </c>
      <c r="K398" s="9">
        <v>44883</v>
      </c>
      <c r="L398" t="s">
        <v>174</v>
      </c>
    </row>
    <row r="399" spans="1:12" ht="59.25">
      <c r="A399" s="1" t="str" cm="1">
        <f t="array" aca="1" ref="A399" ca="1">INDIRECT(_xlfn.CONCAT("$I", $F399))</f>
        <v>Ikoria: Lair of Behemoths IKO</v>
      </c>
      <c r="B399" s="1" cm="1">
        <f t="array" aca="1" ref="B399" ca="1">INDIRECT(_xlfn.CONCAT("$J", $F399))</f>
        <v>390</v>
      </c>
      <c r="C399" s="1" cm="1">
        <f t="array" aca="1" ref="C399" ca="1">INDIRECT(_xlfn.CONCAT("$K", $F399))</f>
        <v>43945</v>
      </c>
      <c r="D399" s="1"/>
      <c r="E399" s="1" t="str" cm="1">
        <f t="array" aca="1" ref="E399" ca="1">INDIRECT(_xlfn.CONCAT("$L", $F399))</f>
        <v>en es fr de it pt ja ko ru 汉语 漢語</v>
      </c>
      <c r="F399" s="1" cm="1">
        <f t="array" aca="1" ref="F399" ca="1">IF(NOT(OR(ISERROR(INDIRECT(_xlfn.CONCAT("$I", $F398 + 1))), ISBLANK(INDIRECT(_xlfn.CONCAT("$I", $F398 + 1))))), $F398 + 1, IF(NOT(ISBLANK(INDIRECT(_xlfn.CONCAT("$I", $F398 + 2)))), $F398 + 2, ""))</f>
        <v>742</v>
      </c>
    </row>
    <row r="400" spans="1:12" ht="68.25">
      <c r="A400" s="1" t="str" cm="1">
        <f t="array" aca="1" ref="A400" ca="1">INDIRECT(_xlfn.CONCAT("$I", $F400))</f>
        <v>Ikoria: Lair of Behemoths Promos PIKO</v>
      </c>
      <c r="B400" s="1" cm="1">
        <f t="array" aca="1" ref="B400" ca="1">INDIRECT(_xlfn.CONCAT("$J", $F400))</f>
        <v>137</v>
      </c>
      <c r="C400" s="1" cm="1">
        <f t="array" aca="1" ref="C400" ca="1">INDIRECT(_xlfn.CONCAT("$K", $F400))</f>
        <v>43945</v>
      </c>
      <c r="D400" s="1"/>
      <c r="E400" s="1" t="str" cm="1">
        <f t="array" aca="1" ref="E400" ca="1">INDIRECT(_xlfn.CONCAT("$L", $F400))</f>
        <v>en es fr de it pt ja ko ru 汉语 漢語</v>
      </c>
      <c r="F400" s="1" cm="1">
        <f t="array" aca="1" ref="F400" ca="1">IF(NOT(OR(ISERROR(INDIRECT(_xlfn.CONCAT("$I", $F399 + 1))), ISBLANK(INDIRECT(_xlfn.CONCAT("$I", $F399 + 1))))), $F399 + 1, IF(NOT(ISBLANK(INDIRECT(_xlfn.CONCAT("$I", $F399 + 2)))), $F399 + 2, ""))</f>
        <v>744</v>
      </c>
      <c r="I400" s="8" t="s">
        <v>380</v>
      </c>
      <c r="J400" s="8">
        <v>171</v>
      </c>
      <c r="K400" s="9">
        <v>44883</v>
      </c>
      <c r="L400" s="8" t="s">
        <v>174</v>
      </c>
    </row>
    <row r="401" spans="1:12" ht="68.25">
      <c r="A401" s="1" t="str" cm="1">
        <f t="array" aca="1" ref="A401" ca="1">INDIRECT(_xlfn.CONCAT("$I", $F401))</f>
        <v>Ikoria: Lair of Behemoths Tokens TIKO</v>
      </c>
      <c r="B401" s="1" cm="1">
        <f t="array" aca="1" ref="B401" ca="1">INDIRECT(_xlfn.CONCAT("$J", $F401))</f>
        <v>14</v>
      </c>
      <c r="C401" s="1" cm="1">
        <f t="array" aca="1" ref="C401" ca="1">INDIRECT(_xlfn.CONCAT("$K", $F401))</f>
        <v>43945</v>
      </c>
      <c r="D401" s="1"/>
      <c r="E401" s="1" t="str" cm="1">
        <f t="array" aca="1" ref="E401" ca="1">INDIRECT(_xlfn.CONCAT("$L", $F401))</f>
        <v>en es fr de it pt ja ko ru 汉语 漢語</v>
      </c>
      <c r="F401" s="1" cm="1">
        <f t="array" aca="1" ref="F401" ca="1">IF(NOT(OR(ISERROR(INDIRECT(_xlfn.CONCAT("$I", $F400 + 1))), ISBLANK(INDIRECT(_xlfn.CONCAT("$I", $F400 + 1))))), $F400 + 1, IF(NOT(ISBLANK(INDIRECT(_xlfn.CONCAT("$I", $F400 + 2)))), $F400 + 2, ""))</f>
        <v>746</v>
      </c>
    </row>
    <row r="402" spans="1:12" ht="59.25">
      <c r="A402" s="1" t="str" cm="1">
        <f t="array" aca="1" ref="A402" ca="1">INDIRECT(_xlfn.CONCAT("$I", $F402))</f>
        <v>Commander 2020 C20</v>
      </c>
      <c r="B402" s="1" cm="1">
        <f t="array" aca="1" ref="B402" ca="1">INDIRECT(_xlfn.CONCAT("$J", $F402))</f>
        <v>322</v>
      </c>
      <c r="C402" s="1" cm="1">
        <f t="array" aca="1" ref="C402" ca="1">INDIRECT(_xlfn.CONCAT("$K", $F402))</f>
        <v>43938</v>
      </c>
      <c r="D402" s="1"/>
      <c r="E402" s="1" t="str" cm="1">
        <f t="array" aca="1" ref="E402" ca="1">INDIRECT(_xlfn.CONCAT("$L", $F402))</f>
        <v>en es fr de it pt ja ko ru 汉语 漢語</v>
      </c>
      <c r="F402" s="1" cm="1">
        <f t="array" aca="1" ref="F402" ca="1">IF(NOT(OR(ISERROR(INDIRECT(_xlfn.CONCAT("$I", $F401 + 1))), ISBLANK(INDIRECT(_xlfn.CONCAT("$I", $F401 + 1))))), $F401 + 1, IF(NOT(ISBLANK(INDIRECT(_xlfn.CONCAT("$I", $F401 + 2)))), $F401 + 2, ""))</f>
        <v>748</v>
      </c>
      <c r="I402" s="8" t="s">
        <v>381</v>
      </c>
      <c r="J402" s="8">
        <v>12</v>
      </c>
      <c r="K402" s="9">
        <v>44883</v>
      </c>
      <c r="L402" s="8" t="s">
        <v>174</v>
      </c>
    </row>
    <row r="403" spans="1:12" ht="59.25">
      <c r="A403" s="1" t="str" cm="1">
        <f t="array" aca="1" ref="A403" ca="1">INDIRECT(_xlfn.CONCAT("$I", $F403))</f>
        <v>Commander 2020 Tokens TC20</v>
      </c>
      <c r="B403" s="1" cm="1">
        <f t="array" aca="1" ref="B403" ca="1">INDIRECT(_xlfn.CONCAT("$J", $F403))</f>
        <v>20</v>
      </c>
      <c r="C403" s="1" cm="1">
        <f t="array" aca="1" ref="C403" ca="1">INDIRECT(_xlfn.CONCAT("$K", $F403))</f>
        <v>43938</v>
      </c>
      <c r="D403" s="1"/>
      <c r="E403" s="1" t="str" cm="1">
        <f t="array" aca="1" ref="E403" ca="1">INDIRECT(_xlfn.CONCAT("$L", $F403))</f>
        <v>en es fr de it pt ja ko ru 汉语 漢語</v>
      </c>
      <c r="F403" s="1" cm="1">
        <f t="array" aca="1" ref="F403" ca="1">IF(NOT(OR(ISERROR(INDIRECT(_xlfn.CONCAT("$I", $F402 + 1))), ISBLANK(INDIRECT(_xlfn.CONCAT("$I", $F402 + 1))))), $F402 + 1, IF(NOT(ISBLANK(INDIRECT(_xlfn.CONCAT("$I", $F402 + 2)))), $F402 + 2, ""))</f>
        <v>750</v>
      </c>
    </row>
    <row r="404" spans="1:12" ht="59.25">
      <c r="A404" s="1" t="str" cm="1">
        <f t="array" aca="1" ref="A404" ca="1">INDIRECT(_xlfn.CONCAT("$I", $F404))</f>
        <v>Commander 2020 Oversized OC20</v>
      </c>
      <c r="B404" s="1" cm="1">
        <f t="array" aca="1" ref="B404" ca="1">INDIRECT(_xlfn.CONCAT("$J", $F404))</f>
        <v>5</v>
      </c>
      <c r="C404" s="1" cm="1">
        <f t="array" aca="1" ref="C404" ca="1">INDIRECT(_xlfn.CONCAT("$K", $F404))</f>
        <v>43938</v>
      </c>
      <c r="D404" s="1"/>
      <c r="E404" s="1" t="str" cm="1">
        <f t="array" aca="1" ref="E404" ca="1">INDIRECT(_xlfn.CONCAT("$L", $F404))</f>
        <v>en es fr de it pt ja ko ru 汉语 漢語</v>
      </c>
      <c r="F404" s="1" cm="1">
        <f t="array" aca="1" ref="F404" ca="1">IF(NOT(OR(ISERROR(INDIRECT(_xlfn.CONCAT("$I", $F403 + 1))), ISBLANK(INDIRECT(_xlfn.CONCAT("$I", $F403 + 1))))), $F403 + 1, IF(NOT(ISBLANK(INDIRECT(_xlfn.CONCAT("$I", $F403 + 2)))), $F403 + 2, ""))</f>
        <v>752</v>
      </c>
      <c r="I404" s="8" t="s">
        <v>382</v>
      </c>
      <c r="J404" s="8">
        <v>31</v>
      </c>
      <c r="K404" s="9">
        <v>44908</v>
      </c>
      <c r="L404" s="8" t="s">
        <v>174</v>
      </c>
    </row>
    <row r="405" spans="1:12" ht="59.25">
      <c r="A405" s="1" t="str" cm="1">
        <f t="array" aca="1" ref="A405" ca="1">INDIRECT(_xlfn.CONCAT("$I", $F405))</f>
        <v>Historic Anthology 2 HA2</v>
      </c>
      <c r="B405" s="1" cm="1">
        <f t="array" aca="1" ref="B405" ca="1">INDIRECT(_xlfn.CONCAT("$J", $F405))</f>
        <v>25</v>
      </c>
      <c r="C405" s="1" cm="1">
        <f t="array" aca="1" ref="C405" ca="1">INDIRECT(_xlfn.CONCAT("$K", $F405))</f>
        <v>43902</v>
      </c>
      <c r="D405" s="1"/>
      <c r="E405" s="1" t="str" cm="1">
        <f t="array" aca="1" ref="E405" ca="1">INDIRECT(_xlfn.CONCAT("$L", $F405))</f>
        <v>en es fr de it pt ja ko ru 汉语 漢語</v>
      </c>
      <c r="F405" s="1" cm="1">
        <f t="array" aca="1" ref="F405" ca="1">IF(NOT(OR(ISERROR(INDIRECT(_xlfn.CONCAT("$I", $F404 + 1))), ISBLANK(INDIRECT(_xlfn.CONCAT("$I", $F404 + 1))))), $F404 + 1, IF(NOT(ISBLANK(INDIRECT(_xlfn.CONCAT("$I", $F404 + 2)))), $F404 + 2, ""))</f>
        <v>754</v>
      </c>
    </row>
    <row r="406" spans="1:12" ht="59.25">
      <c r="A406" s="1" t="str" cm="1">
        <f t="array" aca="1" ref="A406" ca="1">INDIRECT(_xlfn.CONCAT("$I", $F406))</f>
        <v>Unsanctioned UND</v>
      </c>
      <c r="B406" s="1" cm="1">
        <f t="array" aca="1" ref="B406" ca="1">INDIRECT(_xlfn.CONCAT("$J", $F406))</f>
        <v>96</v>
      </c>
      <c r="C406" s="1" cm="1">
        <f t="array" aca="1" ref="C406" ca="1">INDIRECT(_xlfn.CONCAT("$K", $F406))</f>
        <v>43890</v>
      </c>
      <c r="D406" s="1"/>
      <c r="E406" s="1" t="str" cm="1">
        <f t="array" aca="1" ref="E406" ca="1">INDIRECT(_xlfn.CONCAT("$L", $F406))</f>
        <v>en es fr de it pt ja ko ru 汉语 漢語</v>
      </c>
      <c r="F406" s="1" cm="1">
        <f t="array" aca="1" ref="F406" ca="1">IF(NOT(OR(ISERROR(INDIRECT(_xlfn.CONCAT("$I", $F405 + 1))), ISBLANK(INDIRECT(_xlfn.CONCAT("$I", $F405 + 1))))), $F405 + 1, IF(NOT(ISBLANK(INDIRECT(_xlfn.CONCAT("$I", $F405 + 2)))), $F405 + 2, ""))</f>
        <v>756</v>
      </c>
      <c r="I406" s="8" t="s">
        <v>383</v>
      </c>
      <c r="J406" s="8">
        <v>209</v>
      </c>
      <c r="K406" s="9">
        <v>44883</v>
      </c>
      <c r="L406" t="s">
        <v>174</v>
      </c>
    </row>
    <row r="407" spans="1:12" ht="59.25">
      <c r="A407" s="1" t="str" cm="1">
        <f t="array" aca="1" ref="A407" ca="1">INDIRECT(_xlfn.CONCAT("$I", $F407))</f>
        <v>Unsanctioned Tokens TUND</v>
      </c>
      <c r="B407" s="1" cm="1">
        <f t="array" aca="1" ref="B407" ca="1">INDIRECT(_xlfn.CONCAT("$J", $F407))</f>
        <v>6</v>
      </c>
      <c r="C407" s="1" cm="1">
        <f t="array" aca="1" ref="C407" ca="1">INDIRECT(_xlfn.CONCAT("$K", $F407))</f>
        <v>43890</v>
      </c>
      <c r="D407" s="1"/>
      <c r="E407" s="1" t="str" cm="1">
        <f t="array" aca="1" ref="E407" ca="1">INDIRECT(_xlfn.CONCAT("$L", $F407))</f>
        <v>en es fr de it pt ja ko ru 汉语 漢語</v>
      </c>
      <c r="F407" s="1" cm="1">
        <f t="array" aca="1" ref="F407" ca="1">IF(NOT(OR(ISERROR(INDIRECT(_xlfn.CONCAT("$I", $F406 + 1))), ISBLANK(INDIRECT(_xlfn.CONCAT("$I", $F406 + 1))))), $F406 + 1, IF(NOT(ISBLANK(INDIRECT(_xlfn.CONCAT("$I", $F406 + 2)))), $F406 + 2, ""))</f>
        <v>758</v>
      </c>
    </row>
    <row r="408" spans="1:12" ht="59.25">
      <c r="A408" s="1" t="str" cm="1">
        <f t="array" aca="1" ref="A408" ca="1">INDIRECT(_xlfn.CONCAT("$I", $F408))</f>
        <v>Theros Beyond Death THB</v>
      </c>
      <c r="B408" s="1" cm="1">
        <f t="array" aca="1" ref="B408" ca="1">INDIRECT(_xlfn.CONCAT("$J", $F408))</f>
        <v>358</v>
      </c>
      <c r="C408" s="1" cm="1">
        <f t="array" aca="1" ref="C408" ca="1">INDIRECT(_xlfn.CONCAT("$K", $F408))</f>
        <v>43854</v>
      </c>
      <c r="D408" s="1"/>
      <c r="E408" s="1" t="str" cm="1">
        <f t="array" aca="1" ref="E408" ca="1">INDIRECT(_xlfn.CONCAT("$L", $F408))</f>
        <v>en es fr de it pt ja ko ru 汉语 漢語</v>
      </c>
      <c r="F408" s="1" cm="1">
        <f t="array" aca="1" ref="F408" ca="1">IF(NOT(OR(ISERROR(INDIRECT(_xlfn.CONCAT("$I", $F407 + 1))), ISBLANK(INDIRECT(_xlfn.CONCAT("$I", $F407 + 1))))), $F407 + 1, IF(NOT(ISBLANK(INDIRECT(_xlfn.CONCAT("$I", $F407 + 2)))), $F407 + 2, ""))</f>
        <v>760</v>
      </c>
      <c r="I408" s="8" t="s">
        <v>384</v>
      </c>
      <c r="J408" s="8">
        <v>14</v>
      </c>
      <c r="K408" s="9">
        <v>44883</v>
      </c>
      <c r="L408" s="8" t="s">
        <v>174</v>
      </c>
    </row>
    <row r="409" spans="1:12" ht="68.25">
      <c r="A409" s="1" t="str" cm="1">
        <f t="array" aca="1" ref="A409" ca="1">INDIRECT(_xlfn.CONCAT("$I", $F409))</f>
        <v>Theros Beyond Death Promos PTHB</v>
      </c>
      <c r="B409" s="1" cm="1">
        <f t="array" aca="1" ref="B409" ca="1">INDIRECT(_xlfn.CONCAT("$J", $F409))</f>
        <v>137</v>
      </c>
      <c r="C409" s="1" cm="1">
        <f t="array" aca="1" ref="C409" ca="1">INDIRECT(_xlfn.CONCAT("$K", $F409))</f>
        <v>43854</v>
      </c>
      <c r="D409" s="1"/>
      <c r="E409" s="1" t="str" cm="1">
        <f t="array" aca="1" ref="E409" ca="1">INDIRECT(_xlfn.CONCAT("$L", $F409))</f>
        <v>en es fr de it pt ja ko ru 汉语 漢語</v>
      </c>
      <c r="F409" s="1" cm="1">
        <f t="array" aca="1" ref="F409" ca="1">IF(NOT(OR(ISERROR(INDIRECT(_xlfn.CONCAT("$I", $F408 + 1))), ISBLANK(INDIRECT(_xlfn.CONCAT("$I", $F408 + 1))))), $F408 + 1, IF(NOT(ISBLANK(INDIRECT(_xlfn.CONCAT("$I", $F408 + 2)))), $F408 + 2, ""))</f>
        <v>762</v>
      </c>
    </row>
    <row r="410" spans="1:12" ht="68.25">
      <c r="A410" s="1" t="str" cm="1">
        <f t="array" aca="1" ref="A410" ca="1">INDIRECT(_xlfn.CONCAT("$I", $F410))</f>
        <v>Theros Beyond Death Tokens TTHB</v>
      </c>
      <c r="B410" s="1" cm="1">
        <f t="array" aca="1" ref="B410" ca="1">INDIRECT(_xlfn.CONCAT("$J", $F410))</f>
        <v>14</v>
      </c>
      <c r="C410" s="1" cm="1">
        <f t="array" aca="1" ref="C410" ca="1">INDIRECT(_xlfn.CONCAT("$K", $F410))</f>
        <v>43854</v>
      </c>
      <c r="D410" s="1"/>
      <c r="E410" s="1" t="str" cm="1">
        <f t="array" aca="1" ref="E410" ca="1">INDIRECT(_xlfn.CONCAT("$L", $F410))</f>
        <v>en es fr de it pt ja ko ru 汉语 漢語</v>
      </c>
      <c r="F410" s="1" cm="1">
        <f t="array" aca="1" ref="F410" ca="1">IF(NOT(OR(ISERROR(INDIRECT(_xlfn.CONCAT("$I", $F409 + 1))), ISBLANK(INDIRECT(_xlfn.CONCAT("$I", $F409 + 1))))), $F409 + 1, IF(NOT(ISBLANK(INDIRECT(_xlfn.CONCAT("$I", $F409 + 2)))), $F409 + 2, ""))</f>
        <v>764</v>
      </c>
      <c r="I410" s="8" t="s">
        <v>385</v>
      </c>
      <c r="J410" s="8">
        <v>29</v>
      </c>
      <c r="K410" s="9">
        <v>44883</v>
      </c>
      <c r="L410" s="8" t="s">
        <v>174</v>
      </c>
    </row>
    <row r="411" spans="1:12" ht="59.25">
      <c r="A411" s="1" t="str" cm="1">
        <f t="array" aca="1" ref="A411" ca="1">INDIRECT(_xlfn.CONCAT("$I", $F411))</f>
        <v>MagicFest 2020 PF20</v>
      </c>
      <c r="B411" s="1" cm="1">
        <f t="array" aca="1" ref="B411" ca="1">INDIRECT(_xlfn.CONCAT("$J", $F411))</f>
        <v>6</v>
      </c>
      <c r="C411" s="1" cm="1">
        <f t="array" aca="1" ref="C411" ca="1">INDIRECT(_xlfn.CONCAT("$K", $F411))</f>
        <v>43831</v>
      </c>
      <c r="D411" s="1"/>
      <c r="E411" s="1" t="str" cm="1">
        <f t="array" aca="1" ref="E411" ca="1">INDIRECT(_xlfn.CONCAT("$L", $F411))</f>
        <v>en es fr de it pt ja ko ru 汉语 漢語</v>
      </c>
      <c r="F411" s="1" cm="1">
        <f t="array" aca="1" ref="F411" ca="1">IF(NOT(OR(ISERROR(INDIRECT(_xlfn.CONCAT("$I", $F410 + 1))), ISBLANK(INDIRECT(_xlfn.CONCAT("$I", $F410 + 1))))), $F410 + 1, IF(NOT(ISBLANK(INDIRECT(_xlfn.CONCAT("$I", $F410 + 2)))), $F410 + 2, ""))</f>
        <v>766</v>
      </c>
    </row>
    <row r="412" spans="1:12" ht="59.25">
      <c r="A412" s="1" t="str" cm="1">
        <f t="array" aca="1" ref="A412" ca="1">INDIRECT(_xlfn.CONCAT("$I", $F412))</f>
        <v>Judge Gift Cards 2020 J20</v>
      </c>
      <c r="B412" s="1" cm="1">
        <f t="array" aca="1" ref="B412" ca="1">INDIRECT(_xlfn.CONCAT("$J", $F412))</f>
        <v>10</v>
      </c>
      <c r="C412" s="1" cm="1">
        <f t="array" aca="1" ref="C412" ca="1">INDIRECT(_xlfn.CONCAT("$K", $F412))</f>
        <v>43831</v>
      </c>
      <c r="D412" s="1"/>
      <c r="E412" s="1" t="str" cm="1">
        <f t="array" aca="1" ref="E412" ca="1">INDIRECT(_xlfn.CONCAT("$L", $F412))</f>
        <v>en es fr de it pt ja ko ru 汉语 漢語</v>
      </c>
      <c r="F412" s="1" cm="1">
        <f t="array" aca="1" ref="F412" ca="1">IF(NOT(OR(ISERROR(INDIRECT(_xlfn.CONCAT("$I", $F411 + 1))), ISBLANK(INDIRECT(_xlfn.CONCAT("$I", $F411 + 1))))), $F411 + 1, IF(NOT(ISBLANK(INDIRECT(_xlfn.CONCAT("$I", $F411 + 2)))), $F411 + 2, ""))</f>
        <v>768</v>
      </c>
      <c r="I412" s="8" t="s">
        <v>386</v>
      </c>
      <c r="J412" s="8">
        <v>2</v>
      </c>
      <c r="K412" s="9">
        <v>44883</v>
      </c>
      <c r="L412" s="8" t="s">
        <v>174</v>
      </c>
    </row>
    <row r="413" spans="1:12" ht="59.25">
      <c r="A413" s="1" t="str" cm="1">
        <f t="array" aca="1" ref="A413" ca="1">INDIRECT(_xlfn.CONCAT("$I", $F413))</f>
        <v>Secret Lair Drop SLD</v>
      </c>
      <c r="B413" s="1" cm="1">
        <f t="array" aca="1" ref="B413" ca="1">INDIRECT(_xlfn.CONCAT("$J", $F413))</f>
        <v>2302</v>
      </c>
      <c r="C413" s="1" cm="1">
        <f t="array" aca="1" ref="C413" ca="1">INDIRECT(_xlfn.CONCAT("$K", $F413))</f>
        <v>43801</v>
      </c>
      <c r="D413" s="1"/>
      <c r="E413" s="1" t="str" cm="1">
        <f t="array" aca="1" ref="E413" ca="1">INDIRECT(_xlfn.CONCAT("$L", $F413))</f>
        <v>en es fr de it pt ja ko ru 汉语 漢語</v>
      </c>
      <c r="F413" s="1" cm="1">
        <f t="array" aca="1" ref="F413" ca="1">IF(NOT(OR(ISERROR(INDIRECT(_xlfn.CONCAT("$I", $F412 + 1))), ISBLANK(INDIRECT(_xlfn.CONCAT("$I", $F412 + 1))))), $F412 + 1, IF(NOT(ISBLANK(INDIRECT(_xlfn.CONCAT("$I", $F412 + 2)))), $F412 + 2, ""))</f>
        <v>770</v>
      </c>
    </row>
    <row r="414" spans="1:12" ht="59.25">
      <c r="A414" s="1" t="str" cm="1">
        <f t="array" aca="1" ref="A414" ca="1">INDIRECT(_xlfn.CONCAT("$I", $F414))</f>
        <v>Secret Lair Showcase Planes PSSC</v>
      </c>
      <c r="B414" s="1" cm="1">
        <f t="array" aca="1" ref="B414" ca="1">INDIRECT(_xlfn.CONCAT("$J", $F414))</f>
        <v>10</v>
      </c>
      <c r="C414" s="1" cm="1">
        <f t="array" aca="1" ref="C414" ca="1">INDIRECT(_xlfn.CONCAT("$K", $F414))</f>
        <v>45709</v>
      </c>
      <c r="D414" s="1"/>
      <c r="E414" s="1" t="str" cm="1">
        <f t="array" aca="1" ref="E414" ca="1">INDIRECT(_xlfn.CONCAT("$L", $F414))</f>
        <v>en es fr de it pt ja ko ru 汉语 漢語</v>
      </c>
      <c r="F414" s="1" cm="1">
        <f t="array" aca="1" ref="F414" ca="1">IF(NOT(OR(ISERROR(INDIRECT(_xlfn.CONCAT("$I", $F413 + 1))), ISBLANK(INDIRECT(_xlfn.CONCAT("$I", $F413 + 1))))), $F413 + 1, IF(NOT(ISBLANK(INDIRECT(_xlfn.CONCAT("$I", $F413 + 2)))), $F413 + 2, ""))</f>
        <v>772</v>
      </c>
      <c r="I414" s="8" t="s">
        <v>387</v>
      </c>
      <c r="J414" s="8">
        <v>3</v>
      </c>
      <c r="K414" s="9">
        <v>44883</v>
      </c>
      <c r="L414" s="8" t="s">
        <v>174</v>
      </c>
    </row>
    <row r="415" spans="1:12" ht="59.25">
      <c r="A415" s="1" t="str" cm="1">
        <f t="array" aca="1" ref="A415" ca="1">INDIRECT(_xlfn.CONCAT("$I", $F415))</f>
        <v>Secret Lair Promo SLP</v>
      </c>
      <c r="B415" s="1" cm="1">
        <f t="array" aca="1" ref="B415" ca="1">INDIRECT(_xlfn.CONCAT("$J", $F415))</f>
        <v>47</v>
      </c>
      <c r="C415" s="1" cm="1">
        <f t="array" aca="1" ref="C415" ca="1">INDIRECT(_xlfn.CONCAT("$K", $F415))</f>
        <v>44974</v>
      </c>
      <c r="D415" s="1"/>
      <c r="E415" s="1" t="str" cm="1">
        <f t="array" aca="1" ref="E415" ca="1">INDIRECT(_xlfn.CONCAT("$L", $F415))</f>
        <v>en es fr de it pt ja ko ru 汉语 漢語</v>
      </c>
      <c r="F415" s="1" cm="1">
        <f t="array" aca="1" ref="F415" ca="1">IF(NOT(OR(ISERROR(INDIRECT(_xlfn.CONCAT("$I", $F414 + 1))), ISBLANK(INDIRECT(_xlfn.CONCAT("$I", $F414 + 1))))), $F414 + 1, IF(NOT(ISBLANK(INDIRECT(_xlfn.CONCAT("$I", $F414 + 2)))), $F414 + 2, ""))</f>
        <v>774</v>
      </c>
    </row>
    <row r="416" spans="1:12" ht="59.25">
      <c r="A416" s="1" t="str" cm="1">
        <f t="array" aca="1" ref="A416" ca="1">INDIRECT(_xlfn.CONCAT("$I", $F416))</f>
        <v>Secret Lair Countdown SLC</v>
      </c>
      <c r="B416" s="1" cm="1">
        <f t="array" aca="1" ref="B416" ca="1">INDIRECT(_xlfn.CONCAT("$J", $F416))</f>
        <v>84</v>
      </c>
      <c r="C416" s="1" cm="1">
        <f t="array" aca="1" ref="C416" ca="1">INDIRECT(_xlfn.CONCAT("$K", $F416))</f>
        <v>44866</v>
      </c>
      <c r="D416" s="1"/>
      <c r="E416" s="1" t="str" cm="1">
        <f t="array" aca="1" ref="E416" ca="1">INDIRECT(_xlfn.CONCAT("$L", $F416))</f>
        <v>en es fr de it pt ja ko ru 汉语 漢語</v>
      </c>
      <c r="F416" s="1" cm="1">
        <f t="array" aca="1" ref="F416" ca="1">IF(NOT(OR(ISERROR(INDIRECT(_xlfn.CONCAT("$I", $F415 + 1))), ISBLANK(INDIRECT(_xlfn.CONCAT("$I", $F415 + 1))))), $F415 + 1, IF(NOT(ISBLANK(INDIRECT(_xlfn.CONCAT("$I", $F415 + 2)))), $F415 + 2, ""))</f>
        <v>776</v>
      </c>
      <c r="I416" s="8" t="s">
        <v>388</v>
      </c>
      <c r="J416" s="8">
        <v>1</v>
      </c>
      <c r="K416" s="9">
        <v>44883</v>
      </c>
      <c r="L416" s="8" t="s">
        <v>174</v>
      </c>
    </row>
    <row r="417" spans="1:12" ht="59.25">
      <c r="A417" s="1" t="str" cm="1">
        <f t="array" aca="1" ref="A417" ca="1">INDIRECT(_xlfn.CONCAT("$I", $F417))</f>
        <v>Universes Within SLX</v>
      </c>
      <c r="B417" s="1" cm="1">
        <f t="array" aca="1" ref="B417" ca="1">INDIRECT(_xlfn.CONCAT("$J", $F417))</f>
        <v>30</v>
      </c>
      <c r="C417" s="1" cm="1">
        <f t="array" aca="1" ref="C417" ca="1">INDIRECT(_xlfn.CONCAT("$K", $F417))</f>
        <v>44623</v>
      </c>
      <c r="D417" s="1"/>
      <c r="E417" s="1" t="str" cm="1">
        <f t="array" aca="1" ref="E417" ca="1">INDIRECT(_xlfn.CONCAT("$L", $F417))</f>
        <v>en es fr de it pt ja ko ru 汉语 漢語</v>
      </c>
      <c r="F417" s="1" cm="1">
        <f t="array" aca="1" ref="F417" ca="1">IF(NOT(OR(ISERROR(INDIRECT(_xlfn.CONCAT("$I", $F416 + 1))), ISBLANK(INDIRECT(_xlfn.CONCAT("$I", $F416 + 1))))), $F416 + 1, IF(NOT(ISBLANK(INDIRECT(_xlfn.CONCAT("$I", $F416 + 2)))), $F416 + 2, ""))</f>
        <v>778</v>
      </c>
    </row>
    <row r="418" spans="1:12" ht="59.25">
      <c r="A418" s="1" t="str" cm="1">
        <f t="array" aca="1" ref="A418" ca="1">INDIRECT(_xlfn.CONCAT("$I", $F418))</f>
        <v>Secret Lair: Ultimate Edition SLU</v>
      </c>
      <c r="B418" s="1" cm="1">
        <f t="array" aca="1" ref="B418" ca="1">INDIRECT(_xlfn.CONCAT("$J", $F418))</f>
        <v>16</v>
      </c>
      <c r="C418" s="1" cm="1">
        <f t="array" aca="1" ref="C418" ca="1">INDIRECT(_xlfn.CONCAT("$K", $F418))</f>
        <v>43980</v>
      </c>
      <c r="D418" s="1"/>
      <c r="E418" s="1" t="str" cm="1">
        <f t="array" aca="1" ref="E418" ca="1">INDIRECT(_xlfn.CONCAT("$L", $F418))</f>
        <v>en es fr de it pt ja ko ru 汉语 漢語</v>
      </c>
      <c r="F418" s="1" cm="1">
        <f t="array" aca="1" ref="F418" ca="1">IF(NOT(OR(ISERROR(INDIRECT(_xlfn.CONCAT("$I", $F417 + 1))), ISBLANK(INDIRECT(_xlfn.CONCAT("$I", $F417 + 1))))), $F417 + 1, IF(NOT(ISBLANK(INDIRECT(_xlfn.CONCAT("$I", $F417 + 2)))), $F417 + 2, ""))</f>
        <v>780</v>
      </c>
      <c r="I418" s="8" t="s">
        <v>389</v>
      </c>
      <c r="J418" s="8">
        <v>81</v>
      </c>
      <c r="K418" s="9">
        <v>44883</v>
      </c>
      <c r="L418" s="8" t="s">
        <v>174</v>
      </c>
    </row>
    <row r="419" spans="1:12" ht="59.25">
      <c r="A419" s="1" t="str" cm="1">
        <f t="array" aca="1" ref="A419" ca="1">INDIRECT(_xlfn.CONCAT("$I", $F419))</f>
        <v>Historic Anthology 1 HA1</v>
      </c>
      <c r="B419" s="1" cm="1">
        <f t="array" aca="1" ref="B419" ca="1">INDIRECT(_xlfn.CONCAT("$J", $F419))</f>
        <v>20</v>
      </c>
      <c r="C419" s="1" cm="1">
        <f t="array" aca="1" ref="C419" ca="1">INDIRECT(_xlfn.CONCAT("$K", $F419))</f>
        <v>43790</v>
      </c>
      <c r="D419" s="1"/>
      <c r="E419" s="1" t="str" cm="1">
        <f t="array" aca="1" ref="E419" ca="1">INDIRECT(_xlfn.CONCAT("$L", $F419))</f>
        <v>en es fr de it pt ja ko ru 汉语 漢語</v>
      </c>
      <c r="F419" s="1" cm="1">
        <f t="array" aca="1" ref="F419" ca="1">IF(NOT(OR(ISERROR(INDIRECT(_xlfn.CONCAT("$I", $F418 + 1))), ISBLANK(INDIRECT(_xlfn.CONCAT("$I", $F418 + 1))))), $F418 + 1, IF(NOT(ISBLANK(INDIRECT(_xlfn.CONCAT("$I", $F418 + 2)))), $F418 + 2, ""))</f>
        <v>782</v>
      </c>
    </row>
    <row r="420" spans="1:12" ht="59.25">
      <c r="A420" s="1" t="str" cm="1">
        <f t="array" aca="1" ref="A420" ca="1">INDIRECT(_xlfn.CONCAT("$I", $F420))</f>
        <v>Game Night 2019 GN2</v>
      </c>
      <c r="B420" s="1" cm="1">
        <f t="array" aca="1" ref="B420" ca="1">INDIRECT(_xlfn.CONCAT("$J", $F420))</f>
        <v>64</v>
      </c>
      <c r="C420" s="1" cm="1">
        <f t="array" aca="1" ref="C420" ca="1">INDIRECT(_xlfn.CONCAT("$K", $F420))</f>
        <v>43784</v>
      </c>
      <c r="D420" s="1"/>
      <c r="E420" s="1" t="str" cm="1">
        <f t="array" aca="1" ref="E420" ca="1">INDIRECT(_xlfn.CONCAT("$L", $F420))</f>
        <v>en es fr de it pt ja ko ru 汉语 漢語</v>
      </c>
      <c r="F420" s="1" cm="1">
        <f t="array" aca="1" ref="F420" ca="1">IF(NOT(OR(ISERROR(INDIRECT(_xlfn.CONCAT("$I", $F419 + 1))), ISBLANK(INDIRECT(_xlfn.CONCAT("$I", $F419 + 1))))), $F419 + 1, IF(NOT(ISBLANK(INDIRECT(_xlfn.CONCAT("$I", $F419 + 2)))), $F419 + 2, ""))</f>
        <v>784</v>
      </c>
      <c r="I420" s="8" t="s">
        <v>390</v>
      </c>
      <c r="J420" s="8">
        <v>3</v>
      </c>
      <c r="K420" s="9">
        <v>44883</v>
      </c>
      <c r="L420" s="8" t="s">
        <v>174</v>
      </c>
    </row>
    <row r="421" spans="1:12" ht="59.25">
      <c r="A421" s="1" t="str" cm="1">
        <f t="array" aca="1" ref="A421" ca="1">INDIRECT(_xlfn.CONCAT("$I", $F421))</f>
        <v>Game Night 2019 Tokens TGN2</v>
      </c>
      <c r="B421" s="1" cm="1">
        <f t="array" aca="1" ref="B421" ca="1">INDIRECT(_xlfn.CONCAT("$J", $F421))</f>
        <v>3</v>
      </c>
      <c r="C421" s="1" cm="1">
        <f t="array" aca="1" ref="C421" ca="1">INDIRECT(_xlfn.CONCAT("$K", $F421))</f>
        <v>43784</v>
      </c>
      <c r="D421" s="1"/>
      <c r="E421" s="1" t="str" cm="1">
        <f t="array" aca="1" ref="E421" ca="1">INDIRECT(_xlfn.CONCAT("$L", $F421))</f>
        <v>en es fr de it pt ja ko ru 汉语 漢語</v>
      </c>
      <c r="F421" s="1" cm="1">
        <f t="array" aca="1" ref="F421" ca="1">IF(NOT(OR(ISERROR(INDIRECT(_xlfn.CONCAT("$I", $F420 + 1))), ISBLANK(INDIRECT(_xlfn.CONCAT("$I", $F420 + 1))))), $F420 + 1, IF(NOT(ISBLANK(INDIRECT(_xlfn.CONCAT("$I", $F420 + 2)))), $F420 + 2, ""))</f>
        <v>786</v>
      </c>
    </row>
    <row r="422" spans="1:12" ht="68.25">
      <c r="A422" s="1" t="str" cm="1">
        <f t="array" aca="1" ref="A422" ca="1">INDIRECT(_xlfn.CONCAT("$I", $F422))</f>
        <v>Mystery Booster Playtest Cards 2019 CMB1</v>
      </c>
      <c r="B422" s="1" cm="1">
        <f t="array" aca="1" ref="B422" ca="1">INDIRECT(_xlfn.CONCAT("$J", $F422))</f>
        <v>121</v>
      </c>
      <c r="C422" s="1" cm="1">
        <f t="array" aca="1" ref="C422" ca="1">INDIRECT(_xlfn.CONCAT("$K", $F422))</f>
        <v>43776</v>
      </c>
      <c r="D422" s="1"/>
      <c r="E422" s="1" t="str" cm="1">
        <f t="array" aca="1" ref="E422" ca="1">INDIRECT(_xlfn.CONCAT("$L", $F422))</f>
        <v>en es fr de it pt ja ko ru 汉语 漢語</v>
      </c>
      <c r="F422" s="1" cm="1">
        <f t="array" aca="1" ref="F422" ca="1">IF(NOT(OR(ISERROR(INDIRECT(_xlfn.CONCAT("$I", $F421 + 1))), ISBLANK(INDIRECT(_xlfn.CONCAT("$I", $F421 + 1))))), $F421 + 1, IF(NOT(ISBLANK(INDIRECT(_xlfn.CONCAT("$I", $F421 + 2)))), $F421 + 2, ""))</f>
        <v>788</v>
      </c>
      <c r="I422" s="8" t="s">
        <v>391</v>
      </c>
      <c r="J422" s="8">
        <v>5</v>
      </c>
      <c r="K422" s="9">
        <v>44883</v>
      </c>
      <c r="L422" s="8" t="s">
        <v>174</v>
      </c>
    </row>
    <row r="423" spans="1:12" ht="59.25">
      <c r="A423" s="1" t="str" cm="1">
        <f t="array" aca="1" ref="A423" ca="1">INDIRECT(_xlfn.CONCAT("$I", $F423))</f>
        <v>Ponies: The Galloping PTG</v>
      </c>
      <c r="B423" s="1" cm="1">
        <f t="array" aca="1" ref="B423" ca="1">INDIRECT(_xlfn.CONCAT("$J", $F423))</f>
        <v>3</v>
      </c>
      <c r="C423" s="1" cm="1">
        <f t="array" aca="1" ref="C423" ca="1">INDIRECT(_xlfn.CONCAT("$K", $F423))</f>
        <v>43760</v>
      </c>
      <c r="D423" s="1"/>
      <c r="E423" s="1" t="str" cm="1">
        <f t="array" aca="1" ref="E423" ca="1">INDIRECT(_xlfn.CONCAT("$L", $F423))</f>
        <v>en es fr de it pt ja ko ru 汉语 漢語</v>
      </c>
      <c r="F423" s="1" cm="1">
        <f t="array" aca="1" ref="F423" ca="1">IF(NOT(OR(ISERROR(INDIRECT(_xlfn.CONCAT("$I", $F422 + 1))), ISBLANK(INDIRECT(_xlfn.CONCAT("$I", $F422 + 1))))), $F422 + 1, IF(NOT(ISBLANK(INDIRECT(_xlfn.CONCAT("$I", $F422 + 2)))), $F422 + 2, ""))</f>
        <v>790</v>
      </c>
    </row>
    <row r="424" spans="1:12" ht="59.25">
      <c r="A424" s="1" t="str" cm="1">
        <f t="array" aca="1" ref="A424" ca="1">INDIRECT(_xlfn.CONCAT("$I", $F424))</f>
        <v>Throne of Eldraine ELD</v>
      </c>
      <c r="B424" s="1" cm="1">
        <f t="array" aca="1" ref="B424" ca="1">INDIRECT(_xlfn.CONCAT("$J", $F424))</f>
        <v>398</v>
      </c>
      <c r="C424" s="1" cm="1">
        <f t="array" aca="1" ref="C424" ca="1">INDIRECT(_xlfn.CONCAT("$K", $F424))</f>
        <v>43742</v>
      </c>
      <c r="D424" s="1"/>
      <c r="E424" s="1" t="str" cm="1">
        <f t="array" aca="1" ref="E424" ca="1">INDIRECT(_xlfn.CONCAT("$L", $F424))</f>
        <v>en es fr de it pt ja ko ru 汉语 漢語</v>
      </c>
      <c r="F424" s="1" cm="1">
        <f t="array" aca="1" ref="F424" ca="1">IF(NOT(OR(ISERROR(INDIRECT(_xlfn.CONCAT("$I", $F423 + 1))), ISBLANK(INDIRECT(_xlfn.CONCAT("$I", $F423 + 1))))), $F423 + 1, IF(NOT(ISBLANK(INDIRECT(_xlfn.CONCAT("$I", $F423 + 2)))), $F423 + 2, ""))</f>
        <v>792</v>
      </c>
      <c r="I424" s="8" t="s">
        <v>392</v>
      </c>
      <c r="J424" s="8">
        <v>135</v>
      </c>
      <c r="K424" s="9">
        <v>44848</v>
      </c>
      <c r="L424" t="s">
        <v>174</v>
      </c>
    </row>
    <row r="425" spans="1:12" ht="59.25">
      <c r="A425" s="1" t="str" cm="1">
        <f t="array" aca="1" ref="A425" ca="1">INDIRECT(_xlfn.CONCAT("$I", $F425))</f>
        <v>Throne of Eldraine Promos PELD</v>
      </c>
      <c r="B425" s="1" cm="1">
        <f t="array" aca="1" ref="B425" ca="1">INDIRECT(_xlfn.CONCAT("$J", $F425))</f>
        <v>138</v>
      </c>
      <c r="C425" s="1" cm="1">
        <f t="array" aca="1" ref="C425" ca="1">INDIRECT(_xlfn.CONCAT("$K", $F425))</f>
        <v>43742</v>
      </c>
      <c r="D425" s="1"/>
      <c r="E425" s="1" t="str" cm="1">
        <f t="array" aca="1" ref="E425" ca="1">INDIRECT(_xlfn.CONCAT("$L", $F425))</f>
        <v>en es fr de it pt ja ko ru 汉语 漢語</v>
      </c>
      <c r="F425" s="1" cm="1">
        <f t="array" aca="1" ref="F425" ca="1">IF(NOT(OR(ISERROR(INDIRECT(_xlfn.CONCAT("$I", $F424 + 1))), ISBLANK(INDIRECT(_xlfn.CONCAT("$I", $F424 + 1))))), $F424 + 1, IF(NOT(ISBLANK(INDIRECT(_xlfn.CONCAT("$I", $F424 + 2)))), $F424 + 2, ""))</f>
        <v>794</v>
      </c>
    </row>
    <row r="426" spans="1:12" ht="59.25">
      <c r="A426" s="1" t="str" cm="1">
        <f t="array" aca="1" ref="A426" ca="1">INDIRECT(_xlfn.CONCAT("$I", $F426))</f>
        <v>Throne of Eldraine Tokens TELD</v>
      </c>
      <c r="B426" s="1" cm="1">
        <f t="array" aca="1" ref="B426" ca="1">INDIRECT(_xlfn.CONCAT("$J", $F426))</f>
        <v>20</v>
      </c>
      <c r="C426" s="1" cm="1">
        <f t="array" aca="1" ref="C426" ca="1">INDIRECT(_xlfn.CONCAT("$K", $F426))</f>
        <v>43742</v>
      </c>
      <c r="D426" s="1"/>
      <c r="E426" s="1" t="str" cm="1">
        <f t="array" aca="1" ref="E426" ca="1">INDIRECT(_xlfn.CONCAT("$L", $F426))</f>
        <v>en es fr de it pt ja ko ru 汉语 漢語</v>
      </c>
      <c r="F426" s="1" cm="1">
        <f t="array" aca="1" ref="F426" ca="1">IF(NOT(OR(ISERROR(INDIRECT(_xlfn.CONCAT("$I", $F425 + 1))), ISBLANK(INDIRECT(_xlfn.CONCAT("$I", $F425 + 1))))), $F425 + 1, IF(NOT(ISBLANK(INDIRECT(_xlfn.CONCAT("$I", $F425 + 2)))), $F425 + 2, ""))</f>
        <v>796</v>
      </c>
      <c r="I426" s="8" t="s">
        <v>393</v>
      </c>
      <c r="J426" s="8">
        <v>10</v>
      </c>
      <c r="K426" s="9">
        <v>44848</v>
      </c>
      <c r="L426" s="8" t="s">
        <v>174</v>
      </c>
    </row>
    <row r="427" spans="1:12" ht="68.25">
      <c r="A427" s="1" t="str" cm="1">
        <f t="array" aca="1" ref="A427" ca="1">INDIRECT(_xlfn.CONCAT("$I", $F427))</f>
        <v>Planeswalker Championship Promos PWCS</v>
      </c>
      <c r="B427" s="1" cm="1">
        <f t="array" aca="1" ref="B427" ca="1">INDIRECT(_xlfn.CONCAT("$J", $F427))</f>
        <v>42</v>
      </c>
      <c r="C427" s="1" cm="1">
        <f t="array" aca="1" ref="C427" ca="1">INDIRECT(_xlfn.CONCAT("$K", $F427))</f>
        <v>43739</v>
      </c>
      <c r="D427" s="1"/>
      <c r="E427" s="1" t="str" cm="1">
        <f t="array" aca="1" ref="E427" ca="1">INDIRECT(_xlfn.CONCAT("$L", $F427))</f>
        <v>en es fr de it pt ja ko ru 汉语 漢語</v>
      </c>
      <c r="F427" s="1" cm="1">
        <f t="array" aca="1" ref="F427" ca="1">IF(NOT(OR(ISERROR(INDIRECT(_xlfn.CONCAT("$I", $F426 + 1))), ISBLANK(INDIRECT(_xlfn.CONCAT("$I", $F426 + 1))))), $F426 + 1, IF(NOT(ISBLANK(INDIRECT(_xlfn.CONCAT("$I", $F426 + 2)))), $F426 + 2, ""))</f>
        <v>798</v>
      </c>
    </row>
    <row r="428" spans="1:12" ht="27.75">
      <c r="A428" s="1" t="str" cm="1">
        <f t="array" aca="1" ref="A428" ca="1">INDIRECT(_xlfn.CONCAT("$I", $F428))</f>
        <v>Grixis Cube GRIXIS</v>
      </c>
      <c r="B428" s="1" cm="1">
        <f t="array" aca="1" ref="B428" ca="1">INDIRECT(_xlfn.CONCAT("$J", $F428))</f>
        <v>540</v>
      </c>
      <c r="C428" s="1" cm="1">
        <f t="array" aca="1" ref="C428" ca="1">INDIRECT(_xlfn.CONCAT("$K", $F428))</f>
        <v>43705</v>
      </c>
      <c r="D428" s="1"/>
      <c r="E428" s="1" cm="1">
        <f t="array" aca="1" ref="E428" ca="1">INDIRECT(_xlfn.CONCAT("$L", $F428))</f>
        <v>0</v>
      </c>
      <c r="F428" s="1" cm="1">
        <f t="array" aca="1" ref="F428" ca="1">IF(NOT(OR(ISERROR(INDIRECT(_xlfn.CONCAT("$I", $F427 + 1))), ISBLANK(INDIRECT(_xlfn.CONCAT("$I", $F427 + 1))))), $F427 + 1, IF(NOT(ISBLANK(INDIRECT(_xlfn.CONCAT("$I", $F427 + 2)))), $F427 + 2, ""))</f>
        <v>800</v>
      </c>
      <c r="I428" s="8" t="s">
        <v>394</v>
      </c>
      <c r="J428" s="8">
        <v>639</v>
      </c>
      <c r="K428" s="9">
        <v>44841</v>
      </c>
      <c r="L428" s="8" t="s">
        <v>174</v>
      </c>
    </row>
    <row r="429" spans="1:12" ht="59.25">
      <c r="A429" s="1" t="str" cm="1">
        <f t="array" aca="1" ref="A429" ca="1">INDIRECT(_xlfn.CONCAT("$I", $F429))</f>
        <v>Commander 2019 C19</v>
      </c>
      <c r="B429" s="1" cm="1">
        <f t="array" aca="1" ref="B429" ca="1">INDIRECT(_xlfn.CONCAT("$J", $F429))</f>
        <v>302</v>
      </c>
      <c r="C429" s="1" cm="1">
        <f t="array" aca="1" ref="C429" ca="1">INDIRECT(_xlfn.CONCAT("$K", $F429))</f>
        <v>43700</v>
      </c>
      <c r="D429" s="1"/>
      <c r="E429" s="1" t="str" cm="1">
        <f t="array" aca="1" ref="E429" ca="1">INDIRECT(_xlfn.CONCAT("$L", $F429))</f>
        <v>en es fr de it pt ja ko ru 汉语 漢語</v>
      </c>
      <c r="F429" s="1" cm="1">
        <f t="array" aca="1" ref="F429" ca="1">IF(NOT(OR(ISERROR(INDIRECT(_xlfn.CONCAT("$I", $F428 + 1))), ISBLANK(INDIRECT(_xlfn.CONCAT("$I", $F428 + 1))))), $F428 + 1, IF(NOT(ISBLANK(INDIRECT(_xlfn.CONCAT("$I", $F428 + 2)))), $F428 + 2, ""))</f>
        <v>802</v>
      </c>
    </row>
    <row r="430" spans="1:12" ht="59.25">
      <c r="A430" s="1" t="str" cm="1">
        <f t="array" aca="1" ref="A430" ca="1">INDIRECT(_xlfn.CONCAT("$I", $F430))</f>
        <v>Commander 2019 Tokens TC19</v>
      </c>
      <c r="B430" s="1" cm="1">
        <f t="array" aca="1" ref="B430" ca="1">INDIRECT(_xlfn.CONCAT("$J", $F430))</f>
        <v>29</v>
      </c>
      <c r="C430" s="1" cm="1">
        <f t="array" aca="1" ref="C430" ca="1">INDIRECT(_xlfn.CONCAT("$K", $F430))</f>
        <v>43678</v>
      </c>
      <c r="D430" s="1"/>
      <c r="E430" s="1" t="str" cm="1">
        <f t="array" aca="1" ref="E430" ca="1">INDIRECT(_xlfn.CONCAT("$L", $F430))</f>
        <v>en es fr de it pt ja ko ru 汉语 漢語</v>
      </c>
      <c r="F430" s="1" cm="1">
        <f t="array" aca="1" ref="F430" ca="1">IF(NOT(OR(ISERROR(INDIRECT(_xlfn.CONCAT("$I", $F429 + 1))), ISBLANK(INDIRECT(_xlfn.CONCAT("$I", $F429 + 1))))), $F429 + 1, IF(NOT(ISBLANK(INDIRECT(_xlfn.CONCAT("$I", $F429 + 2)))), $F429 + 2, ""))</f>
        <v>804</v>
      </c>
      <c r="I430" s="8" t="s">
        <v>395</v>
      </c>
      <c r="J430" s="8">
        <v>14</v>
      </c>
      <c r="K430" s="9">
        <v>44841</v>
      </c>
      <c r="L430" s="8" t="s">
        <v>174</v>
      </c>
    </row>
    <row r="431" spans="1:12" ht="59.25">
      <c r="A431" s="1" t="str" cm="1">
        <f t="array" aca="1" ref="A431" ca="1">INDIRECT(_xlfn.CONCAT("$I", $F431))</f>
        <v>Commander 2019 Oversized OC19</v>
      </c>
      <c r="B431" s="1" cm="1">
        <f t="array" aca="1" ref="B431" ca="1">INDIRECT(_xlfn.CONCAT("$J", $F431))</f>
        <v>4</v>
      </c>
      <c r="C431" s="1" cm="1">
        <f t="array" aca="1" ref="C431" ca="1">INDIRECT(_xlfn.CONCAT("$K", $F431))</f>
        <v>43708</v>
      </c>
      <c r="D431" s="1"/>
      <c r="E431" s="1" t="str" cm="1">
        <f t="array" aca="1" ref="E431" ca="1">INDIRECT(_xlfn.CONCAT("$L", $F431))</f>
        <v>en es fr de it pt ja ko ru 汉语 漢語</v>
      </c>
      <c r="F431" s="1" cm="1">
        <f t="array" aca="1" ref="F431" ca="1">IF(NOT(OR(ISERROR(INDIRECT(_xlfn.CONCAT("$I", $F430 + 1))), ISBLANK(INDIRECT(_xlfn.CONCAT("$I", $F430 + 1))))), $F430 + 1, IF(NOT(ISBLANK(INDIRECT(_xlfn.CONCAT("$I", $F430 + 2)))), $F430 + 2, ""))</f>
        <v>806</v>
      </c>
    </row>
    <row r="432" spans="1:12" ht="59.25">
      <c r="A432" s="1" t="str" cm="1">
        <f t="array" aca="1" ref="A432" ca="1">INDIRECT(_xlfn.CONCAT("$I", $F432))</f>
        <v>2018 Heroes of the Realm PH18</v>
      </c>
      <c r="B432" s="1" cm="1">
        <f t="array" aca="1" ref="B432" ca="1">INDIRECT(_xlfn.CONCAT("$J", $F432))</f>
        <v>5</v>
      </c>
      <c r="C432" s="1" cm="1">
        <f t="array" aca="1" ref="C432" ca="1">INDIRECT(_xlfn.CONCAT("$K", $F432))</f>
        <v>43678</v>
      </c>
      <c r="D432" s="1"/>
      <c r="E432" s="1" t="str" cm="1">
        <f t="array" aca="1" ref="E432" ca="1">INDIRECT(_xlfn.CONCAT("$L", $F432))</f>
        <v>en es fr de it pt ja ko ru 汉语 漢語</v>
      </c>
      <c r="F432" s="1" cm="1">
        <f t="array" aca="1" ref="F432" ca="1">IF(NOT(OR(ISERROR(INDIRECT(_xlfn.CONCAT("$I", $F431 + 1))), ISBLANK(INDIRECT(_xlfn.CONCAT("$I", $F431 + 1))))), $F431 + 1, IF(NOT(ISBLANK(INDIRECT(_xlfn.CONCAT("$I", $F431 + 2)))), $F431 + 2, ""))</f>
        <v>808</v>
      </c>
      <c r="I432" s="8" t="s">
        <v>396</v>
      </c>
      <c r="J432" s="8">
        <v>48</v>
      </c>
      <c r="K432" s="9">
        <v>44841</v>
      </c>
      <c r="L432" s="8" t="s">
        <v>174</v>
      </c>
    </row>
    <row r="433" spans="1:12" ht="59.25">
      <c r="A433" s="1" t="str" cm="1">
        <f t="array" aca="1" ref="A433" ca="1">INDIRECT(_xlfn.CONCAT("$I", $F433))</f>
        <v>San Diego Comic-Con 2019 PS19</v>
      </c>
      <c r="B433" s="1" cm="1">
        <f t="array" aca="1" ref="B433" ca="1">INDIRECT(_xlfn.CONCAT("$J", $F433))</f>
        <v>5</v>
      </c>
      <c r="C433" s="1" cm="1">
        <f t="array" aca="1" ref="C433" ca="1">INDIRECT(_xlfn.CONCAT("$K", $F433))</f>
        <v>43664</v>
      </c>
      <c r="D433" s="1"/>
      <c r="E433" s="1" t="str" cm="1">
        <f t="array" aca="1" ref="E433" ca="1">INDIRECT(_xlfn.CONCAT("$L", $F433))</f>
        <v>en es fr de it pt ja ko ru 汉语 漢語</v>
      </c>
      <c r="F433" s="1" cm="1">
        <f t="array" aca="1" ref="F433" ca="1">IF(NOT(OR(ISERROR(INDIRECT(_xlfn.CONCAT("$I", $F432 + 1))), ISBLANK(INDIRECT(_xlfn.CONCAT("$I", $F432 + 1))))), $F432 + 1, IF(NOT(ISBLANK(INDIRECT(_xlfn.CONCAT("$I", $F432 + 2)))), $F432 + 2, ""))</f>
        <v>810</v>
      </c>
    </row>
    <row r="434" spans="1:12" ht="59.25">
      <c r="A434" s="1" t="str" cm="1">
        <f t="array" aca="1" ref="A434" ca="1">INDIRECT(_xlfn.CONCAT("$I", $F434))</f>
        <v>Core Set 2020 M20</v>
      </c>
      <c r="B434" s="1" cm="1">
        <f t="array" aca="1" ref="B434" ca="1">INDIRECT(_xlfn.CONCAT("$J", $F434))</f>
        <v>346</v>
      </c>
      <c r="C434" s="1" cm="1">
        <f t="array" aca="1" ref="C434" ca="1">INDIRECT(_xlfn.CONCAT("$K", $F434))</f>
        <v>43658</v>
      </c>
      <c r="D434" s="1"/>
      <c r="E434" s="1" t="str" cm="1">
        <f t="array" aca="1" ref="E434" ca="1">INDIRECT(_xlfn.CONCAT("$L", $F434))</f>
        <v>en es fr de it pt ja ko ru 汉语 漢語</v>
      </c>
      <c r="F434" s="1" cm="1">
        <f t="array" aca="1" ref="F434" ca="1">IF(NOT(OR(ISERROR(INDIRECT(_xlfn.CONCAT("$I", $F433 + 1))), ISBLANK(INDIRECT(_xlfn.CONCAT("$I", $F433 + 1))))), $F433 + 1, IF(NOT(ISBLANK(INDIRECT(_xlfn.CONCAT("$I", $F433 + 2)))), $F433 + 2, ""))</f>
        <v>812</v>
      </c>
      <c r="I434" s="8" t="s">
        <v>397</v>
      </c>
      <c r="J434" s="8">
        <v>617</v>
      </c>
      <c r="K434" s="9">
        <v>44841</v>
      </c>
      <c r="L434" t="s">
        <v>174</v>
      </c>
    </row>
    <row r="435" spans="1:12" ht="59.25">
      <c r="A435" s="1" t="str" cm="1">
        <f t="array" aca="1" ref="A435" ca="1">INDIRECT(_xlfn.CONCAT("$I", $F435))</f>
        <v>Core Set 2020 Promos PM20</v>
      </c>
      <c r="B435" s="1" cm="1">
        <f t="array" aca="1" ref="B435" ca="1">INDIRECT(_xlfn.CONCAT("$J", $F435))</f>
        <v>144</v>
      </c>
      <c r="C435" s="1" cm="1">
        <f t="array" aca="1" ref="C435" ca="1">INDIRECT(_xlfn.CONCAT("$K", $F435))</f>
        <v>43658</v>
      </c>
      <c r="D435" s="1"/>
      <c r="E435" s="1" t="str" cm="1">
        <f t="array" aca="1" ref="E435" ca="1">INDIRECT(_xlfn.CONCAT("$L", $F435))</f>
        <v>en es fr de it pt ja ko ru 汉语 漢語</v>
      </c>
      <c r="F435" s="1" cm="1">
        <f t="array" aca="1" ref="F435" ca="1">IF(NOT(OR(ISERROR(INDIRECT(_xlfn.CONCAT("$I", $F434 + 1))), ISBLANK(INDIRECT(_xlfn.CONCAT("$I", $F434 + 1))))), $F434 + 1, IF(NOT(ISBLANK(INDIRECT(_xlfn.CONCAT("$I", $F434 + 2)))), $F434 + 2, ""))</f>
        <v>814</v>
      </c>
    </row>
    <row r="436" spans="1:12" ht="59.25">
      <c r="A436" s="1" t="str" cm="1">
        <f t="array" aca="1" ref="A436" ca="1">INDIRECT(_xlfn.CONCAT("$I", $F436))</f>
        <v>Core Set 2020 Tokens TM20</v>
      </c>
      <c r="B436" s="1" cm="1">
        <f t="array" aca="1" ref="B436" ca="1">INDIRECT(_xlfn.CONCAT("$J", $F436))</f>
        <v>12</v>
      </c>
      <c r="C436" s="1" cm="1">
        <f t="array" aca="1" ref="C436" ca="1">INDIRECT(_xlfn.CONCAT("$K", $F436))</f>
        <v>43658</v>
      </c>
      <c r="D436" s="1"/>
      <c r="E436" s="1" t="str" cm="1">
        <f t="array" aca="1" ref="E436" ca="1">INDIRECT(_xlfn.CONCAT("$L", $F436))</f>
        <v>en es fr de it pt ja ko ru 汉语 漢語</v>
      </c>
      <c r="F436" s="1" cm="1">
        <f t="array" aca="1" ref="F436" ca="1">IF(NOT(OR(ISERROR(INDIRECT(_xlfn.CONCAT("$I", $F435 + 1))), ISBLANK(INDIRECT(_xlfn.CONCAT("$I", $F435 + 1))))), $F435 + 1, IF(NOT(ISBLANK(INDIRECT(_xlfn.CONCAT("$I", $F435 + 2)))), $F435 + 2, ""))</f>
        <v>816</v>
      </c>
      <c r="I436" s="8" t="s">
        <v>398</v>
      </c>
      <c r="J436" s="8">
        <v>31</v>
      </c>
      <c r="K436" s="9">
        <v>44841</v>
      </c>
      <c r="L436" s="8" t="s">
        <v>174</v>
      </c>
    </row>
    <row r="437" spans="1:12" ht="59.25">
      <c r="A437" s="1" t="str" cm="1">
        <f t="array" aca="1" ref="A437" ca="1">INDIRECT(_xlfn.CONCAT("$I", $F437))</f>
        <v>M20 Promo Packs PPP1</v>
      </c>
      <c r="B437" s="1" cm="1">
        <f t="array" aca="1" ref="B437" ca="1">INDIRECT(_xlfn.CONCAT("$J", $F437))</f>
        <v>5</v>
      </c>
      <c r="C437" s="1" cm="1">
        <f t="array" aca="1" ref="C437" ca="1">INDIRECT(_xlfn.CONCAT("$K", $F437))</f>
        <v>43658</v>
      </c>
      <c r="D437" s="1"/>
      <c r="E437" s="1" t="str" cm="1">
        <f t="array" aca="1" ref="E437" ca="1">INDIRECT(_xlfn.CONCAT("$L", $F437))</f>
        <v>en es fr de it pt ja ko ru 汉语 漢語</v>
      </c>
      <c r="F437" s="1" cm="1">
        <f t="array" aca="1" ref="F437" ca="1">IF(NOT(OR(ISERROR(INDIRECT(_xlfn.CONCAT("$I", $F436 + 1))), ISBLANK(INDIRECT(_xlfn.CONCAT("$I", $F436 + 1))))), $F436 + 1, IF(NOT(ISBLANK(INDIRECT(_xlfn.CONCAT("$I", $F436 + 2)))), $F436 + 2, ""))</f>
        <v>818</v>
      </c>
    </row>
    <row r="438" spans="1:12" ht="59.25">
      <c r="A438" s="1" t="str" cm="1">
        <f t="array" aca="1" ref="A438" ca="1">INDIRECT(_xlfn.CONCAT("$I", $F438))</f>
        <v>Signature Spellbook: Gideon SS2</v>
      </c>
      <c r="B438" s="1" cm="1">
        <f t="array" aca="1" ref="B438" ca="1">INDIRECT(_xlfn.CONCAT("$J", $F438))</f>
        <v>8</v>
      </c>
      <c r="C438" s="1" cm="1">
        <f t="array" aca="1" ref="C438" ca="1">INDIRECT(_xlfn.CONCAT("$K", $F438))</f>
        <v>43644</v>
      </c>
      <c r="D438" s="1"/>
      <c r="E438" s="1" t="str" cm="1">
        <f t="array" aca="1" ref="E438" ca="1">INDIRECT(_xlfn.CONCAT("$L", $F438))</f>
        <v>en es fr de it pt ja ko ru 汉语 漢語</v>
      </c>
      <c r="F438" s="1" cm="1">
        <f t="array" aca="1" ref="F438" ca="1">IF(NOT(OR(ISERROR(INDIRECT(_xlfn.CONCAT("$I", $F437 + 1))), ISBLANK(INDIRECT(_xlfn.CONCAT("$I", $F437 + 1))))), $F437 + 1, IF(NOT(ISBLANK(INDIRECT(_xlfn.CONCAT("$I", $F437 + 2)))), $F437 + 2, ""))</f>
        <v>820</v>
      </c>
      <c r="I438" s="8" t="s">
        <v>399</v>
      </c>
      <c r="J438" s="8">
        <v>3</v>
      </c>
      <c r="K438" s="9">
        <v>44835</v>
      </c>
      <c r="L438" s="8" t="s">
        <v>174</v>
      </c>
    </row>
    <row r="439" spans="1:12" ht="59.25">
      <c r="A439" s="1" t="str" cm="1">
        <f t="array" aca="1" ref="A439" ca="1">INDIRECT(_xlfn.CONCAT("$I", $F439))</f>
        <v>Modern Horizons MH1</v>
      </c>
      <c r="B439" s="1" cm="1">
        <f t="array" aca="1" ref="B439" ca="1">INDIRECT(_xlfn.CONCAT("$J", $F439))</f>
        <v>255</v>
      </c>
      <c r="C439" s="1" cm="1">
        <f t="array" aca="1" ref="C439" ca="1">INDIRECT(_xlfn.CONCAT("$K", $F439))</f>
        <v>43630</v>
      </c>
      <c r="D439" s="1"/>
      <c r="E439" s="1" t="str" cm="1">
        <f t="array" aca="1" ref="E439" ca="1">INDIRECT(_xlfn.CONCAT("$L", $F439))</f>
        <v>en es fr de it pt ja ko ru 汉语 漢語</v>
      </c>
      <c r="F439" s="1" cm="1">
        <f t="array" aca="1" ref="F439" ca="1">IF(NOT(OR(ISERROR(INDIRECT(_xlfn.CONCAT("$I", $F438 + 1))), ISBLANK(INDIRECT(_xlfn.CONCAT("$I", $F438 + 1))))), $F438 + 1, IF(NOT(ISBLANK(INDIRECT(_xlfn.CONCAT("$I", $F438 + 2)))), $F438 + 2, ""))</f>
        <v>822</v>
      </c>
    </row>
    <row r="440" spans="1:12" ht="59.25">
      <c r="A440" s="1" t="str" cm="1">
        <f t="array" aca="1" ref="A440" ca="1">INDIRECT(_xlfn.CONCAT("$I", $F440))</f>
        <v>Modern Horizons Promos PMH1</v>
      </c>
      <c r="B440" s="1" cm="1">
        <f t="array" aca="1" ref="B440" ca="1">INDIRECT(_xlfn.CONCAT("$J", $F440))</f>
        <v>2</v>
      </c>
      <c r="C440" s="1" cm="1">
        <f t="array" aca="1" ref="C440" ca="1">INDIRECT(_xlfn.CONCAT("$K", $F440))</f>
        <v>43630</v>
      </c>
      <c r="D440" s="1"/>
      <c r="E440" s="1" t="str" cm="1">
        <f t="array" aca="1" ref="E440" ca="1">INDIRECT(_xlfn.CONCAT("$L", $F440))</f>
        <v>en es fr de it pt ja ko ru 汉语 漢語</v>
      </c>
      <c r="F440" s="1" cm="1">
        <f t="array" aca="1" ref="F440" ca="1">IF(NOT(OR(ISERROR(INDIRECT(_xlfn.CONCAT("$I", $F439 + 1))), ISBLANK(INDIRECT(_xlfn.CONCAT("$I", $F439 + 1))))), $F439 + 1, IF(NOT(ISBLANK(INDIRECT(_xlfn.CONCAT("$I", $F439 + 2)))), $F439 + 2, ""))</f>
        <v>824</v>
      </c>
      <c r="I440" s="8" t="s">
        <v>1196</v>
      </c>
      <c r="J440" s="8">
        <v>453</v>
      </c>
      <c r="K440" s="9">
        <v>44813</v>
      </c>
      <c r="L440" t="s">
        <v>174</v>
      </c>
    </row>
    <row r="441" spans="1:12" ht="59.25">
      <c r="A441" s="1" t="str" cm="1">
        <f t="array" aca="1" ref="A441" ca="1">INDIRECT(_xlfn.CONCAT("$I", $F441))</f>
        <v>Modern Horizons Tokens TMH1</v>
      </c>
      <c r="B441" s="1" cm="1">
        <f t="array" aca="1" ref="B441" ca="1">INDIRECT(_xlfn.CONCAT("$J", $F441))</f>
        <v>21</v>
      </c>
      <c r="C441" s="1" cm="1">
        <f t="array" aca="1" ref="C441" ca="1">INDIRECT(_xlfn.CONCAT("$K", $F441))</f>
        <v>43615</v>
      </c>
      <c r="D441" s="1"/>
      <c r="E441" s="1" t="str" cm="1">
        <f t="array" aca="1" ref="E441" ca="1">INDIRECT(_xlfn.CONCAT("$L", $F441))</f>
        <v>en es fr de it pt ja ko ru 汉语 漢語</v>
      </c>
      <c r="F441" s="1" cm="1">
        <f t="array" aca="1" ref="F441" ca="1">IF(NOT(OR(ISERROR(INDIRECT(_xlfn.CONCAT("$I", $F440 + 1))), ISBLANK(INDIRECT(_xlfn.CONCAT("$I", $F440 + 1))))), $F440 + 1, IF(NOT(ISBLANK(INDIRECT(_xlfn.CONCAT("$I", $F440 + 2)))), $F440 + 2, ""))</f>
        <v>826</v>
      </c>
    </row>
    <row r="442" spans="1:12" ht="59.25">
      <c r="A442" s="1" t="str" cm="1">
        <f t="array" aca="1" ref="A442" ca="1">INDIRECT(_xlfn.CONCAT("$I", $F442))</f>
        <v>Modern Horizons Art Series AMH1</v>
      </c>
      <c r="B442" s="1" cm="1">
        <f t="array" aca="1" ref="B442" ca="1">INDIRECT(_xlfn.CONCAT("$J", $F442))</f>
        <v>54</v>
      </c>
      <c r="C442" s="1" cm="1">
        <f t="array" aca="1" ref="C442" ca="1">INDIRECT(_xlfn.CONCAT("$K", $F442))</f>
        <v>43621</v>
      </c>
      <c r="D442" s="1"/>
      <c r="E442" s="1" t="str" cm="1">
        <f t="array" aca="1" ref="E442" ca="1">INDIRECT(_xlfn.CONCAT("$L", $F442))</f>
        <v>en es fr de it pt ja ko ru 汉语 漢語</v>
      </c>
      <c r="F442" s="1" cm="1">
        <f t="array" aca="1" ref="F442" ca="1">IF(NOT(OR(ISERROR(INDIRECT(_xlfn.CONCAT("$I", $F441 + 1))), ISBLANK(INDIRECT(_xlfn.CONCAT("$I", $F441 + 1))))), $F441 + 1, IF(NOT(ISBLANK(INDIRECT(_xlfn.CONCAT("$I", $F441 + 2)))), $F441 + 2, ""))</f>
        <v>828</v>
      </c>
      <c r="I442" s="8" t="s">
        <v>400</v>
      </c>
      <c r="J442" s="8">
        <v>161</v>
      </c>
      <c r="K442" s="9">
        <v>44813</v>
      </c>
      <c r="L442" s="8" t="s">
        <v>174</v>
      </c>
    </row>
    <row r="443" spans="1:12" ht="59.25">
      <c r="A443" s="1" t="str" cm="1">
        <f t="array" aca="1" ref="A443" ca="1">INDIRECT(_xlfn.CONCAT("$I", $F443))</f>
        <v>War of the Spark WAR</v>
      </c>
      <c r="B443" s="1" cm="1">
        <f t="array" aca="1" ref="B443" ca="1">INDIRECT(_xlfn.CONCAT("$J", $F443))</f>
        <v>312</v>
      </c>
      <c r="C443" s="1" cm="1">
        <f t="array" aca="1" ref="C443" ca="1">INDIRECT(_xlfn.CONCAT("$K", $F443))</f>
        <v>43588</v>
      </c>
      <c r="D443" s="1"/>
      <c r="E443" s="1" t="str" cm="1">
        <f t="array" aca="1" ref="E443" ca="1">INDIRECT(_xlfn.CONCAT("$L", $F443))</f>
        <v>en es fr de it pt ja ko ru 汉语 漢語</v>
      </c>
      <c r="F443" s="1" cm="1">
        <f t="array" aca="1" ref="F443" ca="1">IF(NOT(OR(ISERROR(INDIRECT(_xlfn.CONCAT("$I", $F442 + 1))), ISBLANK(INDIRECT(_xlfn.CONCAT("$I", $F442 + 1))))), $F442 + 1, IF(NOT(ISBLANK(INDIRECT(_xlfn.CONCAT("$I", $F442 + 2)))), $F442 + 2, ""))</f>
        <v>830</v>
      </c>
    </row>
    <row r="444" spans="1:12" ht="59.25">
      <c r="A444" s="1" t="str" cm="1">
        <f t="array" aca="1" ref="A444" ca="1">INDIRECT(_xlfn.CONCAT("$I", $F444))</f>
        <v>War of the Spark Promos PWAR</v>
      </c>
      <c r="B444" s="1" cm="1">
        <f t="array" aca="1" ref="B444" ca="1">INDIRECT(_xlfn.CONCAT("$J", $F444))</f>
        <v>176</v>
      </c>
      <c r="C444" s="1" cm="1">
        <f t="array" aca="1" ref="C444" ca="1">INDIRECT(_xlfn.CONCAT("$K", $F444))</f>
        <v>43588</v>
      </c>
      <c r="D444" s="1"/>
      <c r="E444" s="1" t="str" cm="1">
        <f t="array" aca="1" ref="E444" ca="1">INDIRECT(_xlfn.CONCAT("$L", $F444))</f>
        <v>en es fr de it pt ja ko ru 汉语 漢語</v>
      </c>
      <c r="F444" s="1" cm="1">
        <f t="array" aca="1" ref="F444" ca="1">IF(NOT(OR(ISERROR(INDIRECT(_xlfn.CONCAT("$I", $F443 + 1))), ISBLANK(INDIRECT(_xlfn.CONCAT("$I", $F443 + 1))))), $F443 + 1, IF(NOT(ISBLANK(INDIRECT(_xlfn.CONCAT("$I", $F443 + 2)))), $F443 + 2, ""))</f>
        <v>832</v>
      </c>
      <c r="I444" s="8" t="s">
        <v>401</v>
      </c>
      <c r="J444" s="8">
        <v>26</v>
      </c>
      <c r="K444" s="9">
        <v>44813</v>
      </c>
      <c r="L444" s="8" t="s">
        <v>174</v>
      </c>
    </row>
    <row r="445" spans="1:12" ht="59.25">
      <c r="A445" s="1" t="str" cm="1">
        <f t="array" aca="1" ref="A445" ca="1">INDIRECT(_xlfn.CONCAT("$I", $F445))</f>
        <v>War of the Spark Tokens TWAR</v>
      </c>
      <c r="B445" s="1" cm="1">
        <f t="array" aca="1" ref="B445" ca="1">INDIRECT(_xlfn.CONCAT("$J", $F445))</f>
        <v>19</v>
      </c>
      <c r="C445" s="1" cm="1">
        <f t="array" aca="1" ref="C445" ca="1">INDIRECT(_xlfn.CONCAT("$K", $F445))</f>
        <v>43588</v>
      </c>
      <c r="D445" s="1"/>
      <c r="E445" s="1" t="str" cm="1">
        <f t="array" aca="1" ref="E445" ca="1">INDIRECT(_xlfn.CONCAT("$L", $F445))</f>
        <v>en es fr de it pt ja ko ru 汉语 漢語</v>
      </c>
      <c r="F445" s="1" cm="1">
        <f t="array" aca="1" ref="F445" ca="1">IF(NOT(OR(ISERROR(INDIRECT(_xlfn.CONCAT("$I", $F444 + 1))), ISBLANK(INDIRECT(_xlfn.CONCAT("$I", $F444 + 1))))), $F444 + 1, IF(NOT(ISBLANK(INDIRECT(_xlfn.CONCAT("$I", $F444 + 2)))), $F444 + 2, ""))</f>
        <v>834</v>
      </c>
    </row>
    <row r="446" spans="1:12" ht="59.25">
      <c r="A446" s="1" t="str" cm="1">
        <f t="array" aca="1" ref="A446" ca="1">INDIRECT(_xlfn.CONCAT("$I", $F446))</f>
        <v>Judge Gift Cards 2019 J19</v>
      </c>
      <c r="B446" s="1" cm="1">
        <f t="array" aca="1" ref="B446" ca="1">INDIRECT(_xlfn.CONCAT("$J", $F446))</f>
        <v>8</v>
      </c>
      <c r="C446" s="1" cm="1">
        <f t="array" aca="1" ref="C446" ca="1">INDIRECT(_xlfn.CONCAT("$K", $F446))</f>
        <v>43565</v>
      </c>
      <c r="D446" s="1"/>
      <c r="E446" s="1" t="str" cm="1">
        <f t="array" aca="1" ref="E446" ca="1">INDIRECT(_xlfn.CONCAT("$L", $F446))</f>
        <v>en es fr de it pt ja ko ru 汉语 漢語</v>
      </c>
      <c r="F446" s="1" cm="1">
        <f t="array" aca="1" ref="F446" ca="1">IF(NOT(OR(ISERROR(INDIRECT(_xlfn.CONCAT("$I", $F445 + 1))), ISBLANK(INDIRECT(_xlfn.CONCAT("$I", $F445 + 1))))), $F445 + 1, IF(NOT(ISBLANK(INDIRECT(_xlfn.CONCAT("$I", $F445 + 2)))), $F445 + 2, ""))</f>
        <v>836</v>
      </c>
      <c r="I446" s="8" t="s">
        <v>402</v>
      </c>
      <c r="J446" s="8">
        <v>39</v>
      </c>
      <c r="K446" s="9">
        <v>44839</v>
      </c>
      <c r="L446" s="8" t="s">
        <v>174</v>
      </c>
    </row>
    <row r="447" spans="1:12" ht="59.25">
      <c r="A447" s="1" t="str" cm="1">
        <f t="array" aca="1" ref="A447" ca="1">INDIRECT(_xlfn.CONCAT("$I", $F447))</f>
        <v>RNA Guild Kit GK2</v>
      </c>
      <c r="B447" s="1" cm="1">
        <f t="array" aca="1" ref="B447" ca="1">INDIRECT(_xlfn.CONCAT("$J", $F447))</f>
        <v>133</v>
      </c>
      <c r="C447" s="1" cm="1">
        <f t="array" aca="1" ref="C447" ca="1">INDIRECT(_xlfn.CONCAT("$K", $F447))</f>
        <v>43511</v>
      </c>
      <c r="D447" s="1"/>
      <c r="E447" s="1" t="str" cm="1">
        <f t="array" aca="1" ref="E447" ca="1">INDIRECT(_xlfn.CONCAT("$L", $F447))</f>
        <v>en es fr de it pt ja ko ru 汉语 漢語</v>
      </c>
      <c r="F447" s="1" cm="1">
        <f t="array" aca="1" ref="F447" ca="1">IF(NOT(OR(ISERROR(INDIRECT(_xlfn.CONCAT("$I", $F446 + 1))), ISBLANK(INDIRECT(_xlfn.CONCAT("$I", $F446 + 1))))), $F446 + 1, IF(NOT(ISBLANK(INDIRECT(_xlfn.CONCAT("$I", $F446 + 2)))), $F446 + 2, ""))</f>
        <v>838</v>
      </c>
    </row>
    <row r="448" spans="1:12" ht="59.25">
      <c r="A448" s="1" t="str" cm="1">
        <f t="array" aca="1" ref="A448" ca="1">INDIRECT(_xlfn.CONCAT("$I", $F448))</f>
        <v>RNA Guild Kit Tokens TGK2</v>
      </c>
      <c r="B448" s="1" cm="1">
        <f t="array" aca="1" ref="B448" ca="1">INDIRECT(_xlfn.CONCAT("$J", $F448))</f>
        <v>9</v>
      </c>
      <c r="C448" s="1" cm="1">
        <f t="array" aca="1" ref="C448" ca="1">INDIRECT(_xlfn.CONCAT("$K", $F448))</f>
        <v>43511</v>
      </c>
      <c r="D448" s="1"/>
      <c r="E448" s="1" t="str" cm="1">
        <f t="array" aca="1" ref="E448" ca="1">INDIRECT(_xlfn.CONCAT("$L", $F448))</f>
        <v>en es fr de it pt ja ko ru 汉语 漢語</v>
      </c>
      <c r="F448" s="1" cm="1">
        <f t="array" aca="1" ref="F448" ca="1">IF(NOT(OR(ISERROR(INDIRECT(_xlfn.CONCAT("$I", $F447 + 1))), ISBLANK(INDIRECT(_xlfn.CONCAT("$I", $F447 + 1))))), $F447 + 1, IF(NOT(ISBLANK(INDIRECT(_xlfn.CONCAT("$I", $F447 + 2)))), $F447 + 2, ""))</f>
        <v>840</v>
      </c>
      <c r="I448" s="8" t="s">
        <v>403</v>
      </c>
      <c r="J448" s="8">
        <v>3</v>
      </c>
      <c r="K448" s="9">
        <v>44813</v>
      </c>
      <c r="L448" s="8" t="s">
        <v>174</v>
      </c>
    </row>
    <row r="449" spans="1:12" ht="59.25">
      <c r="A449" s="1" t="str" cm="1">
        <f t="array" aca="1" ref="A449" ca="1">INDIRECT(_xlfn.CONCAT("$I", $F449))</f>
        <v>Ravnica Allegiance RNA</v>
      </c>
      <c r="B449" s="1" cm="1">
        <f t="array" aca="1" ref="B449" ca="1">INDIRECT(_xlfn.CONCAT("$J", $F449))</f>
        <v>273</v>
      </c>
      <c r="C449" s="1" cm="1">
        <f t="array" aca="1" ref="C449" ca="1">INDIRECT(_xlfn.CONCAT("$K", $F449))</f>
        <v>43490</v>
      </c>
      <c r="D449" s="1"/>
      <c r="E449" s="1" t="str" cm="1">
        <f t="array" aca="1" ref="E449" ca="1">INDIRECT(_xlfn.CONCAT("$L", $F449))</f>
        <v>en es fr de it pt ja ko ru 汉语 漢語</v>
      </c>
      <c r="F449" s="1" cm="1">
        <f t="array" aca="1" ref="F449" ca="1">IF(NOT(OR(ISERROR(INDIRECT(_xlfn.CONCAT("$I", $F448 + 1))), ISBLANK(INDIRECT(_xlfn.CONCAT("$I", $F448 + 1))))), $F448 + 1, IF(NOT(ISBLANK(INDIRECT(_xlfn.CONCAT("$I", $F448 + 2)))), $F448 + 2, ""))</f>
        <v>842</v>
      </c>
    </row>
    <row r="450" spans="1:12" ht="59.25">
      <c r="A450" s="1" t="str" cm="1">
        <f t="array" aca="1" ref="A450" ca="1">INDIRECT(_xlfn.CONCAT("$I", $F450))</f>
        <v>Ravnica Allegiance Promos PRNA</v>
      </c>
      <c r="B450" s="1" cm="1">
        <f t="array" aca="1" ref="B450" ca="1">INDIRECT(_xlfn.CONCAT("$J", $F450))</f>
        <v>81</v>
      </c>
      <c r="C450" s="1" cm="1">
        <f t="array" aca="1" ref="C450" ca="1">INDIRECT(_xlfn.CONCAT("$K", $F450))</f>
        <v>43490</v>
      </c>
      <c r="D450" s="1"/>
      <c r="E450" s="1" t="str" cm="1">
        <f t="array" aca="1" ref="E450" ca="1">INDIRECT(_xlfn.CONCAT("$L", $F450))</f>
        <v>en es fr de it pt ja ko ru 汉语 漢語</v>
      </c>
      <c r="F450" s="1" cm="1">
        <f t="array" aca="1" ref="F450" ca="1">IF(NOT(OR(ISERROR(INDIRECT(_xlfn.CONCAT("$I", $F449 + 1))), ISBLANK(INDIRECT(_xlfn.CONCAT("$I", $F449 + 1))))), $F449 + 1, IF(NOT(ISBLANK(INDIRECT(_xlfn.CONCAT("$I", $F449 + 2)))), $F449 + 2, ""))</f>
        <v>844</v>
      </c>
      <c r="I450" s="8" t="s">
        <v>404</v>
      </c>
      <c r="J450" s="8">
        <v>10</v>
      </c>
      <c r="K450" s="9">
        <v>44813</v>
      </c>
      <c r="L450" s="8" t="s">
        <v>174</v>
      </c>
    </row>
    <row r="451" spans="1:12" ht="59.25">
      <c r="A451" s="1" t="str" cm="1">
        <f t="array" aca="1" ref="A451" ca="1">INDIRECT(_xlfn.CONCAT("$I", $F451))</f>
        <v>Ravnica Allegiance Tokens TRNA</v>
      </c>
      <c r="B451" s="1" cm="1">
        <f t="array" aca="1" ref="B451" ca="1">INDIRECT(_xlfn.CONCAT("$J", $F451))</f>
        <v>13</v>
      </c>
      <c r="C451" s="1" cm="1">
        <f t="array" aca="1" ref="C451" ca="1">INDIRECT(_xlfn.CONCAT("$K", $F451))</f>
        <v>43490</v>
      </c>
      <c r="D451" s="1"/>
      <c r="E451" s="1" t="str" cm="1">
        <f t="array" aca="1" ref="E451" ca="1">INDIRECT(_xlfn.CONCAT("$L", $F451))</f>
        <v>en es fr de it pt ja ko ru 汉语 漢語</v>
      </c>
      <c r="F451" s="1" cm="1">
        <f t="array" aca="1" ref="F451" ca="1">IF(NOT(OR(ISERROR(INDIRECT(_xlfn.CONCAT("$I", $F450 + 1))), ISBLANK(INDIRECT(_xlfn.CONCAT("$I", $F450 + 1))))), $F450 + 1, IF(NOT(ISBLANK(INDIRECT(_xlfn.CONCAT("$I", $F450 + 2)))), $F450 + 2, ""))</f>
        <v>846</v>
      </c>
    </row>
    <row r="452" spans="1:12" ht="59.25">
      <c r="A452" s="1" t="str" cm="1">
        <f t="array" aca="1" ref="A452" ca="1">INDIRECT(_xlfn.CONCAT("$I", $F452))</f>
        <v>RNA Ravnica Weekend PRW2</v>
      </c>
      <c r="B452" s="1" cm="1">
        <f t="array" aca="1" ref="B452" ca="1">INDIRECT(_xlfn.CONCAT("$J", $F452))</f>
        <v>10</v>
      </c>
      <c r="C452" s="1" cm="1">
        <f t="array" aca="1" ref="C452" ca="1">INDIRECT(_xlfn.CONCAT("$K", $F452))</f>
        <v>43512</v>
      </c>
      <c r="D452" s="1"/>
      <c r="E452" s="1" t="str" cm="1">
        <f t="array" aca="1" ref="E452" ca="1">INDIRECT(_xlfn.CONCAT("$L", $F452))</f>
        <v>en es fr de it pt ja ko ru 汉语 漢語</v>
      </c>
      <c r="F452" s="1" cm="1">
        <f t="array" aca="1" ref="F452" ca="1">IF(NOT(OR(ISERROR(INDIRECT(_xlfn.CONCAT("$I", $F451 + 1))), ISBLANK(INDIRECT(_xlfn.CONCAT("$I", $F451 + 1))))), $F451 + 1, IF(NOT(ISBLANK(INDIRECT(_xlfn.CONCAT("$I", $F451 + 2)))), $F451 + 2, ""))</f>
        <v>848</v>
      </c>
      <c r="I452" s="8" t="s">
        <v>405</v>
      </c>
      <c r="J452" s="8">
        <v>5</v>
      </c>
      <c r="K452" s="9">
        <v>44813</v>
      </c>
      <c r="L452" s="8" t="s">
        <v>174</v>
      </c>
    </row>
    <row r="453" spans="1:12" ht="59.25">
      <c r="A453" s="1" t="str" cm="1">
        <f t="array" aca="1" ref="A453" ca="1">INDIRECT(_xlfn.CONCAT("$I", $F453))</f>
        <v>MagicFest 2019 PF19</v>
      </c>
      <c r="B453" s="1" cm="1">
        <f t="array" aca="1" ref="B453" ca="1">INDIRECT(_xlfn.CONCAT("$J", $F453))</f>
        <v>7</v>
      </c>
      <c r="C453" s="1" cm="1">
        <f t="array" aca="1" ref="C453" ca="1">INDIRECT(_xlfn.CONCAT("$K", $F453))</f>
        <v>43466</v>
      </c>
      <c r="D453" s="1"/>
      <c r="E453" s="1" t="str" cm="1">
        <f t="array" aca="1" ref="E453" ca="1">INDIRECT(_xlfn.CONCAT("$L", $F453))</f>
        <v>en es fr de it pt ja ko ru 汉语 漢語</v>
      </c>
      <c r="F453" s="1" cm="1">
        <f t="array" aca="1" ref="F453" ca="1">IF(NOT(OR(ISERROR(INDIRECT(_xlfn.CONCAT("$I", $F452 + 1))), ISBLANK(INDIRECT(_xlfn.CONCAT("$I", $F452 + 1))))), $F452 + 1, IF(NOT(ISBLANK(INDIRECT(_xlfn.CONCAT("$I", $F452 + 2)))), $F452 + 2, ""))</f>
        <v>850</v>
      </c>
    </row>
    <row r="454" spans="1:12" ht="59.25">
      <c r="A454" s="1" t="str" cm="1">
        <f t="array" aca="1" ref="A454" ca="1">INDIRECT(_xlfn.CONCAT("$I", $F454))</f>
        <v>Ultimate Masters UMA</v>
      </c>
      <c r="B454" s="1" cm="1">
        <f t="array" aca="1" ref="B454" ca="1">INDIRECT(_xlfn.CONCAT("$J", $F454))</f>
        <v>254</v>
      </c>
      <c r="C454" s="1" cm="1">
        <f t="array" aca="1" ref="C454" ca="1">INDIRECT(_xlfn.CONCAT("$K", $F454))</f>
        <v>43441</v>
      </c>
      <c r="D454" s="1"/>
      <c r="E454" s="1" t="str" cm="1">
        <f t="array" aca="1" ref="E454" ca="1">INDIRECT(_xlfn.CONCAT("$L", $F454))</f>
        <v>en es fr de it pt ja ko ru 汉语 漢語</v>
      </c>
      <c r="F454" s="1" cm="1">
        <f t="array" aca="1" ref="F454" ca="1">IF(NOT(OR(ISERROR(INDIRECT(_xlfn.CONCAT("$I", $F453 + 1))), ISBLANK(INDIRECT(_xlfn.CONCAT("$I", $F453 + 1))))), $F453 + 1, IF(NOT(ISBLANK(INDIRECT(_xlfn.CONCAT("$I", $F453 + 2)))), $F453 + 2, ""))</f>
        <v>852</v>
      </c>
      <c r="I454" s="8" t="s">
        <v>406</v>
      </c>
      <c r="J454" s="8">
        <v>81</v>
      </c>
      <c r="K454" s="9">
        <v>44813</v>
      </c>
      <c r="L454" s="8" t="s">
        <v>174</v>
      </c>
    </row>
    <row r="455" spans="1:12" ht="59.25">
      <c r="A455" s="1" t="str" cm="1">
        <f t="array" aca="1" ref="A455" ca="1">INDIRECT(_xlfn.CONCAT("$I", $F455))</f>
        <v>Ultimate Box Topper PUMA</v>
      </c>
      <c r="B455" s="1" cm="1">
        <f t="array" aca="1" ref="B455" ca="1">INDIRECT(_xlfn.CONCAT("$J", $F455))</f>
        <v>40</v>
      </c>
      <c r="C455" s="1" cm="1">
        <f t="array" aca="1" ref="C455" ca="1">INDIRECT(_xlfn.CONCAT("$K", $F455))</f>
        <v>43441</v>
      </c>
      <c r="D455" s="1"/>
      <c r="E455" s="1" t="str" cm="1">
        <f t="array" aca="1" ref="E455" ca="1">INDIRECT(_xlfn.CONCAT("$L", $F455))</f>
        <v>en es fr de it pt ja ko ru 汉语 漢語</v>
      </c>
      <c r="F455" s="1" cm="1">
        <f t="array" aca="1" ref="F455" ca="1">IF(NOT(OR(ISERROR(INDIRECT(_xlfn.CONCAT("$I", $F454 + 1))), ISBLANK(INDIRECT(_xlfn.CONCAT("$I", $F454 + 1))))), $F454 + 1, IF(NOT(ISBLANK(INDIRECT(_xlfn.CONCAT("$I", $F454 + 2)))), $F454 + 2, ""))</f>
        <v>854</v>
      </c>
    </row>
    <row r="456" spans="1:12" ht="59.25">
      <c r="A456" s="1" t="str" cm="1">
        <f t="array" aca="1" ref="A456" ca="1">INDIRECT(_xlfn.CONCAT("$I", $F456))</f>
        <v>Ultimate Masters Tokens TUMA</v>
      </c>
      <c r="B456" s="1" cm="1">
        <f t="array" aca="1" ref="B456" ca="1">INDIRECT(_xlfn.CONCAT("$J", $F456))</f>
        <v>16</v>
      </c>
      <c r="C456" s="1" cm="1">
        <f t="array" aca="1" ref="C456" ca="1">INDIRECT(_xlfn.CONCAT("$K", $F456))</f>
        <v>43441</v>
      </c>
      <c r="D456" s="1"/>
      <c r="E456" s="1" t="str" cm="1">
        <f t="array" aca="1" ref="E456" ca="1">INDIRECT(_xlfn.CONCAT("$L", $F456))</f>
        <v>en es fr de it pt ja ko ru 汉语 漢語</v>
      </c>
      <c r="F456" s="1" cm="1">
        <f t="array" aca="1" ref="F456" ca="1">IF(NOT(OR(ISERROR(INDIRECT(_xlfn.CONCAT("$I", $F455 + 1))), ISBLANK(INDIRECT(_xlfn.CONCAT("$I", $F455 + 1))))), $F455 + 1, IF(NOT(ISBLANK(INDIRECT(_xlfn.CONCAT("$I", $F455 + 2)))), $F455 + 2, ""))</f>
        <v>856</v>
      </c>
      <c r="I456" s="8" t="s">
        <v>407</v>
      </c>
      <c r="J456" s="8">
        <v>240</v>
      </c>
      <c r="K456" s="9">
        <v>44813</v>
      </c>
      <c r="L456" t="s">
        <v>174</v>
      </c>
    </row>
    <row r="457" spans="1:12" ht="59.25">
      <c r="A457" s="1" t="str" cm="1">
        <f t="array" aca="1" ref="A457" ca="1">INDIRECT(_xlfn.CONCAT("$I", $F457))</f>
        <v>Game Night GNT</v>
      </c>
      <c r="B457" s="1" cm="1">
        <f t="array" aca="1" ref="B457" ca="1">INDIRECT(_xlfn.CONCAT("$J", $F457))</f>
        <v>68</v>
      </c>
      <c r="C457" s="1" cm="1">
        <f t="array" aca="1" ref="C457" ca="1">INDIRECT(_xlfn.CONCAT("$K", $F457))</f>
        <v>43420</v>
      </c>
      <c r="D457" s="1"/>
      <c r="E457" s="1" t="str" cm="1">
        <f t="array" aca="1" ref="E457" ca="1">INDIRECT(_xlfn.CONCAT("$L", $F457))</f>
        <v>en es fr de it pt ja ko ru 汉语 漢語</v>
      </c>
      <c r="F457" s="1" cm="1">
        <f t="array" aca="1" ref="F457" ca="1">IF(NOT(OR(ISERROR(INDIRECT(_xlfn.CONCAT("$I", $F456 + 1))), ISBLANK(INDIRECT(_xlfn.CONCAT("$I", $F456 + 1))))), $F456 + 1, IF(NOT(ISBLANK(INDIRECT(_xlfn.CONCAT("$I", $F456 + 2)))), $F456 + 2, ""))</f>
        <v>858</v>
      </c>
    </row>
    <row r="458" spans="1:12" ht="59.25">
      <c r="A458" s="1" t="str" cm="1">
        <f t="array" aca="1" ref="A458" ca="1">INDIRECT(_xlfn.CONCAT("$I", $F458))</f>
        <v>GRN Guild Kit GK1</v>
      </c>
      <c r="B458" s="1" cm="1">
        <f t="array" aca="1" ref="B458" ca="1">INDIRECT(_xlfn.CONCAT("$J", $F458))</f>
        <v>127</v>
      </c>
      <c r="C458" s="1" cm="1">
        <f t="array" aca="1" ref="C458" ca="1">INDIRECT(_xlfn.CONCAT("$K", $F458))</f>
        <v>43406</v>
      </c>
      <c r="D458" s="1"/>
      <c r="E458" s="1" t="str" cm="1">
        <f t="array" aca="1" ref="E458" ca="1">INDIRECT(_xlfn.CONCAT("$L", $F458))</f>
        <v>en es fr de it pt ja ko ru 汉语 漢語</v>
      </c>
      <c r="F458" s="1" cm="1">
        <f t="array" aca="1" ref="F458" ca="1">IF(NOT(OR(ISERROR(INDIRECT(_xlfn.CONCAT("$I", $F457 + 1))), ISBLANK(INDIRECT(_xlfn.CONCAT("$I", $F457 + 1))))), $F457 + 1, IF(NOT(ISBLANK(INDIRECT(_xlfn.CONCAT("$I", $F457 + 2)))), $F457 + 2, ""))</f>
        <v>860</v>
      </c>
      <c r="I458" s="8" t="s">
        <v>408</v>
      </c>
      <c r="J458" s="8">
        <v>12</v>
      </c>
      <c r="K458" s="9">
        <v>44813</v>
      </c>
      <c r="L458" s="8" t="s">
        <v>174</v>
      </c>
    </row>
    <row r="459" spans="1:12" ht="59.25">
      <c r="A459" s="1" t="str" cm="1">
        <f t="array" aca="1" ref="A459" ca="1">INDIRECT(_xlfn.CONCAT("$I", $F459))</f>
        <v>GRN Guild Kit Tokens TGK1</v>
      </c>
      <c r="B459" s="1" cm="1">
        <f t="array" aca="1" ref="B459" ca="1">INDIRECT(_xlfn.CONCAT("$J", $F459))</f>
        <v>10</v>
      </c>
      <c r="C459" s="1" cm="1">
        <f t="array" aca="1" ref="C459" ca="1">INDIRECT(_xlfn.CONCAT("$K", $F459))</f>
        <v>43406</v>
      </c>
      <c r="D459" s="1"/>
      <c r="E459" s="1" t="str" cm="1">
        <f t="array" aca="1" ref="E459" ca="1">INDIRECT(_xlfn.CONCAT("$L", $F459))</f>
        <v>en es fr de it pt ja ko ru 汉语 漢語</v>
      </c>
      <c r="F459" s="1" cm="1">
        <f t="array" aca="1" ref="F459" ca="1">IF(NOT(OR(ISERROR(INDIRECT(_xlfn.CONCAT("$I", $F458 + 1))), ISBLANK(INDIRECT(_xlfn.CONCAT("$I", $F458 + 1))))), $F458 + 1, IF(NOT(ISBLANK(INDIRECT(_xlfn.CONCAT("$I", $F458 + 2)))), $F458 + 2, ""))</f>
        <v>862</v>
      </c>
    </row>
    <row r="460" spans="1:12" ht="59.25">
      <c r="A460" s="1" t="str" cm="1">
        <f t="array" aca="1" ref="A460" ca="1">INDIRECT(_xlfn.CONCAT("$I", $F460))</f>
        <v>Guilds of Ravnica GRN</v>
      </c>
      <c r="B460" s="1" cm="1">
        <f t="array" aca="1" ref="B460" ca="1">INDIRECT(_xlfn.CONCAT("$J", $F460))</f>
        <v>273</v>
      </c>
      <c r="C460" s="1" cm="1">
        <f t="array" aca="1" ref="C460" ca="1">INDIRECT(_xlfn.CONCAT("$K", $F460))</f>
        <v>43378</v>
      </c>
      <c r="D460" s="1"/>
      <c r="E460" s="1" t="str" cm="1">
        <f t="array" aca="1" ref="E460" ca="1">INDIRECT(_xlfn.CONCAT("$L", $F460))</f>
        <v>en es fr de it pt ja ko ru 汉语 漢語</v>
      </c>
      <c r="F460" s="1" cm="1">
        <f t="array" aca="1" ref="F460" ca="1">IF(NOT(OR(ISERROR(INDIRECT(_xlfn.CONCAT("$I", $F459 + 1))), ISBLANK(INDIRECT(_xlfn.CONCAT("$I", $F459 + 1))))), $F459 + 1, IF(NOT(ISBLANK(INDIRECT(_xlfn.CONCAT("$I", $F459 + 2)))), $F459 + 2, ""))</f>
        <v>864</v>
      </c>
      <c r="I460" s="8" t="s">
        <v>409</v>
      </c>
      <c r="J460" s="8">
        <v>3</v>
      </c>
      <c r="K460" s="9">
        <v>44813</v>
      </c>
      <c r="L460" s="8" t="s">
        <v>174</v>
      </c>
    </row>
    <row r="461" spans="1:12" ht="59.25">
      <c r="A461" s="1" t="str" cm="1">
        <f t="array" aca="1" ref="A461" ca="1">INDIRECT(_xlfn.CONCAT("$I", $F461))</f>
        <v>Guilds of Ravnica Promos PGRN</v>
      </c>
      <c r="B461" s="1" cm="1">
        <f t="array" aca="1" ref="B461" ca="1">INDIRECT(_xlfn.CONCAT("$J", $F461))</f>
        <v>84</v>
      </c>
      <c r="C461" s="1" cm="1">
        <f t="array" aca="1" ref="C461" ca="1">INDIRECT(_xlfn.CONCAT("$K", $F461))</f>
        <v>43378</v>
      </c>
      <c r="D461" s="1"/>
      <c r="E461" s="1" t="str" cm="1">
        <f t="array" aca="1" ref="E461" ca="1">INDIRECT(_xlfn.CONCAT("$L", $F461))</f>
        <v>en es fr de it pt ja ko ru 汉语 漢語</v>
      </c>
      <c r="F461" s="1" cm="1">
        <f t="array" aca="1" ref="F461" ca="1">IF(NOT(OR(ISERROR(INDIRECT(_xlfn.CONCAT("$I", $F460 + 1))), ISBLANK(INDIRECT(_xlfn.CONCAT("$I", $F460 + 1))))), $F460 + 1, IF(NOT(ISBLANK(INDIRECT(_xlfn.CONCAT("$I", $F460 + 2)))), $F460 + 2, ""))</f>
        <v>866</v>
      </c>
    </row>
    <row r="462" spans="1:12" ht="59.25">
      <c r="A462" s="1" t="str" cm="1">
        <f t="array" aca="1" ref="A462" ca="1">INDIRECT(_xlfn.CONCAT("$I", $F462))</f>
        <v>Guilds of Ravnica Tokens TGRN</v>
      </c>
      <c r="B462" s="1" cm="1">
        <f t="array" aca="1" ref="B462" ca="1">INDIRECT(_xlfn.CONCAT("$J", $F462))</f>
        <v>8</v>
      </c>
      <c r="C462" s="1" cm="1">
        <f t="array" aca="1" ref="C462" ca="1">INDIRECT(_xlfn.CONCAT("$K", $F462))</f>
        <v>43378</v>
      </c>
      <c r="D462" s="1"/>
      <c r="E462" s="1" t="str" cm="1">
        <f t="array" aca="1" ref="E462" ca="1">INDIRECT(_xlfn.CONCAT("$L", $F462))</f>
        <v>en es fr de it pt ja ko ru 汉语 漢語</v>
      </c>
      <c r="F462" s="1" cm="1">
        <f t="array" aca="1" ref="F462" ca="1">IF(NOT(OR(ISERROR(INDIRECT(_xlfn.CONCAT("$I", $F461 + 1))), ISBLANK(INDIRECT(_xlfn.CONCAT("$I", $F461 + 1))))), $F461 + 1, IF(NOT(ISBLANK(INDIRECT(_xlfn.CONCAT("$I", $F461 + 2)))), $F461 + 2, ""))</f>
        <v>868</v>
      </c>
      <c r="I462" s="8" t="s">
        <v>410</v>
      </c>
      <c r="J462" s="8">
        <v>3</v>
      </c>
      <c r="K462" s="9">
        <v>44774</v>
      </c>
      <c r="L462" s="8" t="s">
        <v>174</v>
      </c>
    </row>
    <row r="463" spans="1:12" ht="59.25">
      <c r="A463" s="1" t="str" cm="1">
        <f t="array" aca="1" ref="A463" ca="1">INDIRECT(_xlfn.CONCAT("$I", $F463))</f>
        <v>GRN Ravnica Weekend PRWK</v>
      </c>
      <c r="B463" s="1" cm="1">
        <f t="array" aca="1" ref="B463" ca="1">INDIRECT(_xlfn.CONCAT("$J", $F463))</f>
        <v>10</v>
      </c>
      <c r="C463" s="1" cm="1">
        <f t="array" aca="1" ref="C463" ca="1">INDIRECT(_xlfn.CONCAT("$K", $F463))</f>
        <v>43413</v>
      </c>
      <c r="D463" s="1"/>
      <c r="E463" s="1" t="str" cm="1">
        <f t="array" aca="1" ref="E463" ca="1">INDIRECT(_xlfn.CONCAT("$L", $F463))</f>
        <v>en es fr de it pt ja ko ru 汉语 漢語</v>
      </c>
      <c r="F463" s="1" cm="1">
        <f t="array" aca="1" ref="F463" ca="1">IF(NOT(OR(ISERROR(INDIRECT(_xlfn.CONCAT("$I", $F462 + 1))), ISBLANK(INDIRECT(_xlfn.CONCAT("$I", $F462 + 1))))), $F462 + 1, IF(NOT(ISBLANK(INDIRECT(_xlfn.CONCAT("$I", $F462 + 2)))), $F462 + 2, ""))</f>
        <v>870</v>
      </c>
    </row>
    <row r="464" spans="1:12" ht="59.25">
      <c r="A464" s="1" t="str" cm="1">
        <f t="array" aca="1" ref="A464" ca="1">INDIRECT(_xlfn.CONCAT("$I", $F464))</f>
        <v>Mythic Edition MED</v>
      </c>
      <c r="B464" s="1" cm="1">
        <f t="array" aca="1" ref="B464" ca="1">INDIRECT(_xlfn.CONCAT("$J", $F464))</f>
        <v>24</v>
      </c>
      <c r="C464" s="1" cm="1">
        <f t="array" aca="1" ref="C464" ca="1">INDIRECT(_xlfn.CONCAT("$K", $F464))</f>
        <v>43378</v>
      </c>
      <c r="D464" s="1"/>
      <c r="E464" s="1" t="str" cm="1">
        <f t="array" aca="1" ref="E464" ca="1">INDIRECT(_xlfn.CONCAT("$L", $F464))</f>
        <v>en es fr de it pt ja ko ru 汉语 漢語</v>
      </c>
      <c r="F464" s="1" cm="1">
        <f t="array" aca="1" ref="F464" ca="1">IF(NOT(OR(ISERROR(INDIRECT(_xlfn.CONCAT("$I", $F463 + 1))), ISBLANK(INDIRECT(_xlfn.CONCAT("$I", $F463 + 1))))), $F463 + 1, IF(NOT(ISBLANK(INDIRECT(_xlfn.CONCAT("$I", $F463 + 2)))), $F463 + 2, ""))</f>
        <v>872</v>
      </c>
      <c r="I464" s="8" t="s">
        <v>411</v>
      </c>
      <c r="J464" s="8">
        <v>4</v>
      </c>
      <c r="K464" s="9">
        <v>44774</v>
      </c>
      <c r="L464" s="8" t="s">
        <v>174</v>
      </c>
    </row>
    <row r="465" spans="1:12" ht="59.25">
      <c r="A465" s="1" t="str" cm="1">
        <f t="array" aca="1" ref="A465" ca="1">INDIRECT(_xlfn.CONCAT("$I", $F465))</f>
        <v>Mythic Edition Tokens TMED</v>
      </c>
      <c r="B465" s="1" cm="1">
        <f t="array" aca="1" ref="B465" ca="1">INDIRECT(_xlfn.CONCAT("$J", $F465))</f>
        <v>16</v>
      </c>
      <c r="C465" s="1" cm="1">
        <f t="array" aca="1" ref="C465" ca="1">INDIRECT(_xlfn.CONCAT("$K", $F465))</f>
        <v>43378</v>
      </c>
      <c r="D465" s="1"/>
      <c r="E465" s="1" t="str" cm="1">
        <f t="array" aca="1" ref="E465" ca="1">INDIRECT(_xlfn.CONCAT("$L", $F465))</f>
        <v>en es fr de it pt ja ko ru 汉语 漢語</v>
      </c>
      <c r="F465" s="1" cm="1">
        <f t="array" aca="1" ref="F465" ca="1">IF(NOT(OR(ISERROR(INDIRECT(_xlfn.CONCAT("$I", $F464 + 1))), ISBLANK(INDIRECT(_xlfn.CONCAT("$I", $F464 + 1))))), $F464 + 1, IF(NOT(ISBLANK(INDIRECT(_xlfn.CONCAT("$I", $F464 + 2)))), $F464 + 2, ""))</f>
        <v>874</v>
      </c>
    </row>
    <row r="466" spans="1:12" ht="59.25">
      <c r="A466" s="1" t="str" cm="1">
        <f t="array" aca="1" ref="A466" ca="1">INDIRECT(_xlfn.CONCAT("$I", $F466))</f>
        <v>Commander 2018 C18</v>
      </c>
      <c r="B466" s="1" cm="1">
        <f t="array" aca="1" ref="B466" ca="1">INDIRECT(_xlfn.CONCAT("$J", $F466))</f>
        <v>307</v>
      </c>
      <c r="C466" s="1" cm="1">
        <f t="array" aca="1" ref="C466" ca="1">INDIRECT(_xlfn.CONCAT("$K", $F466))</f>
        <v>43322</v>
      </c>
      <c r="D466" s="1"/>
      <c r="E466" s="1" t="str" cm="1">
        <f t="array" aca="1" ref="E466" ca="1">INDIRECT(_xlfn.CONCAT("$L", $F466))</f>
        <v>en es fr de it pt ja ko ru 汉语 漢語</v>
      </c>
      <c r="F466" s="1" cm="1">
        <f t="array" aca="1" ref="F466" ca="1">IF(NOT(OR(ISERROR(INDIRECT(_xlfn.CONCAT("$I", $F465 + 1))), ISBLANK(INDIRECT(_xlfn.CONCAT("$I", $F465 + 1))))), $F465 + 1, IF(NOT(ISBLANK(INDIRECT(_xlfn.CONCAT("$I", $F465 + 2)))), $F465 + 2, ""))</f>
        <v>876</v>
      </c>
      <c r="I466" s="8" t="s">
        <v>412</v>
      </c>
      <c r="J466" s="8">
        <v>20</v>
      </c>
      <c r="K466" s="9">
        <v>44770</v>
      </c>
      <c r="L466" s="8" t="s">
        <v>174</v>
      </c>
    </row>
    <row r="467" spans="1:12" ht="59.25">
      <c r="A467" s="1" t="str" cm="1">
        <f t="array" aca="1" ref="A467" ca="1">INDIRECT(_xlfn.CONCAT("$I", $F467))</f>
        <v>Commander 2018 Tokens TC18</v>
      </c>
      <c r="B467" s="1" cm="1">
        <f t="array" aca="1" ref="B467" ca="1">INDIRECT(_xlfn.CONCAT("$J", $F467))</f>
        <v>26</v>
      </c>
      <c r="C467" s="1" cm="1">
        <f t="array" aca="1" ref="C467" ca="1">INDIRECT(_xlfn.CONCAT("$K", $F467))</f>
        <v>43321</v>
      </c>
      <c r="D467" s="1"/>
      <c r="E467" s="1" t="str" cm="1">
        <f t="array" aca="1" ref="E467" ca="1">INDIRECT(_xlfn.CONCAT("$L", $F467))</f>
        <v>en es fr de it pt ja ko ru 汉语 漢語</v>
      </c>
      <c r="F467" s="1" cm="1">
        <f t="array" aca="1" ref="F467" ca="1">IF(NOT(OR(ISERROR(INDIRECT(_xlfn.CONCAT("$I", $F466 + 1))), ISBLANK(INDIRECT(_xlfn.CONCAT("$I", $F466 + 1))))), $F466 + 1, IF(NOT(ISBLANK(INDIRECT(_xlfn.CONCAT("$I", $F466 + 2)))), $F466 + 2, ""))</f>
        <v>878</v>
      </c>
    </row>
    <row r="468" spans="1:12" ht="59.25">
      <c r="A468" s="1" t="str" cm="1">
        <f t="array" aca="1" ref="A468" ca="1">INDIRECT(_xlfn.CONCAT("$I", $F468))</f>
        <v>Commander 2018 Oversized OC18</v>
      </c>
      <c r="B468" s="1" cm="1">
        <f t="array" aca="1" ref="B468" ca="1">INDIRECT(_xlfn.CONCAT("$J", $F468))</f>
        <v>4</v>
      </c>
      <c r="C468" s="1" cm="1">
        <f t="array" aca="1" ref="C468" ca="1">INDIRECT(_xlfn.CONCAT("$K", $F468))</f>
        <v>43321</v>
      </c>
      <c r="D468" s="1"/>
      <c r="E468" s="1" t="str" cm="1">
        <f t="array" aca="1" ref="E468" ca="1">INDIRECT(_xlfn.CONCAT("$L", $F468))</f>
        <v>en es fr de it pt ja ko ru 汉语 漢語</v>
      </c>
      <c r="F468" s="1" cm="1">
        <f t="array" aca="1" ref="F468" ca="1">IF(NOT(OR(ISERROR(INDIRECT(_xlfn.CONCAT("$I", $F467 + 1))), ISBLANK(INDIRECT(_xlfn.CONCAT("$I", $F467 + 1))))), $F467 + 1, IF(NOT(ISBLANK(INDIRECT(_xlfn.CONCAT("$I", $F467 + 2)))), $F467 + 2, ""))</f>
        <v>880</v>
      </c>
      <c r="I468" s="8" t="s">
        <v>413</v>
      </c>
      <c r="J468" s="8">
        <v>20</v>
      </c>
      <c r="K468" s="9">
        <v>44770</v>
      </c>
      <c r="L468" s="8" t="s">
        <v>174</v>
      </c>
    </row>
    <row r="469" spans="1:12" ht="41.25">
      <c r="A469" s="1" t="str" cm="1">
        <f t="array" aca="1" ref="A469" ca="1">INDIRECT(_xlfn.CONCAT("$I", $F469))</f>
        <v>Pro Tour Cube PROTOUR</v>
      </c>
      <c r="B469" s="1" cm="1">
        <f t="array" aca="1" ref="B469" ca="1">INDIRECT(_xlfn.CONCAT("$J", $F469))</f>
        <v>540</v>
      </c>
      <c r="C469" s="1" cm="1">
        <f t="array" aca="1" ref="C469" ca="1">INDIRECT(_xlfn.CONCAT("$K", $F469))</f>
        <v>43320</v>
      </c>
      <c r="D469" s="1"/>
      <c r="E469" s="1" cm="1">
        <f t="array" aca="1" ref="E469" ca="1">INDIRECT(_xlfn.CONCAT("$L", $F469))</f>
        <v>0</v>
      </c>
      <c r="F469" s="1" cm="1">
        <f t="array" aca="1" ref="F469" ca="1">IF(NOT(OR(ISERROR(INDIRECT(_xlfn.CONCAT("$I", $F468 + 1))), ISBLANK(INDIRECT(_xlfn.CONCAT("$I", $F468 + 1))))), $F468 + 1, IF(NOT(ISBLANK(INDIRECT(_xlfn.CONCAT("$I", $F468 + 2)))), $F468 + 2, ""))</f>
        <v>882</v>
      </c>
    </row>
    <row r="470" spans="1:12" ht="59.25">
      <c r="A470" s="1" t="str" cm="1">
        <f t="array" aca="1" ref="A470" ca="1">INDIRECT(_xlfn.CONCAT("$I", $F470))</f>
        <v>2017 Heroes of the Realm PH17</v>
      </c>
      <c r="B470" s="1" cm="1">
        <f t="array" aca="1" ref="B470" ca="1">INDIRECT(_xlfn.CONCAT("$J", $F470))</f>
        <v>3</v>
      </c>
      <c r="C470" s="1" cm="1">
        <f t="array" aca="1" ref="C470" ca="1">INDIRECT(_xlfn.CONCAT("$K", $F470))</f>
        <v>43313</v>
      </c>
      <c r="D470" s="1"/>
      <c r="E470" s="1" t="str" cm="1">
        <f t="array" aca="1" ref="E470" ca="1">INDIRECT(_xlfn.CONCAT("$L", $F470))</f>
        <v>en es fr de it pt ja ko ru 汉语 漢語</v>
      </c>
      <c r="F470" s="1" cm="1">
        <f t="array" aca="1" ref="F470" ca="1">IF(NOT(OR(ISERROR(INDIRECT(_xlfn.CONCAT("$I", $F469 + 1))), ISBLANK(INDIRECT(_xlfn.CONCAT("$I", $F469 + 1))))), $F469 + 1, IF(NOT(ISBLANK(INDIRECT(_xlfn.CONCAT("$I", $F469 + 2)))), $F469 + 2, ""))</f>
        <v>884</v>
      </c>
      <c r="I470" s="8" t="s">
        <v>414</v>
      </c>
      <c r="J470" s="8">
        <v>44</v>
      </c>
      <c r="K470" s="9">
        <v>44751</v>
      </c>
      <c r="L470" s="8" t="s">
        <v>174</v>
      </c>
    </row>
    <row r="471" spans="1:12" ht="59.25">
      <c r="A471" s="1" t="str" cm="1">
        <f t="array" aca="1" ref="A471" ca="1">INDIRECT(_xlfn.CONCAT("$I", $F471))</f>
        <v>San Diego Comic-Con 2018 PS18</v>
      </c>
      <c r="B471" s="1" cm="1">
        <f t="array" aca="1" ref="B471" ca="1">INDIRECT(_xlfn.CONCAT("$J", $F471))</f>
        <v>5</v>
      </c>
      <c r="C471" s="1" cm="1">
        <f t="array" aca="1" ref="C471" ca="1">INDIRECT(_xlfn.CONCAT("$K", $F471))</f>
        <v>43300</v>
      </c>
      <c r="D471" s="1"/>
      <c r="E471" s="1" t="str" cm="1">
        <f t="array" aca="1" ref="E471" ca="1">INDIRECT(_xlfn.CONCAT("$L", $F471))</f>
        <v>en es fr de it pt ja ko ru 汉语 漢語</v>
      </c>
      <c r="F471" s="1" cm="1">
        <f t="array" aca="1" ref="F471" ca="1">IF(NOT(OR(ISERROR(INDIRECT(_xlfn.CONCAT("$I", $F470 + 1))), ISBLANK(INDIRECT(_xlfn.CONCAT("$I", $F470 + 1))))), $F470 + 1, IF(NOT(ISBLANK(INDIRECT(_xlfn.CONCAT("$I", $F470 + 2)))), $F470 + 2, ""))</f>
        <v>886</v>
      </c>
    </row>
    <row r="472" spans="1:12" ht="59.25">
      <c r="A472" s="1" t="str" cm="1">
        <f t="array" aca="1" ref="A472" ca="1">INDIRECT(_xlfn.CONCAT("$I", $F472))</f>
        <v>Arena New Player Experience ANA</v>
      </c>
      <c r="B472" s="1" cm="1">
        <f t="array" aca="1" ref="B472" ca="1">INDIRECT(_xlfn.CONCAT("$J", $F472))</f>
        <v>46</v>
      </c>
      <c r="C472" s="1" cm="1">
        <f t="array" aca="1" ref="C472" ca="1">INDIRECT(_xlfn.CONCAT("$K", $F472))</f>
        <v>43295</v>
      </c>
      <c r="D472" s="1"/>
      <c r="E472" s="1" t="str" cm="1">
        <f t="array" aca="1" ref="E472" ca="1">INDIRECT(_xlfn.CONCAT("$L", $F472))</f>
        <v>en es fr de it pt ja ko ru 汉语 漢語</v>
      </c>
      <c r="F472" s="1" cm="1">
        <f t="array" aca="1" ref="F472" ca="1">IF(NOT(OR(ISERROR(INDIRECT(_xlfn.CONCAT("$I", $F471 + 1))), ISBLANK(INDIRECT(_xlfn.CONCAT("$I", $F471 + 1))))), $F471 + 1, IF(NOT(ISBLANK(INDIRECT(_xlfn.CONCAT("$I", $F471 + 2)))), $F471 + 2, ""))</f>
        <v>888</v>
      </c>
      <c r="I472" s="8" t="s">
        <v>415</v>
      </c>
      <c r="J472" s="8">
        <v>579</v>
      </c>
      <c r="K472" s="9">
        <v>44750</v>
      </c>
      <c r="L472" t="s">
        <v>174</v>
      </c>
    </row>
    <row r="473" spans="1:12" ht="68.25">
      <c r="A473" s="1" t="str" cm="1">
        <f t="array" aca="1" ref="A473" ca="1">INDIRECT(_xlfn.CONCAT("$I", $F473))</f>
        <v>Arena New Player Experience Extras XANA</v>
      </c>
      <c r="B473" s="1" cm="1">
        <f t="array" aca="1" ref="B473" ca="1">INDIRECT(_xlfn.CONCAT("$J", $F473))</f>
        <v>20</v>
      </c>
      <c r="C473" s="1" cm="1">
        <f t="array" aca="1" ref="C473" ca="1">INDIRECT(_xlfn.CONCAT("$K", $F473))</f>
        <v>43295</v>
      </c>
      <c r="D473" s="1"/>
      <c r="E473" s="1" t="str" cm="1">
        <f t="array" aca="1" ref="E473" ca="1">INDIRECT(_xlfn.CONCAT("$L", $F473))</f>
        <v>en es fr de it pt ja ko ru 汉语 漢語</v>
      </c>
      <c r="F473" s="1" cm="1">
        <f t="array" aca="1" ref="F473" ca="1">IF(NOT(OR(ISERROR(INDIRECT(_xlfn.CONCAT("$I", $F472 + 1))), ISBLANK(INDIRECT(_xlfn.CONCAT("$I", $F472 + 1))))), $F472 + 1, IF(NOT(ISBLANK(INDIRECT(_xlfn.CONCAT("$I", $F472 + 2)))), $F472 + 2, ""))</f>
        <v>890</v>
      </c>
    </row>
    <row r="474" spans="1:12" ht="68.25">
      <c r="A474" s="1" t="str" cm="1">
        <f t="array" aca="1" ref="A474" ca="1">INDIRECT(_xlfn.CONCAT("$I", $F474))</f>
        <v>Arena New Player Experience Cards OANA</v>
      </c>
      <c r="B474" s="1" cm="1">
        <f t="array" aca="1" ref="B474" ca="1">INDIRECT(_xlfn.CONCAT("$J", $F474))</f>
        <v>14</v>
      </c>
      <c r="C474" s="1" cm="1">
        <f t="array" aca="1" ref="C474" ca="1">INDIRECT(_xlfn.CONCAT("$K", $F474))</f>
        <v>43295</v>
      </c>
      <c r="D474" s="1"/>
      <c r="E474" s="1" t="str" cm="1">
        <f t="array" aca="1" ref="E474" ca="1">INDIRECT(_xlfn.CONCAT("$L", $F474))</f>
        <v>en es fr de it pt ja ko ru 汉语 漢語</v>
      </c>
      <c r="F474" s="1" cm="1">
        <f t="array" aca="1" ref="F474" ca="1">IF(NOT(OR(ISERROR(INDIRECT(_xlfn.CONCAT("$I", $F473 + 1))), ISBLANK(INDIRECT(_xlfn.CONCAT("$I", $F473 + 1))))), $F473 + 1, IF(NOT(ISBLANK(INDIRECT(_xlfn.CONCAT("$I", $F473 + 2)))), $F473 + 2, ""))</f>
        <v>892</v>
      </c>
      <c r="I474" s="8" t="s">
        <v>416</v>
      </c>
      <c r="J474" s="8">
        <v>24</v>
      </c>
      <c r="K474" s="9">
        <v>44750</v>
      </c>
      <c r="L474" s="8" t="s">
        <v>174</v>
      </c>
    </row>
    <row r="475" spans="1:12" ht="59.25">
      <c r="A475" s="1" t="str" cm="1">
        <f t="array" aca="1" ref="A475" ca="1">INDIRECT(_xlfn.CONCAT("$I", $F475))</f>
        <v>MTG Arena Promos PANA</v>
      </c>
      <c r="B475" s="1" cm="1">
        <f t="array" aca="1" ref="B475" ca="1">INDIRECT(_xlfn.CONCAT("$J", $F475))</f>
        <v>78</v>
      </c>
      <c r="C475" s="1" cm="1">
        <f t="array" aca="1" ref="C475" ca="1">INDIRECT(_xlfn.CONCAT("$K", $F475))</f>
        <v>43295</v>
      </c>
      <c r="D475" s="1"/>
      <c r="E475" s="1" t="str" cm="1">
        <f t="array" aca="1" ref="E475" ca="1">INDIRECT(_xlfn.CONCAT("$L", $F475))</f>
        <v>en es fr de it pt ja ko ru 汉语 漢語</v>
      </c>
      <c r="F475" s="1" cm="1">
        <f t="array" aca="1" ref="F475" ca="1">IF(NOT(OR(ISERROR(INDIRECT(_xlfn.CONCAT("$I", $F474 + 1))), ISBLANK(INDIRECT(_xlfn.CONCAT("$I", $F474 + 1))))), $F474 + 1, IF(NOT(ISBLANK(INDIRECT(_xlfn.CONCAT("$I", $F474 + 2)))), $F474 + 2, ""))</f>
        <v>894</v>
      </c>
    </row>
    <row r="476" spans="1:12" ht="59.25">
      <c r="A476" s="1" t="str" cm="1">
        <f t="array" aca="1" ref="A476" ca="1">INDIRECT(_xlfn.CONCAT("$I", $F476))</f>
        <v>Core Set 2019 M19</v>
      </c>
      <c r="B476" s="1" cm="1">
        <f t="array" aca="1" ref="B476" ca="1">INDIRECT(_xlfn.CONCAT("$J", $F476))</f>
        <v>314</v>
      </c>
      <c r="C476" s="1" cm="1">
        <f t="array" aca="1" ref="C476" ca="1">INDIRECT(_xlfn.CONCAT("$K", $F476))</f>
        <v>43294</v>
      </c>
      <c r="D476" s="1"/>
      <c r="E476" s="1" t="str" cm="1">
        <f t="array" aca="1" ref="E476" ca="1">INDIRECT(_xlfn.CONCAT("$L", $F476))</f>
        <v>en es fr de it pt ja ko ru 汉语 漢語</v>
      </c>
      <c r="F476" s="1" cm="1">
        <f t="array" aca="1" ref="F476" ca="1">IF(NOT(OR(ISERROR(INDIRECT(_xlfn.CONCAT("$I", $F475 + 1))), ISBLANK(INDIRECT(_xlfn.CONCAT("$I", $F475 + 1))))), $F475 + 1, IF(NOT(ISBLANK(INDIRECT(_xlfn.CONCAT("$I", $F475 + 2)))), $F475 + 2, ""))</f>
        <v>896</v>
      </c>
      <c r="I476" s="8" t="s">
        <v>417</v>
      </c>
      <c r="J476" s="8">
        <v>436</v>
      </c>
      <c r="K476" s="9">
        <v>44749</v>
      </c>
      <c r="L476" s="8" t="s">
        <v>174</v>
      </c>
    </row>
    <row r="477" spans="1:12" ht="59.25">
      <c r="A477" s="1" t="str" cm="1">
        <f t="array" aca="1" ref="A477" ca="1">INDIRECT(_xlfn.CONCAT("$I", $F477))</f>
        <v>Core Set 2019 Promos PM19</v>
      </c>
      <c r="B477" s="1" cm="1">
        <f t="array" aca="1" ref="B477" ca="1">INDIRECT(_xlfn.CONCAT("$J", $F477))</f>
        <v>95</v>
      </c>
      <c r="C477" s="1" cm="1">
        <f t="array" aca="1" ref="C477" ca="1">INDIRECT(_xlfn.CONCAT("$K", $F477))</f>
        <v>43294</v>
      </c>
      <c r="D477" s="1"/>
      <c r="E477" s="1" t="str" cm="1">
        <f t="array" aca="1" ref="E477" ca="1">INDIRECT(_xlfn.CONCAT("$L", $F477))</f>
        <v>en es fr de it pt ja ko ru 汉语 漢語</v>
      </c>
      <c r="F477" s="1" cm="1">
        <f t="array" aca="1" ref="F477" ca="1">IF(NOT(OR(ISERROR(INDIRECT(_xlfn.CONCAT("$I", $F476 + 1))), ISBLANK(INDIRECT(_xlfn.CONCAT("$I", $F476 + 1))))), $F476 + 1, IF(NOT(ISBLANK(INDIRECT(_xlfn.CONCAT("$I", $F476 + 2)))), $F476 + 2, ""))</f>
        <v>898</v>
      </c>
    </row>
    <row r="478" spans="1:12" ht="59.25">
      <c r="A478" s="1" t="str" cm="1">
        <f t="array" aca="1" ref="A478" ca="1">INDIRECT(_xlfn.CONCAT("$I", $F478))</f>
        <v>Core Set 2019 Tokens TM19</v>
      </c>
      <c r="B478" s="1" cm="1">
        <f t="array" aca="1" ref="B478" ca="1">INDIRECT(_xlfn.CONCAT("$J", $F478))</f>
        <v>18</v>
      </c>
      <c r="C478" s="1" cm="1">
        <f t="array" aca="1" ref="C478" ca="1">INDIRECT(_xlfn.CONCAT("$K", $F478))</f>
        <v>43294</v>
      </c>
      <c r="D478" s="1"/>
      <c r="E478" s="1" t="str" cm="1">
        <f t="array" aca="1" ref="E478" ca="1">INDIRECT(_xlfn.CONCAT("$L", $F478))</f>
        <v>en es fr de it pt ja ko ru 汉语 漢語</v>
      </c>
      <c r="F478" s="1" cm="1">
        <f t="array" aca="1" ref="F478" ca="1">IF(NOT(OR(ISERROR(INDIRECT(_xlfn.CONCAT("$I", $F477 + 1))), ISBLANK(INDIRECT(_xlfn.CONCAT("$I", $F477 + 1))))), $F477 + 1, IF(NOT(ISBLANK(INDIRECT(_xlfn.CONCAT("$I", $F477 + 2)))), $F477 + 2, ""))</f>
        <v>900</v>
      </c>
      <c r="I478" s="8" t="s">
        <v>418</v>
      </c>
      <c r="J478" s="8">
        <v>2</v>
      </c>
      <c r="K478" s="9">
        <v>44743</v>
      </c>
      <c r="L478" s="8" t="s">
        <v>174</v>
      </c>
    </row>
    <row r="479" spans="1:12" ht="59.25">
      <c r="A479" s="1" t="str" cm="1">
        <f t="array" aca="1" ref="A479" ca="1">INDIRECT(_xlfn.CONCAT("$I", $F479))</f>
        <v>M19 Gift Pack G18</v>
      </c>
      <c r="B479" s="1" cm="1">
        <f t="array" aca="1" ref="B479" ca="1">INDIRECT(_xlfn.CONCAT("$J", $F479))</f>
        <v>5</v>
      </c>
      <c r="C479" s="1" cm="1">
        <f t="array" aca="1" ref="C479" ca="1">INDIRECT(_xlfn.CONCAT("$K", $F479))</f>
        <v>43420</v>
      </c>
      <c r="D479" s="1"/>
      <c r="E479" s="1" t="str" cm="1">
        <f t="array" aca="1" ref="E479" ca="1">INDIRECT(_xlfn.CONCAT("$L", $F479))</f>
        <v>en es fr de it pt ja ko ru 汉语 漢語</v>
      </c>
      <c r="F479" s="1" cm="1">
        <f t="array" aca="1" ref="F479" ca="1">IF(NOT(OR(ISERROR(INDIRECT(_xlfn.CONCAT("$I", $F478 + 1))), ISBLANK(INDIRECT(_xlfn.CONCAT("$I", $F478 + 1))))), $F478 + 1, IF(NOT(ISBLANK(INDIRECT(_xlfn.CONCAT("$I", $F478 + 2)))), $F478 + 2, ""))</f>
        <v>902</v>
      </c>
    </row>
    <row r="480" spans="1:12" ht="59.25">
      <c r="A480" s="1" t="str" cm="1">
        <f t="array" aca="1" ref="A480" ca="1">INDIRECT(_xlfn.CONCAT("$I", $F480))</f>
        <v>M19 Standard Showdown PSS3</v>
      </c>
      <c r="B480" s="1" cm="1">
        <f t="array" aca="1" ref="B480" ca="1">INDIRECT(_xlfn.CONCAT("$J", $F480))</f>
        <v>5</v>
      </c>
      <c r="C480" s="1" cm="1">
        <f t="array" aca="1" ref="C480" ca="1">INDIRECT(_xlfn.CONCAT("$K", $F480))</f>
        <v>43294</v>
      </c>
      <c r="D480" s="1"/>
      <c r="E480" s="1" t="str" cm="1">
        <f t="array" aca="1" ref="E480" ca="1">INDIRECT(_xlfn.CONCAT("$L", $F480))</f>
        <v>en es fr de it pt ja ko ru 汉语 漢語</v>
      </c>
      <c r="F480" s="1" cm="1">
        <f t="array" aca="1" ref="F480" ca="1">IF(NOT(OR(ISERROR(INDIRECT(_xlfn.CONCAT("$I", $F479 + 1))), ISBLANK(INDIRECT(_xlfn.CONCAT("$I", $F479 + 1))))), $F479 + 1, IF(NOT(ISBLANK(INDIRECT(_xlfn.CONCAT("$I", $F479 + 2)))), $F479 + 2, ""))</f>
        <v>904</v>
      </c>
      <c r="I480" s="8" t="s">
        <v>419</v>
      </c>
      <c r="J480" s="8">
        <v>936</v>
      </c>
      <c r="K480" s="9">
        <v>44722</v>
      </c>
      <c r="L480" t="s">
        <v>174</v>
      </c>
    </row>
    <row r="481" spans="1:12" ht="68.25">
      <c r="A481" s="1" t="str" cm="1">
        <f t="array" aca="1" ref="A481" ca="1">INDIRECT(_xlfn.CONCAT("$I", $F481))</f>
        <v>Global Series Jiang Yanggu &amp; Mu Yanling GS1</v>
      </c>
      <c r="B481" s="1" cm="1">
        <f t="array" aca="1" ref="B481" ca="1">INDIRECT(_xlfn.CONCAT("$J", $F481))</f>
        <v>41</v>
      </c>
      <c r="C481" s="1" cm="1">
        <f t="array" aca="1" ref="C481" ca="1">INDIRECT(_xlfn.CONCAT("$K", $F481))</f>
        <v>43273</v>
      </c>
      <c r="D481" s="1"/>
      <c r="E481" s="1" t="str" cm="1">
        <f t="array" aca="1" ref="E481" ca="1">INDIRECT(_xlfn.CONCAT("$L", $F481))</f>
        <v>en es fr de it pt ja ko ru 汉语 漢語</v>
      </c>
      <c r="F481" s="1" cm="1">
        <f t="array" aca="1" ref="F481" ca="1">IF(NOT(OR(ISERROR(INDIRECT(_xlfn.CONCAT("$I", $F480 + 1))), ISBLANK(INDIRECT(_xlfn.CONCAT("$I", $F480 + 1))))), $F480 + 1, IF(NOT(ISBLANK(INDIRECT(_xlfn.CONCAT("$I", $F480 + 2)))), $F480 + 2, ""))</f>
        <v>906</v>
      </c>
    </row>
    <row r="482" spans="1:12" ht="59.25">
      <c r="A482" s="1" t="str" cm="1">
        <f t="array" aca="1" ref="A482" ca="1">INDIRECT(_xlfn.CONCAT("$I", $F482))</f>
        <v>Signature Spellbook: Jace SS1</v>
      </c>
      <c r="B482" s="1" cm="1">
        <f t="array" aca="1" ref="B482" ca="1">INDIRECT(_xlfn.CONCAT("$J", $F482))</f>
        <v>8</v>
      </c>
      <c r="C482" s="1" cm="1">
        <f t="array" aca="1" ref="C482" ca="1">INDIRECT(_xlfn.CONCAT("$K", $F482))</f>
        <v>43266</v>
      </c>
      <c r="D482" s="1"/>
      <c r="E482" s="1" t="str" cm="1">
        <f t="array" aca="1" ref="E482" ca="1">INDIRECT(_xlfn.CONCAT("$L", $F482))</f>
        <v>en es fr de it pt ja ko ru 汉语 漢語</v>
      </c>
      <c r="F482" s="1" cm="1">
        <f t="array" aca="1" ref="F482" ca="1">IF(NOT(OR(ISERROR(INDIRECT(_xlfn.CONCAT("$I", $F481 + 1))), ISBLANK(INDIRECT(_xlfn.CONCAT("$I", $F481 + 1))))), $F481 + 1, IF(NOT(ISBLANK(INDIRECT(_xlfn.CONCAT("$I", $F481 + 2)))), $F481 + 2, ""))</f>
        <v>908</v>
      </c>
      <c r="I482" s="8" t="s">
        <v>420</v>
      </c>
      <c r="J482" s="8">
        <v>104</v>
      </c>
      <c r="K482" s="9">
        <v>44722</v>
      </c>
      <c r="L482" s="8" t="s">
        <v>174</v>
      </c>
    </row>
    <row r="483" spans="1:12" ht="41.25">
      <c r="A483" s="1" t="str" cm="1">
        <f t="array" aca="1" ref="A483" ca="1">INDIRECT(_xlfn.CONCAT("$I", $F483))</f>
        <v>Vintage Cube VINTAGE</v>
      </c>
      <c r="B483" s="1" cm="1">
        <f t="array" aca="1" ref="B483" ca="1">INDIRECT(_xlfn.CONCAT("$J", $F483))</f>
        <v>540</v>
      </c>
      <c r="C483" s="1" cm="1">
        <f t="array" aca="1" ref="C483" ca="1">INDIRECT(_xlfn.CONCAT("$K", $F483))</f>
        <v>43264</v>
      </c>
      <c r="D483" s="1"/>
      <c r="E483" s="1" cm="1">
        <f t="array" aca="1" ref="E483" ca="1">INDIRECT(_xlfn.CONCAT("$L", $F483))</f>
        <v>0</v>
      </c>
      <c r="F483" s="1" cm="1">
        <f t="array" aca="1" ref="F483" ca="1">IF(NOT(OR(ISERROR(INDIRECT(_xlfn.CONCAT("$I", $F482 + 1))), ISBLANK(INDIRECT(_xlfn.CONCAT("$I", $F482 + 1))))), $F482 + 1, IF(NOT(ISBLANK(INDIRECT(_xlfn.CONCAT("$I", $F482 + 2)))), $F482 + 2, ""))</f>
        <v>910</v>
      </c>
    </row>
    <row r="484" spans="1:12" ht="68.25">
      <c r="A484" s="1" t="str" cm="1">
        <f t="array" aca="1" ref="A484" ca="1">INDIRECT(_xlfn.CONCAT("$I", $F484))</f>
        <v>Commander Anthology Volume II CM2</v>
      </c>
      <c r="B484" s="1" cm="1">
        <f t="array" aca="1" ref="B484" ca="1">INDIRECT(_xlfn.CONCAT("$J", $F484))</f>
        <v>312</v>
      </c>
      <c r="C484" s="1" cm="1">
        <f t="array" aca="1" ref="C484" ca="1">INDIRECT(_xlfn.CONCAT("$K", $F484))</f>
        <v>43259</v>
      </c>
      <c r="D484" s="1"/>
      <c r="E484" s="1" t="str" cm="1">
        <f t="array" aca="1" ref="E484" ca="1">INDIRECT(_xlfn.CONCAT("$L", $F484))</f>
        <v>en es fr de it pt ja ko ru 汉语 漢語</v>
      </c>
      <c r="F484" s="1" cm="1">
        <f t="array" aca="1" ref="F484" ca="1">IF(NOT(OR(ISERROR(INDIRECT(_xlfn.CONCAT("$I", $F483 + 1))), ISBLANK(INDIRECT(_xlfn.CONCAT("$I", $F483 + 1))))), $F483 + 1, IF(NOT(ISBLANK(INDIRECT(_xlfn.CONCAT("$I", $F483 + 2)))), $F483 + 2, ""))</f>
        <v>912</v>
      </c>
      <c r="I484" s="8" t="s">
        <v>421</v>
      </c>
      <c r="J484" s="8">
        <v>51</v>
      </c>
      <c r="K484" s="9">
        <v>44722</v>
      </c>
      <c r="L484" s="8" t="s">
        <v>174</v>
      </c>
    </row>
    <row r="485" spans="1:12" ht="81">
      <c r="A485" s="1" t="str" cm="1">
        <f t="array" aca="1" ref="A485" ca="1">INDIRECT(_xlfn.CONCAT("$I", $F485))</f>
        <v>Commander Anthology Volume II Tokens TCM2</v>
      </c>
      <c r="B485" s="1" cm="1">
        <f t="array" aca="1" ref="B485" ca="1">INDIRECT(_xlfn.CONCAT("$J", $F485))</f>
        <v>19</v>
      </c>
      <c r="C485" s="1" cm="1">
        <f t="array" aca="1" ref="C485" ca="1">INDIRECT(_xlfn.CONCAT("$K", $F485))</f>
        <v>43259</v>
      </c>
      <c r="D485" s="1"/>
      <c r="E485" s="1" t="str" cm="1">
        <f t="array" aca="1" ref="E485" ca="1">INDIRECT(_xlfn.CONCAT("$L", $F485))</f>
        <v>en es fr de it pt ja ko ru 汉语 漢語</v>
      </c>
      <c r="F485" s="1" cm="1">
        <f t="array" aca="1" ref="F485" ca="1">IF(NOT(OR(ISERROR(INDIRECT(_xlfn.CONCAT("$I", $F484 + 1))), ISBLANK(INDIRECT(_xlfn.CONCAT("$I", $F484 + 1))))), $F484 + 1, IF(NOT(ISBLANK(INDIRECT(_xlfn.CONCAT("$I", $F484 + 2)))), $F484 + 2, ""))</f>
        <v>914</v>
      </c>
    </row>
    <row r="486" spans="1:12" ht="59.25">
      <c r="A486" s="1" t="str" cm="1">
        <f t="array" aca="1" ref="A486" ca="1">INDIRECT(_xlfn.CONCAT("$I", $F486))</f>
        <v>Battlebond BBD</v>
      </c>
      <c r="B486" s="1" cm="1">
        <f t="array" aca="1" ref="B486" ca="1">INDIRECT(_xlfn.CONCAT("$J", $F486))</f>
        <v>256</v>
      </c>
      <c r="C486" s="1" cm="1">
        <f t="array" aca="1" ref="C486" ca="1">INDIRECT(_xlfn.CONCAT("$K", $F486))</f>
        <v>43259</v>
      </c>
      <c r="D486" s="1"/>
      <c r="E486" s="1" t="str" cm="1">
        <f t="array" aca="1" ref="E486" ca="1">INDIRECT(_xlfn.CONCAT("$L", $F486))</f>
        <v>en es fr de it pt ja ko ru 汉语 漢語</v>
      </c>
      <c r="F486" s="1" cm="1">
        <f t="array" aca="1" ref="F486" ca="1">IF(NOT(OR(ISERROR(INDIRECT(_xlfn.CONCAT("$I", $F485 + 1))), ISBLANK(INDIRECT(_xlfn.CONCAT("$I", $F485 + 1))))), $F485 + 1, IF(NOT(ISBLANK(INDIRECT(_xlfn.CONCAT("$I", $F485 + 2)))), $F485 + 2, ""))</f>
        <v>916</v>
      </c>
      <c r="I486" s="8" t="s">
        <v>422</v>
      </c>
      <c r="J486" s="8">
        <v>3</v>
      </c>
      <c r="K486" s="9">
        <v>44722</v>
      </c>
      <c r="L486" s="8" t="s">
        <v>174</v>
      </c>
    </row>
    <row r="487" spans="1:12" ht="59.25">
      <c r="A487" s="1" t="str" cm="1">
        <f t="array" aca="1" ref="A487" ca="1">INDIRECT(_xlfn.CONCAT("$I", $F487))</f>
        <v>Battlebond Promos PBBD</v>
      </c>
      <c r="B487" s="1" cm="1">
        <f t="array" aca="1" ref="B487" ca="1">INDIRECT(_xlfn.CONCAT("$J", $F487))</f>
        <v>22</v>
      </c>
      <c r="C487" s="1" cm="1">
        <f t="array" aca="1" ref="C487" ca="1">INDIRECT(_xlfn.CONCAT("$K", $F487))</f>
        <v>43259</v>
      </c>
      <c r="D487" s="1"/>
      <c r="E487" s="1" t="str" cm="1">
        <f t="array" aca="1" ref="E487" ca="1">INDIRECT(_xlfn.CONCAT("$L", $F487))</f>
        <v>en es fr de it pt ja ko ru 汉语 漢語</v>
      </c>
      <c r="F487" s="1" cm="1">
        <f t="array" aca="1" ref="F487" ca="1">IF(NOT(OR(ISERROR(INDIRECT(_xlfn.CONCAT("$I", $F486 + 1))), ISBLANK(INDIRECT(_xlfn.CONCAT("$I", $F486 + 1))))), $F486 + 1, IF(NOT(ISBLANK(INDIRECT(_xlfn.CONCAT("$I", $F486 + 2)))), $F486 + 2, ""))</f>
        <v>918</v>
      </c>
    </row>
    <row r="488" spans="1:12" ht="59.25">
      <c r="A488" s="1" t="str" cm="1">
        <f t="array" aca="1" ref="A488" ca="1">INDIRECT(_xlfn.CONCAT("$I", $F488))</f>
        <v>Battlebond Tokens TBBD</v>
      </c>
      <c r="B488" s="1" cm="1">
        <f t="array" aca="1" ref="B488" ca="1">INDIRECT(_xlfn.CONCAT("$J", $F488))</f>
        <v>8</v>
      </c>
      <c r="C488" s="1" cm="1">
        <f t="array" aca="1" ref="C488" ca="1">INDIRECT(_xlfn.CONCAT("$K", $F488))</f>
        <v>43259</v>
      </c>
      <c r="D488" s="1"/>
      <c r="E488" s="1" t="str" cm="1">
        <f t="array" aca="1" ref="E488" ca="1">INDIRECT(_xlfn.CONCAT("$L", $F488))</f>
        <v>en es fr de it pt ja ko ru 汉语 漢語</v>
      </c>
      <c r="F488" s="1" cm="1">
        <f t="array" aca="1" ref="F488" ca="1">IF(NOT(OR(ISERROR(INDIRECT(_xlfn.CONCAT("$I", $F487 + 1))), ISBLANK(INDIRECT(_xlfn.CONCAT("$I", $F487 + 1))))), $F487 + 1, IF(NOT(ISBLANK(INDIRECT(_xlfn.CONCAT("$I", $F487 + 2)))), $F487 + 2, ""))</f>
        <v>920</v>
      </c>
      <c r="I488" s="8" t="s">
        <v>423</v>
      </c>
      <c r="J488" s="8">
        <v>1</v>
      </c>
      <c r="K488" s="9">
        <v>44722</v>
      </c>
      <c r="L488" s="8" t="s">
        <v>174</v>
      </c>
    </row>
    <row r="489" spans="1:12" ht="54.75">
      <c r="A489" s="1" t="str" cm="1">
        <f t="array" aca="1" ref="A489" ca="1">INDIRECT(_xlfn.CONCAT("$I", $F489))</f>
        <v>Uncommon Cube UNCOMMON</v>
      </c>
      <c r="B489" s="1" cm="1">
        <f t="array" aca="1" ref="B489" ca="1">INDIRECT(_xlfn.CONCAT("$J", $F489))</f>
        <v>600</v>
      </c>
      <c r="C489" s="1" cm="1">
        <f t="array" aca="1" ref="C489" ca="1">INDIRECT(_xlfn.CONCAT("$K", $F489))</f>
        <v>43243</v>
      </c>
      <c r="D489" s="1"/>
      <c r="E489" s="1" cm="1">
        <f t="array" aca="1" ref="E489" ca="1">INDIRECT(_xlfn.CONCAT("$L", $F489))</f>
        <v>0</v>
      </c>
      <c r="F489" s="1" cm="1">
        <f t="array" aca="1" ref="F489" ca="1">IF(NOT(OR(ISERROR(INDIRECT(_xlfn.CONCAT("$I", $F488 + 1))), ISBLANK(INDIRECT(_xlfn.CONCAT("$I", $F488 + 1))))), $F488 + 1, IF(NOT(ISBLANK(INDIRECT(_xlfn.CONCAT("$I", $F488 + 2)))), $F488 + 2, ""))</f>
        <v>922</v>
      </c>
    </row>
    <row r="490" spans="1:12" ht="59.25">
      <c r="A490" s="1" t="str" cm="1">
        <f t="array" aca="1" ref="A490" ca="1">INDIRECT(_xlfn.CONCAT("$I", $F490))</f>
        <v>Dominaria DOM</v>
      </c>
      <c r="B490" s="1" cm="1">
        <f t="array" aca="1" ref="B490" ca="1">INDIRECT(_xlfn.CONCAT("$J", $F490))</f>
        <v>280</v>
      </c>
      <c r="C490" s="1" cm="1">
        <f t="array" aca="1" ref="C490" ca="1">INDIRECT(_xlfn.CONCAT("$K", $F490))</f>
        <v>43217</v>
      </c>
      <c r="D490" s="1"/>
      <c r="E490" s="1" t="str" cm="1">
        <f t="array" aca="1" ref="E490" ca="1">INDIRECT(_xlfn.CONCAT("$L", $F490))</f>
        <v>en es fr de it pt ja ko ru 汉语 漢語</v>
      </c>
      <c r="F490" s="1" cm="1">
        <f t="array" aca="1" ref="F490" ca="1">IF(NOT(OR(ISERROR(INDIRECT(_xlfn.CONCAT("$I", $F489 + 1))), ISBLANK(INDIRECT(_xlfn.CONCAT("$I", $F489 + 1))))), $F489 + 1, IF(NOT(ISBLANK(INDIRECT(_xlfn.CONCAT("$I", $F489 + 2)))), $F489 + 2, ""))</f>
        <v>924</v>
      </c>
      <c r="I490" s="8" t="s">
        <v>424</v>
      </c>
      <c r="J490" s="8">
        <v>81</v>
      </c>
      <c r="K490" s="9">
        <v>44722</v>
      </c>
      <c r="L490" s="8" t="s">
        <v>174</v>
      </c>
    </row>
    <row r="491" spans="1:12" ht="59.25">
      <c r="A491" s="1" t="str" cm="1">
        <f t="array" aca="1" ref="A491" ca="1">INDIRECT(_xlfn.CONCAT("$I", $F491))</f>
        <v>Dominaria Promos PDOM</v>
      </c>
      <c r="B491" s="1" cm="1">
        <f t="array" aca="1" ref="B491" ca="1">INDIRECT(_xlfn.CONCAT("$J", $F491))</f>
        <v>118</v>
      </c>
      <c r="C491" s="1" cm="1">
        <f t="array" aca="1" ref="C491" ca="1">INDIRECT(_xlfn.CONCAT("$K", $F491))</f>
        <v>43217</v>
      </c>
      <c r="D491" s="1"/>
      <c r="E491" s="1" t="str" cm="1">
        <f t="array" aca="1" ref="E491" ca="1">INDIRECT(_xlfn.CONCAT("$L", $F491))</f>
        <v>en es fr de it pt ja ko ru 汉语 漢語</v>
      </c>
      <c r="F491" s="1" cm="1">
        <f t="array" aca="1" ref="F491" ca="1">IF(NOT(OR(ISERROR(INDIRECT(_xlfn.CONCAT("$I", $F490 + 1))), ISBLANK(INDIRECT(_xlfn.CONCAT("$I", $F490 + 1))))), $F490 + 1, IF(NOT(ISBLANK(INDIRECT(_xlfn.CONCAT("$I", $F490 + 2)))), $F490 + 2, ""))</f>
        <v>926</v>
      </c>
    </row>
    <row r="492" spans="1:12" ht="59.25">
      <c r="A492" s="1" t="str" cm="1">
        <f t="array" aca="1" ref="A492" ca="1">INDIRECT(_xlfn.CONCAT("$I", $F492))</f>
        <v>Dominaria Tokens TDOM</v>
      </c>
      <c r="B492" s="1" cm="1">
        <f t="array" aca="1" ref="B492" ca="1">INDIRECT(_xlfn.CONCAT("$J", $F492))</f>
        <v>16</v>
      </c>
      <c r="C492" s="1" cm="1">
        <f t="array" aca="1" ref="C492" ca="1">INDIRECT(_xlfn.CONCAT("$K", $F492))</f>
        <v>43217</v>
      </c>
      <c r="D492" s="1"/>
      <c r="E492" s="1" t="str" cm="1">
        <f t="array" aca="1" ref="E492" ca="1">INDIRECT(_xlfn.CONCAT("$L", $F492))</f>
        <v>en es fr de it pt ja ko ru 汉语 漢語</v>
      </c>
      <c r="F492" s="1" cm="1">
        <f t="array" aca="1" ref="F492" ca="1">IF(NOT(OR(ISERROR(INDIRECT(_xlfn.CONCAT("$I", $F491 + 1))), ISBLANK(INDIRECT(_xlfn.CONCAT("$I", $F491 + 1))))), $F491 + 1, IF(NOT(ISBLANK(INDIRECT(_xlfn.CONCAT("$I", $F491 + 2)))), $F491 + 2, ""))</f>
        <v>928</v>
      </c>
      <c r="I492" s="8" t="s">
        <v>1265</v>
      </c>
      <c r="J492" s="8">
        <v>513</v>
      </c>
      <c r="K492" s="9">
        <v>44680</v>
      </c>
      <c r="L492" t="s">
        <v>174</v>
      </c>
    </row>
    <row r="493" spans="1:12" ht="68.25">
      <c r="A493" s="1" t="str" cm="1">
        <f t="array" aca="1" ref="A493" ca="1">INDIRECT(_xlfn.CONCAT("$I", $F493))</f>
        <v>Duel Decks: Elves vs. Inventors DDU</v>
      </c>
      <c r="B493" s="1" cm="1">
        <f t="array" aca="1" ref="B493" ca="1">INDIRECT(_xlfn.CONCAT("$J", $F493))</f>
        <v>76</v>
      </c>
      <c r="C493" s="1" cm="1">
        <f t="array" aca="1" ref="C493" ca="1">INDIRECT(_xlfn.CONCAT("$K", $F493))</f>
        <v>43196</v>
      </c>
      <c r="D493" s="1"/>
      <c r="E493" s="1" t="str" cm="1">
        <f t="array" aca="1" ref="E493" ca="1">INDIRECT(_xlfn.CONCAT("$L", $F493))</f>
        <v>en es fr de it pt ja ko ru 汉语 漢語</v>
      </c>
      <c r="F493" s="1" cm="1">
        <f t="array" aca="1" ref="F493" ca="1">IF(NOT(OR(ISERROR(INDIRECT(_xlfn.CONCAT("$I", $F492 + 1))), ISBLANK(INDIRECT(_xlfn.CONCAT("$I", $F492 + 1))))), $F492 + 1, IF(NOT(ISBLANK(INDIRECT(_xlfn.CONCAT("$I", $F492 + 2)))), $F492 + 2, ""))</f>
        <v>930</v>
      </c>
    </row>
    <row r="494" spans="1:12" ht="81">
      <c r="A494" s="1" t="str" cm="1">
        <f t="array" aca="1" ref="A494" ca="1">INDIRECT(_xlfn.CONCAT("$I", $F494))</f>
        <v>Duel Decks: Elves vs. Inventors Tokens TDDU</v>
      </c>
      <c r="B494" s="1" cm="1">
        <f t="array" aca="1" ref="B494" ca="1">INDIRECT(_xlfn.CONCAT("$J", $F494))</f>
        <v>4</v>
      </c>
      <c r="C494" s="1" cm="1">
        <f t="array" aca="1" ref="C494" ca="1">INDIRECT(_xlfn.CONCAT("$K", $F494))</f>
        <v>43196</v>
      </c>
      <c r="D494" s="1"/>
      <c r="E494" s="1" t="str" cm="1">
        <f t="array" aca="1" ref="E494" ca="1">INDIRECT(_xlfn.CONCAT("$L", $F494))</f>
        <v>en es fr de it pt ja ko ru 汉语 漢語</v>
      </c>
      <c r="F494" s="1" cm="1">
        <f t="array" aca="1" ref="F494" ca="1">IF(NOT(OR(ISERROR(INDIRECT(_xlfn.CONCAT("$I", $F493 + 1))), ISBLANK(INDIRECT(_xlfn.CONCAT("$I", $F493 + 1))))), $F493 + 1, IF(NOT(ISBLANK(INDIRECT(_xlfn.CONCAT("$I", $F493 + 2)))), $F493 + 2, ""))</f>
        <v>932</v>
      </c>
      <c r="I494" s="8" t="s">
        <v>425</v>
      </c>
      <c r="J494" s="8">
        <v>161</v>
      </c>
      <c r="K494" s="9">
        <v>44680</v>
      </c>
      <c r="L494" s="8" t="s">
        <v>174</v>
      </c>
    </row>
    <row r="495" spans="1:12" ht="59.25">
      <c r="A495" s="1" t="str" cm="1">
        <f t="array" aca="1" ref="A495" ca="1">INDIRECT(_xlfn.CONCAT("$I", $F495))</f>
        <v>Masters 25 A25</v>
      </c>
      <c r="B495" s="1" cm="1">
        <f t="array" aca="1" ref="B495" ca="1">INDIRECT(_xlfn.CONCAT("$J", $F495))</f>
        <v>249</v>
      </c>
      <c r="C495" s="1" cm="1">
        <f t="array" aca="1" ref="C495" ca="1">INDIRECT(_xlfn.CONCAT("$K", $F495))</f>
        <v>43175</v>
      </c>
      <c r="D495" s="1"/>
      <c r="E495" s="1" t="str" cm="1">
        <f t="array" aca="1" ref="E495" ca="1">INDIRECT(_xlfn.CONCAT("$L", $F495))</f>
        <v>en es fr de it pt ja ko ru 汉语 漢語</v>
      </c>
      <c r="F495" s="1" cm="1">
        <f t="array" aca="1" ref="F495" ca="1">IF(NOT(OR(ISERROR(INDIRECT(_xlfn.CONCAT("$I", $F494 + 1))), ISBLANK(INDIRECT(_xlfn.CONCAT("$I", $F494 + 1))))), $F494 + 1, IF(NOT(ISBLANK(INDIRECT(_xlfn.CONCAT("$I", $F494 + 2)))), $F494 + 2, ""))</f>
        <v>934</v>
      </c>
    </row>
    <row r="496" spans="1:12" ht="59.25">
      <c r="A496" s="1" t="str" cm="1">
        <f t="array" aca="1" ref="A496" ca="1">INDIRECT(_xlfn.CONCAT("$I", $F496))</f>
        <v>Masters 25 Tokens TA25</v>
      </c>
      <c r="B496" s="1" cm="1">
        <f t="array" aca="1" ref="B496" ca="1">INDIRECT(_xlfn.CONCAT("$J", $F496))</f>
        <v>16</v>
      </c>
      <c r="C496" s="1" cm="1">
        <f t="array" aca="1" ref="C496" ca="1">INDIRECT(_xlfn.CONCAT("$K", $F496))</f>
        <v>43175</v>
      </c>
      <c r="D496" s="1"/>
      <c r="E496" s="1" t="str" cm="1">
        <f t="array" aca="1" ref="E496" ca="1">INDIRECT(_xlfn.CONCAT("$L", $F496))</f>
        <v>en es fr de it pt ja ko ru 汉语 漢語</v>
      </c>
      <c r="F496" s="1" cm="1">
        <f t="array" aca="1" ref="F496" ca="1">IF(NOT(OR(ISERROR(INDIRECT(_xlfn.CONCAT("$I", $F495 + 1))), ISBLANK(INDIRECT(_xlfn.CONCAT("$I", $F495 + 1))))), $F495 + 1, IF(NOT(ISBLANK(INDIRECT(_xlfn.CONCAT("$I", $F495 + 2)))), $F495 + 2, ""))</f>
        <v>936</v>
      </c>
      <c r="I496" s="8" t="s">
        <v>426</v>
      </c>
      <c r="J496" s="8">
        <v>6</v>
      </c>
      <c r="K496" s="9">
        <v>44681</v>
      </c>
      <c r="L496" s="8" t="s">
        <v>174</v>
      </c>
    </row>
    <row r="497" spans="1:12" ht="59.25">
      <c r="A497" s="1" t="str" cm="1">
        <f t="array" aca="1" ref="A497" ca="1">INDIRECT(_xlfn.CONCAT("$I", $F497))</f>
        <v>Lunar New Year 2018 PLNY</v>
      </c>
      <c r="B497" s="1" cm="1">
        <f t="array" aca="1" ref="B497" ca="1">INDIRECT(_xlfn.CONCAT("$J", $F497))</f>
        <v>1</v>
      </c>
      <c r="C497" s="1" cm="1">
        <f t="array" aca="1" ref="C497" ca="1">INDIRECT(_xlfn.CONCAT("$K", $F497))</f>
        <v>43147</v>
      </c>
      <c r="D497" s="1"/>
      <c r="E497" s="1" t="str" cm="1">
        <f t="array" aca="1" ref="E497" ca="1">INDIRECT(_xlfn.CONCAT("$L", $F497))</f>
        <v>en es fr de it pt ja ko ru 汉语 漢語</v>
      </c>
      <c r="F497" s="1" cm="1">
        <f t="array" aca="1" ref="F497" ca="1">IF(NOT(OR(ISERROR(INDIRECT(_xlfn.CONCAT("$I", $F496 + 1))), ISBLANK(INDIRECT(_xlfn.CONCAT("$I", $F496 + 1))))), $F496 + 1, IF(NOT(ISBLANK(INDIRECT(_xlfn.CONCAT("$I", $F496 + 2)))), $F496 + 2, ""))</f>
        <v>938</v>
      </c>
    </row>
    <row r="498" spans="1:12" ht="59.25">
      <c r="A498" s="1" t="str" cm="1">
        <f t="array" aca="1" ref="A498" ca="1">INDIRECT(_xlfn.CONCAT("$I", $F498))</f>
        <v>Nationals Promos PNAT</v>
      </c>
      <c r="B498" s="1" cm="1">
        <f t="array" aca="1" ref="B498" ca="1">INDIRECT(_xlfn.CONCAT("$J", $F498))</f>
        <v>1</v>
      </c>
      <c r="C498" s="1" cm="1">
        <f t="array" aca="1" ref="C498" ca="1">INDIRECT(_xlfn.CONCAT("$K", $F498))</f>
        <v>43125</v>
      </c>
      <c r="D498" s="1"/>
      <c r="E498" s="1" t="str" cm="1">
        <f t="array" aca="1" ref="E498" ca="1">INDIRECT(_xlfn.CONCAT("$L", $F498))</f>
        <v>en es fr de it pt ja ko ru 汉语 漢語</v>
      </c>
      <c r="F498" s="1" cm="1">
        <f t="array" aca="1" ref="F498" ca="1">IF(NOT(OR(ISERROR(INDIRECT(_xlfn.CONCAT("$I", $F497 + 1))), ISBLANK(INDIRECT(_xlfn.CONCAT("$I", $F497 + 1))))), $F497 + 1, IF(NOT(ISBLANK(INDIRECT(_xlfn.CONCAT("$I", $F497 + 2)))), $F497 + 2, ""))</f>
        <v>940</v>
      </c>
      <c r="I498" s="8" t="s">
        <v>427</v>
      </c>
      <c r="J498" s="8">
        <v>19</v>
      </c>
      <c r="K498" s="9">
        <v>44680</v>
      </c>
      <c r="L498" s="8" t="s">
        <v>174</v>
      </c>
    </row>
    <row r="499" spans="1:12" ht="59.25">
      <c r="A499" s="1" t="str" cm="1">
        <f t="array" aca="1" ref="A499" ca="1">INDIRECT(_xlfn.CONCAT("$I", $F499))</f>
        <v>Rivals of Ixalan RIX</v>
      </c>
      <c r="B499" s="1" cm="1">
        <f t="array" aca="1" ref="B499" ca="1">INDIRECT(_xlfn.CONCAT("$J", $F499))</f>
        <v>205</v>
      </c>
      <c r="C499" s="1" cm="1">
        <f t="array" aca="1" ref="C499" ca="1">INDIRECT(_xlfn.CONCAT("$K", $F499))</f>
        <v>43119</v>
      </c>
      <c r="D499" s="1"/>
      <c r="E499" s="1" t="str" cm="1">
        <f t="array" aca="1" ref="E499" ca="1">INDIRECT(_xlfn.CONCAT("$L", $F499))</f>
        <v>en es fr de it pt ja ko ru 汉语 漢語</v>
      </c>
      <c r="F499" s="1" cm="1">
        <f t="array" aca="1" ref="F499" ca="1">IF(NOT(OR(ISERROR(INDIRECT(_xlfn.CONCAT("$I", $F498 + 1))), ISBLANK(INDIRECT(_xlfn.CONCAT("$I", $F498 + 1))))), $F498 + 1, IF(NOT(ISBLANK(INDIRECT(_xlfn.CONCAT("$I", $F498 + 2)))), $F498 + 2, ""))</f>
        <v>942</v>
      </c>
    </row>
    <row r="500" spans="1:12" ht="59.25">
      <c r="A500" s="1" t="str" cm="1">
        <f t="array" aca="1" ref="A500" ca="1">INDIRECT(_xlfn.CONCAT("$I", $F500))</f>
        <v>Rivals of Ixalan Promos PRIX</v>
      </c>
      <c r="B500" s="1" cm="1">
        <f t="array" aca="1" ref="B500" ca="1">INDIRECT(_xlfn.CONCAT("$J", $F500))</f>
        <v>98</v>
      </c>
      <c r="C500" s="1" cm="1">
        <f t="array" aca="1" ref="C500" ca="1">INDIRECT(_xlfn.CONCAT("$K", $F500))</f>
        <v>43119</v>
      </c>
      <c r="D500" s="1"/>
      <c r="E500" s="1" t="str" cm="1">
        <f t="array" aca="1" ref="E500" ca="1">INDIRECT(_xlfn.CONCAT("$L", $F500))</f>
        <v>en es fr de it pt ja ko ru 汉语 漢語</v>
      </c>
      <c r="F500" s="1" cm="1">
        <f t="array" aca="1" ref="F500" ca="1">IF(NOT(OR(ISERROR(INDIRECT(_xlfn.CONCAT("$I", $F499 + 1))), ISBLANK(INDIRECT(_xlfn.CONCAT("$I", $F499 + 1))))), $F499 + 1, IF(NOT(ISBLANK(INDIRECT(_xlfn.CONCAT("$I", $F499 + 2)))), $F499 + 2, ""))</f>
        <v>944</v>
      </c>
      <c r="I500" s="8" t="s">
        <v>428</v>
      </c>
      <c r="J500" s="8">
        <v>30</v>
      </c>
      <c r="K500" s="9">
        <v>44714</v>
      </c>
      <c r="L500" s="8" t="s">
        <v>174</v>
      </c>
    </row>
    <row r="501" spans="1:12" ht="59.25">
      <c r="A501" s="1" t="str" cm="1">
        <f t="array" aca="1" ref="A501" ca="1">INDIRECT(_xlfn.CONCAT("$I", $F501))</f>
        <v>Rivals of Ixalan Tokens TRIX</v>
      </c>
      <c r="B501" s="1" cm="1">
        <f t="array" aca="1" ref="B501" ca="1">INDIRECT(_xlfn.CONCAT("$J", $F501))</f>
        <v>7</v>
      </c>
      <c r="C501" s="1" cm="1">
        <f t="array" aca="1" ref="C501" ca="1">INDIRECT(_xlfn.CONCAT("$K", $F501))</f>
        <v>43119</v>
      </c>
      <c r="D501" s="1"/>
      <c r="E501" s="1" t="str" cm="1">
        <f t="array" aca="1" ref="E501" ca="1">INDIRECT(_xlfn.CONCAT("$L", $F501))</f>
        <v>en es fr de it pt ja ko ru 汉语 漢語</v>
      </c>
      <c r="F501" s="1" cm="1">
        <f t="array" aca="1" ref="F501" ca="1">IF(NOT(OR(ISERROR(INDIRECT(_xlfn.CONCAT("$I", $F500 + 1))), ISBLANK(INDIRECT(_xlfn.CONCAT("$I", $F500 + 1))))), $F500 + 1, IF(NOT(ISBLANK(INDIRECT(_xlfn.CONCAT("$I", $F500 + 2)))), $F500 + 2, ""))</f>
        <v>946</v>
      </c>
    </row>
    <row r="502" spans="1:12" ht="59.25">
      <c r="A502" s="1" t="str" cm="1">
        <f t="array" aca="1" ref="A502" ca="1">INDIRECT(_xlfn.CONCAT("$I", $F502))</f>
        <v>Judge Gift Cards 2018 J18</v>
      </c>
      <c r="B502" s="1" cm="1">
        <f t="array" aca="1" ref="B502" ca="1">INDIRECT(_xlfn.CONCAT("$J", $F502))</f>
        <v>8</v>
      </c>
      <c r="C502" s="1" cm="1">
        <f t="array" aca="1" ref="C502" ca="1">INDIRECT(_xlfn.CONCAT("$K", $F502))</f>
        <v>43101</v>
      </c>
      <c r="D502" s="1"/>
      <c r="E502" s="1" t="str" cm="1">
        <f t="array" aca="1" ref="E502" ca="1">INDIRECT(_xlfn.CONCAT("$L", $F502))</f>
        <v>en es fr de it pt ja ko ru 汉语 漢語</v>
      </c>
      <c r="F502" s="1" cm="1">
        <f t="array" aca="1" ref="F502" ca="1">IF(NOT(OR(ISERROR(INDIRECT(_xlfn.CONCAT("$I", $F501 + 1))), ISBLANK(INDIRECT(_xlfn.CONCAT("$I", $F501 + 1))))), $F501 + 1, IF(NOT(ISBLANK(INDIRECT(_xlfn.CONCAT("$I", $F501 + 2)))), $F501 + 2, ""))</f>
        <v>948</v>
      </c>
      <c r="I502" s="8" t="s">
        <v>429</v>
      </c>
      <c r="J502" s="8">
        <v>447</v>
      </c>
      <c r="K502" s="9">
        <v>44680</v>
      </c>
      <c r="L502" t="s">
        <v>174</v>
      </c>
    </row>
    <row r="503" spans="1:12" ht="59.25">
      <c r="A503" s="1" t="str" cm="1">
        <f t="array" aca="1" ref="A503" ca="1">INDIRECT(_xlfn.CONCAT("$I", $F503))</f>
        <v>Friday Night Magic 2018 F18</v>
      </c>
      <c r="B503" s="1" cm="1">
        <f t="array" aca="1" ref="B503" ca="1">INDIRECT(_xlfn.CONCAT("$J", $F503))</f>
        <v>3</v>
      </c>
      <c r="C503" s="1" cm="1">
        <f t="array" aca="1" ref="C503" ca="1">INDIRECT(_xlfn.CONCAT("$K", $F503))</f>
        <v>43096</v>
      </c>
      <c r="D503" s="1"/>
      <c r="E503" s="1" t="str" cm="1">
        <f t="array" aca="1" ref="E503" ca="1">INDIRECT(_xlfn.CONCAT("$L", $F503))</f>
        <v>en es fr de it pt ja ko ru 汉语 漢語</v>
      </c>
      <c r="F503" s="1" cm="1">
        <f t="array" aca="1" ref="F503" ca="1">IF(NOT(OR(ISERROR(INDIRECT(_xlfn.CONCAT("$I", $F502 + 1))), ISBLANK(INDIRECT(_xlfn.CONCAT("$I", $F502 + 1))))), $F502 + 1, IF(NOT(ISBLANK(INDIRECT(_xlfn.CONCAT("$I", $F502 + 2)))), $F502 + 2, ""))</f>
        <v>950</v>
      </c>
    </row>
    <row r="504" spans="1:12" ht="59.25">
      <c r="A504" s="1" t="str" cm="1">
        <f t="array" aca="1" ref="A504" ca="1">INDIRECT(_xlfn.CONCAT("$I", $F504))</f>
        <v>Unstable UST</v>
      </c>
      <c r="B504" s="1" cm="1">
        <f t="array" aca="1" ref="B504" ca="1">INDIRECT(_xlfn.CONCAT("$J", $F504))</f>
        <v>268</v>
      </c>
      <c r="C504" s="1" cm="1">
        <f t="array" aca="1" ref="C504" ca="1">INDIRECT(_xlfn.CONCAT("$K", $F504))</f>
        <v>43077</v>
      </c>
      <c r="D504" s="1"/>
      <c r="E504" s="1" t="str" cm="1">
        <f t="array" aca="1" ref="E504" ca="1">INDIRECT(_xlfn.CONCAT("$L", $F504))</f>
        <v>en es fr de it pt ja ko ru 汉语 漢語</v>
      </c>
      <c r="F504" s="1" cm="1">
        <f t="array" aca="1" ref="F504" ca="1">IF(NOT(OR(ISERROR(INDIRECT(_xlfn.CONCAT("$I", $F503 + 1))), ISBLANK(INDIRECT(_xlfn.CONCAT("$I", $F503 + 1))))), $F503 + 1, IF(NOT(ISBLANK(INDIRECT(_xlfn.CONCAT("$I", $F503 + 2)))), $F503 + 2, ""))</f>
        <v>952</v>
      </c>
      <c r="I504" s="8" t="s">
        <v>430</v>
      </c>
      <c r="J504" s="8">
        <v>75</v>
      </c>
      <c r="K504" s="9">
        <v>44680</v>
      </c>
      <c r="L504" s="8" t="s">
        <v>174</v>
      </c>
    </row>
    <row r="505" spans="1:12" ht="59.25">
      <c r="A505" s="1" t="str" cm="1">
        <f t="array" aca="1" ref="A505" ca="1">INDIRECT(_xlfn.CONCAT("$I", $F505))</f>
        <v>Unstable Promos PUST</v>
      </c>
      <c r="B505" s="1" cm="1">
        <f t="array" aca="1" ref="B505" ca="1">INDIRECT(_xlfn.CONCAT("$J", $F505))</f>
        <v>1</v>
      </c>
      <c r="C505" s="1" cm="1">
        <f t="array" aca="1" ref="C505" ca="1">INDIRECT(_xlfn.CONCAT("$K", $F505))</f>
        <v>43077</v>
      </c>
      <c r="D505" s="1"/>
      <c r="E505" s="1" t="str" cm="1">
        <f t="array" aca="1" ref="E505" ca="1">INDIRECT(_xlfn.CONCAT("$L", $F505))</f>
        <v>en es fr de it pt ja ko ru 汉语 漢語</v>
      </c>
      <c r="F505" s="1" cm="1">
        <f t="array" aca="1" ref="F505" ca="1">IF(NOT(OR(ISERROR(INDIRECT(_xlfn.CONCAT("$I", $F504 + 1))), ISBLANK(INDIRECT(_xlfn.CONCAT("$I", $F504 + 1))))), $F504 + 1, IF(NOT(ISBLANK(INDIRECT(_xlfn.CONCAT("$I", $F504 + 2)))), $F504 + 2, ""))</f>
        <v>954</v>
      </c>
    </row>
    <row r="506" spans="1:12" ht="59.25">
      <c r="A506" s="1" t="str" cm="1">
        <f t="array" aca="1" ref="A506" ca="1">INDIRECT(_xlfn.CONCAT("$I", $F506))</f>
        <v>Unstable Tokens TUST</v>
      </c>
      <c r="B506" s="1" cm="1">
        <f t="array" aca="1" ref="B506" ca="1">INDIRECT(_xlfn.CONCAT("$J", $F506))</f>
        <v>20</v>
      </c>
      <c r="C506" s="1" cm="1">
        <f t="array" aca="1" ref="C506" ca="1">INDIRECT(_xlfn.CONCAT("$K", $F506))</f>
        <v>43077</v>
      </c>
      <c r="D506" s="1"/>
      <c r="E506" s="1" t="str" cm="1">
        <f t="array" aca="1" ref="E506" ca="1">INDIRECT(_xlfn.CONCAT("$L", $F506))</f>
        <v>en es fr de it pt ja ko ru 汉语 漢語</v>
      </c>
      <c r="F506" s="1" cm="1">
        <f t="array" aca="1" ref="F506" ca="1">IF(NOT(OR(ISERROR(INDIRECT(_xlfn.CONCAT("$I", $F505 + 1))), ISBLANK(INDIRECT(_xlfn.CONCAT("$I", $F505 + 1))))), $F505 + 1, IF(NOT(ISBLANK(INDIRECT(_xlfn.CONCAT("$I", $F505 + 2)))), $F505 + 2, ""))</f>
        <v>956</v>
      </c>
      <c r="I506" s="8" t="s">
        <v>431</v>
      </c>
      <c r="J506" s="8">
        <v>36</v>
      </c>
      <c r="K506" s="9">
        <v>44680</v>
      </c>
      <c r="L506" s="8" t="s">
        <v>174</v>
      </c>
    </row>
    <row r="507" spans="1:12" ht="59.25">
      <c r="A507" s="1" t="str" cm="1">
        <f t="array" aca="1" ref="A507" ca="1">INDIRECT(_xlfn.CONCAT("$I", $F507))</f>
        <v>From the Vault: Transform V17</v>
      </c>
      <c r="B507" s="1" cm="1">
        <f t="array" aca="1" ref="B507" ca="1">INDIRECT(_xlfn.CONCAT("$J", $F507))</f>
        <v>16</v>
      </c>
      <c r="C507" s="1" cm="1">
        <f t="array" aca="1" ref="C507" ca="1">INDIRECT(_xlfn.CONCAT("$K", $F507))</f>
        <v>43063</v>
      </c>
      <c r="D507" s="1"/>
      <c r="E507" s="1" t="str" cm="1">
        <f t="array" aca="1" ref="E507" ca="1">INDIRECT(_xlfn.CONCAT("$L", $F507))</f>
        <v>en es fr de it pt ja ko ru 汉语 漢語</v>
      </c>
      <c r="F507" s="1" cm="1">
        <f t="array" aca="1" ref="F507" ca="1">IF(NOT(OR(ISERROR(INDIRECT(_xlfn.CONCAT("$I", $F506 + 1))), ISBLANK(INDIRECT(_xlfn.CONCAT("$I", $F506 + 1))))), $F506 + 1, IF(NOT(ISBLANK(INDIRECT(_xlfn.CONCAT("$I", $F506 + 2)))), $F506 + 2, ""))</f>
        <v>958</v>
      </c>
    </row>
    <row r="508" spans="1:12" ht="59.25">
      <c r="A508" s="1" t="str" cm="1">
        <f t="array" aca="1" ref="A508" ca="1">INDIRECT(_xlfn.CONCAT("$I", $F508))</f>
        <v>Explorers of Ixalan E02</v>
      </c>
      <c r="B508" s="1" cm="1">
        <f t="array" aca="1" ref="B508" ca="1">INDIRECT(_xlfn.CONCAT("$J", $F508))</f>
        <v>48</v>
      </c>
      <c r="C508" s="1" cm="1">
        <f t="array" aca="1" ref="C508" ca="1">INDIRECT(_xlfn.CONCAT("$K", $F508))</f>
        <v>43063</v>
      </c>
      <c r="D508" s="1"/>
      <c r="E508" s="1" t="str" cm="1">
        <f t="array" aca="1" ref="E508" ca="1">INDIRECT(_xlfn.CONCAT("$L", $F508))</f>
        <v>en es fr de it pt ja ko ru 汉语 漢語</v>
      </c>
      <c r="F508" s="1" cm="1">
        <f t="array" aca="1" ref="F508" ca="1">IF(NOT(OR(ISERROR(INDIRECT(_xlfn.CONCAT("$I", $F507 + 1))), ISBLANK(INDIRECT(_xlfn.CONCAT("$I", $F507 + 1))))), $F507 + 1, IF(NOT(ISBLANK(INDIRECT(_xlfn.CONCAT("$I", $F507 + 2)))), $F507 + 2, ""))</f>
        <v>960</v>
      </c>
      <c r="I508" s="8" t="s">
        <v>432</v>
      </c>
      <c r="J508" s="8">
        <v>3</v>
      </c>
      <c r="K508" s="9">
        <v>44680</v>
      </c>
      <c r="L508" s="8" t="s">
        <v>174</v>
      </c>
    </row>
    <row r="509" spans="1:12" ht="59.25">
      <c r="A509" s="1" t="str" cm="1">
        <f t="array" aca="1" ref="A509" ca="1">INDIRECT(_xlfn.CONCAT("$I", $F509))</f>
        <v>Iconic Masters IMA</v>
      </c>
      <c r="B509" s="1" cm="1">
        <f t="array" aca="1" ref="B509" ca="1">INDIRECT(_xlfn.CONCAT("$J", $F509))</f>
        <v>249</v>
      </c>
      <c r="C509" s="1" cm="1">
        <f t="array" aca="1" ref="C509" ca="1">INDIRECT(_xlfn.CONCAT("$K", $F509))</f>
        <v>43056</v>
      </c>
      <c r="D509" s="1"/>
      <c r="E509" s="1" t="str" cm="1">
        <f t="array" aca="1" ref="E509" ca="1">INDIRECT(_xlfn.CONCAT("$L", $F509))</f>
        <v>en es fr de it pt ja ko ru 汉语 漢語</v>
      </c>
      <c r="F509" s="1" cm="1">
        <f t="array" aca="1" ref="F509" ca="1">IF(NOT(OR(ISERROR(INDIRECT(_xlfn.CONCAT("$I", $F508 + 1))), ISBLANK(INDIRECT(_xlfn.CONCAT("$I", $F508 + 1))))), $F508 + 1, IF(NOT(ISBLANK(INDIRECT(_xlfn.CONCAT("$I", $F508 + 2)))), $F508 + 2, ""))</f>
        <v>962</v>
      </c>
    </row>
    <row r="510" spans="1:12" ht="59.25">
      <c r="A510" s="1" t="str" cm="1">
        <f t="array" aca="1" ref="A510" ca="1">INDIRECT(_xlfn.CONCAT("$I", $F510))</f>
        <v>Iconic Masters Tokens TIMA</v>
      </c>
      <c r="B510" s="1" cm="1">
        <f t="array" aca="1" ref="B510" ca="1">INDIRECT(_xlfn.CONCAT("$J", $F510))</f>
        <v>7</v>
      </c>
      <c r="C510" s="1" cm="1">
        <f t="array" aca="1" ref="C510" ca="1">INDIRECT(_xlfn.CONCAT("$K", $F510))</f>
        <v>43068</v>
      </c>
      <c r="D510" s="1"/>
      <c r="E510" s="1" t="str" cm="1">
        <f t="array" aca="1" ref="E510" ca="1">INDIRECT(_xlfn.CONCAT("$L", $F510))</f>
        <v>en es fr de it pt ja ko ru 汉语 漢語</v>
      </c>
      <c r="F510" s="1" cm="1">
        <f t="array" aca="1" ref="F510" ca="1">IF(NOT(OR(ISERROR(INDIRECT(_xlfn.CONCAT("$I", $F509 + 1))), ISBLANK(INDIRECT(_xlfn.CONCAT("$I", $F509 + 1))))), $F509 + 1, IF(NOT(ISBLANK(INDIRECT(_xlfn.CONCAT("$I", $F509 + 2)))), $F509 + 2, ""))</f>
        <v>964</v>
      </c>
      <c r="I510" s="8" t="s">
        <v>444</v>
      </c>
      <c r="J510" s="8">
        <v>81</v>
      </c>
      <c r="K510" s="9">
        <v>44680</v>
      </c>
      <c r="L510" s="8" t="s">
        <v>174</v>
      </c>
    </row>
    <row r="511" spans="1:12" ht="68.25">
      <c r="A511" s="1" t="str" cm="1">
        <f t="array" aca="1" ref="A511" ca="1">INDIRECT(_xlfn.CONCAT("$I", $F511))</f>
        <v>Duel Decks: Merfolk vs. Goblins DDT</v>
      </c>
      <c r="B511" s="1" cm="1">
        <f t="array" aca="1" ref="B511" ca="1">INDIRECT(_xlfn.CONCAT("$J", $F511))</f>
        <v>63</v>
      </c>
      <c r="C511" s="1" cm="1">
        <f t="array" aca="1" ref="C511" ca="1">INDIRECT(_xlfn.CONCAT("$K", $F511))</f>
        <v>43032</v>
      </c>
      <c r="D511" s="1"/>
      <c r="E511" s="1" t="str" cm="1">
        <f t="array" aca="1" ref="E511" ca="1">INDIRECT(_xlfn.CONCAT("$L", $F511))</f>
        <v>en es fr de it pt ja ko ru 汉语 漢語</v>
      </c>
      <c r="F511" s="1" cm="1">
        <f t="array" aca="1" ref="F511" ca="1">IF(NOT(OR(ISERROR(INDIRECT(_xlfn.CONCAT("$I", $F510 + 1))), ISBLANK(INDIRECT(_xlfn.CONCAT("$I", $F510 + 1))))), $F510 + 1, IF(NOT(ISBLANK(INDIRECT(_xlfn.CONCAT("$I", $F510 + 2)))), $F510 + 2, ""))</f>
        <v>966</v>
      </c>
    </row>
    <row r="512" spans="1:12" ht="81">
      <c r="A512" s="1" t="str" cm="1">
        <f t="array" aca="1" ref="A512" ca="1">INDIRECT(_xlfn.CONCAT("$I", $F512))</f>
        <v>Duel Decks: Merfolk vs. Goblins Tokens TDDT</v>
      </c>
      <c r="B512" s="1" cm="1">
        <f t="array" aca="1" ref="B512" ca="1">INDIRECT(_xlfn.CONCAT("$J", $F512))</f>
        <v>3</v>
      </c>
      <c r="C512" s="1" cm="1">
        <f t="array" aca="1" ref="C512" ca="1">INDIRECT(_xlfn.CONCAT("$K", $F512))</f>
        <v>43032</v>
      </c>
      <c r="D512" s="1"/>
      <c r="E512" s="1" t="str" cm="1">
        <f t="array" aca="1" ref="E512" ca="1">INDIRECT(_xlfn.CONCAT("$L", $F512))</f>
        <v>en es fr de it pt ja ko ru 汉语 漢語</v>
      </c>
      <c r="F512" s="1" cm="1">
        <f t="array" aca="1" ref="F512" ca="1">IF(NOT(OR(ISERROR(INDIRECT(_xlfn.CONCAT("$I", $F511 + 1))), ISBLANK(INDIRECT(_xlfn.CONCAT("$I", $F511 + 1))))), $F511 + 1, IF(NOT(ISBLANK(INDIRECT(_xlfn.CONCAT("$I", $F511 + 2)))), $F511 + 2, ""))</f>
        <v>968</v>
      </c>
      <c r="I512" s="8" t="s">
        <v>433</v>
      </c>
      <c r="J512" s="8">
        <v>9</v>
      </c>
      <c r="K512" s="9">
        <v>44659</v>
      </c>
      <c r="L512" s="8" t="s">
        <v>174</v>
      </c>
    </row>
    <row r="513" spans="1:12" ht="59.25">
      <c r="A513" s="1" t="str" cm="1">
        <f t="array" aca="1" ref="A513" ca="1">INDIRECT(_xlfn.CONCAT("$I", $F513))</f>
        <v>2017 Gift Pack G17</v>
      </c>
      <c r="B513" s="1" cm="1">
        <f t="array" aca="1" ref="B513" ca="1">INDIRECT(_xlfn.CONCAT("$J", $F513))</f>
        <v>5</v>
      </c>
      <c r="C513" s="1" cm="1">
        <f t="array" aca="1" ref="C513" ca="1">INDIRECT(_xlfn.CONCAT("$K", $F513))</f>
        <v>43028</v>
      </c>
      <c r="D513" s="1"/>
      <c r="E513" s="1" t="str" cm="1">
        <f t="array" aca="1" ref="E513" ca="1">INDIRECT(_xlfn.CONCAT("$L", $F513))</f>
        <v>en es fr de it pt ja ko ru 汉语 漢語</v>
      </c>
      <c r="F513" s="1" cm="1">
        <f t="array" aca="1" ref="F513" ca="1">IF(NOT(OR(ISERROR(INDIRECT(_xlfn.CONCAT("$I", $F512 + 1))), ISBLANK(INDIRECT(_xlfn.CONCAT("$I", $F512 + 1))))), $F512 + 1, IF(NOT(ISBLANK(INDIRECT(_xlfn.CONCAT("$I", $F512 + 2)))), $F512 + 2, ""))</f>
        <v>970</v>
      </c>
    </row>
    <row r="514" spans="1:12" ht="59.25">
      <c r="A514" s="1" t="str" cm="1">
        <f t="array" aca="1" ref="A514" ca="1">INDIRECT(_xlfn.CONCAT("$I", $F514))</f>
        <v>Ixalan XLN</v>
      </c>
      <c r="B514" s="1" cm="1">
        <f t="array" aca="1" ref="B514" ca="1">INDIRECT(_xlfn.CONCAT("$J", $F514))</f>
        <v>289</v>
      </c>
      <c r="C514" s="1" cm="1">
        <f t="array" aca="1" ref="C514" ca="1">INDIRECT(_xlfn.CONCAT("$K", $F514))</f>
        <v>43007</v>
      </c>
      <c r="D514" s="1"/>
      <c r="E514" s="1" t="str" cm="1">
        <f t="array" aca="1" ref="E514" ca="1">INDIRECT(_xlfn.CONCAT("$L", $F514))</f>
        <v>en es fr de it pt ja ko ru 汉语 漢語</v>
      </c>
      <c r="F514" s="1" cm="1">
        <f t="array" aca="1" ref="F514" ca="1">IF(NOT(OR(ISERROR(INDIRECT(_xlfn.CONCAT("$I", $F513 + 1))), ISBLANK(INDIRECT(_xlfn.CONCAT("$I", $F513 + 1))))), $F513 + 1, IF(NOT(ISBLANK(INDIRECT(_xlfn.CONCAT("$I", $F513 + 2)))), $F513 + 2, ""))</f>
        <v>972</v>
      </c>
      <c r="I514" s="8" t="s">
        <v>434</v>
      </c>
      <c r="J514" s="8">
        <v>1</v>
      </c>
      <c r="K514" s="9">
        <v>44652</v>
      </c>
      <c r="L514" s="8" t="s">
        <v>174</v>
      </c>
    </row>
    <row r="515" spans="1:12" ht="59.25">
      <c r="A515" s="1" t="str" cm="1">
        <f t="array" aca="1" ref="A515" ca="1">INDIRECT(_xlfn.CONCAT("$I", $F515))</f>
        <v>Ixalan Promos PXLN</v>
      </c>
      <c r="B515" s="1" cm="1">
        <f t="array" aca="1" ref="B515" ca="1">INDIRECT(_xlfn.CONCAT("$J", $F515))</f>
        <v>120</v>
      </c>
      <c r="C515" s="1" cm="1">
        <f t="array" aca="1" ref="C515" ca="1">INDIRECT(_xlfn.CONCAT("$K", $F515))</f>
        <v>43007</v>
      </c>
      <c r="D515" s="1"/>
      <c r="E515" s="1" t="str" cm="1">
        <f t="array" aca="1" ref="E515" ca="1">INDIRECT(_xlfn.CONCAT("$L", $F515))</f>
        <v>en es fr de it pt ja ko ru 汉语 漢語</v>
      </c>
      <c r="F515" s="1" cm="1">
        <f t="array" aca="1" ref="F515" ca="1">IF(NOT(OR(ISERROR(INDIRECT(_xlfn.CONCAT("$I", $F514 + 1))), ISBLANK(INDIRECT(_xlfn.CONCAT("$I", $F514 + 1))))), $F514 + 1, IF(NOT(ISBLANK(INDIRECT(_xlfn.CONCAT("$I", $F514 + 2)))), $F514 + 2, ""))</f>
        <v>974</v>
      </c>
    </row>
    <row r="516" spans="1:12" ht="59.25">
      <c r="A516" s="1" t="str" cm="1">
        <f t="array" aca="1" ref="A516" ca="1">INDIRECT(_xlfn.CONCAT("$I", $F516))</f>
        <v>Ixalan Tokens TXLN</v>
      </c>
      <c r="B516" s="1" cm="1">
        <f t="array" aca="1" ref="B516" ca="1">INDIRECT(_xlfn.CONCAT("$J", $F516))</f>
        <v>11</v>
      </c>
      <c r="C516" s="1" cm="1">
        <f t="array" aca="1" ref="C516" ca="1">INDIRECT(_xlfn.CONCAT("$K", $F516))</f>
        <v>43007</v>
      </c>
      <c r="D516" s="1"/>
      <c r="E516" s="1" t="str" cm="1">
        <f t="array" aca="1" ref="E516" ca="1">INDIRECT(_xlfn.CONCAT("$L", $F516))</f>
        <v>en es fr de it pt ja ko ru 汉语 漢語</v>
      </c>
      <c r="F516" s="1" cm="1">
        <f t="array" aca="1" ref="F516" ca="1">IF(NOT(OR(ISERROR(INDIRECT(_xlfn.CONCAT("$I", $F515 + 1))), ISBLANK(INDIRECT(_xlfn.CONCAT("$I", $F515 + 1))))), $F515 + 1, IF(NOT(ISBLANK(INDIRECT(_xlfn.CONCAT("$I", $F515 + 2)))), $F515 + 2, ""))</f>
        <v>976</v>
      </c>
      <c r="I516" s="8" t="s">
        <v>435</v>
      </c>
      <c r="J516" s="8">
        <v>6</v>
      </c>
      <c r="K516" s="9">
        <v>44625</v>
      </c>
      <c r="L516" s="8" t="s">
        <v>174</v>
      </c>
    </row>
    <row r="517" spans="1:12" ht="59.25">
      <c r="A517" s="1" t="str" cm="1">
        <f t="array" aca="1" ref="A517" ca="1">INDIRECT(_xlfn.CONCAT("$I", $F517))</f>
        <v>XLN Treasure Chest PXTC</v>
      </c>
      <c r="B517" s="1" cm="1">
        <f t="array" aca="1" ref="B517" ca="1">INDIRECT(_xlfn.CONCAT("$J", $F517))</f>
        <v>10</v>
      </c>
      <c r="C517" s="1" cm="1">
        <f t="array" aca="1" ref="C517" ca="1">INDIRECT(_xlfn.CONCAT("$K", $F517))</f>
        <v>43063</v>
      </c>
      <c r="D517" s="1"/>
      <c r="E517" s="1" t="str" cm="1">
        <f t="array" aca="1" ref="E517" ca="1">INDIRECT(_xlfn.CONCAT("$L", $F517))</f>
        <v>en es fr de it pt ja ko ru 汉语 漢語</v>
      </c>
      <c r="F517" s="1" cm="1">
        <f t="array" aca="1" ref="F517" ca="1">IF(NOT(OR(ISERROR(INDIRECT(_xlfn.CONCAT("$I", $F516 + 1))), ISBLANK(INDIRECT(_xlfn.CONCAT("$I", $F516 + 1))))), $F516 + 1, IF(NOT(ISBLANK(INDIRECT(_xlfn.CONCAT("$I", $F516 + 2)))), $F516 + 2, ""))</f>
        <v>978</v>
      </c>
    </row>
    <row r="518" spans="1:12" ht="59.25">
      <c r="A518" s="1" t="str" cm="1">
        <f t="array" aca="1" ref="A518" ca="1">INDIRECT(_xlfn.CONCAT("$I", $F518))</f>
        <v>XLN Standard Showdown PSS2</v>
      </c>
      <c r="B518" s="1" cm="1">
        <f t="array" aca="1" ref="B518" ca="1">INDIRECT(_xlfn.CONCAT("$J", $F518))</f>
        <v>5</v>
      </c>
      <c r="C518" s="1" cm="1">
        <f t="array" aca="1" ref="C518" ca="1">INDIRECT(_xlfn.CONCAT("$K", $F518))</f>
        <v>43007</v>
      </c>
      <c r="D518" s="1"/>
      <c r="E518" s="1" t="str" cm="1">
        <f t="array" aca="1" ref="E518" ca="1">INDIRECT(_xlfn.CONCAT("$L", $F518))</f>
        <v>en es fr de it pt ja ko ru 汉语 漢語</v>
      </c>
      <c r="F518" s="1" cm="1">
        <f t="array" aca="1" ref="F518" ca="1">IF(NOT(OR(ISERROR(INDIRECT(_xlfn.CONCAT("$I", $F517 + 1))), ISBLANK(INDIRECT(_xlfn.CONCAT("$I", $F517 + 1))))), $F517 + 1, IF(NOT(ISBLANK(INDIRECT(_xlfn.CONCAT("$I", $F517 + 2)))), $F517 + 2, ""))</f>
        <v>980</v>
      </c>
      <c r="I518" s="8" t="s">
        <v>436</v>
      </c>
      <c r="J518" s="8">
        <v>5</v>
      </c>
      <c r="K518" s="9">
        <v>44617</v>
      </c>
      <c r="L518" t="s">
        <v>174</v>
      </c>
    </row>
    <row r="519" spans="1:12" ht="59.25">
      <c r="A519" s="1" t="str" cm="1">
        <f t="array" aca="1" ref="A519" ca="1">INDIRECT(_xlfn.CONCAT("$I", $F519))</f>
        <v>HasCon 2017 H17</v>
      </c>
      <c r="B519" s="1" cm="1">
        <f t="array" aca="1" ref="B519" ca="1">INDIRECT(_xlfn.CONCAT("$J", $F519))</f>
        <v>4</v>
      </c>
      <c r="C519" s="1" cm="1">
        <f t="array" aca="1" ref="C519" ca="1">INDIRECT(_xlfn.CONCAT("$K", $F519))</f>
        <v>42998</v>
      </c>
      <c r="D519" s="1"/>
      <c r="E519" s="1" t="str" cm="1">
        <f t="array" aca="1" ref="E519" ca="1">INDIRECT(_xlfn.CONCAT("$L", $F519))</f>
        <v>en es fr de it pt ja ko ru 汉语 漢語</v>
      </c>
      <c r="F519" s="1" cm="1">
        <f t="array" aca="1" ref="F519" ca="1">IF(NOT(OR(ISERROR(INDIRECT(_xlfn.CONCAT("$I", $F518 + 1))), ISBLANK(INDIRECT(_xlfn.CONCAT("$I", $F518 + 1))))), $F518 + 1, IF(NOT(ISBLANK(INDIRECT(_xlfn.CONCAT("$I", $F518 + 2)))), $F518 + 2, ""))</f>
        <v>982</v>
      </c>
    </row>
    <row r="520" spans="1:12" ht="59.25">
      <c r="A520" s="1" t="str" cm="1">
        <f t="array" aca="1" ref="A520" ca="1">INDIRECT(_xlfn.CONCAT("$I", $F520))</f>
        <v>2016 Heroes of the Realm PHTR</v>
      </c>
      <c r="B520" s="1" cm="1">
        <f t="array" aca="1" ref="B520" ca="1">INDIRECT(_xlfn.CONCAT("$J", $F520))</f>
        <v>3</v>
      </c>
      <c r="C520" s="1" cm="1">
        <f t="array" aca="1" ref="C520" ca="1">INDIRECT(_xlfn.CONCAT("$K", $F520))</f>
        <v>42998</v>
      </c>
      <c r="D520" s="1"/>
      <c r="E520" s="1" t="str" cm="1">
        <f t="array" aca="1" ref="E520" ca="1">INDIRECT(_xlfn.CONCAT("$L", $F520))</f>
        <v>en es fr de it pt ja ko ru 汉语 漢語</v>
      </c>
      <c r="F520" s="1" cm="1">
        <f t="array" aca="1" ref="F520" ca="1">IF(NOT(OR(ISERROR(INDIRECT(_xlfn.CONCAT("$I", $F519 + 1))), ISBLANK(INDIRECT(_xlfn.CONCAT("$I", $F519 + 1))))), $F519 + 1, IF(NOT(ISBLANK(INDIRECT(_xlfn.CONCAT("$I", $F519 + 2)))), $F519 + 2, ""))</f>
        <v>984</v>
      </c>
      <c r="I520" s="8" t="s">
        <v>1258</v>
      </c>
      <c r="J520" s="8">
        <v>531</v>
      </c>
      <c r="K520" s="9">
        <v>44610</v>
      </c>
      <c r="L520" t="s">
        <v>174</v>
      </c>
    </row>
    <row r="521" spans="1:12" ht="41.25">
      <c r="A521" s="1" t="str" cm="1">
        <f t="array" aca="1" ref="A521" ca="1">INDIRECT(_xlfn.CONCAT("$I", $F521))</f>
        <v>Modern Cube MODERN</v>
      </c>
      <c r="B521" s="1" cm="1">
        <f t="array" aca="1" ref="B521" ca="1">INDIRECT(_xlfn.CONCAT("$J", $F521))</f>
        <v>540</v>
      </c>
      <c r="C521" s="1" cm="1">
        <f t="array" aca="1" ref="C521" ca="1">INDIRECT(_xlfn.CONCAT("$K", $F521))</f>
        <v>42984</v>
      </c>
      <c r="D521" s="1"/>
      <c r="E521" s="1" cm="1">
        <f t="array" aca="1" ref="E521" ca="1">INDIRECT(_xlfn.CONCAT("$L", $F521))</f>
        <v>0</v>
      </c>
      <c r="F521" s="1" cm="1">
        <f t="array" aca="1" ref="F521" ca="1">IF(NOT(OR(ISERROR(INDIRECT(_xlfn.CONCAT("$I", $F520 + 1))), ISBLANK(INDIRECT(_xlfn.CONCAT("$I", $F520 + 1))))), $F520 + 1, IF(NOT(ISBLANK(INDIRECT(_xlfn.CONCAT("$I", $F520 + 2)))), $F520 + 2, ""))</f>
        <v>986</v>
      </c>
    </row>
    <row r="522" spans="1:12" ht="59.25">
      <c r="A522" s="1" t="str" cm="1">
        <f t="array" aca="1" ref="A522" ca="1">INDIRECT(_xlfn.CONCAT("$I", $F522))</f>
        <v>Commander 2017 C17</v>
      </c>
      <c r="B522" s="1" cm="1">
        <f t="array" aca="1" ref="B522" ca="1">INDIRECT(_xlfn.CONCAT("$J", $F522))</f>
        <v>309</v>
      </c>
      <c r="C522" s="1" cm="1">
        <f t="array" aca="1" ref="C522" ca="1">INDIRECT(_xlfn.CONCAT("$K", $F522))</f>
        <v>42972</v>
      </c>
      <c r="D522" s="1"/>
      <c r="E522" s="1" t="str" cm="1">
        <f t="array" aca="1" ref="E522" ca="1">INDIRECT(_xlfn.CONCAT("$L", $F522))</f>
        <v>en es fr de it pt ja ko ru 汉语 漢語</v>
      </c>
      <c r="F522" s="1" cm="1">
        <f t="array" aca="1" ref="F522" ca="1">IF(NOT(OR(ISERROR(INDIRECT(_xlfn.CONCAT("$I", $F521 + 1))), ISBLANK(INDIRECT(_xlfn.CONCAT("$I", $F521 + 1))))), $F521 + 1, IF(NOT(ISBLANK(INDIRECT(_xlfn.CONCAT("$I", $F521 + 2)))), $F521 + 2, ""))</f>
        <v>988</v>
      </c>
      <c r="I522" s="8" t="s">
        <v>437</v>
      </c>
      <c r="J522" s="8">
        <v>148</v>
      </c>
      <c r="K522" s="9">
        <v>44610</v>
      </c>
      <c r="L522" s="8" t="s">
        <v>174</v>
      </c>
    </row>
    <row r="523" spans="1:12" ht="59.25">
      <c r="A523" s="1" t="str" cm="1">
        <f t="array" aca="1" ref="A523" ca="1">INDIRECT(_xlfn.CONCAT("$I", $F523))</f>
        <v>Commander 2017 Tokens TC17</v>
      </c>
      <c r="B523" s="1" cm="1">
        <f t="array" aca="1" ref="B523" ca="1">INDIRECT(_xlfn.CONCAT("$J", $F523))</f>
        <v>11</v>
      </c>
      <c r="C523" s="1" cm="1">
        <f t="array" aca="1" ref="C523" ca="1">INDIRECT(_xlfn.CONCAT("$K", $F523))</f>
        <v>42972</v>
      </c>
      <c r="D523" s="1"/>
      <c r="E523" s="1" t="str" cm="1">
        <f t="array" aca="1" ref="E523" ca="1">INDIRECT(_xlfn.CONCAT("$L", $F523))</f>
        <v>en es fr de it pt ja ko ru 汉语 漢語</v>
      </c>
      <c r="F523" s="1" cm="1">
        <f t="array" aca="1" ref="F523" ca="1">IF(NOT(OR(ISERROR(INDIRECT(_xlfn.CONCAT("$I", $F522 + 1))), ISBLANK(INDIRECT(_xlfn.CONCAT("$I", $F522 + 1))))), $F522 + 1, IF(NOT(ISBLANK(INDIRECT(_xlfn.CONCAT("$I", $F522 + 2)))), $F522 + 2, ""))</f>
        <v>990</v>
      </c>
    </row>
    <row r="524" spans="1:12" ht="59.25">
      <c r="A524" s="1" t="str" cm="1">
        <f t="array" aca="1" ref="A524" ca="1">INDIRECT(_xlfn.CONCAT("$I", $F524))</f>
        <v>Commander 2017 Oversized OC17</v>
      </c>
      <c r="B524" s="1" cm="1">
        <f t="array" aca="1" ref="B524" ca="1">INDIRECT(_xlfn.CONCAT("$J", $F524))</f>
        <v>4</v>
      </c>
      <c r="C524" s="1" cm="1">
        <f t="array" aca="1" ref="C524" ca="1">INDIRECT(_xlfn.CONCAT("$K", $F524))</f>
        <v>42972</v>
      </c>
      <c r="D524" s="1"/>
      <c r="E524" s="1" t="str" cm="1">
        <f t="array" aca="1" ref="E524" ca="1">INDIRECT(_xlfn.CONCAT("$L", $F524))</f>
        <v>en es fr de it pt ja ko ru 汉语 漢語</v>
      </c>
      <c r="F524" s="1" cm="1">
        <f t="array" aca="1" ref="F524" ca="1">IF(NOT(OR(ISERROR(INDIRECT(_xlfn.CONCAT("$I", $F523 + 1))), ISBLANK(INDIRECT(_xlfn.CONCAT("$I", $F523 + 1))))), $F523 + 1, IF(NOT(ISBLANK(INDIRECT(_xlfn.CONCAT("$I", $F523 + 2)))), $F523 + 2, ""))</f>
        <v>992</v>
      </c>
      <c r="I524" s="8" t="s">
        <v>438</v>
      </c>
      <c r="J524" s="8">
        <v>19</v>
      </c>
      <c r="K524" s="9">
        <v>44610</v>
      </c>
      <c r="L524" s="8" t="s">
        <v>174</v>
      </c>
    </row>
    <row r="525" spans="1:12" ht="59.25">
      <c r="A525" s="1" t="str" cm="1">
        <f t="array" aca="1" ref="A525" ca="1">INDIRECT(_xlfn.CONCAT("$I", $F525))</f>
        <v>San Diego Comic-Con 2017 PS17</v>
      </c>
      <c r="B525" s="1" cm="1">
        <f t="array" aca="1" ref="B525" ca="1">INDIRECT(_xlfn.CONCAT("$J", $F525))</f>
        <v>6</v>
      </c>
      <c r="C525" s="1" cm="1">
        <f t="array" aca="1" ref="C525" ca="1">INDIRECT(_xlfn.CONCAT("$K", $F525))</f>
        <v>42936</v>
      </c>
      <c r="D525" s="1"/>
      <c r="E525" s="1" t="str" cm="1">
        <f t="array" aca="1" ref="E525" ca="1">INDIRECT(_xlfn.CONCAT("$L", $F525))</f>
        <v>en es fr de it pt ja ko ru 汉语 漢語</v>
      </c>
      <c r="F525" s="1" cm="1">
        <f t="array" aca="1" ref="F525" ca="1">IF(NOT(OR(ISERROR(INDIRECT(_xlfn.CONCAT("$I", $F524 + 1))), ISBLANK(INDIRECT(_xlfn.CONCAT("$I", $F524 + 1))))), $F524 + 1, IF(NOT(ISBLANK(INDIRECT(_xlfn.CONCAT("$I", $F524 + 2)))), $F524 + 2, ""))</f>
        <v>994</v>
      </c>
    </row>
    <row r="526" spans="1:12" ht="59.25">
      <c r="A526" s="1" t="str" cm="1">
        <f t="array" aca="1" ref="A526" ca="1">INDIRECT(_xlfn.CONCAT("$I", $F526))</f>
        <v>Hour of Devastation HOU</v>
      </c>
      <c r="B526" s="1" cm="1">
        <f t="array" aca="1" ref="B526" ca="1">INDIRECT(_xlfn.CONCAT("$J", $F526))</f>
        <v>209</v>
      </c>
      <c r="C526" s="1" cm="1">
        <f t="array" aca="1" ref="C526" ca="1">INDIRECT(_xlfn.CONCAT("$K", $F526))</f>
        <v>42930</v>
      </c>
      <c r="D526" s="1"/>
      <c r="E526" s="1" t="str" cm="1">
        <f t="array" aca="1" ref="E526" ca="1">INDIRECT(_xlfn.CONCAT("$L", $F526))</f>
        <v>en es fr de it pt ja ko ru 汉语 漢語</v>
      </c>
      <c r="F526" s="1" cm="1">
        <f t="array" aca="1" ref="F526" ca="1">IF(NOT(OR(ISERROR(INDIRECT(_xlfn.CONCAT("$I", $F525 + 1))), ISBLANK(INDIRECT(_xlfn.CONCAT("$I", $F525 + 1))))), $F525 + 1, IF(NOT(ISBLANK(INDIRECT(_xlfn.CONCAT("$I", $F525 + 2)))), $F525 + 2, ""))</f>
        <v>996</v>
      </c>
      <c r="I526" s="8" t="s">
        <v>439</v>
      </c>
      <c r="J526" s="8">
        <v>30</v>
      </c>
      <c r="K526" s="9">
        <v>44637</v>
      </c>
      <c r="L526" s="8" t="s">
        <v>174</v>
      </c>
    </row>
    <row r="527" spans="1:12" ht="59.25">
      <c r="A527" s="1" t="str" cm="1">
        <f t="array" aca="1" ref="A527" ca="1">INDIRECT(_xlfn.CONCAT("$I", $F527))</f>
        <v>Hour of Devastation Promos PHOU</v>
      </c>
      <c r="B527" s="1" cm="1">
        <f t="array" aca="1" ref="B527" ca="1">INDIRECT(_xlfn.CONCAT("$J", $F527))</f>
        <v>62</v>
      </c>
      <c r="C527" s="1" cm="1">
        <f t="array" aca="1" ref="C527" ca="1">INDIRECT(_xlfn.CONCAT("$K", $F527))</f>
        <v>42930</v>
      </c>
      <c r="D527" s="1"/>
      <c r="E527" s="1" t="str" cm="1">
        <f t="array" aca="1" ref="E527" ca="1">INDIRECT(_xlfn.CONCAT("$L", $F527))</f>
        <v>en es fr de it pt ja ko ru 汉语 漢語</v>
      </c>
      <c r="F527" s="1" cm="1">
        <f t="array" aca="1" ref="F527" ca="1">IF(NOT(OR(ISERROR(INDIRECT(_xlfn.CONCAT("$I", $F526 + 1))), ISBLANK(INDIRECT(_xlfn.CONCAT("$I", $F526 + 1))))), $F526 + 1, IF(NOT(ISBLANK(INDIRECT(_xlfn.CONCAT("$I", $F526 + 2)))), $F526 + 2, ""))</f>
        <v>998</v>
      </c>
    </row>
    <row r="528" spans="1:12" ht="59.25">
      <c r="A528" s="1" t="str" cm="1">
        <f t="array" aca="1" ref="A528" ca="1">INDIRECT(_xlfn.CONCAT("$I", $F528))</f>
        <v>Hour of Devastation Tokens THOU</v>
      </c>
      <c r="B528" s="1" cm="1">
        <f t="array" aca="1" ref="B528" ca="1">INDIRECT(_xlfn.CONCAT("$J", $F528))</f>
        <v>13</v>
      </c>
      <c r="C528" s="1" cm="1">
        <f t="array" aca="1" ref="C528" ca="1">INDIRECT(_xlfn.CONCAT("$K", $F528))</f>
        <v>42930</v>
      </c>
      <c r="D528" s="1"/>
      <c r="E528" s="1" t="str" cm="1">
        <f t="array" aca="1" ref="E528" ca="1">INDIRECT(_xlfn.CONCAT("$L", $F528))</f>
        <v>en es fr de it pt ja ko ru 汉语 漢語</v>
      </c>
      <c r="F528" s="1" cm="1">
        <f t="array" aca="1" ref="F528" ca="1">IF(NOT(OR(ISERROR(INDIRECT(_xlfn.CONCAT("$I", $F527 + 1))), ISBLANK(INDIRECT(_xlfn.CONCAT("$I", $F527 + 1))))), $F527 + 1, IF(NOT(ISBLANK(INDIRECT(_xlfn.CONCAT("$I", $F527 + 2)))), $F527 + 2, ""))</f>
        <v>1000</v>
      </c>
      <c r="I528" s="8" t="s">
        <v>440</v>
      </c>
      <c r="J528" s="8">
        <v>3</v>
      </c>
      <c r="K528" s="9">
        <v>44610</v>
      </c>
      <c r="L528" s="8" t="s">
        <v>174</v>
      </c>
    </row>
    <row r="529" spans="1:12" ht="59.25">
      <c r="A529" s="1" t="str" cm="1">
        <f t="array" aca="1" ref="A529" ca="1">INDIRECT(_xlfn.CONCAT("$I", $F529))</f>
        <v>Archenemy: Nicol Bolas E01</v>
      </c>
      <c r="B529" s="1" cm="1">
        <f t="array" aca="1" ref="B529" ca="1">INDIRECT(_xlfn.CONCAT("$J", $F529))</f>
        <v>106</v>
      </c>
      <c r="C529" s="1" cm="1">
        <f t="array" aca="1" ref="C529" ca="1">INDIRECT(_xlfn.CONCAT("$K", $F529))</f>
        <v>42902</v>
      </c>
      <c r="D529" s="1"/>
      <c r="E529" s="1" t="str" cm="1">
        <f t="array" aca="1" ref="E529" ca="1">INDIRECT(_xlfn.CONCAT("$L", $F529))</f>
        <v>en es fr de it pt ja ko ru 汉语 漢語</v>
      </c>
      <c r="F529" s="1" cm="1">
        <f t="array" aca="1" ref="F529" ca="1">IF(NOT(OR(ISERROR(INDIRECT(_xlfn.CONCAT("$I", $F528 + 1))), ISBLANK(INDIRECT(_xlfn.CONCAT("$I", $F528 + 1))))), $F528 + 1, IF(NOT(ISBLANK(INDIRECT(_xlfn.CONCAT("$I", $F528 + 2)))), $F528 + 2, ""))</f>
        <v>1002</v>
      </c>
    </row>
    <row r="530" spans="1:12" ht="68.25">
      <c r="A530" s="1" t="str" cm="1">
        <f t="array" aca="1" ref="A530" ca="1">INDIRECT(_xlfn.CONCAT("$I", $F530))</f>
        <v>Archenemy: Nicol Bolas Tokens TE01</v>
      </c>
      <c r="B530" s="1" cm="1">
        <f t="array" aca="1" ref="B530" ca="1">INDIRECT(_xlfn.CONCAT("$J", $F530))</f>
        <v>5</v>
      </c>
      <c r="C530" s="1" cm="1">
        <f t="array" aca="1" ref="C530" ca="1">INDIRECT(_xlfn.CONCAT("$K", $F530))</f>
        <v>42986</v>
      </c>
      <c r="D530" s="1"/>
      <c r="E530" s="1" t="str" cm="1">
        <f t="array" aca="1" ref="E530" ca="1">INDIRECT(_xlfn.CONCAT("$L", $F530))</f>
        <v>en es fr de it pt ja ko ru 汉语 漢語</v>
      </c>
      <c r="F530" s="1" cm="1">
        <f t="array" aca="1" ref="F530" ca="1">IF(NOT(OR(ISERROR(INDIRECT(_xlfn.CONCAT("$I", $F529 + 1))), ISBLANK(INDIRECT(_xlfn.CONCAT("$I", $F529 + 1))))), $F529 + 1, IF(NOT(ISBLANK(INDIRECT(_xlfn.CONCAT("$I", $F529 + 2)))), $F529 + 2, ""))</f>
        <v>1004</v>
      </c>
      <c r="I530" s="8" t="s">
        <v>441</v>
      </c>
      <c r="J530" s="8">
        <v>9</v>
      </c>
      <c r="K530" s="9">
        <v>44610</v>
      </c>
      <c r="L530" s="8" t="s">
        <v>174</v>
      </c>
    </row>
    <row r="531" spans="1:12" ht="68.25">
      <c r="A531" s="1" t="str" cm="1">
        <f t="array" aca="1" ref="A531" ca="1">INDIRECT(_xlfn.CONCAT("$I", $F531))</f>
        <v>Archenemy: Nicol Bolas Schemes OE01</v>
      </c>
      <c r="B531" s="1" cm="1">
        <f t="array" aca="1" ref="B531" ca="1">INDIRECT(_xlfn.CONCAT("$J", $F531))</f>
        <v>20</v>
      </c>
      <c r="C531" s="1" cm="1">
        <f t="array" aca="1" ref="C531" ca="1">INDIRECT(_xlfn.CONCAT("$K", $F531))</f>
        <v>42902</v>
      </c>
      <c r="D531" s="1"/>
      <c r="E531" s="1" t="str" cm="1">
        <f t="array" aca="1" ref="E531" ca="1">INDIRECT(_xlfn.CONCAT("$L", $F531))</f>
        <v>en es fr de it pt ja ko ru 汉语 漢語</v>
      </c>
      <c r="F531" s="1" cm="1">
        <f t="array" aca="1" ref="F531" ca="1">IF(NOT(OR(ISERROR(INDIRECT(_xlfn.CONCAT("$I", $F530 + 1))), ISBLANK(INDIRECT(_xlfn.CONCAT("$I", $F530 + 1))))), $F530 + 1, IF(NOT(ISBLANK(INDIRECT(_xlfn.CONCAT("$I", $F530 + 2)))), $F530 + 2, ""))</f>
        <v>1006</v>
      </c>
    </row>
    <row r="532" spans="1:12" ht="59.25">
      <c r="A532" s="1" t="str" cm="1">
        <f t="array" aca="1" ref="A532" ca="1">INDIRECT(_xlfn.CONCAT("$I", $F532))</f>
        <v>Commander Anthology CMA</v>
      </c>
      <c r="B532" s="1" cm="1">
        <f t="array" aca="1" ref="B532" ca="1">INDIRECT(_xlfn.CONCAT("$J", $F532))</f>
        <v>320</v>
      </c>
      <c r="C532" s="1" cm="1">
        <f t="array" aca="1" ref="C532" ca="1">INDIRECT(_xlfn.CONCAT("$K", $F532))</f>
        <v>42895</v>
      </c>
      <c r="D532" s="1"/>
      <c r="E532" s="1" t="str" cm="1">
        <f t="array" aca="1" ref="E532" ca="1">INDIRECT(_xlfn.CONCAT("$L", $F532))</f>
        <v>en es fr de it pt ja ko ru 汉语 漢語</v>
      </c>
      <c r="F532" s="1" cm="1">
        <f t="array" aca="1" ref="F532" ca="1">IF(NOT(OR(ISERROR(INDIRECT(_xlfn.CONCAT("$I", $F531 + 1))), ISBLANK(INDIRECT(_xlfn.CONCAT("$I", $F531 + 1))))), $F531 + 1, IF(NOT(ISBLANK(INDIRECT(_xlfn.CONCAT("$I", $F531 + 2)))), $F531 + 2, ""))</f>
        <v>1008</v>
      </c>
      <c r="I532" s="8" t="s">
        <v>442</v>
      </c>
      <c r="J532" s="8">
        <v>179</v>
      </c>
      <c r="K532" s="9">
        <v>44610</v>
      </c>
      <c r="L532" t="s">
        <v>174</v>
      </c>
    </row>
    <row r="533" spans="1:12" ht="68.25">
      <c r="A533" s="1" t="str" cm="1">
        <f t="array" aca="1" ref="A533" ca="1">INDIRECT(_xlfn.CONCAT("$I", $F533))</f>
        <v>Commander Anthology Tokens TCMA</v>
      </c>
      <c r="B533" s="1" cm="1">
        <f t="array" aca="1" ref="B533" ca="1">INDIRECT(_xlfn.CONCAT("$J", $F533))</f>
        <v>20</v>
      </c>
      <c r="C533" s="1" cm="1">
        <f t="array" aca="1" ref="C533" ca="1">INDIRECT(_xlfn.CONCAT("$K", $F533))</f>
        <v>42895</v>
      </c>
      <c r="D533" s="1"/>
      <c r="E533" s="1" t="str" cm="1">
        <f t="array" aca="1" ref="E533" ca="1">INDIRECT(_xlfn.CONCAT("$L", $F533))</f>
        <v>en es fr de it pt ja ko ru 汉语 漢語</v>
      </c>
      <c r="F533" s="1" cm="1">
        <f t="array" aca="1" ref="F533" ca="1">IF(NOT(OR(ISERROR(INDIRECT(_xlfn.CONCAT("$I", $F532 + 1))), ISBLANK(INDIRECT(_xlfn.CONCAT("$I", $F532 + 1))))), $F532 + 1, IF(NOT(ISBLANK(INDIRECT(_xlfn.CONCAT("$I", $F532 + 2)))), $F532 + 2, ""))</f>
        <v>1010</v>
      </c>
    </row>
    <row r="534" spans="1:12" ht="59.25">
      <c r="A534" s="1" t="str" cm="1">
        <f t="array" aca="1" ref="A534" ca="1">INDIRECT(_xlfn.CONCAT("$I", $F534))</f>
        <v>Amonkhet AKH</v>
      </c>
      <c r="B534" s="1" cm="1">
        <f t="array" aca="1" ref="B534" ca="1">INDIRECT(_xlfn.CONCAT("$J", $F534))</f>
        <v>287</v>
      </c>
      <c r="C534" s="1" cm="1">
        <f t="array" aca="1" ref="C534" ca="1">INDIRECT(_xlfn.CONCAT("$K", $F534))</f>
        <v>42853</v>
      </c>
      <c r="D534" s="1"/>
      <c r="E534" s="1" t="str" cm="1">
        <f t="array" aca="1" ref="E534" ca="1">INDIRECT(_xlfn.CONCAT("$L", $F534))</f>
        <v>en es fr de it pt ja ko ru 汉语 漢語</v>
      </c>
      <c r="F534" s="1" cm="1">
        <f t="array" aca="1" ref="F534" ca="1">IF(NOT(OR(ISERROR(INDIRECT(_xlfn.CONCAT("$I", $F533 + 1))), ISBLANK(INDIRECT(_xlfn.CONCAT("$I", $F533 + 1))))), $F533 + 1, IF(NOT(ISBLANK(INDIRECT(_xlfn.CONCAT("$I", $F533 + 2)))), $F533 + 2, ""))</f>
        <v>1012</v>
      </c>
      <c r="I534" s="8" t="s">
        <v>443</v>
      </c>
      <c r="J534" s="8">
        <v>12</v>
      </c>
      <c r="K534" s="9">
        <v>44610</v>
      </c>
      <c r="L534" s="8" t="s">
        <v>174</v>
      </c>
    </row>
    <row r="535" spans="1:12" ht="59.25">
      <c r="A535" s="1" t="str" cm="1">
        <f t="array" aca="1" ref="A535" ca="1">INDIRECT(_xlfn.CONCAT("$I", $F535))</f>
        <v>Amonkhet Invocations MP2</v>
      </c>
      <c r="B535" s="1" cm="1">
        <f t="array" aca="1" ref="B535" ca="1">INDIRECT(_xlfn.CONCAT("$J", $F535))</f>
        <v>54</v>
      </c>
      <c r="C535" s="1" cm="1">
        <f t="array" aca="1" ref="C535" ca="1">INDIRECT(_xlfn.CONCAT("$K", $F535))</f>
        <v>42853</v>
      </c>
      <c r="D535" s="1"/>
      <c r="E535" s="1" t="str" cm="1">
        <f t="array" aca="1" ref="E535" ca="1">INDIRECT(_xlfn.CONCAT("$L", $F535))</f>
        <v>en es fr de it pt ja ko ru 汉语 漢語</v>
      </c>
      <c r="F535" s="1" cm="1">
        <f t="array" aca="1" ref="F535" ca="1">IF(NOT(OR(ISERROR(INDIRECT(_xlfn.CONCAT("$I", $F534 + 1))), ISBLANK(INDIRECT(_xlfn.CONCAT("$I", $F534 + 1))))), $F534 + 1, IF(NOT(ISBLANK(INDIRECT(_xlfn.CONCAT("$I", $F534 + 2)))), $F534 + 2, ""))</f>
        <v>1014</v>
      </c>
    </row>
    <row r="536" spans="1:12" ht="59.25">
      <c r="A536" s="1" t="str" cm="1">
        <f t="array" aca="1" ref="A536" ca="1">INDIRECT(_xlfn.CONCAT("$I", $F536))</f>
        <v>Amonkhet Promos PAKH</v>
      </c>
      <c r="B536" s="1" cm="1">
        <f t="array" aca="1" ref="B536" ca="1">INDIRECT(_xlfn.CONCAT("$J", $F536))</f>
        <v>77</v>
      </c>
      <c r="C536" s="1" cm="1">
        <f t="array" aca="1" ref="C536" ca="1">INDIRECT(_xlfn.CONCAT("$K", $F536))</f>
        <v>42853</v>
      </c>
      <c r="D536" s="1"/>
      <c r="E536" s="1" t="str" cm="1">
        <f t="array" aca="1" ref="E536" ca="1">INDIRECT(_xlfn.CONCAT("$L", $F536))</f>
        <v>en es fr de it pt ja ko ru 汉语 漢語</v>
      </c>
      <c r="F536" s="1" cm="1">
        <f t="array" aca="1" ref="F536" ca="1">IF(NOT(OR(ISERROR(INDIRECT(_xlfn.CONCAT("$I", $F535 + 1))), ISBLANK(INDIRECT(_xlfn.CONCAT("$I", $F535 + 1))))), $F535 + 1, IF(NOT(ISBLANK(INDIRECT(_xlfn.CONCAT("$I", $F535 + 2)))), $F535 + 2, ""))</f>
        <v>1016</v>
      </c>
      <c r="I536" s="8" t="s">
        <v>445</v>
      </c>
      <c r="J536" s="8">
        <v>81</v>
      </c>
      <c r="K536" s="9">
        <v>44610</v>
      </c>
      <c r="L536" s="8" t="s">
        <v>174</v>
      </c>
    </row>
    <row r="537" spans="1:12" ht="59.25">
      <c r="A537" s="1" t="str" cm="1">
        <f t="array" aca="1" ref="A537" ca="1">INDIRECT(_xlfn.CONCAT("$I", $F537))</f>
        <v>Amonkhet Tokens TAKH</v>
      </c>
      <c r="B537" s="1" cm="1">
        <f t="array" aca="1" ref="B537" ca="1">INDIRECT(_xlfn.CONCAT("$J", $F537))</f>
        <v>26</v>
      </c>
      <c r="C537" s="1" cm="1">
        <f t="array" aca="1" ref="C537" ca="1">INDIRECT(_xlfn.CONCAT("$K", $F537))</f>
        <v>42853</v>
      </c>
      <c r="D537" s="1"/>
      <c r="E537" s="1" t="str" cm="1">
        <f t="array" aca="1" ref="E537" ca="1">INDIRECT(_xlfn.CONCAT("$L", $F537))</f>
        <v>en es fr de it pt ja ko ru 汉语 漢語</v>
      </c>
      <c r="F537" s="1" cm="1">
        <f t="array" aca="1" ref="F537" ca="1">IF(NOT(OR(ISERROR(INDIRECT(_xlfn.CONCAT("$I", $F536 + 1))), ISBLANK(INDIRECT(_xlfn.CONCAT("$I", $F536 + 1))))), $F536 + 1, IF(NOT(ISBLANK(INDIRECT(_xlfn.CONCAT("$I", $F536 + 2)))), $F536 + 2, ""))</f>
        <v>1018</v>
      </c>
    </row>
    <row r="538" spans="1:12" ht="59.25">
      <c r="A538" s="1" t="str" cm="1">
        <f t="array" aca="1" ref="A538" ca="1">INDIRECT(_xlfn.CONCAT("$I", $F538))</f>
        <v>Welcome Deck 2017 W17</v>
      </c>
      <c r="B538" s="1" cm="1">
        <f t="array" aca="1" ref="B538" ca="1">INDIRECT(_xlfn.CONCAT("$J", $F538))</f>
        <v>30</v>
      </c>
      <c r="C538" s="1" cm="1">
        <f t="array" aca="1" ref="C538" ca="1">INDIRECT(_xlfn.CONCAT("$K", $F538))</f>
        <v>42840</v>
      </c>
      <c r="D538" s="1"/>
      <c r="E538" s="1" t="str" cm="1">
        <f t="array" aca="1" ref="E538" ca="1">INDIRECT(_xlfn.CONCAT("$L", $F538))</f>
        <v>en es fr de it pt ja ko ru 汉语 漢語</v>
      </c>
      <c r="F538" s="1" cm="1">
        <f t="array" aca="1" ref="F538" ca="1">IF(NOT(OR(ISERROR(INDIRECT(_xlfn.CONCAT("$I", $F537 + 1))), ISBLANK(INDIRECT(_xlfn.CONCAT("$I", $F537 + 1))))), $F537 + 1, IF(NOT(ISBLANK(INDIRECT(_xlfn.CONCAT("$I", $F537 + 2)))), $F537 + 2, ""))</f>
        <v>1020</v>
      </c>
      <c r="I538" s="8" t="s">
        <v>446</v>
      </c>
      <c r="J538" s="8">
        <v>9</v>
      </c>
      <c r="K538" s="9">
        <v>44589</v>
      </c>
      <c r="L538" s="8" t="s">
        <v>174</v>
      </c>
    </row>
    <row r="539" spans="1:12" ht="41.25">
      <c r="A539" s="1" t="str" cm="1">
        <f t="array" aca="1" ref="A539" ca="1">INDIRECT(_xlfn.CONCAT("$I", $F539))</f>
        <v>Legacy Cube LEGACY</v>
      </c>
      <c r="B539" s="1" cm="1">
        <f t="array" aca="1" ref="B539" ca="1">INDIRECT(_xlfn.CONCAT("$J", $F539))</f>
        <v>600</v>
      </c>
      <c r="C539" s="1" cm="1">
        <f t="array" aca="1" ref="C539" ca="1">INDIRECT(_xlfn.CONCAT("$K", $F539))</f>
        <v>42830</v>
      </c>
      <c r="D539" s="1"/>
      <c r="E539" s="1" cm="1">
        <f t="array" aca="1" ref="E539" ca="1">INDIRECT(_xlfn.CONCAT("$L", $F539))</f>
        <v>0</v>
      </c>
      <c r="F539" s="1" cm="1">
        <f t="array" aca="1" ref="F539" ca="1">IF(NOT(OR(ISERROR(INDIRECT(_xlfn.CONCAT("$I", $F538 + 1))), ISBLANK(INDIRECT(_xlfn.CONCAT("$I", $F538 + 1))))), $F538 + 1, IF(NOT(ISBLANK(INDIRECT(_xlfn.CONCAT("$I", $F538 + 2)))), $F538 + 2, ""))</f>
        <v>1022</v>
      </c>
    </row>
    <row r="540" spans="1:12" ht="59.25">
      <c r="A540" s="1" t="str" cm="1">
        <f t="array" aca="1" ref="A540" ca="1">INDIRECT(_xlfn.CONCAT("$I", $F540))</f>
        <v>Duel Decks: Mind vs. Might DDS</v>
      </c>
      <c r="B540" s="1" cm="1">
        <f t="array" aca="1" ref="B540" ca="1">INDIRECT(_xlfn.CONCAT("$J", $F540))</f>
        <v>65</v>
      </c>
      <c r="C540" s="1" cm="1">
        <f t="array" aca="1" ref="C540" ca="1">INDIRECT(_xlfn.CONCAT("$K", $F540))</f>
        <v>42825</v>
      </c>
      <c r="D540" s="1"/>
      <c r="E540" s="1" t="str" cm="1">
        <f t="array" aca="1" ref="E540" ca="1">INDIRECT(_xlfn.CONCAT("$L", $F540))</f>
        <v>en es fr de it pt ja ko ru 汉语 漢語</v>
      </c>
      <c r="F540" s="1" cm="1">
        <f t="array" aca="1" ref="F540" ca="1">IF(NOT(OR(ISERROR(INDIRECT(_xlfn.CONCAT("$I", $F539 + 1))), ISBLANK(INDIRECT(_xlfn.CONCAT("$I", $F539 + 1))))), $F539 + 1, IF(NOT(ISBLANK(INDIRECT(_xlfn.CONCAT("$I", $F539 + 2)))), $F539 + 2, ""))</f>
        <v>1024</v>
      </c>
      <c r="I540" s="8" t="s">
        <v>447</v>
      </c>
      <c r="J540" s="8">
        <v>535</v>
      </c>
      <c r="K540" s="9">
        <v>44589</v>
      </c>
      <c r="L540" s="8" t="s">
        <v>174</v>
      </c>
    </row>
    <row r="541" spans="1:12" ht="81">
      <c r="A541" s="1" t="str" cm="1">
        <f t="array" aca="1" ref="A541" ca="1">INDIRECT(_xlfn.CONCAT("$I", $F541))</f>
        <v>Duel Decks: Mind vs. Might Tokens TDDS</v>
      </c>
      <c r="B541" s="1" cm="1">
        <f t="array" aca="1" ref="B541" ca="1">INDIRECT(_xlfn.CONCAT("$J", $F541))</f>
        <v>7</v>
      </c>
      <c r="C541" s="1" cm="1">
        <f t="array" aca="1" ref="C541" ca="1">INDIRECT(_xlfn.CONCAT("$K", $F541))</f>
        <v>42825</v>
      </c>
      <c r="D541" s="1"/>
      <c r="E541" s="1" t="str" cm="1">
        <f t="array" aca="1" ref="E541" ca="1">INDIRECT(_xlfn.CONCAT("$L", $F541))</f>
        <v>en es fr de it pt ja ko ru 汉语 漢語</v>
      </c>
      <c r="F541" s="1" cm="1">
        <f t="array" aca="1" ref="F541" ca="1">IF(NOT(OR(ISERROR(INDIRECT(_xlfn.CONCAT("$I", $F540 + 1))), ISBLANK(INDIRECT(_xlfn.CONCAT("$I", $F540 + 1))))), $F540 + 1, IF(NOT(ISBLANK(INDIRECT(_xlfn.CONCAT("$I", $F540 + 2)))), $F540 + 2, ""))</f>
        <v>1026</v>
      </c>
    </row>
    <row r="542" spans="1:12" ht="59.25">
      <c r="A542" s="1" t="str" cm="1">
        <f t="array" aca="1" ref="A542" ca="1">INDIRECT(_xlfn.CONCAT("$I", $F542))</f>
        <v>Modern Masters 2017 MM3</v>
      </c>
      <c r="B542" s="1" cm="1">
        <f t="array" aca="1" ref="B542" ca="1">INDIRECT(_xlfn.CONCAT("$J", $F542))</f>
        <v>249</v>
      </c>
      <c r="C542" s="1" cm="1">
        <f t="array" aca="1" ref="C542" ca="1">INDIRECT(_xlfn.CONCAT("$K", $F542))</f>
        <v>42811</v>
      </c>
      <c r="D542" s="1"/>
      <c r="E542" s="1" t="str" cm="1">
        <f t="array" aca="1" ref="E542" ca="1">INDIRECT(_xlfn.CONCAT("$L", $F542))</f>
        <v>en es fr de it pt ja ko ru 汉语 漢語</v>
      </c>
      <c r="F542" s="1" cm="1">
        <f t="array" aca="1" ref="F542" ca="1">IF(NOT(OR(ISERROR(INDIRECT(_xlfn.CONCAT("$I", $F541 + 1))), ISBLANK(INDIRECT(_xlfn.CONCAT("$I", $F541 + 1))))), $F541 + 1, IF(NOT(ISBLANK(INDIRECT(_xlfn.CONCAT("$I", $F541 + 2)))), $F541 + 2, ""))</f>
        <v>1028</v>
      </c>
      <c r="I542" s="8" t="s">
        <v>448</v>
      </c>
      <c r="J542" s="8">
        <v>10</v>
      </c>
      <c r="K542" s="9">
        <v>44562</v>
      </c>
      <c r="L542" s="8" t="s">
        <v>174</v>
      </c>
    </row>
    <row r="543" spans="1:12" ht="68.25">
      <c r="A543" s="1" t="str" cm="1">
        <f t="array" aca="1" ref="A543" ca="1">INDIRECT(_xlfn.CONCAT("$I", $F543))</f>
        <v>Modern Masters 2017 Tokens TMM3</v>
      </c>
      <c r="B543" s="1" cm="1">
        <f t="array" aca="1" ref="B543" ca="1">INDIRECT(_xlfn.CONCAT("$J", $F543))</f>
        <v>21</v>
      </c>
      <c r="C543" s="1" cm="1">
        <f t="array" aca="1" ref="C543" ca="1">INDIRECT(_xlfn.CONCAT("$K", $F543))</f>
        <v>42811</v>
      </c>
      <c r="D543" s="1"/>
      <c r="E543" s="1" t="str" cm="1">
        <f t="array" aca="1" ref="E543" ca="1">INDIRECT(_xlfn.CONCAT("$L", $F543))</f>
        <v>en es fr de it pt ja ko ru 汉语 漢語</v>
      </c>
      <c r="F543" s="1" cm="1">
        <f t="array" aca="1" ref="F543" ca="1">IF(NOT(OR(ISERROR(INDIRECT(_xlfn.CONCAT("$I", $F542 + 1))), ISBLANK(INDIRECT(_xlfn.CONCAT("$I", $F542 + 1))))), $F542 + 1, IF(NOT(ISBLANK(INDIRECT(_xlfn.CONCAT("$I", $F542 + 2)))), $F542 + 2, ""))</f>
        <v>1030</v>
      </c>
    </row>
    <row r="544" spans="1:12" ht="59.25">
      <c r="A544" s="1" t="str" cm="1">
        <f t="array" aca="1" ref="A544" ca="1">INDIRECT(_xlfn.CONCAT("$I", $F544))</f>
        <v>Aether Revolt AER</v>
      </c>
      <c r="B544" s="1" cm="1">
        <f t="array" aca="1" ref="B544" ca="1">INDIRECT(_xlfn.CONCAT("$J", $F544))</f>
        <v>197</v>
      </c>
      <c r="C544" s="1" cm="1">
        <f t="array" aca="1" ref="C544" ca="1">INDIRECT(_xlfn.CONCAT("$K", $F544))</f>
        <v>42755</v>
      </c>
      <c r="D544" s="1"/>
      <c r="E544" s="1" t="str" cm="1">
        <f t="array" aca="1" ref="E544" ca="1">INDIRECT(_xlfn.CONCAT("$L", $F544))</f>
        <v>en es fr de it pt ja ko ru 汉语 漢語</v>
      </c>
      <c r="F544" s="1" cm="1">
        <f t="array" aca="1" ref="F544" ca="1">IF(NOT(OR(ISERROR(INDIRECT(_xlfn.CONCAT("$I", $F543 + 1))), ISBLANK(INDIRECT(_xlfn.CONCAT("$I", $F543 + 1))))), $F543 + 1, IF(NOT(ISBLANK(INDIRECT(_xlfn.CONCAT("$I", $F543 + 2)))), $F543 + 2, ""))</f>
        <v>1032</v>
      </c>
      <c r="I544" s="8" t="s">
        <v>449</v>
      </c>
      <c r="J544" s="8">
        <v>63</v>
      </c>
      <c r="K544" s="9">
        <v>44539</v>
      </c>
      <c r="L544" s="8" t="s">
        <v>174</v>
      </c>
    </row>
    <row r="545" spans="1:12" ht="59.25">
      <c r="A545" s="1" t="str" cm="1">
        <f t="array" aca="1" ref="A545" ca="1">INDIRECT(_xlfn.CONCAT("$I", $F545))</f>
        <v>Aether Revolt Promos PAER</v>
      </c>
      <c r="B545" s="1" cm="1">
        <f t="array" aca="1" ref="B545" ca="1">INDIRECT(_xlfn.CONCAT("$J", $F545))</f>
        <v>65</v>
      </c>
      <c r="C545" s="1" cm="1">
        <f t="array" aca="1" ref="C545" ca="1">INDIRECT(_xlfn.CONCAT("$K", $F545))</f>
        <v>42755</v>
      </c>
      <c r="D545" s="1"/>
      <c r="E545" s="1" t="str" cm="1">
        <f t="array" aca="1" ref="E545" ca="1">INDIRECT(_xlfn.CONCAT("$L", $F545))</f>
        <v>en es fr de it pt ja ko ru 汉语 漢語</v>
      </c>
      <c r="F545" s="1" cm="1">
        <f t="array" aca="1" ref="F545" ca="1">IF(NOT(OR(ISERROR(INDIRECT(_xlfn.CONCAT("$I", $F544 + 1))), ISBLANK(INDIRECT(_xlfn.CONCAT("$I", $F544 + 1))))), $F544 + 1, IF(NOT(ISBLANK(INDIRECT(_xlfn.CONCAT("$I", $F544 + 2)))), $F544 + 2, ""))</f>
        <v>1034</v>
      </c>
    </row>
    <row r="546" spans="1:12" ht="59.25">
      <c r="A546" s="1" t="str" cm="1">
        <f t="array" aca="1" ref="A546" ca="1">INDIRECT(_xlfn.CONCAT("$I", $F546))</f>
        <v>Aether Revolt Tokens TAER</v>
      </c>
      <c r="B546" s="1" cm="1">
        <f t="array" aca="1" ref="B546" ca="1">INDIRECT(_xlfn.CONCAT("$J", $F546))</f>
        <v>4</v>
      </c>
      <c r="C546" s="1" cm="1">
        <f t="array" aca="1" ref="C546" ca="1">INDIRECT(_xlfn.CONCAT("$K", $F546))</f>
        <v>42755</v>
      </c>
      <c r="D546" s="1"/>
      <c r="E546" s="1" t="str" cm="1">
        <f t="array" aca="1" ref="E546" ca="1">INDIRECT(_xlfn.CONCAT("$L", $F546))</f>
        <v>en es fr de it pt ja ko ru 汉语 漢語</v>
      </c>
      <c r="F546" s="1" cm="1">
        <f t="array" aca="1" ref="F546" ca="1">IF(NOT(OR(ISERROR(INDIRECT(_xlfn.CONCAT("$I", $F545 + 1))), ISBLANK(INDIRECT(_xlfn.CONCAT("$I", $F545 + 1))))), $F545 + 1, IF(NOT(ISBLANK(INDIRECT(_xlfn.CONCAT("$I", $F545 + 2)))), $F545 + 2, ""))</f>
        <v>1036</v>
      </c>
      <c r="I546" s="8" t="s">
        <v>1249</v>
      </c>
      <c r="J546" s="8">
        <v>423</v>
      </c>
      <c r="K546" s="9">
        <v>44519</v>
      </c>
      <c r="L546" t="s">
        <v>174</v>
      </c>
    </row>
    <row r="547" spans="1:12" ht="59.25">
      <c r="A547" s="1" t="str" cm="1">
        <f t="array" aca="1" ref="A547" ca="1">INDIRECT(_xlfn.CONCAT("$I", $F547))</f>
        <v>League Tokens 2017 L17</v>
      </c>
      <c r="B547" s="1" cm="1">
        <f t="array" aca="1" ref="B547" ca="1">INDIRECT(_xlfn.CONCAT("$J", $F547))</f>
        <v>1</v>
      </c>
      <c r="C547" s="1" cm="1">
        <f t="array" aca="1" ref="C547" ca="1">INDIRECT(_xlfn.CONCAT("$K", $F547))</f>
        <v>42736</v>
      </c>
      <c r="D547" s="1"/>
      <c r="E547" s="1" t="str" cm="1">
        <f t="array" aca="1" ref="E547" ca="1">INDIRECT(_xlfn.CONCAT("$L", $F547))</f>
        <v>en es fr de it pt ja ko ru 汉语 漢語</v>
      </c>
      <c r="F547" s="1" cm="1">
        <f t="array" aca="1" ref="F547" ca="1">IF(NOT(OR(ISERROR(INDIRECT(_xlfn.CONCAT("$I", $F546 + 1))), ISBLANK(INDIRECT(_xlfn.CONCAT("$I", $F546 + 1))))), $F546 + 1, IF(NOT(ISBLANK(INDIRECT(_xlfn.CONCAT("$I", $F546 + 2)))), $F546 + 2, ""))</f>
        <v>1038</v>
      </c>
    </row>
    <row r="548" spans="1:12" ht="59.25">
      <c r="A548" s="1" t="str" cm="1">
        <f t="array" aca="1" ref="A548" ca="1">INDIRECT(_xlfn.CONCAT("$I", $F548))</f>
        <v>Friday Night Magic 2017 F17</v>
      </c>
      <c r="B548" s="1" cm="1">
        <f t="array" aca="1" ref="B548" ca="1">INDIRECT(_xlfn.CONCAT("$J", $F548))</f>
        <v>12</v>
      </c>
      <c r="C548" s="1" cm="1">
        <f t="array" aca="1" ref="C548" ca="1">INDIRECT(_xlfn.CONCAT("$K", $F548))</f>
        <v>42736</v>
      </c>
      <c r="D548" s="1"/>
      <c r="E548" s="1" t="str" cm="1">
        <f t="array" aca="1" ref="E548" ca="1">INDIRECT(_xlfn.CONCAT("$L", $F548))</f>
        <v>en es fr de it pt ja ko ru 汉语 漢語</v>
      </c>
      <c r="F548" s="1" cm="1">
        <f t="array" aca="1" ref="F548" ca="1">IF(NOT(OR(ISERROR(INDIRECT(_xlfn.CONCAT("$I", $F547 + 1))), ISBLANK(INDIRECT(_xlfn.CONCAT("$I", $F547 + 1))))), $F547 + 1, IF(NOT(ISBLANK(INDIRECT(_xlfn.CONCAT("$I", $F547 + 2)))), $F547 + 2, ""))</f>
        <v>1040</v>
      </c>
      <c r="I548" s="8" t="s">
        <v>450</v>
      </c>
      <c r="J548" s="8">
        <v>121</v>
      </c>
      <c r="K548" s="9">
        <v>44519</v>
      </c>
      <c r="L548" s="8" t="s">
        <v>174</v>
      </c>
    </row>
    <row r="549" spans="1:12" ht="59.25">
      <c r="A549" s="1" t="str" cm="1">
        <f t="array" aca="1" ref="A549" ca="1">INDIRECT(_xlfn.CONCAT("$I", $F549))</f>
        <v>Judge Gift Cards 2017 J17</v>
      </c>
      <c r="B549" s="1" cm="1">
        <f t="array" aca="1" ref="B549" ca="1">INDIRECT(_xlfn.CONCAT("$J", $F549))</f>
        <v>9</v>
      </c>
      <c r="C549" s="1" cm="1">
        <f t="array" aca="1" ref="C549" ca="1">INDIRECT(_xlfn.CONCAT("$K", $F549))</f>
        <v>42736</v>
      </c>
      <c r="D549" s="1"/>
      <c r="E549" s="1" t="str" cm="1">
        <f t="array" aca="1" ref="E549" ca="1">INDIRECT(_xlfn.CONCAT("$L", $F549))</f>
        <v>en es fr de it pt ja ko ru 汉语 漢語</v>
      </c>
      <c r="F549" s="1" cm="1">
        <f t="array" aca="1" ref="F549" ca="1">IF(NOT(OR(ISERROR(INDIRECT(_xlfn.CONCAT("$I", $F548 + 1))), ISBLANK(INDIRECT(_xlfn.CONCAT("$I", $F548 + 1))))), $F548 + 1, IF(NOT(ISBLANK(INDIRECT(_xlfn.CONCAT("$I", $F548 + 2)))), $F548 + 2, ""))</f>
        <v>1042</v>
      </c>
    </row>
    <row r="550" spans="1:12" ht="59.25">
      <c r="A550" s="1" t="str" cm="1">
        <f t="array" aca="1" ref="A550" ca="1">INDIRECT(_xlfn.CONCAT("$I", $F550))</f>
        <v>Planechase Anthology PCA</v>
      </c>
      <c r="B550" s="1" cm="1">
        <f t="array" aca="1" ref="B550" ca="1">INDIRECT(_xlfn.CONCAT("$J", $F550))</f>
        <v>156</v>
      </c>
      <c r="C550" s="1" cm="1">
        <f t="array" aca="1" ref="C550" ca="1">INDIRECT(_xlfn.CONCAT("$K", $F550))</f>
        <v>42699</v>
      </c>
      <c r="D550" s="1"/>
      <c r="E550" s="1" t="str" cm="1">
        <f t="array" aca="1" ref="E550" ca="1">INDIRECT(_xlfn.CONCAT("$L", $F550))</f>
        <v>en es fr de it pt ja ko ru 汉语 漢語</v>
      </c>
      <c r="F550" s="1" cm="1">
        <f t="array" aca="1" ref="F550" ca="1">IF(NOT(OR(ISERROR(INDIRECT(_xlfn.CONCAT("$I", $F549 + 1))), ISBLANK(INDIRECT(_xlfn.CONCAT("$I", $F549 + 1))))), $F549 + 1, IF(NOT(ISBLANK(INDIRECT(_xlfn.CONCAT("$I", $F549 + 2)))), $F549 + 2, ""))</f>
        <v>1044</v>
      </c>
      <c r="I550" s="8" t="s">
        <v>451</v>
      </c>
      <c r="J550" s="8">
        <v>21</v>
      </c>
      <c r="K550" s="9">
        <v>44519</v>
      </c>
      <c r="L550" s="8" t="s">
        <v>174</v>
      </c>
    </row>
    <row r="551" spans="1:12" ht="59.25">
      <c r="A551" s="1" t="str" cm="1">
        <f t="array" aca="1" ref="A551" ca="1">INDIRECT(_xlfn.CONCAT("$I", $F551))</f>
        <v>Planechase Anthology Tokens TPCA</v>
      </c>
      <c r="B551" s="1" cm="1">
        <f t="array" aca="1" ref="B551" ca="1">INDIRECT(_xlfn.CONCAT("$J", $F551))</f>
        <v>19</v>
      </c>
      <c r="C551" s="1" cm="1">
        <f t="array" aca="1" ref="C551" ca="1">INDIRECT(_xlfn.CONCAT("$K", $F551))</f>
        <v>42699</v>
      </c>
      <c r="D551" s="1"/>
      <c r="E551" s="1" t="str" cm="1">
        <f t="array" aca="1" ref="E551" ca="1">INDIRECT(_xlfn.CONCAT("$L", $F551))</f>
        <v>en es fr de it pt ja ko ru 汉语 漢語</v>
      </c>
      <c r="F551" s="1" cm="1">
        <f t="array" aca="1" ref="F551" ca="1">IF(NOT(OR(ISERROR(INDIRECT(_xlfn.CONCAT("$I", $F550 + 1))), ISBLANK(INDIRECT(_xlfn.CONCAT("$I", $F550 + 1))))), $F550 + 1, IF(NOT(ISBLANK(INDIRECT(_xlfn.CONCAT("$I", $F550 + 2)))), $F550 + 2, ""))</f>
        <v>1046</v>
      </c>
    </row>
    <row r="552" spans="1:12" ht="59.25">
      <c r="A552" s="1" t="str" cm="1">
        <f t="array" aca="1" ref="A552" ca="1">INDIRECT(_xlfn.CONCAT("$I", $F552))</f>
        <v>Planechase Anthology Planes OPCA</v>
      </c>
      <c r="B552" s="1" cm="1">
        <f t="array" aca="1" ref="B552" ca="1">INDIRECT(_xlfn.CONCAT("$J", $F552))</f>
        <v>86</v>
      </c>
      <c r="C552" s="1" cm="1">
        <f t="array" aca="1" ref="C552" ca="1">INDIRECT(_xlfn.CONCAT("$K", $F552))</f>
        <v>42699</v>
      </c>
      <c r="D552" s="1"/>
      <c r="E552" s="1" t="str" cm="1">
        <f t="array" aca="1" ref="E552" ca="1">INDIRECT(_xlfn.CONCAT("$L", $F552))</f>
        <v>en es fr de it pt ja ko ru 汉语 漢語</v>
      </c>
      <c r="F552" s="1" cm="1">
        <f t="array" aca="1" ref="F552" ca="1">IF(NOT(OR(ISERROR(INDIRECT(_xlfn.CONCAT("$I", $F551 + 1))), ISBLANK(INDIRECT(_xlfn.CONCAT("$I", $F551 + 1))))), $F551 + 1, IF(NOT(ISBLANK(INDIRECT(_xlfn.CONCAT("$I", $F551 + 2)))), $F551 + 2, ""))</f>
        <v>1048</v>
      </c>
      <c r="I552" s="8" t="s">
        <v>452</v>
      </c>
      <c r="J552" s="8">
        <v>3</v>
      </c>
      <c r="K552" s="9">
        <v>44519</v>
      </c>
      <c r="L552" s="8" t="s">
        <v>174</v>
      </c>
    </row>
    <row r="553" spans="1:12" ht="59.25">
      <c r="A553" s="1" t="str" cm="1">
        <f t="array" aca="1" ref="A553" ca="1">INDIRECT(_xlfn.CONCAT("$I", $F553))</f>
        <v>Treasure Chest PZ2</v>
      </c>
      <c r="B553" s="1" cm="1">
        <f t="array" aca="1" ref="B553" ca="1">INDIRECT(_xlfn.CONCAT("$J", $F553))</f>
        <v>282</v>
      </c>
      <c r="C553" s="1" cm="1">
        <f t="array" aca="1" ref="C553" ca="1">INDIRECT(_xlfn.CONCAT("$K", $F553))</f>
        <v>42690</v>
      </c>
      <c r="D553" s="1"/>
      <c r="E553" s="1" t="str" cm="1">
        <f t="array" aca="1" ref="E553" ca="1">INDIRECT(_xlfn.CONCAT("$L", $F553))</f>
        <v>en es fr de it pt ja ko ru 汉语 漢語</v>
      </c>
      <c r="F553" s="1" cm="1">
        <f t="array" aca="1" ref="F553" ca="1">IF(NOT(OR(ISERROR(INDIRECT(_xlfn.CONCAT("$I", $F552 + 1))), ISBLANK(INDIRECT(_xlfn.CONCAT("$I", $F552 + 1))))), $F552 + 1, IF(NOT(ISBLANK(INDIRECT(_xlfn.CONCAT("$I", $F552 + 2)))), $F552 + 2, ""))</f>
        <v>1050</v>
      </c>
    </row>
    <row r="554" spans="1:12" ht="41.25">
      <c r="A554" s="1" t="str" cm="1">
        <f t="array" aca="1" ref="A554" ca="1">INDIRECT(_xlfn.CONCAT("$I", $F554))</f>
        <v>Twisted Color Pie TWISTED</v>
      </c>
      <c r="B554" s="1" cm="1">
        <f t="array" aca="1" ref="B554" ca="1">INDIRECT(_xlfn.CONCAT("$J", $F554))</f>
        <v>538</v>
      </c>
      <c r="C554" s="1" cm="1">
        <f t="array" aca="1" ref="C554" ca="1">INDIRECT(_xlfn.CONCAT("$K", $F554))</f>
        <v>42690</v>
      </c>
      <c r="D554" s="1"/>
      <c r="E554" s="1" cm="1">
        <f t="array" aca="1" ref="E554" ca="1">INDIRECT(_xlfn.CONCAT("$L", $F554))</f>
        <v>0</v>
      </c>
      <c r="F554" s="1" cm="1">
        <f t="array" aca="1" ref="F554" ca="1">IF(NOT(OR(ISERROR(INDIRECT(_xlfn.CONCAT("$I", $F553 + 1))), ISBLANK(INDIRECT(_xlfn.CONCAT("$I", $F553 + 1))))), $F553 + 1, IF(NOT(ISBLANK(INDIRECT(_xlfn.CONCAT("$I", $F553 + 2)))), $F553 + 2, ""))</f>
        <v>1052</v>
      </c>
      <c r="I554" s="8" t="s">
        <v>453</v>
      </c>
      <c r="J554" s="8">
        <v>9</v>
      </c>
      <c r="K554" s="9">
        <v>44519</v>
      </c>
      <c r="L554" s="8" t="s">
        <v>174</v>
      </c>
    </row>
    <row r="555" spans="1:12" ht="59.25">
      <c r="A555" s="1" t="str" cm="1">
        <f t="array" aca="1" ref="A555" ca="1">INDIRECT(_xlfn.CONCAT("$I", $F555))</f>
        <v>Commander 2016 C16</v>
      </c>
      <c r="B555" s="1" cm="1">
        <f t="array" aca="1" ref="B555" ca="1">INDIRECT(_xlfn.CONCAT("$J", $F555))</f>
        <v>351</v>
      </c>
      <c r="C555" s="1" cm="1">
        <f t="array" aca="1" ref="C555" ca="1">INDIRECT(_xlfn.CONCAT("$K", $F555))</f>
        <v>42685</v>
      </c>
      <c r="D555" s="1"/>
      <c r="E555" s="1" t="str" cm="1">
        <f t="array" aca="1" ref="E555" ca="1">INDIRECT(_xlfn.CONCAT("$L", $F555))</f>
        <v>en es fr de it pt ja ko ru 汉语 漢語</v>
      </c>
      <c r="F555" s="1" cm="1">
        <f t="array" aca="1" ref="F555" ca="1">IF(NOT(OR(ISERROR(INDIRECT(_xlfn.CONCAT("$I", $F554 + 1))), ISBLANK(INDIRECT(_xlfn.CONCAT("$I", $F554 + 1))))), $F554 + 1, IF(NOT(ISBLANK(INDIRECT(_xlfn.CONCAT("$I", $F554 + 2)))), $F554 + 2, ""))</f>
        <v>1054</v>
      </c>
    </row>
    <row r="556" spans="1:12" ht="59.25">
      <c r="A556" s="1" t="str" cm="1">
        <f t="array" aca="1" ref="A556" ca="1">INDIRECT(_xlfn.CONCAT("$I", $F556))</f>
        <v>Commander 2016 Tokens TC16</v>
      </c>
      <c r="B556" s="1" cm="1">
        <f t="array" aca="1" ref="B556" ca="1">INDIRECT(_xlfn.CONCAT("$J", $F556))</f>
        <v>21</v>
      </c>
      <c r="C556" s="1" cm="1">
        <f t="array" aca="1" ref="C556" ca="1">INDIRECT(_xlfn.CONCAT("$K", $F556))</f>
        <v>42685</v>
      </c>
      <c r="D556" s="1"/>
      <c r="E556" s="1" t="str" cm="1">
        <f t="array" aca="1" ref="E556" ca="1">INDIRECT(_xlfn.CONCAT("$L", $F556))</f>
        <v>en es fr de it pt ja ko ru 汉语 漢語</v>
      </c>
      <c r="F556" s="1" cm="1">
        <f t="array" aca="1" ref="F556" ca="1">IF(NOT(OR(ISERROR(INDIRECT(_xlfn.CONCAT("$I", $F555 + 1))), ISBLANK(INDIRECT(_xlfn.CONCAT("$I", $F555 + 1))))), $F555 + 1, IF(NOT(ISBLANK(INDIRECT(_xlfn.CONCAT("$I", $F555 + 2)))), $F555 + 2, ""))</f>
        <v>1056</v>
      </c>
      <c r="I556" s="8" t="s">
        <v>454</v>
      </c>
      <c r="J556" s="8">
        <v>81</v>
      </c>
      <c r="K556" s="9">
        <v>44519</v>
      </c>
      <c r="L556" s="8" t="s">
        <v>174</v>
      </c>
    </row>
    <row r="557" spans="1:12" ht="59.25">
      <c r="A557" s="1" t="str" cm="1">
        <f t="array" aca="1" ref="A557" ca="1">INDIRECT(_xlfn.CONCAT("$I", $F557))</f>
        <v>Commander 2016 Oversized OC16</v>
      </c>
      <c r="B557" s="1" cm="1">
        <f t="array" aca="1" ref="B557" ca="1">INDIRECT(_xlfn.CONCAT("$J", $F557))</f>
        <v>5</v>
      </c>
      <c r="C557" s="1" cm="1">
        <f t="array" aca="1" ref="C557" ca="1">INDIRECT(_xlfn.CONCAT("$K", $F557))</f>
        <v>42685</v>
      </c>
      <c r="D557" s="1"/>
      <c r="E557" s="1" t="str" cm="1">
        <f t="array" aca="1" ref="E557" ca="1">INDIRECT(_xlfn.CONCAT("$L", $F557))</f>
        <v>en es fr de it pt ja ko ru 汉语 漢語</v>
      </c>
      <c r="F557" s="1" cm="1">
        <f t="array" aca="1" ref="F557" ca="1">IF(NOT(OR(ISERROR(INDIRECT(_xlfn.CONCAT("$I", $F556 + 1))), ISBLANK(INDIRECT(_xlfn.CONCAT("$I", $F556 + 1))))), $F556 + 1, IF(NOT(ISBLANK(INDIRECT(_xlfn.CONCAT("$I", $F556 + 2)))), $F556 + 2, ""))</f>
        <v>1058</v>
      </c>
    </row>
    <row r="558" spans="1:12" ht="59.25">
      <c r="A558" s="1" t="str" cm="1">
        <f t="array" aca="1" ref="A558" ca="1">INDIRECT(_xlfn.CONCAT("$I", $F558))</f>
        <v>San Diego Comic-Con 2016 PS16</v>
      </c>
      <c r="B558" s="1" cm="1">
        <f t="array" aca="1" ref="B558" ca="1">INDIRECT(_xlfn.CONCAT("$J", $F558))</f>
        <v>5</v>
      </c>
      <c r="C558" s="1" cm="1">
        <f t="array" aca="1" ref="C558" ca="1">INDIRECT(_xlfn.CONCAT("$K", $F558))</f>
        <v>42644</v>
      </c>
      <c r="D558" s="1"/>
      <c r="E558" s="1" t="str" cm="1">
        <f t="array" aca="1" ref="E558" ca="1">INDIRECT(_xlfn.CONCAT("$L", $F558))</f>
        <v>en es fr de it pt ja ko ru 汉语 漢語</v>
      </c>
      <c r="F558" s="1" cm="1">
        <f t="array" aca="1" ref="F558" ca="1">IF(NOT(OR(ISERROR(INDIRECT(_xlfn.CONCAT("$I", $F557 + 1))), ISBLANK(INDIRECT(_xlfn.CONCAT("$I", $F557 + 1))))), $F557 + 1, IF(NOT(ISBLANK(INDIRECT(_xlfn.CONCAT("$I", $F557 + 2)))), $F557 + 2, ""))</f>
        <v>1060</v>
      </c>
      <c r="I558" s="8" t="s">
        <v>455</v>
      </c>
      <c r="J558" s="8">
        <v>188</v>
      </c>
      <c r="K558" s="9">
        <v>44519</v>
      </c>
      <c r="L558" t="s">
        <v>174</v>
      </c>
    </row>
    <row r="559" spans="1:12" ht="59.25">
      <c r="A559" s="1" t="str" cm="1">
        <f t="array" aca="1" ref="A559" ca="1">INDIRECT(_xlfn.CONCAT("$I", $F559))</f>
        <v>Kaladesh KLD</v>
      </c>
      <c r="B559" s="1" cm="1">
        <f t="array" aca="1" ref="B559" ca="1">INDIRECT(_xlfn.CONCAT("$J", $F559))</f>
        <v>278</v>
      </c>
      <c r="C559" s="1" cm="1">
        <f t="array" aca="1" ref="C559" ca="1">INDIRECT(_xlfn.CONCAT("$K", $F559))</f>
        <v>42643</v>
      </c>
      <c r="D559" s="1"/>
      <c r="E559" s="1" t="str" cm="1">
        <f t="array" aca="1" ref="E559" ca="1">INDIRECT(_xlfn.CONCAT("$L", $F559))</f>
        <v>en es fr de it pt ja ko ru 汉语 漢語</v>
      </c>
      <c r="F559" s="1" cm="1">
        <f t="array" aca="1" ref="F559" ca="1">IF(NOT(OR(ISERROR(INDIRECT(_xlfn.CONCAT("$I", $F558 + 1))), ISBLANK(INDIRECT(_xlfn.CONCAT("$I", $F558 + 1))))), $F558 + 1, IF(NOT(ISBLANK(INDIRECT(_xlfn.CONCAT("$I", $F558 + 2)))), $F558 + 2, ""))</f>
        <v>1062</v>
      </c>
    </row>
    <row r="560" spans="1:12" ht="59.25">
      <c r="A560" s="1" t="str" cm="1">
        <f t="array" aca="1" ref="A560" ca="1">INDIRECT(_xlfn.CONCAT("$I", $F560))</f>
        <v>Kaladesh Inventions MPS</v>
      </c>
      <c r="B560" s="1" cm="1">
        <f t="array" aca="1" ref="B560" ca="1">INDIRECT(_xlfn.CONCAT("$J", $F560))</f>
        <v>54</v>
      </c>
      <c r="C560" s="1" cm="1">
        <f t="array" aca="1" ref="C560" ca="1">INDIRECT(_xlfn.CONCAT("$K", $F560))</f>
        <v>42643</v>
      </c>
      <c r="D560" s="1"/>
      <c r="E560" s="1" t="str" cm="1">
        <f t="array" aca="1" ref="E560" ca="1">INDIRECT(_xlfn.CONCAT("$L", $F560))</f>
        <v>en es fr de it pt ja ko ru 汉语 漢語</v>
      </c>
      <c r="F560" s="1" cm="1">
        <f t="array" aca="1" ref="F560" ca="1">IF(NOT(OR(ISERROR(INDIRECT(_xlfn.CONCAT("$I", $F559 + 1))), ISBLANK(INDIRECT(_xlfn.CONCAT("$I", $F559 + 1))))), $F559 + 1, IF(NOT(ISBLANK(INDIRECT(_xlfn.CONCAT("$I", $F559 + 2)))), $F559 + 2, ""))</f>
        <v>1064</v>
      </c>
      <c r="I560" s="8" t="s">
        <v>456</v>
      </c>
      <c r="J560" s="8">
        <v>6</v>
      </c>
      <c r="K560" s="9">
        <v>44519</v>
      </c>
      <c r="L560" s="8" t="s">
        <v>174</v>
      </c>
    </row>
    <row r="561" spans="1:12" ht="59.25">
      <c r="A561" s="1" t="str" cm="1">
        <f t="array" aca="1" ref="A561" ca="1">INDIRECT(_xlfn.CONCAT("$I", $F561))</f>
        <v>Kaladesh Promos PKLD</v>
      </c>
      <c r="B561" s="1" cm="1">
        <f t="array" aca="1" ref="B561" ca="1">INDIRECT(_xlfn.CONCAT("$J", $F561))</f>
        <v>83</v>
      </c>
      <c r="C561" s="1" cm="1">
        <f t="array" aca="1" ref="C561" ca="1">INDIRECT(_xlfn.CONCAT("$K", $F561))</f>
        <v>42643</v>
      </c>
      <c r="D561" s="1"/>
      <c r="E561" s="1" t="str" cm="1">
        <f t="array" aca="1" ref="E561" ca="1">INDIRECT(_xlfn.CONCAT("$L", $F561))</f>
        <v>en es fr de it pt ja ko ru 汉语 漢語</v>
      </c>
      <c r="F561" s="1" cm="1">
        <f t="array" aca="1" ref="F561" ca="1">IF(NOT(OR(ISERROR(INDIRECT(_xlfn.CONCAT("$I", $F560 + 1))), ISBLANK(INDIRECT(_xlfn.CONCAT("$I", $F560 + 1))))), $F560 + 1, IF(NOT(ISBLANK(INDIRECT(_xlfn.CONCAT("$I", $F560 + 2)))), $F560 + 2, ""))</f>
        <v>1066</v>
      </c>
    </row>
    <row r="562" spans="1:12" ht="59.25">
      <c r="A562" s="1" t="str" cm="1">
        <f t="array" aca="1" ref="A562" ca="1">INDIRECT(_xlfn.CONCAT("$I", $F562))</f>
        <v>Kaladesh Tokens TKLD</v>
      </c>
      <c r="B562" s="1" cm="1">
        <f t="array" aca="1" ref="B562" ca="1">INDIRECT(_xlfn.CONCAT("$J", $F562))</f>
        <v>13</v>
      </c>
      <c r="C562" s="1" cm="1">
        <f t="array" aca="1" ref="C562" ca="1">INDIRECT(_xlfn.CONCAT("$K", $F562))</f>
        <v>42643</v>
      </c>
      <c r="D562" s="1"/>
      <c r="E562" s="1" t="str" cm="1">
        <f t="array" aca="1" ref="E562" ca="1">INDIRECT(_xlfn.CONCAT("$L", $F562))</f>
        <v>en es fr de it pt ja ko ru 汉语 漢語</v>
      </c>
      <c r="F562" s="1" cm="1">
        <f t="array" aca="1" ref="F562" ca="1">IF(NOT(OR(ISERROR(INDIRECT(_xlfn.CONCAT("$I", $F561 + 1))), ISBLANK(INDIRECT(_xlfn.CONCAT("$I", $F561 + 1))))), $F561 + 1, IF(NOT(ISBLANK(INDIRECT(_xlfn.CONCAT("$I", $F561 + 2)))), $F561 + 2, ""))</f>
        <v>1068</v>
      </c>
      <c r="I562" s="8" t="s">
        <v>457</v>
      </c>
      <c r="J562" s="8">
        <v>2</v>
      </c>
      <c r="K562" s="9">
        <v>44519</v>
      </c>
      <c r="L562" s="8" t="s">
        <v>174</v>
      </c>
    </row>
    <row r="563" spans="1:12" ht="68.25">
      <c r="A563" s="1" t="str" cm="1">
        <f t="array" aca="1" ref="A563" ca="1">INDIRECT(_xlfn.CONCAT("$I", $F563))</f>
        <v>Duel Decks: Nissa vs. Ob Nixilis DDR</v>
      </c>
      <c r="B563" s="1" cm="1">
        <f t="array" aca="1" ref="B563" ca="1">INDIRECT(_xlfn.CONCAT("$J", $F563))</f>
        <v>76</v>
      </c>
      <c r="C563" s="1" cm="1">
        <f t="array" aca="1" ref="C563" ca="1">INDIRECT(_xlfn.CONCAT("$K", $F563))</f>
        <v>42615</v>
      </c>
      <c r="D563" s="1"/>
      <c r="E563" s="1" t="str" cm="1">
        <f t="array" aca="1" ref="E563" ca="1">INDIRECT(_xlfn.CONCAT("$L", $F563))</f>
        <v>en es fr de it pt ja ko ru 汉语 漢語</v>
      </c>
      <c r="F563" s="1" cm="1">
        <f t="array" aca="1" ref="F563" ca="1">IF(NOT(OR(ISERROR(INDIRECT(_xlfn.CONCAT("$I", $F562 + 1))), ISBLANK(INDIRECT(_xlfn.CONCAT("$I", $F562 + 1))))), $F562 + 1, IF(NOT(ISBLANK(INDIRECT(_xlfn.CONCAT("$I", $F562 + 2)))), $F562 + 2, ""))</f>
        <v>1070</v>
      </c>
    </row>
    <row r="564" spans="1:12" ht="59.25">
      <c r="A564" s="1" t="str" cm="1">
        <f t="array" aca="1" ref="A564" ca="1">INDIRECT(_xlfn.CONCAT("$I", $F564))</f>
        <v>Conspiracy: Take the Crown CN2</v>
      </c>
      <c r="B564" s="1" cm="1">
        <f t="array" aca="1" ref="B564" ca="1">INDIRECT(_xlfn.CONCAT("$J", $F564))</f>
        <v>222</v>
      </c>
      <c r="C564" s="1" cm="1">
        <f t="array" aca="1" ref="C564" ca="1">INDIRECT(_xlfn.CONCAT("$K", $F564))</f>
        <v>42608</v>
      </c>
      <c r="D564" s="1"/>
      <c r="E564" s="1" t="str" cm="1">
        <f t="array" aca="1" ref="E564" ca="1">INDIRECT(_xlfn.CONCAT("$L", $F564))</f>
        <v>en es fr de it pt ja ko ru 汉语 漢語</v>
      </c>
      <c r="F564" s="1" cm="1">
        <f t="array" aca="1" ref="F564" ca="1">IF(NOT(OR(ISERROR(INDIRECT(_xlfn.CONCAT("$I", $F563 + 1))), ISBLANK(INDIRECT(_xlfn.CONCAT("$I", $F563 + 1))))), $F563 + 1, IF(NOT(ISBLANK(INDIRECT(_xlfn.CONCAT("$I", $F563 + 2)))), $F563 + 2, ""))</f>
        <v>1072</v>
      </c>
      <c r="I564" s="8" t="s">
        <v>458</v>
      </c>
      <c r="J564" s="8">
        <v>10</v>
      </c>
      <c r="K564" s="9">
        <v>44484</v>
      </c>
      <c r="L564" s="8" t="s">
        <v>174</v>
      </c>
    </row>
    <row r="565" spans="1:12" ht="68.25">
      <c r="A565" s="1" t="str" cm="1">
        <f t="array" aca="1" ref="A565" ca="1">INDIRECT(_xlfn.CONCAT("$I", $F565))</f>
        <v>Conspiracy: Take the Crown Tokens TCN2</v>
      </c>
      <c r="B565" s="1" cm="1">
        <f t="array" aca="1" ref="B565" ca="1">INDIRECT(_xlfn.CONCAT("$J", $F565))</f>
        <v>12</v>
      </c>
      <c r="C565" s="1" cm="1">
        <f t="array" aca="1" ref="C565" ca="1">INDIRECT(_xlfn.CONCAT("$K", $F565))</f>
        <v>42608</v>
      </c>
      <c r="D565" s="1"/>
      <c r="E565" s="1" t="str" cm="1">
        <f t="array" aca="1" ref="E565" ca="1">INDIRECT(_xlfn.CONCAT("$L", $F565))</f>
        <v>en es fr de it pt ja ko ru 汉语 漢語</v>
      </c>
      <c r="F565" s="1" cm="1">
        <f t="array" aca="1" ref="F565" ca="1">IF(NOT(OR(ISERROR(INDIRECT(_xlfn.CONCAT("$I", $F564 + 1))), ISBLANK(INDIRECT(_xlfn.CONCAT("$I", $F564 + 1))))), $F564 + 1, IF(NOT(ISBLANK(INDIRECT(_xlfn.CONCAT("$I", $F564 + 2)))), $F564 + 2, ""))</f>
        <v>1074</v>
      </c>
    </row>
    <row r="566" spans="1:12" ht="59.25">
      <c r="A566" s="1" t="str" cm="1">
        <f t="array" aca="1" ref="A566" ca="1">INDIRECT(_xlfn.CONCAT("$I", $F566))</f>
        <v>From the Vault: Lore V16</v>
      </c>
      <c r="B566" s="1" cm="1">
        <f t="array" aca="1" ref="B566" ca="1">INDIRECT(_xlfn.CONCAT("$J", $F566))</f>
        <v>16</v>
      </c>
      <c r="C566" s="1" cm="1">
        <f t="array" aca="1" ref="C566" ca="1">INDIRECT(_xlfn.CONCAT("$K", $F566))</f>
        <v>42601</v>
      </c>
      <c r="D566" s="1"/>
      <c r="E566" s="1" t="str" cm="1">
        <f t="array" aca="1" ref="E566" ca="1">INDIRECT(_xlfn.CONCAT("$L", $F566))</f>
        <v>en es fr de it pt ja ko ru 汉语 漢語</v>
      </c>
      <c r="F566" s="1" cm="1">
        <f t="array" aca="1" ref="F566" ca="1">IF(NOT(OR(ISERROR(INDIRECT(_xlfn.CONCAT("$I", $F565 + 1))), ISBLANK(INDIRECT(_xlfn.CONCAT("$I", $F565 + 1))))), $F565 + 1, IF(NOT(ISBLANK(INDIRECT(_xlfn.CONCAT("$I", $F565 + 2)))), $F565 + 2, ""))</f>
        <v>1076</v>
      </c>
      <c r="I566" s="8" t="s">
        <v>1229</v>
      </c>
      <c r="J566" s="8">
        <v>399</v>
      </c>
      <c r="K566" s="9">
        <v>44463</v>
      </c>
      <c r="L566" t="s">
        <v>174</v>
      </c>
    </row>
    <row r="567" spans="1:12" ht="59.25">
      <c r="A567" s="1" t="str" cm="1">
        <f t="array" aca="1" ref="A567" ca="1">INDIRECT(_xlfn.CONCAT("$I", $F567))</f>
        <v>Eldritch Moon EMN</v>
      </c>
      <c r="B567" s="1" cm="1">
        <f t="array" aca="1" ref="B567" ca="1">INDIRECT(_xlfn.CONCAT("$J", $F567))</f>
        <v>208</v>
      </c>
      <c r="C567" s="1" cm="1">
        <f t="array" aca="1" ref="C567" ca="1">INDIRECT(_xlfn.CONCAT("$K", $F567))</f>
        <v>42573</v>
      </c>
      <c r="D567" s="1"/>
      <c r="E567" s="1" t="str" cm="1">
        <f t="array" aca="1" ref="E567" ca="1">INDIRECT(_xlfn.CONCAT("$L", $F567))</f>
        <v>en es fr de it pt ja ko ru 汉语 漢語</v>
      </c>
      <c r="F567" s="1" cm="1">
        <f t="array" aca="1" ref="F567" ca="1">IF(NOT(OR(ISERROR(INDIRECT(_xlfn.CONCAT("$I", $F566 + 1))), ISBLANK(INDIRECT(_xlfn.CONCAT("$I", $F566 + 1))))), $F566 + 1, IF(NOT(ISBLANK(INDIRECT(_xlfn.CONCAT("$I", $F566 + 2)))), $F566 + 2, ""))</f>
        <v>1078</v>
      </c>
    </row>
    <row r="568" spans="1:12" ht="59.25">
      <c r="A568" s="1" t="str" cm="1">
        <f t="array" aca="1" ref="A568" ca="1">INDIRECT(_xlfn.CONCAT("$I", $F568))</f>
        <v>Eldritch Moon Promos PEMN</v>
      </c>
      <c r="B568" s="1" cm="1">
        <f t="array" aca="1" ref="B568" ca="1">INDIRECT(_xlfn.CONCAT("$J", $F568))</f>
        <v>77</v>
      </c>
      <c r="C568" s="1" cm="1">
        <f t="array" aca="1" ref="C568" ca="1">INDIRECT(_xlfn.CONCAT("$K", $F568))</f>
        <v>42573</v>
      </c>
      <c r="D568" s="1"/>
      <c r="E568" s="1" t="str" cm="1">
        <f t="array" aca="1" ref="E568" ca="1">INDIRECT(_xlfn.CONCAT("$L", $F568))</f>
        <v>en es fr de it pt ja ko ru 汉语 漢語</v>
      </c>
      <c r="F568" s="1" cm="1">
        <f t="array" aca="1" ref="F568" ca="1">IF(NOT(OR(ISERROR(INDIRECT(_xlfn.CONCAT("$I", $F567 + 1))), ISBLANK(INDIRECT(_xlfn.CONCAT("$I", $F567 + 1))))), $F567 + 1, IF(NOT(ISBLANK(INDIRECT(_xlfn.CONCAT("$I", $F567 + 2)))), $F567 + 2, ""))</f>
        <v>1080</v>
      </c>
      <c r="I568" s="8" t="s">
        <v>459</v>
      </c>
      <c r="J568" s="8">
        <v>155</v>
      </c>
      <c r="K568" s="9">
        <v>44463</v>
      </c>
      <c r="L568" s="8" t="s">
        <v>174</v>
      </c>
    </row>
    <row r="569" spans="1:12" ht="59.25">
      <c r="A569" s="1" t="str" cm="1">
        <f t="array" aca="1" ref="A569" ca="1">INDIRECT(_xlfn.CONCAT("$I", $F569))</f>
        <v>Eldritch Moon Tokens TEMN</v>
      </c>
      <c r="B569" s="1" cm="1">
        <f t="array" aca="1" ref="B569" ca="1">INDIRECT(_xlfn.CONCAT("$J", $F569))</f>
        <v>11</v>
      </c>
      <c r="C569" s="1" cm="1">
        <f t="array" aca="1" ref="C569" ca="1">INDIRECT(_xlfn.CONCAT("$K", $F569))</f>
        <v>42573</v>
      </c>
      <c r="D569" s="1"/>
      <c r="E569" s="1" t="str" cm="1">
        <f t="array" aca="1" ref="E569" ca="1">INDIRECT(_xlfn.CONCAT("$L", $F569))</f>
        <v>en es fr de it pt ja ko ru 汉语 漢語</v>
      </c>
      <c r="F569" s="1" cm="1">
        <f t="array" aca="1" ref="F569" ca="1">IF(NOT(OR(ISERROR(INDIRECT(_xlfn.CONCAT("$I", $F568 + 1))), ISBLANK(INDIRECT(_xlfn.CONCAT("$I", $F568 + 1))))), $F568 + 1, IF(NOT(ISBLANK(INDIRECT(_xlfn.CONCAT("$I", $F568 + 2)))), $F568 + 2, ""))</f>
        <v>1082</v>
      </c>
    </row>
    <row r="570" spans="1:12" ht="59.25">
      <c r="A570" s="1" t="str" cm="1">
        <f t="array" aca="1" ref="A570" ca="1">INDIRECT(_xlfn.CONCAT("$I", $F570))</f>
        <v>Eternal Masters EMA</v>
      </c>
      <c r="B570" s="1" cm="1">
        <f t="array" aca="1" ref="B570" ca="1">INDIRECT(_xlfn.CONCAT("$J", $F570))</f>
        <v>249</v>
      </c>
      <c r="C570" s="1" cm="1">
        <f t="array" aca="1" ref="C570" ca="1">INDIRECT(_xlfn.CONCAT("$K", $F570))</f>
        <v>42531</v>
      </c>
      <c r="D570" s="1"/>
      <c r="E570" s="1" t="str" cm="1">
        <f t="array" aca="1" ref="E570" ca="1">INDIRECT(_xlfn.CONCAT("$L", $F570))</f>
        <v>en es fr de it pt ja ko ru 汉语 漢語</v>
      </c>
      <c r="F570" s="1" cm="1">
        <f t="array" aca="1" ref="F570" ca="1">IF(NOT(OR(ISERROR(INDIRECT(_xlfn.CONCAT("$I", $F569 + 1))), ISBLANK(INDIRECT(_xlfn.CONCAT("$I", $F569 + 1))))), $F569 + 1, IF(NOT(ISBLANK(INDIRECT(_xlfn.CONCAT("$I", $F569 + 2)))), $F569 + 2, ""))</f>
        <v>1084</v>
      </c>
      <c r="I570" s="8" t="s">
        <v>460</v>
      </c>
      <c r="J570" s="8">
        <v>19</v>
      </c>
      <c r="K570" s="9">
        <v>44463</v>
      </c>
      <c r="L570" s="8" t="s">
        <v>174</v>
      </c>
    </row>
    <row r="571" spans="1:12" ht="59.25">
      <c r="A571" s="1" t="str" cm="1">
        <f t="array" aca="1" ref="A571" ca="1">INDIRECT(_xlfn.CONCAT("$I", $F571))</f>
        <v>Eternal Masters Tokens TEMA</v>
      </c>
      <c r="B571" s="1" cm="1">
        <f t="array" aca="1" ref="B571" ca="1">INDIRECT(_xlfn.CONCAT("$J", $F571))</f>
        <v>16</v>
      </c>
      <c r="C571" s="1" cm="1">
        <f t="array" aca="1" ref="C571" ca="1">INDIRECT(_xlfn.CONCAT("$K", $F571))</f>
        <v>42531</v>
      </c>
      <c r="D571" s="1"/>
      <c r="E571" s="1" t="str" cm="1">
        <f t="array" aca="1" ref="E571" ca="1">INDIRECT(_xlfn.CONCAT("$L", $F571))</f>
        <v>en es fr de it pt ja ko ru 汉语 漢語</v>
      </c>
      <c r="F571" s="1" cm="1">
        <f t="array" aca="1" ref="F571" ca="1">IF(NOT(OR(ISERROR(INDIRECT(_xlfn.CONCAT("$I", $F570 + 1))), ISBLANK(INDIRECT(_xlfn.CONCAT("$I", $F570 + 1))))), $F570 + 1, IF(NOT(ISBLANK(INDIRECT(_xlfn.CONCAT("$I", $F570 + 2)))), $F570 + 2, ""))</f>
        <v>1086</v>
      </c>
    </row>
    <row r="572" spans="1:12" ht="59.25">
      <c r="A572" s="1" t="str" cm="1">
        <f t="array" aca="1" ref="A572" ca="1">INDIRECT(_xlfn.CONCAT("$I", $F572))</f>
        <v>Shadows over Innistrad SOI</v>
      </c>
      <c r="B572" s="1" cm="1">
        <f t="array" aca="1" ref="B572" ca="1">INDIRECT(_xlfn.CONCAT("$J", $F572))</f>
        <v>302</v>
      </c>
      <c r="C572" s="1" cm="1">
        <f t="array" aca="1" ref="C572" ca="1">INDIRECT(_xlfn.CONCAT("$K", $F572))</f>
        <v>42468</v>
      </c>
      <c r="D572" s="1"/>
      <c r="E572" s="1" t="str" cm="1">
        <f t="array" aca="1" ref="E572" ca="1">INDIRECT(_xlfn.CONCAT("$L", $F572))</f>
        <v>en es fr de it pt ja ko ru 汉语 漢語</v>
      </c>
      <c r="F572" s="1" cm="1">
        <f t="array" aca="1" ref="F572" ca="1">IF(NOT(OR(ISERROR(INDIRECT(_xlfn.CONCAT("$I", $F571 + 1))), ISBLANK(INDIRECT(_xlfn.CONCAT("$I", $F571 + 1))))), $F571 + 1, IF(NOT(ISBLANK(INDIRECT(_xlfn.CONCAT("$I", $F571 + 2)))), $F571 + 2, ""))</f>
        <v>1088</v>
      </c>
      <c r="I572" s="8" t="s">
        <v>461</v>
      </c>
      <c r="J572" s="8">
        <v>9</v>
      </c>
      <c r="K572" s="9">
        <v>44463</v>
      </c>
      <c r="L572" s="8" t="s">
        <v>174</v>
      </c>
    </row>
    <row r="573" spans="1:12" ht="68.25">
      <c r="A573" s="1" t="str" cm="1">
        <f t="array" aca="1" ref="A573" ca="1">INDIRECT(_xlfn.CONCAT("$I", $F573))</f>
        <v>Shadows over Innistrad Promos PSOI</v>
      </c>
      <c r="B573" s="1" cm="1">
        <f t="array" aca="1" ref="B573" ca="1">INDIRECT(_xlfn.CONCAT("$J", $F573))</f>
        <v>90</v>
      </c>
      <c r="C573" s="1" cm="1">
        <f t="array" aca="1" ref="C573" ca="1">INDIRECT(_xlfn.CONCAT("$K", $F573))</f>
        <v>42468</v>
      </c>
      <c r="D573" s="1"/>
      <c r="E573" s="1" t="str" cm="1">
        <f t="array" aca="1" ref="E573" ca="1">INDIRECT(_xlfn.CONCAT("$L", $F573))</f>
        <v>en es fr de it pt ja ko ru 汉语 漢語</v>
      </c>
      <c r="F573" s="1" cm="1">
        <f t="array" aca="1" ref="F573" ca="1">IF(NOT(OR(ISERROR(INDIRECT(_xlfn.CONCAT("$I", $F572 + 1))), ISBLANK(INDIRECT(_xlfn.CONCAT("$I", $F572 + 1))))), $F572 + 1, IF(NOT(ISBLANK(INDIRECT(_xlfn.CONCAT("$I", $F572 + 2)))), $F572 + 2, ""))</f>
        <v>1090</v>
      </c>
    </row>
    <row r="574" spans="1:12" ht="68.25">
      <c r="A574" s="1" t="str" cm="1">
        <f t="array" aca="1" ref="A574" ca="1">INDIRECT(_xlfn.CONCAT("$I", $F574))</f>
        <v>Shadows over Innistrad Tokens TSOI</v>
      </c>
      <c r="B574" s="1" cm="1">
        <f t="array" aca="1" ref="B574" ca="1">INDIRECT(_xlfn.CONCAT("$J", $F574))</f>
        <v>20</v>
      </c>
      <c r="C574" s="1" cm="1">
        <f t="array" aca="1" ref="C574" ca="1">INDIRECT(_xlfn.CONCAT("$K", $F574))</f>
        <v>42468</v>
      </c>
      <c r="D574" s="1"/>
      <c r="E574" s="1" t="str" cm="1">
        <f t="array" aca="1" ref="E574" ca="1">INDIRECT(_xlfn.CONCAT("$L", $F574))</f>
        <v>en es fr de it pt ja ko ru 汉语 漢語</v>
      </c>
      <c r="F574" s="1" cm="1">
        <f t="array" aca="1" ref="F574" ca="1">IF(NOT(OR(ISERROR(INDIRECT(_xlfn.CONCAT("$I", $F573 + 1))), ISBLANK(INDIRECT(_xlfn.CONCAT("$I", $F573 + 1))))), $F573 + 1, IF(NOT(ISBLANK(INDIRECT(_xlfn.CONCAT("$I", $F573 + 2)))), $F573 + 2, ""))</f>
        <v>1092</v>
      </c>
      <c r="I574" s="8" t="s">
        <v>462</v>
      </c>
      <c r="J574" s="8">
        <v>187</v>
      </c>
      <c r="K574" s="9">
        <v>44463</v>
      </c>
      <c r="L574" t="s">
        <v>174</v>
      </c>
    </row>
    <row r="575" spans="1:12" ht="59.25">
      <c r="A575" s="1" t="str" cm="1">
        <f t="array" aca="1" ref="A575" ca="1">INDIRECT(_xlfn.CONCAT("$I", $F575))</f>
        <v>Welcome Deck 2016 W16</v>
      </c>
      <c r="B575" s="1" cm="1">
        <f t="array" aca="1" ref="B575" ca="1">INDIRECT(_xlfn.CONCAT("$J", $F575))</f>
        <v>16</v>
      </c>
      <c r="C575" s="1" cm="1">
        <f t="array" aca="1" ref="C575" ca="1">INDIRECT(_xlfn.CONCAT("$K", $F575))</f>
        <v>42468</v>
      </c>
      <c r="D575" s="1"/>
      <c r="E575" s="1" t="str" cm="1">
        <f t="array" aca="1" ref="E575" ca="1">INDIRECT(_xlfn.CONCAT("$L", $F575))</f>
        <v>en es fr de it pt ja ko ru 汉语 漢語</v>
      </c>
      <c r="F575" s="1" cm="1">
        <f t="array" aca="1" ref="F575" ca="1">IF(NOT(OR(ISERROR(INDIRECT(_xlfn.CONCAT("$I", $F574 + 1))), ISBLANK(INDIRECT(_xlfn.CONCAT("$I", $F574 + 1))))), $F574 + 1, IF(NOT(ISBLANK(INDIRECT(_xlfn.CONCAT("$I", $F574 + 2)))), $F574 + 2, ""))</f>
        <v>1094</v>
      </c>
    </row>
    <row r="576" spans="1:12" ht="68.25">
      <c r="A576" s="1" t="str" cm="1">
        <f t="array" aca="1" ref="A576" ca="1">INDIRECT(_xlfn.CONCAT("$I", $F576))</f>
        <v>Duel Decks: Blessed vs. Cursed DDQ</v>
      </c>
      <c r="B576" s="1" cm="1">
        <f t="array" aca="1" ref="B576" ca="1">INDIRECT(_xlfn.CONCAT("$J", $F576))</f>
        <v>80</v>
      </c>
      <c r="C576" s="1" cm="1">
        <f t="array" aca="1" ref="C576" ca="1">INDIRECT(_xlfn.CONCAT("$K", $F576))</f>
        <v>42426</v>
      </c>
      <c r="D576" s="1"/>
      <c r="E576" s="1" t="str" cm="1">
        <f t="array" aca="1" ref="E576" ca="1">INDIRECT(_xlfn.CONCAT("$L", $F576))</f>
        <v>en es fr de it pt ja ko ru 汉语 漢語</v>
      </c>
      <c r="F576" s="1" cm="1">
        <f t="array" aca="1" ref="F576" ca="1">IF(NOT(OR(ISERROR(INDIRECT(_xlfn.CONCAT("$I", $F575 + 1))), ISBLANK(INDIRECT(_xlfn.CONCAT("$I", $F575 + 1))))), $F575 + 1, IF(NOT(ISBLANK(INDIRECT(_xlfn.CONCAT("$I", $F575 + 2)))), $F575 + 2, ""))</f>
        <v>1096</v>
      </c>
      <c r="I576" s="8" t="s">
        <v>463</v>
      </c>
      <c r="J576" s="8">
        <v>11</v>
      </c>
      <c r="K576" s="9">
        <v>44463</v>
      </c>
      <c r="L576" s="8" t="s">
        <v>174</v>
      </c>
    </row>
    <row r="577" spans="1:12" ht="59.25">
      <c r="A577" s="1" t="str" cm="1">
        <f t="array" aca="1" ref="A577" ca="1">INDIRECT(_xlfn.CONCAT("$I", $F577))</f>
        <v>Oath of the Gatewatch OGW</v>
      </c>
      <c r="B577" s="1" cm="1">
        <f t="array" aca="1" ref="B577" ca="1">INDIRECT(_xlfn.CONCAT("$J", $F577))</f>
        <v>187</v>
      </c>
      <c r="C577" s="1" cm="1">
        <f t="array" aca="1" ref="C577" ca="1">INDIRECT(_xlfn.CONCAT("$K", $F577))</f>
        <v>42391</v>
      </c>
      <c r="D577" s="1"/>
      <c r="E577" s="1" t="str" cm="1">
        <f t="array" aca="1" ref="E577" ca="1">INDIRECT(_xlfn.CONCAT("$L", $F577))</f>
        <v>en es fr de it pt ja ko ru 汉语 漢語</v>
      </c>
      <c r="F577" s="1" cm="1">
        <f t="array" aca="1" ref="F577" ca="1">IF(NOT(OR(ISERROR(INDIRECT(_xlfn.CONCAT("$I", $F576 + 1))), ISBLANK(INDIRECT(_xlfn.CONCAT("$I", $F576 + 1))))), $F576 + 1, IF(NOT(ISBLANK(INDIRECT(_xlfn.CONCAT("$I", $F576 + 2)))), $F576 + 2, ""))</f>
        <v>1098</v>
      </c>
    </row>
    <row r="578" spans="1:12" ht="59.25">
      <c r="A578" s="1" t="str" cm="1">
        <f t="array" aca="1" ref="A578" ca="1">INDIRECT(_xlfn.CONCAT("$I", $F578))</f>
        <v>Oath of the Gatewatch Promos POGW</v>
      </c>
      <c r="B578" s="1" cm="1">
        <f t="array" aca="1" ref="B578" ca="1">INDIRECT(_xlfn.CONCAT("$J", $F578))</f>
        <v>65</v>
      </c>
      <c r="C578" s="1" cm="1">
        <f t="array" aca="1" ref="C578" ca="1">INDIRECT(_xlfn.CONCAT("$K", $F578))</f>
        <v>42391</v>
      </c>
      <c r="D578" s="1"/>
      <c r="E578" s="1" t="str" cm="1">
        <f t="array" aca="1" ref="E578" ca="1">INDIRECT(_xlfn.CONCAT("$L", $F578))</f>
        <v>en es fr de it pt ja ko ru 汉语 漢語</v>
      </c>
      <c r="F578" s="1" cm="1">
        <f t="array" aca="1" ref="F578" ca="1">IF(NOT(OR(ISERROR(INDIRECT(_xlfn.CONCAT("$I", $F577 + 1))), ISBLANK(INDIRECT(_xlfn.CONCAT("$I", $F577 + 1))))), $F577 + 1, IF(NOT(ISBLANK(INDIRECT(_xlfn.CONCAT("$I", $F577 + 2)))), $F577 + 2, ""))</f>
        <v>1100</v>
      </c>
      <c r="I578" s="8" t="s">
        <v>464</v>
      </c>
      <c r="J578" s="8">
        <v>2</v>
      </c>
      <c r="K578" s="9">
        <v>44463</v>
      </c>
      <c r="L578" s="8" t="s">
        <v>174</v>
      </c>
    </row>
    <row r="579" spans="1:12" ht="59.25">
      <c r="A579" s="1" t="str" cm="1">
        <f t="array" aca="1" ref="A579" ca="1">INDIRECT(_xlfn.CONCAT("$I", $F579))</f>
        <v>Oath of the Gatewatch Tokens TOGW</v>
      </c>
      <c r="B579" s="1" cm="1">
        <f t="array" aca="1" ref="B579" ca="1">INDIRECT(_xlfn.CONCAT("$J", $F579))</f>
        <v>11</v>
      </c>
      <c r="C579" s="1" cm="1">
        <f t="array" aca="1" ref="C579" ca="1">INDIRECT(_xlfn.CONCAT("$K", $F579))</f>
        <v>42391</v>
      </c>
      <c r="D579" s="1"/>
      <c r="E579" s="1" t="str" cm="1">
        <f t="array" aca="1" ref="E579" ca="1">INDIRECT(_xlfn.CONCAT("$L", $F579))</f>
        <v>en es fr de it pt ja ko ru 汉语 漢語</v>
      </c>
      <c r="F579" s="1" cm="1">
        <f t="array" aca="1" ref="F579" ca="1">IF(NOT(OR(ISERROR(INDIRECT(_xlfn.CONCAT("$I", $F578 + 1))), ISBLANK(INDIRECT(_xlfn.CONCAT("$I", $F578 + 1))))), $F578 + 1, IF(NOT(ISBLANK(INDIRECT(_xlfn.CONCAT("$I", $F578 + 2)))), $F578 + 2, ""))</f>
        <v>1102</v>
      </c>
    </row>
    <row r="580" spans="1:12" ht="59.25">
      <c r="A580" s="1" t="str" cm="1">
        <f t="array" aca="1" ref="A580" ca="1">INDIRECT(_xlfn.CONCAT("$I", $F580))</f>
        <v>League Tokens 2016 L16</v>
      </c>
      <c r="B580" s="1" cm="1">
        <f t="array" aca="1" ref="B580" ca="1">INDIRECT(_xlfn.CONCAT("$J", $F580))</f>
        <v>1</v>
      </c>
      <c r="C580" s="1" cm="1">
        <f t="array" aca="1" ref="C580" ca="1">INDIRECT(_xlfn.CONCAT("$K", $F580))</f>
        <v>42370</v>
      </c>
      <c r="D580" s="1"/>
      <c r="E580" s="1" t="str" cm="1">
        <f t="array" aca="1" ref="E580" ca="1">INDIRECT(_xlfn.CONCAT("$L", $F580))</f>
        <v>en es fr de it pt ja ko ru 汉语 漢語</v>
      </c>
      <c r="F580" s="1" cm="1">
        <f t="array" aca="1" ref="F580" ca="1">IF(NOT(OR(ISERROR(INDIRECT(_xlfn.CONCAT("$I", $F579 + 1))), ISBLANK(INDIRECT(_xlfn.CONCAT("$I", $F579 + 1))))), $F579 + 1, IF(NOT(ISBLANK(INDIRECT(_xlfn.CONCAT("$I", $F579 + 2)))), $F579 + 2, ""))</f>
        <v>1104</v>
      </c>
      <c r="I580" s="8" t="s">
        <v>465</v>
      </c>
      <c r="J580" s="8">
        <v>81</v>
      </c>
      <c r="K580" s="9">
        <v>44463</v>
      </c>
      <c r="L580" s="8" t="s">
        <v>174</v>
      </c>
    </row>
    <row r="581" spans="1:12" ht="59.25">
      <c r="A581" s="1" t="str" cm="1">
        <f t="array" aca="1" ref="A581" ca="1">INDIRECT(_xlfn.CONCAT("$I", $F581))</f>
        <v>Judge Gift Cards 2016 J16</v>
      </c>
      <c r="B581" s="1" cm="1">
        <f t="array" aca="1" ref="B581" ca="1">INDIRECT(_xlfn.CONCAT("$J", $F581))</f>
        <v>8</v>
      </c>
      <c r="C581" s="1" cm="1">
        <f t="array" aca="1" ref="C581" ca="1">INDIRECT(_xlfn.CONCAT("$K", $F581))</f>
        <v>42370</v>
      </c>
      <c r="D581" s="1"/>
      <c r="E581" s="1" t="str" cm="1">
        <f t="array" aca="1" ref="E581" ca="1">INDIRECT(_xlfn.CONCAT("$L", $F581))</f>
        <v>en es fr de it pt ja ko ru 汉语 漢語</v>
      </c>
      <c r="F581" s="1" cm="1">
        <f t="array" aca="1" ref="F581" ca="1">IF(NOT(OR(ISERROR(INDIRECT(_xlfn.CONCAT("$I", $F580 + 1))), ISBLANK(INDIRECT(_xlfn.CONCAT("$I", $F580 + 1))))), $F580 + 1, IF(NOT(ISBLANK(INDIRECT(_xlfn.CONCAT("$I", $F580 + 2)))), $F580 + 2, ""))</f>
        <v>1106</v>
      </c>
    </row>
    <row r="582" spans="1:12" ht="59.25">
      <c r="A582" s="1" t="str" cm="1">
        <f t="array" aca="1" ref="A582" ca="1">INDIRECT(_xlfn.CONCAT("$I", $F582))</f>
        <v>Friday Night Magic 2016 F16</v>
      </c>
      <c r="B582" s="1" cm="1">
        <f t="array" aca="1" ref="B582" ca="1">INDIRECT(_xlfn.CONCAT("$J", $F582))</f>
        <v>12</v>
      </c>
      <c r="C582" s="1" cm="1">
        <f t="array" aca="1" ref="C582" ca="1">INDIRECT(_xlfn.CONCAT("$K", $F582))</f>
        <v>42370</v>
      </c>
      <c r="D582" s="1"/>
      <c r="E582" s="1" t="str" cm="1">
        <f t="array" aca="1" ref="E582" ca="1">INDIRECT(_xlfn.CONCAT("$L", $F582))</f>
        <v>en es fr de it pt ja ko ru 汉语 漢語</v>
      </c>
      <c r="F582" s="1" cm="1">
        <f t="array" aca="1" ref="F582" ca="1">IF(NOT(OR(ISERROR(INDIRECT(_xlfn.CONCAT("$I", $F581 + 1))), ISBLANK(INDIRECT(_xlfn.CONCAT("$I", $F581 + 1))))), $F581 + 1, IF(NOT(ISBLANK(INDIRECT(_xlfn.CONCAT("$I", $F581 + 2)))), $F581 + 2, ""))</f>
        <v>1108</v>
      </c>
      <c r="I582" s="8" t="s">
        <v>466</v>
      </c>
      <c r="J582" s="8">
        <v>3</v>
      </c>
      <c r="K582" s="9">
        <v>44463</v>
      </c>
      <c r="L582" s="8" t="s">
        <v>174</v>
      </c>
    </row>
    <row r="583" spans="1:12" ht="59.25">
      <c r="A583" s="1" t="str" cm="1">
        <f t="array" aca="1" ref="A583" ca="1">INDIRECT(_xlfn.CONCAT("$I", $F583))</f>
        <v>Legendary Cube Prize Pack PZ1</v>
      </c>
      <c r="B583" s="1" cm="1">
        <f t="array" aca="1" ref="B583" ca="1">INDIRECT(_xlfn.CONCAT("$J", $F583))</f>
        <v>149</v>
      </c>
      <c r="C583" s="1" cm="1">
        <f t="array" aca="1" ref="C583" ca="1">INDIRECT(_xlfn.CONCAT("$K", $F583))</f>
        <v>42326</v>
      </c>
      <c r="D583" s="1"/>
      <c r="E583" s="1" t="str" cm="1">
        <f t="array" aca="1" ref="E583" ca="1">INDIRECT(_xlfn.CONCAT("$L", $F583))</f>
        <v>en es fr de it pt ja ko ru 汉语 漢語</v>
      </c>
      <c r="F583" s="1" cm="1">
        <f t="array" aca="1" ref="F583" ca="1">IF(NOT(OR(ISERROR(INDIRECT(_xlfn.CONCAT("$I", $F582 + 1))), ISBLANK(INDIRECT(_xlfn.CONCAT("$I", $F582 + 1))))), $F582 + 1, IF(NOT(ISBLANK(INDIRECT(_xlfn.CONCAT("$I", $F582 + 2)))), $F582 + 2, ""))</f>
        <v>1110</v>
      </c>
    </row>
    <row r="584" spans="1:12" ht="59.25">
      <c r="A584" s="1" t="str" cm="1">
        <f t="array" aca="1" ref="A584" ca="1">INDIRECT(_xlfn.CONCAT("$I", $F584))</f>
        <v>Commander 2015 C15</v>
      </c>
      <c r="B584" s="1" cm="1">
        <f t="array" aca="1" ref="B584" ca="1">INDIRECT(_xlfn.CONCAT("$J", $F584))</f>
        <v>342</v>
      </c>
      <c r="C584" s="1" cm="1">
        <f t="array" aca="1" ref="C584" ca="1">INDIRECT(_xlfn.CONCAT("$K", $F584))</f>
        <v>42321</v>
      </c>
      <c r="D584" s="1"/>
      <c r="E584" s="1" t="str" cm="1">
        <f t="array" aca="1" ref="E584" ca="1">INDIRECT(_xlfn.CONCAT("$L", $F584))</f>
        <v>en es fr de it pt ja ko ru 汉语 漢語</v>
      </c>
      <c r="F584" s="1" cm="1">
        <f t="array" aca="1" ref="F584" ca="1">IF(NOT(OR(ISERROR(INDIRECT(_xlfn.CONCAT("$I", $F583 + 1))), ISBLANK(INDIRECT(_xlfn.CONCAT("$I", $F583 + 1))))), $F583 + 1, IF(NOT(ISBLANK(INDIRECT(_xlfn.CONCAT("$I", $F583 + 2)))), $F583 + 2, ""))</f>
        <v>1112</v>
      </c>
      <c r="I584" s="8" t="s">
        <v>467</v>
      </c>
      <c r="J584" s="8">
        <v>389</v>
      </c>
      <c r="K584" s="9">
        <v>44434</v>
      </c>
      <c r="L584" s="8" t="s">
        <v>174</v>
      </c>
    </row>
    <row r="585" spans="1:12" ht="59.25">
      <c r="A585" s="1" t="str" cm="1">
        <f t="array" aca="1" ref="A585" ca="1">INDIRECT(_xlfn.CONCAT("$I", $F585))</f>
        <v>Commander 2015 Tokens TC15</v>
      </c>
      <c r="B585" s="1" cm="1">
        <f t="array" aca="1" ref="B585" ca="1">INDIRECT(_xlfn.CONCAT("$J", $F585))</f>
        <v>25</v>
      </c>
      <c r="C585" s="1" cm="1">
        <f t="array" aca="1" ref="C585" ca="1">INDIRECT(_xlfn.CONCAT("$K", $F585))</f>
        <v>42321</v>
      </c>
      <c r="D585" s="1"/>
      <c r="E585" s="1" t="str" cm="1">
        <f t="array" aca="1" ref="E585" ca="1">INDIRECT(_xlfn.CONCAT("$L", $F585))</f>
        <v>en es fr de it pt ja ko ru 汉语 漢語</v>
      </c>
      <c r="F585" s="1" cm="1">
        <f t="array" aca="1" ref="F585" ca="1">IF(NOT(OR(ISERROR(INDIRECT(_xlfn.CONCAT("$I", $F584 + 1))), ISBLANK(INDIRECT(_xlfn.CONCAT("$I", $F584 + 1))))), $F584 + 1, IF(NOT(ISBLANK(INDIRECT(_xlfn.CONCAT("$I", $F584 + 2)))), $F584 + 2, ""))</f>
        <v>1114</v>
      </c>
    </row>
    <row r="586" spans="1:12" ht="59.25">
      <c r="A586" s="1" t="str" cm="1">
        <f t="array" aca="1" ref="A586" ca="1">INDIRECT(_xlfn.CONCAT("$I", $F586))</f>
        <v>Commander 2015 Oversized OC15</v>
      </c>
      <c r="B586" s="1" cm="1">
        <f t="array" aca="1" ref="B586" ca="1">INDIRECT(_xlfn.CONCAT("$J", $F586))</f>
        <v>5</v>
      </c>
      <c r="C586" s="1" cm="1">
        <f t="array" aca="1" ref="C586" ca="1">INDIRECT(_xlfn.CONCAT("$K", $F586))</f>
        <v>42321</v>
      </c>
      <c r="D586" s="1"/>
      <c r="E586" s="1" t="str" cm="1">
        <f t="array" aca="1" ref="E586" ca="1">INDIRECT(_xlfn.CONCAT("$L", $F586))</f>
        <v>en es fr de it pt ja ko ru 汉语 漢語</v>
      </c>
      <c r="F586" s="1" cm="1">
        <f t="array" aca="1" ref="F586" ca="1">IF(NOT(OR(ISERROR(INDIRECT(_xlfn.CONCAT("$I", $F585 + 1))), ISBLANK(INDIRECT(_xlfn.CONCAT("$I", $F585 + 1))))), $F585 + 1, IF(NOT(ISBLANK(INDIRECT(_xlfn.CONCAT("$I", $F585 + 2)))), $F585 + 2, ""))</f>
        <v>1116</v>
      </c>
      <c r="I586" s="8" t="s">
        <v>468</v>
      </c>
      <c r="J586" s="8">
        <v>121</v>
      </c>
      <c r="K586" s="9">
        <v>44428</v>
      </c>
      <c r="L586" s="8" t="s">
        <v>174</v>
      </c>
    </row>
    <row r="587" spans="1:12" ht="59.25">
      <c r="A587" s="1" t="str" cm="1">
        <f t="array" aca="1" ref="A587" ca="1">INDIRECT(_xlfn.CONCAT("$I", $F587))</f>
        <v>Battle for Zendikar BFZ</v>
      </c>
      <c r="B587" s="1" cm="1">
        <f t="array" aca="1" ref="B587" ca="1">INDIRECT(_xlfn.CONCAT("$J", $F587))</f>
        <v>299</v>
      </c>
      <c r="C587" s="1" cm="1">
        <f t="array" aca="1" ref="C587" ca="1">INDIRECT(_xlfn.CONCAT("$K", $F587))</f>
        <v>42279</v>
      </c>
      <c r="D587" s="1"/>
      <c r="E587" s="1" t="str" cm="1">
        <f t="array" aca="1" ref="E587" ca="1">INDIRECT(_xlfn.CONCAT("$L", $F587))</f>
        <v>en es fr de it pt ja ko ru 汉语 漢語</v>
      </c>
      <c r="F587" s="1" cm="1">
        <f t="array" aca="1" ref="F587" ca="1">IF(NOT(OR(ISERROR(INDIRECT(_xlfn.CONCAT("$I", $F586 + 1))), ISBLANK(INDIRECT(_xlfn.CONCAT("$I", $F586 + 1))))), $F586 + 1, IF(NOT(ISBLANK(INDIRECT(_xlfn.CONCAT("$I", $F586 + 2)))), $F586 + 2, ""))</f>
        <v>1118</v>
      </c>
    </row>
    <row r="588" spans="1:12" ht="59.25">
      <c r="A588" s="1" t="str" cm="1">
        <f t="array" aca="1" ref="A588" ca="1">INDIRECT(_xlfn.CONCAT("$I", $F588))</f>
        <v>Zendikar Expeditions EXP</v>
      </c>
      <c r="B588" s="1" cm="1">
        <f t="array" aca="1" ref="B588" ca="1">INDIRECT(_xlfn.CONCAT("$J", $F588))</f>
        <v>45</v>
      </c>
      <c r="C588" s="1" cm="1">
        <f t="array" aca="1" ref="C588" ca="1">INDIRECT(_xlfn.CONCAT("$K", $F588))</f>
        <v>42279</v>
      </c>
      <c r="D588" s="1"/>
      <c r="E588" s="1" t="str" cm="1">
        <f t="array" aca="1" ref="E588" ca="1">INDIRECT(_xlfn.CONCAT("$L", $F588))</f>
        <v>en es fr de it pt ja ko ru 汉语 漢語</v>
      </c>
      <c r="F588" s="1" cm="1">
        <f t="array" aca="1" ref="F588" ca="1">IF(NOT(OR(ISERROR(INDIRECT(_xlfn.CONCAT("$I", $F587 + 1))), ISBLANK(INDIRECT(_xlfn.CONCAT("$I", $F587 + 1))))), $F587 + 1, IF(NOT(ISBLANK(INDIRECT(_xlfn.CONCAT("$I", $F587 + 2)))), $F587 + 2, ""))</f>
        <v>1120</v>
      </c>
      <c r="I588" s="8" t="s">
        <v>469</v>
      </c>
      <c r="J588" s="8">
        <v>3</v>
      </c>
      <c r="K588" s="9">
        <v>44409</v>
      </c>
      <c r="L588" s="8" t="s">
        <v>174</v>
      </c>
    </row>
    <row r="589" spans="1:12" ht="59.25">
      <c r="A589" s="1" t="str" cm="1">
        <f t="array" aca="1" ref="A589" ca="1">INDIRECT(_xlfn.CONCAT("$I", $F589))</f>
        <v>Battle for Zendikar Promos PBFZ</v>
      </c>
      <c r="B589" s="1" cm="1">
        <f t="array" aca="1" ref="B589" ca="1">INDIRECT(_xlfn.CONCAT("$J", $F589))</f>
        <v>90</v>
      </c>
      <c r="C589" s="1" cm="1">
        <f t="array" aca="1" ref="C589" ca="1">INDIRECT(_xlfn.CONCAT("$K", $F589))</f>
        <v>42279</v>
      </c>
      <c r="D589" s="1"/>
      <c r="E589" s="1" t="str" cm="1">
        <f t="array" aca="1" ref="E589" ca="1">INDIRECT(_xlfn.CONCAT("$L", $F589))</f>
        <v>en es fr de it pt ja ko ru 汉语 漢語</v>
      </c>
      <c r="F589" s="1" cm="1">
        <f t="array" aca="1" ref="F589" ca="1">IF(NOT(OR(ISERROR(INDIRECT(_xlfn.CONCAT("$I", $F588 + 1))), ISBLANK(INDIRECT(_xlfn.CONCAT("$I", $F588 + 1))))), $F588 + 1, IF(NOT(ISBLANK(INDIRECT(_xlfn.CONCAT("$I", $F588 + 2)))), $F588 + 2, ""))</f>
        <v>1122</v>
      </c>
    </row>
    <row r="590" spans="1:12" ht="59.25">
      <c r="A590" s="1" t="str" cm="1">
        <f t="array" aca="1" ref="A590" ca="1">INDIRECT(_xlfn.CONCAT("$I", $F590))</f>
        <v>Battle for Zendikar Tokens TBFZ</v>
      </c>
      <c r="B590" s="1" cm="1">
        <f t="array" aca="1" ref="B590" ca="1">INDIRECT(_xlfn.CONCAT("$J", $F590))</f>
        <v>14</v>
      </c>
      <c r="C590" s="1" cm="1">
        <f t="array" aca="1" ref="C590" ca="1">INDIRECT(_xlfn.CONCAT("$K", $F590))</f>
        <v>42279</v>
      </c>
      <c r="D590" s="1"/>
      <c r="E590" s="1" t="str" cm="1">
        <f t="array" aca="1" ref="E590" ca="1">INDIRECT(_xlfn.CONCAT("$L", $F590))</f>
        <v>en es fr de it pt ja ko ru 汉语 漢語</v>
      </c>
      <c r="F590" s="1" cm="1">
        <f t="array" aca="1" ref="F590" ca="1">IF(NOT(OR(ISERROR(INDIRECT(_xlfn.CONCAT("$I", $F589 + 1))), ISBLANK(INDIRECT(_xlfn.CONCAT("$I", $F589 + 1))))), $F589 + 1, IF(NOT(ISBLANK(INDIRECT(_xlfn.CONCAT("$I", $F589 + 2)))), $F589 + 2, ""))</f>
        <v>1124</v>
      </c>
      <c r="I590" s="8" t="s">
        <v>470</v>
      </c>
      <c r="J590" s="8">
        <v>424</v>
      </c>
      <c r="K590" s="9">
        <v>44400</v>
      </c>
      <c r="L590" t="s">
        <v>174</v>
      </c>
    </row>
    <row r="591" spans="1:12" ht="59.25">
      <c r="A591" s="1" t="str" cm="1">
        <f t="array" aca="1" ref="A591" ca="1">INDIRECT(_xlfn.CONCAT("$I", $F591))</f>
        <v>BFZ Standard Series PSS1</v>
      </c>
      <c r="B591" s="1" cm="1">
        <f t="array" aca="1" ref="B591" ca="1">INDIRECT(_xlfn.CONCAT("$J", $F591))</f>
        <v>5</v>
      </c>
      <c r="C591" s="1" cm="1">
        <f t="array" aca="1" ref="C591" ca="1">INDIRECT(_xlfn.CONCAT("$K", $F591))</f>
        <v>42279</v>
      </c>
      <c r="D591" s="1"/>
      <c r="E591" s="1" t="str" cm="1">
        <f t="array" aca="1" ref="E591" ca="1">INDIRECT(_xlfn.CONCAT("$L", $F591))</f>
        <v>en es fr de it pt ja ko ru 汉语 漢語</v>
      </c>
      <c r="F591" s="1" cm="1">
        <f t="array" aca="1" ref="F591" ca="1">IF(NOT(OR(ISERROR(INDIRECT(_xlfn.CONCAT("$I", $F590 + 1))), ISBLANK(INDIRECT(_xlfn.CONCAT("$I", $F590 + 1))))), $F590 + 1, IF(NOT(ISBLANK(INDIRECT(_xlfn.CONCAT("$I", $F590 + 2)))), $F590 + 2, ""))</f>
        <v>1126</v>
      </c>
    </row>
    <row r="592" spans="1:12" ht="68.25">
      <c r="A592" s="1" t="str" cm="1">
        <f t="array" aca="1" ref="A592" ca="1">INDIRECT(_xlfn.CONCAT("$I", $F592))</f>
        <v>Duel Decks: Zendikar vs. Eldrazi DDP</v>
      </c>
      <c r="B592" s="1" cm="1">
        <f t="array" aca="1" ref="B592" ca="1">INDIRECT(_xlfn.CONCAT("$J", $F592))</f>
        <v>80</v>
      </c>
      <c r="C592" s="1" cm="1">
        <f t="array" aca="1" ref="C592" ca="1">INDIRECT(_xlfn.CONCAT("$K", $F592))</f>
        <v>42244</v>
      </c>
      <c r="D592" s="1"/>
      <c r="E592" s="1" t="str" cm="1">
        <f t="array" aca="1" ref="E592" ca="1">INDIRECT(_xlfn.CONCAT("$L", $F592))</f>
        <v>en es fr de it pt ja ko ru 汉语 漢語</v>
      </c>
      <c r="F592" s="1" cm="1">
        <f t="array" aca="1" ref="F592" ca="1">IF(NOT(OR(ISERROR(INDIRECT(_xlfn.CONCAT("$I", $F591 + 1))), ISBLANK(INDIRECT(_xlfn.CONCAT("$I", $F591 + 1))))), $F591 + 1, IF(NOT(ISBLANK(INDIRECT(_xlfn.CONCAT("$I", $F591 + 2)))), $F591 + 2, ""))</f>
        <v>1128</v>
      </c>
      <c r="I592" s="8" t="s">
        <v>471</v>
      </c>
      <c r="J592" s="8">
        <v>241</v>
      </c>
      <c r="K592" s="9">
        <v>44400</v>
      </c>
      <c r="L592" s="8" t="s">
        <v>174</v>
      </c>
    </row>
    <row r="593" spans="1:12" ht="59.25">
      <c r="A593" s="1" t="str" cm="1">
        <f t="array" aca="1" ref="A593" ca="1">INDIRECT(_xlfn.CONCAT("$I", $F593))</f>
        <v>From the Vault: Angels V15</v>
      </c>
      <c r="B593" s="1" cm="1">
        <f t="array" aca="1" ref="B593" ca="1">INDIRECT(_xlfn.CONCAT("$J", $F593))</f>
        <v>15</v>
      </c>
      <c r="C593" s="1" cm="1">
        <f t="array" aca="1" ref="C593" ca="1">INDIRECT(_xlfn.CONCAT("$K", $F593))</f>
        <v>42237</v>
      </c>
      <c r="D593" s="1"/>
      <c r="E593" s="1" t="str" cm="1">
        <f t="array" aca="1" ref="E593" ca="1">INDIRECT(_xlfn.CONCAT("$L", $F593))</f>
        <v>en es fr de it pt ja ko ru 汉语 漢語</v>
      </c>
      <c r="F593" s="1" cm="1">
        <f t="array" aca="1" ref="F593" ca="1">IF(NOT(OR(ISERROR(INDIRECT(_xlfn.CONCAT("$I", $F592 + 1))), ISBLANK(INDIRECT(_xlfn.CONCAT("$I", $F592 + 1))))), $F592 + 1, IF(NOT(ISBLANK(INDIRECT(_xlfn.CONCAT("$I", $F592 + 2)))), $F592 + 2, ""))</f>
        <v>1130</v>
      </c>
    </row>
    <row r="594" spans="1:12" ht="59.25">
      <c r="A594" s="1" t="str" cm="1">
        <f t="array" aca="1" ref="A594" ca="1">INDIRECT(_xlfn.CONCAT("$I", $F594))</f>
        <v>Magic Origins ORI</v>
      </c>
      <c r="B594" s="1" cm="1">
        <f t="array" aca="1" ref="B594" ca="1">INDIRECT(_xlfn.CONCAT("$J", $F594))</f>
        <v>288</v>
      </c>
      <c r="C594" s="1" cm="1">
        <f t="array" aca="1" ref="C594" ca="1">INDIRECT(_xlfn.CONCAT("$K", $F594))</f>
        <v>42202</v>
      </c>
      <c r="D594" s="1"/>
      <c r="E594" s="1" t="str" cm="1">
        <f t="array" aca="1" ref="E594" ca="1">INDIRECT(_xlfn.CONCAT("$L", $F594))</f>
        <v>en es fr de it pt ja ko ru 汉语 漢語</v>
      </c>
      <c r="F594" s="1" cm="1">
        <f t="array" aca="1" ref="F594" ca="1">IF(NOT(OR(ISERROR(INDIRECT(_xlfn.CONCAT("$I", $F593 + 1))), ISBLANK(INDIRECT(_xlfn.CONCAT("$I", $F593 + 1))))), $F593 + 1, IF(NOT(ISBLANK(INDIRECT(_xlfn.CONCAT("$I", $F593 + 2)))), $F593 + 2, ""))</f>
        <v>1132</v>
      </c>
      <c r="I594" s="8" t="s">
        <v>472</v>
      </c>
      <c r="J594" s="8">
        <v>22</v>
      </c>
      <c r="K594" s="9">
        <v>44400</v>
      </c>
      <c r="L594" s="8" t="s">
        <v>174</v>
      </c>
    </row>
    <row r="595" spans="1:12" ht="59.25">
      <c r="A595" s="1" t="str" cm="1">
        <f t="array" aca="1" ref="A595" ca="1">INDIRECT(_xlfn.CONCAT("$I", $F595))</f>
        <v>Magic Origins Promos PORI</v>
      </c>
      <c r="B595" s="1" cm="1">
        <f t="array" aca="1" ref="B595" ca="1">INDIRECT(_xlfn.CONCAT("$J", $F595))</f>
        <v>54</v>
      </c>
      <c r="C595" s="1" cm="1">
        <f t="array" aca="1" ref="C595" ca="1">INDIRECT(_xlfn.CONCAT("$K", $F595))</f>
        <v>42202</v>
      </c>
      <c r="D595" s="1"/>
      <c r="E595" s="1" t="str" cm="1">
        <f t="array" aca="1" ref="E595" ca="1">INDIRECT(_xlfn.CONCAT("$L", $F595))</f>
        <v>en es fr de it pt ja ko ru 汉语 漢語</v>
      </c>
      <c r="F595" s="1" cm="1">
        <f t="array" aca="1" ref="F595" ca="1">IF(NOT(OR(ISERROR(INDIRECT(_xlfn.CONCAT("$I", $F594 + 1))), ISBLANK(INDIRECT(_xlfn.CONCAT("$I", $F594 + 1))))), $F594 + 1, IF(NOT(ISBLANK(INDIRECT(_xlfn.CONCAT("$I", $F594 + 2)))), $F594 + 2, ""))</f>
        <v>1134</v>
      </c>
    </row>
    <row r="596" spans="1:12" ht="59.25">
      <c r="A596" s="1" t="str" cm="1">
        <f t="array" aca="1" ref="A596" ca="1">INDIRECT(_xlfn.CONCAT("$I", $F596))</f>
        <v>Magic Origins Tokens TORI</v>
      </c>
      <c r="B596" s="1" cm="1">
        <f t="array" aca="1" ref="B596" ca="1">INDIRECT(_xlfn.CONCAT("$J", $F596))</f>
        <v>15</v>
      </c>
      <c r="C596" s="1" cm="1">
        <f t="array" aca="1" ref="C596" ca="1">INDIRECT(_xlfn.CONCAT("$K", $F596))</f>
        <v>42202</v>
      </c>
      <c r="D596" s="1"/>
      <c r="E596" s="1" t="str" cm="1">
        <f t="array" aca="1" ref="E596" ca="1">INDIRECT(_xlfn.CONCAT("$L", $F596))</f>
        <v>en es fr de it pt ja ko ru 汉语 漢語</v>
      </c>
      <c r="F596" s="1" cm="1">
        <f t="array" aca="1" ref="F596" ca="1">IF(NOT(OR(ISERROR(INDIRECT(_xlfn.CONCAT("$I", $F595 + 1))), ISBLANK(INDIRECT(_xlfn.CONCAT("$I", $F595 + 1))))), $F595 + 1, IF(NOT(ISBLANK(INDIRECT(_xlfn.CONCAT("$I", $F595 + 2)))), $F595 + 2, ""))</f>
        <v>1136</v>
      </c>
      <c r="I596" s="8" t="s">
        <v>473</v>
      </c>
      <c r="J596" s="8">
        <v>3</v>
      </c>
      <c r="K596" s="9">
        <v>44400</v>
      </c>
      <c r="L596" s="8" t="s">
        <v>174</v>
      </c>
    </row>
    <row r="597" spans="1:12" ht="59.25">
      <c r="A597" s="1" t="str" cm="1">
        <f t="array" aca="1" ref="A597" ca="1">INDIRECT(_xlfn.CONCAT("$I", $F597))</f>
        <v>Magic Origins Clash Pack CP3</v>
      </c>
      <c r="B597" s="1" cm="1">
        <f t="array" aca="1" ref="B597" ca="1">INDIRECT(_xlfn.CONCAT("$J", $F597))</f>
        <v>6</v>
      </c>
      <c r="C597" s="1" cm="1">
        <f t="array" aca="1" ref="C597" ca="1">INDIRECT(_xlfn.CONCAT("$K", $F597))</f>
        <v>42202</v>
      </c>
      <c r="D597" s="1"/>
      <c r="E597" s="1" t="str" cm="1">
        <f t="array" aca="1" ref="E597" ca="1">INDIRECT(_xlfn.CONCAT("$L", $F597))</f>
        <v>en es fr de it pt ja ko ru 汉语 漢語</v>
      </c>
      <c r="F597" s="1" cm="1">
        <f t="array" aca="1" ref="F597" ca="1">IF(NOT(OR(ISERROR(INDIRECT(_xlfn.CONCAT("$I", $F596 + 1))), ISBLANK(INDIRECT(_xlfn.CONCAT("$I", $F596 + 1))))), $F596 + 1, IF(NOT(ISBLANK(INDIRECT(_xlfn.CONCAT("$I", $F596 + 2)))), $F596 + 2, ""))</f>
        <v>1138</v>
      </c>
    </row>
    <row r="598" spans="1:12" ht="59.25">
      <c r="A598" s="1" t="str" cm="1">
        <f t="array" aca="1" ref="A598" ca="1">INDIRECT(_xlfn.CONCAT("$I", $F598))</f>
        <v>San Diego Comic-Con 2015 PS15</v>
      </c>
      <c r="B598" s="1" cm="1">
        <f t="array" aca="1" ref="B598" ca="1">INDIRECT(_xlfn.CONCAT("$J", $F598))</f>
        <v>5</v>
      </c>
      <c r="C598" s="1" cm="1">
        <f t="array" aca="1" ref="C598" ca="1">INDIRECT(_xlfn.CONCAT("$K", $F598))</f>
        <v>42194</v>
      </c>
      <c r="D598" s="1"/>
      <c r="E598" s="1" t="str" cm="1">
        <f t="array" aca="1" ref="E598" ca="1">INDIRECT(_xlfn.CONCAT("$L", $F598))</f>
        <v>en es fr de it pt ja ko ru 汉语 漢語</v>
      </c>
      <c r="F598" s="1" cm="1">
        <f t="array" aca="1" ref="F598" ca="1">IF(NOT(OR(ISERROR(INDIRECT(_xlfn.CONCAT("$I", $F597 + 1))), ISBLANK(INDIRECT(_xlfn.CONCAT("$I", $F597 + 1))))), $F597 + 1, IF(NOT(ISBLANK(INDIRECT(_xlfn.CONCAT("$I", $F597 + 2)))), $F597 + 2, ""))</f>
        <v>1140</v>
      </c>
      <c r="I598" s="8" t="s">
        <v>474</v>
      </c>
      <c r="J598" s="8">
        <v>81</v>
      </c>
      <c r="K598" s="9">
        <v>44400</v>
      </c>
      <c r="L598" s="8" t="s">
        <v>174</v>
      </c>
    </row>
    <row r="599" spans="1:12" ht="59.25">
      <c r="A599" s="1" t="str" cm="1">
        <f t="array" aca="1" ref="A599" ca="1">INDIRECT(_xlfn.CONCAT("$I", $F599))</f>
        <v>Modern Masters 2015 MM2</v>
      </c>
      <c r="B599" s="1" cm="1">
        <f t="array" aca="1" ref="B599" ca="1">INDIRECT(_xlfn.CONCAT("$J", $F599))</f>
        <v>249</v>
      </c>
      <c r="C599" s="1" cm="1">
        <f t="array" aca="1" ref="C599" ca="1">INDIRECT(_xlfn.CONCAT("$K", $F599))</f>
        <v>42146</v>
      </c>
      <c r="D599" s="1"/>
      <c r="E599" s="1" t="str" cm="1">
        <f t="array" aca="1" ref="E599" ca="1">INDIRECT(_xlfn.CONCAT("$L", $F599))</f>
        <v>en es fr de it pt ja ko ru 汉语 漢語</v>
      </c>
      <c r="F599" s="1" cm="1">
        <f t="array" aca="1" ref="F599" ca="1">IF(NOT(OR(ISERROR(INDIRECT(_xlfn.CONCAT("$I", $F598 + 1))), ISBLANK(INDIRECT(_xlfn.CONCAT("$I", $F598 + 1))))), $F598 + 1, IF(NOT(ISBLANK(INDIRECT(_xlfn.CONCAT("$I", $F598 + 2)))), $F598 + 2, ""))</f>
        <v>1142</v>
      </c>
    </row>
    <row r="600" spans="1:12" ht="68.25">
      <c r="A600" s="1" t="str" cm="1">
        <f t="array" aca="1" ref="A600" ca="1">INDIRECT(_xlfn.CONCAT("$I", $F600))</f>
        <v>Modern Masters 2015 Tokens TMM2</v>
      </c>
      <c r="B600" s="1" cm="1">
        <f t="array" aca="1" ref="B600" ca="1">INDIRECT(_xlfn.CONCAT("$J", $F600))</f>
        <v>16</v>
      </c>
      <c r="C600" s="1" cm="1">
        <f t="array" aca="1" ref="C600" ca="1">INDIRECT(_xlfn.CONCAT("$K", $F600))</f>
        <v>42146</v>
      </c>
      <c r="D600" s="1"/>
      <c r="E600" s="1" t="str" cm="1">
        <f t="array" aca="1" ref="E600" ca="1">INDIRECT(_xlfn.CONCAT("$L", $F600))</f>
        <v>en es fr de it pt ja ko ru 汉语 漢語</v>
      </c>
      <c r="F600" s="1" cm="1">
        <f t="array" aca="1" ref="F600" ca="1">IF(NOT(OR(ISERROR(INDIRECT(_xlfn.CONCAT("$I", $F599 + 1))), ISBLANK(INDIRECT(_xlfn.CONCAT("$I", $F599 + 1))))), $F599 + 1, IF(NOT(ISBLANK(INDIRECT(_xlfn.CONCAT("$I", $F599 + 2)))), $F599 + 2, ""))</f>
        <v>1144</v>
      </c>
      <c r="I600" s="8" t="s">
        <v>475</v>
      </c>
      <c r="J600" s="8">
        <v>331</v>
      </c>
      <c r="K600" s="9">
        <v>44400</v>
      </c>
      <c r="L600" t="s">
        <v>174</v>
      </c>
    </row>
    <row r="601" spans="1:12" ht="59.25">
      <c r="A601" s="1" t="str" cm="1">
        <f t="array" aca="1" ref="A601" ca="1">INDIRECT(_xlfn.CONCAT("$I", $F601))</f>
        <v>Tempest Remastered TPR</v>
      </c>
      <c r="B601" s="1" cm="1">
        <f t="array" aca="1" ref="B601" ca="1">INDIRECT(_xlfn.CONCAT("$J", $F601))</f>
        <v>269</v>
      </c>
      <c r="C601" s="1" cm="1">
        <f t="array" aca="1" ref="C601" ca="1">INDIRECT(_xlfn.CONCAT("$K", $F601))</f>
        <v>42130</v>
      </c>
      <c r="D601" s="1"/>
      <c r="E601" s="1" t="str" cm="1">
        <f t="array" aca="1" ref="E601" ca="1">INDIRECT(_xlfn.CONCAT("$L", $F601))</f>
        <v>en es fr de it pt ja ko ru 汉语 漢語</v>
      </c>
      <c r="F601" s="1" cm="1">
        <f t="array" aca="1" ref="F601" ca="1">IF(NOT(OR(ISERROR(INDIRECT(_xlfn.CONCAT("$I", $F600 + 1))), ISBLANK(INDIRECT(_xlfn.CONCAT("$I", $F600 + 1))))), $F600 + 1, IF(NOT(ISBLANK(INDIRECT(_xlfn.CONCAT("$I", $F600 + 2)))), $F600 + 2, ""))</f>
        <v>1146</v>
      </c>
    </row>
    <row r="602" spans="1:12" ht="59.25">
      <c r="A602" s="1" t="str" cm="1">
        <f t="array" aca="1" ref="A602" ca="1">INDIRECT(_xlfn.CONCAT("$I", $F602))</f>
        <v>Dragons of Tarkir DTK</v>
      </c>
      <c r="B602" s="1" cm="1">
        <f t="array" aca="1" ref="B602" ca="1">INDIRECT(_xlfn.CONCAT("$J", $F602))</f>
        <v>264</v>
      </c>
      <c r="C602" s="1" cm="1">
        <f t="array" aca="1" ref="C602" ca="1">INDIRECT(_xlfn.CONCAT("$K", $F602))</f>
        <v>42090</v>
      </c>
      <c r="D602" s="1"/>
      <c r="E602" s="1" t="str" cm="1">
        <f t="array" aca="1" ref="E602" ca="1">INDIRECT(_xlfn.CONCAT("$L", $F602))</f>
        <v>en es fr de it pt ja ko ru 汉语 漢語</v>
      </c>
      <c r="F602" s="1" cm="1">
        <f t="array" aca="1" ref="F602" ca="1">IF(NOT(OR(ISERROR(INDIRECT(_xlfn.CONCAT("$I", $F601 + 1))), ISBLANK(INDIRECT(_xlfn.CONCAT("$I", $F601 + 1))))), $F601 + 1, IF(NOT(ISBLANK(INDIRECT(_xlfn.CONCAT("$I", $F601 + 2)))), $F601 + 2, ""))</f>
        <v>1148</v>
      </c>
      <c r="I602" s="8" t="s">
        <v>476</v>
      </c>
      <c r="J602" s="8">
        <v>13</v>
      </c>
      <c r="K602" s="9">
        <v>44400</v>
      </c>
      <c r="L602" s="8" t="s">
        <v>174</v>
      </c>
    </row>
    <row r="603" spans="1:12" ht="59.25">
      <c r="A603" s="1" t="str" cm="1">
        <f t="array" aca="1" ref="A603" ca="1">INDIRECT(_xlfn.CONCAT("$I", $F603))</f>
        <v>Dragons of Tarkir Promos PDTK</v>
      </c>
      <c r="B603" s="1" cm="1">
        <f t="array" aca="1" ref="B603" ca="1">INDIRECT(_xlfn.CONCAT("$J", $F603))</f>
        <v>51</v>
      </c>
      <c r="C603" s="1" cm="1">
        <f t="array" aca="1" ref="C603" ca="1">INDIRECT(_xlfn.CONCAT("$K", $F603))</f>
        <v>42090</v>
      </c>
      <c r="D603" s="1"/>
      <c r="E603" s="1" t="str" cm="1">
        <f t="array" aca="1" ref="E603" ca="1">INDIRECT(_xlfn.CONCAT("$L", $F603))</f>
        <v>en es fr de it pt ja ko ru 汉语 漢語</v>
      </c>
      <c r="F603" s="1" cm="1">
        <f t="array" aca="1" ref="F603" ca="1">IF(NOT(OR(ISERROR(INDIRECT(_xlfn.CONCAT("$I", $F602 + 1))), ISBLANK(INDIRECT(_xlfn.CONCAT("$I", $F602 + 1))))), $F602 + 1, IF(NOT(ISBLANK(INDIRECT(_xlfn.CONCAT("$I", $F602 + 2)))), $F602 + 2, ""))</f>
        <v>1150</v>
      </c>
    </row>
    <row r="604" spans="1:12" ht="59.25">
      <c r="A604" s="1" t="str" cm="1">
        <f t="array" aca="1" ref="A604" ca="1">INDIRECT(_xlfn.CONCAT("$I", $F604))</f>
        <v>Dragons of Tarkir Tokens TDTK</v>
      </c>
      <c r="B604" s="1" cm="1">
        <f t="array" aca="1" ref="B604" ca="1">INDIRECT(_xlfn.CONCAT("$J", $F604))</f>
        <v>8</v>
      </c>
      <c r="C604" s="1" cm="1">
        <f t="array" aca="1" ref="C604" ca="1">INDIRECT(_xlfn.CONCAT("$K", $F604))</f>
        <v>42090</v>
      </c>
      <c r="D604" s="1"/>
      <c r="E604" s="1" t="str" cm="1">
        <f t="array" aca="1" ref="E604" ca="1">INDIRECT(_xlfn.CONCAT("$L", $F604))</f>
        <v>en es fr de it pt ja ko ru 汉语 漢語</v>
      </c>
      <c r="F604" s="1" cm="1">
        <f t="array" aca="1" ref="F604" ca="1">IF(NOT(OR(ISERROR(INDIRECT(_xlfn.CONCAT("$I", $F603 + 1))), ISBLANK(INDIRECT(_xlfn.CONCAT("$I", $F603 + 1))))), $F603 + 1, IF(NOT(ISBLANK(INDIRECT(_xlfn.CONCAT("$I", $F603 + 2)))), $F603 + 2, ""))</f>
        <v>1152</v>
      </c>
      <c r="I604" s="8" t="s">
        <v>477</v>
      </c>
      <c r="J604" s="8">
        <v>4</v>
      </c>
      <c r="K604" s="9">
        <v>44400</v>
      </c>
      <c r="L604" s="8" t="s">
        <v>174</v>
      </c>
    </row>
    <row r="605" spans="1:12" ht="59.25">
      <c r="A605" s="1" t="str" cm="1">
        <f t="array" aca="1" ref="A605" ca="1">INDIRECT(_xlfn.CONCAT("$I", $F605))</f>
        <v>Tarkir Dragonfury PTKDF</v>
      </c>
      <c r="B605" s="1" cm="1">
        <f t="array" aca="1" ref="B605" ca="1">INDIRECT(_xlfn.CONCAT("$J", $F605))</f>
        <v>4</v>
      </c>
      <c r="C605" s="1" cm="1">
        <f t="array" aca="1" ref="C605" ca="1">INDIRECT(_xlfn.CONCAT("$K", $F605))</f>
        <v>42097</v>
      </c>
      <c r="D605" s="1"/>
      <c r="E605" s="1" t="str" cm="1">
        <f t="array" aca="1" ref="E605" ca="1">INDIRECT(_xlfn.CONCAT("$L", $F605))</f>
        <v>en es fr de it pt ja ko ru 汉语 漢語</v>
      </c>
      <c r="F605" s="1" cm="1">
        <f t="array" aca="1" ref="F605" ca="1">IF(NOT(OR(ISERROR(INDIRECT(_xlfn.CONCAT("$I", $F604 + 1))), ISBLANK(INDIRECT(_xlfn.CONCAT("$I", $F604 + 1))))), $F604 + 1, IF(NOT(ISBLANK(INDIRECT(_xlfn.CONCAT("$I", $F604 + 2)))), $F604 + 2, ""))</f>
        <v>1154</v>
      </c>
    </row>
    <row r="606" spans="1:12" ht="59.25">
      <c r="A606" s="1" t="str" cm="1">
        <f t="array" aca="1" ref="A606" ca="1">INDIRECT(_xlfn.CONCAT("$I", $F606))</f>
        <v>Duel Decks: Elspeth vs. Kiora DDO</v>
      </c>
      <c r="B606" s="1" cm="1">
        <f t="array" aca="1" ref="B606" ca="1">INDIRECT(_xlfn.CONCAT("$J", $F606))</f>
        <v>67</v>
      </c>
      <c r="C606" s="1" cm="1">
        <f t="array" aca="1" ref="C606" ca="1">INDIRECT(_xlfn.CONCAT("$K", $F606))</f>
        <v>42062</v>
      </c>
      <c r="D606" s="1"/>
      <c r="E606" s="1" t="str" cm="1">
        <f t="array" aca="1" ref="E606" ca="1">INDIRECT(_xlfn.CONCAT("$L", $F606))</f>
        <v>en es fr de it pt ja ko ru 汉语 漢語</v>
      </c>
      <c r="F606" s="1" cm="1">
        <f t="array" aca="1" ref="F606" ca="1">IF(NOT(OR(ISERROR(INDIRECT(_xlfn.CONCAT("$I", $F605 + 1))), ISBLANK(INDIRECT(_xlfn.CONCAT("$I", $F605 + 1))))), $F605 + 1, IF(NOT(ISBLANK(INDIRECT(_xlfn.CONCAT("$I", $F605 + 2)))), $F605 + 2, ""))</f>
        <v>1156</v>
      </c>
      <c r="I606" s="8" t="s">
        <v>478</v>
      </c>
      <c r="J606" s="8">
        <v>5</v>
      </c>
      <c r="K606" s="9">
        <v>44400</v>
      </c>
      <c r="L606" s="8" t="s">
        <v>174</v>
      </c>
    </row>
    <row r="607" spans="1:12" ht="59.25">
      <c r="A607" s="1" t="str" cm="1">
        <f t="array" aca="1" ref="A607" ca="1">INDIRECT(_xlfn.CONCAT("$I", $F607))</f>
        <v>Fate Reforged FRF</v>
      </c>
      <c r="B607" s="1" cm="1">
        <f t="array" aca="1" ref="B607" ca="1">INDIRECT(_xlfn.CONCAT("$J", $F607))</f>
        <v>191</v>
      </c>
      <c r="C607" s="1" cm="1">
        <f t="array" aca="1" ref="C607" ca="1">INDIRECT(_xlfn.CONCAT("$K", $F607))</f>
        <v>42027</v>
      </c>
      <c r="D607" s="1"/>
      <c r="E607" s="1" t="str" cm="1">
        <f t="array" aca="1" ref="E607" ca="1">INDIRECT(_xlfn.CONCAT("$L", $F607))</f>
        <v>en es fr de it pt ja ko ru 汉语 漢語</v>
      </c>
      <c r="F607" s="1" cm="1">
        <f t="array" aca="1" ref="F607" ca="1">IF(NOT(OR(ISERROR(INDIRECT(_xlfn.CONCAT("$I", $F606 + 1))), ISBLANK(INDIRECT(_xlfn.CONCAT("$I", $F606 + 1))))), $F606 + 1, IF(NOT(ISBLANK(INDIRECT(_xlfn.CONCAT("$I", $F606 + 2)))), $F606 + 2, ""))</f>
        <v>1158</v>
      </c>
    </row>
    <row r="608" spans="1:12" ht="59.25">
      <c r="A608" s="1" t="str" cm="1">
        <f t="array" aca="1" ref="A608" ca="1">INDIRECT(_xlfn.CONCAT("$I", $F608))</f>
        <v>Fate Reforged Promos PFRF</v>
      </c>
      <c r="B608" s="1" cm="1">
        <f t="array" aca="1" ref="B608" ca="1">INDIRECT(_xlfn.CONCAT("$J", $F608))</f>
        <v>43</v>
      </c>
      <c r="C608" s="1" cm="1">
        <f t="array" aca="1" ref="C608" ca="1">INDIRECT(_xlfn.CONCAT("$K", $F608))</f>
        <v>42027</v>
      </c>
      <c r="D608" s="1"/>
      <c r="E608" s="1" t="str" cm="1">
        <f t="array" aca="1" ref="E608" ca="1">INDIRECT(_xlfn.CONCAT("$L", $F608))</f>
        <v>en es fr de it pt ja ko ru 汉语 漢語</v>
      </c>
      <c r="F608" s="1" cm="1">
        <f t="array" aca="1" ref="F608" ca="1">IF(NOT(OR(ISERROR(INDIRECT(_xlfn.CONCAT("$I", $F607 + 1))), ISBLANK(INDIRECT(_xlfn.CONCAT("$I", $F607 + 1))))), $F607 + 1, IF(NOT(ISBLANK(INDIRECT(_xlfn.CONCAT("$I", $F607 + 2)))), $F607 + 2, ""))</f>
        <v>1160</v>
      </c>
      <c r="I608" s="8" t="s">
        <v>479</v>
      </c>
      <c r="J608" s="8">
        <v>540</v>
      </c>
      <c r="K608" s="9">
        <v>44372</v>
      </c>
    </row>
    <row r="609" spans="1:12" ht="59.25">
      <c r="A609" s="1" t="str" cm="1">
        <f t="array" aca="1" ref="A609" ca="1">INDIRECT(_xlfn.CONCAT("$I", $F609))</f>
        <v>Fate Reforged Tokens TFRF</v>
      </c>
      <c r="B609" s="1" cm="1">
        <f t="array" aca="1" ref="B609" ca="1">INDIRECT(_xlfn.CONCAT("$J", $F609))</f>
        <v>4</v>
      </c>
      <c r="C609" s="1" cm="1">
        <f t="array" aca="1" ref="C609" ca="1">INDIRECT(_xlfn.CONCAT("$K", $F609))</f>
        <v>42027</v>
      </c>
      <c r="D609" s="1"/>
      <c r="E609" s="1" t="str" cm="1">
        <f t="array" aca="1" ref="E609" ca="1">INDIRECT(_xlfn.CONCAT("$L", $F609))</f>
        <v>en es fr de it pt ja ko ru 汉语 漢語</v>
      </c>
      <c r="F609" s="1" cm="1">
        <f t="array" aca="1" ref="F609" ca="1">IF(NOT(OR(ISERROR(INDIRECT(_xlfn.CONCAT("$I", $F608 + 1))), ISBLANK(INDIRECT(_xlfn.CONCAT("$I", $F608 + 1))))), $F608 + 1, IF(NOT(ISBLANK(INDIRECT(_xlfn.CONCAT("$I", $F608 + 2)))), $F608 + 2, ""))</f>
        <v>1162</v>
      </c>
    </row>
    <row r="610" spans="1:12" ht="59.25">
      <c r="A610" s="1" t="str" cm="1">
        <f t="array" aca="1" ref="A610" ca="1">INDIRECT(_xlfn.CONCAT("$I", $F610))</f>
        <v>Fate Reforged Clash Pack CP2</v>
      </c>
      <c r="B610" s="1" cm="1">
        <f t="array" aca="1" ref="B610" ca="1">INDIRECT(_xlfn.CONCAT("$J", $F610))</f>
        <v>6</v>
      </c>
      <c r="C610" s="1" cm="1">
        <f t="array" aca="1" ref="C610" ca="1">INDIRECT(_xlfn.CONCAT("$K", $F610))</f>
        <v>42027</v>
      </c>
      <c r="D610" s="1"/>
      <c r="E610" s="1" t="str" cm="1">
        <f t="array" aca="1" ref="E610" ca="1">INDIRECT(_xlfn.CONCAT("$L", $F610))</f>
        <v>en es fr de it pt ja ko ru 汉语 漢語</v>
      </c>
      <c r="F610" s="1" cm="1">
        <f t="array" aca="1" ref="F610" ca="1">IF(NOT(OR(ISERROR(INDIRECT(_xlfn.CONCAT("$I", $F609 + 1))), ISBLANK(INDIRECT(_xlfn.CONCAT("$I", $F609 + 1))))), $F609 + 1, IF(NOT(ISBLANK(INDIRECT(_xlfn.CONCAT("$I", $F609 + 2)))), $F609 + 2, ""))</f>
        <v>1164</v>
      </c>
      <c r="I610" s="8" t="s">
        <v>480</v>
      </c>
      <c r="J610" s="8">
        <v>11</v>
      </c>
      <c r="K610" s="9">
        <v>44369</v>
      </c>
      <c r="L610" t="s">
        <v>174</v>
      </c>
    </row>
    <row r="611" spans="1:12" ht="59.25">
      <c r="A611" s="1" t="str" cm="1">
        <f t="array" aca="1" ref="A611" ca="1">INDIRECT(_xlfn.CONCAT("$I", $F611))</f>
        <v>Ugin's Fate UGIN</v>
      </c>
      <c r="B611" s="1" cm="1">
        <f t="array" aca="1" ref="B611" ca="1">INDIRECT(_xlfn.CONCAT("$J", $F611))</f>
        <v>26</v>
      </c>
      <c r="C611" s="1" cm="1">
        <f t="array" aca="1" ref="C611" ca="1">INDIRECT(_xlfn.CONCAT("$K", $F611))</f>
        <v>42021</v>
      </c>
      <c r="D611" s="1"/>
      <c r="E611" s="1" t="str" cm="1">
        <f t="array" aca="1" ref="E611" ca="1">INDIRECT(_xlfn.CONCAT("$L", $F611))</f>
        <v>en es fr de it pt ja ko ru 汉语 漢語</v>
      </c>
      <c r="F611" s="1" cm="1">
        <f t="array" aca="1" ref="F611" ca="1">IF(NOT(OR(ISERROR(INDIRECT(_xlfn.CONCAT("$I", $F610 + 1))), ISBLANK(INDIRECT(_xlfn.CONCAT("$I", $F610 + 1))))), $F610 + 1, IF(NOT(ISBLANK(INDIRECT(_xlfn.CONCAT("$I", $F610 + 2)))), $F610 + 2, ""))</f>
        <v>1166</v>
      </c>
    </row>
    <row r="612" spans="1:12" ht="59.25">
      <c r="A612" s="1" t="str" cm="1">
        <f t="array" aca="1" ref="A612" ca="1">INDIRECT(_xlfn.CONCAT("$I", $F612))</f>
        <v>League Tokens 2015 L15</v>
      </c>
      <c r="B612" s="1" cm="1">
        <f t="array" aca="1" ref="B612" ca="1">INDIRECT(_xlfn.CONCAT("$J", $F612))</f>
        <v>1</v>
      </c>
      <c r="C612" s="1" cm="1">
        <f t="array" aca="1" ref="C612" ca="1">INDIRECT(_xlfn.CONCAT("$K", $F612))</f>
        <v>42005</v>
      </c>
      <c r="D612" s="1"/>
      <c r="E612" s="1" t="str" cm="1">
        <f t="array" aca="1" ref="E612" ca="1">INDIRECT(_xlfn.CONCAT("$L", $F612))</f>
        <v>en es fr de it pt ja ko ru 汉语 漢語</v>
      </c>
      <c r="F612" s="1" cm="1">
        <f t="array" aca="1" ref="F612" ca="1">IF(NOT(OR(ISERROR(INDIRECT(_xlfn.CONCAT("$I", $F611 + 1))), ISBLANK(INDIRECT(_xlfn.CONCAT("$I", $F611 + 1))))), $F611 + 1, IF(NOT(ISBLANK(INDIRECT(_xlfn.CONCAT("$I", $F611 + 2)))), $F611 + 2, ""))</f>
        <v>1168</v>
      </c>
      <c r="I612" s="8" t="s">
        <v>481</v>
      </c>
      <c r="J612" s="8">
        <v>6</v>
      </c>
      <c r="K612" s="9">
        <v>44365</v>
      </c>
      <c r="L612" s="8" t="s">
        <v>174</v>
      </c>
    </row>
    <row r="613" spans="1:12" ht="59.25">
      <c r="A613" s="1" t="str" cm="1">
        <f t="array" aca="1" ref="A613" ca="1">INDIRECT(_xlfn.CONCAT("$I", $F613))</f>
        <v>Friday Night Magic 2015 F15</v>
      </c>
      <c r="B613" s="1" cm="1">
        <f t="array" aca="1" ref="B613" ca="1">INDIRECT(_xlfn.CONCAT("$J", $F613))</f>
        <v>12</v>
      </c>
      <c r="C613" s="1" cm="1">
        <f t="array" aca="1" ref="C613" ca="1">INDIRECT(_xlfn.CONCAT("$K", $F613))</f>
        <v>42005</v>
      </c>
      <c r="D613" s="1"/>
      <c r="E613" s="1" t="str" cm="1">
        <f t="array" aca="1" ref="E613" ca="1">INDIRECT(_xlfn.CONCAT("$L", $F613))</f>
        <v>en es fr de it pt ja ko ru 汉语 漢語</v>
      </c>
      <c r="F613" s="1" cm="1">
        <f t="array" aca="1" ref="F613" ca="1">IF(NOT(OR(ISERROR(INDIRECT(_xlfn.CONCAT("$I", $F612 + 1))), ISBLANK(INDIRECT(_xlfn.CONCAT("$I", $F612 + 1))))), $F612 + 1, IF(NOT(ISBLANK(INDIRECT(_xlfn.CONCAT("$I", $F612 + 2)))), $F612 + 2, ""))</f>
        <v>1170</v>
      </c>
    </row>
    <row r="614" spans="1:12" ht="59.25">
      <c r="A614" s="1" t="str" cm="1">
        <f t="array" aca="1" ref="A614" ca="1">INDIRECT(_xlfn.CONCAT("$I", $F614))</f>
        <v>Judge Gift Cards 2015 J15</v>
      </c>
      <c r="B614" s="1" cm="1">
        <f t="array" aca="1" ref="B614" ca="1">INDIRECT(_xlfn.CONCAT("$J", $F614))</f>
        <v>8</v>
      </c>
      <c r="C614" s="1" cm="1">
        <f t="array" aca="1" ref="C614" ca="1">INDIRECT(_xlfn.CONCAT("$K", $F614))</f>
        <v>42005</v>
      </c>
      <c r="D614" s="1"/>
      <c r="E614" s="1" t="str" cm="1">
        <f t="array" aca="1" ref="E614" ca="1">INDIRECT(_xlfn.CONCAT("$L", $F614))</f>
        <v>en es fr de it pt ja ko ru 汉语 漢語</v>
      </c>
      <c r="F614" s="1" cm="1">
        <f t="array" aca="1" ref="F614" ca="1">IF(NOT(OR(ISERROR(INDIRECT(_xlfn.CONCAT("$I", $F613 + 1))), ISBLANK(INDIRECT(_xlfn.CONCAT("$I", $F613 + 1))))), $F613 + 1, IF(NOT(ISBLANK(INDIRECT(_xlfn.CONCAT("$I", $F613 + 2)))), $F613 + 2, ""))</f>
        <v>1172</v>
      </c>
      <c r="I614" s="8" t="s">
        <v>1221</v>
      </c>
      <c r="J614" s="8">
        <v>494</v>
      </c>
      <c r="K614" s="9">
        <v>44365</v>
      </c>
      <c r="L614" t="s">
        <v>174</v>
      </c>
    </row>
    <row r="615" spans="1:12" ht="68.25">
      <c r="A615" s="1" t="str" cm="1">
        <f t="array" aca="1" ref="A615" ca="1">INDIRECT(_xlfn.CONCAT("$I", $F615))</f>
        <v>Duel Decks Anthology: Elves vs. Goblins EVG</v>
      </c>
      <c r="B615" s="1" cm="1">
        <f t="array" aca="1" ref="B615" ca="1">INDIRECT(_xlfn.CONCAT("$J", $F615))</f>
        <v>62</v>
      </c>
      <c r="C615" s="1" cm="1">
        <f t="array" aca="1" ref="C615" ca="1">INDIRECT(_xlfn.CONCAT("$K", $F615))</f>
        <v>41978</v>
      </c>
      <c r="D615" s="1"/>
      <c r="E615" s="1" t="str" cm="1">
        <f t="array" aca="1" ref="E615" ca="1">INDIRECT(_xlfn.CONCAT("$L", $F615))</f>
        <v>en es fr de it pt ja ko ru 汉语 漢語</v>
      </c>
      <c r="F615" s="1" cm="1">
        <f t="array" aca="1" ref="F615" ca="1">IF(NOT(OR(ISERROR(INDIRECT(_xlfn.CONCAT("$I", $F614 + 1))), ISBLANK(INDIRECT(_xlfn.CONCAT("$I", $F614 + 1))))), $F614 + 1, IF(NOT(ISBLANK(INDIRECT(_xlfn.CONCAT("$I", $F614 + 2)))), $F614 + 2, ""))</f>
        <v>1174</v>
      </c>
    </row>
    <row r="616" spans="1:12" ht="81">
      <c r="A616" s="1" t="str" cm="1">
        <f t="array" aca="1" ref="A616" ca="1">INDIRECT(_xlfn.CONCAT("$I", $F616))</f>
        <v>Duel Decks Anthology: Elves vs. Goblins Tokens TEVG</v>
      </c>
      <c r="B616" s="1" cm="1">
        <f t="array" aca="1" ref="B616" ca="1">INDIRECT(_xlfn.CONCAT("$J", $F616))</f>
        <v>3</v>
      </c>
      <c r="C616" s="1" cm="1">
        <f t="array" aca="1" ref="C616" ca="1">INDIRECT(_xlfn.CONCAT("$K", $F616))</f>
        <v>41978</v>
      </c>
      <c r="D616" s="1"/>
      <c r="E616" s="1" t="str" cm="1">
        <f t="array" aca="1" ref="E616" ca="1">INDIRECT(_xlfn.CONCAT("$L", $F616))</f>
        <v>en es fr de it pt ja ko ru 汉语 漢語</v>
      </c>
      <c r="F616" s="1" cm="1">
        <f t="array" aca="1" ref="F616" ca="1">IF(NOT(OR(ISERROR(INDIRECT(_xlfn.CONCAT("$I", $F615 + 1))), ISBLANK(INDIRECT(_xlfn.CONCAT("$I", $F615 + 1))))), $F615 + 1, IF(NOT(ISBLANK(INDIRECT(_xlfn.CONCAT("$I", $F615 + 2)))), $F615 + 2, ""))</f>
        <v>1176</v>
      </c>
      <c r="I616" s="8" t="s">
        <v>482</v>
      </c>
      <c r="J616" s="8">
        <v>86</v>
      </c>
      <c r="K616" s="9">
        <v>44365</v>
      </c>
      <c r="L616" s="8" t="s">
        <v>174</v>
      </c>
    </row>
    <row r="617" spans="1:12" ht="59.25">
      <c r="A617" s="1" t="str" cm="1">
        <f t="array" aca="1" ref="A617" ca="1">INDIRECT(_xlfn.CONCAT("$I", $F617))</f>
        <v>Duel Decks Anthology: Garruk vs. Liliana GVL</v>
      </c>
      <c r="B617" s="1" cm="1">
        <f t="array" aca="1" ref="B617" ca="1">INDIRECT(_xlfn.CONCAT("$J", $F617))</f>
        <v>63</v>
      </c>
      <c r="C617" s="1" cm="1">
        <f t="array" aca="1" ref="C617" ca="1">INDIRECT(_xlfn.CONCAT("$K", $F617))</f>
        <v>41978</v>
      </c>
      <c r="D617" s="1"/>
      <c r="E617" s="1" t="str" cm="1">
        <f t="array" aca="1" ref="E617" ca="1">INDIRECT(_xlfn.CONCAT("$L", $F617))</f>
        <v>en es fr de it pt ja ko ru 汉语 漢語</v>
      </c>
      <c r="F617" s="1" cm="1">
        <f t="array" aca="1" ref="F617" ca="1">IF(NOT(OR(ISERROR(INDIRECT(_xlfn.CONCAT("$I", $F616 + 1))), ISBLANK(INDIRECT(_xlfn.CONCAT("$I", $F616 + 1))))), $F616 + 1, IF(NOT(ISBLANK(INDIRECT(_xlfn.CONCAT("$I", $F616 + 2)))), $F616 + 2, ""))</f>
        <v>1178</v>
      </c>
    </row>
    <row r="618" spans="1:12" ht="81">
      <c r="A618" s="1" t="str" cm="1">
        <f t="array" aca="1" ref="A618" ca="1">INDIRECT(_xlfn.CONCAT("$I", $F618))</f>
        <v>Duel Decks Anthology: Garruk vs. Liliana Tokens TGVL</v>
      </c>
      <c r="B618" s="1" cm="1">
        <f t="array" aca="1" ref="B618" ca="1">INDIRECT(_xlfn.CONCAT("$J", $F618))</f>
        <v>4</v>
      </c>
      <c r="C618" s="1" cm="1">
        <f t="array" aca="1" ref="C618" ca="1">INDIRECT(_xlfn.CONCAT("$K", $F618))</f>
        <v>41978</v>
      </c>
      <c r="D618" s="1"/>
      <c r="E618" s="1" t="str" cm="1">
        <f t="array" aca="1" ref="E618" ca="1">INDIRECT(_xlfn.CONCAT("$L", $F618))</f>
        <v>en es fr de it pt ja ko ru 汉语 漢語</v>
      </c>
      <c r="F618" s="1" cm="1">
        <f t="array" aca="1" ref="F618" ca="1">IF(NOT(OR(ISERROR(INDIRECT(_xlfn.CONCAT("$I", $F617 + 1))), ISBLANK(INDIRECT(_xlfn.CONCAT("$I", $F617 + 1))))), $F617 + 1, IF(NOT(ISBLANK(INDIRECT(_xlfn.CONCAT("$I", $F617 + 2)))), $F617 + 2, ""))</f>
        <v>1180</v>
      </c>
      <c r="I618" s="8" t="s">
        <v>483</v>
      </c>
      <c r="J618" s="8">
        <v>21</v>
      </c>
      <c r="K618" s="9">
        <v>44365</v>
      </c>
      <c r="L618" s="8" t="s">
        <v>174</v>
      </c>
    </row>
    <row r="619" spans="1:12" ht="68.25">
      <c r="A619" s="1" t="str" cm="1">
        <f t="array" aca="1" ref="A619" ca="1">INDIRECT(_xlfn.CONCAT("$I", $F619))</f>
        <v>Duel Decks Anthology: Jace vs. Chandra JVC</v>
      </c>
      <c r="B619" s="1" cm="1">
        <f t="array" aca="1" ref="B619" ca="1">INDIRECT(_xlfn.CONCAT("$J", $F619))</f>
        <v>62</v>
      </c>
      <c r="C619" s="1" cm="1">
        <f t="array" aca="1" ref="C619" ca="1">INDIRECT(_xlfn.CONCAT("$K", $F619))</f>
        <v>41978</v>
      </c>
      <c r="D619" s="1"/>
      <c r="E619" s="1" t="str" cm="1">
        <f t="array" aca="1" ref="E619" ca="1">INDIRECT(_xlfn.CONCAT("$L", $F619))</f>
        <v>en es fr de it pt ja ko ru 汉语 漢語</v>
      </c>
      <c r="F619" s="1" cm="1">
        <f t="array" aca="1" ref="F619" ca="1">IF(NOT(OR(ISERROR(INDIRECT(_xlfn.CONCAT("$I", $F618 + 1))), ISBLANK(INDIRECT(_xlfn.CONCAT("$I", $F618 + 1))))), $F618 + 1, IF(NOT(ISBLANK(INDIRECT(_xlfn.CONCAT("$I", $F618 + 2)))), $F618 + 2, ""))</f>
        <v>1182</v>
      </c>
    </row>
    <row r="620" spans="1:12" ht="81">
      <c r="A620" s="1" t="str" cm="1">
        <f t="array" aca="1" ref="A620" ca="1">INDIRECT(_xlfn.CONCAT("$I", $F620))</f>
        <v>Duel Decks Anthology: Jace vs. Chandra Tokens TJVC</v>
      </c>
      <c r="B620" s="1" cm="1">
        <f t="array" aca="1" ref="B620" ca="1">INDIRECT(_xlfn.CONCAT("$J", $F620))</f>
        <v>1</v>
      </c>
      <c r="C620" s="1" cm="1">
        <f t="array" aca="1" ref="C620" ca="1">INDIRECT(_xlfn.CONCAT("$K", $F620))</f>
        <v>41978</v>
      </c>
      <c r="D620" s="1"/>
      <c r="E620" s="1" t="str" cm="1">
        <f t="array" aca="1" ref="E620" ca="1">INDIRECT(_xlfn.CONCAT("$L", $F620))</f>
        <v>en es fr de it pt ja ko ru 汉语 漢語</v>
      </c>
      <c r="F620" s="1" cm="1">
        <f t="array" aca="1" ref="F620" ca="1">IF(NOT(OR(ISERROR(INDIRECT(_xlfn.CONCAT("$I", $F619 + 1))), ISBLANK(INDIRECT(_xlfn.CONCAT("$I", $F619 + 1))))), $F619 + 1, IF(NOT(ISBLANK(INDIRECT(_xlfn.CONCAT("$I", $F619 + 2)))), $F619 + 2, ""))</f>
        <v>1184</v>
      </c>
      <c r="I620" s="8" t="s">
        <v>484</v>
      </c>
      <c r="J620" s="8">
        <v>162</v>
      </c>
      <c r="K620" s="9">
        <v>44365</v>
      </c>
      <c r="L620" s="8" t="s">
        <v>174</v>
      </c>
    </row>
    <row r="621" spans="1:12" ht="68.25">
      <c r="A621" s="1" t="str" cm="1">
        <f t="array" aca="1" ref="A621" ca="1">INDIRECT(_xlfn.CONCAT("$I", $F621))</f>
        <v>Duel Decks Anthology: Divine vs. Demonic DVD</v>
      </c>
      <c r="B621" s="1" cm="1">
        <f t="array" aca="1" ref="B621" ca="1">INDIRECT(_xlfn.CONCAT("$J", $F621))</f>
        <v>62</v>
      </c>
      <c r="C621" s="1" cm="1">
        <f t="array" aca="1" ref="C621" ca="1">INDIRECT(_xlfn.CONCAT("$K", $F621))</f>
        <v>41978</v>
      </c>
      <c r="D621" s="1"/>
      <c r="E621" s="1" t="str" cm="1">
        <f t="array" aca="1" ref="E621" ca="1">INDIRECT(_xlfn.CONCAT("$L", $F621))</f>
        <v>en es fr de it pt ja ko ru 汉语 漢語</v>
      </c>
      <c r="F621" s="1" cm="1">
        <f t="array" aca="1" ref="F621" ca="1">IF(NOT(OR(ISERROR(INDIRECT(_xlfn.CONCAT("$I", $F620 + 1))), ISBLANK(INDIRECT(_xlfn.CONCAT("$I", $F620 + 1))))), $F620 + 1, IF(NOT(ISBLANK(INDIRECT(_xlfn.CONCAT("$I", $F620 + 2)))), $F620 + 2, ""))</f>
        <v>1186</v>
      </c>
    </row>
    <row r="622" spans="1:12" ht="81">
      <c r="A622" s="1" t="str" cm="1">
        <f t="array" aca="1" ref="A622" ca="1">INDIRECT(_xlfn.CONCAT("$I", $F622))</f>
        <v>Duel Decks Anthology: Divine vs. Demonic Tokens TDVD</v>
      </c>
      <c r="B622" s="1" cm="1">
        <f t="array" aca="1" ref="B622" ca="1">INDIRECT(_xlfn.CONCAT("$J", $F622))</f>
        <v>3</v>
      </c>
      <c r="C622" s="1" cm="1">
        <f t="array" aca="1" ref="C622" ca="1">INDIRECT(_xlfn.CONCAT("$K", $F622))</f>
        <v>41978</v>
      </c>
      <c r="D622" s="1"/>
      <c r="E622" s="1" t="str" cm="1">
        <f t="array" aca="1" ref="E622" ca="1">INDIRECT(_xlfn.CONCAT("$L", $F622))</f>
        <v>en es fr de it pt ja ko ru 汉语 漢語</v>
      </c>
      <c r="F622" s="1" cm="1">
        <f t="array" aca="1" ref="F622" ca="1">IF(NOT(OR(ISERROR(INDIRECT(_xlfn.CONCAT("$I", $F621 + 1))), ISBLANK(INDIRECT(_xlfn.CONCAT("$I", $F621 + 1))))), $F621 + 1, IF(NOT(ISBLANK(INDIRECT(_xlfn.CONCAT("$I", $F621 + 2)))), $F621 + 2, ""))</f>
        <v>1188</v>
      </c>
      <c r="I622" s="8" t="s">
        <v>485</v>
      </c>
      <c r="J622" s="8">
        <v>5</v>
      </c>
      <c r="K622" s="9">
        <v>44365</v>
      </c>
      <c r="L622" s="8" t="s">
        <v>174</v>
      </c>
    </row>
    <row r="623" spans="1:12" ht="59.25">
      <c r="A623" s="1" t="str" cm="1">
        <f t="array" aca="1" ref="A623" ca="1">INDIRECT(_xlfn.CONCAT("$I", $F623))</f>
        <v>Commander 2014 C14</v>
      </c>
      <c r="B623" s="1" cm="1">
        <f t="array" aca="1" ref="B623" ca="1">INDIRECT(_xlfn.CONCAT("$J", $F623))</f>
        <v>337</v>
      </c>
      <c r="C623" s="1" cm="1">
        <f t="array" aca="1" ref="C623" ca="1">INDIRECT(_xlfn.CONCAT("$K", $F623))</f>
        <v>41950</v>
      </c>
      <c r="D623" s="1"/>
      <c r="E623" s="1" t="str" cm="1">
        <f t="array" aca="1" ref="E623" ca="1">INDIRECT(_xlfn.CONCAT("$L", $F623))</f>
        <v>en es fr de it pt ja ko ru 汉语 漢語</v>
      </c>
      <c r="F623" s="1" cm="1">
        <f t="array" aca="1" ref="F623" ca="1">IF(NOT(OR(ISERROR(INDIRECT(_xlfn.CONCAT("$I", $F622 + 1))), ISBLANK(INDIRECT(_xlfn.CONCAT("$I", $F622 + 1))))), $F622 + 1, IF(NOT(ISBLANK(INDIRECT(_xlfn.CONCAT("$I", $F622 + 2)))), $F622 + 2, ""))</f>
        <v>1190</v>
      </c>
    </row>
    <row r="624" spans="1:12" ht="59.25">
      <c r="A624" s="1" t="str" cm="1">
        <f t="array" aca="1" ref="A624" ca="1">INDIRECT(_xlfn.CONCAT("$I", $F624))</f>
        <v>Commander 2014 Tokens TC14</v>
      </c>
      <c r="B624" s="1" cm="1">
        <f t="array" aca="1" ref="B624" ca="1">INDIRECT(_xlfn.CONCAT("$J", $F624))</f>
        <v>36</v>
      </c>
      <c r="C624" s="1" cm="1">
        <f t="array" aca="1" ref="C624" ca="1">INDIRECT(_xlfn.CONCAT("$K", $F624))</f>
        <v>41950</v>
      </c>
      <c r="D624" s="1"/>
      <c r="E624" s="1" t="str" cm="1">
        <f t="array" aca="1" ref="E624" ca="1">INDIRECT(_xlfn.CONCAT("$L", $F624))</f>
        <v>en es fr de it pt ja ko ru 汉语 漢語</v>
      </c>
      <c r="F624" s="1" cm="1">
        <f t="array" aca="1" ref="F624" ca="1">IF(NOT(OR(ISERROR(INDIRECT(_xlfn.CONCAT("$I", $F623 + 1))), ISBLANK(INDIRECT(_xlfn.CONCAT("$I", $F623 + 1))))), $F623 + 1, IF(NOT(ISBLANK(INDIRECT(_xlfn.CONCAT("$I", $F623 + 2)))), $F623 + 2, ""))</f>
        <v>1192</v>
      </c>
      <c r="I624" s="8" t="s">
        <v>486</v>
      </c>
      <c r="J624" s="8">
        <v>40</v>
      </c>
      <c r="K624" s="9">
        <v>44365</v>
      </c>
      <c r="L624" s="8" t="s">
        <v>174</v>
      </c>
    </row>
    <row r="625" spans="1:12" ht="59.25">
      <c r="A625" s="1" t="str" cm="1">
        <f t="array" aca="1" ref="A625" ca="1">INDIRECT(_xlfn.CONCAT("$I", $F625))</f>
        <v>Commander 2014 Oversized OC14</v>
      </c>
      <c r="B625" s="1" cm="1">
        <f t="array" aca="1" ref="B625" ca="1">INDIRECT(_xlfn.CONCAT("$J", $F625))</f>
        <v>5</v>
      </c>
      <c r="C625" s="1" cm="1">
        <f t="array" aca="1" ref="C625" ca="1">INDIRECT(_xlfn.CONCAT("$K", $F625))</f>
        <v>41950</v>
      </c>
      <c r="D625" s="1"/>
      <c r="E625" s="1" t="str" cm="1">
        <f t="array" aca="1" ref="E625" ca="1">INDIRECT(_xlfn.CONCAT("$L", $F625))</f>
        <v>en es fr de it pt ja ko ru 汉语 漢語</v>
      </c>
      <c r="F625" s="1" cm="1">
        <f t="array" aca="1" ref="F625" ca="1">IF(NOT(OR(ISERROR(INDIRECT(_xlfn.CONCAT("$I", $F624 + 1))), ISBLANK(INDIRECT(_xlfn.CONCAT("$I", $F624 + 1))))), $F624 + 1, IF(NOT(ISBLANK(INDIRECT(_xlfn.CONCAT("$I", $F624 + 2)))), $F624 + 2, ""))</f>
        <v>1194</v>
      </c>
    </row>
    <row r="626" spans="1:12" ht="59.25">
      <c r="A626" s="1" t="str" cm="1">
        <f t="array" aca="1" ref="A626" ca="1">INDIRECT(_xlfn.CONCAT("$I", $F626))</f>
        <v>Khans of Tarkir KTK</v>
      </c>
      <c r="B626" s="1" cm="1">
        <f t="array" aca="1" ref="B626" ca="1">INDIRECT(_xlfn.CONCAT("$J", $F626))</f>
        <v>293</v>
      </c>
      <c r="C626" s="1" cm="1">
        <f t="array" aca="1" ref="C626" ca="1">INDIRECT(_xlfn.CONCAT("$K", $F626))</f>
        <v>41908</v>
      </c>
      <c r="D626" s="1"/>
      <c r="E626" s="1" t="str" cm="1">
        <f t="array" aca="1" ref="E626" ca="1">INDIRECT(_xlfn.CONCAT("$L", $F626))</f>
        <v>en es fr de it pt ja ko ru 汉语 漢語</v>
      </c>
      <c r="F626" s="1" cm="1">
        <f t="array" aca="1" ref="F626" ca="1">IF(NOT(OR(ISERROR(INDIRECT(_xlfn.CONCAT("$I", $F625 + 1))), ISBLANK(INDIRECT(_xlfn.CONCAT("$I", $F625 + 1))))), $F625 + 1, IF(NOT(ISBLANK(INDIRECT(_xlfn.CONCAT("$I", $F625 + 2)))), $F625 + 2, ""))</f>
        <v>1196</v>
      </c>
      <c r="I626" s="8" t="s">
        <v>487</v>
      </c>
      <c r="J626" s="8">
        <v>25</v>
      </c>
      <c r="K626" s="9">
        <v>44343</v>
      </c>
      <c r="L626" s="8" t="s">
        <v>174</v>
      </c>
    </row>
    <row r="627" spans="1:12" ht="59.25">
      <c r="A627" s="1" t="str" cm="1">
        <f t="array" aca="1" ref="A627" ca="1">INDIRECT(_xlfn.CONCAT("$I", $F627))</f>
        <v>Khans of Tarkir Promos PKTK</v>
      </c>
      <c r="B627" s="1" cm="1">
        <f t="array" aca="1" ref="B627" ca="1">INDIRECT(_xlfn.CONCAT("$J", $F627))</f>
        <v>56</v>
      </c>
      <c r="C627" s="1" cm="1">
        <f t="array" aca="1" ref="C627" ca="1">INDIRECT(_xlfn.CONCAT("$K", $F627))</f>
        <v>41908</v>
      </c>
      <c r="D627" s="1"/>
      <c r="E627" s="1" t="str" cm="1">
        <f t="array" aca="1" ref="E627" ca="1">INDIRECT(_xlfn.CONCAT("$L", $F627))</f>
        <v>en es fr de it pt ja ko ru 汉语 漢語</v>
      </c>
      <c r="F627" s="1" cm="1">
        <f t="array" aca="1" ref="F627" ca="1">IF(NOT(OR(ISERROR(INDIRECT(_xlfn.CONCAT("$I", $F626 + 1))), ISBLANK(INDIRECT(_xlfn.CONCAT("$I", $F626 + 1))))), $F626 + 1, IF(NOT(ISBLANK(INDIRECT(_xlfn.CONCAT("$I", $F626 + 2)))), $F626 + 2, ""))</f>
        <v>1198</v>
      </c>
    </row>
    <row r="628" spans="1:12" ht="59.25">
      <c r="A628" s="1" t="str" cm="1">
        <f t="array" aca="1" ref="A628" ca="1">INDIRECT(_xlfn.CONCAT("$I", $F628))</f>
        <v>Khans of Tarkir Tokens TKTK</v>
      </c>
      <c r="B628" s="1" cm="1">
        <f t="array" aca="1" ref="B628" ca="1">INDIRECT(_xlfn.CONCAT("$J", $F628))</f>
        <v>13</v>
      </c>
      <c r="C628" s="1" cm="1">
        <f t="array" aca="1" ref="C628" ca="1">INDIRECT(_xlfn.CONCAT("$K", $F628))</f>
        <v>41908</v>
      </c>
      <c r="D628" s="1"/>
      <c r="E628" s="1" t="str" cm="1">
        <f t="array" aca="1" ref="E628" ca="1">INDIRECT(_xlfn.CONCAT("$L", $F628))</f>
        <v>en es fr de it pt ja ko ru 汉语 漢語</v>
      </c>
      <c r="F628" s="1" cm="1">
        <f t="array" aca="1" ref="F628" ca="1">IF(NOT(OR(ISERROR(INDIRECT(_xlfn.CONCAT("$I", $F627 + 1))), ISBLANK(INDIRECT(_xlfn.CONCAT("$I", $F627 + 1))))), $F627 + 1, IF(NOT(ISBLANK(INDIRECT(_xlfn.CONCAT("$I", $F627 + 2)))), $F627 + 2, ""))</f>
        <v>1200</v>
      </c>
      <c r="I628" s="8" t="s">
        <v>1255</v>
      </c>
      <c r="J628" s="8">
        <v>393</v>
      </c>
      <c r="K628" s="9">
        <v>44309</v>
      </c>
      <c r="L628" t="s">
        <v>174</v>
      </c>
    </row>
    <row r="629" spans="1:12" ht="68.25">
      <c r="A629" s="1" t="str" cm="1">
        <f t="array" aca="1" ref="A629" ca="1">INDIRECT(_xlfn.CONCAT("$I", $F629))</f>
        <v>Duel Decks: Speed vs. Cunning DDN</v>
      </c>
      <c r="B629" s="1" cm="1">
        <f t="array" aca="1" ref="B629" ca="1">INDIRECT(_xlfn.CONCAT("$J", $F629))</f>
        <v>82</v>
      </c>
      <c r="C629" s="1" cm="1">
        <f t="array" aca="1" ref="C629" ca="1">INDIRECT(_xlfn.CONCAT("$K", $F629))</f>
        <v>41887</v>
      </c>
      <c r="D629" s="1"/>
      <c r="E629" s="1" t="str" cm="1">
        <f t="array" aca="1" ref="E629" ca="1">INDIRECT(_xlfn.CONCAT("$L", $F629))</f>
        <v>en es fr de it pt ja ko ru 汉语 漢語</v>
      </c>
      <c r="F629" s="1" cm="1">
        <f t="array" aca="1" ref="F629" ca="1">IF(NOT(OR(ISERROR(INDIRECT(_xlfn.CONCAT("$I", $F628 + 1))), ISBLANK(INDIRECT(_xlfn.CONCAT("$I", $F628 + 1))))), $F628 + 1, IF(NOT(ISBLANK(INDIRECT(_xlfn.CONCAT("$I", $F628 + 2)))), $F628 + 2, ""))</f>
        <v>1202</v>
      </c>
    </row>
    <row r="630" spans="1:12" ht="59.25">
      <c r="A630" s="1" t="str" cm="1">
        <f t="array" aca="1" ref="A630" ca="1">INDIRECT(_xlfn.CONCAT("$I", $F630))</f>
        <v>From the Vault: Annihilation V14</v>
      </c>
      <c r="B630" s="1" cm="1">
        <f t="array" aca="1" ref="B630" ca="1">INDIRECT(_xlfn.CONCAT("$J", $F630))</f>
        <v>15</v>
      </c>
      <c r="C630" s="1" cm="1">
        <f t="array" aca="1" ref="C630" ca="1">INDIRECT(_xlfn.CONCAT("$K", $F630))</f>
        <v>41873</v>
      </c>
      <c r="D630" s="1"/>
      <c r="E630" s="1" t="str" cm="1">
        <f t="array" aca="1" ref="E630" ca="1">INDIRECT(_xlfn.CONCAT("$L", $F630))</f>
        <v>en es fr de it pt ja ko ru 汉语 漢語</v>
      </c>
      <c r="F630" s="1" cm="1">
        <f t="array" aca="1" ref="F630" ca="1">IF(NOT(OR(ISERROR(INDIRECT(_xlfn.CONCAT("$I", $F629 + 1))), ISBLANK(INDIRECT(_xlfn.CONCAT("$I", $F629 + 1))))), $F629 + 1, IF(NOT(ISBLANK(INDIRECT(_xlfn.CONCAT("$I", $F629 + 2)))), $F629 + 2, ""))</f>
        <v>1204</v>
      </c>
      <c r="I630" s="8" t="s">
        <v>488</v>
      </c>
      <c r="J630" s="8">
        <v>126</v>
      </c>
      <c r="K630" s="9">
        <v>44309</v>
      </c>
      <c r="L630" t="s">
        <v>174</v>
      </c>
    </row>
    <row r="631" spans="1:12" ht="59.25">
      <c r="A631" s="1" t="str" cm="1">
        <f t="array" aca="1" ref="A631" ca="1">INDIRECT(_xlfn.CONCAT("$I", $F631))</f>
        <v>Magic 2015 M15</v>
      </c>
      <c r="B631" s="1" cm="1">
        <f t="array" aca="1" ref="B631" ca="1">INDIRECT(_xlfn.CONCAT("$J", $F631))</f>
        <v>284</v>
      </c>
      <c r="C631" s="1" cm="1">
        <f t="array" aca="1" ref="C631" ca="1">INDIRECT(_xlfn.CONCAT("$K", $F631))</f>
        <v>41838</v>
      </c>
      <c r="D631" s="1"/>
      <c r="E631" s="1" t="str" cm="1">
        <f t="array" aca="1" ref="E631" ca="1">INDIRECT(_xlfn.CONCAT("$L", $F631))</f>
        <v>en es fr de it pt ja ko ru 汉语 漢語</v>
      </c>
      <c r="F631" s="1" cm="1">
        <f t="array" aca="1" ref="F631" ca="1">IF(NOT(OR(ISERROR(INDIRECT(_xlfn.CONCAT("$I", $F630 + 1))), ISBLANK(INDIRECT(_xlfn.CONCAT("$I", $F630 + 1))))), $F630 + 1, IF(NOT(ISBLANK(INDIRECT(_xlfn.CONCAT("$I", $F630 + 2)))), $F630 + 2, ""))</f>
        <v>1206</v>
      </c>
    </row>
    <row r="632" spans="1:12" ht="59.25">
      <c r="A632" s="1" t="str" cm="1">
        <f t="array" aca="1" ref="A632" ca="1">INDIRECT(_xlfn.CONCAT("$I", $F632))</f>
        <v>Magic 2015 Promos PM15</v>
      </c>
      <c r="B632" s="1" cm="1">
        <f t="array" aca="1" ref="B632" ca="1">INDIRECT(_xlfn.CONCAT("$J", $F632))</f>
        <v>14</v>
      </c>
      <c r="C632" s="1" cm="1">
        <f t="array" aca="1" ref="C632" ca="1">INDIRECT(_xlfn.CONCAT("$K", $F632))</f>
        <v>41837</v>
      </c>
      <c r="D632" s="1"/>
      <c r="E632" s="1" t="str" cm="1">
        <f t="array" aca="1" ref="E632" ca="1">INDIRECT(_xlfn.CONCAT("$L", $F632))</f>
        <v>en es fr de it pt ja ko ru 汉语 漢語</v>
      </c>
      <c r="F632" s="1" cm="1">
        <f t="array" aca="1" ref="F632" ca="1">IF(NOT(OR(ISERROR(INDIRECT(_xlfn.CONCAT("$I", $F631 + 1))), ISBLANK(INDIRECT(_xlfn.CONCAT("$I", $F631 + 1))))), $F631 + 1, IF(NOT(ISBLANK(INDIRECT(_xlfn.CONCAT("$I", $F631 + 2)))), $F631 + 2, ""))</f>
        <v>1208</v>
      </c>
      <c r="I632" s="8" t="s">
        <v>489</v>
      </c>
      <c r="J632" s="8">
        <v>164</v>
      </c>
      <c r="K632" s="9">
        <v>44309</v>
      </c>
      <c r="L632" s="8" t="s">
        <v>174</v>
      </c>
    </row>
    <row r="633" spans="1:12" ht="59.25">
      <c r="A633" s="1" t="str" cm="1">
        <f t="array" aca="1" ref="A633" ca="1">INDIRECT(_xlfn.CONCAT("$I", $F633))</f>
        <v>Magic 2015 Tokens TM15</v>
      </c>
      <c r="B633" s="1" cm="1">
        <f t="array" aca="1" ref="B633" ca="1">INDIRECT(_xlfn.CONCAT("$J", $F633))</f>
        <v>14</v>
      </c>
      <c r="C633" s="1" cm="1">
        <f t="array" aca="1" ref="C633" ca="1">INDIRECT(_xlfn.CONCAT("$K", $F633))</f>
        <v>41838</v>
      </c>
      <c r="D633" s="1"/>
      <c r="E633" s="1" t="str" cm="1">
        <f t="array" aca="1" ref="E633" ca="1">INDIRECT(_xlfn.CONCAT("$L", $F633))</f>
        <v>en es fr de it pt ja ko ru 汉语 漢語</v>
      </c>
      <c r="F633" s="1" cm="1">
        <f t="array" aca="1" ref="F633" ca="1">IF(NOT(OR(ISERROR(INDIRECT(_xlfn.CONCAT("$I", $F632 + 1))), ISBLANK(INDIRECT(_xlfn.CONCAT("$I", $F632 + 1))))), $F632 + 1, IF(NOT(ISBLANK(INDIRECT(_xlfn.CONCAT("$I", $F632 + 2)))), $F632 + 2, ""))</f>
        <v>1210</v>
      </c>
    </row>
    <row r="634" spans="1:12" ht="59.25">
      <c r="A634" s="1" t="str" cm="1">
        <f t="array" aca="1" ref="A634" ca="1">INDIRECT(_xlfn.CONCAT("$I", $F634))</f>
        <v>Magic 2015 Clash Pack CP1</v>
      </c>
      <c r="B634" s="1" cm="1">
        <f t="array" aca="1" ref="B634" ca="1">INDIRECT(_xlfn.CONCAT("$J", $F634))</f>
        <v>6</v>
      </c>
      <c r="C634" s="1" cm="1">
        <f t="array" aca="1" ref="C634" ca="1">INDIRECT(_xlfn.CONCAT("$K", $F634))</f>
        <v>41838</v>
      </c>
      <c r="D634" s="1"/>
      <c r="E634" s="1" t="str" cm="1">
        <f t="array" aca="1" ref="E634" ca="1">INDIRECT(_xlfn.CONCAT("$L", $F634))</f>
        <v>en es fr de it pt ja ko ru 汉语 漢語</v>
      </c>
      <c r="F634" s="1" cm="1">
        <f t="array" aca="1" ref="F634" ca="1">IF(NOT(OR(ISERROR(INDIRECT(_xlfn.CONCAT("$I", $F633 + 1))), ISBLANK(INDIRECT(_xlfn.CONCAT("$I", $F633 + 1))))), $F633 + 1, IF(NOT(ISBLANK(INDIRECT(_xlfn.CONCAT("$I", $F633 + 2)))), $F633 + 2, ""))</f>
        <v>1212</v>
      </c>
      <c r="I634" s="8" t="s">
        <v>490</v>
      </c>
      <c r="J634" s="8">
        <v>9</v>
      </c>
      <c r="K634" s="9">
        <v>44309</v>
      </c>
      <c r="L634" s="8" t="s">
        <v>174</v>
      </c>
    </row>
    <row r="635" spans="1:12" ht="59.25">
      <c r="A635" s="1" t="str" cm="1">
        <f t="array" aca="1" ref="A635" ca="1">INDIRECT(_xlfn.CONCAT("$I", $F635))</f>
        <v>M15 Prerelease Challenge PPC1</v>
      </c>
      <c r="B635" s="1" cm="1">
        <f t="array" aca="1" ref="B635" ca="1">INDIRECT(_xlfn.CONCAT("$J", $F635))</f>
        <v>2</v>
      </c>
      <c r="C635" s="1" cm="1">
        <f t="array" aca="1" ref="C635" ca="1">INDIRECT(_xlfn.CONCAT("$K", $F635))</f>
        <v>41832</v>
      </c>
      <c r="D635" s="1"/>
      <c r="E635" s="1" t="str" cm="1">
        <f t="array" aca="1" ref="E635" ca="1">INDIRECT(_xlfn.CONCAT("$L", $F635))</f>
        <v>en es fr de it pt ja ko ru 汉语 漢語</v>
      </c>
      <c r="F635" s="1" cm="1">
        <f t="array" aca="1" ref="F635" ca="1">IF(NOT(OR(ISERROR(INDIRECT(_xlfn.CONCAT("$I", $F634 + 1))), ISBLANK(INDIRECT(_xlfn.CONCAT("$I", $F634 + 1))))), $F634 + 1, IF(NOT(ISBLANK(INDIRECT(_xlfn.CONCAT("$I", $F634 + 2)))), $F634 + 2, ""))</f>
        <v>1214</v>
      </c>
    </row>
    <row r="636" spans="1:12" ht="81">
      <c r="A636" s="1" t="str" cm="1">
        <f t="array" aca="1" ref="A636" ca="1">INDIRECT(_xlfn.CONCAT("$I", $F636))</f>
        <v>Duels of the Planeswalkers 2015 Promos PDP15</v>
      </c>
      <c r="B636" s="1" cm="1">
        <f t="array" aca="1" ref="B636" ca="1">INDIRECT(_xlfn.CONCAT("$J", $F636))</f>
        <v>2</v>
      </c>
      <c r="C636" s="1" cm="1">
        <f t="array" aca="1" ref="C636" ca="1">INDIRECT(_xlfn.CONCAT("$K", $F636))</f>
        <v>41829</v>
      </c>
      <c r="D636" s="1"/>
      <c r="E636" s="1" t="str" cm="1">
        <f t="array" aca="1" ref="E636" ca="1">INDIRECT(_xlfn.CONCAT("$L", $F636))</f>
        <v>en es fr de it pt ja ko ru 汉语 漢語</v>
      </c>
      <c r="F636" s="1" cm="1">
        <f t="array" aca="1" ref="F636" ca="1">IF(NOT(OR(ISERROR(INDIRECT(_xlfn.CONCAT("$I", $F635 + 1))), ISBLANK(INDIRECT(_xlfn.CONCAT("$I", $F635 + 1))))), $F635 + 1, IF(NOT(ISBLANK(INDIRECT(_xlfn.CONCAT("$I", $F635 + 2)))), $F635 + 2, ""))</f>
        <v>1216</v>
      </c>
      <c r="I636" s="8" t="s">
        <v>491</v>
      </c>
      <c r="J636" s="8">
        <v>9</v>
      </c>
      <c r="K636" s="9">
        <v>44309</v>
      </c>
      <c r="L636" s="8" t="s">
        <v>174</v>
      </c>
    </row>
    <row r="637" spans="1:12" ht="59.25">
      <c r="A637" s="1" t="str" cm="1">
        <f t="array" aca="1" ref="A637" ca="1">INDIRECT(_xlfn.CONCAT("$I", $F637))</f>
        <v>San Diego Comic-Con 2014 PS14</v>
      </c>
      <c r="B637" s="1" cm="1">
        <f t="array" aca="1" ref="B637" ca="1">INDIRECT(_xlfn.CONCAT("$J", $F637))</f>
        <v>6</v>
      </c>
      <c r="C637" s="1" cm="1">
        <f t="array" aca="1" ref="C637" ca="1">INDIRECT(_xlfn.CONCAT("$K", $F637))</f>
        <v>41828</v>
      </c>
      <c r="D637" s="1"/>
      <c r="E637" s="1" t="str" cm="1">
        <f t="array" aca="1" ref="E637" ca="1">INDIRECT(_xlfn.CONCAT("$L", $F637))</f>
        <v>en es fr de it pt ja ko ru 汉语 漢語</v>
      </c>
      <c r="F637" s="1" cm="1">
        <f t="array" aca="1" ref="F637" ca="1">IF(NOT(OR(ISERROR(INDIRECT(_xlfn.CONCAT("$I", $F636 + 1))), ISBLANK(INDIRECT(_xlfn.CONCAT("$I", $F636 + 1))))), $F636 + 1, IF(NOT(ISBLANK(INDIRECT(_xlfn.CONCAT("$I", $F636 + 2)))), $F636 + 2, ""))</f>
        <v>1218</v>
      </c>
    </row>
    <row r="638" spans="1:12" ht="59.25">
      <c r="A638" s="1" t="str" cm="1">
        <f t="array" aca="1" ref="A638" ca="1">INDIRECT(_xlfn.CONCAT("$I", $F638))</f>
        <v>Vintage Masters VMA</v>
      </c>
      <c r="B638" s="1" cm="1">
        <f t="array" aca="1" ref="B638" ca="1">INDIRECT(_xlfn.CONCAT("$J", $F638))</f>
        <v>325</v>
      </c>
      <c r="C638" s="1" cm="1">
        <f t="array" aca="1" ref="C638" ca="1">INDIRECT(_xlfn.CONCAT("$K", $F638))</f>
        <v>41806</v>
      </c>
      <c r="D638" s="1"/>
      <c r="E638" s="1" t="str" cm="1">
        <f t="array" aca="1" ref="E638" ca="1">INDIRECT(_xlfn.CONCAT("$L", $F638))</f>
        <v>en es fr de it pt ja ko ru 汉语 漢語</v>
      </c>
      <c r="F638" s="1" cm="1">
        <f t="array" aca="1" ref="F638" ca="1">IF(NOT(OR(ISERROR(INDIRECT(_xlfn.CONCAT("$I", $F637 + 1))), ISBLANK(INDIRECT(_xlfn.CONCAT("$I", $F637 + 1))))), $F637 + 1, IF(NOT(ISBLANK(INDIRECT(_xlfn.CONCAT("$I", $F637 + 2)))), $F637 + 2, ""))</f>
        <v>1220</v>
      </c>
      <c r="I638" s="8" t="s">
        <v>492</v>
      </c>
      <c r="J638" s="8">
        <v>5</v>
      </c>
      <c r="K638" s="9">
        <v>44309</v>
      </c>
      <c r="L638" s="8" t="s">
        <v>174</v>
      </c>
    </row>
    <row r="639" spans="1:12" ht="59.25">
      <c r="A639" s="1" t="str" cm="1">
        <f t="array" aca="1" ref="A639" ca="1">INDIRECT(_xlfn.CONCAT("$I", $F639))</f>
        <v>Conspiracy CNS</v>
      </c>
      <c r="B639" s="1" cm="1">
        <f t="array" aca="1" ref="B639" ca="1">INDIRECT(_xlfn.CONCAT("$J", $F639))</f>
        <v>210</v>
      </c>
      <c r="C639" s="1" cm="1">
        <f t="array" aca="1" ref="C639" ca="1">INDIRECT(_xlfn.CONCAT("$K", $F639))</f>
        <v>41796</v>
      </c>
      <c r="D639" s="1"/>
      <c r="E639" s="1" t="str" cm="1">
        <f t="array" aca="1" ref="E639" ca="1">INDIRECT(_xlfn.CONCAT("$L", $F639))</f>
        <v>en es fr de it pt ja ko ru 汉语 漢語</v>
      </c>
      <c r="F639" s="1" cm="1">
        <f t="array" aca="1" ref="F639" ca="1">IF(NOT(OR(ISERROR(INDIRECT(_xlfn.CONCAT("$I", $F638 + 1))), ISBLANK(INDIRECT(_xlfn.CONCAT("$I", $F638 + 1))))), $F638 + 1, IF(NOT(ISBLANK(INDIRECT(_xlfn.CONCAT("$I", $F638 + 2)))), $F638 + 2, ""))</f>
        <v>1222</v>
      </c>
    </row>
    <row r="640" spans="1:12" ht="59.25">
      <c r="A640" s="1" t="str" cm="1">
        <f t="array" aca="1" ref="A640" ca="1">INDIRECT(_xlfn.CONCAT("$I", $F640))</f>
        <v>Conspiracy Promos PCNS</v>
      </c>
      <c r="B640" s="1" cm="1">
        <f t="array" aca="1" ref="B640" ca="1">INDIRECT(_xlfn.CONCAT("$J", $F640))</f>
        <v>1</v>
      </c>
      <c r="C640" s="1" cm="1">
        <f t="array" aca="1" ref="C640" ca="1">INDIRECT(_xlfn.CONCAT("$K", $F640))</f>
        <v>41796</v>
      </c>
      <c r="D640" s="1"/>
      <c r="E640" s="1" t="str" cm="1">
        <f t="array" aca="1" ref="E640" ca="1">INDIRECT(_xlfn.CONCAT("$L", $F640))</f>
        <v>en es fr de it pt ja ko ru 汉语 漢語</v>
      </c>
      <c r="F640" s="1" cm="1">
        <f t="array" aca="1" ref="F640" ca="1">IF(NOT(OR(ISERROR(INDIRECT(_xlfn.CONCAT("$I", $F639 + 1))), ISBLANK(INDIRECT(_xlfn.CONCAT("$I", $F639 + 1))))), $F639 + 1, IF(NOT(ISBLANK(INDIRECT(_xlfn.CONCAT("$I", $F639 + 2)))), $F639 + 2, ""))</f>
        <v>1224</v>
      </c>
      <c r="I640" s="8" t="s">
        <v>493</v>
      </c>
      <c r="J640" s="8">
        <v>162</v>
      </c>
      <c r="K640" s="9">
        <v>44309</v>
      </c>
      <c r="L640" s="8" t="s">
        <v>174</v>
      </c>
    </row>
    <row r="641" spans="1:12" ht="59.25">
      <c r="A641" s="1" t="str" cm="1">
        <f t="array" aca="1" ref="A641" ca="1">INDIRECT(_xlfn.CONCAT("$I", $F641))</f>
        <v>Conspiracy Tokens TCNS</v>
      </c>
      <c r="B641" s="1" cm="1">
        <f t="array" aca="1" ref="B641" ca="1">INDIRECT(_xlfn.CONCAT("$J", $F641))</f>
        <v>9</v>
      </c>
      <c r="C641" s="1" cm="1">
        <f t="array" aca="1" ref="C641" ca="1">INDIRECT(_xlfn.CONCAT("$K", $F641))</f>
        <v>41796</v>
      </c>
      <c r="D641" s="1"/>
      <c r="E641" s="1" t="str" cm="1">
        <f t="array" aca="1" ref="E641" ca="1">INDIRECT(_xlfn.CONCAT("$L", $F641))</f>
        <v>en es fr de it pt ja ko ru 汉语 漢語</v>
      </c>
      <c r="F641" s="1" cm="1">
        <f t="array" aca="1" ref="F641" ca="1">IF(NOT(OR(ISERROR(INDIRECT(_xlfn.CONCAT("$I", $F640 + 1))), ISBLANK(INDIRECT(_xlfn.CONCAT("$I", $F640 + 1))))), $F640 + 1, IF(NOT(ISBLANK(INDIRECT(_xlfn.CONCAT("$I", $F640 + 2)))), $F640 + 2, ""))</f>
        <v>1226</v>
      </c>
    </row>
    <row r="642" spans="1:12" ht="59.25">
      <c r="A642" s="1" t="str" cm="1">
        <f t="array" aca="1" ref="A642" ca="1">INDIRECT(_xlfn.CONCAT("$I", $F642))</f>
        <v>Modern Event Deck 2014 MD1</v>
      </c>
      <c r="B642" s="1" cm="1">
        <f t="array" aca="1" ref="B642" ca="1">INDIRECT(_xlfn.CONCAT("$J", $F642))</f>
        <v>26</v>
      </c>
      <c r="C642" s="1" cm="1">
        <f t="array" aca="1" ref="C642" ca="1">INDIRECT(_xlfn.CONCAT("$K", $F642))</f>
        <v>41789</v>
      </c>
      <c r="D642" s="1"/>
      <c r="E642" s="1" t="str" cm="1">
        <f t="array" aca="1" ref="E642" ca="1">INDIRECT(_xlfn.CONCAT("$L", $F642))</f>
        <v>en es fr de it pt ja ko ru 汉语 漢語</v>
      </c>
      <c r="F642" s="1" cm="1">
        <f t="array" aca="1" ref="F642" ca="1">IF(NOT(OR(ISERROR(INDIRECT(_xlfn.CONCAT("$I", $F641 + 1))), ISBLANK(INDIRECT(_xlfn.CONCAT("$I", $F641 + 1))))), $F641 + 1, IF(NOT(ISBLANK(INDIRECT(_xlfn.CONCAT("$I", $F641 + 2)))), $F641 + 2, ""))</f>
        <v>1228</v>
      </c>
      <c r="I642" s="8" t="s">
        <v>494</v>
      </c>
      <c r="J642" s="8">
        <v>409</v>
      </c>
      <c r="K642" s="9">
        <v>44309</v>
      </c>
      <c r="L642" t="s">
        <v>174</v>
      </c>
    </row>
    <row r="643" spans="1:12" ht="68.25">
      <c r="A643" s="1" t="str" cm="1">
        <f t="array" aca="1" ref="A643" ca="1">INDIRECT(_xlfn.CONCAT("$I", $F643))</f>
        <v>Modern Event Deck 2014 Tokens TMD1</v>
      </c>
      <c r="B643" s="1" cm="1">
        <f t="array" aca="1" ref="B643" ca="1">INDIRECT(_xlfn.CONCAT("$J", $F643))</f>
        <v>4</v>
      </c>
      <c r="C643" s="1" cm="1">
        <f t="array" aca="1" ref="C643" ca="1">INDIRECT(_xlfn.CONCAT("$K", $F643))</f>
        <v>41789</v>
      </c>
      <c r="D643" s="1"/>
      <c r="E643" s="1" t="str" cm="1">
        <f t="array" aca="1" ref="E643" ca="1">INDIRECT(_xlfn.CONCAT("$L", $F643))</f>
        <v>en es fr de it pt ja ko ru 汉语 漢語</v>
      </c>
      <c r="F643" s="1" cm="1">
        <f t="array" aca="1" ref="F643" ca="1">IF(NOT(OR(ISERROR(INDIRECT(_xlfn.CONCAT("$I", $F642 + 1))), ISBLANK(INDIRECT(_xlfn.CONCAT("$I", $F642 + 1))))), $F642 + 1, IF(NOT(ISBLANK(INDIRECT(_xlfn.CONCAT("$I", $F642 + 2)))), $F642 + 2, ""))</f>
        <v>1230</v>
      </c>
    </row>
    <row r="644" spans="1:12" ht="59.25">
      <c r="A644" s="1" t="str" cm="1">
        <f t="array" aca="1" ref="A644" ca="1">INDIRECT(_xlfn.CONCAT("$I", $F644))</f>
        <v>Journey into Nyx JOU</v>
      </c>
      <c r="B644" s="1" cm="1">
        <f t="array" aca="1" ref="B644" ca="1">INDIRECT(_xlfn.CONCAT("$J", $F644))</f>
        <v>165</v>
      </c>
      <c r="C644" s="1" cm="1">
        <f t="array" aca="1" ref="C644" ca="1">INDIRECT(_xlfn.CONCAT("$K", $F644))</f>
        <v>41761</v>
      </c>
      <c r="D644" s="1"/>
      <c r="E644" s="1" t="str" cm="1">
        <f t="array" aca="1" ref="E644" ca="1">INDIRECT(_xlfn.CONCAT("$L", $F644))</f>
        <v>en es fr de it pt ja ko ru 汉语 漢語</v>
      </c>
      <c r="F644" s="1" cm="1">
        <f t="array" aca="1" ref="F644" ca="1">IF(NOT(OR(ISERROR(INDIRECT(_xlfn.CONCAT("$I", $F643 + 1))), ISBLANK(INDIRECT(_xlfn.CONCAT("$I", $F643 + 1))))), $F643 + 1, IF(NOT(ISBLANK(INDIRECT(_xlfn.CONCAT("$I", $F643 + 2)))), $F643 + 2, ""))</f>
        <v>1232</v>
      </c>
      <c r="I644" s="8" t="s">
        <v>495</v>
      </c>
      <c r="J644" s="8">
        <v>30</v>
      </c>
      <c r="K644" s="9">
        <v>44309</v>
      </c>
      <c r="L644" s="8" t="s">
        <v>174</v>
      </c>
    </row>
    <row r="645" spans="1:12" ht="59.25">
      <c r="A645" s="1" t="str" cm="1">
        <f t="array" aca="1" ref="A645" ca="1">INDIRECT(_xlfn.CONCAT("$I", $F645))</f>
        <v>Journey into Nyx Promos PJOU</v>
      </c>
      <c r="B645" s="1" cm="1">
        <f t="array" aca="1" ref="B645" ca="1">INDIRECT(_xlfn.CONCAT("$J", $F645))</f>
        <v>10</v>
      </c>
      <c r="C645" s="1" cm="1">
        <f t="array" aca="1" ref="C645" ca="1">INDIRECT(_xlfn.CONCAT("$K", $F645))</f>
        <v>41755</v>
      </c>
      <c r="D645" s="1"/>
      <c r="E645" s="1" t="str" cm="1">
        <f t="array" aca="1" ref="E645" ca="1">INDIRECT(_xlfn.CONCAT("$L", $F645))</f>
        <v>en es fr de it pt ja ko ru 汉语 漢語</v>
      </c>
      <c r="F645" s="1" cm="1">
        <f t="array" aca="1" ref="F645" ca="1">IF(NOT(OR(ISERROR(INDIRECT(_xlfn.CONCAT("$I", $F644 + 1))), ISBLANK(INDIRECT(_xlfn.CONCAT("$I", $F644 + 1))))), $F644 + 1, IF(NOT(ISBLANK(INDIRECT(_xlfn.CONCAT("$I", $F644 + 2)))), $F644 + 2, ""))</f>
        <v>1234</v>
      </c>
    </row>
    <row r="646" spans="1:12" ht="59.25">
      <c r="A646" s="1" t="str" cm="1">
        <f t="array" aca="1" ref="A646" ca="1">INDIRECT(_xlfn.CONCAT("$I", $F646))</f>
        <v>Journey into Nyx Tokens TJOU</v>
      </c>
      <c r="B646" s="1" cm="1">
        <f t="array" aca="1" ref="B646" ca="1">INDIRECT(_xlfn.CONCAT("$J", $F646))</f>
        <v>6</v>
      </c>
      <c r="C646" s="1" cm="1">
        <f t="array" aca="1" ref="C646" ca="1">INDIRECT(_xlfn.CONCAT("$K", $F646))</f>
        <v>41761</v>
      </c>
      <c r="D646" s="1"/>
      <c r="E646" s="1" t="str" cm="1">
        <f t="array" aca="1" ref="E646" ca="1">INDIRECT(_xlfn.CONCAT("$L", $F646))</f>
        <v>en es fr de it pt ja ko ru 汉语 漢語</v>
      </c>
      <c r="F646" s="1" cm="1">
        <f t="array" aca="1" ref="F646" ca="1">IF(NOT(OR(ISERROR(INDIRECT(_xlfn.CONCAT("$I", $F645 + 1))), ISBLANK(INDIRECT(_xlfn.CONCAT("$I", $F645 + 1))))), $F645 + 1, IF(NOT(ISBLANK(INDIRECT(_xlfn.CONCAT("$I", $F645 + 2)))), $F645 + 2, ""))</f>
        <v>1236</v>
      </c>
      <c r="I646" s="8" t="s">
        <v>496</v>
      </c>
      <c r="J646" s="8">
        <v>5</v>
      </c>
      <c r="K646" s="9">
        <v>44309</v>
      </c>
      <c r="L646" s="8" t="s">
        <v>174</v>
      </c>
    </row>
    <row r="647" spans="1:12" ht="59.25">
      <c r="A647" s="1" t="str" cm="1">
        <f t="array" aca="1" ref="A647" ca="1">INDIRECT(_xlfn.CONCAT("$I", $F647))</f>
        <v>Defeat a God TDAG</v>
      </c>
      <c r="B647" s="1" cm="1">
        <f t="array" aca="1" ref="B647" ca="1">INDIRECT(_xlfn.CONCAT("$J", $F647))</f>
        <v>15</v>
      </c>
      <c r="C647" s="1" cm="1">
        <f t="array" aca="1" ref="C647" ca="1">INDIRECT(_xlfn.CONCAT("$K", $F647))</f>
        <v>41784</v>
      </c>
      <c r="D647" s="1"/>
      <c r="E647" s="1" t="str" cm="1">
        <f t="array" aca="1" ref="E647" ca="1">INDIRECT(_xlfn.CONCAT("$L", $F647))</f>
        <v>en es fr de it pt ja ko ru 汉语 漢語</v>
      </c>
      <c r="F647" s="1" cm="1">
        <f t="array" aca="1" ref="F647" ca="1">IF(NOT(OR(ISERROR(INDIRECT(_xlfn.CONCAT("$I", $F646 + 1))), ISBLANK(INDIRECT(_xlfn.CONCAT("$I", $F646 + 1))))), $F646 + 1, IF(NOT(ISBLANK(INDIRECT(_xlfn.CONCAT("$I", $F646 + 2)))), $F646 + 2, ""))</f>
        <v>1238</v>
      </c>
    </row>
    <row r="648" spans="1:12" ht="59.25">
      <c r="A648" s="1" t="str" cm="1">
        <f t="array" aca="1" ref="A648" ca="1">INDIRECT(_xlfn.CONCAT("$I", $F648))</f>
        <v>Journey into Nyx Hero's Path THP3</v>
      </c>
      <c r="B648" s="1" cm="1">
        <f t="array" aca="1" ref="B648" ca="1">INDIRECT(_xlfn.CONCAT("$J", $F648))</f>
        <v>8</v>
      </c>
      <c r="C648" s="1" cm="1">
        <f t="array" aca="1" ref="C648" ca="1">INDIRECT(_xlfn.CONCAT("$K", $F648))</f>
        <v>41761</v>
      </c>
      <c r="D648" s="1"/>
      <c r="E648" s="1" t="str" cm="1">
        <f t="array" aca="1" ref="E648" ca="1">INDIRECT(_xlfn.CONCAT("$L", $F648))</f>
        <v>en es fr de it pt ja ko ru 汉语 漢語</v>
      </c>
      <c r="F648" s="1" cm="1">
        <f t="array" aca="1" ref="F648" ca="1">IF(NOT(OR(ISERROR(INDIRECT(_xlfn.CONCAT("$I", $F647 + 1))), ISBLANK(INDIRECT(_xlfn.CONCAT("$I", $F647 + 1))))), $F647 + 1, IF(NOT(ISBLANK(INDIRECT(_xlfn.CONCAT("$I", $F647 + 2)))), $F647 + 2, ""))</f>
        <v>1240</v>
      </c>
      <c r="I648" s="8" t="s">
        <v>497</v>
      </c>
      <c r="J648" s="8">
        <v>411</v>
      </c>
      <c r="K648" s="9">
        <v>44274</v>
      </c>
      <c r="L648" t="s">
        <v>174</v>
      </c>
    </row>
    <row r="649" spans="1:12" ht="68.25">
      <c r="A649" s="1" t="str" cm="1">
        <f t="array" aca="1" ref="A649" ca="1">INDIRECT(_xlfn.CONCAT("$I", $F649))</f>
        <v>Duel Decks: Jace vs. Vraska DDM</v>
      </c>
      <c r="B649" s="1" cm="1">
        <f t="array" aca="1" ref="B649" ca="1">INDIRECT(_xlfn.CONCAT("$J", $F649))</f>
        <v>88</v>
      </c>
      <c r="C649" s="1" cm="1">
        <f t="array" aca="1" ref="C649" ca="1">INDIRECT(_xlfn.CONCAT("$K", $F649))</f>
        <v>41712</v>
      </c>
      <c r="D649" s="1"/>
      <c r="E649" s="1" t="str" cm="1">
        <f t="array" aca="1" ref="E649" ca="1">INDIRECT(_xlfn.CONCAT("$L", $F649))</f>
        <v>en es fr de it pt ja ko ru 汉语 漢語</v>
      </c>
      <c r="F649" s="1" cm="1">
        <f t="array" aca="1" ref="F649" ca="1">IF(NOT(OR(ISERROR(INDIRECT(_xlfn.CONCAT("$I", $F648 + 1))), ISBLANK(INDIRECT(_xlfn.CONCAT("$I", $F648 + 1))))), $F648 + 1, IF(NOT(ISBLANK(INDIRECT(_xlfn.CONCAT("$I", $F648 + 2)))), $F648 + 2, ""))</f>
        <v>1242</v>
      </c>
    </row>
    <row r="650" spans="1:12" ht="81">
      <c r="A650" s="1" t="str" cm="1">
        <f t="array" aca="1" ref="A650" ca="1">INDIRECT(_xlfn.CONCAT("$I", $F650))</f>
        <v>Duel Decks: Jace vs. Vraska Tokens TDDM</v>
      </c>
      <c r="B650" s="1" cm="1">
        <f t="array" aca="1" ref="B650" ca="1">INDIRECT(_xlfn.CONCAT("$J", $F650))</f>
        <v>1</v>
      </c>
      <c r="C650" s="1" cm="1">
        <f t="array" aca="1" ref="C650" ca="1">INDIRECT(_xlfn.CONCAT("$K", $F650))</f>
        <v>41712</v>
      </c>
      <c r="D650" s="1"/>
      <c r="E650" s="1" t="str" cm="1">
        <f t="array" aca="1" ref="E650" ca="1">INDIRECT(_xlfn.CONCAT("$L", $F650))</f>
        <v>en es fr de it pt ja ko ru 汉语 漢語</v>
      </c>
      <c r="F650" s="1" cm="1">
        <f t="array" aca="1" ref="F650" ca="1">IF(NOT(OR(ISERROR(INDIRECT(_xlfn.CONCAT("$I", $F649 + 1))), ISBLANK(INDIRECT(_xlfn.CONCAT("$I", $F649 + 1))))), $F649 + 1, IF(NOT(ISBLANK(INDIRECT(_xlfn.CONCAT("$I", $F649 + 2)))), $F649 + 2, ""))</f>
        <v>1244</v>
      </c>
      <c r="I650" s="8" t="s">
        <v>498</v>
      </c>
      <c r="J650" s="8">
        <v>3</v>
      </c>
      <c r="K650" s="9">
        <v>45177</v>
      </c>
      <c r="L650" s="8" t="s">
        <v>174</v>
      </c>
    </row>
    <row r="651" spans="1:12" ht="59.25">
      <c r="A651" s="1" t="str" cm="1">
        <f t="array" aca="1" ref="A651" ca="1">INDIRECT(_xlfn.CONCAT("$I", $F651))</f>
        <v>Born of the Gods BNG</v>
      </c>
      <c r="B651" s="1" cm="1">
        <f t="array" aca="1" ref="B651" ca="1">INDIRECT(_xlfn.CONCAT("$J", $F651))</f>
        <v>165</v>
      </c>
      <c r="C651" s="1" cm="1">
        <f t="array" aca="1" ref="C651" ca="1">INDIRECT(_xlfn.CONCAT("$K", $F651))</f>
        <v>41677</v>
      </c>
      <c r="D651" s="1"/>
      <c r="E651" s="1" t="str" cm="1">
        <f t="array" aca="1" ref="E651" ca="1">INDIRECT(_xlfn.CONCAT("$L", $F651))</f>
        <v>en es fr de it pt ja ko ru 汉语 漢語</v>
      </c>
      <c r="F651" s="1" cm="1">
        <f t="array" aca="1" ref="F651" ca="1">IF(NOT(OR(ISERROR(INDIRECT(_xlfn.CONCAT("$I", $F650 + 1))), ISBLANK(INDIRECT(_xlfn.CONCAT("$I", $F650 + 1))))), $F650 + 1, IF(NOT(ISBLANK(INDIRECT(_xlfn.CONCAT("$I", $F650 + 2)))), $F650 + 2, ""))</f>
        <v>1246</v>
      </c>
    </row>
    <row r="652" spans="1:12" ht="59.25">
      <c r="A652" s="1" t="str" cm="1">
        <f t="array" aca="1" ref="A652" ca="1">INDIRECT(_xlfn.CONCAT("$I", $F652))</f>
        <v>Born of the Gods Promos PBNG</v>
      </c>
      <c r="B652" s="1" cm="1">
        <f t="array" aca="1" ref="B652" ca="1">INDIRECT(_xlfn.CONCAT("$J", $F652))</f>
        <v>9</v>
      </c>
      <c r="C652" s="1" cm="1">
        <f t="array" aca="1" ref="C652" ca="1">INDIRECT(_xlfn.CONCAT("$K", $F652))</f>
        <v>41671</v>
      </c>
      <c r="D652" s="1"/>
      <c r="E652" s="1" t="str" cm="1">
        <f t="array" aca="1" ref="E652" ca="1">INDIRECT(_xlfn.CONCAT("$L", $F652))</f>
        <v>en es fr de it pt ja ko ru 汉语 漢語</v>
      </c>
      <c r="F652" s="1" cm="1">
        <f t="array" aca="1" ref="F652" ca="1">IF(NOT(OR(ISERROR(INDIRECT(_xlfn.CONCAT("$I", $F651 + 1))), ISBLANK(INDIRECT(_xlfn.CONCAT("$I", $F651 + 1))))), $F651 + 1, IF(NOT(ISBLANK(INDIRECT(_xlfn.CONCAT("$I", $F651 + 2)))), $F651 + 2, ""))</f>
        <v>1248</v>
      </c>
      <c r="I652" s="8" t="s">
        <v>499</v>
      </c>
      <c r="J652" s="8">
        <v>15</v>
      </c>
      <c r="K652" s="9">
        <v>44274</v>
      </c>
      <c r="L652" s="8" t="s">
        <v>174</v>
      </c>
    </row>
    <row r="653" spans="1:12" ht="59.25">
      <c r="A653" s="1" t="str" cm="1">
        <f t="array" aca="1" ref="A653" ca="1">INDIRECT(_xlfn.CONCAT("$I", $F653))</f>
        <v>Born of the Gods Tokens TBNG</v>
      </c>
      <c r="B653" s="1" cm="1">
        <f t="array" aca="1" ref="B653" ca="1">INDIRECT(_xlfn.CONCAT("$J", $F653))</f>
        <v>11</v>
      </c>
      <c r="C653" s="1" cm="1">
        <f t="array" aca="1" ref="C653" ca="1">INDIRECT(_xlfn.CONCAT("$K", $F653))</f>
        <v>41677</v>
      </c>
      <c r="D653" s="1"/>
      <c r="E653" s="1" t="str" cm="1">
        <f t="array" aca="1" ref="E653" ca="1">INDIRECT(_xlfn.CONCAT("$L", $F653))</f>
        <v>en es fr de it pt ja ko ru 汉语 漢語</v>
      </c>
      <c r="F653" s="1" cm="1">
        <f t="array" aca="1" ref="F653" ca="1">IF(NOT(OR(ISERROR(INDIRECT(_xlfn.CONCAT("$I", $F652 + 1))), ISBLANK(INDIRECT(_xlfn.CONCAT("$I", $F652 + 1))))), $F652 + 1, IF(NOT(ISBLANK(INDIRECT(_xlfn.CONCAT("$I", $F652 + 2)))), $F652 + 2, ""))</f>
        <v>1250</v>
      </c>
    </row>
    <row r="654" spans="1:12" ht="59.25">
      <c r="A654" s="1" t="str" cm="1">
        <f t="array" aca="1" ref="A654" ca="1">INDIRECT(_xlfn.CONCAT("$I", $F654))</f>
        <v>Battle the Horde TBTH</v>
      </c>
      <c r="B654" s="1" cm="1">
        <f t="array" aca="1" ref="B654" ca="1">INDIRECT(_xlfn.CONCAT("$J", $F654))</f>
        <v>15</v>
      </c>
      <c r="C654" s="1" cm="1">
        <f t="array" aca="1" ref="C654" ca="1">INDIRECT(_xlfn.CONCAT("$K", $F654))</f>
        <v>41699</v>
      </c>
      <c r="D654" s="1"/>
      <c r="E654" s="1" t="str" cm="1">
        <f t="array" aca="1" ref="E654" ca="1">INDIRECT(_xlfn.CONCAT("$L", $F654))</f>
        <v>en es fr de it pt ja ko ru 汉语 漢語</v>
      </c>
      <c r="F654" s="1" cm="1">
        <f t="array" aca="1" ref="F654" ca="1">IF(NOT(OR(ISERROR(INDIRECT(_xlfn.CONCAT("$I", $F653 + 1))), ISBLANK(INDIRECT(_xlfn.CONCAT("$I", $F653 + 1))))), $F653 + 1, IF(NOT(ISBLANK(INDIRECT(_xlfn.CONCAT("$I", $F653 + 2)))), $F653 + 2, ""))</f>
        <v>1252</v>
      </c>
      <c r="I654" s="8" t="s">
        <v>500</v>
      </c>
      <c r="J654" s="8">
        <v>25</v>
      </c>
      <c r="K654" s="9">
        <v>44266</v>
      </c>
      <c r="L654" s="8" t="s">
        <v>174</v>
      </c>
    </row>
    <row r="655" spans="1:12" ht="59.25">
      <c r="A655" s="1" t="str" cm="1">
        <f t="array" aca="1" ref="A655" ca="1">INDIRECT(_xlfn.CONCAT("$I", $F655))</f>
        <v>Born of the Gods Hero's Path THP2</v>
      </c>
      <c r="B655" s="1" cm="1">
        <f t="array" aca="1" ref="B655" ca="1">INDIRECT(_xlfn.CONCAT("$J", $F655))</f>
        <v>7</v>
      </c>
      <c r="C655" s="1" cm="1">
        <f t="array" aca="1" ref="C655" ca="1">INDIRECT(_xlfn.CONCAT("$K", $F655))</f>
        <v>41677</v>
      </c>
      <c r="D655" s="1"/>
      <c r="E655" s="1" t="str" cm="1">
        <f t="array" aca="1" ref="E655" ca="1">INDIRECT(_xlfn.CONCAT("$L", $F655))</f>
        <v>en es fr de it pt ja ko ru 汉语 漢語</v>
      </c>
      <c r="F655" s="1" cm="1">
        <f t="array" aca="1" ref="F655" ca="1">IF(NOT(OR(ISERROR(INDIRECT(_xlfn.CONCAT("$I", $F654 + 1))), ISBLANK(INDIRECT(_xlfn.CONCAT("$I", $F654 + 1))))), $F654 + 1, IF(NOT(ISBLANK(INDIRECT(_xlfn.CONCAT("$I", $F654 + 2)))), $F654 + 2, ""))</f>
        <v>1254</v>
      </c>
    </row>
    <row r="656" spans="1:12" ht="59.25">
      <c r="A656" s="1" t="str" cm="1">
        <f t="array" aca="1" ref="A656" ca="1">INDIRECT(_xlfn.CONCAT("$I", $F656))</f>
        <v>League Tokens 2014 L14</v>
      </c>
      <c r="B656" s="1" cm="1">
        <f t="array" aca="1" ref="B656" ca="1">INDIRECT(_xlfn.CONCAT("$J", $F656))</f>
        <v>4</v>
      </c>
      <c r="C656" s="1" cm="1">
        <f t="array" aca="1" ref="C656" ca="1">INDIRECT(_xlfn.CONCAT("$K", $F656))</f>
        <v>41640</v>
      </c>
      <c r="D656" s="1"/>
      <c r="E656" s="1" t="str" cm="1">
        <f t="array" aca="1" ref="E656" ca="1">INDIRECT(_xlfn.CONCAT("$L", $F656))</f>
        <v>en es fr de it pt ja ko ru 汉语 漢語</v>
      </c>
      <c r="F656" s="1" cm="1">
        <f t="array" aca="1" ref="F656" ca="1">IF(NOT(OR(ISERROR(INDIRECT(_xlfn.CONCAT("$I", $F655 + 1))), ISBLANK(INDIRECT(_xlfn.CONCAT("$I", $F655 + 1))))), $F655 + 1, IF(NOT(ISBLANK(INDIRECT(_xlfn.CONCAT("$I", $F655 + 2)))), $F655 + 2, ""))</f>
        <v>1256</v>
      </c>
      <c r="I656" s="8" t="s">
        <v>1246</v>
      </c>
      <c r="J656" s="8">
        <v>426</v>
      </c>
      <c r="K656" s="9">
        <v>44232</v>
      </c>
      <c r="L656" t="s">
        <v>174</v>
      </c>
    </row>
    <row r="657" spans="1:12" ht="59.25">
      <c r="A657" s="1" t="str" cm="1">
        <f t="array" aca="1" ref="A657" ca="1">INDIRECT(_xlfn.CONCAT("$I", $F657))</f>
        <v>Judge Gift Cards 2014 J14</v>
      </c>
      <c r="B657" s="1" cm="1">
        <f t="array" aca="1" ref="B657" ca="1">INDIRECT(_xlfn.CONCAT("$J", $F657))</f>
        <v>14</v>
      </c>
      <c r="C657" s="1" cm="1">
        <f t="array" aca="1" ref="C657" ca="1">INDIRECT(_xlfn.CONCAT("$K", $F657))</f>
        <v>41640</v>
      </c>
      <c r="D657" s="1"/>
      <c r="E657" s="1" t="str" cm="1">
        <f t="array" aca="1" ref="E657" ca="1">INDIRECT(_xlfn.CONCAT("$L", $F657))</f>
        <v>en es fr de it pt ja ko ru 汉语 漢語</v>
      </c>
      <c r="F657" s="1" cm="1">
        <f t="array" aca="1" ref="F657" ca="1">IF(NOT(OR(ISERROR(INDIRECT(_xlfn.CONCAT("$I", $F656 + 1))), ISBLANK(INDIRECT(_xlfn.CONCAT("$I", $F656 + 1))))), $F656 + 1, IF(NOT(ISBLANK(INDIRECT(_xlfn.CONCAT("$I", $F656 + 2)))), $F656 + 2, ""))</f>
        <v>1258</v>
      </c>
    </row>
    <row r="658" spans="1:12" ht="59.25">
      <c r="A658" s="1" t="str" cm="1">
        <f t="array" aca="1" ref="A658" ca="1">INDIRECT(_xlfn.CONCAT("$I", $F658))</f>
        <v>Friday Night Magic 2014 F14</v>
      </c>
      <c r="B658" s="1" cm="1">
        <f t="array" aca="1" ref="B658" ca="1">INDIRECT(_xlfn.CONCAT("$J", $F658))</f>
        <v>12</v>
      </c>
      <c r="C658" s="1" cm="1">
        <f t="array" aca="1" ref="C658" ca="1">INDIRECT(_xlfn.CONCAT("$K", $F658))</f>
        <v>41640</v>
      </c>
      <c r="D658" s="1"/>
      <c r="E658" s="1" t="str" cm="1">
        <f t="array" aca="1" ref="E658" ca="1">INDIRECT(_xlfn.CONCAT("$L", $F658))</f>
        <v>en es fr de it pt ja ko ru 汉语 漢語</v>
      </c>
      <c r="F658" s="1" cm="1">
        <f t="array" aca="1" ref="F658" ca="1">IF(NOT(OR(ISERROR(INDIRECT(_xlfn.CONCAT("$I", $F657 + 1))), ISBLANK(INDIRECT(_xlfn.CONCAT("$I", $F657 + 1))))), $F657 + 1, IF(NOT(ISBLANK(INDIRECT(_xlfn.CONCAT("$I", $F657 + 2)))), $F657 + 2, ""))</f>
        <v>1260</v>
      </c>
      <c r="I658" s="8" t="s">
        <v>501</v>
      </c>
      <c r="J658" s="8">
        <v>158</v>
      </c>
      <c r="K658" s="9">
        <v>44232</v>
      </c>
      <c r="L658" t="s">
        <v>174</v>
      </c>
    </row>
    <row r="659" spans="1:12" ht="59.25">
      <c r="A659" s="1" t="str" cm="1">
        <f t="array" aca="1" ref="A659" ca="1">INDIRECT(_xlfn.CONCAT("$I", $F659))</f>
        <v>Commander 2013 C13</v>
      </c>
      <c r="B659" s="1" cm="1">
        <f t="array" aca="1" ref="B659" ca="1">INDIRECT(_xlfn.CONCAT("$J", $F659))</f>
        <v>356</v>
      </c>
      <c r="C659" s="1" cm="1">
        <f t="array" aca="1" ref="C659" ca="1">INDIRECT(_xlfn.CONCAT("$K", $F659))</f>
        <v>41579</v>
      </c>
      <c r="D659" s="1"/>
      <c r="E659" s="1" t="str" cm="1">
        <f t="array" aca="1" ref="E659" ca="1">INDIRECT(_xlfn.CONCAT("$L", $F659))</f>
        <v>en es fr de it pt ja ko ru 汉语 漢語</v>
      </c>
      <c r="F659" s="1" cm="1">
        <f t="array" aca="1" ref="F659" ca="1">IF(NOT(OR(ISERROR(INDIRECT(_xlfn.CONCAT("$I", $F658 + 1))), ISBLANK(INDIRECT(_xlfn.CONCAT("$I", $F658 + 1))))), $F658 + 1, IF(NOT(ISBLANK(INDIRECT(_xlfn.CONCAT("$I", $F658 + 2)))), $F658 + 2, ""))</f>
        <v>1262</v>
      </c>
    </row>
    <row r="660" spans="1:12" ht="59.25">
      <c r="A660" s="1" t="str" cm="1">
        <f t="array" aca="1" ref="A660" ca="1">INDIRECT(_xlfn.CONCAT("$I", $F660))</f>
        <v>Commander 2013 Oversized OC13</v>
      </c>
      <c r="B660" s="1" cm="1">
        <f t="array" aca="1" ref="B660" ca="1">INDIRECT(_xlfn.CONCAT("$J", $F660))</f>
        <v>15</v>
      </c>
      <c r="C660" s="1" cm="1">
        <f t="array" aca="1" ref="C660" ca="1">INDIRECT(_xlfn.CONCAT("$K", $F660))</f>
        <v>41579</v>
      </c>
      <c r="D660" s="1"/>
      <c r="E660" s="1" t="str" cm="1">
        <f t="array" aca="1" ref="E660" ca="1">INDIRECT(_xlfn.CONCAT("$L", $F660))</f>
        <v>en es fr de it pt ja ko ru 汉语 漢語</v>
      </c>
      <c r="F660" s="1" cm="1">
        <f t="array" aca="1" ref="F660" ca="1">IF(NOT(OR(ISERROR(INDIRECT(_xlfn.CONCAT("$I", $F659 + 1))), ISBLANK(INDIRECT(_xlfn.CONCAT("$I", $F659 + 1))))), $F659 + 1, IF(NOT(ISBLANK(INDIRECT(_xlfn.CONCAT("$I", $F659 + 2)))), $F659 + 2, ""))</f>
        <v>1264</v>
      </c>
      <c r="I660" s="8" t="s">
        <v>502</v>
      </c>
      <c r="J660" s="8">
        <v>23</v>
      </c>
      <c r="K660" s="9">
        <v>44232</v>
      </c>
      <c r="L660" s="8" t="s">
        <v>174</v>
      </c>
    </row>
    <row r="661" spans="1:12" ht="59.25">
      <c r="A661" s="1" t="str" cm="1">
        <f t="array" aca="1" ref="A661" ca="1">INDIRECT(_xlfn.CONCAT("$I", $F661))</f>
        <v>Theros THS</v>
      </c>
      <c r="B661" s="1" cm="1">
        <f t="array" aca="1" ref="B661" ca="1">INDIRECT(_xlfn.CONCAT("$J", $F661))</f>
        <v>249</v>
      </c>
      <c r="C661" s="1" cm="1">
        <f t="array" aca="1" ref="C661" ca="1">INDIRECT(_xlfn.CONCAT("$K", $F661))</f>
        <v>41544</v>
      </c>
      <c r="D661" s="1"/>
      <c r="E661" s="1" t="str" cm="1">
        <f t="array" aca="1" ref="E661" ca="1">INDIRECT(_xlfn.CONCAT("$L", $F661))</f>
        <v>en es fr de it pt ja ko ru 汉语 漢語</v>
      </c>
      <c r="F661" s="1" cm="1">
        <f t="array" aca="1" ref="F661" ca="1">IF(NOT(OR(ISERROR(INDIRECT(_xlfn.CONCAT("$I", $F660 + 1))), ISBLANK(INDIRECT(_xlfn.CONCAT("$I", $F660 + 1))))), $F660 + 1, IF(NOT(ISBLANK(INDIRECT(_xlfn.CONCAT("$I", $F660 + 2)))), $F660 + 2, ""))</f>
        <v>1266</v>
      </c>
    </row>
    <row r="662" spans="1:12" ht="59.25">
      <c r="A662" s="1" t="str" cm="1">
        <f t="array" aca="1" ref="A662" ca="1">INDIRECT(_xlfn.CONCAT("$I", $F662))</f>
        <v>Theros Promos PTHS</v>
      </c>
      <c r="B662" s="1" cm="1">
        <f t="array" aca="1" ref="B662" ca="1">INDIRECT(_xlfn.CONCAT("$J", $F662))</f>
        <v>10</v>
      </c>
      <c r="C662" s="1" cm="1">
        <f t="array" aca="1" ref="C662" ca="1">INDIRECT(_xlfn.CONCAT("$K", $F662))</f>
        <v>41538</v>
      </c>
      <c r="D662" s="1"/>
      <c r="E662" s="1" t="str" cm="1">
        <f t="array" aca="1" ref="E662" ca="1">INDIRECT(_xlfn.CONCAT("$L", $F662))</f>
        <v>en es fr de it pt ja ko ru 汉语 漢語</v>
      </c>
      <c r="F662" s="1" cm="1">
        <f t="array" aca="1" ref="F662" ca="1">IF(NOT(OR(ISERROR(INDIRECT(_xlfn.CONCAT("$I", $F661 + 1))), ISBLANK(INDIRECT(_xlfn.CONCAT("$I", $F661 + 1))))), $F661 + 1, IF(NOT(ISBLANK(INDIRECT(_xlfn.CONCAT("$I", $F661 + 2)))), $F661 + 2, ""))</f>
        <v>1268</v>
      </c>
      <c r="I662" s="8" t="s">
        <v>503</v>
      </c>
      <c r="J662" s="8">
        <v>5</v>
      </c>
      <c r="K662" s="9">
        <v>44232</v>
      </c>
      <c r="L662" s="8" t="s">
        <v>174</v>
      </c>
    </row>
    <row r="663" spans="1:12" ht="59.25">
      <c r="A663" s="1" t="str" cm="1">
        <f t="array" aca="1" ref="A663" ca="1">INDIRECT(_xlfn.CONCAT("$I", $F663))</f>
        <v>Theros Tokens TTHS</v>
      </c>
      <c r="B663" s="1" cm="1">
        <f t="array" aca="1" ref="B663" ca="1">INDIRECT(_xlfn.CONCAT("$J", $F663))</f>
        <v>11</v>
      </c>
      <c r="C663" s="1" cm="1">
        <f t="array" aca="1" ref="C663" ca="1">INDIRECT(_xlfn.CONCAT("$K", $F663))</f>
        <v>41544</v>
      </c>
      <c r="D663" s="1"/>
      <c r="E663" s="1" t="str" cm="1">
        <f t="array" aca="1" ref="E663" ca="1">INDIRECT(_xlfn.CONCAT("$L", $F663))</f>
        <v>en es fr de it pt ja ko ru 汉语 漢語</v>
      </c>
      <c r="F663" s="1" cm="1">
        <f t="array" aca="1" ref="F663" ca="1">IF(NOT(OR(ISERROR(INDIRECT(_xlfn.CONCAT("$I", $F662 + 1))), ISBLANK(INDIRECT(_xlfn.CONCAT("$I", $F662 + 1))))), $F662 + 1, IF(NOT(ISBLANK(INDIRECT(_xlfn.CONCAT("$I", $F662 + 2)))), $F662 + 2, ""))</f>
        <v>1270</v>
      </c>
    </row>
    <row r="664" spans="1:12" ht="59.25">
      <c r="A664" s="1" t="str" cm="1">
        <f t="array" aca="1" ref="A664" ca="1">INDIRECT(_xlfn.CONCAT("$I", $F664))</f>
        <v>Face the Hydra TFTH</v>
      </c>
      <c r="B664" s="1" cm="1">
        <f t="array" aca="1" ref="B664" ca="1">INDIRECT(_xlfn.CONCAT("$J", $F664))</f>
        <v>15</v>
      </c>
      <c r="C664" s="1" cm="1">
        <f t="array" aca="1" ref="C664" ca="1">INDIRECT(_xlfn.CONCAT("$K", $F664))</f>
        <v>41566</v>
      </c>
      <c r="D664" s="1"/>
      <c r="E664" s="1" t="str" cm="1">
        <f t="array" aca="1" ref="E664" ca="1">INDIRECT(_xlfn.CONCAT("$L", $F664))</f>
        <v>en es fr de it pt ja ko ru 汉语 漢語</v>
      </c>
      <c r="F664" s="1" cm="1">
        <f t="array" aca="1" ref="F664" ca="1">IF(NOT(OR(ISERROR(INDIRECT(_xlfn.CONCAT("$I", $F663 + 1))), ISBLANK(INDIRECT(_xlfn.CONCAT("$I", $F663 + 1))))), $F663 + 1, IF(NOT(ISBLANK(INDIRECT(_xlfn.CONCAT("$I", $F663 + 2)))), $F663 + 2, ""))</f>
        <v>1272</v>
      </c>
      <c r="I664" s="8" t="s">
        <v>504</v>
      </c>
      <c r="J664" s="8">
        <v>9</v>
      </c>
      <c r="K664" s="9">
        <v>44232</v>
      </c>
      <c r="L664" s="8" t="s">
        <v>174</v>
      </c>
    </row>
    <row r="665" spans="1:12" ht="59.25">
      <c r="A665" s="1" t="str" cm="1">
        <f t="array" aca="1" ref="A665" ca="1">INDIRECT(_xlfn.CONCAT("$I", $F665))</f>
        <v>Theros Hero's Path THP1</v>
      </c>
      <c r="B665" s="1" cm="1">
        <f t="array" aca="1" ref="B665" ca="1">INDIRECT(_xlfn.CONCAT("$J", $F665))</f>
        <v>7</v>
      </c>
      <c r="C665" s="1" cm="1">
        <f t="array" aca="1" ref="C665" ca="1">INDIRECT(_xlfn.CONCAT("$K", $F665))</f>
        <v>41544</v>
      </c>
      <c r="D665" s="1"/>
      <c r="E665" s="1" t="str" cm="1">
        <f t="array" aca="1" ref="E665" ca="1">INDIRECT(_xlfn.CONCAT("$L", $F665))</f>
        <v>en es fr de it pt ja ko ru 汉语 漢語</v>
      </c>
      <c r="F665" s="1" cm="1">
        <f t="array" aca="1" ref="F665" ca="1">IF(NOT(OR(ISERROR(INDIRECT(_xlfn.CONCAT("$I", $F664 + 1))), ISBLANK(INDIRECT(_xlfn.CONCAT("$I", $F664 + 1))))), $F664 + 1, IF(NOT(ISBLANK(INDIRECT(_xlfn.CONCAT("$I", $F664 + 2)))), $F664 + 2, ""))</f>
        <v>1274</v>
      </c>
    </row>
    <row r="666" spans="1:12" ht="68.25">
      <c r="A666" s="1" t="str" cm="1">
        <f t="array" aca="1" ref="A666" ca="1">INDIRECT(_xlfn.CONCAT("$I", $F666))</f>
        <v>Duel Decks: Heroes vs. Monsters DDL</v>
      </c>
      <c r="B666" s="1" cm="1">
        <f t="array" aca="1" ref="B666" ca="1">INDIRECT(_xlfn.CONCAT("$J", $F666))</f>
        <v>81</v>
      </c>
      <c r="C666" s="1" cm="1">
        <f t="array" aca="1" ref="C666" ca="1">INDIRECT(_xlfn.CONCAT("$K", $F666))</f>
        <v>41523</v>
      </c>
      <c r="D666" s="1"/>
      <c r="E666" s="1" t="str" cm="1">
        <f t="array" aca="1" ref="E666" ca="1">INDIRECT(_xlfn.CONCAT("$L", $F666))</f>
        <v>en es fr de it pt ja ko ru 汉语 漢語</v>
      </c>
      <c r="F666" s="1" cm="1">
        <f t="array" aca="1" ref="F666" ca="1">IF(NOT(OR(ISERROR(INDIRECT(_xlfn.CONCAT("$I", $F665 + 1))), ISBLANK(INDIRECT(_xlfn.CONCAT("$I", $F665 + 1))))), $F665 + 1, IF(NOT(ISBLANK(INDIRECT(_xlfn.CONCAT("$I", $F665 + 2)))), $F665 + 2, ""))</f>
        <v>1276</v>
      </c>
      <c r="I666" s="8" t="s">
        <v>505</v>
      </c>
      <c r="J666" s="8">
        <v>119</v>
      </c>
      <c r="K666" s="9">
        <v>44232</v>
      </c>
      <c r="L666" t="s">
        <v>174</v>
      </c>
    </row>
    <row r="667" spans="1:12" ht="81">
      <c r="A667" s="1" t="str" cm="1">
        <f t="array" aca="1" ref="A667" ca="1">INDIRECT(_xlfn.CONCAT("$I", $F667))</f>
        <v>Duel Decks: Heroes vs. Monsters Tokens TDDL</v>
      </c>
      <c r="B667" s="1" cm="1">
        <f t="array" aca="1" ref="B667" ca="1">INDIRECT(_xlfn.CONCAT("$J", $F667))</f>
        <v>2</v>
      </c>
      <c r="C667" s="1" cm="1">
        <f t="array" aca="1" ref="C667" ca="1">INDIRECT(_xlfn.CONCAT("$K", $F667))</f>
        <v>41523</v>
      </c>
      <c r="D667" s="1"/>
      <c r="E667" s="1" t="str" cm="1">
        <f t="array" aca="1" ref="E667" ca="1">INDIRECT(_xlfn.CONCAT("$L", $F667))</f>
        <v>en es fr de it pt ja ko ru 汉语 漢語</v>
      </c>
      <c r="F667" s="1" cm="1">
        <f t="array" aca="1" ref="F667" ca="1">IF(NOT(OR(ISERROR(INDIRECT(_xlfn.CONCAT("$I", $F666 + 1))), ISBLANK(INDIRECT(_xlfn.CONCAT("$I", $F666 + 1))))), $F666 + 1, IF(NOT(ISBLANK(INDIRECT(_xlfn.CONCAT("$I", $F666 + 2)))), $F666 + 2, ""))</f>
        <v>1278</v>
      </c>
    </row>
    <row r="668" spans="1:12" ht="59.25">
      <c r="A668" s="1" t="str" cm="1">
        <f t="array" aca="1" ref="A668" ca="1">INDIRECT(_xlfn.CONCAT("$I", $F668))</f>
        <v>From the Vault: Twenty V13</v>
      </c>
      <c r="B668" s="1" cm="1">
        <f t="array" aca="1" ref="B668" ca="1">INDIRECT(_xlfn.CONCAT("$J", $F668))</f>
        <v>20</v>
      </c>
      <c r="C668" s="1" cm="1">
        <f t="array" aca="1" ref="C668" ca="1">INDIRECT(_xlfn.CONCAT("$K", $F668))</f>
        <v>41509</v>
      </c>
      <c r="D668" s="1"/>
      <c r="E668" s="1" t="str" cm="1">
        <f t="array" aca="1" ref="E668" ca="1">INDIRECT(_xlfn.CONCAT("$L", $F668))</f>
        <v>en es fr de it pt ja ko ru 汉语 漢語</v>
      </c>
      <c r="F668" s="1" cm="1">
        <f t="array" aca="1" ref="F668" ca="1">IF(NOT(OR(ISERROR(INDIRECT(_xlfn.CONCAT("$I", $F667 + 1))), ISBLANK(INDIRECT(_xlfn.CONCAT("$I", $F667 + 1))))), $F667 + 1, IF(NOT(ISBLANK(INDIRECT(_xlfn.CONCAT("$I", $F667 + 2)))), $F667 + 2, ""))</f>
        <v>1280</v>
      </c>
      <c r="I668" s="8" t="s">
        <v>506</v>
      </c>
      <c r="J668" s="8">
        <v>8</v>
      </c>
      <c r="K668" s="9">
        <v>44232</v>
      </c>
      <c r="L668" s="8" t="s">
        <v>174</v>
      </c>
    </row>
    <row r="669" spans="1:12" ht="59.25">
      <c r="A669" s="1" t="str" cm="1">
        <f t="array" aca="1" ref="A669" ca="1">INDIRECT(_xlfn.CONCAT("$I", $F669))</f>
        <v>Magic 2014 M14</v>
      </c>
      <c r="B669" s="1" cm="1">
        <f t="array" aca="1" ref="B669" ca="1">INDIRECT(_xlfn.CONCAT("$J", $F669))</f>
        <v>249</v>
      </c>
      <c r="C669" s="1" cm="1">
        <f t="array" aca="1" ref="C669" ca="1">INDIRECT(_xlfn.CONCAT("$K", $F669))</f>
        <v>41474</v>
      </c>
      <c r="D669" s="1"/>
      <c r="E669" s="1" t="str" cm="1">
        <f t="array" aca="1" ref="E669" ca="1">INDIRECT(_xlfn.CONCAT("$L", $F669))</f>
        <v>en es fr de it pt ja ko ru 汉语 漢語</v>
      </c>
      <c r="F669" s="1" cm="1">
        <f t="array" aca="1" ref="F669" ca="1">IF(NOT(OR(ISERROR(INDIRECT(_xlfn.CONCAT("$I", $F668 + 1))), ISBLANK(INDIRECT(_xlfn.CONCAT("$I", $F668 + 1))))), $F668 + 1, IF(NOT(ISBLANK(INDIRECT(_xlfn.CONCAT("$I", $F668 + 2)))), $F668 + 2, ""))</f>
        <v>1282</v>
      </c>
    </row>
    <row r="670" spans="1:12" ht="59.25">
      <c r="A670" s="1" t="str" cm="1">
        <f t="array" aca="1" ref="A670" ca="1">INDIRECT(_xlfn.CONCAT("$I", $F670))</f>
        <v>Magic 2014 Promos PM14</v>
      </c>
      <c r="B670" s="1" cm="1">
        <f t="array" aca="1" ref="B670" ca="1">INDIRECT(_xlfn.CONCAT("$J", $F670))</f>
        <v>6</v>
      </c>
      <c r="C670" s="1" cm="1">
        <f t="array" aca="1" ref="C670" ca="1">INDIRECT(_xlfn.CONCAT("$K", $F670))</f>
        <v>41473</v>
      </c>
      <c r="D670" s="1"/>
      <c r="E670" s="1" t="str" cm="1">
        <f t="array" aca="1" ref="E670" ca="1">INDIRECT(_xlfn.CONCAT("$L", $F670))</f>
        <v>en es fr de it pt ja ko ru 汉语 漢語</v>
      </c>
      <c r="F670" s="1" cm="1">
        <f t="array" aca="1" ref="F670" ca="1">IF(NOT(OR(ISERROR(INDIRECT(_xlfn.CONCAT("$I", $F669 + 1))), ISBLANK(INDIRECT(_xlfn.CONCAT("$I", $F669 + 1))))), $F669 + 1, IF(NOT(ISBLANK(INDIRECT(_xlfn.CONCAT("$I", $F669 + 2)))), $F669 + 2, ""))</f>
        <v>1284</v>
      </c>
      <c r="I670" s="8" t="s">
        <v>507</v>
      </c>
      <c r="J670" s="8">
        <v>81</v>
      </c>
      <c r="K670" s="9">
        <v>44232</v>
      </c>
      <c r="L670" s="8" t="s">
        <v>174</v>
      </c>
    </row>
    <row r="671" spans="1:12" ht="59.25">
      <c r="A671" s="1" t="str" cm="1">
        <f t="array" aca="1" ref="A671" ca="1">INDIRECT(_xlfn.CONCAT("$I", $F671))</f>
        <v>Magic 2014 Tokens TM14</v>
      </c>
      <c r="B671" s="1" cm="1">
        <f t="array" aca="1" ref="B671" ca="1">INDIRECT(_xlfn.CONCAT("$J", $F671))</f>
        <v>13</v>
      </c>
      <c r="C671" s="1" cm="1">
        <f t="array" aca="1" ref="C671" ca="1">INDIRECT(_xlfn.CONCAT("$K", $F671))</f>
        <v>41474</v>
      </c>
      <c r="D671" s="1"/>
      <c r="E671" s="1" t="str" cm="1">
        <f t="array" aca="1" ref="E671" ca="1">INDIRECT(_xlfn.CONCAT("$L", $F671))</f>
        <v>en es fr de it pt ja ko ru 汉语 漢語</v>
      </c>
      <c r="F671" s="1" cm="1">
        <f t="array" aca="1" ref="F671" ca="1">IF(NOT(OR(ISERROR(INDIRECT(_xlfn.CONCAT("$I", $F670 + 1))), ISBLANK(INDIRECT(_xlfn.CONCAT("$I", $F670 + 1))))), $F670 + 1, IF(NOT(ISBLANK(INDIRECT(_xlfn.CONCAT("$I", $F670 + 2)))), $F670 + 2, ""))</f>
        <v>1286</v>
      </c>
    </row>
    <row r="672" spans="1:12" ht="59.25">
      <c r="A672" s="1" t="str" cm="1">
        <f t="array" aca="1" ref="A672" ca="1">INDIRECT(_xlfn.CONCAT("$I", $F672))</f>
        <v>San Diego Comic-Con 2013 PSDC</v>
      </c>
      <c r="B672" s="1" cm="1">
        <f t="array" aca="1" ref="B672" ca="1">INDIRECT(_xlfn.CONCAT("$J", $F672))</f>
        <v>5</v>
      </c>
      <c r="C672" s="1" cm="1">
        <f t="array" aca="1" ref="C672" ca="1">INDIRECT(_xlfn.CONCAT("$K", $F672))</f>
        <v>41473</v>
      </c>
      <c r="D672" s="1"/>
      <c r="E672" s="1" t="str" cm="1">
        <f t="array" aca="1" ref="E672" ca="1">INDIRECT(_xlfn.CONCAT("$L", $F672))</f>
        <v>en es fr de it pt ja ko ru 汉语 漢語</v>
      </c>
      <c r="F672" s="1" cm="1">
        <f t="array" aca="1" ref="F672" ca="1">IF(NOT(OR(ISERROR(INDIRECT(_xlfn.CONCAT("$I", $F671 + 1))), ISBLANK(INDIRECT(_xlfn.CONCAT("$I", $F671 + 1))))), $F671 + 1, IF(NOT(ISBLANK(INDIRECT(_xlfn.CONCAT("$I", $F671 + 2)))), $F671 + 2, ""))</f>
        <v>1288</v>
      </c>
      <c r="I672" s="8" t="s">
        <v>508</v>
      </c>
      <c r="J672" s="8">
        <v>6</v>
      </c>
      <c r="K672" s="9">
        <v>44221</v>
      </c>
      <c r="L672" t="s">
        <v>174</v>
      </c>
    </row>
    <row r="673" spans="1:12" ht="59.25">
      <c r="A673" s="1" t="str" cm="1">
        <f t="array" aca="1" ref="A673" ca="1">INDIRECT(_xlfn.CONCAT("$I", $F673))</f>
        <v>Modern Masters MMA</v>
      </c>
      <c r="B673" s="1" cm="1">
        <f t="array" aca="1" ref="B673" ca="1">INDIRECT(_xlfn.CONCAT("$J", $F673))</f>
        <v>229</v>
      </c>
      <c r="C673" s="1" cm="1">
        <f t="array" aca="1" ref="C673" ca="1">INDIRECT(_xlfn.CONCAT("$K", $F673))</f>
        <v>41432</v>
      </c>
      <c r="D673" s="1"/>
      <c r="E673" s="1" t="str" cm="1">
        <f t="array" aca="1" ref="E673" ca="1">INDIRECT(_xlfn.CONCAT("$L", $F673))</f>
        <v>en es fr de it pt ja ko ru 汉语 漢語</v>
      </c>
      <c r="F673" s="1" cm="1">
        <f t="array" aca="1" ref="F673" ca="1">IF(NOT(OR(ISERROR(INDIRECT(_xlfn.CONCAT("$I", $F672 + 1))), ISBLANK(INDIRECT(_xlfn.CONCAT("$I", $F672 + 1))))), $F672 + 1, IF(NOT(ISBLANK(INDIRECT(_xlfn.CONCAT("$I", $F672 + 2)))), $F672 + 2, ""))</f>
        <v>1290</v>
      </c>
    </row>
    <row r="674" spans="1:12" ht="59.25">
      <c r="A674" s="1" t="str" cm="1">
        <f t="array" aca="1" ref="A674" ca="1">INDIRECT(_xlfn.CONCAT("$I", $F674))</f>
        <v>Modern Masters Tokens TMMA</v>
      </c>
      <c r="B674" s="1" cm="1">
        <f t="array" aca="1" ref="B674" ca="1">INDIRECT(_xlfn.CONCAT("$J", $F674))</f>
        <v>16</v>
      </c>
      <c r="C674" s="1" cm="1">
        <f t="array" aca="1" ref="C674" ca="1">INDIRECT(_xlfn.CONCAT("$K", $F674))</f>
        <v>41432</v>
      </c>
      <c r="D674" s="1"/>
      <c r="E674" s="1" t="str" cm="1">
        <f t="array" aca="1" ref="E674" ca="1">INDIRECT(_xlfn.CONCAT("$L", $F674))</f>
        <v>en es fr de it pt ja ko ru 汉语 漢語</v>
      </c>
      <c r="F674" s="1" cm="1">
        <f t="array" aca="1" ref="F674" ca="1">IF(NOT(OR(ISERROR(INDIRECT(_xlfn.CONCAT("$I", $F673 + 1))), ISBLANK(INDIRECT(_xlfn.CONCAT("$I", $F673 + 1))))), $F673 + 1, IF(NOT(ISBLANK(INDIRECT(_xlfn.CONCAT("$I", $F673 + 2)))), $F673 + 2, ""))</f>
        <v>1292</v>
      </c>
      <c r="I674" s="8" t="s">
        <v>509</v>
      </c>
      <c r="J674" s="8">
        <v>10</v>
      </c>
      <c r="K674" s="9">
        <v>44197</v>
      </c>
      <c r="L674" s="8" t="s">
        <v>174</v>
      </c>
    </row>
    <row r="675" spans="1:12" ht="59.25">
      <c r="A675" s="1" t="str" cm="1">
        <f t="array" aca="1" ref="A675" ca="1">INDIRECT(_xlfn.CONCAT("$I", $F675))</f>
        <v>Dragon's Maze DGM</v>
      </c>
      <c r="B675" s="1" cm="1">
        <f t="array" aca="1" ref="B675" ca="1">INDIRECT(_xlfn.CONCAT("$J", $F675))</f>
        <v>156</v>
      </c>
      <c r="C675" s="1" cm="1">
        <f t="array" aca="1" ref="C675" ca="1">INDIRECT(_xlfn.CONCAT("$K", $F675))</f>
        <v>41397</v>
      </c>
      <c r="D675" s="1"/>
      <c r="E675" s="1" t="str" cm="1">
        <f t="array" aca="1" ref="E675" ca="1">INDIRECT(_xlfn.CONCAT("$L", $F675))</f>
        <v>en es fr de it pt ja ko ru 汉语 漢語</v>
      </c>
      <c r="F675" s="1" cm="1">
        <f t="array" aca="1" ref="F675" ca="1">IF(NOT(OR(ISERROR(INDIRECT(_xlfn.CONCAT("$I", $F674 + 1))), ISBLANK(INDIRECT(_xlfn.CONCAT("$I", $F674 + 1))))), $F674 + 1, IF(NOT(ISBLANK(INDIRECT(_xlfn.CONCAT("$I", $F674 + 2)))), $F674 + 2, ""))</f>
        <v>1294</v>
      </c>
    </row>
    <row r="676" spans="1:12" ht="59.25">
      <c r="A676" s="1" t="str" cm="1">
        <f t="array" aca="1" ref="A676" ca="1">INDIRECT(_xlfn.CONCAT("$I", $F676))</f>
        <v>Dragon's Maze Promos PDGM</v>
      </c>
      <c r="B676" s="1" cm="1">
        <f t="array" aca="1" ref="B676" ca="1">INDIRECT(_xlfn.CONCAT("$J", $F676))</f>
        <v>6</v>
      </c>
      <c r="C676" s="1" cm="1">
        <f t="array" aca="1" ref="C676" ca="1">INDIRECT(_xlfn.CONCAT("$K", $F676))</f>
        <v>41391</v>
      </c>
      <c r="D676" s="1"/>
      <c r="E676" s="1" t="str" cm="1">
        <f t="array" aca="1" ref="E676" ca="1">INDIRECT(_xlfn.CONCAT("$L", $F676))</f>
        <v>en es fr de it pt ja ko ru 汉语 漢語</v>
      </c>
      <c r="F676" s="1" cm="1">
        <f t="array" aca="1" ref="F676" ca="1">IF(NOT(OR(ISERROR(INDIRECT(_xlfn.CONCAT("$I", $F675 + 1))), ISBLANK(INDIRECT(_xlfn.CONCAT("$I", $F675 + 1))))), $F675 + 1, IF(NOT(ISBLANK(INDIRECT(_xlfn.CONCAT("$I", $F675 + 2)))), $F675 + 2, ""))</f>
        <v>1296</v>
      </c>
      <c r="I676" s="8" t="s">
        <v>510</v>
      </c>
      <c r="J676" s="8">
        <v>8</v>
      </c>
      <c r="K676" s="9">
        <v>44169</v>
      </c>
      <c r="L676" s="8" t="s">
        <v>174</v>
      </c>
    </row>
    <row r="677" spans="1:12" ht="59.25">
      <c r="A677" s="1" t="str" cm="1">
        <f t="array" aca="1" ref="A677" ca="1">INDIRECT(_xlfn.CONCAT("$I", $F677))</f>
        <v>Dragon's Maze Tokens TDGM</v>
      </c>
      <c r="B677" s="1" cm="1">
        <f t="array" aca="1" ref="B677" ca="1">INDIRECT(_xlfn.CONCAT("$J", $F677))</f>
        <v>1</v>
      </c>
      <c r="C677" s="1" cm="1">
        <f t="array" aca="1" ref="C677" ca="1">INDIRECT(_xlfn.CONCAT("$K", $F677))</f>
        <v>41397</v>
      </c>
      <c r="D677" s="1"/>
      <c r="E677" s="1" t="str" cm="1">
        <f t="array" aca="1" ref="E677" ca="1">INDIRECT(_xlfn.CONCAT("$L", $F677))</f>
        <v>en es fr de it pt ja ko ru 汉语 漢語</v>
      </c>
      <c r="F677" s="1" cm="1">
        <f t="array" aca="1" ref="F677" ca="1">IF(NOT(OR(ISERROR(INDIRECT(_xlfn.CONCAT("$I", $F676 + 1))), ISBLANK(INDIRECT(_xlfn.CONCAT("$I", $F676 + 1))))), $F676 + 1, IF(NOT(ISBLANK(INDIRECT(_xlfn.CONCAT("$I", $F676 + 2)))), $F676 + 2, ""))</f>
        <v>1298</v>
      </c>
    </row>
    <row r="678" spans="1:12" ht="59.25">
      <c r="A678" s="1" t="str" cm="1">
        <f t="array" aca="1" ref="A678" ca="1">INDIRECT(_xlfn.CONCAT("$I", $F678))</f>
        <v>World Magic Cup Qualifiers WMC</v>
      </c>
      <c r="B678" s="1" cm="1">
        <f t="array" aca="1" ref="B678" ca="1">INDIRECT(_xlfn.CONCAT("$J", $F678))</f>
        <v>5</v>
      </c>
      <c r="C678" s="1" cm="1">
        <f t="array" aca="1" ref="C678" ca="1">INDIRECT(_xlfn.CONCAT("$K", $F678))</f>
        <v>41370</v>
      </c>
      <c r="D678" s="1"/>
      <c r="E678" s="1" t="str" cm="1">
        <f t="array" aca="1" ref="E678" ca="1">INDIRECT(_xlfn.CONCAT("$L", $F678))</f>
        <v>en es fr de it pt ja ko ru 汉语 漢語</v>
      </c>
      <c r="F678" s="1" cm="1">
        <f t="array" aca="1" ref="F678" ca="1">IF(NOT(OR(ISERROR(INDIRECT(_xlfn.CONCAT("$I", $F677 + 1))), ISBLANK(INDIRECT(_xlfn.CONCAT("$I", $F677 + 1))))), $F677 + 1, IF(NOT(ISBLANK(INDIRECT(_xlfn.CONCAT("$I", $F677 + 2)))), $F677 + 2, ""))</f>
        <v>1300</v>
      </c>
      <c r="I678" s="8" t="s">
        <v>511</v>
      </c>
      <c r="J678" s="8">
        <v>718</v>
      </c>
      <c r="K678" s="9">
        <v>44155</v>
      </c>
      <c r="L678" t="s">
        <v>174</v>
      </c>
    </row>
    <row r="679" spans="1:12" ht="59.25">
      <c r="A679" s="1" t="str" cm="1">
        <f t="array" aca="1" ref="A679" ca="1">INDIRECT(_xlfn.CONCAT("$I", $F679))</f>
        <v>Duel Decks: Sorin vs. Tibalt DDK</v>
      </c>
      <c r="B679" s="1" cm="1">
        <f t="array" aca="1" ref="B679" ca="1">INDIRECT(_xlfn.CONCAT("$J", $F679))</f>
        <v>80</v>
      </c>
      <c r="C679" s="1" cm="1">
        <f t="array" aca="1" ref="C679" ca="1">INDIRECT(_xlfn.CONCAT("$K", $F679))</f>
        <v>41348</v>
      </c>
      <c r="D679" s="1"/>
      <c r="E679" s="1" t="str" cm="1">
        <f t="array" aca="1" ref="E679" ca="1">INDIRECT(_xlfn.CONCAT("$L", $F679))</f>
        <v>en es fr de it pt ja ko ru 汉语 漢語</v>
      </c>
      <c r="F679" s="1" cm="1">
        <f t="array" aca="1" ref="F679" ca="1">IF(NOT(OR(ISERROR(INDIRECT(_xlfn.CONCAT("$I", $F678 + 1))), ISBLANK(INDIRECT(_xlfn.CONCAT("$I", $F678 + 1))))), $F678 + 1, IF(NOT(ISBLANK(INDIRECT(_xlfn.CONCAT("$I", $F678 + 2)))), $F678 + 2, ""))</f>
        <v>1302</v>
      </c>
    </row>
    <row r="680" spans="1:12" ht="81">
      <c r="A680" s="1" t="str" cm="1">
        <f t="array" aca="1" ref="A680" ca="1">INDIRECT(_xlfn.CONCAT("$I", $F680))</f>
        <v>Duel Decks: Sorin vs. Tibalt Tokens TDDK</v>
      </c>
      <c r="B680" s="1" cm="1">
        <f t="array" aca="1" ref="B680" ca="1">INDIRECT(_xlfn.CONCAT("$J", $F680))</f>
        <v>1</v>
      </c>
      <c r="C680" s="1" cm="1">
        <f t="array" aca="1" ref="C680" ca="1">INDIRECT(_xlfn.CONCAT("$K", $F680))</f>
        <v>41348</v>
      </c>
      <c r="D680" s="1"/>
      <c r="E680" s="1" t="str" cm="1">
        <f t="array" aca="1" ref="E680" ca="1">INDIRECT(_xlfn.CONCAT("$L", $F680))</f>
        <v>en es fr de it pt ja ko ru 汉语 漢語</v>
      </c>
      <c r="F680" s="1" cm="1">
        <f t="array" aca="1" ref="F680" ca="1">IF(NOT(OR(ISERROR(INDIRECT(_xlfn.CONCAT("$I", $F679 + 1))), ISBLANK(INDIRECT(_xlfn.CONCAT("$I", $F679 + 1))))), $F679 + 1, IF(NOT(ISBLANK(INDIRECT(_xlfn.CONCAT("$I", $F679 + 2)))), $F679 + 2, ""))</f>
        <v>1304</v>
      </c>
      <c r="I680" s="8" t="s">
        <v>512</v>
      </c>
      <c r="J680" s="8">
        <v>6</v>
      </c>
      <c r="K680" s="9">
        <v>44155</v>
      </c>
      <c r="L680" s="8" t="s">
        <v>174</v>
      </c>
    </row>
    <row r="681" spans="1:12" ht="59.25">
      <c r="A681" s="1" t="str" cm="1">
        <f t="array" aca="1" ref="A681" ca="1">INDIRECT(_xlfn.CONCAT("$I", $F681))</f>
        <v>Gatecrash GTC</v>
      </c>
      <c r="B681" s="1" cm="1">
        <f t="array" aca="1" ref="B681" ca="1">INDIRECT(_xlfn.CONCAT("$J", $F681))</f>
        <v>249</v>
      </c>
      <c r="C681" s="1" cm="1">
        <f t="array" aca="1" ref="C681" ca="1">INDIRECT(_xlfn.CONCAT("$K", $F681))</f>
        <v>41306</v>
      </c>
      <c r="D681" s="1"/>
      <c r="E681" s="1" t="str" cm="1">
        <f t="array" aca="1" ref="E681" ca="1">INDIRECT(_xlfn.CONCAT("$L", $F681))</f>
        <v>en es fr de it pt ja ko ru 汉语 漢語</v>
      </c>
      <c r="F681" s="1" cm="1">
        <f t="array" aca="1" ref="F681" ca="1">IF(NOT(OR(ISERROR(INDIRECT(_xlfn.CONCAT("$I", $F680 + 1))), ISBLANK(INDIRECT(_xlfn.CONCAT("$I", $F680 + 1))))), $F680 + 1, IF(NOT(ISBLANK(INDIRECT(_xlfn.CONCAT("$I", $F680 + 2)))), $F680 + 2, ""))</f>
        <v>1306</v>
      </c>
    </row>
    <row r="682" spans="1:12" ht="59.25">
      <c r="A682" s="1" t="str" cm="1">
        <f t="array" aca="1" ref="A682" ca="1">INDIRECT(_xlfn.CONCAT("$I", $F682))</f>
        <v>Gatecrash Promos PGTC</v>
      </c>
      <c r="B682" s="1" cm="1">
        <f t="array" aca="1" ref="B682" ca="1">INDIRECT(_xlfn.CONCAT("$J", $F682))</f>
        <v>10</v>
      </c>
      <c r="C682" s="1" cm="1">
        <f t="array" aca="1" ref="C682" ca="1">INDIRECT(_xlfn.CONCAT("$K", $F682))</f>
        <v>41300</v>
      </c>
      <c r="D682" s="1"/>
      <c r="E682" s="1" t="str" cm="1">
        <f t="array" aca="1" ref="E682" ca="1">INDIRECT(_xlfn.CONCAT("$L", $F682))</f>
        <v>en es fr de it pt ja ko ru 汉语 漢語</v>
      </c>
      <c r="F682" s="1" cm="1">
        <f t="array" aca="1" ref="F682" ca="1">IF(NOT(OR(ISERROR(INDIRECT(_xlfn.CONCAT("$I", $F681 + 1))), ISBLANK(INDIRECT(_xlfn.CONCAT("$I", $F681 + 1))))), $F681 + 1, IF(NOT(ISBLANK(INDIRECT(_xlfn.CONCAT("$I", $F681 + 2)))), $F681 + 2, ""))</f>
        <v>1308</v>
      </c>
      <c r="I682" s="8" t="s">
        <v>513</v>
      </c>
      <c r="J682" s="8">
        <v>23</v>
      </c>
      <c r="K682" s="9">
        <v>44155</v>
      </c>
      <c r="L682" s="8" t="s">
        <v>174</v>
      </c>
    </row>
    <row r="683" spans="1:12" ht="59.25">
      <c r="A683" s="1" t="str" cm="1">
        <f t="array" aca="1" ref="A683" ca="1">INDIRECT(_xlfn.CONCAT("$I", $F683))</f>
        <v>Gatecrash Tokens TGTC</v>
      </c>
      <c r="B683" s="1" cm="1">
        <f t="array" aca="1" ref="B683" ca="1">INDIRECT(_xlfn.CONCAT("$J", $F683))</f>
        <v>8</v>
      </c>
      <c r="C683" s="1" cm="1">
        <f t="array" aca="1" ref="C683" ca="1">INDIRECT(_xlfn.CONCAT("$K", $F683))</f>
        <v>41306</v>
      </c>
      <c r="D683" s="1"/>
      <c r="E683" s="1" t="str" cm="1">
        <f t="array" aca="1" ref="E683" ca="1">INDIRECT(_xlfn.CONCAT("$L", $F683))</f>
        <v>en es fr de it pt ja ko ru 汉语 漢語</v>
      </c>
      <c r="F683" s="1" cm="1">
        <f t="array" aca="1" ref="F683" ca="1">IF(NOT(OR(ISERROR(INDIRECT(_xlfn.CONCAT("$I", $F682 + 1))), ISBLANK(INDIRECT(_xlfn.CONCAT("$I", $F682 + 1))))), $F682 + 1, IF(NOT(ISBLANK(INDIRECT(_xlfn.CONCAT("$I", $F682 + 2)))), $F682 + 2, ""))</f>
        <v>1310</v>
      </c>
    </row>
    <row r="684" spans="1:12" ht="81">
      <c r="A684" s="1" t="str" cm="1">
        <f t="array" aca="1" ref="A684" ca="1">INDIRECT(_xlfn.CONCAT("$I", $F684))</f>
        <v>Duels of the Planeswalkers 2014 Promos PDP14</v>
      </c>
      <c r="B684" s="1" cm="1">
        <f t="array" aca="1" ref="B684" ca="1">INDIRECT(_xlfn.CONCAT("$J", $F684))</f>
        <v>3</v>
      </c>
      <c r="C684" s="1" cm="1">
        <f t="array" aca="1" ref="C684" ca="1">INDIRECT(_xlfn.CONCAT("$K", $F684))</f>
        <v>41275</v>
      </c>
      <c r="D684" s="1"/>
      <c r="E684" s="1" t="str" cm="1">
        <f t="array" aca="1" ref="E684" ca="1">INDIRECT(_xlfn.CONCAT("$L", $F684))</f>
        <v>en es fr de it pt ja ko ru 汉语 漢語</v>
      </c>
      <c r="F684" s="1" cm="1">
        <f t="array" aca="1" ref="F684" ca="1">IF(NOT(OR(ISERROR(INDIRECT(_xlfn.CONCAT("$I", $F683 + 1))), ISBLANK(INDIRECT(_xlfn.CONCAT("$I", $F683 + 1))))), $F683 + 1, IF(NOT(ISBLANK(INDIRECT(_xlfn.CONCAT("$I", $F683 + 2)))), $F683 + 2, ""))</f>
        <v>1312</v>
      </c>
      <c r="I684" s="8" t="s">
        <v>514</v>
      </c>
      <c r="J684" s="8">
        <v>302</v>
      </c>
      <c r="K684" s="9">
        <v>44147</v>
      </c>
      <c r="L684" s="8" t="s">
        <v>174</v>
      </c>
    </row>
    <row r="685" spans="1:12" ht="59.25">
      <c r="A685" s="1" t="str" cm="1">
        <f t="array" aca="1" ref="A685" ca="1">INDIRECT(_xlfn.CONCAT("$I", $F685))</f>
        <v>League Tokens 2013 L13</v>
      </c>
      <c r="B685" s="1" cm="1">
        <f t="array" aca="1" ref="B685" ca="1">INDIRECT(_xlfn.CONCAT("$J", $F685))</f>
        <v>4</v>
      </c>
      <c r="C685" s="1" cm="1">
        <f t="array" aca="1" ref="C685" ca="1">INDIRECT(_xlfn.CONCAT("$K", $F685))</f>
        <v>41275</v>
      </c>
      <c r="D685" s="1"/>
      <c r="E685" s="1" t="str" cm="1">
        <f t="array" aca="1" ref="E685" ca="1">INDIRECT(_xlfn.CONCAT("$L", $F685))</f>
        <v>en es fr de it pt ja ko ru 汉语 漢語</v>
      </c>
      <c r="F685" s="1" cm="1">
        <f t="array" aca="1" ref="F685" ca="1">IF(NOT(OR(ISERROR(INDIRECT(_xlfn.CONCAT("$I", $F684 + 1))), ISBLANK(INDIRECT(_xlfn.CONCAT("$I", $F684 + 1))))), $F684 + 1, IF(NOT(ISBLANK(INDIRECT(_xlfn.CONCAT("$I", $F684 + 2)))), $F684 + 2, ""))</f>
        <v>1314</v>
      </c>
    </row>
    <row r="686" spans="1:12" ht="59.25">
      <c r="A686" s="1" t="str" cm="1">
        <f t="array" aca="1" ref="A686" ca="1">INDIRECT(_xlfn.CONCAT("$I", $F686))</f>
        <v>Judge Gift Cards 2013 J13</v>
      </c>
      <c r="B686" s="1" cm="1">
        <f t="array" aca="1" ref="B686" ca="1">INDIRECT(_xlfn.CONCAT("$J", $F686))</f>
        <v>9</v>
      </c>
      <c r="C686" s="1" cm="1">
        <f t="array" aca="1" ref="C686" ca="1">INDIRECT(_xlfn.CONCAT("$K", $F686))</f>
        <v>41275</v>
      </c>
      <c r="D686" s="1"/>
      <c r="E686" s="1" t="str" cm="1">
        <f t="array" aca="1" ref="E686" ca="1">INDIRECT(_xlfn.CONCAT("$L", $F686))</f>
        <v>en es fr de it pt ja ko ru 汉语 漢語</v>
      </c>
      <c r="F686" s="1" cm="1">
        <f t="array" aca="1" ref="F686" ca="1">IF(NOT(OR(ISERROR(INDIRECT(_xlfn.CONCAT("$I", $F685 + 1))), ISBLANK(INDIRECT(_xlfn.CONCAT("$I", $F685 + 1))))), $F685 + 1, IF(NOT(ISBLANK(INDIRECT(_xlfn.CONCAT("$I", $F685 + 2)))), $F685 + 2, ""))</f>
        <v>1316</v>
      </c>
      <c r="I686" s="8" t="s">
        <v>515</v>
      </c>
      <c r="J686" s="8">
        <v>5050</v>
      </c>
      <c r="K686" s="9">
        <v>44100</v>
      </c>
      <c r="L686" t="s">
        <v>174</v>
      </c>
    </row>
    <row r="687" spans="1:12" ht="59.25">
      <c r="A687" s="1" t="str" cm="1">
        <f t="array" aca="1" ref="A687" ca="1">INDIRECT(_xlfn.CONCAT("$I", $F687))</f>
        <v>Friday Night Magic 2013 F13</v>
      </c>
      <c r="B687" s="1" cm="1">
        <f t="array" aca="1" ref="B687" ca="1">INDIRECT(_xlfn.CONCAT("$J", $F687))</f>
        <v>12</v>
      </c>
      <c r="C687" s="1" cm="1">
        <f t="array" aca="1" ref="C687" ca="1">INDIRECT(_xlfn.CONCAT("$K", $F687))</f>
        <v>41275</v>
      </c>
      <c r="D687" s="1"/>
      <c r="E687" s="1" t="str" cm="1">
        <f t="array" aca="1" ref="E687" ca="1">INDIRECT(_xlfn.CONCAT("$L", $F687))</f>
        <v>en es fr de it pt ja ko ru 汉语 漢語</v>
      </c>
      <c r="F687" s="1" cm="1">
        <f t="array" aca="1" ref="F687" ca="1">IF(NOT(OR(ISERROR(INDIRECT(_xlfn.CONCAT("$I", $F686 + 1))), ISBLANK(INDIRECT(_xlfn.CONCAT("$I", $F686 + 1))))), $F686 + 1, IF(NOT(ISBLANK(INDIRECT(_xlfn.CONCAT("$I", $F686 + 2)))), $F686 + 2, ""))</f>
        <v>1318</v>
      </c>
    </row>
    <row r="688" spans="1:12" ht="59.25">
      <c r="A688" s="1" t="str" cm="1">
        <f t="array" aca="1" ref="A688" ca="1">INDIRECT(_xlfn.CONCAT("$I", $F688))</f>
        <v>Commander's Arsenal CM1</v>
      </c>
      <c r="B688" s="1" cm="1">
        <f t="array" aca="1" ref="B688" ca="1">INDIRECT(_xlfn.CONCAT("$J", $F688))</f>
        <v>18</v>
      </c>
      <c r="C688" s="1" cm="1">
        <f t="array" aca="1" ref="C688" ca="1">INDIRECT(_xlfn.CONCAT("$K", $F688))</f>
        <v>41215</v>
      </c>
      <c r="D688" s="1"/>
      <c r="E688" s="1" t="str" cm="1">
        <f t="array" aca="1" ref="E688" ca="1">INDIRECT(_xlfn.CONCAT("$L", $F688))</f>
        <v>en es fr de it pt ja ko ru 汉语 漢語</v>
      </c>
      <c r="F688" s="1" cm="1">
        <f t="array" aca="1" ref="F688" ca="1">IF(NOT(OR(ISERROR(INDIRECT(_xlfn.CONCAT("$I", $F687 + 1))), ISBLANK(INDIRECT(_xlfn.CONCAT("$I", $F687 + 1))))), $F687 + 1, IF(NOT(ISBLANK(INDIRECT(_xlfn.CONCAT("$I", $F687 + 2)))), $F687 + 2, ""))</f>
        <v>1320</v>
      </c>
      <c r="I688" s="8" t="s">
        <v>516</v>
      </c>
      <c r="J688" s="8">
        <v>62</v>
      </c>
      <c r="K688" s="9">
        <v>44841</v>
      </c>
      <c r="L688" s="8" t="s">
        <v>174</v>
      </c>
    </row>
    <row r="689" spans="1:12" ht="59.25">
      <c r="A689" s="1" t="str" cm="1">
        <f t="array" aca="1" ref="A689" ca="1">INDIRECT(_xlfn.CONCAT("$I", $F689))</f>
        <v>Commander's Arsenal Oversized OCM1</v>
      </c>
      <c r="B689" s="1" cm="1">
        <f t="array" aca="1" ref="B689" ca="1">INDIRECT(_xlfn.CONCAT("$J", $F689))</f>
        <v>10</v>
      </c>
      <c r="C689" s="1" cm="1">
        <f t="array" aca="1" ref="C689" ca="1">INDIRECT(_xlfn.CONCAT("$K", $F689))</f>
        <v>41215</v>
      </c>
      <c r="D689" s="1"/>
      <c r="E689" s="1" t="str" cm="1">
        <f t="array" aca="1" ref="E689" ca="1">INDIRECT(_xlfn.CONCAT("$L", $F689))</f>
        <v>en es fr de it pt ja ko ru 汉语 漢語</v>
      </c>
      <c r="F689" s="1" cm="1">
        <f t="array" aca="1" ref="F689" ca="1">IF(NOT(OR(ISERROR(INDIRECT(_xlfn.CONCAT("$I", $F688 + 1))), ISBLANK(INDIRECT(_xlfn.CONCAT("$I", $F688 + 1))))), $F688 + 1, IF(NOT(ISBLANK(INDIRECT(_xlfn.CONCAT("$I", $F688 + 2)))), $F688 + 2, ""))</f>
        <v>1322</v>
      </c>
    </row>
    <row r="690" spans="1:12" ht="59.25">
      <c r="A690" s="1" t="str" cm="1">
        <f t="array" aca="1" ref="A690" ca="1">INDIRECT(_xlfn.CONCAT("$I", $F690))</f>
        <v>Return to Ravnica RTR</v>
      </c>
      <c r="B690" s="1" cm="1">
        <f t="array" aca="1" ref="B690" ca="1">INDIRECT(_xlfn.CONCAT("$J", $F690))</f>
        <v>274</v>
      </c>
      <c r="C690" s="1" cm="1">
        <f t="array" aca="1" ref="C690" ca="1">INDIRECT(_xlfn.CONCAT("$K", $F690))</f>
        <v>41187</v>
      </c>
      <c r="D690" s="1"/>
      <c r="E690" s="1" t="str" cm="1">
        <f t="array" aca="1" ref="E690" ca="1">INDIRECT(_xlfn.CONCAT("$L", $F690))</f>
        <v>en es fr de it pt ja ko ru 汉语 漢語</v>
      </c>
      <c r="F690" s="1" cm="1">
        <f t="array" aca="1" ref="F690" ca="1">IF(NOT(OR(ISERROR(INDIRECT(_xlfn.CONCAT("$I", $F689 + 1))), ISBLANK(INDIRECT(_xlfn.CONCAT("$I", $F689 + 1))))), $F689 + 1, IF(NOT(ISBLANK(INDIRECT(_xlfn.CONCAT("$I", $F689 + 2)))), $F689 + 2, ""))</f>
        <v>1324</v>
      </c>
      <c r="I690" s="8" t="s">
        <v>517</v>
      </c>
      <c r="J690" s="8">
        <v>408</v>
      </c>
      <c r="K690" s="9">
        <v>44099</v>
      </c>
      <c r="L690" t="s">
        <v>174</v>
      </c>
    </row>
    <row r="691" spans="1:12" ht="59.25">
      <c r="A691" s="1" t="str" cm="1">
        <f t="array" aca="1" ref="A691" ca="1">INDIRECT(_xlfn.CONCAT("$I", $F691))</f>
        <v>Return to Ravnica Promos PRTR</v>
      </c>
      <c r="B691" s="1" cm="1">
        <f t="array" aca="1" ref="B691" ca="1">INDIRECT(_xlfn.CONCAT("$J", $F691))</f>
        <v>10</v>
      </c>
      <c r="C691" s="1" cm="1">
        <f t="array" aca="1" ref="C691" ca="1">INDIRECT(_xlfn.CONCAT("$K", $F691))</f>
        <v>41187</v>
      </c>
      <c r="D691" s="1"/>
      <c r="E691" s="1" t="str" cm="1">
        <f t="array" aca="1" ref="E691" ca="1">INDIRECT(_xlfn.CONCAT("$L", $F691))</f>
        <v>en es fr de it pt ja ko ru 汉语 漢語</v>
      </c>
      <c r="F691" s="1" cm="1">
        <f t="array" aca="1" ref="F691" ca="1">IF(NOT(OR(ISERROR(INDIRECT(_xlfn.CONCAT("$I", $F690 + 1))), ISBLANK(INDIRECT(_xlfn.CONCAT("$I", $F690 + 1))))), $F690 + 1, IF(NOT(ISBLANK(INDIRECT(_xlfn.CONCAT("$I", $F690 + 2)))), $F690 + 2, ""))</f>
        <v>1326</v>
      </c>
    </row>
    <row r="692" spans="1:12" ht="59.25">
      <c r="A692" s="1" t="str" cm="1">
        <f t="array" aca="1" ref="A692" ca="1">INDIRECT(_xlfn.CONCAT("$I", $F692))</f>
        <v>Return to Ravnica Tokens TRTR</v>
      </c>
      <c r="B692" s="1" cm="1">
        <f t="array" aca="1" ref="B692" ca="1">INDIRECT(_xlfn.CONCAT("$J", $F692))</f>
        <v>12</v>
      </c>
      <c r="C692" s="1" cm="1">
        <f t="array" aca="1" ref="C692" ca="1">INDIRECT(_xlfn.CONCAT("$K", $F692))</f>
        <v>41187</v>
      </c>
      <c r="D692" s="1"/>
      <c r="E692" s="1" t="str" cm="1">
        <f t="array" aca="1" ref="E692" ca="1">INDIRECT(_xlfn.CONCAT("$L", $F692))</f>
        <v>en es fr de it pt ja ko ru 汉语 漢語</v>
      </c>
      <c r="F692" s="1" cm="1">
        <f t="array" aca="1" ref="F692" ca="1">IF(NOT(OR(ISERROR(INDIRECT(_xlfn.CONCAT("$I", $F691 + 1))), ISBLANK(INDIRECT(_xlfn.CONCAT("$I", $F691 + 1))))), $F691 + 1, IF(NOT(ISBLANK(INDIRECT(_xlfn.CONCAT("$I", $F691 + 2)))), $F691 + 2, ""))</f>
        <v>1328</v>
      </c>
      <c r="I692" s="8" t="s">
        <v>518</v>
      </c>
      <c r="J692" s="8">
        <v>30</v>
      </c>
      <c r="K692" s="9">
        <v>44099</v>
      </c>
      <c r="L692" t="s">
        <v>174</v>
      </c>
    </row>
    <row r="693" spans="1:12" ht="59.25">
      <c r="A693" s="1" t="str" cm="1">
        <f t="array" aca="1" ref="A693" ca="1">INDIRECT(_xlfn.CONCAT("$I", $F693))</f>
        <v>Duel Decks: Izzet vs. Golgari DDJ</v>
      </c>
      <c r="B693" s="1" cm="1">
        <f t="array" aca="1" ref="B693" ca="1">INDIRECT(_xlfn.CONCAT("$J", $F693))</f>
        <v>90</v>
      </c>
      <c r="C693" s="1" cm="1">
        <f t="array" aca="1" ref="C693" ca="1">INDIRECT(_xlfn.CONCAT("$K", $F693))</f>
        <v>41159</v>
      </c>
      <c r="D693" s="1"/>
      <c r="E693" s="1" t="str" cm="1">
        <f t="array" aca="1" ref="E693" ca="1">INDIRECT(_xlfn.CONCAT("$L", $F693))</f>
        <v>en es fr de it pt ja ko ru 汉语 漢語</v>
      </c>
      <c r="F693" s="1" cm="1">
        <f t="array" aca="1" ref="F693" ca="1">IF(NOT(OR(ISERROR(INDIRECT(_xlfn.CONCAT("$I", $F692 + 1))), ISBLANK(INDIRECT(_xlfn.CONCAT("$I", $F692 + 1))))), $F692 + 1, IF(NOT(ISBLANK(INDIRECT(_xlfn.CONCAT("$I", $F692 + 2)))), $F692 + 2, ""))</f>
        <v>1330</v>
      </c>
    </row>
    <row r="694" spans="1:12" ht="81">
      <c r="A694" s="1" t="str" cm="1">
        <f t="array" aca="1" ref="A694" ca="1">INDIRECT(_xlfn.CONCAT("$I", $F694))</f>
        <v>Duel Decks: Izzet vs. Golgari Tokens TDDJ</v>
      </c>
      <c r="B694" s="1" cm="1">
        <f t="array" aca="1" ref="B694" ca="1">INDIRECT(_xlfn.CONCAT("$J", $F694))</f>
        <v>1</v>
      </c>
      <c r="C694" s="1" cm="1">
        <f t="array" aca="1" ref="C694" ca="1">INDIRECT(_xlfn.CONCAT("$K", $F694))</f>
        <v>41159</v>
      </c>
      <c r="D694" s="1"/>
      <c r="E694" s="1" t="str" cm="1">
        <f t="array" aca="1" ref="E694" ca="1">INDIRECT(_xlfn.CONCAT("$L", $F694))</f>
        <v>en es fr de it pt ja ko ru 汉语 漢語</v>
      </c>
      <c r="F694" s="1" cm="1">
        <f t="array" aca="1" ref="F694" ca="1">IF(NOT(OR(ISERROR(INDIRECT(_xlfn.CONCAT("$I", $F693 + 1))), ISBLANK(INDIRECT(_xlfn.CONCAT("$I", $F693 + 1))))), $F693 + 1, IF(NOT(ISBLANK(INDIRECT(_xlfn.CONCAT("$I", $F693 + 2)))), $F693 + 2, ""))</f>
        <v>1332</v>
      </c>
      <c r="I694" s="8" t="s">
        <v>519</v>
      </c>
      <c r="J694" s="8">
        <v>153</v>
      </c>
      <c r="K694" s="9">
        <v>44099</v>
      </c>
      <c r="L694" s="8" t="s">
        <v>174</v>
      </c>
    </row>
    <row r="695" spans="1:12" ht="59.25">
      <c r="A695" s="1" t="str" cm="1">
        <f t="array" aca="1" ref="A695" ca="1">INDIRECT(_xlfn.CONCAT("$I", $F695))</f>
        <v>From the Vault: Realms V12</v>
      </c>
      <c r="B695" s="1" cm="1">
        <f t="array" aca="1" ref="B695" ca="1">INDIRECT(_xlfn.CONCAT("$J", $F695))</f>
        <v>15</v>
      </c>
      <c r="C695" s="1" cm="1">
        <f t="array" aca="1" ref="C695" ca="1">INDIRECT(_xlfn.CONCAT("$K", $F695))</f>
        <v>41152</v>
      </c>
      <c r="D695" s="1"/>
      <c r="E695" s="1" t="str" cm="1">
        <f t="array" aca="1" ref="E695" ca="1">INDIRECT(_xlfn.CONCAT("$L", $F695))</f>
        <v>en es fr de it pt ja ko ru 汉语 漢語</v>
      </c>
      <c r="F695" s="1" cm="1">
        <f t="array" aca="1" ref="F695" ca="1">IF(NOT(OR(ISERROR(INDIRECT(_xlfn.CONCAT("$I", $F694 + 1))), ISBLANK(INDIRECT(_xlfn.CONCAT("$I", $F694 + 1))))), $F694 + 1, IF(NOT(ISBLANK(INDIRECT(_xlfn.CONCAT("$I", $F694 + 2)))), $F694 + 2, ""))</f>
        <v>1334</v>
      </c>
    </row>
    <row r="696" spans="1:12" ht="59.25">
      <c r="A696" s="1" t="str" cm="1">
        <f t="array" aca="1" ref="A696" ca="1">INDIRECT(_xlfn.CONCAT("$I", $F696))</f>
        <v>Magic 2013 M13</v>
      </c>
      <c r="B696" s="1" cm="1">
        <f t="array" aca="1" ref="B696" ca="1">INDIRECT(_xlfn.CONCAT("$J", $F696))</f>
        <v>249</v>
      </c>
      <c r="C696" s="1" cm="1">
        <f t="array" aca="1" ref="C696" ca="1">INDIRECT(_xlfn.CONCAT("$K", $F696))</f>
        <v>41103</v>
      </c>
      <c r="D696" s="1"/>
      <c r="E696" s="1" t="str" cm="1">
        <f t="array" aca="1" ref="E696" ca="1">INDIRECT(_xlfn.CONCAT("$L", $F696))</f>
        <v>en es fr de it pt ja ko ru 汉语 漢語</v>
      </c>
      <c r="F696" s="1" cm="1">
        <f t="array" aca="1" ref="F696" ca="1">IF(NOT(OR(ISERROR(INDIRECT(_xlfn.CONCAT("$I", $F695 + 1))), ISBLANK(INDIRECT(_xlfn.CONCAT("$I", $F695 + 1))))), $F695 + 1, IF(NOT(ISBLANK(INDIRECT(_xlfn.CONCAT("$I", $F695 + 2)))), $F695 + 2, ""))</f>
        <v>1336</v>
      </c>
      <c r="I696" s="8" t="s">
        <v>520</v>
      </c>
      <c r="J696" s="8">
        <v>12</v>
      </c>
      <c r="K696" s="9">
        <v>44099</v>
      </c>
      <c r="L696" s="8" t="s">
        <v>174</v>
      </c>
    </row>
    <row r="697" spans="1:12" ht="59.25">
      <c r="A697" s="1" t="str" cm="1">
        <f t="array" aca="1" ref="A697" ca="1">INDIRECT(_xlfn.CONCAT("$I", $F697))</f>
        <v>Magic 2013 Promos PM13</v>
      </c>
      <c r="B697" s="1" cm="1">
        <f t="array" aca="1" ref="B697" ca="1">INDIRECT(_xlfn.CONCAT("$J", $F697))</f>
        <v>6</v>
      </c>
      <c r="C697" s="1" cm="1">
        <f t="array" aca="1" ref="C697" ca="1">INDIRECT(_xlfn.CONCAT("$K", $F697))</f>
        <v>41102</v>
      </c>
      <c r="D697" s="1"/>
      <c r="E697" s="1" t="str" cm="1">
        <f t="array" aca="1" ref="E697" ca="1">INDIRECT(_xlfn.CONCAT("$L", $F697))</f>
        <v>en es fr de it pt ja ko ru 汉语 漢語</v>
      </c>
      <c r="F697" s="1" cm="1">
        <f t="array" aca="1" ref="F697" ca="1">IF(NOT(OR(ISERROR(INDIRECT(_xlfn.CONCAT("$I", $F696 + 1))), ISBLANK(INDIRECT(_xlfn.CONCAT("$I", $F696 + 1))))), $F696 + 1, IF(NOT(ISBLANK(INDIRECT(_xlfn.CONCAT("$I", $F696 + 2)))), $F696 + 2, ""))</f>
        <v>1338</v>
      </c>
    </row>
    <row r="698" spans="1:12" ht="59.25">
      <c r="A698" s="1" t="str" cm="1">
        <f t="array" aca="1" ref="A698" ca="1">INDIRECT(_xlfn.CONCAT("$I", $F698))</f>
        <v>Magic 2013 Tokens TM13</v>
      </c>
      <c r="B698" s="1" cm="1">
        <f t="array" aca="1" ref="B698" ca="1">INDIRECT(_xlfn.CONCAT("$J", $F698))</f>
        <v>11</v>
      </c>
      <c r="C698" s="1" cm="1">
        <f t="array" aca="1" ref="C698" ca="1">INDIRECT(_xlfn.CONCAT("$K", $F698))</f>
        <v>41103</v>
      </c>
      <c r="D698" s="1"/>
      <c r="E698" s="1" t="str" cm="1">
        <f t="array" aca="1" ref="E698" ca="1">INDIRECT(_xlfn.CONCAT("$L", $F698))</f>
        <v>en es fr de it pt ja ko ru 汉语 漢語</v>
      </c>
      <c r="F698" s="1" cm="1">
        <f t="array" aca="1" ref="F698" ca="1">IF(NOT(OR(ISERROR(INDIRECT(_xlfn.CONCAT("$I", $F697 + 1))), ISBLANK(INDIRECT(_xlfn.CONCAT("$I", $F697 + 1))))), $F697 + 1, IF(NOT(ISBLANK(INDIRECT(_xlfn.CONCAT("$I", $F697 + 2)))), $F697 + 2, ""))</f>
        <v>1340</v>
      </c>
      <c r="I698" s="8" t="s">
        <v>521</v>
      </c>
      <c r="J698" s="8">
        <v>81</v>
      </c>
      <c r="K698" s="9">
        <v>44099</v>
      </c>
      <c r="L698" s="8" t="s">
        <v>174</v>
      </c>
    </row>
    <row r="699" spans="1:12" ht="59.25">
      <c r="A699" s="1" t="str" cm="1">
        <f t="array" aca="1" ref="A699" ca="1">INDIRECT(_xlfn.CONCAT("$I", $F699))</f>
        <v>Planechase 2012 PC2</v>
      </c>
      <c r="B699" s="1" cm="1">
        <f t="array" aca="1" ref="B699" ca="1">INDIRECT(_xlfn.CONCAT("$J", $F699))</f>
        <v>156</v>
      </c>
      <c r="C699" s="1" cm="1">
        <f t="array" aca="1" ref="C699" ca="1">INDIRECT(_xlfn.CONCAT("$K", $F699))</f>
        <v>41061</v>
      </c>
      <c r="D699" s="1"/>
      <c r="E699" s="1" t="str" cm="1">
        <f t="array" aca="1" ref="E699" ca="1">INDIRECT(_xlfn.CONCAT("$L", $F699))</f>
        <v>en es fr de it pt ja ko ru 汉语 漢語</v>
      </c>
      <c r="F699" s="1" cm="1">
        <f t="array" aca="1" ref="F699" ca="1">IF(NOT(OR(ISERROR(INDIRECT(_xlfn.CONCAT("$I", $F698 + 1))), ISBLANK(INDIRECT(_xlfn.CONCAT("$I", $F698 + 1))))), $F698 + 1, IF(NOT(ISBLANK(INDIRECT(_xlfn.CONCAT("$I", $F698 + 2)))), $F698 + 2, ""))</f>
        <v>1342</v>
      </c>
    </row>
    <row r="700" spans="1:12" ht="59.25">
      <c r="A700" s="1" t="str" cm="1">
        <f t="array" aca="1" ref="A700" ca="1">INDIRECT(_xlfn.CONCAT("$I", $F700))</f>
        <v>Planechase 2012 Planes OPC2</v>
      </c>
      <c r="B700" s="1" cm="1">
        <f t="array" aca="1" ref="B700" ca="1">INDIRECT(_xlfn.CONCAT("$J", $F700))</f>
        <v>40</v>
      </c>
      <c r="C700" s="1" cm="1">
        <f t="array" aca="1" ref="C700" ca="1">INDIRECT(_xlfn.CONCAT("$K", $F700))</f>
        <v>41061</v>
      </c>
      <c r="D700" s="1"/>
      <c r="E700" s="1" t="str" cm="1">
        <f t="array" aca="1" ref="E700" ca="1">INDIRECT(_xlfn.CONCAT("$L", $F700))</f>
        <v>en es fr de it pt ja ko ru 汉语 漢語</v>
      </c>
      <c r="F700" s="1" cm="1">
        <f t="array" aca="1" ref="F700" ca="1">IF(NOT(OR(ISERROR(INDIRECT(_xlfn.CONCAT("$I", $F699 + 1))), ISBLANK(INDIRECT(_xlfn.CONCAT("$I", $F699 + 1))))), $F699 + 1, IF(NOT(ISBLANK(INDIRECT(_xlfn.CONCAT("$I", $F699 + 2)))), $F699 + 2, ""))</f>
        <v>1344</v>
      </c>
      <c r="I700" s="8" t="s">
        <v>522</v>
      </c>
      <c r="J700" s="8">
        <v>5</v>
      </c>
      <c r="K700" s="9">
        <v>44099</v>
      </c>
      <c r="L700" s="8" t="s">
        <v>174</v>
      </c>
    </row>
    <row r="701" spans="1:12" ht="59.25">
      <c r="A701" s="1" t="str" cm="1">
        <f t="array" aca="1" ref="A701" ca="1">INDIRECT(_xlfn.CONCAT("$I", $F701))</f>
        <v>Avacyn Restored AVR</v>
      </c>
      <c r="B701" s="1" cm="1">
        <f t="array" aca="1" ref="B701" ca="1">INDIRECT(_xlfn.CONCAT("$J", $F701))</f>
        <v>244</v>
      </c>
      <c r="C701" s="1" cm="1">
        <f t="array" aca="1" ref="C701" ca="1">INDIRECT(_xlfn.CONCAT("$K", $F701))</f>
        <v>41033</v>
      </c>
      <c r="D701" s="1"/>
      <c r="E701" s="1" t="str" cm="1">
        <f t="array" aca="1" ref="E701" ca="1">INDIRECT(_xlfn.CONCAT("$L", $F701))</f>
        <v>en es fr de it pt ja ko ru 汉语 漢語</v>
      </c>
      <c r="F701" s="1" cm="1">
        <f t="array" aca="1" ref="F701" ca="1">IF(NOT(OR(ISERROR(INDIRECT(_xlfn.CONCAT("$I", $F700 + 1))), ISBLANK(INDIRECT(_xlfn.CONCAT("$I", $F700 + 1))))), $F700 + 1, IF(NOT(ISBLANK(INDIRECT(_xlfn.CONCAT("$I", $F700 + 2)))), $F700 + 2, ""))</f>
        <v>1346</v>
      </c>
    </row>
    <row r="702" spans="1:12" ht="59.25">
      <c r="A702" s="1" t="str" cm="1">
        <f t="array" aca="1" ref="A702" ca="1">INDIRECT(_xlfn.CONCAT("$I", $F702))</f>
        <v>Avacyn Restored Promos PAVR</v>
      </c>
      <c r="B702" s="1" cm="1">
        <f t="array" aca="1" ref="B702" ca="1">INDIRECT(_xlfn.CONCAT("$J", $F702))</f>
        <v>6</v>
      </c>
      <c r="C702" s="1" cm="1">
        <f t="array" aca="1" ref="C702" ca="1">INDIRECT(_xlfn.CONCAT("$K", $F702))</f>
        <v>41027</v>
      </c>
      <c r="D702" s="1"/>
      <c r="E702" s="1" t="str" cm="1">
        <f t="array" aca="1" ref="E702" ca="1">INDIRECT(_xlfn.CONCAT("$L", $F702))</f>
        <v>en es fr de it pt ja ko ru 汉语 漢語</v>
      </c>
      <c r="F702" s="1" cm="1">
        <f t="array" aca="1" ref="F702" ca="1">IF(NOT(OR(ISERROR(INDIRECT(_xlfn.CONCAT("$I", $F701 + 1))), ISBLANK(INDIRECT(_xlfn.CONCAT("$I", $F701 + 1))))), $F701 + 1, IF(NOT(ISBLANK(INDIRECT(_xlfn.CONCAT("$I", $F701 + 2)))), $F701 + 2, ""))</f>
        <v>1348</v>
      </c>
      <c r="I702" s="8" t="s">
        <v>523</v>
      </c>
      <c r="J702" s="8">
        <v>142</v>
      </c>
      <c r="K702" s="9">
        <v>44099</v>
      </c>
      <c r="L702" t="s">
        <v>174</v>
      </c>
    </row>
    <row r="703" spans="1:12" ht="59.25">
      <c r="A703" s="1" t="str" cm="1">
        <f t="array" aca="1" ref="A703" ca="1">INDIRECT(_xlfn.CONCAT("$I", $F703))</f>
        <v>Avacyn Restored Tokens TAVR</v>
      </c>
      <c r="B703" s="1" cm="1">
        <f t="array" aca="1" ref="B703" ca="1">INDIRECT(_xlfn.CONCAT("$J", $F703))</f>
        <v>8</v>
      </c>
      <c r="C703" s="1" cm="1">
        <f t="array" aca="1" ref="C703" ca="1">INDIRECT(_xlfn.CONCAT("$K", $F703))</f>
        <v>41033</v>
      </c>
      <c r="D703" s="1"/>
      <c r="E703" s="1" t="str" cm="1">
        <f t="array" aca="1" ref="E703" ca="1">INDIRECT(_xlfn.CONCAT("$L", $F703))</f>
        <v>en es fr de it pt ja ko ru 汉语 漢語</v>
      </c>
      <c r="F703" s="1" cm="1">
        <f t="array" aca="1" ref="F703" ca="1">IF(NOT(OR(ISERROR(INDIRECT(_xlfn.CONCAT("$I", $F702 + 1))), ISBLANK(INDIRECT(_xlfn.CONCAT("$I", $F702 + 1))))), $F702 + 1, IF(NOT(ISBLANK(INDIRECT(_xlfn.CONCAT("$I", $F702 + 2)))), $F702 + 2, ""))</f>
        <v>1350</v>
      </c>
    </row>
    <row r="704" spans="1:12" ht="59.25">
      <c r="A704" s="1" t="str" cm="1">
        <f t="array" aca="1" ref="A704" ca="1">INDIRECT(_xlfn.CONCAT("$I", $F704))</f>
        <v>Open the Helvault PHEL</v>
      </c>
      <c r="B704" s="1" cm="1">
        <f t="array" aca="1" ref="B704" ca="1">INDIRECT(_xlfn.CONCAT("$J", $F704))</f>
        <v>6</v>
      </c>
      <c r="C704" s="1" cm="1">
        <f t="array" aca="1" ref="C704" ca="1">INDIRECT(_xlfn.CONCAT("$K", $F704))</f>
        <v>41027</v>
      </c>
      <c r="D704" s="1"/>
      <c r="E704" s="1" t="str" cm="1">
        <f t="array" aca="1" ref="E704" ca="1">INDIRECT(_xlfn.CONCAT("$L", $F704))</f>
        <v>en es fr de it pt ja ko ru 汉语 漢語</v>
      </c>
      <c r="F704" s="1" cm="1">
        <f t="array" aca="1" ref="F704" ca="1">IF(NOT(OR(ISERROR(INDIRECT(_xlfn.CONCAT("$I", $F703 + 1))), ISBLANK(INDIRECT(_xlfn.CONCAT("$I", $F703 + 1))))), $F703 + 1, IF(NOT(ISBLANK(INDIRECT(_xlfn.CONCAT("$I", $F703 + 2)))), $F703 + 2, ""))</f>
        <v>1352</v>
      </c>
      <c r="I704" s="8" t="s">
        <v>524</v>
      </c>
      <c r="J704" s="8">
        <v>11</v>
      </c>
      <c r="K704" s="9">
        <v>44099</v>
      </c>
      <c r="L704" s="8" t="s">
        <v>174</v>
      </c>
    </row>
    <row r="705" spans="1:12" ht="59.25">
      <c r="A705" s="1" t="str" cm="1">
        <f t="array" aca="1" ref="A705" ca="1">INDIRECT(_xlfn.CONCAT("$I", $F705))</f>
        <v>Duel Decks: Venser vs. Koth DDI</v>
      </c>
      <c r="B705" s="1" cm="1">
        <f t="array" aca="1" ref="B705" ca="1">INDIRECT(_xlfn.CONCAT("$J", $F705))</f>
        <v>77</v>
      </c>
      <c r="C705" s="1" cm="1">
        <f t="array" aca="1" ref="C705" ca="1">INDIRECT(_xlfn.CONCAT("$K", $F705))</f>
        <v>40998</v>
      </c>
      <c r="D705" s="1"/>
      <c r="E705" s="1" t="str" cm="1">
        <f t="array" aca="1" ref="E705" ca="1">INDIRECT(_xlfn.CONCAT("$L", $F705))</f>
        <v>en es fr de it pt ja ko ru 汉语 漢語</v>
      </c>
      <c r="F705" s="1" cm="1">
        <f t="array" aca="1" ref="F705" ca="1">IF(NOT(OR(ISERROR(INDIRECT(_xlfn.CONCAT("$I", $F704 + 1))), ISBLANK(INDIRECT(_xlfn.CONCAT("$I", $F704 + 1))))), $F704 + 1, IF(NOT(ISBLANK(INDIRECT(_xlfn.CONCAT("$I", $F704 + 2)))), $F704 + 2, ""))</f>
        <v>1354</v>
      </c>
    </row>
    <row r="706" spans="1:12" ht="81">
      <c r="A706" s="1" t="str" cm="1">
        <f t="array" aca="1" ref="A706" ca="1">INDIRECT(_xlfn.CONCAT("$I", $F706))</f>
        <v>Duel Decks: Venser vs. Koth Tokens TDDI</v>
      </c>
      <c r="B706" s="1" cm="1">
        <f t="array" aca="1" ref="B706" ca="1">INDIRECT(_xlfn.CONCAT("$J", $F706))</f>
        <v>2</v>
      </c>
      <c r="C706" s="1" cm="1">
        <f t="array" aca="1" ref="C706" ca="1">INDIRECT(_xlfn.CONCAT("$K", $F706))</f>
        <v>40998</v>
      </c>
      <c r="D706" s="1"/>
      <c r="E706" s="1" t="str" cm="1">
        <f t="array" aca="1" ref="E706" ca="1">INDIRECT(_xlfn.CONCAT("$L", $F706))</f>
        <v>en es fr de it pt ja ko ru 汉语 漢語</v>
      </c>
      <c r="F706" s="1" cm="1">
        <f t="array" aca="1" ref="F706" ca="1">IF(NOT(OR(ISERROR(INDIRECT(_xlfn.CONCAT("$I", $F705 + 1))), ISBLANK(INDIRECT(_xlfn.CONCAT("$I", $F705 + 1))))), $F705 + 1, IF(NOT(ISBLANK(INDIRECT(_xlfn.CONCAT("$I", $F705 + 2)))), $F705 + 2, ""))</f>
        <v>1356</v>
      </c>
      <c r="I706" s="8" t="s">
        <v>525</v>
      </c>
      <c r="J706" s="8">
        <v>9</v>
      </c>
      <c r="K706" s="9">
        <v>44099</v>
      </c>
      <c r="L706" s="8" t="s">
        <v>174</v>
      </c>
    </row>
    <row r="707" spans="1:12" ht="59.25">
      <c r="A707" s="1" t="str" cm="1">
        <f t="array" aca="1" ref="A707" ca="1">INDIRECT(_xlfn.CONCAT("$I", $F707))</f>
        <v>Dark Ascension DKA</v>
      </c>
      <c r="B707" s="1" cm="1">
        <f t="array" aca="1" ref="B707" ca="1">INDIRECT(_xlfn.CONCAT("$J", $F707))</f>
        <v>158</v>
      </c>
      <c r="C707" s="1" cm="1">
        <f t="array" aca="1" ref="C707" ca="1">INDIRECT(_xlfn.CONCAT("$K", $F707))</f>
        <v>40942</v>
      </c>
      <c r="D707" s="1"/>
      <c r="E707" s="1" t="str" cm="1">
        <f t="array" aca="1" ref="E707" ca="1">INDIRECT(_xlfn.CONCAT("$L", $F707))</f>
        <v>en es fr de it pt ja ko ru 汉语 漢語</v>
      </c>
      <c r="F707" s="1" cm="1">
        <f t="array" aca="1" ref="F707" ca="1">IF(NOT(OR(ISERROR(INDIRECT(_xlfn.CONCAT("$I", $F706 + 1))), ISBLANK(INDIRECT(_xlfn.CONCAT("$I", $F706 + 1))))), $F706 + 1, IF(NOT(ISBLANK(INDIRECT(_xlfn.CONCAT("$I", $F706 + 2)))), $F706 + 2, ""))</f>
        <v>1358</v>
      </c>
    </row>
    <row r="708" spans="1:12" ht="59.25">
      <c r="A708" s="1" t="str" cm="1">
        <f t="array" aca="1" ref="A708" ca="1">INDIRECT(_xlfn.CONCAT("$I", $F708))</f>
        <v>Dark Ascension Promos PDKA</v>
      </c>
      <c r="B708" s="1" cm="1">
        <f t="array" aca="1" ref="B708" ca="1">INDIRECT(_xlfn.CONCAT("$J", $F708))</f>
        <v>5</v>
      </c>
      <c r="C708" s="1" cm="1">
        <f t="array" aca="1" ref="C708" ca="1">INDIRECT(_xlfn.CONCAT("$K", $F708))</f>
        <v>40936</v>
      </c>
      <c r="D708" s="1"/>
      <c r="E708" s="1" t="str" cm="1">
        <f t="array" aca="1" ref="E708" ca="1">INDIRECT(_xlfn.CONCAT("$L", $F708))</f>
        <v>en es fr de it pt ja ko ru 汉语 漢語</v>
      </c>
      <c r="F708" s="1" cm="1">
        <f t="array" aca="1" ref="F708" ca="1">IF(NOT(OR(ISERROR(INDIRECT(_xlfn.CONCAT("$I", $F707 + 1))), ISBLANK(INDIRECT(_xlfn.CONCAT("$I", $F707 + 1))))), $F707 + 1, IF(NOT(ISBLANK(INDIRECT(_xlfn.CONCAT("$I", $F707 + 2)))), $F707 + 2, ""))</f>
        <v>1360</v>
      </c>
      <c r="I708" s="8" t="s">
        <v>526</v>
      </c>
      <c r="J708" s="8">
        <v>540</v>
      </c>
      <c r="K708" s="9">
        <v>44083</v>
      </c>
    </row>
    <row r="709" spans="1:12" ht="59.25">
      <c r="A709" s="1" t="str" cm="1">
        <f t="array" aca="1" ref="A709" ca="1">INDIRECT(_xlfn.CONCAT("$I", $F709))</f>
        <v>Dark Ascension Tokens TDKA</v>
      </c>
      <c r="B709" s="1" cm="1">
        <f t="array" aca="1" ref="B709" ca="1">INDIRECT(_xlfn.CONCAT("$J", $F709))</f>
        <v>4</v>
      </c>
      <c r="C709" s="1" cm="1">
        <f t="array" aca="1" ref="C709" ca="1">INDIRECT(_xlfn.CONCAT("$K", $F709))</f>
        <v>40942</v>
      </c>
      <c r="D709" s="1"/>
      <c r="E709" s="1" t="str" cm="1">
        <f t="array" aca="1" ref="E709" ca="1">INDIRECT(_xlfn.CONCAT("$L", $F709))</f>
        <v>en es fr de it pt ja ko ru 汉语 漢語</v>
      </c>
      <c r="F709" s="1" cm="1">
        <f t="array" aca="1" ref="F709" ca="1">IF(NOT(OR(ISERROR(INDIRECT(_xlfn.CONCAT("$I", $F708 + 1))), ISBLANK(INDIRECT(_xlfn.CONCAT("$I", $F708 + 1))))), $F708 + 1, IF(NOT(ISBLANK(INDIRECT(_xlfn.CONCAT("$I", $F708 + 2)))), $F708 + 2, ""))</f>
        <v>1362</v>
      </c>
    </row>
    <row r="710" spans="1:12" ht="59.25">
      <c r="A710" s="1" t="str" cm="1">
        <f t="array" aca="1" ref="A710" ca="1">INDIRECT(_xlfn.CONCAT("$I", $F710))</f>
        <v>Wizards Play Network 2012 PW12</v>
      </c>
      <c r="B710" s="1" cm="1">
        <f t="array" aca="1" ref="B710" ca="1">INDIRECT(_xlfn.CONCAT("$J", $F710))</f>
        <v>3</v>
      </c>
      <c r="C710" s="1" cm="1">
        <f t="array" aca="1" ref="C710" ca="1">INDIRECT(_xlfn.CONCAT("$K", $F710))</f>
        <v>40909</v>
      </c>
      <c r="D710" s="1"/>
      <c r="E710" s="1" t="str" cm="1">
        <f t="array" aca="1" ref="E710" ca="1">INDIRECT(_xlfn.CONCAT("$L", $F710))</f>
        <v>en es fr de it pt ja ko ru 汉语 漢語</v>
      </c>
      <c r="F710" s="1" cm="1">
        <f t="array" aca="1" ref="F710" ca="1">IF(NOT(OR(ISERROR(INDIRECT(_xlfn.CONCAT("$I", $F709 + 1))), ISBLANK(INDIRECT(_xlfn.CONCAT("$I", $F709 + 1))))), $F709 + 1, IF(NOT(ISBLANK(INDIRECT(_xlfn.CONCAT("$I", $F709 + 2)))), $F709 + 2, ""))</f>
        <v>1364</v>
      </c>
      <c r="I710" s="8" t="s">
        <v>527</v>
      </c>
      <c r="J710" s="8">
        <v>540</v>
      </c>
      <c r="K710" s="9">
        <v>44077</v>
      </c>
    </row>
    <row r="711" spans="1:12" ht="81">
      <c r="A711" s="1" t="str" cm="1">
        <f t="array" aca="1" ref="A711" ca="1">INDIRECT(_xlfn.CONCAT("$I", $F711))</f>
        <v>Duels of the Planeswalkers 2013 Promos PDP13</v>
      </c>
      <c r="B711" s="1" cm="1">
        <f t="array" aca="1" ref="B711" ca="1">INDIRECT(_xlfn.CONCAT("$J", $F711))</f>
        <v>3</v>
      </c>
      <c r="C711" s="1" cm="1">
        <f t="array" aca="1" ref="C711" ca="1">INDIRECT(_xlfn.CONCAT("$K", $F711))</f>
        <v>40909</v>
      </c>
      <c r="D711" s="1"/>
      <c r="E711" s="1" t="str" cm="1">
        <f t="array" aca="1" ref="E711" ca="1">INDIRECT(_xlfn.CONCAT("$L", $F711))</f>
        <v>en es fr de it pt ja ko ru 汉语 漢語</v>
      </c>
      <c r="F711" s="1" cm="1">
        <f t="array" aca="1" ref="F711" ca="1">IF(NOT(OR(ISERROR(INDIRECT(_xlfn.CONCAT("$I", $F710 + 1))), ISBLANK(INDIRECT(_xlfn.CONCAT("$I", $F710 + 1))))), $F710 + 1, IF(NOT(ISBLANK(INDIRECT(_xlfn.CONCAT("$I", $F710 + 2)))), $F710 + 2, ""))</f>
        <v>1366</v>
      </c>
    </row>
    <row r="712" spans="1:12" ht="59.25">
      <c r="A712" s="1" t="str" cm="1">
        <f t="array" aca="1" ref="A712" ca="1">INDIRECT(_xlfn.CONCAT("$I", $F712))</f>
        <v>IDW Comics Inserts PIDW</v>
      </c>
      <c r="B712" s="1" cm="1">
        <f t="array" aca="1" ref="B712" ca="1">INDIRECT(_xlfn.CONCAT("$J", $F712))</f>
        <v>17</v>
      </c>
      <c r="C712" s="1" cm="1">
        <f t="array" aca="1" ref="C712" ca="1">INDIRECT(_xlfn.CONCAT("$K", $F712))</f>
        <v>40909</v>
      </c>
      <c r="D712" s="1"/>
      <c r="E712" s="1" t="str" cm="1">
        <f t="array" aca="1" ref="E712" ca="1">INDIRECT(_xlfn.CONCAT("$L", $F712))</f>
        <v>en es fr de it pt ja ko ru 汉语 漢語</v>
      </c>
      <c r="F712" s="1" cm="1">
        <f t="array" aca="1" ref="F712" ca="1">IF(NOT(OR(ISERROR(INDIRECT(_xlfn.CONCAT("$I", $F711 + 1))), ISBLANK(INDIRECT(_xlfn.CONCAT("$I", $F711 + 1))))), $F711 + 1, IF(NOT(ISBLANK(INDIRECT(_xlfn.CONCAT("$I", $F711 + 2)))), $F711 + 2, ""))</f>
        <v>1368</v>
      </c>
      <c r="I712" s="8" t="s">
        <v>528</v>
      </c>
      <c r="J712" s="8">
        <v>339</v>
      </c>
      <c r="K712" s="9">
        <v>44056</v>
      </c>
      <c r="L712" s="8" t="s">
        <v>174</v>
      </c>
    </row>
    <row r="713" spans="1:12" ht="59.25">
      <c r="A713" s="1" t="str" cm="1">
        <f t="array" aca="1" ref="A713" ca="1">INDIRECT(_xlfn.CONCAT("$I", $F713))</f>
        <v>League Tokens 2012 L12</v>
      </c>
      <c r="B713" s="1" cm="1">
        <f t="array" aca="1" ref="B713" ca="1">INDIRECT(_xlfn.CONCAT("$J", $F713))</f>
        <v>2</v>
      </c>
      <c r="C713" s="1" cm="1">
        <f t="array" aca="1" ref="C713" ca="1">INDIRECT(_xlfn.CONCAT("$K", $F713))</f>
        <v>40909</v>
      </c>
      <c r="D713" s="1"/>
      <c r="E713" s="1" t="str" cm="1">
        <f t="array" aca="1" ref="E713" ca="1">INDIRECT(_xlfn.CONCAT("$L", $F713))</f>
        <v>en es fr de it pt ja ko ru 汉语 漢語</v>
      </c>
      <c r="F713" s="1" cm="1">
        <f t="array" aca="1" ref="F713" ca="1">IF(NOT(OR(ISERROR(INDIRECT(_xlfn.CONCAT("$I", $F712 + 1))), ISBLANK(INDIRECT(_xlfn.CONCAT("$I", $F712 + 1))))), $F712 + 1, IF(NOT(ISBLANK(INDIRECT(_xlfn.CONCAT("$I", $F712 + 2)))), $F712 + 2, ""))</f>
        <v>1370</v>
      </c>
    </row>
    <row r="714" spans="1:12" ht="59.25">
      <c r="A714" s="1" t="str" cm="1">
        <f t="array" aca="1" ref="A714" ca="1">INDIRECT(_xlfn.CONCAT("$I", $F714))</f>
        <v>Judge Gift Cards 2012 J12</v>
      </c>
      <c r="B714" s="1" cm="1">
        <f t="array" aca="1" ref="B714" ca="1">INDIRECT(_xlfn.CONCAT("$J", $F714))</f>
        <v>9</v>
      </c>
      <c r="C714" s="1" cm="1">
        <f t="array" aca="1" ref="C714" ca="1">INDIRECT(_xlfn.CONCAT("$K", $F714))</f>
        <v>40909</v>
      </c>
      <c r="D714" s="1"/>
      <c r="E714" s="1" t="str" cm="1">
        <f t="array" aca="1" ref="E714" ca="1">INDIRECT(_xlfn.CONCAT("$L", $F714))</f>
        <v>en es fr de it pt ja ko ru 汉语 漢語</v>
      </c>
      <c r="F714" s="1" cm="1">
        <f t="array" aca="1" ref="F714" ca="1">IF(NOT(OR(ISERROR(INDIRECT(_xlfn.CONCAT("$I", $F713 + 1))), ISBLANK(INDIRECT(_xlfn.CONCAT("$I", $F713 + 1))))), $F713 + 1, IF(NOT(ISBLANK(INDIRECT(_xlfn.CONCAT("$I", $F713 + 2)))), $F713 + 2, ""))</f>
        <v>1372</v>
      </c>
      <c r="I714" s="8" t="s">
        <v>529</v>
      </c>
      <c r="J714" s="8">
        <v>120</v>
      </c>
      <c r="K714" s="9">
        <v>44056</v>
      </c>
      <c r="L714" s="8" t="s">
        <v>174</v>
      </c>
    </row>
    <row r="715" spans="1:12" ht="59.25">
      <c r="A715" s="1" t="str" cm="1">
        <f t="array" aca="1" ref="A715" ca="1">INDIRECT(_xlfn.CONCAT("$I", $F715))</f>
        <v>Friday Night Magic 2012 F12</v>
      </c>
      <c r="B715" s="1" cm="1">
        <f t="array" aca="1" ref="B715" ca="1">INDIRECT(_xlfn.CONCAT("$J", $F715))</f>
        <v>13</v>
      </c>
      <c r="C715" s="1" cm="1">
        <f t="array" aca="1" ref="C715" ca="1">INDIRECT(_xlfn.CONCAT("$K", $F715))</f>
        <v>40909</v>
      </c>
      <c r="D715" s="1"/>
      <c r="E715" s="1" t="str" cm="1">
        <f t="array" aca="1" ref="E715" ca="1">INDIRECT(_xlfn.CONCAT("$L", $F715))</f>
        <v>en es fr de it pt ja ko ru 汉语 漢語</v>
      </c>
      <c r="F715" s="1" cm="1">
        <f t="array" aca="1" ref="F715" ca="1">IF(NOT(OR(ISERROR(INDIRECT(_xlfn.CONCAT("$I", $F714 + 1))), ISBLANK(INDIRECT(_xlfn.CONCAT("$I", $F714 + 1))))), $F714 + 1, IF(NOT(ISBLANK(INDIRECT(_xlfn.CONCAT("$I", $F714 + 2)))), $F714 + 2, ""))</f>
        <v>1374</v>
      </c>
    </row>
    <row r="716" spans="1:12" ht="68.25">
      <c r="A716" s="1" t="str" cm="1">
        <f t="array" aca="1" ref="A716" ca="1">INDIRECT(_xlfn.CONCAT("$I", $F716))</f>
        <v>Premium Deck Series: Graveborn PD3</v>
      </c>
      <c r="B716" s="1" cm="1">
        <f t="array" aca="1" ref="B716" ca="1">INDIRECT(_xlfn.CONCAT("$J", $F716))</f>
        <v>30</v>
      </c>
      <c r="C716" s="1" cm="1">
        <f t="array" aca="1" ref="C716" ca="1">INDIRECT(_xlfn.CONCAT("$K", $F716))</f>
        <v>40865</v>
      </c>
      <c r="D716" s="1"/>
      <c r="E716" s="1" t="str" cm="1">
        <f t="array" aca="1" ref="E716" ca="1">INDIRECT(_xlfn.CONCAT("$L", $F716))</f>
        <v>en es fr de it pt ja ko ru 汉语 漢語</v>
      </c>
      <c r="F716" s="1" cm="1">
        <f t="array" aca="1" ref="F716" ca="1">IF(NOT(OR(ISERROR(INDIRECT(_xlfn.CONCAT("$I", $F715 + 1))), ISBLANK(INDIRECT(_xlfn.CONCAT("$I", $F715 + 1))))), $F715 + 1, IF(NOT(ISBLANK(INDIRECT(_xlfn.CONCAT("$I", $F715 + 2)))), $F715 + 2, ""))</f>
        <v>1376</v>
      </c>
      <c r="I716" s="8" t="s">
        <v>530</v>
      </c>
      <c r="J716" s="8">
        <v>384</v>
      </c>
      <c r="K716" s="9">
        <v>44050</v>
      </c>
      <c r="L716" t="s">
        <v>174</v>
      </c>
    </row>
    <row r="717" spans="1:12" ht="59.25">
      <c r="A717" s="1" t="str" cm="1">
        <f t="array" aca="1" ref="A717" ca="1">INDIRECT(_xlfn.CONCAT("$I", $F717))</f>
        <v>Innistrad ISD</v>
      </c>
      <c r="B717" s="1" cm="1">
        <f t="array" aca="1" ref="B717" ca="1">INDIRECT(_xlfn.CONCAT("$J", $F717))</f>
        <v>264</v>
      </c>
      <c r="C717" s="1" cm="1">
        <f t="array" aca="1" ref="C717" ca="1">INDIRECT(_xlfn.CONCAT("$K", $F717))</f>
        <v>40816</v>
      </c>
      <c r="D717" s="1"/>
      <c r="E717" s="1" t="str" cm="1">
        <f t="array" aca="1" ref="E717" ca="1">INDIRECT(_xlfn.CONCAT("$L", $F717))</f>
        <v>en es fr de it pt ja ko ru 汉语 漢語</v>
      </c>
      <c r="F717" s="1" cm="1">
        <f t="array" aca="1" ref="F717" ca="1">IF(NOT(OR(ISERROR(INDIRECT(_xlfn.CONCAT("$I", $F716 + 1))), ISBLANK(INDIRECT(_xlfn.CONCAT("$I", $F716 + 1))))), $F716 + 1, IF(NOT(ISBLANK(INDIRECT(_xlfn.CONCAT("$I", $F716 + 2)))), $F716 + 2, ""))</f>
        <v>1378</v>
      </c>
    </row>
    <row r="718" spans="1:12" ht="59.25">
      <c r="A718" s="1" t="str" cm="1">
        <f t="array" aca="1" ref="A718" ca="1">INDIRECT(_xlfn.CONCAT("$I", $F718))</f>
        <v>Innistrad Promos PISD</v>
      </c>
      <c r="B718" s="1" cm="1">
        <f t="array" aca="1" ref="B718" ca="1">INDIRECT(_xlfn.CONCAT("$J", $F718))</f>
        <v>5</v>
      </c>
      <c r="C718" s="1" cm="1">
        <f t="array" aca="1" ref="C718" ca="1">INDIRECT(_xlfn.CONCAT("$K", $F718))</f>
        <v>40810</v>
      </c>
      <c r="D718" s="1"/>
      <c r="E718" s="1" t="str" cm="1">
        <f t="array" aca="1" ref="E718" ca="1">INDIRECT(_xlfn.CONCAT("$L", $F718))</f>
        <v>en es fr de it pt ja ko ru 汉语 漢語</v>
      </c>
      <c r="F718" s="1" cm="1">
        <f t="array" aca="1" ref="F718" ca="1">IF(NOT(OR(ISERROR(INDIRECT(_xlfn.CONCAT("$I", $F717 + 1))), ISBLANK(INDIRECT(_xlfn.CONCAT("$I", $F717 + 1))))), $F717 + 1, IF(NOT(ISBLANK(INDIRECT(_xlfn.CONCAT("$I", $F717 + 2)))), $F717 + 2, ""))</f>
        <v>1380</v>
      </c>
      <c r="I718" s="8" t="s">
        <v>531</v>
      </c>
      <c r="J718" s="8">
        <v>31</v>
      </c>
      <c r="K718" s="9">
        <v>44050</v>
      </c>
      <c r="L718" s="8" t="s">
        <v>174</v>
      </c>
    </row>
    <row r="719" spans="1:12" ht="59.25">
      <c r="A719" s="1" t="str" cm="1">
        <f t="array" aca="1" ref="A719" ca="1">INDIRECT(_xlfn.CONCAT("$I", $F719))</f>
        <v>Innistrad Tokens TISD</v>
      </c>
      <c r="B719" s="1" cm="1">
        <f t="array" aca="1" ref="B719" ca="1">INDIRECT(_xlfn.CONCAT("$J", $F719))</f>
        <v>13</v>
      </c>
      <c r="C719" s="1" cm="1">
        <f t="array" aca="1" ref="C719" ca="1">INDIRECT(_xlfn.CONCAT("$K", $F719))</f>
        <v>40816</v>
      </c>
      <c r="D719" s="1"/>
      <c r="E719" s="1" t="str" cm="1">
        <f t="array" aca="1" ref="E719" ca="1">INDIRECT(_xlfn.CONCAT("$L", $F719))</f>
        <v>en es fr de it pt ja ko ru 汉语 漢語</v>
      </c>
      <c r="F719" s="1" cm="1">
        <f t="array" aca="1" ref="F719" ca="1">IF(NOT(OR(ISERROR(INDIRECT(_xlfn.CONCAT("$I", $F718 + 1))), ISBLANK(INDIRECT(_xlfn.CONCAT("$I", $F718 + 1))))), $F718 + 1, IF(NOT(ISBLANK(INDIRECT(_xlfn.CONCAT("$I", $F718 + 2)))), $F718 + 2, ""))</f>
        <v>1382</v>
      </c>
    </row>
    <row r="720" spans="1:12" ht="68.25">
      <c r="A720" s="1" t="str" cm="1">
        <f t="array" aca="1" ref="A720" ca="1">INDIRECT(_xlfn.CONCAT("$I", $F720))</f>
        <v>Duel Decks: Ajani vs. Nicol Bolas DDH</v>
      </c>
      <c r="B720" s="1" cm="1">
        <f t="array" aca="1" ref="B720" ca="1">INDIRECT(_xlfn.CONCAT("$J", $F720))</f>
        <v>80</v>
      </c>
      <c r="C720" s="1" cm="1">
        <f t="array" aca="1" ref="C720" ca="1">INDIRECT(_xlfn.CONCAT("$K", $F720))</f>
        <v>40788</v>
      </c>
      <c r="D720" s="1"/>
      <c r="E720" s="1" t="str" cm="1">
        <f t="array" aca="1" ref="E720" ca="1">INDIRECT(_xlfn.CONCAT("$L", $F720))</f>
        <v>en es fr de it pt ja ko ru 汉语 漢語</v>
      </c>
      <c r="F720" s="1" cm="1">
        <f t="array" aca="1" ref="F720" ca="1">IF(NOT(OR(ISERROR(INDIRECT(_xlfn.CONCAT("$I", $F719 + 1))), ISBLANK(INDIRECT(_xlfn.CONCAT("$I", $F719 + 1))))), $F719 + 1, IF(NOT(ISBLANK(INDIRECT(_xlfn.CONCAT("$I", $F719 + 2)))), $F719 + 2, ""))</f>
        <v>1384</v>
      </c>
      <c r="I720" s="8" t="s">
        <v>532</v>
      </c>
      <c r="J720" s="8">
        <v>7</v>
      </c>
      <c r="K720" s="9">
        <v>44044</v>
      </c>
      <c r="L720" s="8" t="s">
        <v>174</v>
      </c>
    </row>
    <row r="721" spans="1:12" ht="81">
      <c r="A721" s="1" t="str" cm="1">
        <f t="array" aca="1" ref="A721" ca="1">INDIRECT(_xlfn.CONCAT("$I", $F721))</f>
        <v>Duel Decks: Ajani vs. Nicol Bolas Tokens TDDH</v>
      </c>
      <c r="B721" s="1" cm="1">
        <f t="array" aca="1" ref="B721" ca="1">INDIRECT(_xlfn.CONCAT("$J", $F721))</f>
        <v>2</v>
      </c>
      <c r="C721" s="1" cm="1">
        <f t="array" aca="1" ref="C721" ca="1">INDIRECT(_xlfn.CONCAT("$K", $F721))</f>
        <v>40788</v>
      </c>
      <c r="D721" s="1"/>
      <c r="E721" s="1" t="str" cm="1">
        <f t="array" aca="1" ref="E721" ca="1">INDIRECT(_xlfn.CONCAT("$L", $F721))</f>
        <v>en es fr de it pt ja ko ru 汉语 漢語</v>
      </c>
      <c r="F721" s="1" cm="1">
        <f t="array" aca="1" ref="F721" ca="1">IF(NOT(OR(ISERROR(INDIRECT(_xlfn.CONCAT("$I", $F720 + 1))), ISBLANK(INDIRECT(_xlfn.CONCAT("$I", $F720 + 1))))), $F720 + 1, IF(NOT(ISBLANK(INDIRECT(_xlfn.CONCAT("$I", $F720 + 2)))), $F720 + 2, ""))</f>
        <v>1386</v>
      </c>
    </row>
    <row r="722" spans="1:12" ht="59.25">
      <c r="A722" s="1" t="str" cm="1">
        <f t="array" aca="1" ref="A722" ca="1">INDIRECT(_xlfn.CONCAT("$I", $F722))</f>
        <v>From the Vault: Legends V11</v>
      </c>
      <c r="B722" s="1" cm="1">
        <f t="array" aca="1" ref="B722" ca="1">INDIRECT(_xlfn.CONCAT("$J", $F722))</f>
        <v>15</v>
      </c>
      <c r="C722" s="1" cm="1">
        <f t="array" aca="1" ref="C722" ca="1">INDIRECT(_xlfn.CONCAT("$K", $F722))</f>
        <v>40781</v>
      </c>
      <c r="D722" s="1"/>
      <c r="E722" s="1" t="str" cm="1">
        <f t="array" aca="1" ref="E722" ca="1">INDIRECT(_xlfn.CONCAT("$L", $F722))</f>
        <v>en es fr de it pt ja ko ru 汉语 漢語</v>
      </c>
      <c r="F722" s="1" cm="1">
        <f t="array" aca="1" ref="F722" ca="1">IF(NOT(OR(ISERROR(INDIRECT(_xlfn.CONCAT("$I", $F721 + 1))), ISBLANK(INDIRECT(_xlfn.CONCAT("$I", $F721 + 1))))), $F721 + 1, IF(NOT(ISBLANK(INDIRECT(_xlfn.CONCAT("$I", $F721 + 2)))), $F721 + 2, ""))</f>
        <v>1388</v>
      </c>
      <c r="I722" s="8" t="s">
        <v>533</v>
      </c>
      <c r="J722" s="8">
        <v>497</v>
      </c>
      <c r="K722" s="9">
        <v>44029</v>
      </c>
      <c r="L722" s="8" t="s">
        <v>174</v>
      </c>
    </row>
    <row r="723" spans="1:12" ht="59.25">
      <c r="A723" s="1" t="str" cm="1">
        <f t="array" aca="1" ref="A723" ca="1">INDIRECT(_xlfn.CONCAT("$I", $F723))</f>
        <v>Magic 2012 M12</v>
      </c>
      <c r="B723" s="1" cm="1">
        <f t="array" aca="1" ref="B723" ca="1">INDIRECT(_xlfn.CONCAT("$J", $F723))</f>
        <v>249</v>
      </c>
      <c r="C723" s="1" cm="1">
        <f t="array" aca="1" ref="C723" ca="1">INDIRECT(_xlfn.CONCAT("$K", $F723))</f>
        <v>40739</v>
      </c>
      <c r="D723" s="1"/>
      <c r="E723" s="1" t="str" cm="1">
        <f t="array" aca="1" ref="E723" ca="1">INDIRECT(_xlfn.CONCAT("$L", $F723))</f>
        <v>en es fr de it pt ja ko ru 汉语 漢語</v>
      </c>
      <c r="F723" s="1" cm="1">
        <f t="array" aca="1" ref="F723" ca="1">IF(NOT(OR(ISERROR(INDIRECT(_xlfn.CONCAT("$I", $F722 + 1))), ISBLANK(INDIRECT(_xlfn.CONCAT("$I", $F722 + 1))))), $F722 + 1, IF(NOT(ISBLANK(INDIRECT(_xlfn.CONCAT("$I", $F722 + 2)))), $F722 + 2, ""))</f>
        <v>1390</v>
      </c>
    </row>
    <row r="724" spans="1:12" ht="59.25">
      <c r="A724" s="1" t="str" cm="1">
        <f t="array" aca="1" ref="A724" ca="1">INDIRECT(_xlfn.CONCAT("$I", $F724))</f>
        <v>Magic 2012 Promos PM12</v>
      </c>
      <c r="B724" s="1" cm="1">
        <f t="array" aca="1" ref="B724" ca="1">INDIRECT(_xlfn.CONCAT("$J", $F724))</f>
        <v>3</v>
      </c>
      <c r="C724" s="1" cm="1">
        <f t="array" aca="1" ref="C724" ca="1">INDIRECT(_xlfn.CONCAT("$K", $F724))</f>
        <v>40738</v>
      </c>
      <c r="D724" s="1"/>
      <c r="E724" s="1" t="str" cm="1">
        <f t="array" aca="1" ref="E724" ca="1">INDIRECT(_xlfn.CONCAT("$L", $F724))</f>
        <v>en es fr de it pt ja ko ru 汉语 漢語</v>
      </c>
      <c r="F724" s="1" cm="1">
        <f t="array" aca="1" ref="F724" ca="1">IF(NOT(OR(ISERROR(INDIRECT(_xlfn.CONCAT("$I", $F723 + 1))), ISBLANK(INDIRECT(_xlfn.CONCAT("$I", $F723 + 1))))), $F723 + 1, IF(NOT(ISBLANK(INDIRECT(_xlfn.CONCAT("$I", $F723 + 2)))), $F723 + 2, ""))</f>
        <v>1392</v>
      </c>
      <c r="I724" s="8" t="s">
        <v>534</v>
      </c>
      <c r="J724" s="8">
        <v>18</v>
      </c>
      <c r="K724" s="9">
        <v>44029</v>
      </c>
      <c r="L724" s="8" t="s">
        <v>174</v>
      </c>
    </row>
    <row r="725" spans="1:12" ht="59.25">
      <c r="A725" s="1" t="str" cm="1">
        <f t="array" aca="1" ref="A725" ca="1">INDIRECT(_xlfn.CONCAT("$I", $F725))</f>
        <v>Magic 2012 Tokens TM12</v>
      </c>
      <c r="B725" s="1" cm="1">
        <f t="array" aca="1" ref="B725" ca="1">INDIRECT(_xlfn.CONCAT("$J", $F725))</f>
        <v>7</v>
      </c>
      <c r="C725" s="1" cm="1">
        <f t="array" aca="1" ref="C725" ca="1">INDIRECT(_xlfn.CONCAT("$K", $F725))</f>
        <v>40739</v>
      </c>
      <c r="D725" s="1"/>
      <c r="E725" s="1" t="str" cm="1">
        <f t="array" aca="1" ref="E725" ca="1">INDIRECT(_xlfn.CONCAT("$L", $F725))</f>
        <v>en es fr de it pt ja ko ru 汉语 漢語</v>
      </c>
      <c r="F725" s="1" cm="1">
        <f t="array" aca="1" ref="F725" ca="1">IF(NOT(OR(ISERROR(INDIRECT(_xlfn.CONCAT("$I", $F724 + 1))), ISBLANK(INDIRECT(_xlfn.CONCAT("$I", $F724 + 1))))), $F724 + 1, IF(NOT(ISBLANK(INDIRECT(_xlfn.CONCAT("$I", $F724 + 2)))), $F724 + 2, ""))</f>
        <v>1394</v>
      </c>
    </row>
    <row r="726" spans="1:12" ht="59.25">
      <c r="A726" s="1" t="str" cm="1">
        <f t="array" aca="1" ref="A726" ca="1">INDIRECT(_xlfn.CONCAT("$I", $F726))</f>
        <v>Commander 2011 CMD</v>
      </c>
      <c r="B726" s="1" cm="1">
        <f t="array" aca="1" ref="B726" ca="1">INDIRECT(_xlfn.CONCAT("$J", $F726))</f>
        <v>318</v>
      </c>
      <c r="C726" s="1" cm="1">
        <f t="array" aca="1" ref="C726" ca="1">INDIRECT(_xlfn.CONCAT("$K", $F726))</f>
        <v>40711</v>
      </c>
      <c r="D726" s="1"/>
      <c r="E726" s="1" t="str" cm="1">
        <f t="array" aca="1" ref="E726" ca="1">INDIRECT(_xlfn.CONCAT("$L", $F726))</f>
        <v>en es fr de it pt ja ko ru 汉语 漢語</v>
      </c>
      <c r="F726" s="1" cm="1">
        <f t="array" aca="1" ref="F726" ca="1">IF(NOT(OR(ISERROR(INDIRECT(_xlfn.CONCAT("$I", $F725 + 1))), ISBLANK(INDIRECT(_xlfn.CONCAT("$I", $F725 + 1))))), $F725 + 1, IF(NOT(ISBLANK(INDIRECT(_xlfn.CONCAT("$I", $F725 + 2)))), $F725 + 2, ""))</f>
        <v>1396</v>
      </c>
      <c r="I726" s="8" t="s">
        <v>535</v>
      </c>
      <c r="J726" s="8">
        <v>46</v>
      </c>
      <c r="K726" s="9">
        <v>44000</v>
      </c>
      <c r="L726" s="8" t="s">
        <v>174</v>
      </c>
    </row>
    <row r="727" spans="1:12" ht="68.25">
      <c r="A727" s="1" t="str" cm="1">
        <f t="array" aca="1" ref="A727" ca="1">INDIRECT(_xlfn.CONCAT("$I", $F727))</f>
        <v>Commander 2011 Launch Party PCMD</v>
      </c>
      <c r="B727" s="1" cm="1">
        <f t="array" aca="1" ref="B727" ca="1">INDIRECT(_xlfn.CONCAT("$J", $F727))</f>
        <v>5</v>
      </c>
      <c r="C727" s="1" cm="1">
        <f t="array" aca="1" ref="C727" ca="1">INDIRECT(_xlfn.CONCAT("$K", $F727))</f>
        <v>40711</v>
      </c>
      <c r="D727" s="1"/>
      <c r="E727" s="1" t="str" cm="1">
        <f t="array" aca="1" ref="E727" ca="1">INDIRECT(_xlfn.CONCAT("$L", $F727))</f>
        <v>en es fr de it pt ja ko ru 汉语 漢語</v>
      </c>
      <c r="F727" s="1" cm="1">
        <f t="array" aca="1" ref="F727" ca="1">IF(NOT(OR(ISERROR(INDIRECT(_xlfn.CONCAT("$I", $F726 + 1))), ISBLANK(INDIRECT(_xlfn.CONCAT("$I", $F726 + 1))))), $F726 + 1, IF(NOT(ISBLANK(INDIRECT(_xlfn.CONCAT("$I", $F726 + 2)))), $F726 + 2, ""))</f>
        <v>1398</v>
      </c>
    </row>
    <row r="728" spans="1:12" ht="59.25">
      <c r="A728" s="1" t="str" cm="1">
        <f t="array" aca="1" ref="A728" ca="1">INDIRECT(_xlfn.CONCAT("$I", $F728))</f>
        <v>Commander 2011 Oversized OCMD</v>
      </c>
      <c r="B728" s="1" cm="1">
        <f t="array" aca="1" ref="B728" ca="1">INDIRECT(_xlfn.CONCAT("$J", $F728))</f>
        <v>15</v>
      </c>
      <c r="C728" s="1" cm="1">
        <f t="array" aca="1" ref="C728" ca="1">INDIRECT(_xlfn.CONCAT("$K", $F728))</f>
        <v>40711</v>
      </c>
      <c r="D728" s="1"/>
      <c r="E728" s="1" t="str" cm="1">
        <f t="array" aca="1" ref="E728" ca="1">INDIRECT(_xlfn.CONCAT("$L", $F728))</f>
        <v>en es fr de it pt ja ko ru 汉语 漢語</v>
      </c>
      <c r="F728" s="1" cm="1">
        <f t="array" aca="1" ref="F728" ca="1">IF(NOT(OR(ISERROR(INDIRECT(_xlfn.CONCAT("$I", $F727 + 1))), ISBLANK(INDIRECT(_xlfn.CONCAT("$I", $F727 + 1))))), $F727 + 1, IF(NOT(ISBLANK(INDIRECT(_xlfn.CONCAT("$I", $F727 + 2)))), $F727 + 2, ""))</f>
        <v>1400</v>
      </c>
      <c r="I728" s="8" t="s">
        <v>536</v>
      </c>
      <c r="J728" s="8">
        <v>397</v>
      </c>
      <c r="K728" s="9">
        <v>44015</v>
      </c>
      <c r="L728" t="s">
        <v>174</v>
      </c>
    </row>
    <row r="729" spans="1:12" ht="94.5">
      <c r="A729" s="1" t="str" cm="1">
        <f t="array" aca="1" ref="A729" ca="1">INDIRECT(_xlfn.CONCAT("$I", $F729))</f>
        <v>Duel Decks: Mirrodin Pure vs. New Phyrexia TD2</v>
      </c>
      <c r="B729" s="1" cm="1">
        <f t="array" aca="1" ref="B729" ca="1">INDIRECT(_xlfn.CONCAT("$J", $F729))</f>
        <v>88</v>
      </c>
      <c r="C729" s="1" cm="1">
        <f t="array" aca="1" ref="C729" ca="1">INDIRECT(_xlfn.CONCAT("$K", $F729))</f>
        <v>40677</v>
      </c>
      <c r="D729" s="1"/>
      <c r="E729" s="1" t="str" cm="1">
        <f t="array" aca="1" ref="E729" ca="1">INDIRECT(_xlfn.CONCAT("$L", $F729))</f>
        <v>en es fr de it pt ja ko ru 汉语 漢語</v>
      </c>
      <c r="F729" s="1" cm="1">
        <f t="array" aca="1" ref="F729" ca="1">IF(NOT(OR(ISERROR(INDIRECT(_xlfn.CONCAT("$I", $F728 + 1))), ISBLANK(INDIRECT(_xlfn.CONCAT("$I", $F728 + 1))))), $F728 + 1, IF(NOT(ISBLANK(INDIRECT(_xlfn.CONCAT("$I", $F728 + 2)))), $F728 + 2, ""))</f>
        <v>1402</v>
      </c>
    </row>
    <row r="730" spans="1:12" ht="59.25">
      <c r="A730" s="1" t="str" cm="1">
        <f t="array" aca="1" ref="A730" ca="1">INDIRECT(_xlfn.CONCAT("$I", $F730))</f>
        <v>New Phyrexia NPH</v>
      </c>
      <c r="B730" s="1" cm="1">
        <f t="array" aca="1" ref="B730" ca="1">INDIRECT(_xlfn.CONCAT("$J", $F730))</f>
        <v>175</v>
      </c>
      <c r="C730" s="1" cm="1">
        <f t="array" aca="1" ref="C730" ca="1">INDIRECT(_xlfn.CONCAT("$K", $F730))</f>
        <v>40676</v>
      </c>
      <c r="D730" s="1"/>
      <c r="E730" s="1" t="str" cm="1">
        <f t="array" aca="1" ref="E730" ca="1">INDIRECT(_xlfn.CONCAT("$L", $F730))</f>
        <v>en es fr de it pt ja ko ru 汉语 漢語</v>
      </c>
      <c r="F730" s="1" cm="1">
        <f t="array" aca="1" ref="F730" ca="1">IF(NOT(OR(ISERROR(INDIRECT(_xlfn.CONCAT("$I", $F729 + 1))), ISBLANK(INDIRECT(_xlfn.CONCAT("$I", $F729 + 1))))), $F729 + 1, IF(NOT(ISBLANK(INDIRECT(_xlfn.CONCAT("$I", $F729 + 2)))), $F729 + 2, ""))</f>
        <v>1404</v>
      </c>
      <c r="I730" s="8" t="s">
        <v>537</v>
      </c>
      <c r="J730" s="8">
        <v>137</v>
      </c>
      <c r="K730" s="9">
        <v>44015</v>
      </c>
      <c r="L730" s="8" t="s">
        <v>174</v>
      </c>
    </row>
    <row r="731" spans="1:12" ht="59.25">
      <c r="A731" s="1" t="str" cm="1">
        <f t="array" aca="1" ref="A731" ca="1">INDIRECT(_xlfn.CONCAT("$I", $F731))</f>
        <v>New Phyrexia Promos PNPH</v>
      </c>
      <c r="B731" s="1" cm="1">
        <f t="array" aca="1" ref="B731" ca="1">INDIRECT(_xlfn.CONCAT("$J", $F731))</f>
        <v>4</v>
      </c>
      <c r="C731" s="1" cm="1">
        <f t="array" aca="1" ref="C731" ca="1">INDIRECT(_xlfn.CONCAT("$K", $F731))</f>
        <v>40675</v>
      </c>
      <c r="D731" s="1"/>
      <c r="E731" s="1" t="str" cm="1">
        <f t="array" aca="1" ref="E731" ca="1">INDIRECT(_xlfn.CONCAT("$L", $F731))</f>
        <v>en es fr de it pt ja ko ru 汉语 漢語</v>
      </c>
      <c r="F731" s="1" cm="1">
        <f t="array" aca="1" ref="F731" ca="1">IF(NOT(OR(ISERROR(INDIRECT(_xlfn.CONCAT("$I", $F730 + 1))), ISBLANK(INDIRECT(_xlfn.CONCAT("$I", $F730 + 1))))), $F730 + 1, IF(NOT(ISBLANK(INDIRECT(_xlfn.CONCAT("$I", $F730 + 2)))), $F730 + 2, ""))</f>
        <v>1406</v>
      </c>
    </row>
    <row r="732" spans="1:12" ht="59.25">
      <c r="A732" s="1" t="str" cm="1">
        <f t="array" aca="1" ref="A732" ca="1">INDIRECT(_xlfn.CONCAT("$I", $F732))</f>
        <v>New Phyrexia Tokens TNPH</v>
      </c>
      <c r="B732" s="1" cm="1">
        <f t="array" aca="1" ref="B732" ca="1">INDIRECT(_xlfn.CONCAT("$J", $F732))</f>
        <v>5</v>
      </c>
      <c r="C732" s="1" cm="1">
        <f t="array" aca="1" ref="C732" ca="1">INDIRECT(_xlfn.CONCAT("$K", $F732))</f>
        <v>40676</v>
      </c>
      <c r="D732" s="1"/>
      <c r="E732" s="1" t="str" cm="1">
        <f t="array" aca="1" ref="E732" ca="1">INDIRECT(_xlfn.CONCAT("$L", $F732))</f>
        <v>en es fr de it pt ja ko ru 汉语 漢語</v>
      </c>
      <c r="F732" s="1" cm="1">
        <f t="array" aca="1" ref="F732" ca="1">IF(NOT(OR(ISERROR(INDIRECT(_xlfn.CONCAT("$I", $F731 + 1))), ISBLANK(INDIRECT(_xlfn.CONCAT("$I", $F731 + 1))))), $F731 + 1, IF(NOT(ISBLANK(INDIRECT(_xlfn.CONCAT("$I", $F731 + 2)))), $F731 + 2, ""))</f>
        <v>1408</v>
      </c>
      <c r="I732" s="8" t="s">
        <v>538</v>
      </c>
      <c r="J732" s="8">
        <v>20</v>
      </c>
      <c r="K732" s="9">
        <v>44015</v>
      </c>
      <c r="L732" s="8" t="s">
        <v>174</v>
      </c>
    </row>
    <row r="733" spans="1:12" ht="68.25">
      <c r="A733" s="1" t="str" cm="1">
        <f t="array" aca="1" ref="A733" ca="1">INDIRECT(_xlfn.CONCAT("$I", $F733))</f>
        <v>Duel Decks: Knights vs. Dragons DDG</v>
      </c>
      <c r="B733" s="1" cm="1">
        <f t="array" aca="1" ref="B733" ca="1">INDIRECT(_xlfn.CONCAT("$J", $F733))</f>
        <v>81</v>
      </c>
      <c r="C733" s="1" cm="1">
        <f t="array" aca="1" ref="C733" ca="1">INDIRECT(_xlfn.CONCAT("$K", $F733))</f>
        <v>40634</v>
      </c>
      <c r="D733" s="1"/>
      <c r="E733" s="1" t="str" cm="1">
        <f t="array" aca="1" ref="E733" ca="1">INDIRECT(_xlfn.CONCAT("$L", $F733))</f>
        <v>en es fr de it pt ja ko ru 汉语 漢語</v>
      </c>
      <c r="F733" s="1" cm="1">
        <f t="array" aca="1" ref="F733" ca="1">IF(NOT(OR(ISERROR(INDIRECT(_xlfn.CONCAT("$I", $F732 + 1))), ISBLANK(INDIRECT(_xlfn.CONCAT("$I", $F732 + 1))))), $F732 + 1, IF(NOT(ISBLANK(INDIRECT(_xlfn.CONCAT("$I", $F732 + 2)))), $F732 + 2, ""))</f>
        <v>1410</v>
      </c>
    </row>
    <row r="734" spans="1:12" ht="81">
      <c r="A734" s="1" t="str" cm="1">
        <f t="array" aca="1" ref="A734" ca="1">INDIRECT(_xlfn.CONCAT("$I", $F734))</f>
        <v>Duel Decks: Knights vs. Dragons Tokens TDDG</v>
      </c>
      <c r="B734" s="1" cm="1">
        <f t="array" aca="1" ref="B734" ca="1">INDIRECT(_xlfn.CONCAT("$J", $F734))</f>
        <v>1</v>
      </c>
      <c r="C734" s="1" cm="1">
        <f t="array" aca="1" ref="C734" ca="1">INDIRECT(_xlfn.CONCAT("$K", $F734))</f>
        <v>40634</v>
      </c>
      <c r="D734" s="1"/>
      <c r="E734" s="1" t="str" cm="1">
        <f t="array" aca="1" ref="E734" ca="1">INDIRECT(_xlfn.CONCAT("$L", $F734))</f>
        <v>en es fr de it pt ja ko ru 汉语 漢語</v>
      </c>
      <c r="F734" s="1" cm="1">
        <f t="array" aca="1" ref="F734" ca="1">IF(NOT(OR(ISERROR(INDIRECT(_xlfn.CONCAT("$I", $F733 + 1))), ISBLANK(INDIRECT(_xlfn.CONCAT("$I", $F733 + 1))))), $F733 + 1, IF(NOT(ISBLANK(INDIRECT(_xlfn.CONCAT("$I", $F733 + 2)))), $F733 + 2, ""))</f>
        <v>1412</v>
      </c>
      <c r="I734" s="8" t="s">
        <v>539</v>
      </c>
      <c r="J734" s="8">
        <v>8</v>
      </c>
      <c r="K734" s="9">
        <v>44008</v>
      </c>
      <c r="L734" s="8" t="s">
        <v>174</v>
      </c>
    </row>
    <row r="735" spans="1:12" ht="59.25">
      <c r="A735" s="1" t="str" cm="1">
        <f t="array" aca="1" ref="A735" ca="1">INDIRECT(_xlfn.CONCAT("$I", $F735))</f>
        <v>Mirrodin Besieged MBS</v>
      </c>
      <c r="B735" s="1" cm="1">
        <f t="array" aca="1" ref="B735" ca="1">INDIRECT(_xlfn.CONCAT("$J", $F735))</f>
        <v>155</v>
      </c>
      <c r="C735" s="1" cm="1">
        <f t="array" aca="1" ref="C735" ca="1">INDIRECT(_xlfn.CONCAT("$K", $F735))</f>
        <v>40578</v>
      </c>
      <c r="D735" s="1"/>
      <c r="E735" s="1" t="str" cm="1">
        <f t="array" aca="1" ref="E735" ca="1">INDIRECT(_xlfn.CONCAT("$L", $F735))</f>
        <v>en es fr de it pt ja ko ru 汉语 漢語</v>
      </c>
      <c r="F735" s="1" cm="1">
        <f t="array" aca="1" ref="F735" ca="1">IF(NOT(OR(ISERROR(INDIRECT(_xlfn.CONCAT("$I", $F734 + 1))), ISBLANK(INDIRECT(_xlfn.CONCAT("$I", $F734 + 1))))), $F734 + 1, IF(NOT(ISBLANK(INDIRECT(_xlfn.CONCAT("$I", $F734 + 2)))), $F734 + 2, ""))</f>
        <v>1414</v>
      </c>
    </row>
    <row r="736" spans="1:12" ht="59.25">
      <c r="A736" s="1" t="str" cm="1">
        <f t="array" aca="1" ref="A736" ca="1">INDIRECT(_xlfn.CONCAT("$I", $F736))</f>
        <v>Mirrodin Besieged Promos PMBS</v>
      </c>
      <c r="B736" s="1" cm="1">
        <f t="array" aca="1" ref="B736" ca="1">INDIRECT(_xlfn.CONCAT("$J", $F736))</f>
        <v>4</v>
      </c>
      <c r="C736" s="1" cm="1">
        <f t="array" aca="1" ref="C736" ca="1">INDIRECT(_xlfn.CONCAT("$K", $F736))</f>
        <v>40577</v>
      </c>
      <c r="D736" s="1"/>
      <c r="E736" s="1" t="str" cm="1">
        <f t="array" aca="1" ref="E736" ca="1">INDIRECT(_xlfn.CONCAT("$L", $F736))</f>
        <v>en es fr de it pt ja ko ru 汉语 漢語</v>
      </c>
      <c r="F736" s="1" cm="1">
        <f t="array" aca="1" ref="F736" ca="1">IF(NOT(OR(ISERROR(INDIRECT(_xlfn.CONCAT("$I", $F735 + 1))), ISBLANK(INDIRECT(_xlfn.CONCAT("$I", $F735 + 1))))), $F735 + 1, IF(NOT(ISBLANK(INDIRECT(_xlfn.CONCAT("$I", $F735 + 2)))), $F735 + 2, ""))</f>
        <v>1416</v>
      </c>
      <c r="I736" s="8" t="s">
        <v>540</v>
      </c>
      <c r="J736" s="8">
        <v>550</v>
      </c>
      <c r="K736" s="9">
        <v>43992</v>
      </c>
    </row>
    <row r="737" spans="1:12" ht="59.25">
      <c r="A737" s="1" t="str" cm="1">
        <f t="array" aca="1" ref="A737" ca="1">INDIRECT(_xlfn.CONCAT("$I", $F737))</f>
        <v>Mirrodin Besieged Tokens TMBS</v>
      </c>
      <c r="B737" s="1" cm="1">
        <f t="array" aca="1" ref="B737" ca="1">INDIRECT(_xlfn.CONCAT("$J", $F737))</f>
        <v>6</v>
      </c>
      <c r="C737" s="1" cm="1">
        <f t="array" aca="1" ref="C737" ca="1">INDIRECT(_xlfn.CONCAT("$K", $F737))</f>
        <v>40578</v>
      </c>
      <c r="D737" s="1"/>
      <c r="E737" s="1" t="str" cm="1">
        <f t="array" aca="1" ref="E737" ca="1">INDIRECT(_xlfn.CONCAT("$L", $F737))</f>
        <v>en es fr de it pt ja ko ru 汉语 漢語</v>
      </c>
      <c r="F737" s="1" cm="1">
        <f t="array" aca="1" ref="F737" ca="1">IF(NOT(OR(ISERROR(INDIRECT(_xlfn.CONCAT("$I", $F736 + 1))), ISBLANK(INDIRECT(_xlfn.CONCAT("$I", $F736 + 1))))), $F736 + 1, IF(NOT(ISBLANK(INDIRECT(_xlfn.CONCAT("$I", $F736 + 2)))), $F736 + 2, ""))</f>
        <v>1418</v>
      </c>
    </row>
    <row r="738" spans="1:12" ht="59.25">
      <c r="A738" s="1" t="str" cm="1">
        <f t="array" aca="1" ref="A738" ca="1">INDIRECT(_xlfn.CONCAT("$I", $F738))</f>
        <v>Masters Edition IV ME4</v>
      </c>
      <c r="B738" s="1" cm="1">
        <f t="array" aca="1" ref="B738" ca="1">INDIRECT(_xlfn.CONCAT("$J", $F738))</f>
        <v>269</v>
      </c>
      <c r="C738" s="1" cm="1">
        <f t="array" aca="1" ref="C738" ca="1">INDIRECT(_xlfn.CONCAT("$K", $F738))</f>
        <v>40553</v>
      </c>
      <c r="D738" s="1"/>
      <c r="E738" s="1" t="str" cm="1">
        <f t="array" aca="1" ref="E738" ca="1">INDIRECT(_xlfn.CONCAT("$L", $F738))</f>
        <v>en es fr de it pt ja ko ru 汉语 漢語</v>
      </c>
      <c r="F738" s="1" cm="1">
        <f t="array" aca="1" ref="F738" ca="1">IF(NOT(OR(ISERROR(INDIRECT(_xlfn.CONCAT("$I", $F737 + 1))), ISBLANK(INDIRECT(_xlfn.CONCAT("$I", $F737 + 1))))), $F737 + 1, IF(NOT(ISBLANK(INDIRECT(_xlfn.CONCAT("$I", $F737 + 2)))), $F737 + 2, ""))</f>
        <v>1420</v>
      </c>
      <c r="I738" s="8" t="s">
        <v>541</v>
      </c>
      <c r="J738" s="8">
        <v>27</v>
      </c>
      <c r="K738" s="9">
        <v>43972</v>
      </c>
      <c r="L738" s="8" t="s">
        <v>174</v>
      </c>
    </row>
    <row r="739" spans="1:12" ht="59.25">
      <c r="A739" s="1" t="str" cm="1">
        <f t="array" aca="1" ref="A739" ca="1">INDIRECT(_xlfn.CONCAT("$I", $F739))</f>
        <v>Magic Premiere Shop 2011 PMPS11</v>
      </c>
      <c r="B739" s="1" cm="1">
        <f t="array" aca="1" ref="B739" ca="1">INDIRECT(_xlfn.CONCAT("$J", $F739))</f>
        <v>5</v>
      </c>
      <c r="C739" s="1" cm="1">
        <f t="array" aca="1" ref="C739" ca="1">INDIRECT(_xlfn.CONCAT("$K", $F739))</f>
        <v>40544</v>
      </c>
      <c r="D739" s="1"/>
      <c r="E739" s="1" t="str" cm="1">
        <f t="array" aca="1" ref="E739" ca="1">INDIRECT(_xlfn.CONCAT("$L", $F739))</f>
        <v>en es fr de it pt ja ko ru 汉语 漢語</v>
      </c>
      <c r="F739" s="1" cm="1">
        <f t="array" aca="1" ref="F739" ca="1">IF(NOT(OR(ISERROR(INDIRECT(_xlfn.CONCAT("$I", $F738 + 1))), ISBLANK(INDIRECT(_xlfn.CONCAT("$I", $F738 + 1))))), $F738 + 1, IF(NOT(ISBLANK(INDIRECT(_xlfn.CONCAT("$I", $F738 + 2)))), $F738 + 2, ""))</f>
        <v>1422</v>
      </c>
    </row>
    <row r="740" spans="1:12" ht="59.25">
      <c r="A740" s="1" t="str" cm="1">
        <f t="array" aca="1" ref="A740" ca="1">INDIRECT(_xlfn.CONCAT("$I", $F740))</f>
        <v>Wizards Play Network 2011 PW11</v>
      </c>
      <c r="B740" s="1" cm="1">
        <f t="array" aca="1" ref="B740" ca="1">INDIRECT(_xlfn.CONCAT("$J", $F740))</f>
        <v>3</v>
      </c>
      <c r="C740" s="1" cm="1">
        <f t="array" aca="1" ref="C740" ca="1">INDIRECT(_xlfn.CONCAT("$K", $F740))</f>
        <v>40544</v>
      </c>
      <c r="D740" s="1"/>
      <c r="E740" s="1" t="str" cm="1">
        <f t="array" aca="1" ref="E740" ca="1">INDIRECT(_xlfn.CONCAT("$L", $F740))</f>
        <v>en es fr de it pt ja ko ru 汉语 漢語</v>
      </c>
      <c r="F740" s="1" cm="1">
        <f t="array" aca="1" ref="F740" ca="1">IF(NOT(OR(ISERROR(INDIRECT(_xlfn.CONCAT("$I", $F739 + 1))), ISBLANK(INDIRECT(_xlfn.CONCAT("$I", $F739 + 1))))), $F739 + 1, IF(NOT(ISBLANK(INDIRECT(_xlfn.CONCAT("$I", $F739 + 2)))), $F739 + 2, ""))</f>
        <v>1424</v>
      </c>
      <c r="I740" s="8" t="s">
        <v>542</v>
      </c>
      <c r="J740" s="8">
        <v>2</v>
      </c>
      <c r="K740" s="9">
        <v>43969</v>
      </c>
      <c r="L740" s="8" t="s">
        <v>174</v>
      </c>
    </row>
    <row r="741" spans="1:12" ht="81">
      <c r="A741" s="1" t="str" cm="1">
        <f t="array" aca="1" ref="A741" ca="1">INDIRECT(_xlfn.CONCAT("$I", $F741))</f>
        <v>Duels of the Planeswalkers 2012 Promos PDP12</v>
      </c>
      <c r="B741" s="1" cm="1">
        <f t="array" aca="1" ref="B741" ca="1">INDIRECT(_xlfn.CONCAT("$J", $F741))</f>
        <v>3</v>
      </c>
      <c r="C741" s="1" cm="1">
        <f t="array" aca="1" ref="C741" ca="1">INDIRECT(_xlfn.CONCAT("$K", $F741))</f>
        <v>40544</v>
      </c>
      <c r="D741" s="1"/>
      <c r="E741" s="1" t="str" cm="1">
        <f t="array" aca="1" ref="E741" ca="1">INDIRECT(_xlfn.CONCAT("$L", $F741))</f>
        <v>en es fr de it pt ja ko ru 汉语 漢語</v>
      </c>
      <c r="F741" s="1" cm="1">
        <f t="array" aca="1" ref="F741" ca="1">IF(NOT(OR(ISERROR(INDIRECT(_xlfn.CONCAT("$I", $F740 + 1))), ISBLANK(INDIRECT(_xlfn.CONCAT("$I", $F740 + 1))))), $F740 + 1, IF(NOT(ISBLANK(INDIRECT(_xlfn.CONCAT("$I", $F740 + 2)))), $F740 + 2, ""))</f>
        <v>1426</v>
      </c>
    </row>
    <row r="742" spans="1:12" ht="59.25">
      <c r="A742" s="1" t="str" cm="1">
        <f t="array" aca="1" ref="A742" ca="1">INDIRECT(_xlfn.CONCAT("$I", $F742))</f>
        <v>Salvat 2011 PS11</v>
      </c>
      <c r="B742" s="1" cm="1">
        <f t="array" aca="1" ref="B742" ca="1">INDIRECT(_xlfn.CONCAT("$J", $F742))</f>
        <v>224</v>
      </c>
      <c r="C742" s="1" cm="1">
        <f t="array" aca="1" ref="C742" ca="1">INDIRECT(_xlfn.CONCAT("$K", $F742))</f>
        <v>40544</v>
      </c>
      <c r="D742" s="1"/>
      <c r="E742" s="1" t="str" cm="1">
        <f t="array" aca="1" ref="E742" ca="1">INDIRECT(_xlfn.CONCAT("$L", $F742))</f>
        <v>en es fr de it pt ja ko ru 汉语 漢語</v>
      </c>
      <c r="F742" s="1" cm="1">
        <f t="array" aca="1" ref="F742" ca="1">IF(NOT(OR(ISERROR(INDIRECT(_xlfn.CONCAT("$I", $F741 + 1))), ISBLANK(INDIRECT(_xlfn.CONCAT("$I", $F741 + 1))))), $F741 + 1, IF(NOT(ISBLANK(INDIRECT(_xlfn.CONCAT("$I", $F741 + 2)))), $F741 + 2, ""))</f>
        <v>1428</v>
      </c>
      <c r="I742" s="8" t="s">
        <v>543</v>
      </c>
      <c r="J742" s="8">
        <v>390</v>
      </c>
      <c r="K742" s="9">
        <v>43945</v>
      </c>
      <c r="L742" t="s">
        <v>174</v>
      </c>
    </row>
    <row r="743" spans="1:12" ht="59.25">
      <c r="A743" s="1" t="str" cm="1">
        <f t="array" aca="1" ref="A743" ca="1">INDIRECT(_xlfn.CONCAT("$I", $F743))</f>
        <v>Legacy Championship OLGC</v>
      </c>
      <c r="B743" s="1" cm="1">
        <f t="array" aca="1" ref="B743" ca="1">INDIRECT(_xlfn.CONCAT("$J", $F743))</f>
        <v>27</v>
      </c>
      <c r="C743" s="1" cm="1">
        <f t="array" aca="1" ref="C743" ca="1">INDIRECT(_xlfn.CONCAT("$K", $F743))</f>
        <v>40544</v>
      </c>
      <c r="D743" s="1"/>
      <c r="E743" s="1" t="str" cm="1">
        <f t="array" aca="1" ref="E743" ca="1">INDIRECT(_xlfn.CONCAT("$L", $F743))</f>
        <v>en es fr de it pt ja ko ru 汉语 漢語</v>
      </c>
      <c r="F743" s="1" cm="1">
        <f t="array" aca="1" ref="F743" ca="1">IF(NOT(OR(ISERROR(INDIRECT(_xlfn.CONCAT("$I", $F742 + 1))), ISBLANK(INDIRECT(_xlfn.CONCAT("$I", $F742 + 1))))), $F742 + 1, IF(NOT(ISBLANK(INDIRECT(_xlfn.CONCAT("$I", $F742 + 2)))), $F742 + 2, ""))</f>
        <v>1430</v>
      </c>
    </row>
    <row r="744" spans="1:12" ht="59.25">
      <c r="A744" s="1" t="str" cm="1">
        <f t="array" aca="1" ref="A744" ca="1">INDIRECT(_xlfn.CONCAT("$I", $F744))</f>
        <v>Judge Gift Cards 2011 G11</v>
      </c>
      <c r="B744" s="1" cm="1">
        <f t="array" aca="1" ref="B744" ca="1">INDIRECT(_xlfn.CONCAT("$J", $F744))</f>
        <v>8</v>
      </c>
      <c r="C744" s="1" cm="1">
        <f t="array" aca="1" ref="C744" ca="1">INDIRECT(_xlfn.CONCAT("$K", $F744))</f>
        <v>40544</v>
      </c>
      <c r="D744" s="1"/>
      <c r="E744" s="1" t="str" cm="1">
        <f t="array" aca="1" ref="E744" ca="1">INDIRECT(_xlfn.CONCAT("$L", $F744))</f>
        <v>en es fr de it pt ja ko ru 汉语 漢語</v>
      </c>
      <c r="F744" s="1" cm="1">
        <f t="array" aca="1" ref="F744" ca="1">IF(NOT(OR(ISERROR(INDIRECT(_xlfn.CONCAT("$I", $F743 + 1))), ISBLANK(INDIRECT(_xlfn.CONCAT("$I", $F743 + 1))))), $F743 + 1, IF(NOT(ISBLANK(INDIRECT(_xlfn.CONCAT("$I", $F743 + 2)))), $F743 + 2, ""))</f>
        <v>1432</v>
      </c>
      <c r="I744" s="8" t="s">
        <v>544</v>
      </c>
      <c r="J744" s="8">
        <v>137</v>
      </c>
      <c r="K744" s="9">
        <v>43945</v>
      </c>
      <c r="L744" s="8" t="s">
        <v>174</v>
      </c>
    </row>
    <row r="745" spans="1:12" ht="59.25">
      <c r="A745" s="1" t="str" cm="1">
        <f t="array" aca="1" ref="A745" ca="1">INDIRECT(_xlfn.CONCAT("$I", $F745))</f>
        <v>Magic Player Rewards 2011 P11</v>
      </c>
      <c r="B745" s="1" cm="1">
        <f t="array" aca="1" ref="B745" ca="1">INDIRECT(_xlfn.CONCAT("$J", $F745))</f>
        <v>7</v>
      </c>
      <c r="C745" s="1" cm="1">
        <f t="array" aca="1" ref="C745" ca="1">INDIRECT(_xlfn.CONCAT("$K", $F745))</f>
        <v>40544</v>
      </c>
      <c r="D745" s="1"/>
      <c r="E745" s="1" t="str" cm="1">
        <f t="array" aca="1" ref="E745" ca="1">INDIRECT(_xlfn.CONCAT("$L", $F745))</f>
        <v>en es fr de it pt ja ko ru 汉语 漢語</v>
      </c>
      <c r="F745" s="1" cm="1">
        <f t="array" aca="1" ref="F745" ca="1">IF(NOT(OR(ISERROR(INDIRECT(_xlfn.CONCAT("$I", $F744 + 1))), ISBLANK(INDIRECT(_xlfn.CONCAT("$I", $F744 + 1))))), $F744 + 1, IF(NOT(ISBLANK(INDIRECT(_xlfn.CONCAT("$I", $F744 + 2)))), $F744 + 2, ""))</f>
        <v>1434</v>
      </c>
    </row>
    <row r="746" spans="1:12" ht="59.25">
      <c r="A746" s="1" t="str" cm="1">
        <f t="array" aca="1" ref="A746" ca="1">INDIRECT(_xlfn.CONCAT("$I", $F746))</f>
        <v>Friday Night Magic 2011 F11</v>
      </c>
      <c r="B746" s="1" cm="1">
        <f t="array" aca="1" ref="B746" ca="1">INDIRECT(_xlfn.CONCAT("$J", $F746))</f>
        <v>12</v>
      </c>
      <c r="C746" s="1" cm="1">
        <f t="array" aca="1" ref="C746" ca="1">INDIRECT(_xlfn.CONCAT("$K", $F746))</f>
        <v>40544</v>
      </c>
      <c r="D746" s="1"/>
      <c r="E746" s="1" t="str" cm="1">
        <f t="array" aca="1" ref="E746" ca="1">INDIRECT(_xlfn.CONCAT("$L", $F746))</f>
        <v>en es fr de it pt ja ko ru 汉语 漢語</v>
      </c>
      <c r="F746" s="1" cm="1">
        <f t="array" aca="1" ref="F746" ca="1">IF(NOT(OR(ISERROR(INDIRECT(_xlfn.CONCAT("$I", $F745 + 1))), ISBLANK(INDIRECT(_xlfn.CONCAT("$I", $F745 + 1))))), $F745 + 1, IF(NOT(ISBLANK(INDIRECT(_xlfn.CONCAT("$I", $F745 + 2)))), $F745 + 2, ""))</f>
        <v>1436</v>
      </c>
      <c r="I746" s="8" t="s">
        <v>545</v>
      </c>
      <c r="J746" s="8">
        <v>14</v>
      </c>
      <c r="K746" s="9">
        <v>43945</v>
      </c>
      <c r="L746" s="8" t="s">
        <v>174</v>
      </c>
    </row>
    <row r="747" spans="1:12" ht="81">
      <c r="A747" s="1" t="str" cm="1">
        <f t="array" aca="1" ref="A747" ca="1">INDIRECT(_xlfn.CONCAT("$I", $F747))</f>
        <v>Premium Deck Series: Fire and Lightning PD2</v>
      </c>
      <c r="B747" s="1" cm="1">
        <f t="array" aca="1" ref="B747" ca="1">INDIRECT(_xlfn.CONCAT("$J", $F747))</f>
        <v>34</v>
      </c>
      <c r="C747" s="1" cm="1">
        <f t="array" aca="1" ref="C747" ca="1">INDIRECT(_xlfn.CONCAT("$K", $F747))</f>
        <v>40501</v>
      </c>
      <c r="D747" s="1"/>
      <c r="E747" s="1" t="str" cm="1">
        <f t="array" aca="1" ref="E747" ca="1">INDIRECT(_xlfn.CONCAT("$L", $F747))</f>
        <v>en es fr de it pt ja ko ru 汉语 漢語</v>
      </c>
      <c r="F747" s="1" cm="1">
        <f t="array" aca="1" ref="F747" ca="1">IF(NOT(OR(ISERROR(INDIRECT(_xlfn.CONCAT("$I", $F746 + 1))), ISBLANK(INDIRECT(_xlfn.CONCAT("$I", $F746 + 1))))), $F746 + 1, IF(NOT(ISBLANK(INDIRECT(_xlfn.CONCAT("$I", $F746 + 2)))), $F746 + 2, ""))</f>
        <v>1438</v>
      </c>
    </row>
    <row r="748" spans="1:12" ht="59.25">
      <c r="A748" s="1" t="str" cm="1">
        <f t="array" aca="1" ref="A748" ca="1">INDIRECT(_xlfn.CONCAT("$I", $F748))</f>
        <v>Magic Online Theme Decks TD0</v>
      </c>
      <c r="B748" s="1" cm="1">
        <f t="array" aca="1" ref="B748" ca="1">INDIRECT(_xlfn.CONCAT("$J", $F748))</f>
        <v>197</v>
      </c>
      <c r="C748" s="1" cm="1">
        <f t="array" aca="1" ref="C748" ca="1">INDIRECT(_xlfn.CONCAT("$K", $F748))</f>
        <v>40490</v>
      </c>
      <c r="D748" s="1"/>
      <c r="E748" s="1" t="str" cm="1">
        <f t="array" aca="1" ref="E748" ca="1">INDIRECT(_xlfn.CONCAT("$L", $F748))</f>
        <v>en es fr de it pt ja ko ru 汉语 漢語</v>
      </c>
      <c r="F748" s="1" cm="1">
        <f t="array" aca="1" ref="F748" ca="1">IF(NOT(OR(ISERROR(INDIRECT(_xlfn.CONCAT("$I", $F747 + 1))), ISBLANK(INDIRECT(_xlfn.CONCAT("$I", $F747 + 1))))), $F747 + 1, IF(NOT(ISBLANK(INDIRECT(_xlfn.CONCAT("$I", $F747 + 2)))), $F747 + 2, ""))</f>
        <v>1440</v>
      </c>
      <c r="I748" s="8" t="s">
        <v>546</v>
      </c>
      <c r="J748" s="8">
        <v>322</v>
      </c>
      <c r="K748" s="9">
        <v>43938</v>
      </c>
      <c r="L748" t="s">
        <v>174</v>
      </c>
    </row>
    <row r="749" spans="1:12" ht="59.25">
      <c r="A749" s="1" t="str" cm="1">
        <f t="array" aca="1" ref="A749" ca="1">INDIRECT(_xlfn.CONCAT("$I", $F749))</f>
        <v>Scars of Mirrodin SOM</v>
      </c>
      <c r="B749" s="1" cm="1">
        <f t="array" aca="1" ref="B749" ca="1">INDIRECT(_xlfn.CONCAT("$J", $F749))</f>
        <v>249</v>
      </c>
      <c r="C749" s="1" cm="1">
        <f t="array" aca="1" ref="C749" ca="1">INDIRECT(_xlfn.CONCAT("$K", $F749))</f>
        <v>40452</v>
      </c>
      <c r="D749" s="1"/>
      <c r="E749" s="1" t="str" cm="1">
        <f t="array" aca="1" ref="E749" ca="1">INDIRECT(_xlfn.CONCAT("$L", $F749))</f>
        <v>en es fr de it pt ja ko ru 汉语 漢語</v>
      </c>
      <c r="F749" s="1" cm="1">
        <f t="array" aca="1" ref="F749" ca="1">IF(NOT(OR(ISERROR(INDIRECT(_xlfn.CONCAT("$I", $F748 + 1))), ISBLANK(INDIRECT(_xlfn.CONCAT("$I", $F748 + 1))))), $F748 + 1, IF(NOT(ISBLANK(INDIRECT(_xlfn.CONCAT("$I", $F748 + 2)))), $F748 + 2, ""))</f>
        <v>1442</v>
      </c>
    </row>
    <row r="750" spans="1:12" ht="59.25">
      <c r="A750" s="1" t="str" cm="1">
        <f t="array" aca="1" ref="A750" ca="1">INDIRECT(_xlfn.CONCAT("$I", $F750))</f>
        <v>Scars of Mirrodin Promos PSOM</v>
      </c>
      <c r="B750" s="1" cm="1">
        <f t="array" aca="1" ref="B750" ca="1">INDIRECT(_xlfn.CONCAT("$J", $F750))</f>
        <v>4</v>
      </c>
      <c r="C750" s="1" cm="1">
        <f t="array" aca="1" ref="C750" ca="1">INDIRECT(_xlfn.CONCAT("$K", $F750))</f>
        <v>40451</v>
      </c>
      <c r="D750" s="1"/>
      <c r="E750" s="1" t="str" cm="1">
        <f t="array" aca="1" ref="E750" ca="1">INDIRECT(_xlfn.CONCAT("$L", $F750))</f>
        <v>en es fr de it pt ja ko ru 汉语 漢語</v>
      </c>
      <c r="F750" s="1" cm="1">
        <f t="array" aca="1" ref="F750" ca="1">IF(NOT(OR(ISERROR(INDIRECT(_xlfn.CONCAT("$I", $F749 + 1))), ISBLANK(INDIRECT(_xlfn.CONCAT("$I", $F749 + 1))))), $F749 + 1, IF(NOT(ISBLANK(INDIRECT(_xlfn.CONCAT("$I", $F749 + 2)))), $F749 + 2, ""))</f>
        <v>1444</v>
      </c>
      <c r="I750" s="8" t="s">
        <v>547</v>
      </c>
      <c r="J750" s="8">
        <v>20</v>
      </c>
      <c r="K750" s="9">
        <v>43938</v>
      </c>
      <c r="L750" s="8" t="s">
        <v>174</v>
      </c>
    </row>
    <row r="751" spans="1:12" ht="59.25">
      <c r="A751" s="1" t="str" cm="1">
        <f t="array" aca="1" ref="A751" ca="1">INDIRECT(_xlfn.CONCAT("$I", $F751))</f>
        <v>Scars of Mirrodin Tokens TSOM</v>
      </c>
      <c r="B751" s="1" cm="1">
        <f t="array" aca="1" ref="B751" ca="1">INDIRECT(_xlfn.CONCAT("$J", $F751))</f>
        <v>10</v>
      </c>
      <c r="C751" s="1" cm="1">
        <f t="array" aca="1" ref="C751" ca="1">INDIRECT(_xlfn.CONCAT("$K", $F751))</f>
        <v>40452</v>
      </c>
      <c r="D751" s="1"/>
      <c r="E751" s="1" t="str" cm="1">
        <f t="array" aca="1" ref="E751" ca="1">INDIRECT(_xlfn.CONCAT("$L", $F751))</f>
        <v>en es fr de it pt ja ko ru 汉语 漢語</v>
      </c>
      <c r="F751" s="1" cm="1">
        <f t="array" aca="1" ref="F751" ca="1">IF(NOT(OR(ISERROR(INDIRECT(_xlfn.CONCAT("$I", $F750 + 1))), ISBLANK(INDIRECT(_xlfn.CONCAT("$I", $F750 + 1))))), $F750 + 1, IF(NOT(ISBLANK(INDIRECT(_xlfn.CONCAT("$I", $F750 + 2)))), $F750 + 2, ""))</f>
        <v>1446</v>
      </c>
    </row>
    <row r="752" spans="1:12" ht="68.25">
      <c r="A752" s="1" t="str" cm="1">
        <f t="array" aca="1" ref="A752" ca="1">INDIRECT(_xlfn.CONCAT("$I", $F752))</f>
        <v>Duel Decks: Elspeth vs. Tezzeret DDF</v>
      </c>
      <c r="B752" s="1" cm="1">
        <f t="array" aca="1" ref="B752" ca="1">INDIRECT(_xlfn.CONCAT("$J", $F752))</f>
        <v>79</v>
      </c>
      <c r="C752" s="1" cm="1">
        <f t="array" aca="1" ref="C752" ca="1">INDIRECT(_xlfn.CONCAT("$K", $F752))</f>
        <v>40424</v>
      </c>
      <c r="D752" s="1"/>
      <c r="E752" s="1" t="str" cm="1">
        <f t="array" aca="1" ref="E752" ca="1">INDIRECT(_xlfn.CONCAT("$L", $F752))</f>
        <v>en es fr de it pt ja ko ru 汉语 漢語</v>
      </c>
      <c r="F752" s="1" cm="1">
        <f t="array" aca="1" ref="F752" ca="1">IF(NOT(OR(ISERROR(INDIRECT(_xlfn.CONCAT("$I", $F751 + 1))), ISBLANK(INDIRECT(_xlfn.CONCAT("$I", $F751 + 1))))), $F751 + 1, IF(NOT(ISBLANK(INDIRECT(_xlfn.CONCAT("$I", $F751 + 2)))), $F751 + 2, ""))</f>
        <v>1448</v>
      </c>
      <c r="I752" s="8" t="s">
        <v>548</v>
      </c>
      <c r="J752" s="8">
        <v>5</v>
      </c>
      <c r="K752" s="9">
        <v>43938</v>
      </c>
      <c r="L752" s="8" t="s">
        <v>174</v>
      </c>
    </row>
    <row r="753" spans="1:12" ht="81">
      <c r="A753" s="1" t="str" cm="1">
        <f t="array" aca="1" ref="A753" ca="1">INDIRECT(_xlfn.CONCAT("$I", $F753))</f>
        <v>Duel Decks: Elspeth vs. Tezzeret Tokens TDDF</v>
      </c>
      <c r="B753" s="1" cm="1">
        <f t="array" aca="1" ref="B753" ca="1">INDIRECT(_xlfn.CONCAT("$J", $F753))</f>
        <v>1</v>
      </c>
      <c r="C753" s="1" cm="1">
        <f t="array" aca="1" ref="C753" ca="1">INDIRECT(_xlfn.CONCAT("$K", $F753))</f>
        <v>40424</v>
      </c>
      <c r="D753" s="1"/>
      <c r="E753" s="1" t="str" cm="1">
        <f t="array" aca="1" ref="E753" ca="1">INDIRECT(_xlfn.CONCAT("$L", $F753))</f>
        <v>en es fr de it pt ja ko ru 汉语 漢語</v>
      </c>
      <c r="F753" s="1" cm="1">
        <f t="array" aca="1" ref="F753" ca="1">IF(NOT(OR(ISERROR(INDIRECT(_xlfn.CONCAT("$I", $F752 + 1))), ISBLANK(INDIRECT(_xlfn.CONCAT("$I", $F752 + 1))))), $F752 + 1, IF(NOT(ISBLANK(INDIRECT(_xlfn.CONCAT("$I", $F752 + 2)))), $F752 + 2, ""))</f>
        <v>1450</v>
      </c>
    </row>
    <row r="754" spans="1:12" ht="59.25">
      <c r="A754" s="1" t="str" cm="1">
        <f t="array" aca="1" ref="A754" ca="1">INDIRECT(_xlfn.CONCAT("$I", $F754))</f>
        <v>From the Vault: Relics V10</v>
      </c>
      <c r="B754" s="1" cm="1">
        <f t="array" aca="1" ref="B754" ca="1">INDIRECT(_xlfn.CONCAT("$J", $F754))</f>
        <v>15</v>
      </c>
      <c r="C754" s="1" cm="1">
        <f t="array" aca="1" ref="C754" ca="1">INDIRECT(_xlfn.CONCAT("$K", $F754))</f>
        <v>40417</v>
      </c>
      <c r="D754" s="1"/>
      <c r="E754" s="1" t="str" cm="1">
        <f t="array" aca="1" ref="E754" ca="1">INDIRECT(_xlfn.CONCAT("$L", $F754))</f>
        <v>en es fr de it pt ja ko ru 汉语 漢語</v>
      </c>
      <c r="F754" s="1" cm="1">
        <f t="array" aca="1" ref="F754" ca="1">IF(NOT(OR(ISERROR(INDIRECT(_xlfn.CONCAT("$I", $F753 + 1))), ISBLANK(INDIRECT(_xlfn.CONCAT("$I", $F753 + 1))))), $F753 + 1, IF(NOT(ISBLANK(INDIRECT(_xlfn.CONCAT("$I", $F753 + 2)))), $F753 + 2, ""))</f>
        <v>1452</v>
      </c>
      <c r="I754" s="8" t="s">
        <v>549</v>
      </c>
      <c r="J754" s="8">
        <v>25</v>
      </c>
      <c r="K754" s="9">
        <v>43902</v>
      </c>
      <c r="L754" s="8" t="s">
        <v>174</v>
      </c>
    </row>
    <row r="755" spans="1:12" ht="59.25">
      <c r="A755" s="1" t="str" cm="1">
        <f t="array" aca="1" ref="A755" ca="1">INDIRECT(_xlfn.CONCAT("$I", $F755))</f>
        <v>Magic 2011 M11</v>
      </c>
      <c r="B755" s="1" cm="1">
        <f t="array" aca="1" ref="B755" ca="1">INDIRECT(_xlfn.CONCAT("$J", $F755))</f>
        <v>249</v>
      </c>
      <c r="C755" s="1" cm="1">
        <f t="array" aca="1" ref="C755" ca="1">INDIRECT(_xlfn.CONCAT("$K", $F755))</f>
        <v>40375</v>
      </c>
      <c r="D755" s="1"/>
      <c r="E755" s="1" t="str" cm="1">
        <f t="array" aca="1" ref="E755" ca="1">INDIRECT(_xlfn.CONCAT("$L", $F755))</f>
        <v>en es fr de it pt ja ko ru 汉语 漢語</v>
      </c>
      <c r="F755" s="1" cm="1">
        <f t="array" aca="1" ref="F755" ca="1">IF(NOT(OR(ISERROR(INDIRECT(_xlfn.CONCAT("$I", $F754 + 1))), ISBLANK(INDIRECT(_xlfn.CONCAT("$I", $F754 + 1))))), $F754 + 1, IF(NOT(ISBLANK(INDIRECT(_xlfn.CONCAT("$I", $F754 + 2)))), $F754 + 2, ""))</f>
        <v>1454</v>
      </c>
    </row>
    <row r="756" spans="1:12" ht="59.25">
      <c r="A756" s="1" t="str" cm="1">
        <f t="array" aca="1" ref="A756" ca="1">INDIRECT(_xlfn.CONCAT("$I", $F756))</f>
        <v>Magic 2011 Promos PM11</v>
      </c>
      <c r="B756" s="1" cm="1">
        <f t="array" aca="1" ref="B756" ca="1">INDIRECT(_xlfn.CONCAT("$J", $F756))</f>
        <v>6</v>
      </c>
      <c r="C756" s="1" cm="1">
        <f t="array" aca="1" ref="C756" ca="1">INDIRECT(_xlfn.CONCAT("$K", $F756))</f>
        <v>40374</v>
      </c>
      <c r="D756" s="1"/>
      <c r="E756" s="1" t="str" cm="1">
        <f t="array" aca="1" ref="E756" ca="1">INDIRECT(_xlfn.CONCAT("$L", $F756))</f>
        <v>en es fr de it pt ja ko ru 汉语 漢語</v>
      </c>
      <c r="F756" s="1" cm="1">
        <f t="array" aca="1" ref="F756" ca="1">IF(NOT(OR(ISERROR(INDIRECT(_xlfn.CONCAT("$I", $F755 + 1))), ISBLANK(INDIRECT(_xlfn.CONCAT("$I", $F755 + 1))))), $F755 + 1, IF(NOT(ISBLANK(INDIRECT(_xlfn.CONCAT("$I", $F755 + 2)))), $F755 + 2, ""))</f>
        <v>1456</v>
      </c>
      <c r="I756" s="8" t="s">
        <v>550</v>
      </c>
      <c r="J756" s="8">
        <v>96</v>
      </c>
      <c r="K756" s="9">
        <v>43890</v>
      </c>
      <c r="L756" s="8" t="s">
        <v>174</v>
      </c>
    </row>
    <row r="757" spans="1:12" ht="59.25">
      <c r="A757" s="1" t="str" cm="1">
        <f t="array" aca="1" ref="A757" ca="1">INDIRECT(_xlfn.CONCAT("$I", $F757))</f>
        <v>Magic 2011 Tokens TM11</v>
      </c>
      <c r="B757" s="1" cm="1">
        <f t="array" aca="1" ref="B757" ca="1">INDIRECT(_xlfn.CONCAT("$J", $F757))</f>
        <v>6</v>
      </c>
      <c r="C757" s="1" cm="1">
        <f t="array" aca="1" ref="C757" ca="1">INDIRECT(_xlfn.CONCAT("$K", $F757))</f>
        <v>40375</v>
      </c>
      <c r="D757" s="1"/>
      <c r="E757" s="1" t="str" cm="1">
        <f t="array" aca="1" ref="E757" ca="1">INDIRECT(_xlfn.CONCAT("$L", $F757))</f>
        <v>en es fr de it pt ja ko ru 汉语 漢語</v>
      </c>
      <c r="F757" s="1" cm="1">
        <f t="array" aca="1" ref="F757" ca="1">IF(NOT(OR(ISERROR(INDIRECT(_xlfn.CONCAT("$I", $F756 + 1))), ISBLANK(INDIRECT(_xlfn.CONCAT("$I", $F756 + 1))))), $F756 + 1, IF(NOT(ISBLANK(INDIRECT(_xlfn.CONCAT("$I", $F756 + 2)))), $F756 + 2, ""))</f>
        <v>1458</v>
      </c>
    </row>
    <row r="758" spans="1:12" ht="59.25">
      <c r="A758" s="1" t="str" cm="1">
        <f t="array" aca="1" ref="A758" ca="1">INDIRECT(_xlfn.CONCAT("$I", $F758))</f>
        <v>Archenemy ARC</v>
      </c>
      <c r="B758" s="1" cm="1">
        <f t="array" aca="1" ref="B758" ca="1">INDIRECT(_xlfn.CONCAT("$J", $F758))</f>
        <v>150</v>
      </c>
      <c r="C758" s="1" cm="1">
        <f t="array" aca="1" ref="C758" ca="1">INDIRECT(_xlfn.CONCAT("$K", $F758))</f>
        <v>40347</v>
      </c>
      <c r="D758" s="1"/>
      <c r="E758" s="1" t="str" cm="1">
        <f t="array" aca="1" ref="E758" ca="1">INDIRECT(_xlfn.CONCAT("$L", $F758))</f>
        <v>en es fr de it pt ja ko ru 汉语 漢語</v>
      </c>
      <c r="F758" s="1" cm="1">
        <f t="array" aca="1" ref="F758" ca="1">IF(NOT(OR(ISERROR(INDIRECT(_xlfn.CONCAT("$I", $F757 + 1))), ISBLANK(INDIRECT(_xlfn.CONCAT("$I", $F757 + 1))))), $F757 + 1, IF(NOT(ISBLANK(INDIRECT(_xlfn.CONCAT("$I", $F757 + 2)))), $F757 + 2, ""))</f>
        <v>1460</v>
      </c>
      <c r="I758" s="8" t="s">
        <v>551</v>
      </c>
      <c r="J758" s="8">
        <v>6</v>
      </c>
      <c r="K758" s="9">
        <v>43890</v>
      </c>
      <c r="L758" s="8" t="s">
        <v>174</v>
      </c>
    </row>
    <row r="759" spans="1:12" ht="59.25">
      <c r="A759" s="1" t="str" cm="1">
        <f t="array" aca="1" ref="A759" ca="1">INDIRECT(_xlfn.CONCAT("$I", $F759))</f>
        <v>Archenemy Schemes OARC</v>
      </c>
      <c r="B759" s="1" cm="1">
        <f t="array" aca="1" ref="B759" ca="1">INDIRECT(_xlfn.CONCAT("$J", $F759))</f>
        <v>45</v>
      </c>
      <c r="C759" s="1" cm="1">
        <f t="array" aca="1" ref="C759" ca="1">INDIRECT(_xlfn.CONCAT("$K", $F759))</f>
        <v>40347</v>
      </c>
      <c r="D759" s="1"/>
      <c r="E759" s="1" t="str" cm="1">
        <f t="array" aca="1" ref="E759" ca="1">INDIRECT(_xlfn.CONCAT("$L", $F759))</f>
        <v>en es fr de it pt ja ko ru 汉语 漢語</v>
      </c>
      <c r="F759" s="1" cm="1">
        <f t="array" aca="1" ref="F759" ca="1">IF(NOT(OR(ISERROR(INDIRECT(_xlfn.CONCAT("$I", $F758 + 1))), ISBLANK(INDIRECT(_xlfn.CONCAT("$I", $F758 + 1))))), $F758 + 1, IF(NOT(ISBLANK(INDIRECT(_xlfn.CONCAT("$I", $F758 + 2)))), $F758 + 2, ""))</f>
        <v>1462</v>
      </c>
    </row>
    <row r="760" spans="1:12" ht="59.25">
      <c r="A760" s="1" t="str" cm="1">
        <f t="array" aca="1" ref="A760" ca="1">INDIRECT(_xlfn.CONCAT("$I", $F760))</f>
        <v>Duels of the Planeswalkers DPA</v>
      </c>
      <c r="B760" s="1" cm="1">
        <f t="array" aca="1" ref="B760" ca="1">INDIRECT(_xlfn.CONCAT("$J", $F760))</f>
        <v>113</v>
      </c>
      <c r="C760" s="1" cm="1">
        <f t="array" aca="1" ref="C760" ca="1">INDIRECT(_xlfn.CONCAT("$K", $F760))</f>
        <v>40333</v>
      </c>
      <c r="D760" s="1"/>
      <c r="E760" s="1" t="str" cm="1">
        <f t="array" aca="1" ref="E760" ca="1">INDIRECT(_xlfn.CONCAT("$L", $F760))</f>
        <v>en es fr de it pt ja ko ru 汉语 漢語</v>
      </c>
      <c r="F760" s="1" cm="1">
        <f t="array" aca="1" ref="F760" ca="1">IF(NOT(OR(ISERROR(INDIRECT(_xlfn.CONCAT("$I", $F759 + 1))), ISBLANK(INDIRECT(_xlfn.CONCAT("$I", $F759 + 1))))), $F759 + 1, IF(NOT(ISBLANK(INDIRECT(_xlfn.CONCAT("$I", $F759 + 2)))), $F759 + 2, ""))</f>
        <v>1464</v>
      </c>
      <c r="I760" s="8" t="s">
        <v>552</v>
      </c>
      <c r="J760" s="8">
        <v>358</v>
      </c>
      <c r="K760" s="9">
        <v>43854</v>
      </c>
      <c r="L760" t="s">
        <v>174</v>
      </c>
    </row>
    <row r="761" spans="1:12" ht="59.25">
      <c r="A761" s="1" t="str" cm="1">
        <f t="array" aca="1" ref="A761" ca="1">INDIRECT(_xlfn.CONCAT("$I", $F761))</f>
        <v>Rise of the Eldrazi ROE</v>
      </c>
      <c r="B761" s="1" cm="1">
        <f t="array" aca="1" ref="B761" ca="1">INDIRECT(_xlfn.CONCAT("$J", $F761))</f>
        <v>248</v>
      </c>
      <c r="C761" s="1" cm="1">
        <f t="array" aca="1" ref="C761" ca="1">INDIRECT(_xlfn.CONCAT("$K", $F761))</f>
        <v>40291</v>
      </c>
      <c r="D761" s="1"/>
      <c r="E761" s="1" t="str" cm="1">
        <f t="array" aca="1" ref="E761" ca="1">INDIRECT(_xlfn.CONCAT("$L", $F761))</f>
        <v>en es fr de it pt ja ko ru 汉语 漢語</v>
      </c>
      <c r="F761" s="1" cm="1">
        <f t="array" aca="1" ref="F761" ca="1">IF(NOT(OR(ISERROR(INDIRECT(_xlfn.CONCAT("$I", $F760 + 1))), ISBLANK(INDIRECT(_xlfn.CONCAT("$I", $F760 + 1))))), $F760 + 1, IF(NOT(ISBLANK(INDIRECT(_xlfn.CONCAT("$I", $F760 + 2)))), $F760 + 2, ""))</f>
        <v>1466</v>
      </c>
    </row>
    <row r="762" spans="1:12" ht="59.25">
      <c r="A762" s="1" t="str" cm="1">
        <f t="array" aca="1" ref="A762" ca="1">INDIRECT(_xlfn.CONCAT("$I", $F762))</f>
        <v>Rise of the Eldrazi Promos PROE</v>
      </c>
      <c r="B762" s="1" cm="1">
        <f t="array" aca="1" ref="B762" ca="1">INDIRECT(_xlfn.CONCAT("$J", $F762))</f>
        <v>4</v>
      </c>
      <c r="C762" s="1" cm="1">
        <f t="array" aca="1" ref="C762" ca="1">INDIRECT(_xlfn.CONCAT("$K", $F762))</f>
        <v>40291</v>
      </c>
      <c r="D762" s="1"/>
      <c r="E762" s="1" t="str" cm="1">
        <f t="array" aca="1" ref="E762" ca="1">INDIRECT(_xlfn.CONCAT("$L", $F762))</f>
        <v>en es fr de it pt ja ko ru 汉语 漢語</v>
      </c>
      <c r="F762" s="1" cm="1">
        <f t="array" aca="1" ref="F762" ca="1">IF(NOT(OR(ISERROR(INDIRECT(_xlfn.CONCAT("$I", $F761 + 1))), ISBLANK(INDIRECT(_xlfn.CONCAT("$I", $F761 + 1))))), $F761 + 1, IF(NOT(ISBLANK(INDIRECT(_xlfn.CONCAT("$I", $F761 + 2)))), $F761 + 2, ""))</f>
        <v>1468</v>
      </c>
      <c r="I762" s="8" t="s">
        <v>553</v>
      </c>
      <c r="J762" s="8">
        <v>137</v>
      </c>
      <c r="K762" s="9">
        <v>43854</v>
      </c>
      <c r="L762" s="8" t="s">
        <v>174</v>
      </c>
    </row>
    <row r="763" spans="1:12" ht="59.25">
      <c r="A763" s="1" t="str" cm="1">
        <f t="array" aca="1" ref="A763" ca="1">INDIRECT(_xlfn.CONCAT("$I", $F763))</f>
        <v>Rise of the Eldrazi Tokens TROE</v>
      </c>
      <c r="B763" s="1" cm="1">
        <f t="array" aca="1" ref="B763" ca="1">INDIRECT(_xlfn.CONCAT("$J", $F763))</f>
        <v>7</v>
      </c>
      <c r="C763" s="1" cm="1">
        <f t="array" aca="1" ref="C763" ca="1">INDIRECT(_xlfn.CONCAT("$K", $F763))</f>
        <v>40291</v>
      </c>
      <c r="D763" s="1"/>
      <c r="E763" s="1" t="str" cm="1">
        <f t="array" aca="1" ref="E763" ca="1">INDIRECT(_xlfn.CONCAT("$L", $F763))</f>
        <v>en es fr de it pt ja ko ru 汉语 漢語</v>
      </c>
      <c r="F763" s="1" cm="1">
        <f t="array" aca="1" ref="F763" ca="1">IF(NOT(OR(ISERROR(INDIRECT(_xlfn.CONCAT("$I", $F762 + 1))), ISBLANK(INDIRECT(_xlfn.CONCAT("$I", $F762 + 1))))), $F762 + 1, IF(NOT(ISBLANK(INDIRECT(_xlfn.CONCAT("$I", $F762 + 2)))), $F762 + 2, ""))</f>
        <v>1470</v>
      </c>
    </row>
    <row r="764" spans="1:12" ht="81">
      <c r="A764" s="1" t="str" cm="1">
        <f t="array" aca="1" ref="A764" ca="1">INDIRECT(_xlfn.CONCAT("$I", $F764))</f>
        <v>Duel Decks: Phyrexia vs. the Coalition DDE</v>
      </c>
      <c r="B764" s="1" cm="1">
        <f t="array" aca="1" ref="B764" ca="1">INDIRECT(_xlfn.CONCAT("$J", $F764))</f>
        <v>71</v>
      </c>
      <c r="C764" s="1" cm="1">
        <f t="array" aca="1" ref="C764" ca="1">INDIRECT(_xlfn.CONCAT("$K", $F764))</f>
        <v>40256</v>
      </c>
      <c r="D764" s="1"/>
      <c r="E764" s="1" t="str" cm="1">
        <f t="array" aca="1" ref="E764" ca="1">INDIRECT(_xlfn.CONCAT("$L", $F764))</f>
        <v>en es fr de it pt ja ko ru 汉语 漢語</v>
      </c>
      <c r="F764" s="1" cm="1">
        <f t="array" aca="1" ref="F764" ca="1">IF(NOT(OR(ISERROR(INDIRECT(_xlfn.CONCAT("$I", $F763 + 1))), ISBLANK(INDIRECT(_xlfn.CONCAT("$I", $F763 + 1))))), $F763 + 1, IF(NOT(ISBLANK(INDIRECT(_xlfn.CONCAT("$I", $F763 + 2)))), $F763 + 2, ""))</f>
        <v>1472</v>
      </c>
      <c r="I764" s="8" t="s">
        <v>554</v>
      </c>
      <c r="J764" s="8">
        <v>14</v>
      </c>
      <c r="K764" s="9">
        <v>43854</v>
      </c>
      <c r="L764" s="8" t="s">
        <v>174</v>
      </c>
    </row>
    <row r="765" spans="1:12" ht="94.5">
      <c r="A765" s="1" t="str" cm="1">
        <f t="array" aca="1" ref="A765" ca="1">INDIRECT(_xlfn.CONCAT("$I", $F765))</f>
        <v>Duel Decks: Phyrexia vs. the Coalition Tokens TDDE</v>
      </c>
      <c r="B765" s="1" cm="1">
        <f t="array" aca="1" ref="B765" ca="1">INDIRECT(_xlfn.CONCAT("$J", $F765))</f>
        <v>3</v>
      </c>
      <c r="C765" s="1" cm="1">
        <f t="array" aca="1" ref="C765" ca="1">INDIRECT(_xlfn.CONCAT("$K", $F765))</f>
        <v>40256</v>
      </c>
      <c r="D765" s="1"/>
      <c r="E765" s="1" t="str" cm="1">
        <f t="array" aca="1" ref="E765" ca="1">INDIRECT(_xlfn.CONCAT("$L", $F765))</f>
        <v>en es fr de it pt ja ko ru 汉语 漢語</v>
      </c>
      <c r="F765" s="1" cm="1">
        <f t="array" aca="1" ref="F765" ca="1">IF(NOT(OR(ISERROR(INDIRECT(_xlfn.CONCAT("$I", $F764 + 1))), ISBLANK(INDIRECT(_xlfn.CONCAT("$I", $F764 + 1))))), $F764 + 1, IF(NOT(ISBLANK(INDIRECT(_xlfn.CONCAT("$I", $F764 + 2)))), $F764 + 2, ""))</f>
        <v>1474</v>
      </c>
    </row>
    <row r="766" spans="1:12" ht="59.25">
      <c r="A766" s="1" t="str" cm="1">
        <f t="array" aca="1" ref="A766" ca="1">INDIRECT(_xlfn.CONCAT("$I", $F766))</f>
        <v>Worldwake WWK</v>
      </c>
      <c r="B766" s="1" cm="1">
        <f t="array" aca="1" ref="B766" ca="1">INDIRECT(_xlfn.CONCAT("$J", $F766))</f>
        <v>145</v>
      </c>
      <c r="C766" s="1" cm="1">
        <f t="array" aca="1" ref="C766" ca="1">INDIRECT(_xlfn.CONCAT("$K", $F766))</f>
        <v>40214</v>
      </c>
      <c r="D766" s="1"/>
      <c r="E766" s="1" t="str" cm="1">
        <f t="array" aca="1" ref="E766" ca="1">INDIRECT(_xlfn.CONCAT("$L", $F766))</f>
        <v>en es fr de it pt ja ko ru 汉语 漢語</v>
      </c>
      <c r="F766" s="1" cm="1">
        <f t="array" aca="1" ref="F766" ca="1">IF(NOT(OR(ISERROR(INDIRECT(_xlfn.CONCAT("$I", $F765 + 1))), ISBLANK(INDIRECT(_xlfn.CONCAT("$I", $F765 + 1))))), $F765 + 1, IF(NOT(ISBLANK(INDIRECT(_xlfn.CONCAT("$I", $F765 + 2)))), $F765 + 2, ""))</f>
        <v>1476</v>
      </c>
      <c r="I766" s="8" t="s">
        <v>555</v>
      </c>
      <c r="J766" s="8">
        <v>6</v>
      </c>
      <c r="K766" s="9">
        <v>43831</v>
      </c>
      <c r="L766" s="8" t="s">
        <v>174</v>
      </c>
    </row>
    <row r="767" spans="1:12" ht="59.25">
      <c r="A767" s="1" t="str" cm="1">
        <f t="array" aca="1" ref="A767" ca="1">INDIRECT(_xlfn.CONCAT("$I", $F767))</f>
        <v>Worldwake Promos PWWK</v>
      </c>
      <c r="B767" s="1" cm="1">
        <f t="array" aca="1" ref="B767" ca="1">INDIRECT(_xlfn.CONCAT("$J", $F767))</f>
        <v>6</v>
      </c>
      <c r="C767" s="1" cm="1">
        <f t="array" aca="1" ref="C767" ca="1">INDIRECT(_xlfn.CONCAT("$K", $F767))</f>
        <v>40214</v>
      </c>
      <c r="D767" s="1"/>
      <c r="E767" s="1" t="str" cm="1">
        <f t="array" aca="1" ref="E767" ca="1">INDIRECT(_xlfn.CONCAT("$L", $F767))</f>
        <v>en es fr de it pt ja ko ru 汉语 漢語</v>
      </c>
      <c r="F767" s="1" cm="1">
        <f t="array" aca="1" ref="F767" ca="1">IF(NOT(OR(ISERROR(INDIRECT(_xlfn.CONCAT("$I", $F766 + 1))), ISBLANK(INDIRECT(_xlfn.CONCAT("$I", $F766 + 1))))), $F766 + 1, IF(NOT(ISBLANK(INDIRECT(_xlfn.CONCAT("$I", $F766 + 2)))), $F766 + 2, ""))</f>
        <v>1478</v>
      </c>
    </row>
    <row r="768" spans="1:12" ht="59.25">
      <c r="A768" s="1" t="str" cm="1">
        <f t="array" aca="1" ref="A768" ca="1">INDIRECT(_xlfn.CONCAT("$I", $F768))</f>
        <v>Worldwake Tokens TWWK</v>
      </c>
      <c r="B768" s="1" cm="1">
        <f t="array" aca="1" ref="B768" ca="1">INDIRECT(_xlfn.CONCAT("$J", $F768))</f>
        <v>6</v>
      </c>
      <c r="C768" s="1" cm="1">
        <f t="array" aca="1" ref="C768" ca="1">INDIRECT(_xlfn.CONCAT("$K", $F768))</f>
        <v>40214</v>
      </c>
      <c r="D768" s="1"/>
      <c r="E768" s="1" t="str" cm="1">
        <f t="array" aca="1" ref="E768" ca="1">INDIRECT(_xlfn.CONCAT("$L", $F768))</f>
        <v>en es fr de it pt ja ko ru 汉语 漢語</v>
      </c>
      <c r="F768" s="1" cm="1">
        <f t="array" aca="1" ref="F768" ca="1">IF(NOT(OR(ISERROR(INDIRECT(_xlfn.CONCAT("$I", $F767 + 1))), ISBLANK(INDIRECT(_xlfn.CONCAT("$I", $F767 + 1))))), $F767 + 1, IF(NOT(ISBLANK(INDIRECT(_xlfn.CONCAT("$I", $F767 + 2)))), $F767 + 2, ""))</f>
        <v>1480</v>
      </c>
      <c r="I768" s="8" t="s">
        <v>556</v>
      </c>
      <c r="J768" s="8">
        <v>10</v>
      </c>
      <c r="K768" s="9">
        <v>43831</v>
      </c>
      <c r="L768" s="8" t="s">
        <v>174</v>
      </c>
    </row>
    <row r="769" spans="1:12" ht="81">
      <c r="A769" s="1" t="str" cm="1">
        <f t="array" aca="1" ref="A769" ca="1">INDIRECT(_xlfn.CONCAT("$I", $F769))</f>
        <v>Duels of the Planeswalkers 2010 Promos PDP10</v>
      </c>
      <c r="B769" s="1" cm="1">
        <f t="array" aca="1" ref="B769" ca="1">INDIRECT(_xlfn.CONCAT("$J", $F769))</f>
        <v>2</v>
      </c>
      <c r="C769" s="1" cm="1">
        <f t="array" aca="1" ref="C769" ca="1">INDIRECT(_xlfn.CONCAT("$K", $F769))</f>
        <v>40179</v>
      </c>
      <c r="D769" s="1"/>
      <c r="E769" s="1" t="str" cm="1">
        <f t="array" aca="1" ref="E769" ca="1">INDIRECT(_xlfn.CONCAT("$L", $F769))</f>
        <v>en es fr de it pt ja ko ru 汉语 漢語</v>
      </c>
      <c r="F769" s="1" cm="1">
        <f t="array" aca="1" ref="F769" ca="1">IF(NOT(OR(ISERROR(INDIRECT(_xlfn.CONCAT("$I", $F768 + 1))), ISBLANK(INDIRECT(_xlfn.CONCAT("$I", $F768 + 1))))), $F768 + 1, IF(NOT(ISBLANK(INDIRECT(_xlfn.CONCAT("$I", $F768 + 2)))), $F768 + 2, ""))</f>
        <v>1482</v>
      </c>
    </row>
    <row r="770" spans="1:12" ht="59.25">
      <c r="A770" s="1" t="str" cm="1">
        <f t="array" aca="1" ref="A770" ca="1">INDIRECT(_xlfn.CONCAT("$I", $F770))</f>
        <v>Magic Premiere Shop 2010 PMPS10</v>
      </c>
      <c r="B770" s="1" cm="1">
        <f t="array" aca="1" ref="B770" ca="1">INDIRECT(_xlfn.CONCAT("$J", $F770))</f>
        <v>5</v>
      </c>
      <c r="C770" s="1" cm="1">
        <f t="array" aca="1" ref="C770" ca="1">INDIRECT(_xlfn.CONCAT("$K", $F770))</f>
        <v>40179</v>
      </c>
      <c r="D770" s="1"/>
      <c r="E770" s="1" t="str" cm="1">
        <f t="array" aca="1" ref="E770" ca="1">INDIRECT(_xlfn.CONCAT("$L", $F770))</f>
        <v>en es fr de it pt ja ko ru 汉语 漢語</v>
      </c>
      <c r="F770" s="1" cm="1">
        <f t="array" aca="1" ref="F770" ca="1">IF(NOT(OR(ISERROR(INDIRECT(_xlfn.CONCAT("$I", $F769 + 1))), ISBLANK(INDIRECT(_xlfn.CONCAT("$I", $F769 + 1))))), $F769 + 1, IF(NOT(ISBLANK(INDIRECT(_xlfn.CONCAT("$I", $F769 + 2)))), $F769 + 2, ""))</f>
        <v>1484</v>
      </c>
      <c r="I770" s="8" t="s">
        <v>557</v>
      </c>
      <c r="J770" s="8">
        <v>2302</v>
      </c>
      <c r="K770" s="9">
        <v>43801</v>
      </c>
      <c r="L770" t="s">
        <v>174</v>
      </c>
    </row>
    <row r="771" spans="1:12" ht="59.25">
      <c r="A771" s="1" t="str" cm="1">
        <f t="array" aca="1" ref="A771" ca="1">INDIRECT(_xlfn.CONCAT("$I", $F771))</f>
        <v>Magic Player Rewards 2010 P10</v>
      </c>
      <c r="B771" s="1" cm="1">
        <f t="array" aca="1" ref="B771" ca="1">INDIRECT(_xlfn.CONCAT("$J", $F771))</f>
        <v>13</v>
      </c>
      <c r="C771" s="1" cm="1">
        <f t="array" aca="1" ref="C771" ca="1">INDIRECT(_xlfn.CONCAT("$K", $F771))</f>
        <v>40179</v>
      </c>
      <c r="D771" s="1"/>
      <c r="E771" s="1" t="str" cm="1">
        <f t="array" aca="1" ref="E771" ca="1">INDIRECT(_xlfn.CONCAT("$L", $F771))</f>
        <v>en es fr de it pt ja ko ru 汉语 漢語</v>
      </c>
      <c r="F771" s="1" cm="1">
        <f t="array" aca="1" ref="F771" ca="1">IF(NOT(OR(ISERROR(INDIRECT(_xlfn.CONCAT("$I", $F770 + 1))), ISBLANK(INDIRECT(_xlfn.CONCAT("$I", $F770 + 1))))), $F770 + 1, IF(NOT(ISBLANK(INDIRECT(_xlfn.CONCAT("$I", $F770 + 2)))), $F770 + 2, ""))</f>
        <v>1486</v>
      </c>
    </row>
    <row r="772" spans="1:12" ht="59.25">
      <c r="A772" s="1" t="str" cm="1">
        <f t="array" aca="1" ref="A772" ca="1">INDIRECT(_xlfn.CONCAT("$I", $F772))</f>
        <v>Judge Gift Cards 2010 G10</v>
      </c>
      <c r="B772" s="1" cm="1">
        <f t="array" aca="1" ref="B772" ca="1">INDIRECT(_xlfn.CONCAT("$J", $F772))</f>
        <v>8</v>
      </c>
      <c r="C772" s="1" cm="1">
        <f t="array" aca="1" ref="C772" ca="1">INDIRECT(_xlfn.CONCAT("$K", $F772))</f>
        <v>40179</v>
      </c>
      <c r="D772" s="1"/>
      <c r="E772" s="1" t="str" cm="1">
        <f t="array" aca="1" ref="E772" ca="1">INDIRECT(_xlfn.CONCAT("$L", $F772))</f>
        <v>en es fr de it pt ja ko ru 汉语 漢語</v>
      </c>
      <c r="F772" s="1" cm="1">
        <f t="array" aca="1" ref="F772" ca="1">IF(NOT(OR(ISERROR(INDIRECT(_xlfn.CONCAT("$I", $F771 + 1))), ISBLANK(INDIRECT(_xlfn.CONCAT("$I", $F771 + 1))))), $F771 + 1, IF(NOT(ISBLANK(INDIRECT(_xlfn.CONCAT("$I", $F771 + 2)))), $F771 + 2, ""))</f>
        <v>1488</v>
      </c>
      <c r="I772" s="8" t="s">
        <v>558</v>
      </c>
      <c r="J772" s="8">
        <v>10</v>
      </c>
      <c r="K772" s="9">
        <v>45709</v>
      </c>
      <c r="L772" s="8" t="s">
        <v>174</v>
      </c>
    </row>
    <row r="773" spans="1:12" ht="59.25">
      <c r="A773" s="1" t="str" cm="1">
        <f t="array" aca="1" ref="A773" ca="1">INDIRECT(_xlfn.CONCAT("$I", $F773))</f>
        <v>Friday Night Magic 2010 F10</v>
      </c>
      <c r="B773" s="1" cm="1">
        <f t="array" aca="1" ref="B773" ca="1">INDIRECT(_xlfn.CONCAT("$J", $F773))</f>
        <v>12</v>
      </c>
      <c r="C773" s="1" cm="1">
        <f t="array" aca="1" ref="C773" ca="1">INDIRECT(_xlfn.CONCAT("$K", $F773))</f>
        <v>40179</v>
      </c>
      <c r="D773" s="1"/>
      <c r="E773" s="1" t="str" cm="1">
        <f t="array" aca="1" ref="E773" ca="1">INDIRECT(_xlfn.CONCAT("$L", $F773))</f>
        <v>en es fr de it pt ja ko ru 汉语 漢語</v>
      </c>
      <c r="F773" s="1" cm="1">
        <f t="array" aca="1" ref="F773" ca="1">IF(NOT(OR(ISERROR(INDIRECT(_xlfn.CONCAT("$I", $F772 + 1))), ISBLANK(INDIRECT(_xlfn.CONCAT("$I", $F772 + 1))))), $F772 + 1, IF(NOT(ISBLANK(INDIRECT(_xlfn.CONCAT("$I", $F772 + 2)))), $F772 + 2, ""))</f>
        <v>1490</v>
      </c>
    </row>
    <row r="774" spans="1:12" ht="59.25">
      <c r="A774" s="1" t="str" cm="1">
        <f t="array" aca="1" ref="A774" ca="1">INDIRECT(_xlfn.CONCAT("$I", $F774))</f>
        <v>Premium Deck Series: Slivers H09</v>
      </c>
      <c r="B774" s="1" cm="1">
        <f t="array" aca="1" ref="B774" ca="1">INDIRECT(_xlfn.CONCAT("$J", $F774))</f>
        <v>41</v>
      </c>
      <c r="C774" s="1" cm="1">
        <f t="array" aca="1" ref="C774" ca="1">INDIRECT(_xlfn.CONCAT("$K", $F774))</f>
        <v>40137</v>
      </c>
      <c r="D774" s="1"/>
      <c r="E774" s="1" t="str" cm="1">
        <f t="array" aca="1" ref="E774" ca="1">INDIRECT(_xlfn.CONCAT("$L", $F774))</f>
        <v>en es fr de it pt ja ko ru 汉语 漢語</v>
      </c>
      <c r="F774" s="1" cm="1">
        <f t="array" aca="1" ref="F774" ca="1">IF(NOT(OR(ISERROR(INDIRECT(_xlfn.CONCAT("$I", $F773 + 1))), ISBLANK(INDIRECT(_xlfn.CONCAT("$I", $F773 + 1))))), $F773 + 1, IF(NOT(ISBLANK(INDIRECT(_xlfn.CONCAT("$I", $F773 + 2)))), $F773 + 2, ""))</f>
        <v>1492</v>
      </c>
      <c r="I774" s="8" t="s">
        <v>559</v>
      </c>
      <c r="J774" s="8">
        <v>47</v>
      </c>
      <c r="K774" s="9">
        <v>44974</v>
      </c>
      <c r="L774" s="8" t="s">
        <v>174</v>
      </c>
    </row>
    <row r="775" spans="1:12" ht="68.25">
      <c r="A775" s="1" t="str" cm="1">
        <f t="array" aca="1" ref="A775" ca="1">INDIRECT(_xlfn.CONCAT("$I", $F775))</f>
        <v>Duel Decks: Garruk vs. Liliana DDD</v>
      </c>
      <c r="B775" s="1" cm="1">
        <f t="array" aca="1" ref="B775" ca="1">INDIRECT(_xlfn.CONCAT("$J", $F775))</f>
        <v>63</v>
      </c>
      <c r="C775" s="1" cm="1">
        <f t="array" aca="1" ref="C775" ca="1">INDIRECT(_xlfn.CONCAT("$K", $F775))</f>
        <v>40116</v>
      </c>
      <c r="D775" s="1"/>
      <c r="E775" s="1" t="str" cm="1">
        <f t="array" aca="1" ref="E775" ca="1">INDIRECT(_xlfn.CONCAT("$L", $F775))</f>
        <v>en es fr de it pt ja ko ru 汉语 漢語</v>
      </c>
      <c r="F775" s="1" cm="1">
        <f t="array" aca="1" ref="F775" ca="1">IF(NOT(OR(ISERROR(INDIRECT(_xlfn.CONCAT("$I", $F774 + 1))), ISBLANK(INDIRECT(_xlfn.CONCAT("$I", $F774 + 1))))), $F774 + 1, IF(NOT(ISBLANK(INDIRECT(_xlfn.CONCAT("$I", $F774 + 2)))), $F774 + 2, ""))</f>
        <v>1494</v>
      </c>
    </row>
    <row r="776" spans="1:12" ht="81">
      <c r="A776" s="1" t="str" cm="1">
        <f t="array" aca="1" ref="A776" ca="1">INDIRECT(_xlfn.CONCAT("$I", $F776))</f>
        <v>Duel Decks: Garruk vs. Liliana Tokens TDDD</v>
      </c>
      <c r="B776" s="1" cm="1">
        <f t="array" aca="1" ref="B776" ca="1">INDIRECT(_xlfn.CONCAT("$J", $F776))</f>
        <v>3</v>
      </c>
      <c r="C776" s="1" cm="1">
        <f t="array" aca="1" ref="C776" ca="1">INDIRECT(_xlfn.CONCAT("$K", $F776))</f>
        <v>40116</v>
      </c>
      <c r="D776" s="1"/>
      <c r="E776" s="1" t="str" cm="1">
        <f t="array" aca="1" ref="E776" ca="1">INDIRECT(_xlfn.CONCAT("$L", $F776))</f>
        <v>en es fr de it pt ja ko ru 汉语 漢語</v>
      </c>
      <c r="F776" s="1" cm="1">
        <f t="array" aca="1" ref="F776" ca="1">IF(NOT(OR(ISERROR(INDIRECT(_xlfn.CONCAT("$I", $F775 + 1))), ISBLANK(INDIRECT(_xlfn.CONCAT("$I", $F775 + 1))))), $F775 + 1, IF(NOT(ISBLANK(INDIRECT(_xlfn.CONCAT("$I", $F775 + 2)))), $F775 + 2, ""))</f>
        <v>1496</v>
      </c>
      <c r="I776" s="8" t="s">
        <v>560</v>
      </c>
      <c r="J776" s="8">
        <v>84</v>
      </c>
      <c r="K776" s="9">
        <v>44866</v>
      </c>
      <c r="L776" s="8" t="s">
        <v>174</v>
      </c>
    </row>
    <row r="777" spans="1:12" ht="59.25">
      <c r="A777" s="1" t="str" cm="1">
        <f t="array" aca="1" ref="A777" ca="1">INDIRECT(_xlfn.CONCAT("$I", $F777))</f>
        <v>Zendikar ZEN</v>
      </c>
      <c r="B777" s="1" cm="1">
        <f t="array" aca="1" ref="B777" ca="1">INDIRECT(_xlfn.CONCAT("$J", $F777))</f>
        <v>269</v>
      </c>
      <c r="C777" s="1" cm="1">
        <f t="array" aca="1" ref="C777" ca="1">INDIRECT(_xlfn.CONCAT("$K", $F777))</f>
        <v>40088</v>
      </c>
      <c r="D777" s="1"/>
      <c r="E777" s="1" t="str" cm="1">
        <f t="array" aca="1" ref="E777" ca="1">INDIRECT(_xlfn.CONCAT("$L", $F777))</f>
        <v>en es fr de it pt ja ko ru 汉语 漢語</v>
      </c>
      <c r="F777" s="1" cm="1">
        <f t="array" aca="1" ref="F777" ca="1">IF(NOT(OR(ISERROR(INDIRECT(_xlfn.CONCAT("$I", $F776 + 1))), ISBLANK(INDIRECT(_xlfn.CONCAT("$I", $F776 + 1))))), $F776 + 1, IF(NOT(ISBLANK(INDIRECT(_xlfn.CONCAT("$I", $F776 + 2)))), $F776 + 2, ""))</f>
        <v>1498</v>
      </c>
    </row>
    <row r="778" spans="1:12" ht="59.25">
      <c r="A778" s="1" t="str" cm="1">
        <f t="array" aca="1" ref="A778" ca="1">INDIRECT(_xlfn.CONCAT("$I", $F778))</f>
        <v>Zendikar Promos PZEN</v>
      </c>
      <c r="B778" s="1" cm="1">
        <f t="array" aca="1" ref="B778" ca="1">INDIRECT(_xlfn.CONCAT("$J", $F778))</f>
        <v>5</v>
      </c>
      <c r="C778" s="1" cm="1">
        <f t="array" aca="1" ref="C778" ca="1">INDIRECT(_xlfn.CONCAT("$K", $F778))</f>
        <v>40088</v>
      </c>
      <c r="D778" s="1"/>
      <c r="E778" s="1" t="str" cm="1">
        <f t="array" aca="1" ref="E778" ca="1">INDIRECT(_xlfn.CONCAT("$L", $F778))</f>
        <v>en es fr de it pt ja ko ru 汉语 漢語</v>
      </c>
      <c r="F778" s="1" cm="1">
        <f t="array" aca="1" ref="F778" ca="1">IF(NOT(OR(ISERROR(INDIRECT(_xlfn.CONCAT("$I", $F777 + 1))), ISBLANK(INDIRECT(_xlfn.CONCAT("$I", $F777 + 1))))), $F777 + 1, IF(NOT(ISBLANK(INDIRECT(_xlfn.CONCAT("$I", $F777 + 2)))), $F777 + 2, ""))</f>
        <v>1500</v>
      </c>
      <c r="I778" s="8" t="s">
        <v>561</v>
      </c>
      <c r="J778" s="8">
        <v>30</v>
      </c>
      <c r="K778" s="9">
        <v>44623</v>
      </c>
      <c r="L778" s="8" t="s">
        <v>174</v>
      </c>
    </row>
    <row r="779" spans="1:12" ht="59.25">
      <c r="A779" s="1" t="str" cm="1">
        <f t="array" aca="1" ref="A779" ca="1">INDIRECT(_xlfn.CONCAT("$I", $F779))</f>
        <v>Zendikar Tokens TZEN</v>
      </c>
      <c r="B779" s="1" cm="1">
        <f t="array" aca="1" ref="B779" ca="1">INDIRECT(_xlfn.CONCAT("$J", $F779))</f>
        <v>11</v>
      </c>
      <c r="C779" s="1" cm="1">
        <f t="array" aca="1" ref="C779" ca="1">INDIRECT(_xlfn.CONCAT("$K", $F779))</f>
        <v>40088</v>
      </c>
      <c r="D779" s="1"/>
      <c r="E779" s="1" t="str" cm="1">
        <f t="array" aca="1" ref="E779" ca="1">INDIRECT(_xlfn.CONCAT("$L", $F779))</f>
        <v>en es fr de it pt ja ko ru 汉语 漢語</v>
      </c>
      <c r="F779" s="1" cm="1">
        <f t="array" aca="1" ref="F779" ca="1">IF(NOT(OR(ISERROR(INDIRECT(_xlfn.CONCAT("$I", $F778 + 1))), ISBLANK(INDIRECT(_xlfn.CONCAT("$I", $F778 + 1))))), $F778 + 1, IF(NOT(ISBLANK(INDIRECT(_xlfn.CONCAT("$I", $F778 + 2)))), $F778 + 2, ""))</f>
        <v>1502</v>
      </c>
    </row>
    <row r="780" spans="1:12" ht="59.25">
      <c r="A780" s="1" t="str" cm="1">
        <f t="array" aca="1" ref="A780" ca="1">INDIRECT(_xlfn.CONCAT("$I", $F780))</f>
        <v>Masters Edition III ME3</v>
      </c>
      <c r="B780" s="1" cm="1">
        <f t="array" aca="1" ref="B780" ca="1">INDIRECT(_xlfn.CONCAT("$J", $F780))</f>
        <v>230</v>
      </c>
      <c r="C780" s="1" cm="1">
        <f t="array" aca="1" ref="C780" ca="1">INDIRECT(_xlfn.CONCAT("$K", $F780))</f>
        <v>40063</v>
      </c>
      <c r="D780" s="1"/>
      <c r="E780" s="1" t="str" cm="1">
        <f t="array" aca="1" ref="E780" ca="1">INDIRECT(_xlfn.CONCAT("$L", $F780))</f>
        <v>en es fr de it pt ja ko ru 汉语 漢語</v>
      </c>
      <c r="F780" s="1" cm="1">
        <f t="array" aca="1" ref="F780" ca="1">IF(NOT(OR(ISERROR(INDIRECT(_xlfn.CONCAT("$I", $F779 + 1))), ISBLANK(INDIRECT(_xlfn.CONCAT("$I", $F779 + 1))))), $F779 + 1, IF(NOT(ISBLANK(INDIRECT(_xlfn.CONCAT("$I", $F779 + 2)))), $F779 + 2, ""))</f>
        <v>1504</v>
      </c>
      <c r="I780" s="8" t="s">
        <v>562</v>
      </c>
      <c r="J780" s="8">
        <v>16</v>
      </c>
      <c r="K780" s="9">
        <v>43980</v>
      </c>
      <c r="L780" s="8" t="s">
        <v>174</v>
      </c>
    </row>
    <row r="781" spans="1:12" ht="59.25">
      <c r="A781" s="1" t="str" cm="1">
        <f t="array" aca="1" ref="A781" ca="1">INDIRECT(_xlfn.CONCAT("$I", $F781))</f>
        <v>Planechase HOP</v>
      </c>
      <c r="B781" s="1" cm="1">
        <f t="array" aca="1" ref="B781" ca="1">INDIRECT(_xlfn.CONCAT("$J", $F781))</f>
        <v>169</v>
      </c>
      <c r="C781" s="1" cm="1">
        <f t="array" aca="1" ref="C781" ca="1">INDIRECT(_xlfn.CONCAT("$K", $F781))</f>
        <v>40060</v>
      </c>
      <c r="D781" s="1"/>
      <c r="E781" s="1" t="str" cm="1">
        <f t="array" aca="1" ref="E781" ca="1">INDIRECT(_xlfn.CONCAT("$L", $F781))</f>
        <v>en es fr de it pt ja ko ru 汉语 漢語</v>
      </c>
      <c r="F781" s="1" cm="1">
        <f t="array" aca="1" ref="F781" ca="1">IF(NOT(OR(ISERROR(INDIRECT(_xlfn.CONCAT("$I", $F780 + 1))), ISBLANK(INDIRECT(_xlfn.CONCAT("$I", $F780 + 1))))), $F780 + 1, IF(NOT(ISBLANK(INDIRECT(_xlfn.CONCAT("$I", $F780 + 2)))), $F780 + 2, ""))</f>
        <v>1506</v>
      </c>
    </row>
    <row r="782" spans="1:12" ht="59.25">
      <c r="A782" s="1" t="str" cm="1">
        <f t="array" aca="1" ref="A782" ca="1">INDIRECT(_xlfn.CONCAT("$I", $F782))</f>
        <v>Planechase Promos PHOP</v>
      </c>
      <c r="B782" s="1" cm="1">
        <f t="array" aca="1" ref="B782" ca="1">INDIRECT(_xlfn.CONCAT("$J", $F782))</f>
        <v>1</v>
      </c>
      <c r="C782" s="1" cm="1">
        <f t="array" aca="1" ref="C782" ca="1">INDIRECT(_xlfn.CONCAT("$K", $F782))</f>
        <v>40060</v>
      </c>
      <c r="D782" s="1"/>
      <c r="E782" s="1" t="str" cm="1">
        <f t="array" aca="1" ref="E782" ca="1">INDIRECT(_xlfn.CONCAT("$L", $F782))</f>
        <v>en es fr de it pt ja ko ru 汉语 漢語</v>
      </c>
      <c r="F782" s="1" cm="1">
        <f t="array" aca="1" ref="F782" ca="1">IF(NOT(OR(ISERROR(INDIRECT(_xlfn.CONCAT("$I", $F781 + 1))), ISBLANK(INDIRECT(_xlfn.CONCAT("$I", $F781 + 1))))), $F781 + 1, IF(NOT(ISBLANK(INDIRECT(_xlfn.CONCAT("$I", $F781 + 2)))), $F781 + 2, ""))</f>
        <v>1508</v>
      </c>
      <c r="I782" s="8" t="s">
        <v>563</v>
      </c>
      <c r="J782" s="8">
        <v>20</v>
      </c>
      <c r="K782" s="9">
        <v>43790</v>
      </c>
      <c r="L782" s="8" t="s">
        <v>174</v>
      </c>
    </row>
    <row r="783" spans="1:12" ht="59.25">
      <c r="A783" s="1" t="str" cm="1">
        <f t="array" aca="1" ref="A783" ca="1">INDIRECT(_xlfn.CONCAT("$I", $F783))</f>
        <v>Planechase Planes OHOP</v>
      </c>
      <c r="B783" s="1" cm="1">
        <f t="array" aca="1" ref="B783" ca="1">INDIRECT(_xlfn.CONCAT("$J", $F783))</f>
        <v>40</v>
      </c>
      <c r="C783" s="1" cm="1">
        <f t="array" aca="1" ref="C783" ca="1">INDIRECT(_xlfn.CONCAT("$K", $F783))</f>
        <v>40060</v>
      </c>
      <c r="D783" s="1"/>
      <c r="E783" s="1" t="str" cm="1">
        <f t="array" aca="1" ref="E783" ca="1">INDIRECT(_xlfn.CONCAT("$L", $F783))</f>
        <v>en es fr de it pt ja ko ru 汉语 漢語</v>
      </c>
      <c r="F783" s="1" cm="1">
        <f t="array" aca="1" ref="F783" ca="1">IF(NOT(OR(ISERROR(INDIRECT(_xlfn.CONCAT("$I", $F782 + 1))), ISBLANK(INDIRECT(_xlfn.CONCAT("$I", $F782 + 1))))), $F782 + 1, IF(NOT(ISBLANK(INDIRECT(_xlfn.CONCAT("$I", $F782 + 2)))), $F782 + 2, ""))</f>
        <v>1510</v>
      </c>
    </row>
    <row r="784" spans="1:12" ht="59.25">
      <c r="A784" s="1" t="str" cm="1">
        <f t="array" aca="1" ref="A784" ca="1">INDIRECT(_xlfn.CONCAT("$I", $F784))</f>
        <v>From the Vault: Exiled V09</v>
      </c>
      <c r="B784" s="1" cm="1">
        <f t="array" aca="1" ref="B784" ca="1">INDIRECT(_xlfn.CONCAT("$J", $F784))</f>
        <v>15</v>
      </c>
      <c r="C784" s="1" cm="1">
        <f t="array" aca="1" ref="C784" ca="1">INDIRECT(_xlfn.CONCAT("$K", $F784))</f>
        <v>40053</v>
      </c>
      <c r="D784" s="1"/>
      <c r="E784" s="1" t="str" cm="1">
        <f t="array" aca="1" ref="E784" ca="1">INDIRECT(_xlfn.CONCAT("$L", $F784))</f>
        <v>en es fr de it pt ja ko ru 汉语 漢語</v>
      </c>
      <c r="F784" s="1" cm="1">
        <f t="array" aca="1" ref="F784" ca="1">IF(NOT(OR(ISERROR(INDIRECT(_xlfn.CONCAT("$I", $F783 + 1))), ISBLANK(INDIRECT(_xlfn.CONCAT("$I", $F783 + 1))))), $F783 + 1, IF(NOT(ISBLANK(INDIRECT(_xlfn.CONCAT("$I", $F783 + 2)))), $F783 + 2, ""))</f>
        <v>1512</v>
      </c>
      <c r="I784" s="8" t="s">
        <v>564</v>
      </c>
      <c r="J784" s="8">
        <v>64</v>
      </c>
      <c r="K784" s="9">
        <v>43784</v>
      </c>
      <c r="L784" s="8" t="s">
        <v>174</v>
      </c>
    </row>
    <row r="785" spans="1:12" ht="59.25">
      <c r="A785" s="1" t="str" cm="1">
        <f t="array" aca="1" ref="A785" ca="1">INDIRECT(_xlfn.CONCAT("$I", $F785))</f>
        <v>Magic 2010 M10</v>
      </c>
      <c r="B785" s="1" cm="1">
        <f t="array" aca="1" ref="B785" ca="1">INDIRECT(_xlfn.CONCAT("$J", $F785))</f>
        <v>249</v>
      </c>
      <c r="C785" s="1" cm="1">
        <f t="array" aca="1" ref="C785" ca="1">INDIRECT(_xlfn.CONCAT("$K", $F785))</f>
        <v>40011</v>
      </c>
      <c r="D785" s="1"/>
      <c r="E785" s="1" t="str" cm="1">
        <f t="array" aca="1" ref="E785" ca="1">INDIRECT(_xlfn.CONCAT("$L", $F785))</f>
        <v>en es fr de it pt ja ko ru 汉语 漢語</v>
      </c>
      <c r="F785" s="1" cm="1">
        <f t="array" aca="1" ref="F785" ca="1">IF(NOT(OR(ISERROR(INDIRECT(_xlfn.CONCAT("$I", $F784 + 1))), ISBLANK(INDIRECT(_xlfn.CONCAT("$I", $F784 + 1))))), $F784 + 1, IF(NOT(ISBLANK(INDIRECT(_xlfn.CONCAT("$I", $F784 + 2)))), $F784 + 2, ""))</f>
        <v>1514</v>
      </c>
    </row>
    <row r="786" spans="1:12" ht="59.25">
      <c r="A786" s="1" t="str" cm="1">
        <f t="array" aca="1" ref="A786" ca="1">INDIRECT(_xlfn.CONCAT("$I", $F786))</f>
        <v>Magic 2010 Promos PM10</v>
      </c>
      <c r="B786" s="1" cm="1">
        <f t="array" aca="1" ref="B786" ca="1">INDIRECT(_xlfn.CONCAT("$J", $F786))</f>
        <v>3</v>
      </c>
      <c r="C786" s="1" cm="1">
        <f t="array" aca="1" ref="C786" ca="1">INDIRECT(_xlfn.CONCAT("$K", $F786))</f>
        <v>40010</v>
      </c>
      <c r="D786" s="1"/>
      <c r="E786" s="1" t="str" cm="1">
        <f t="array" aca="1" ref="E786" ca="1">INDIRECT(_xlfn.CONCAT("$L", $F786))</f>
        <v>en es fr de it pt ja ko ru 汉语 漢語</v>
      </c>
      <c r="F786" s="1" cm="1">
        <f t="array" aca="1" ref="F786" ca="1">IF(NOT(OR(ISERROR(INDIRECT(_xlfn.CONCAT("$I", $F785 + 1))), ISBLANK(INDIRECT(_xlfn.CONCAT("$I", $F785 + 1))))), $F785 + 1, IF(NOT(ISBLANK(INDIRECT(_xlfn.CONCAT("$I", $F785 + 2)))), $F785 + 2, ""))</f>
        <v>1516</v>
      </c>
      <c r="I786" s="8" t="s">
        <v>565</v>
      </c>
      <c r="J786" s="8">
        <v>3</v>
      </c>
      <c r="K786" s="9">
        <v>43784</v>
      </c>
      <c r="L786" s="8" t="s">
        <v>174</v>
      </c>
    </row>
    <row r="787" spans="1:12" ht="59.25">
      <c r="A787" s="1" t="str" cm="1">
        <f t="array" aca="1" ref="A787" ca="1">INDIRECT(_xlfn.CONCAT("$I", $F787))</f>
        <v>Magic 2010 Tokens TM10</v>
      </c>
      <c r="B787" s="1" cm="1">
        <f t="array" aca="1" ref="B787" ca="1">INDIRECT(_xlfn.CONCAT("$J", $F787))</f>
        <v>8</v>
      </c>
      <c r="C787" s="1" cm="1">
        <f t="array" aca="1" ref="C787" ca="1">INDIRECT(_xlfn.CONCAT("$K", $F787))</f>
        <v>40011</v>
      </c>
      <c r="D787" s="1"/>
      <c r="E787" s="1" t="str" cm="1">
        <f t="array" aca="1" ref="E787" ca="1">INDIRECT(_xlfn.CONCAT("$L", $F787))</f>
        <v>en es fr de it pt ja ko ru 汉语 漢語</v>
      </c>
      <c r="F787" s="1" cm="1">
        <f t="array" aca="1" ref="F787" ca="1">IF(NOT(OR(ISERROR(INDIRECT(_xlfn.CONCAT("$I", $F786 + 1))), ISBLANK(INDIRECT(_xlfn.CONCAT("$I", $F786 + 1))))), $F786 + 1, IF(NOT(ISBLANK(INDIRECT(_xlfn.CONCAT("$I", $F786 + 2)))), $F786 + 2, ""))</f>
        <v>1518</v>
      </c>
    </row>
    <row r="788" spans="1:12" ht="59.25">
      <c r="A788" s="1" t="str" cm="1">
        <f t="array" aca="1" ref="A788" ca="1">INDIRECT(_xlfn.CONCAT("$I", $F788))</f>
        <v>Alara Reborn ARB</v>
      </c>
      <c r="B788" s="1" cm="1">
        <f t="array" aca="1" ref="B788" ca="1">INDIRECT(_xlfn.CONCAT("$J", $F788))</f>
        <v>145</v>
      </c>
      <c r="C788" s="1" cm="1">
        <f t="array" aca="1" ref="C788" ca="1">INDIRECT(_xlfn.CONCAT("$K", $F788))</f>
        <v>39933</v>
      </c>
      <c r="D788" s="1"/>
      <c r="E788" s="1" t="str" cm="1">
        <f t="array" aca="1" ref="E788" ca="1">INDIRECT(_xlfn.CONCAT("$L", $F788))</f>
        <v>en es fr de it pt ja ko ru 汉语 漢語</v>
      </c>
      <c r="F788" s="1" cm="1">
        <f t="array" aca="1" ref="F788" ca="1">IF(NOT(OR(ISERROR(INDIRECT(_xlfn.CONCAT("$I", $F787 + 1))), ISBLANK(INDIRECT(_xlfn.CONCAT("$I", $F787 + 1))))), $F787 + 1, IF(NOT(ISBLANK(INDIRECT(_xlfn.CONCAT("$I", $F787 + 2)))), $F787 + 2, ""))</f>
        <v>1520</v>
      </c>
      <c r="I788" s="8" t="s">
        <v>566</v>
      </c>
      <c r="J788" s="8">
        <v>121</v>
      </c>
      <c r="K788" s="9">
        <v>43776</v>
      </c>
      <c r="L788" s="8" t="s">
        <v>174</v>
      </c>
    </row>
    <row r="789" spans="1:12" ht="59.25">
      <c r="A789" s="1" t="str" cm="1">
        <f t="array" aca="1" ref="A789" ca="1">INDIRECT(_xlfn.CONCAT("$I", $F789))</f>
        <v>Alara Reborn Promos PARB</v>
      </c>
      <c r="B789" s="1" cm="1">
        <f t="array" aca="1" ref="B789" ca="1">INDIRECT(_xlfn.CONCAT("$J", $F789))</f>
        <v>3</v>
      </c>
      <c r="C789" s="1" cm="1">
        <f t="array" aca="1" ref="C789" ca="1">INDIRECT(_xlfn.CONCAT("$K", $F789))</f>
        <v>39933</v>
      </c>
      <c r="D789" s="1"/>
      <c r="E789" s="1" t="str" cm="1">
        <f t="array" aca="1" ref="E789" ca="1">INDIRECT(_xlfn.CONCAT("$L", $F789))</f>
        <v>en es fr de it pt ja ko ru 汉语 漢語</v>
      </c>
      <c r="F789" s="1" cm="1">
        <f t="array" aca="1" ref="F789" ca="1">IF(NOT(OR(ISERROR(INDIRECT(_xlfn.CONCAT("$I", $F788 + 1))), ISBLANK(INDIRECT(_xlfn.CONCAT("$I", $F788 + 1))))), $F788 + 1, IF(NOT(ISBLANK(INDIRECT(_xlfn.CONCAT("$I", $F788 + 2)))), $F788 + 2, ""))</f>
        <v>1522</v>
      </c>
    </row>
    <row r="790" spans="1:12" ht="59.25">
      <c r="A790" s="1" t="str" cm="1">
        <f t="array" aca="1" ref="A790" ca="1">INDIRECT(_xlfn.CONCAT("$I", $F790))</f>
        <v>Alara Reborn Tokens TARB</v>
      </c>
      <c r="B790" s="1" cm="1">
        <f t="array" aca="1" ref="B790" ca="1">INDIRECT(_xlfn.CONCAT("$J", $F790))</f>
        <v>4</v>
      </c>
      <c r="C790" s="1" cm="1">
        <f t="array" aca="1" ref="C790" ca="1">INDIRECT(_xlfn.CONCAT("$K", $F790))</f>
        <v>39933</v>
      </c>
      <c r="D790" s="1"/>
      <c r="E790" s="1" t="str" cm="1">
        <f t="array" aca="1" ref="E790" ca="1">INDIRECT(_xlfn.CONCAT("$L", $F790))</f>
        <v>en es fr de it pt ja ko ru 汉语 漢語</v>
      </c>
      <c r="F790" s="1" cm="1">
        <f t="array" aca="1" ref="F790" ca="1">IF(NOT(OR(ISERROR(INDIRECT(_xlfn.CONCAT("$I", $F789 + 1))), ISBLANK(INDIRECT(_xlfn.CONCAT("$I", $F789 + 1))))), $F789 + 1, IF(NOT(ISBLANK(INDIRECT(_xlfn.CONCAT("$I", $F789 + 2)))), $F789 + 2, ""))</f>
        <v>1524</v>
      </c>
      <c r="I790" s="8" t="s">
        <v>567</v>
      </c>
      <c r="J790" s="8">
        <v>3</v>
      </c>
      <c r="K790" s="9">
        <v>43760</v>
      </c>
      <c r="L790" s="8" t="s">
        <v>174</v>
      </c>
    </row>
    <row r="791" spans="1:12" ht="68.25">
      <c r="A791" s="1" t="str" cm="1">
        <f t="array" aca="1" ref="A791" ca="1">INDIRECT(_xlfn.CONCAT("$I", $F791))</f>
        <v>Duel Decks: Divine vs. Demonic DDC</v>
      </c>
      <c r="B791" s="1" cm="1">
        <f t="array" aca="1" ref="B791" ca="1">INDIRECT(_xlfn.CONCAT("$J", $F791))</f>
        <v>62</v>
      </c>
      <c r="C791" s="1" cm="1">
        <f t="array" aca="1" ref="C791" ca="1">INDIRECT(_xlfn.CONCAT("$K", $F791))</f>
        <v>39913</v>
      </c>
      <c r="D791" s="1"/>
      <c r="E791" s="1" t="str" cm="1">
        <f t="array" aca="1" ref="E791" ca="1">INDIRECT(_xlfn.CONCAT("$L", $F791))</f>
        <v>en es fr de it pt ja ko ru 汉语 漢語</v>
      </c>
      <c r="F791" s="1" cm="1">
        <f t="array" aca="1" ref="F791" ca="1">IF(NOT(OR(ISERROR(INDIRECT(_xlfn.CONCAT("$I", $F790 + 1))), ISBLANK(INDIRECT(_xlfn.CONCAT("$I", $F790 + 1))))), $F790 + 1, IF(NOT(ISBLANK(INDIRECT(_xlfn.CONCAT("$I", $F790 + 2)))), $F790 + 2, ""))</f>
        <v>1526</v>
      </c>
    </row>
    <row r="792" spans="1:12" ht="81">
      <c r="A792" s="1" t="str" cm="1">
        <f t="array" aca="1" ref="A792" ca="1">INDIRECT(_xlfn.CONCAT("$I", $F792))</f>
        <v>Duel Decks: Divine vs. Demonic Tokens TDDC</v>
      </c>
      <c r="B792" s="1" cm="1">
        <f t="array" aca="1" ref="B792" ca="1">INDIRECT(_xlfn.CONCAT("$J", $F792))</f>
        <v>3</v>
      </c>
      <c r="C792" s="1" cm="1">
        <f t="array" aca="1" ref="C792" ca="1">INDIRECT(_xlfn.CONCAT("$K", $F792))</f>
        <v>39913</v>
      </c>
      <c r="D792" s="1"/>
      <c r="E792" s="1" t="str" cm="1">
        <f t="array" aca="1" ref="E792" ca="1">INDIRECT(_xlfn.CONCAT("$L", $F792))</f>
        <v>en es fr de it pt ja ko ru 汉语 漢語</v>
      </c>
      <c r="F792" s="1" cm="1">
        <f t="array" aca="1" ref="F792" ca="1">IF(NOT(OR(ISERROR(INDIRECT(_xlfn.CONCAT("$I", $F791 + 1))), ISBLANK(INDIRECT(_xlfn.CONCAT("$I", $F791 + 1))))), $F791 + 1, IF(NOT(ISBLANK(INDIRECT(_xlfn.CONCAT("$I", $F791 + 2)))), $F791 + 2, ""))</f>
        <v>1528</v>
      </c>
      <c r="I792" s="8" t="s">
        <v>1226</v>
      </c>
      <c r="J792" s="8">
        <v>398</v>
      </c>
      <c r="K792" s="9">
        <v>43742</v>
      </c>
      <c r="L792" t="s">
        <v>174</v>
      </c>
    </row>
    <row r="793" spans="1:12" ht="59.25">
      <c r="A793" s="1" t="str" cm="1">
        <f t="array" aca="1" ref="A793" ca="1">INDIRECT(_xlfn.CONCAT("$I", $F793))</f>
        <v>URL/Convention Promos PURL</v>
      </c>
      <c r="B793" s="1" cm="1">
        <f t="array" aca="1" ref="B793" ca="1">INDIRECT(_xlfn.CONCAT("$J", $F793))</f>
        <v>15</v>
      </c>
      <c r="C793" s="1" cm="1">
        <f t="array" aca="1" ref="C793" ca="1">INDIRECT(_xlfn.CONCAT("$K", $F793))</f>
        <v>39852</v>
      </c>
      <c r="D793" s="1"/>
      <c r="E793" s="1" t="str" cm="1">
        <f t="array" aca="1" ref="E793" ca="1">INDIRECT(_xlfn.CONCAT("$L", $F793))</f>
        <v>en es fr de it pt ja ko ru 汉语 漢語</v>
      </c>
      <c r="F793" s="1" cm="1">
        <f t="array" aca="1" ref="F793" ca="1">IF(NOT(OR(ISERROR(INDIRECT(_xlfn.CONCAT("$I", $F792 + 1))), ISBLANK(INDIRECT(_xlfn.CONCAT("$I", $F792 + 1))))), $F792 + 1, IF(NOT(ISBLANK(INDIRECT(_xlfn.CONCAT("$I", $F792 + 2)))), $F792 + 2, ""))</f>
        <v>1530</v>
      </c>
    </row>
    <row r="794" spans="1:12" ht="59.25">
      <c r="A794" s="1" t="str" cm="1">
        <f t="array" aca="1" ref="A794" ca="1">INDIRECT(_xlfn.CONCAT("$I", $F794))</f>
        <v>Conflux CON</v>
      </c>
      <c r="B794" s="1" cm="1">
        <f t="array" aca="1" ref="B794" ca="1">INDIRECT(_xlfn.CONCAT("$J", $F794))</f>
        <v>145</v>
      </c>
      <c r="C794" s="1" cm="1">
        <f t="array" aca="1" ref="C794" ca="1">INDIRECT(_xlfn.CONCAT("$K", $F794))</f>
        <v>39850</v>
      </c>
      <c r="D794" s="1"/>
      <c r="E794" s="1" t="str" cm="1">
        <f t="array" aca="1" ref="E794" ca="1">INDIRECT(_xlfn.CONCAT("$L", $F794))</f>
        <v>en es fr de it pt ja ko ru 汉语 漢語</v>
      </c>
      <c r="F794" s="1" cm="1">
        <f t="array" aca="1" ref="F794" ca="1">IF(NOT(OR(ISERROR(INDIRECT(_xlfn.CONCAT("$I", $F793 + 1))), ISBLANK(INDIRECT(_xlfn.CONCAT("$I", $F793 + 1))))), $F793 + 1, IF(NOT(ISBLANK(INDIRECT(_xlfn.CONCAT("$I", $F793 + 2)))), $F793 + 2, ""))</f>
        <v>1532</v>
      </c>
      <c r="I794" s="8" t="s">
        <v>568</v>
      </c>
      <c r="J794" s="8">
        <v>138</v>
      </c>
      <c r="K794" s="9">
        <v>43742</v>
      </c>
      <c r="L794" s="8" t="s">
        <v>174</v>
      </c>
    </row>
    <row r="795" spans="1:12" ht="59.25">
      <c r="A795" s="1" t="str" cm="1">
        <f t="array" aca="1" ref="A795" ca="1">INDIRECT(_xlfn.CONCAT("$I", $F795))</f>
        <v>Conflux Promos PCON</v>
      </c>
      <c r="B795" s="1" cm="1">
        <f t="array" aca="1" ref="B795" ca="1">INDIRECT(_xlfn.CONCAT("$J", $F795))</f>
        <v>2</v>
      </c>
      <c r="C795" s="1" cm="1">
        <f t="array" aca="1" ref="C795" ca="1">INDIRECT(_xlfn.CONCAT("$K", $F795))</f>
        <v>39850</v>
      </c>
      <c r="D795" s="1"/>
      <c r="E795" s="1" t="str" cm="1">
        <f t="array" aca="1" ref="E795" ca="1">INDIRECT(_xlfn.CONCAT("$L", $F795))</f>
        <v>en es fr de it pt ja ko ru 汉语 漢語</v>
      </c>
      <c r="F795" s="1" cm="1">
        <f t="array" aca="1" ref="F795" ca="1">IF(NOT(OR(ISERROR(INDIRECT(_xlfn.CONCAT("$I", $F794 + 1))), ISBLANK(INDIRECT(_xlfn.CONCAT("$I", $F794 + 1))))), $F794 + 1, IF(NOT(ISBLANK(INDIRECT(_xlfn.CONCAT("$I", $F794 + 2)))), $F794 + 2, ""))</f>
        <v>1534</v>
      </c>
    </row>
    <row r="796" spans="1:12" ht="59.25">
      <c r="A796" s="1" t="str" cm="1">
        <f t="array" aca="1" ref="A796" ca="1">INDIRECT(_xlfn.CONCAT("$I", $F796))</f>
        <v>Conflux Tokens TCON</v>
      </c>
      <c r="B796" s="1" cm="1">
        <f t="array" aca="1" ref="B796" ca="1">INDIRECT(_xlfn.CONCAT("$J", $F796))</f>
        <v>2</v>
      </c>
      <c r="C796" s="1" cm="1">
        <f t="array" aca="1" ref="C796" ca="1">INDIRECT(_xlfn.CONCAT("$K", $F796))</f>
        <v>39850</v>
      </c>
      <c r="D796" s="1"/>
      <c r="E796" s="1" t="str" cm="1">
        <f t="array" aca="1" ref="E796" ca="1">INDIRECT(_xlfn.CONCAT("$L", $F796))</f>
        <v>en es fr de it pt ja ko ru 汉语 漢語</v>
      </c>
      <c r="F796" s="1" cm="1">
        <f t="array" aca="1" ref="F796" ca="1">IF(NOT(OR(ISERROR(INDIRECT(_xlfn.CONCAT("$I", $F795 + 1))), ISBLANK(INDIRECT(_xlfn.CONCAT("$I", $F795 + 1))))), $F795 + 1, IF(NOT(ISBLANK(INDIRECT(_xlfn.CONCAT("$I", $F795 + 2)))), $F795 + 2, ""))</f>
        <v>1536</v>
      </c>
      <c r="I796" s="8" t="s">
        <v>569</v>
      </c>
      <c r="J796" s="8">
        <v>20</v>
      </c>
      <c r="K796" s="9">
        <v>43742</v>
      </c>
      <c r="L796" s="8" t="s">
        <v>174</v>
      </c>
    </row>
    <row r="797" spans="1:12" ht="81">
      <c r="A797" s="1" t="str" cm="1">
        <f t="array" aca="1" ref="A797" ca="1">INDIRECT(_xlfn.CONCAT("$I", $F797))</f>
        <v>Duels of the Planeswalkers 2009 Promos PDTP</v>
      </c>
      <c r="B797" s="1" cm="1">
        <f t="array" aca="1" ref="B797" ca="1">INDIRECT(_xlfn.CONCAT("$J", $F797))</f>
        <v>1</v>
      </c>
      <c r="C797" s="1" cm="1">
        <f t="array" aca="1" ref="C797" ca="1">INDIRECT(_xlfn.CONCAT("$K", $F797))</f>
        <v>39814</v>
      </c>
      <c r="D797" s="1"/>
      <c r="E797" s="1" t="str" cm="1">
        <f t="array" aca="1" ref="E797" ca="1">INDIRECT(_xlfn.CONCAT("$L", $F797))</f>
        <v>en es fr de it pt ja ko ru 汉语 漢語</v>
      </c>
      <c r="F797" s="1" cm="1">
        <f t="array" aca="1" ref="F797" ca="1">IF(NOT(OR(ISERROR(INDIRECT(_xlfn.CONCAT("$I", $F796 + 1))), ISBLANK(INDIRECT(_xlfn.CONCAT("$I", $F796 + 1))))), $F796 + 1, IF(NOT(ISBLANK(INDIRECT(_xlfn.CONCAT("$I", $F796 + 2)))), $F796 + 2, ""))</f>
        <v>1538</v>
      </c>
    </row>
    <row r="798" spans="1:12" ht="59.25">
      <c r="A798" s="1" t="str" cm="1">
        <f t="array" aca="1" ref="A798" ca="1">INDIRECT(_xlfn.CONCAT("$I", $F798))</f>
        <v>Magic Premiere Shop 2009 PMPS09</v>
      </c>
      <c r="B798" s="1" cm="1">
        <f t="array" aca="1" ref="B798" ca="1">INDIRECT(_xlfn.CONCAT("$J", $F798))</f>
        <v>5</v>
      </c>
      <c r="C798" s="1" cm="1">
        <f t="array" aca="1" ref="C798" ca="1">INDIRECT(_xlfn.CONCAT("$K", $F798))</f>
        <v>39814</v>
      </c>
      <c r="D798" s="1"/>
      <c r="E798" s="1" t="str" cm="1">
        <f t="array" aca="1" ref="E798" ca="1">INDIRECT(_xlfn.CONCAT("$L", $F798))</f>
        <v>en es fr de it pt ja ko ru 汉语 漢語</v>
      </c>
      <c r="F798" s="1" cm="1">
        <f t="array" aca="1" ref="F798" ca="1">IF(NOT(OR(ISERROR(INDIRECT(_xlfn.CONCAT("$I", $F797 + 1))), ISBLANK(INDIRECT(_xlfn.CONCAT("$I", $F797 + 1))))), $F797 + 1, IF(NOT(ISBLANK(INDIRECT(_xlfn.CONCAT("$I", $F797 + 2)))), $F797 + 2, ""))</f>
        <v>1540</v>
      </c>
      <c r="I798" s="8" t="s">
        <v>570</v>
      </c>
      <c r="J798" s="8">
        <v>42</v>
      </c>
      <c r="K798" s="9">
        <v>43739</v>
      </c>
      <c r="L798" s="8" t="s">
        <v>174</v>
      </c>
    </row>
    <row r="799" spans="1:12" ht="59.25">
      <c r="A799" s="1" t="str" cm="1">
        <f t="array" aca="1" ref="A799" ca="1">INDIRECT(_xlfn.CONCAT("$I", $F799))</f>
        <v>Friday Night Magic 2009 F09</v>
      </c>
      <c r="B799" s="1" cm="1">
        <f t="array" aca="1" ref="B799" ca="1">INDIRECT(_xlfn.CONCAT("$J", $F799))</f>
        <v>12</v>
      </c>
      <c r="C799" s="1" cm="1">
        <f t="array" aca="1" ref="C799" ca="1">INDIRECT(_xlfn.CONCAT("$K", $F799))</f>
        <v>39814</v>
      </c>
      <c r="D799" s="1"/>
      <c r="E799" s="1" t="str" cm="1">
        <f t="array" aca="1" ref="E799" ca="1">INDIRECT(_xlfn.CONCAT("$L", $F799))</f>
        <v>en es fr de it pt ja ko ru 汉语 漢語</v>
      </c>
      <c r="F799" s="1" cm="1">
        <f t="array" aca="1" ref="F799" ca="1">IF(NOT(OR(ISERROR(INDIRECT(_xlfn.CONCAT("$I", $F798 + 1))), ISBLANK(INDIRECT(_xlfn.CONCAT("$I", $F798 + 1))))), $F798 + 1, IF(NOT(ISBLANK(INDIRECT(_xlfn.CONCAT("$I", $F798 + 2)))), $F798 + 2, ""))</f>
        <v>1542</v>
      </c>
    </row>
    <row r="800" spans="1:12" ht="59.25">
      <c r="A800" s="1" t="str" cm="1">
        <f t="array" aca="1" ref="A800" ca="1">INDIRECT(_xlfn.CONCAT("$I", $F800))</f>
        <v>Magic Player Rewards 2009 P09</v>
      </c>
      <c r="B800" s="1" cm="1">
        <f t="array" aca="1" ref="B800" ca="1">INDIRECT(_xlfn.CONCAT("$J", $F800))</f>
        <v>13</v>
      </c>
      <c r="C800" s="1" cm="1">
        <f t="array" aca="1" ref="C800" ca="1">INDIRECT(_xlfn.CONCAT("$K", $F800))</f>
        <v>39814</v>
      </c>
      <c r="D800" s="1"/>
      <c r="E800" s="1" t="str" cm="1">
        <f t="array" aca="1" ref="E800" ca="1">INDIRECT(_xlfn.CONCAT("$L", $F800))</f>
        <v>en es fr de it pt ja ko ru 汉语 漢語</v>
      </c>
      <c r="F800" s="1" cm="1">
        <f t="array" aca="1" ref="F800" ca="1">IF(NOT(OR(ISERROR(INDIRECT(_xlfn.CONCAT("$I", $F799 + 1))), ISBLANK(INDIRECT(_xlfn.CONCAT("$I", $F799 + 1))))), $F799 + 1, IF(NOT(ISBLANK(INDIRECT(_xlfn.CONCAT("$I", $F799 + 2)))), $F799 + 2, ""))</f>
        <v>1544</v>
      </c>
      <c r="I800" s="8" t="s">
        <v>571</v>
      </c>
      <c r="J800" s="8">
        <v>540</v>
      </c>
      <c r="K800" s="9">
        <v>43705</v>
      </c>
    </row>
    <row r="801" spans="1:12" ht="59.25">
      <c r="A801" s="1" t="str" cm="1">
        <f t="array" aca="1" ref="A801" ca="1">INDIRECT(_xlfn.CONCAT("$I", $F801))</f>
        <v>Judge Gift Cards 2009 G09</v>
      </c>
      <c r="B801" s="1" cm="1">
        <f t="array" aca="1" ref="B801" ca="1">INDIRECT(_xlfn.CONCAT("$J", $F801))</f>
        <v>10</v>
      </c>
      <c r="C801" s="1" cm="1">
        <f t="array" aca="1" ref="C801" ca="1">INDIRECT(_xlfn.CONCAT("$K", $F801))</f>
        <v>39814</v>
      </c>
      <c r="D801" s="1"/>
      <c r="E801" s="1" t="str" cm="1">
        <f t="array" aca="1" ref="E801" ca="1">INDIRECT(_xlfn.CONCAT("$L", $F801))</f>
        <v>en es fr de it pt ja ko ru 汉语 漢語</v>
      </c>
      <c r="F801" s="1" cm="1">
        <f t="array" aca="1" ref="F801" ca="1">IF(NOT(OR(ISERROR(INDIRECT(_xlfn.CONCAT("$I", $F800 + 1))), ISBLANK(INDIRECT(_xlfn.CONCAT("$I", $F800 + 1))))), $F800 + 1, IF(NOT(ISBLANK(INDIRECT(_xlfn.CONCAT("$I", $F800 + 2)))), $F800 + 2, ""))</f>
        <v>1546</v>
      </c>
    </row>
    <row r="802" spans="1:12" ht="68.25">
      <c r="A802" s="1" t="str" cm="1">
        <f t="array" aca="1" ref="A802" ca="1">INDIRECT(_xlfn.CONCAT("$I", $F802))</f>
        <v>Duel Decks: Jace vs. Chandra DD2</v>
      </c>
      <c r="B802" s="1" cm="1">
        <f t="array" aca="1" ref="B802" ca="1">INDIRECT(_xlfn.CONCAT("$J", $F802))</f>
        <v>64</v>
      </c>
      <c r="C802" s="1" cm="1">
        <f t="array" aca="1" ref="C802" ca="1">INDIRECT(_xlfn.CONCAT("$K", $F802))</f>
        <v>39759</v>
      </c>
      <c r="D802" s="1"/>
      <c r="E802" s="1" t="str" cm="1">
        <f t="array" aca="1" ref="E802" ca="1">INDIRECT(_xlfn.CONCAT("$L", $F802))</f>
        <v>en es fr de it pt ja ko ru 汉语 漢語</v>
      </c>
      <c r="F802" s="1" cm="1">
        <f t="array" aca="1" ref="F802" ca="1">IF(NOT(OR(ISERROR(INDIRECT(_xlfn.CONCAT("$I", $F801 + 1))), ISBLANK(INDIRECT(_xlfn.CONCAT("$I", $F801 + 1))))), $F801 + 1, IF(NOT(ISBLANK(INDIRECT(_xlfn.CONCAT("$I", $F801 + 2)))), $F801 + 2, ""))</f>
        <v>1548</v>
      </c>
      <c r="I802" s="8" t="s">
        <v>572</v>
      </c>
      <c r="J802" s="8">
        <v>302</v>
      </c>
      <c r="K802" s="9">
        <v>43700</v>
      </c>
      <c r="L802" t="s">
        <v>174</v>
      </c>
    </row>
    <row r="803" spans="1:12" ht="81">
      <c r="A803" s="1" t="str" cm="1">
        <f t="array" aca="1" ref="A803" ca="1">INDIRECT(_xlfn.CONCAT("$I", $F803))</f>
        <v>Duel Decks: Jace vs. Chandra Tokens TDD2</v>
      </c>
      <c r="B803" s="1" cm="1">
        <f t="array" aca="1" ref="B803" ca="1">INDIRECT(_xlfn.CONCAT("$J", $F803))</f>
        <v>1</v>
      </c>
      <c r="C803" s="1" cm="1">
        <f t="array" aca="1" ref="C803" ca="1">INDIRECT(_xlfn.CONCAT("$K", $F803))</f>
        <v>39759</v>
      </c>
      <c r="D803" s="1"/>
      <c r="E803" s="1" t="str" cm="1">
        <f t="array" aca="1" ref="E803" ca="1">INDIRECT(_xlfn.CONCAT("$L", $F803))</f>
        <v>en es fr de it pt ja ko ru 汉语 漢語</v>
      </c>
      <c r="F803" s="1" cm="1">
        <f t="array" aca="1" ref="F803" ca="1">IF(NOT(OR(ISERROR(INDIRECT(_xlfn.CONCAT("$I", $F802 + 1))), ISBLANK(INDIRECT(_xlfn.CONCAT("$I", $F802 + 1))))), $F802 + 1, IF(NOT(ISBLANK(INDIRECT(_xlfn.CONCAT("$I", $F802 + 2)))), $F802 + 2, ""))</f>
        <v>1550</v>
      </c>
    </row>
    <row r="804" spans="1:12" ht="59.25">
      <c r="A804" s="1" t="str" cm="1">
        <f t="array" aca="1" ref="A804" ca="1">INDIRECT(_xlfn.CONCAT("$I", $F804))</f>
        <v>Shards of Alara ALA</v>
      </c>
      <c r="B804" s="1" cm="1">
        <f t="array" aca="1" ref="B804" ca="1">INDIRECT(_xlfn.CONCAT("$J", $F804))</f>
        <v>250</v>
      </c>
      <c r="C804" s="1" cm="1">
        <f t="array" aca="1" ref="C804" ca="1">INDIRECT(_xlfn.CONCAT("$K", $F804))</f>
        <v>39724</v>
      </c>
      <c r="D804" s="1"/>
      <c r="E804" s="1" t="str" cm="1">
        <f t="array" aca="1" ref="E804" ca="1">INDIRECT(_xlfn.CONCAT("$L", $F804))</f>
        <v>en es fr de it pt ja ko ru 汉语 漢語</v>
      </c>
      <c r="F804" s="1" cm="1">
        <f t="array" aca="1" ref="F804" ca="1">IF(NOT(OR(ISERROR(INDIRECT(_xlfn.CONCAT("$I", $F803 + 1))), ISBLANK(INDIRECT(_xlfn.CONCAT("$I", $F803 + 1))))), $F803 + 1, IF(NOT(ISBLANK(INDIRECT(_xlfn.CONCAT("$I", $F803 + 2)))), $F803 + 2, ""))</f>
        <v>1552</v>
      </c>
      <c r="I804" s="8" t="s">
        <v>573</v>
      </c>
      <c r="J804" s="8">
        <v>29</v>
      </c>
      <c r="K804" s="9">
        <v>43678</v>
      </c>
      <c r="L804" s="8" t="s">
        <v>174</v>
      </c>
    </row>
    <row r="805" spans="1:12" ht="59.25">
      <c r="A805" s="1" t="str" cm="1">
        <f t="array" aca="1" ref="A805" ca="1">INDIRECT(_xlfn.CONCAT("$I", $F805))</f>
        <v>Shards of Alara Promos PALA</v>
      </c>
      <c r="B805" s="1" cm="1">
        <f t="array" aca="1" ref="B805" ca="1">INDIRECT(_xlfn.CONCAT("$J", $F805))</f>
        <v>2</v>
      </c>
      <c r="C805" s="1" cm="1">
        <f t="array" aca="1" ref="C805" ca="1">INDIRECT(_xlfn.CONCAT("$K", $F805))</f>
        <v>39724</v>
      </c>
      <c r="D805" s="1"/>
      <c r="E805" s="1" t="str" cm="1">
        <f t="array" aca="1" ref="E805" ca="1">INDIRECT(_xlfn.CONCAT("$L", $F805))</f>
        <v>en es fr de it pt ja ko ru 汉语 漢語</v>
      </c>
      <c r="F805" s="1" cm="1">
        <f t="array" aca="1" ref="F805" ca="1">IF(NOT(OR(ISERROR(INDIRECT(_xlfn.CONCAT("$I", $F804 + 1))), ISBLANK(INDIRECT(_xlfn.CONCAT("$I", $F804 + 1))))), $F804 + 1, IF(NOT(ISBLANK(INDIRECT(_xlfn.CONCAT("$I", $F804 + 2)))), $F804 + 2, ""))</f>
        <v>1554</v>
      </c>
    </row>
    <row r="806" spans="1:12" ht="59.25">
      <c r="A806" s="1" t="str" cm="1">
        <f t="array" aca="1" ref="A806" ca="1">INDIRECT(_xlfn.CONCAT("$I", $F806))</f>
        <v>Shards of Alara Tokens TALA</v>
      </c>
      <c r="B806" s="1" cm="1">
        <f t="array" aca="1" ref="B806" ca="1">INDIRECT(_xlfn.CONCAT("$J", $F806))</f>
        <v>10</v>
      </c>
      <c r="C806" s="1" cm="1">
        <f t="array" aca="1" ref="C806" ca="1">INDIRECT(_xlfn.CONCAT("$K", $F806))</f>
        <v>39724</v>
      </c>
      <c r="D806" s="1"/>
      <c r="E806" s="1" t="str" cm="1">
        <f t="array" aca="1" ref="E806" ca="1">INDIRECT(_xlfn.CONCAT("$L", $F806))</f>
        <v>en es fr de it pt ja ko ru 汉语 漢語</v>
      </c>
      <c r="F806" s="1" cm="1">
        <f t="array" aca="1" ref="F806" ca="1">IF(NOT(OR(ISERROR(INDIRECT(_xlfn.CONCAT("$I", $F805 + 1))), ISBLANK(INDIRECT(_xlfn.CONCAT("$I", $F805 + 1))))), $F805 + 1, IF(NOT(ISBLANK(INDIRECT(_xlfn.CONCAT("$I", $F805 + 2)))), $F805 + 2, ""))</f>
        <v>1556</v>
      </c>
      <c r="I806" s="8" t="s">
        <v>574</v>
      </c>
      <c r="J806" s="8">
        <v>4</v>
      </c>
      <c r="K806" s="9">
        <v>43708</v>
      </c>
      <c r="L806" s="8" t="s">
        <v>174</v>
      </c>
    </row>
    <row r="807" spans="1:12" ht="59.25">
      <c r="A807" s="1" t="str" cm="1">
        <f t="array" aca="1" ref="A807" ca="1">INDIRECT(_xlfn.CONCAT("$I", $F807))</f>
        <v>Masters Edition II ME2</v>
      </c>
      <c r="B807" s="1" cm="1">
        <f t="array" aca="1" ref="B807" ca="1">INDIRECT(_xlfn.CONCAT("$J", $F807))</f>
        <v>245</v>
      </c>
      <c r="C807" s="1" cm="1">
        <f t="array" aca="1" ref="C807" ca="1">INDIRECT(_xlfn.CONCAT("$K", $F807))</f>
        <v>39713</v>
      </c>
      <c r="D807" s="1"/>
      <c r="E807" s="1" t="str" cm="1">
        <f t="array" aca="1" ref="E807" ca="1">INDIRECT(_xlfn.CONCAT("$L", $F807))</f>
        <v>en es fr de it pt ja ko ru 汉语 漢語</v>
      </c>
      <c r="F807" s="1" cm="1">
        <f t="array" aca="1" ref="F807" ca="1">IF(NOT(OR(ISERROR(INDIRECT(_xlfn.CONCAT("$I", $F806 + 1))), ISBLANK(INDIRECT(_xlfn.CONCAT("$I", $F806 + 1))))), $F806 + 1, IF(NOT(ISBLANK(INDIRECT(_xlfn.CONCAT("$I", $F806 + 2)))), $F806 + 2, ""))</f>
        <v>1558</v>
      </c>
    </row>
    <row r="808" spans="1:12" ht="59.25">
      <c r="A808" s="1" t="str" cm="1">
        <f t="array" aca="1" ref="A808" ca="1">INDIRECT(_xlfn.CONCAT("$I", $F808))</f>
        <v>From the Vault: Dragons DRB</v>
      </c>
      <c r="B808" s="1" cm="1">
        <f t="array" aca="1" ref="B808" ca="1">INDIRECT(_xlfn.CONCAT("$J", $F808))</f>
        <v>15</v>
      </c>
      <c r="C808" s="1" cm="1">
        <f t="array" aca="1" ref="C808" ca="1">INDIRECT(_xlfn.CONCAT("$K", $F808))</f>
        <v>39689</v>
      </c>
      <c r="D808" s="1"/>
      <c r="E808" s="1" t="str" cm="1">
        <f t="array" aca="1" ref="E808" ca="1">INDIRECT(_xlfn.CONCAT("$L", $F808))</f>
        <v>en es fr de it pt ja ko ru 汉语 漢語</v>
      </c>
      <c r="F808" s="1" cm="1">
        <f t="array" aca="1" ref="F808" ca="1">IF(NOT(OR(ISERROR(INDIRECT(_xlfn.CONCAT("$I", $F807 + 1))), ISBLANK(INDIRECT(_xlfn.CONCAT("$I", $F807 + 1))))), $F807 + 1, IF(NOT(ISBLANK(INDIRECT(_xlfn.CONCAT("$I", $F807 + 2)))), $F807 + 2, ""))</f>
        <v>1560</v>
      </c>
      <c r="I808" s="8" t="s">
        <v>575</v>
      </c>
      <c r="J808" s="8">
        <v>5</v>
      </c>
      <c r="K808" s="9">
        <v>43678</v>
      </c>
      <c r="L808" s="8" t="s">
        <v>174</v>
      </c>
    </row>
    <row r="809" spans="1:12" ht="59.25">
      <c r="A809" s="1" t="str" cm="1">
        <f t="array" aca="1" ref="A809" ca="1">INDIRECT(_xlfn.CONCAT("$I", $F809))</f>
        <v>Eventide EVE</v>
      </c>
      <c r="B809" s="1" cm="1">
        <f t="array" aca="1" ref="B809" ca="1">INDIRECT(_xlfn.CONCAT("$J", $F809))</f>
        <v>180</v>
      </c>
      <c r="C809" s="1" cm="1">
        <f t="array" aca="1" ref="C809" ca="1">INDIRECT(_xlfn.CONCAT("$K", $F809))</f>
        <v>39654</v>
      </c>
      <c r="D809" s="1"/>
      <c r="E809" s="1" t="str" cm="1">
        <f t="array" aca="1" ref="E809" ca="1">INDIRECT(_xlfn.CONCAT("$L", $F809))</f>
        <v>en es fr de it pt ja ko ru 汉语 漢語</v>
      </c>
      <c r="F809" s="1" cm="1">
        <f t="array" aca="1" ref="F809" ca="1">IF(NOT(OR(ISERROR(INDIRECT(_xlfn.CONCAT("$I", $F808 + 1))), ISBLANK(INDIRECT(_xlfn.CONCAT("$I", $F808 + 1))))), $F808 + 1, IF(NOT(ISBLANK(INDIRECT(_xlfn.CONCAT("$I", $F808 + 2)))), $F808 + 2, ""))</f>
        <v>1562</v>
      </c>
    </row>
    <row r="810" spans="1:12" ht="59.25">
      <c r="A810" s="1" t="str" cm="1">
        <f t="array" aca="1" ref="A810" ca="1">INDIRECT(_xlfn.CONCAT("$I", $F810))</f>
        <v>Eventide Promos PEVE</v>
      </c>
      <c r="B810" s="1" cm="1">
        <f t="array" aca="1" ref="B810" ca="1">INDIRECT(_xlfn.CONCAT("$J", $F810))</f>
        <v>2</v>
      </c>
      <c r="C810" s="1" cm="1">
        <f t="array" aca="1" ref="C810" ca="1">INDIRECT(_xlfn.CONCAT("$K", $F810))</f>
        <v>39654</v>
      </c>
      <c r="D810" s="1"/>
      <c r="E810" s="1" t="str" cm="1">
        <f t="array" aca="1" ref="E810" ca="1">INDIRECT(_xlfn.CONCAT("$L", $F810))</f>
        <v>en es fr de it pt ja ko ru 汉语 漢語</v>
      </c>
      <c r="F810" s="1" cm="1">
        <f t="array" aca="1" ref="F810" ca="1">IF(NOT(OR(ISERROR(INDIRECT(_xlfn.CONCAT("$I", $F809 + 1))), ISBLANK(INDIRECT(_xlfn.CONCAT("$I", $F809 + 1))))), $F809 + 1, IF(NOT(ISBLANK(INDIRECT(_xlfn.CONCAT("$I", $F809 + 2)))), $F809 + 2, ""))</f>
        <v>1564</v>
      </c>
      <c r="I810" s="8" t="s">
        <v>576</v>
      </c>
      <c r="J810" s="8">
        <v>5</v>
      </c>
      <c r="K810" s="9">
        <v>43664</v>
      </c>
      <c r="L810" s="8" t="s">
        <v>174</v>
      </c>
    </row>
    <row r="811" spans="1:12" ht="59.25">
      <c r="A811" s="1" t="str" cm="1">
        <f t="array" aca="1" ref="A811" ca="1">INDIRECT(_xlfn.CONCAT("$I", $F811))</f>
        <v>Eventide Tokens TEVE</v>
      </c>
      <c r="B811" s="1" cm="1">
        <f t="array" aca="1" ref="B811" ca="1">INDIRECT(_xlfn.CONCAT("$J", $F811))</f>
        <v>7</v>
      </c>
      <c r="C811" s="1" cm="1">
        <f t="array" aca="1" ref="C811" ca="1">INDIRECT(_xlfn.CONCAT("$K", $F811))</f>
        <v>39654</v>
      </c>
      <c r="D811" s="1"/>
      <c r="E811" s="1" t="str" cm="1">
        <f t="array" aca="1" ref="E811" ca="1">INDIRECT(_xlfn.CONCAT("$L", $F811))</f>
        <v>en es fr de it pt ja ko ru 汉语 漢語</v>
      </c>
      <c r="F811" s="1" cm="1">
        <f t="array" aca="1" ref="F811" ca="1">IF(NOT(OR(ISERROR(INDIRECT(_xlfn.CONCAT("$I", $F810 + 1))), ISBLANK(INDIRECT(_xlfn.CONCAT("$I", $F810 + 1))))), $F810 + 1, IF(NOT(ISBLANK(INDIRECT(_xlfn.CONCAT("$I", $F810 + 2)))), $F810 + 2, ""))</f>
        <v>1566</v>
      </c>
    </row>
    <row r="812" spans="1:12" ht="59.25">
      <c r="A812" s="1" t="str" cm="1">
        <f t="array" aca="1" ref="A812" ca="1">INDIRECT(_xlfn.CONCAT("$I", $F812))</f>
        <v>Shadowmoor SHM</v>
      </c>
      <c r="B812" s="1" cm="1">
        <f t="array" aca="1" ref="B812" ca="1">INDIRECT(_xlfn.CONCAT("$J", $F812))</f>
        <v>302</v>
      </c>
      <c r="C812" s="1" cm="1">
        <f t="array" aca="1" ref="C812" ca="1">INDIRECT(_xlfn.CONCAT("$K", $F812))</f>
        <v>39570</v>
      </c>
      <c r="D812" s="1"/>
      <c r="E812" s="1" t="str" cm="1">
        <f t="array" aca="1" ref="E812" ca="1">INDIRECT(_xlfn.CONCAT("$L", $F812))</f>
        <v>en es fr de it pt ja ko ru 汉语 漢語</v>
      </c>
      <c r="F812" s="1" cm="1">
        <f t="array" aca="1" ref="F812" ca="1">IF(NOT(OR(ISERROR(INDIRECT(_xlfn.CONCAT("$I", $F811 + 1))), ISBLANK(INDIRECT(_xlfn.CONCAT("$I", $F811 + 1))))), $F811 + 1, IF(NOT(ISBLANK(INDIRECT(_xlfn.CONCAT("$I", $F811 + 2)))), $F811 + 2, ""))</f>
        <v>1568</v>
      </c>
      <c r="I812" s="8" t="s">
        <v>577</v>
      </c>
      <c r="J812" s="8">
        <v>346</v>
      </c>
      <c r="K812" s="9">
        <v>43658</v>
      </c>
      <c r="L812" t="s">
        <v>174</v>
      </c>
    </row>
    <row r="813" spans="1:12" ht="59.25">
      <c r="A813" s="1" t="str" cm="1">
        <f t="array" aca="1" ref="A813" ca="1">INDIRECT(_xlfn.CONCAT("$I", $F813))</f>
        <v>Shadowmoor Promos PSHM</v>
      </c>
      <c r="B813" s="1" cm="1">
        <f t="array" aca="1" ref="B813" ca="1">INDIRECT(_xlfn.CONCAT("$J", $F813))</f>
        <v>2</v>
      </c>
      <c r="C813" s="1" cm="1">
        <f t="array" aca="1" ref="C813" ca="1">INDIRECT(_xlfn.CONCAT("$K", $F813))</f>
        <v>39570</v>
      </c>
      <c r="D813" s="1"/>
      <c r="E813" s="1" t="str" cm="1">
        <f t="array" aca="1" ref="E813" ca="1">INDIRECT(_xlfn.CONCAT("$L", $F813))</f>
        <v>en es fr de it pt ja ko ru 汉语 漢語</v>
      </c>
      <c r="F813" s="1" cm="1">
        <f t="array" aca="1" ref="F813" ca="1">IF(NOT(OR(ISERROR(INDIRECT(_xlfn.CONCAT("$I", $F812 + 1))), ISBLANK(INDIRECT(_xlfn.CONCAT("$I", $F812 + 1))))), $F812 + 1, IF(NOT(ISBLANK(INDIRECT(_xlfn.CONCAT("$I", $F812 + 2)))), $F812 + 2, ""))</f>
        <v>1570</v>
      </c>
    </row>
    <row r="814" spans="1:12" ht="59.25">
      <c r="A814" s="1" t="str" cm="1">
        <f t="array" aca="1" ref="A814" ca="1">INDIRECT(_xlfn.CONCAT("$I", $F814))</f>
        <v>Shadowmoor Tokens TSHM</v>
      </c>
      <c r="B814" s="1" cm="1">
        <f t="array" aca="1" ref="B814" ca="1">INDIRECT(_xlfn.CONCAT("$J", $F814))</f>
        <v>12</v>
      </c>
      <c r="C814" s="1" cm="1">
        <f t="array" aca="1" ref="C814" ca="1">INDIRECT(_xlfn.CONCAT("$K", $F814))</f>
        <v>39570</v>
      </c>
      <c r="D814" s="1"/>
      <c r="E814" s="1" t="str" cm="1">
        <f t="array" aca="1" ref="E814" ca="1">INDIRECT(_xlfn.CONCAT("$L", $F814))</f>
        <v>en es fr de it pt ja ko ru 汉语 漢語</v>
      </c>
      <c r="F814" s="1" cm="1">
        <f t="array" aca="1" ref="F814" ca="1">IF(NOT(OR(ISERROR(INDIRECT(_xlfn.CONCAT("$I", $F813 + 1))), ISBLANK(INDIRECT(_xlfn.CONCAT("$I", $F813 + 1))))), $F813 + 1, IF(NOT(ISBLANK(INDIRECT(_xlfn.CONCAT("$I", $F813 + 2)))), $F813 + 2, ""))</f>
        <v>1572</v>
      </c>
      <c r="I814" s="8" t="s">
        <v>578</v>
      </c>
      <c r="J814" s="8">
        <v>144</v>
      </c>
      <c r="K814" s="9">
        <v>43658</v>
      </c>
      <c r="L814" s="8" t="s">
        <v>174</v>
      </c>
    </row>
    <row r="815" spans="1:12" ht="59.25">
      <c r="A815" s="1" t="str" cm="1">
        <f t="array" aca="1" ref="A815" ca="1">INDIRECT(_xlfn.CONCAT("$I", $F815))</f>
        <v>15th Anniversary Cards P15A</v>
      </c>
      <c r="B815" s="1" cm="1">
        <f t="array" aca="1" ref="B815" ca="1">INDIRECT(_xlfn.CONCAT("$J", $F815))</f>
        <v>2</v>
      </c>
      <c r="C815" s="1" cm="1">
        <f t="array" aca="1" ref="C815" ca="1">INDIRECT(_xlfn.CONCAT("$K", $F815))</f>
        <v>39539</v>
      </c>
      <c r="D815" s="1"/>
      <c r="E815" s="1" t="str" cm="1">
        <f t="array" aca="1" ref="E815" ca="1">INDIRECT(_xlfn.CONCAT("$L", $F815))</f>
        <v>en es fr de it pt ja ko ru 汉语 漢語</v>
      </c>
      <c r="F815" s="1" cm="1">
        <f t="array" aca="1" ref="F815" ca="1">IF(NOT(OR(ISERROR(INDIRECT(_xlfn.CONCAT("$I", $F814 + 1))), ISBLANK(INDIRECT(_xlfn.CONCAT("$I", $F814 + 1))))), $F814 + 1, IF(NOT(ISBLANK(INDIRECT(_xlfn.CONCAT("$I", $F814 + 2)))), $F814 + 2, ""))</f>
        <v>1574</v>
      </c>
    </row>
    <row r="816" spans="1:12" ht="59.25">
      <c r="A816" s="1" t="str" cm="1">
        <f t="array" aca="1" ref="A816" ca="1">INDIRECT(_xlfn.CONCAT("$I", $F816))</f>
        <v>Morningtide MOR</v>
      </c>
      <c r="B816" s="1" cm="1">
        <f t="array" aca="1" ref="B816" ca="1">INDIRECT(_xlfn.CONCAT("$J", $F816))</f>
        <v>150</v>
      </c>
      <c r="C816" s="1" cm="1">
        <f t="array" aca="1" ref="C816" ca="1">INDIRECT(_xlfn.CONCAT("$K", $F816))</f>
        <v>39479</v>
      </c>
      <c r="D816" s="1"/>
      <c r="E816" s="1" t="str" cm="1">
        <f t="array" aca="1" ref="E816" ca="1">INDIRECT(_xlfn.CONCAT("$L", $F816))</f>
        <v>en es fr de it pt ja ko ru 汉语 漢語</v>
      </c>
      <c r="F816" s="1" cm="1">
        <f t="array" aca="1" ref="F816" ca="1">IF(NOT(OR(ISERROR(INDIRECT(_xlfn.CONCAT("$I", $F815 + 1))), ISBLANK(INDIRECT(_xlfn.CONCAT("$I", $F815 + 1))))), $F815 + 1, IF(NOT(ISBLANK(INDIRECT(_xlfn.CONCAT("$I", $F815 + 2)))), $F815 + 2, ""))</f>
        <v>1576</v>
      </c>
      <c r="I816" s="8" t="s">
        <v>579</v>
      </c>
      <c r="J816" s="8">
        <v>12</v>
      </c>
      <c r="K816" s="9">
        <v>43658</v>
      </c>
      <c r="L816" s="8" t="s">
        <v>174</v>
      </c>
    </row>
    <row r="817" spans="1:12" ht="59.25">
      <c r="A817" s="1" t="str" cm="1">
        <f t="array" aca="1" ref="A817" ca="1">INDIRECT(_xlfn.CONCAT("$I", $F817))</f>
        <v>Morningtide Promos PMOR</v>
      </c>
      <c r="B817" s="1" cm="1">
        <f t="array" aca="1" ref="B817" ca="1">INDIRECT(_xlfn.CONCAT("$J", $F817))</f>
        <v>2</v>
      </c>
      <c r="C817" s="1" cm="1">
        <f t="array" aca="1" ref="C817" ca="1">INDIRECT(_xlfn.CONCAT("$K", $F817))</f>
        <v>39479</v>
      </c>
      <c r="D817" s="1"/>
      <c r="E817" s="1" t="str" cm="1">
        <f t="array" aca="1" ref="E817" ca="1">INDIRECT(_xlfn.CONCAT("$L", $F817))</f>
        <v>en es fr de it pt ja ko ru 汉语 漢語</v>
      </c>
      <c r="F817" s="1" cm="1">
        <f t="array" aca="1" ref="F817" ca="1">IF(NOT(OR(ISERROR(INDIRECT(_xlfn.CONCAT("$I", $F816 + 1))), ISBLANK(INDIRECT(_xlfn.CONCAT("$I", $F816 + 1))))), $F816 + 1, IF(NOT(ISBLANK(INDIRECT(_xlfn.CONCAT("$I", $F816 + 2)))), $F816 + 2, ""))</f>
        <v>1578</v>
      </c>
    </row>
    <row r="818" spans="1:12" ht="59.25">
      <c r="A818" s="1" t="str" cm="1">
        <f t="array" aca="1" ref="A818" ca="1">INDIRECT(_xlfn.CONCAT("$I", $F818))</f>
        <v>Morningtide Tokens TMOR</v>
      </c>
      <c r="B818" s="1" cm="1">
        <f t="array" aca="1" ref="B818" ca="1">INDIRECT(_xlfn.CONCAT("$J", $F818))</f>
        <v>3</v>
      </c>
      <c r="C818" s="1" cm="1">
        <f t="array" aca="1" ref="C818" ca="1">INDIRECT(_xlfn.CONCAT("$K", $F818))</f>
        <v>39479</v>
      </c>
      <c r="D818" s="1"/>
      <c r="E818" s="1" t="str" cm="1">
        <f t="array" aca="1" ref="E818" ca="1">INDIRECT(_xlfn.CONCAT("$L", $F818))</f>
        <v>en es fr de it pt ja ko ru 汉语 漢語</v>
      </c>
      <c r="F818" s="1" cm="1">
        <f t="array" aca="1" ref="F818" ca="1">IF(NOT(OR(ISERROR(INDIRECT(_xlfn.CONCAT("$I", $F817 + 1))), ISBLANK(INDIRECT(_xlfn.CONCAT("$I", $F817 + 1))))), $F817 + 1, IF(NOT(ISBLANK(INDIRECT(_xlfn.CONCAT("$I", $F817 + 2)))), $F817 + 2, ""))</f>
        <v>1580</v>
      </c>
      <c r="I818" s="8" t="s">
        <v>580</v>
      </c>
      <c r="J818" s="8">
        <v>5</v>
      </c>
      <c r="K818" s="9">
        <v>43658</v>
      </c>
      <c r="L818" s="8" t="s">
        <v>174</v>
      </c>
    </row>
    <row r="819" spans="1:12" ht="59.25">
      <c r="A819" s="1" t="str" cm="1">
        <f t="array" aca="1" ref="A819" ca="1">INDIRECT(_xlfn.CONCAT("$I", $F819))</f>
        <v>Magic Premiere Shop 2008 PMPS08</v>
      </c>
      <c r="B819" s="1" cm="1">
        <f t="array" aca="1" ref="B819" ca="1">INDIRECT(_xlfn.CONCAT("$J", $F819))</f>
        <v>6</v>
      </c>
      <c r="C819" s="1" cm="1">
        <f t="array" aca="1" ref="C819" ca="1">INDIRECT(_xlfn.CONCAT("$K", $F819))</f>
        <v>39448</v>
      </c>
      <c r="D819" s="1"/>
      <c r="E819" s="1" t="str" cm="1">
        <f t="array" aca="1" ref="E819" ca="1">INDIRECT(_xlfn.CONCAT("$L", $F819))</f>
        <v>en es fr de it pt ja ko ru 汉语 漢語</v>
      </c>
      <c r="F819" s="1" cm="1">
        <f t="array" aca="1" ref="F819" ca="1">IF(NOT(OR(ISERROR(INDIRECT(_xlfn.CONCAT("$I", $F818 + 1))), ISBLANK(INDIRECT(_xlfn.CONCAT("$I", $F818 + 1))))), $F818 + 1, IF(NOT(ISBLANK(INDIRECT(_xlfn.CONCAT("$I", $F818 + 2)))), $F818 + 2, ""))</f>
        <v>1582</v>
      </c>
    </row>
    <row r="820" spans="1:12" ht="59.25">
      <c r="A820" s="1" t="str" cm="1">
        <f t="array" aca="1" ref="A820" ca="1">INDIRECT(_xlfn.CONCAT("$I", $F820))</f>
        <v>Magic Player Rewards 2008 P08</v>
      </c>
      <c r="B820" s="1" cm="1">
        <f t="array" aca="1" ref="B820" ca="1">INDIRECT(_xlfn.CONCAT("$J", $F820))</f>
        <v>7</v>
      </c>
      <c r="C820" s="1" cm="1">
        <f t="array" aca="1" ref="C820" ca="1">INDIRECT(_xlfn.CONCAT("$K", $F820))</f>
        <v>39448</v>
      </c>
      <c r="D820" s="1"/>
      <c r="E820" s="1" t="str" cm="1">
        <f t="array" aca="1" ref="E820" ca="1">INDIRECT(_xlfn.CONCAT("$L", $F820))</f>
        <v>en es fr de it pt ja ko ru 汉语 漢語</v>
      </c>
      <c r="F820" s="1" cm="1">
        <f t="array" aca="1" ref="F820" ca="1">IF(NOT(OR(ISERROR(INDIRECT(_xlfn.CONCAT("$I", $F819 + 1))), ISBLANK(INDIRECT(_xlfn.CONCAT("$I", $F819 + 1))))), $F819 + 1, IF(NOT(ISBLANK(INDIRECT(_xlfn.CONCAT("$I", $F819 + 2)))), $F819 + 2, ""))</f>
        <v>1584</v>
      </c>
      <c r="I820" s="8" t="s">
        <v>581</v>
      </c>
      <c r="J820" s="8">
        <v>8</v>
      </c>
      <c r="K820" s="9">
        <v>43644</v>
      </c>
      <c r="L820" s="8" t="s">
        <v>174</v>
      </c>
    </row>
    <row r="821" spans="1:12" ht="59.25">
      <c r="A821" s="1" t="str" cm="1">
        <f t="array" aca="1" ref="A821" ca="1">INDIRECT(_xlfn.CONCAT("$I", $F821))</f>
        <v>Friday Night Magic 2008 F08</v>
      </c>
      <c r="B821" s="1" cm="1">
        <f t="array" aca="1" ref="B821" ca="1">INDIRECT(_xlfn.CONCAT("$J", $F821))</f>
        <v>12</v>
      </c>
      <c r="C821" s="1" cm="1">
        <f t="array" aca="1" ref="C821" ca="1">INDIRECT(_xlfn.CONCAT("$K", $F821))</f>
        <v>39448</v>
      </c>
      <c r="D821" s="1"/>
      <c r="E821" s="1" t="str" cm="1">
        <f t="array" aca="1" ref="E821" ca="1">INDIRECT(_xlfn.CONCAT("$L", $F821))</f>
        <v>en es fr de it pt ja ko ru 汉语 漢語</v>
      </c>
      <c r="F821" s="1" cm="1">
        <f t="array" aca="1" ref="F821" ca="1">IF(NOT(OR(ISERROR(INDIRECT(_xlfn.CONCAT("$I", $F820 + 1))), ISBLANK(INDIRECT(_xlfn.CONCAT("$I", $F820 + 1))))), $F820 + 1, IF(NOT(ISBLANK(INDIRECT(_xlfn.CONCAT("$I", $F820 + 2)))), $F820 + 2, ""))</f>
        <v>1586</v>
      </c>
    </row>
    <row r="822" spans="1:12" ht="59.25">
      <c r="A822" s="1" t="str" cm="1">
        <f t="array" aca="1" ref="A822" ca="1">INDIRECT(_xlfn.CONCAT("$I", $F822))</f>
        <v>Judge Gift Cards 2008 G08</v>
      </c>
      <c r="B822" s="1" cm="1">
        <f t="array" aca="1" ref="B822" ca="1">INDIRECT(_xlfn.CONCAT("$J", $F822))</f>
        <v>5</v>
      </c>
      <c r="C822" s="1" cm="1">
        <f t="array" aca="1" ref="C822" ca="1">INDIRECT(_xlfn.CONCAT("$K", $F822))</f>
        <v>39448</v>
      </c>
      <c r="D822" s="1"/>
      <c r="E822" s="1" t="str" cm="1">
        <f t="array" aca="1" ref="E822" ca="1">INDIRECT(_xlfn.CONCAT("$L", $F822))</f>
        <v>en es fr de it pt ja ko ru 汉语 漢語</v>
      </c>
      <c r="F822" s="1" cm="1">
        <f t="array" aca="1" ref="F822" ca="1">IF(NOT(OR(ISERROR(INDIRECT(_xlfn.CONCAT("$I", $F821 + 1))), ISBLANK(INDIRECT(_xlfn.CONCAT("$I", $F821 + 1))))), $F821 + 1, IF(NOT(ISBLANK(INDIRECT(_xlfn.CONCAT("$I", $F821 + 2)))), $F821 + 2, ""))</f>
        <v>1588</v>
      </c>
      <c r="I822" s="8" t="s">
        <v>582</v>
      </c>
      <c r="J822" s="8">
        <v>255</v>
      </c>
      <c r="K822" s="9">
        <v>43630</v>
      </c>
      <c r="L822" t="s">
        <v>174</v>
      </c>
    </row>
    <row r="823" spans="1:12" ht="68.25">
      <c r="A823" s="1" t="str" cm="1">
        <f t="array" aca="1" ref="A823" ca="1">INDIRECT(_xlfn.CONCAT("$I", $F823))</f>
        <v>Duel Decks: Elves vs. Goblins DD1</v>
      </c>
      <c r="B823" s="1" cm="1">
        <f t="array" aca="1" ref="B823" ca="1">INDIRECT(_xlfn.CONCAT("$J", $F823))</f>
        <v>62</v>
      </c>
      <c r="C823" s="1" cm="1">
        <f t="array" aca="1" ref="C823" ca="1">INDIRECT(_xlfn.CONCAT("$K", $F823))</f>
        <v>39402</v>
      </c>
      <c r="D823" s="1"/>
      <c r="E823" s="1" t="str" cm="1">
        <f t="array" aca="1" ref="E823" ca="1">INDIRECT(_xlfn.CONCAT("$L", $F823))</f>
        <v>en es fr de it pt ja ko ru 汉语 漢語</v>
      </c>
      <c r="F823" s="1" cm="1">
        <f t="array" aca="1" ref="F823" ca="1">IF(NOT(OR(ISERROR(INDIRECT(_xlfn.CONCAT("$I", $F822 + 1))), ISBLANK(INDIRECT(_xlfn.CONCAT("$I", $F822 + 1))))), $F822 + 1, IF(NOT(ISBLANK(INDIRECT(_xlfn.CONCAT("$I", $F822 + 2)))), $F822 + 2, ""))</f>
        <v>1590</v>
      </c>
    </row>
    <row r="824" spans="1:12" ht="81">
      <c r="A824" s="1" t="str" cm="1">
        <f t="array" aca="1" ref="A824" ca="1">INDIRECT(_xlfn.CONCAT("$I", $F824))</f>
        <v>Duel Decks: Elves vs. Goblins Tokens TDD1</v>
      </c>
      <c r="B824" s="1" cm="1">
        <f t="array" aca="1" ref="B824" ca="1">INDIRECT(_xlfn.CONCAT("$J", $F824))</f>
        <v>3</v>
      </c>
      <c r="C824" s="1" cm="1">
        <f t="array" aca="1" ref="C824" ca="1">INDIRECT(_xlfn.CONCAT("$K", $F824))</f>
        <v>39402</v>
      </c>
      <c r="D824" s="1"/>
      <c r="E824" s="1" t="str" cm="1">
        <f t="array" aca="1" ref="E824" ca="1">INDIRECT(_xlfn.CONCAT("$L", $F824))</f>
        <v>en es fr de it pt ja ko ru 汉语 漢語</v>
      </c>
      <c r="F824" s="1" cm="1">
        <f t="array" aca="1" ref="F824" ca="1">IF(NOT(OR(ISERROR(INDIRECT(_xlfn.CONCAT("$I", $F823 + 1))), ISBLANK(INDIRECT(_xlfn.CONCAT("$I", $F823 + 1))))), $F823 + 1, IF(NOT(ISBLANK(INDIRECT(_xlfn.CONCAT("$I", $F823 + 2)))), $F823 + 2, ""))</f>
        <v>1592</v>
      </c>
      <c r="I824" s="8" t="s">
        <v>583</v>
      </c>
      <c r="J824" s="8">
        <v>2</v>
      </c>
      <c r="K824" s="9">
        <v>43630</v>
      </c>
      <c r="L824" s="8" t="s">
        <v>174</v>
      </c>
    </row>
    <row r="825" spans="1:12" ht="59.25">
      <c r="A825" s="1" t="str" cm="1">
        <f t="array" aca="1" ref="A825" ca="1">INDIRECT(_xlfn.CONCAT("$I", $F825))</f>
        <v>Lorwyn LRW</v>
      </c>
      <c r="B825" s="1" cm="1">
        <f t="array" aca="1" ref="B825" ca="1">INDIRECT(_xlfn.CONCAT("$J", $F825))</f>
        <v>301</v>
      </c>
      <c r="C825" s="1" cm="1">
        <f t="array" aca="1" ref="C825" ca="1">INDIRECT(_xlfn.CONCAT("$K", $F825))</f>
        <v>39367</v>
      </c>
      <c r="D825" s="1"/>
      <c r="E825" s="1" t="str" cm="1">
        <f t="array" aca="1" ref="E825" ca="1">INDIRECT(_xlfn.CONCAT("$L", $F825))</f>
        <v>en es fr de it pt ja ko ru 汉语 漢語</v>
      </c>
      <c r="F825" s="1" cm="1">
        <f t="array" aca="1" ref="F825" ca="1">IF(NOT(OR(ISERROR(INDIRECT(_xlfn.CONCAT("$I", $F824 + 1))), ISBLANK(INDIRECT(_xlfn.CONCAT("$I", $F824 + 1))))), $F824 + 1, IF(NOT(ISBLANK(INDIRECT(_xlfn.CONCAT("$I", $F824 + 2)))), $F824 + 2, ""))</f>
        <v>1594</v>
      </c>
    </row>
    <row r="826" spans="1:12" ht="59.25">
      <c r="A826" s="1" t="str" cm="1">
        <f t="array" aca="1" ref="A826" ca="1">INDIRECT(_xlfn.CONCAT("$I", $F826))</f>
        <v>Lorwyn Promos PLRW</v>
      </c>
      <c r="B826" s="1" cm="1">
        <f t="array" aca="1" ref="B826" ca="1">INDIRECT(_xlfn.CONCAT("$J", $F826))</f>
        <v>3</v>
      </c>
      <c r="C826" s="1" cm="1">
        <f t="array" aca="1" ref="C826" ca="1">INDIRECT(_xlfn.CONCAT("$K", $F826))</f>
        <v>39367</v>
      </c>
      <c r="D826" s="1"/>
      <c r="E826" s="1" t="str" cm="1">
        <f t="array" aca="1" ref="E826" ca="1">INDIRECT(_xlfn.CONCAT("$L", $F826))</f>
        <v>en es fr de it pt ja ko ru 汉语 漢語</v>
      </c>
      <c r="F826" s="1" cm="1">
        <f t="array" aca="1" ref="F826" ca="1">IF(NOT(OR(ISERROR(INDIRECT(_xlfn.CONCAT("$I", $F825 + 1))), ISBLANK(INDIRECT(_xlfn.CONCAT("$I", $F825 + 1))))), $F825 + 1, IF(NOT(ISBLANK(INDIRECT(_xlfn.CONCAT("$I", $F825 + 2)))), $F825 + 2, ""))</f>
        <v>1596</v>
      </c>
      <c r="I826" s="8" t="s">
        <v>584</v>
      </c>
      <c r="J826" s="8">
        <v>21</v>
      </c>
      <c r="K826" s="9">
        <v>43615</v>
      </c>
      <c r="L826" s="8" t="s">
        <v>174</v>
      </c>
    </row>
    <row r="827" spans="1:12" ht="59.25">
      <c r="A827" s="1" t="str" cm="1">
        <f t="array" aca="1" ref="A827" ca="1">INDIRECT(_xlfn.CONCAT("$I", $F827))</f>
        <v>Lorwyn Tokens TLRW</v>
      </c>
      <c r="B827" s="1" cm="1">
        <f t="array" aca="1" ref="B827" ca="1">INDIRECT(_xlfn.CONCAT("$J", $F827))</f>
        <v>11</v>
      </c>
      <c r="C827" s="1" cm="1">
        <f t="array" aca="1" ref="C827" ca="1">INDIRECT(_xlfn.CONCAT("$K", $F827))</f>
        <v>39367</v>
      </c>
      <c r="D827" s="1"/>
      <c r="E827" s="1" t="str" cm="1">
        <f t="array" aca="1" ref="E827" ca="1">INDIRECT(_xlfn.CONCAT("$L", $F827))</f>
        <v>en es fr de it pt ja ko ru 汉语 漢語</v>
      </c>
      <c r="F827" s="1" cm="1">
        <f t="array" aca="1" ref="F827" ca="1">IF(NOT(OR(ISERROR(INDIRECT(_xlfn.CONCAT("$I", $F826 + 1))), ISBLANK(INDIRECT(_xlfn.CONCAT("$I", $F826 + 1))))), $F826 + 1, IF(NOT(ISBLANK(INDIRECT(_xlfn.CONCAT("$I", $F826 + 2)))), $F826 + 2, ""))</f>
        <v>1598</v>
      </c>
    </row>
    <row r="828" spans="1:12" ht="59.25">
      <c r="A828" s="1" t="str" cm="1">
        <f t="array" aca="1" ref="A828" ca="1">INDIRECT(_xlfn.CONCAT("$I", $F828))</f>
        <v>Masters Edition ME1</v>
      </c>
      <c r="B828" s="1" cm="1">
        <f t="array" aca="1" ref="B828" ca="1">INDIRECT(_xlfn.CONCAT("$J", $F828))</f>
        <v>195</v>
      </c>
      <c r="C828" s="1" cm="1">
        <f t="array" aca="1" ref="C828" ca="1">INDIRECT(_xlfn.CONCAT("$K", $F828))</f>
        <v>39335</v>
      </c>
      <c r="D828" s="1"/>
      <c r="E828" s="1" t="str" cm="1">
        <f t="array" aca="1" ref="E828" ca="1">INDIRECT(_xlfn.CONCAT("$L", $F828))</f>
        <v>en es fr de it pt ja ko ru 汉语 漢語</v>
      </c>
      <c r="F828" s="1" cm="1">
        <f t="array" aca="1" ref="F828" ca="1">IF(NOT(OR(ISERROR(INDIRECT(_xlfn.CONCAT("$I", $F827 + 1))), ISBLANK(INDIRECT(_xlfn.CONCAT("$I", $F827 + 1))))), $F827 + 1, IF(NOT(ISBLANK(INDIRECT(_xlfn.CONCAT("$I", $F827 + 2)))), $F827 + 2, ""))</f>
        <v>1600</v>
      </c>
      <c r="I828" s="8" t="s">
        <v>585</v>
      </c>
      <c r="J828" s="8">
        <v>54</v>
      </c>
      <c r="K828" s="9">
        <v>43621</v>
      </c>
      <c r="L828" s="8" t="s">
        <v>174</v>
      </c>
    </row>
    <row r="829" spans="1:12" ht="59.25">
      <c r="A829" s="1" t="str" cm="1">
        <f t="array" aca="1" ref="A829" ca="1">INDIRECT(_xlfn.CONCAT("$I", $F829))</f>
        <v>Tenth Edition 10E</v>
      </c>
      <c r="B829" s="1" cm="1">
        <f t="array" aca="1" ref="B829" ca="1">INDIRECT(_xlfn.CONCAT("$J", $F829))</f>
        <v>510</v>
      </c>
      <c r="C829" s="1" cm="1">
        <f t="array" aca="1" ref="C829" ca="1">INDIRECT(_xlfn.CONCAT("$K", $F829))</f>
        <v>39276</v>
      </c>
      <c r="D829" s="1"/>
      <c r="E829" s="1" t="str" cm="1">
        <f t="array" aca="1" ref="E829" ca="1">INDIRECT(_xlfn.CONCAT("$L", $F829))</f>
        <v>en es fr de it pt ja ko ru 汉语 漢語</v>
      </c>
      <c r="F829" s="1" cm="1">
        <f t="array" aca="1" ref="F829" ca="1">IF(NOT(OR(ISERROR(INDIRECT(_xlfn.CONCAT("$I", $F828 + 1))), ISBLANK(INDIRECT(_xlfn.CONCAT("$I", $F828 + 1))))), $F828 + 1, IF(NOT(ISBLANK(INDIRECT(_xlfn.CONCAT("$I", $F828 + 2)))), $F828 + 2, ""))</f>
        <v>1602</v>
      </c>
    </row>
    <row r="830" spans="1:12" ht="59.25">
      <c r="A830" s="1" t="str" cm="1">
        <f t="array" aca="1" ref="A830" ca="1">INDIRECT(_xlfn.CONCAT("$I", $F830))</f>
        <v>Tenth Edition Promos P10E</v>
      </c>
      <c r="B830" s="1" cm="1">
        <f t="array" aca="1" ref="B830" ca="1">INDIRECT(_xlfn.CONCAT("$J", $F830))</f>
        <v>3</v>
      </c>
      <c r="C830" s="1" cm="1">
        <f t="array" aca="1" ref="C830" ca="1">INDIRECT(_xlfn.CONCAT("$K", $F830))</f>
        <v>39276</v>
      </c>
      <c r="D830" s="1"/>
      <c r="E830" s="1" t="str" cm="1">
        <f t="array" aca="1" ref="E830" ca="1">INDIRECT(_xlfn.CONCAT("$L", $F830))</f>
        <v>en es fr de it pt ja ko ru 汉语 漢語</v>
      </c>
      <c r="F830" s="1" cm="1">
        <f t="array" aca="1" ref="F830" ca="1">IF(NOT(OR(ISERROR(INDIRECT(_xlfn.CONCAT("$I", $F829 + 1))), ISBLANK(INDIRECT(_xlfn.CONCAT("$I", $F829 + 1))))), $F829 + 1, IF(NOT(ISBLANK(INDIRECT(_xlfn.CONCAT("$I", $F829 + 2)))), $F829 + 2, ""))</f>
        <v>1604</v>
      </c>
      <c r="I830" s="8" t="s">
        <v>1165</v>
      </c>
      <c r="J830" s="8">
        <v>312</v>
      </c>
      <c r="K830" s="9">
        <v>43588</v>
      </c>
      <c r="L830" t="s">
        <v>174</v>
      </c>
    </row>
    <row r="831" spans="1:12" ht="59.25">
      <c r="A831" s="1" t="str" cm="1">
        <f t="array" aca="1" ref="A831" ca="1">INDIRECT(_xlfn.CONCAT("$I", $F831))</f>
        <v>Tenth Edition Tokens T10E</v>
      </c>
      <c r="B831" s="1" cm="1">
        <f t="array" aca="1" ref="B831" ca="1">INDIRECT(_xlfn.CONCAT("$J", $F831))</f>
        <v>6</v>
      </c>
      <c r="C831" s="1" cm="1">
        <f t="array" aca="1" ref="C831" ca="1">INDIRECT(_xlfn.CONCAT("$K", $F831))</f>
        <v>39276</v>
      </c>
      <c r="D831" s="1"/>
      <c r="E831" s="1" t="str" cm="1">
        <f t="array" aca="1" ref="E831" ca="1">INDIRECT(_xlfn.CONCAT("$L", $F831))</f>
        <v>en es fr de it pt ja ko ru 汉语 漢語</v>
      </c>
      <c r="F831" s="1" cm="1">
        <f t="array" aca="1" ref="F831" ca="1">IF(NOT(OR(ISERROR(INDIRECT(_xlfn.CONCAT("$I", $F830 + 1))), ISBLANK(INDIRECT(_xlfn.CONCAT("$I", $F830 + 1))))), $F830 + 1, IF(NOT(ISBLANK(INDIRECT(_xlfn.CONCAT("$I", $F830 + 2)))), $F830 + 2, ""))</f>
        <v>1606</v>
      </c>
    </row>
    <row r="832" spans="1:12" ht="59.25">
      <c r="A832" s="1" t="str" cm="1">
        <f t="array" aca="1" ref="A832" ca="1">INDIRECT(_xlfn.CONCAT("$I", $F832))</f>
        <v>Future Sight FUT</v>
      </c>
      <c r="B832" s="1" cm="1">
        <f t="array" aca="1" ref="B832" ca="1">INDIRECT(_xlfn.CONCAT("$J", $F832))</f>
        <v>180</v>
      </c>
      <c r="C832" s="1" cm="1">
        <f t="array" aca="1" ref="C832" ca="1">INDIRECT(_xlfn.CONCAT("$K", $F832))</f>
        <v>39206</v>
      </c>
      <c r="D832" s="1"/>
      <c r="E832" s="1" t="str" cm="1">
        <f t="array" aca="1" ref="E832" ca="1">INDIRECT(_xlfn.CONCAT("$L", $F832))</f>
        <v>en es fr de it pt ja ko ru 汉语 漢語</v>
      </c>
      <c r="F832" s="1" cm="1">
        <f t="array" aca="1" ref="F832" ca="1">IF(NOT(OR(ISERROR(INDIRECT(_xlfn.CONCAT("$I", $F831 + 1))), ISBLANK(INDIRECT(_xlfn.CONCAT("$I", $F831 + 1))))), $F831 + 1, IF(NOT(ISBLANK(INDIRECT(_xlfn.CONCAT("$I", $F831 + 2)))), $F831 + 2, ""))</f>
        <v>1608</v>
      </c>
      <c r="I832" s="8" t="s">
        <v>586</v>
      </c>
      <c r="J832" s="8">
        <v>176</v>
      </c>
      <c r="K832" s="9">
        <v>43588</v>
      </c>
      <c r="L832" t="s">
        <v>174</v>
      </c>
    </row>
    <row r="833" spans="1:12" ht="59.25">
      <c r="A833" s="1" t="str" cm="1">
        <f t="array" aca="1" ref="A833" ca="1">INDIRECT(_xlfn.CONCAT("$I", $F833))</f>
        <v>Future Sight Promos PFUT</v>
      </c>
      <c r="B833" s="1" cm="1">
        <f t="array" aca="1" ref="B833" ca="1">INDIRECT(_xlfn.CONCAT("$J", $F833))</f>
        <v>2</v>
      </c>
      <c r="C833" s="1" cm="1">
        <f t="array" aca="1" ref="C833" ca="1">INDIRECT(_xlfn.CONCAT("$K", $F833))</f>
        <v>39206</v>
      </c>
      <c r="D833" s="1"/>
      <c r="E833" s="1" t="str" cm="1">
        <f t="array" aca="1" ref="E833" ca="1">INDIRECT(_xlfn.CONCAT("$L", $F833))</f>
        <v>en es fr de it pt ja ko ru 汉语 漢語</v>
      </c>
      <c r="F833" s="1" cm="1">
        <f t="array" aca="1" ref="F833" ca="1">IF(NOT(OR(ISERROR(INDIRECT(_xlfn.CONCAT("$I", $F832 + 1))), ISBLANK(INDIRECT(_xlfn.CONCAT("$I", $F832 + 1))))), $F832 + 1, IF(NOT(ISBLANK(INDIRECT(_xlfn.CONCAT("$I", $F832 + 2)))), $F832 + 2, ""))</f>
        <v>1610</v>
      </c>
    </row>
    <row r="834" spans="1:12" ht="59.25">
      <c r="A834" s="1" t="str" cm="1">
        <f t="array" aca="1" ref="A834" ca="1">INDIRECT(_xlfn.CONCAT("$I", $F834))</f>
        <v>Grand Prix Promos PGPX</v>
      </c>
      <c r="B834" s="1" cm="1">
        <f t="array" aca="1" ref="B834" ca="1">INDIRECT(_xlfn.CONCAT("$J", $F834))</f>
        <v>20</v>
      </c>
      <c r="C834" s="1" cm="1">
        <f t="array" aca="1" ref="C834" ca="1">INDIRECT(_xlfn.CONCAT("$K", $F834))</f>
        <v>39137</v>
      </c>
      <c r="D834" s="1"/>
      <c r="E834" s="1" t="str" cm="1">
        <f t="array" aca="1" ref="E834" ca="1">INDIRECT(_xlfn.CONCAT("$L", $F834))</f>
        <v>en es fr de it pt ja ko ru 汉语 漢語</v>
      </c>
      <c r="F834" s="1" cm="1">
        <f t="array" aca="1" ref="F834" ca="1">IF(NOT(OR(ISERROR(INDIRECT(_xlfn.CONCAT("$I", $F833 + 1))), ISBLANK(INDIRECT(_xlfn.CONCAT("$I", $F833 + 1))))), $F833 + 1, IF(NOT(ISBLANK(INDIRECT(_xlfn.CONCAT("$I", $F833 + 2)))), $F833 + 2, ""))</f>
        <v>1612</v>
      </c>
      <c r="I834" s="8" t="s">
        <v>587</v>
      </c>
      <c r="J834" s="8">
        <v>19</v>
      </c>
      <c r="K834" s="9">
        <v>43588</v>
      </c>
      <c r="L834" s="8" t="s">
        <v>174</v>
      </c>
    </row>
    <row r="835" spans="1:12" ht="59.25">
      <c r="A835" s="1" t="str" cm="1">
        <f t="array" aca="1" ref="A835" ca="1">INDIRECT(_xlfn.CONCAT("$I", $F835))</f>
        <v>Pro Tour Promos PPRO</v>
      </c>
      <c r="B835" s="1" cm="1">
        <f t="array" aca="1" ref="B835" ca="1">INDIRECT(_xlfn.CONCAT("$J", $F835))</f>
        <v>17</v>
      </c>
      <c r="C835" s="1" cm="1">
        <f t="array" aca="1" ref="C835" ca="1">INDIRECT(_xlfn.CONCAT("$K", $F835))</f>
        <v>39122</v>
      </c>
      <c r="D835" s="1"/>
      <c r="E835" s="1" t="str" cm="1">
        <f t="array" aca="1" ref="E835" ca="1">INDIRECT(_xlfn.CONCAT("$L", $F835))</f>
        <v>en es fr de it pt ja ko ru 汉语 漢語</v>
      </c>
      <c r="F835" s="1" cm="1">
        <f t="array" aca="1" ref="F835" ca="1">IF(NOT(OR(ISERROR(INDIRECT(_xlfn.CONCAT("$I", $F834 + 1))), ISBLANK(INDIRECT(_xlfn.CONCAT("$I", $F834 + 1))))), $F834 + 1, IF(NOT(ISBLANK(INDIRECT(_xlfn.CONCAT("$I", $F834 + 2)))), $F834 + 2, ""))</f>
        <v>1614</v>
      </c>
    </row>
    <row r="836" spans="1:12" ht="59.25">
      <c r="A836" s="1" t="str" cm="1">
        <f t="array" aca="1" ref="A836" ca="1">INDIRECT(_xlfn.CONCAT("$I", $F836))</f>
        <v>Planar Chaos PLC</v>
      </c>
      <c r="B836" s="1" cm="1">
        <f t="array" aca="1" ref="B836" ca="1">INDIRECT(_xlfn.CONCAT("$J", $F836))</f>
        <v>165</v>
      </c>
      <c r="C836" s="1" cm="1">
        <f t="array" aca="1" ref="C836" ca="1">INDIRECT(_xlfn.CONCAT("$K", $F836))</f>
        <v>39115</v>
      </c>
      <c r="D836" s="1"/>
      <c r="E836" s="1" t="str" cm="1">
        <f t="array" aca="1" ref="E836" ca="1">INDIRECT(_xlfn.CONCAT("$L", $F836))</f>
        <v>en es fr de it pt ja ko ru 汉语 漢語</v>
      </c>
      <c r="F836" s="1" cm="1">
        <f t="array" aca="1" ref="F836" ca="1">IF(NOT(OR(ISERROR(INDIRECT(_xlfn.CONCAT("$I", $F835 + 1))), ISBLANK(INDIRECT(_xlfn.CONCAT("$I", $F835 + 1))))), $F835 + 1, IF(NOT(ISBLANK(INDIRECT(_xlfn.CONCAT("$I", $F835 + 2)))), $F835 + 2, ""))</f>
        <v>1616</v>
      </c>
      <c r="I836" s="8" t="s">
        <v>588</v>
      </c>
      <c r="J836" s="8">
        <v>8</v>
      </c>
      <c r="K836" s="9">
        <v>43565</v>
      </c>
      <c r="L836" s="8" t="s">
        <v>174</v>
      </c>
    </row>
    <row r="837" spans="1:12" ht="59.25">
      <c r="A837" s="1" t="str" cm="1">
        <f t="array" aca="1" ref="A837" ca="1">INDIRECT(_xlfn.CONCAT("$I", $F837))</f>
        <v>Planar Chaos Promos PPLC</v>
      </c>
      <c r="B837" s="1" cm="1">
        <f t="array" aca="1" ref="B837" ca="1">INDIRECT(_xlfn.CONCAT("$J", $F837))</f>
        <v>2</v>
      </c>
      <c r="C837" s="1" cm="1">
        <f t="array" aca="1" ref="C837" ca="1">INDIRECT(_xlfn.CONCAT("$K", $F837))</f>
        <v>39115</v>
      </c>
      <c r="D837" s="1"/>
      <c r="E837" s="1" t="str" cm="1">
        <f t="array" aca="1" ref="E837" ca="1">INDIRECT(_xlfn.CONCAT("$L", $F837))</f>
        <v>en es fr de it pt ja ko ru 汉语 漢語</v>
      </c>
      <c r="F837" s="1" cm="1">
        <f t="array" aca="1" ref="F837" ca="1">IF(NOT(OR(ISERROR(INDIRECT(_xlfn.CONCAT("$I", $F836 + 1))), ISBLANK(INDIRECT(_xlfn.CONCAT("$I", $F836 + 1))))), $F836 + 1, IF(NOT(ISBLANK(INDIRECT(_xlfn.CONCAT("$I", $F836 + 2)))), $F836 + 2, ""))</f>
        <v>1618</v>
      </c>
    </row>
    <row r="838" spans="1:12" ht="59.25">
      <c r="A838" s="1" t="str" cm="1">
        <f t="array" aca="1" ref="A838" ca="1">INDIRECT(_xlfn.CONCAT("$I", $F838))</f>
        <v>Magic Premiere Shop 2007 PMPS07</v>
      </c>
      <c r="B838" s="1" cm="1">
        <f t="array" aca="1" ref="B838" ca="1">INDIRECT(_xlfn.CONCAT("$J", $F838))</f>
        <v>5</v>
      </c>
      <c r="C838" s="1" cm="1">
        <f t="array" aca="1" ref="C838" ca="1">INDIRECT(_xlfn.CONCAT("$K", $F838))</f>
        <v>39083</v>
      </c>
      <c r="D838" s="1"/>
      <c r="E838" s="1" t="str" cm="1">
        <f t="array" aca="1" ref="E838" ca="1">INDIRECT(_xlfn.CONCAT("$L", $F838))</f>
        <v>en es fr de it pt ja ko ru 汉语 漢語</v>
      </c>
      <c r="F838" s="1" cm="1">
        <f t="array" aca="1" ref="F838" ca="1">IF(NOT(OR(ISERROR(INDIRECT(_xlfn.CONCAT("$I", $F837 + 1))), ISBLANK(INDIRECT(_xlfn.CONCAT("$I", $F837 + 1))))), $F837 + 1, IF(NOT(ISBLANK(INDIRECT(_xlfn.CONCAT("$I", $F837 + 2)))), $F837 + 2, ""))</f>
        <v>1620</v>
      </c>
      <c r="I838" s="8" t="s">
        <v>589</v>
      </c>
      <c r="J838" s="8">
        <v>133</v>
      </c>
      <c r="K838" s="9">
        <v>43511</v>
      </c>
      <c r="L838" t="s">
        <v>174</v>
      </c>
    </row>
    <row r="839" spans="1:12" ht="59.25">
      <c r="A839" s="1" t="str" cm="1">
        <f t="array" aca="1" ref="A839" ca="1">INDIRECT(_xlfn.CONCAT("$I", $F839))</f>
        <v>Judge Gift Cards 2007 G07</v>
      </c>
      <c r="B839" s="1" cm="1">
        <f t="array" aca="1" ref="B839" ca="1">INDIRECT(_xlfn.CONCAT("$J", $F839))</f>
        <v>5</v>
      </c>
      <c r="C839" s="1" cm="1">
        <f t="array" aca="1" ref="C839" ca="1">INDIRECT(_xlfn.CONCAT("$K", $F839))</f>
        <v>39083</v>
      </c>
      <c r="D839" s="1"/>
      <c r="E839" s="1" t="str" cm="1">
        <f t="array" aca="1" ref="E839" ca="1">INDIRECT(_xlfn.CONCAT("$L", $F839))</f>
        <v>en es fr de it pt ja ko ru 汉语 漢語</v>
      </c>
      <c r="F839" s="1" cm="1">
        <f t="array" aca="1" ref="F839" ca="1">IF(NOT(OR(ISERROR(INDIRECT(_xlfn.CONCAT("$I", $F838 + 1))), ISBLANK(INDIRECT(_xlfn.CONCAT("$I", $F838 + 1))))), $F838 + 1, IF(NOT(ISBLANK(INDIRECT(_xlfn.CONCAT("$I", $F838 + 2)))), $F838 + 2, ""))</f>
        <v>1622</v>
      </c>
    </row>
    <row r="840" spans="1:12" ht="59.25">
      <c r="A840" s="1" t="str" cm="1">
        <f t="array" aca="1" ref="A840" ca="1">INDIRECT(_xlfn.CONCAT("$I", $F840))</f>
        <v>Magic Player Rewards 2007 P07</v>
      </c>
      <c r="B840" s="1" cm="1">
        <f t="array" aca="1" ref="B840" ca="1">INDIRECT(_xlfn.CONCAT("$J", $F840))</f>
        <v>7</v>
      </c>
      <c r="C840" s="1" cm="1">
        <f t="array" aca="1" ref="C840" ca="1">INDIRECT(_xlfn.CONCAT("$K", $F840))</f>
        <v>39083</v>
      </c>
      <c r="D840" s="1"/>
      <c r="E840" s="1" t="str" cm="1">
        <f t="array" aca="1" ref="E840" ca="1">INDIRECT(_xlfn.CONCAT("$L", $F840))</f>
        <v>en es fr de it pt ja ko ru 汉语 漢語</v>
      </c>
      <c r="F840" s="1" cm="1">
        <f t="array" aca="1" ref="F840" ca="1">IF(NOT(OR(ISERROR(INDIRECT(_xlfn.CONCAT("$I", $F839 + 1))), ISBLANK(INDIRECT(_xlfn.CONCAT("$I", $F839 + 1))))), $F839 + 1, IF(NOT(ISBLANK(INDIRECT(_xlfn.CONCAT("$I", $F839 + 2)))), $F839 + 2, ""))</f>
        <v>1624</v>
      </c>
      <c r="I840" s="8" t="s">
        <v>590</v>
      </c>
      <c r="J840" s="8">
        <v>9</v>
      </c>
      <c r="K840" s="9">
        <v>43511</v>
      </c>
      <c r="L840" s="8" t="s">
        <v>174</v>
      </c>
    </row>
    <row r="841" spans="1:12" ht="59.25">
      <c r="A841" s="1" t="str" cm="1">
        <f t="array" aca="1" ref="A841" ca="1">INDIRECT(_xlfn.CONCAT("$I", $F841))</f>
        <v>Friday Night Magic 2007 F07</v>
      </c>
      <c r="B841" s="1" cm="1">
        <f t="array" aca="1" ref="B841" ca="1">INDIRECT(_xlfn.CONCAT("$J", $F841))</f>
        <v>12</v>
      </c>
      <c r="C841" s="1" cm="1">
        <f t="array" aca="1" ref="C841" ca="1">INDIRECT(_xlfn.CONCAT("$K", $F841))</f>
        <v>39083</v>
      </c>
      <c r="D841" s="1"/>
      <c r="E841" s="1" t="str" cm="1">
        <f t="array" aca="1" ref="E841" ca="1">INDIRECT(_xlfn.CONCAT("$L", $F841))</f>
        <v>en es fr de it pt ja ko ru 汉语 漢語</v>
      </c>
      <c r="F841" s="1" cm="1">
        <f t="array" aca="1" ref="F841" ca="1">IF(NOT(OR(ISERROR(INDIRECT(_xlfn.CONCAT("$I", $F840 + 1))), ISBLANK(INDIRECT(_xlfn.CONCAT("$I", $F840 + 1))))), $F840 + 1, IF(NOT(ISBLANK(INDIRECT(_xlfn.CONCAT("$I", $F840 + 2)))), $F840 + 2, ""))</f>
        <v>1626</v>
      </c>
    </row>
    <row r="842" spans="1:12" ht="59.25">
      <c r="A842" s="1" t="str" cm="1">
        <f t="array" aca="1" ref="A842" ca="1">INDIRECT(_xlfn.CONCAT("$I", $F842))</f>
        <v>Happy Holidays HHO</v>
      </c>
      <c r="B842" s="1" cm="1">
        <f t="array" aca="1" ref="B842" ca="1">INDIRECT(_xlfn.CONCAT("$J", $F842))</f>
        <v>23</v>
      </c>
      <c r="C842" s="1" cm="1">
        <f t="array" aca="1" ref="C842" ca="1">INDIRECT(_xlfn.CONCAT("$K", $F842))</f>
        <v>39082</v>
      </c>
      <c r="D842" s="1"/>
      <c r="E842" s="1" t="str" cm="1">
        <f t="array" aca="1" ref="E842" ca="1">INDIRECT(_xlfn.CONCAT("$L", $F842))</f>
        <v>en es fr de it pt ja ko ru 汉语 漢語</v>
      </c>
      <c r="F842" s="1" cm="1">
        <f t="array" aca="1" ref="F842" ca="1">IF(NOT(OR(ISERROR(INDIRECT(_xlfn.CONCAT("$I", $F841 + 1))), ISBLANK(INDIRECT(_xlfn.CONCAT("$I", $F841 + 1))))), $F841 + 1, IF(NOT(ISBLANK(INDIRECT(_xlfn.CONCAT("$I", $F841 + 2)))), $F841 + 2, ""))</f>
        <v>1628</v>
      </c>
      <c r="I842" s="8" t="s">
        <v>591</v>
      </c>
      <c r="J842" s="8">
        <v>273</v>
      </c>
      <c r="K842" s="9">
        <v>43490</v>
      </c>
      <c r="L842" t="s">
        <v>174</v>
      </c>
    </row>
    <row r="843" spans="1:12" ht="59.25">
      <c r="A843" s="1" t="str" cm="1">
        <f t="array" aca="1" ref="A843" ca="1">INDIRECT(_xlfn.CONCAT("$I", $F843))</f>
        <v>Time Spiral TSP</v>
      </c>
      <c r="B843" s="1" cm="1">
        <f t="array" aca="1" ref="B843" ca="1">INDIRECT(_xlfn.CONCAT("$J", $F843))</f>
        <v>301</v>
      </c>
      <c r="C843" s="1" cm="1">
        <f t="array" aca="1" ref="C843" ca="1">INDIRECT(_xlfn.CONCAT("$K", $F843))</f>
        <v>38996</v>
      </c>
      <c r="D843" s="1"/>
      <c r="E843" s="1" t="str" cm="1">
        <f t="array" aca="1" ref="E843" ca="1">INDIRECT(_xlfn.CONCAT("$L", $F843))</f>
        <v>en es fr de it pt ja ko ru 汉语 漢語</v>
      </c>
      <c r="F843" s="1" cm="1">
        <f t="array" aca="1" ref="F843" ca="1">IF(NOT(OR(ISERROR(INDIRECT(_xlfn.CONCAT("$I", $F842 + 1))), ISBLANK(INDIRECT(_xlfn.CONCAT("$I", $F842 + 1))))), $F842 + 1, IF(NOT(ISBLANK(INDIRECT(_xlfn.CONCAT("$I", $F842 + 2)))), $F842 + 2, ""))</f>
        <v>1630</v>
      </c>
    </row>
    <row r="844" spans="1:12" ht="59.25">
      <c r="A844" s="1" t="str" cm="1">
        <f t="array" aca="1" ref="A844" ca="1">INDIRECT(_xlfn.CONCAT("$I", $F844))</f>
        <v>Time Spiral Promos PTSP</v>
      </c>
      <c r="B844" s="1" cm="1">
        <f t="array" aca="1" ref="B844" ca="1">INDIRECT(_xlfn.CONCAT("$J", $F844))</f>
        <v>3</v>
      </c>
      <c r="C844" s="1" cm="1">
        <f t="array" aca="1" ref="C844" ca="1">INDIRECT(_xlfn.CONCAT("$K", $F844))</f>
        <v>38996</v>
      </c>
      <c r="D844" s="1"/>
      <c r="E844" s="1" t="str" cm="1">
        <f t="array" aca="1" ref="E844" ca="1">INDIRECT(_xlfn.CONCAT("$L", $F844))</f>
        <v>en es fr de it pt ja ko ru 汉语 漢語</v>
      </c>
      <c r="F844" s="1" cm="1">
        <f t="array" aca="1" ref="F844" ca="1">IF(NOT(OR(ISERROR(INDIRECT(_xlfn.CONCAT("$I", $F843 + 1))), ISBLANK(INDIRECT(_xlfn.CONCAT("$I", $F843 + 1))))), $F843 + 1, IF(NOT(ISBLANK(INDIRECT(_xlfn.CONCAT("$I", $F843 + 2)))), $F843 + 2, ""))</f>
        <v>1632</v>
      </c>
      <c r="I844" s="8" t="s">
        <v>592</v>
      </c>
      <c r="J844" s="8">
        <v>81</v>
      </c>
      <c r="K844" s="9">
        <v>43490</v>
      </c>
      <c r="L844" s="8" t="s">
        <v>174</v>
      </c>
    </row>
    <row r="845" spans="1:12" ht="59.25">
      <c r="A845" s="1" t="str" cm="1">
        <f t="array" aca="1" ref="A845" ca="1">INDIRECT(_xlfn.CONCAT("$I", $F845))</f>
        <v>Time Spiral Timeshifted TSB</v>
      </c>
      <c r="B845" s="1" cm="1">
        <f t="array" aca="1" ref="B845" ca="1">INDIRECT(_xlfn.CONCAT("$J", $F845))</f>
        <v>121</v>
      </c>
      <c r="C845" s="1" cm="1">
        <f t="array" aca="1" ref="C845" ca="1">INDIRECT(_xlfn.CONCAT("$K", $F845))</f>
        <v>38996</v>
      </c>
      <c r="D845" s="1"/>
      <c r="E845" s="1" t="str" cm="1">
        <f t="array" aca="1" ref="E845" ca="1">INDIRECT(_xlfn.CONCAT("$L", $F845))</f>
        <v>en es fr de it pt ja ko ru 汉语 漢語</v>
      </c>
      <c r="F845" s="1" cm="1">
        <f t="array" aca="1" ref="F845" ca="1">IF(NOT(OR(ISERROR(INDIRECT(_xlfn.CONCAT("$I", $F844 + 1))), ISBLANK(INDIRECT(_xlfn.CONCAT("$I", $F844 + 1))))), $F844 + 1, IF(NOT(ISBLANK(INDIRECT(_xlfn.CONCAT("$I", $F844 + 2)))), $F844 + 2, ""))</f>
        <v>1634</v>
      </c>
    </row>
    <row r="846" spans="1:12" ht="59.25">
      <c r="A846" s="1" t="str" cm="1">
        <f t="array" aca="1" ref="A846" ca="1">INDIRECT(_xlfn.CONCAT("$I", $F846))</f>
        <v>Coldsnap CSP</v>
      </c>
      <c r="B846" s="1" cm="1">
        <f t="array" aca="1" ref="B846" ca="1">INDIRECT(_xlfn.CONCAT("$J", $F846))</f>
        <v>155</v>
      </c>
      <c r="C846" s="1" cm="1">
        <f t="array" aca="1" ref="C846" ca="1">INDIRECT(_xlfn.CONCAT("$K", $F846))</f>
        <v>38919</v>
      </c>
      <c r="D846" s="1"/>
      <c r="E846" s="1" t="str" cm="1">
        <f t="array" aca="1" ref="E846" ca="1">INDIRECT(_xlfn.CONCAT("$L", $F846))</f>
        <v>en es fr de it pt ja ko ru 汉语 漢語</v>
      </c>
      <c r="F846" s="1" cm="1">
        <f t="array" aca="1" ref="F846" ca="1">IF(NOT(OR(ISERROR(INDIRECT(_xlfn.CONCAT("$I", $F845 + 1))), ISBLANK(INDIRECT(_xlfn.CONCAT("$I", $F845 + 1))))), $F845 + 1, IF(NOT(ISBLANK(INDIRECT(_xlfn.CONCAT("$I", $F845 + 2)))), $F845 + 2, ""))</f>
        <v>1636</v>
      </c>
      <c r="I846" s="8" t="s">
        <v>593</v>
      </c>
      <c r="J846" s="8">
        <v>13</v>
      </c>
      <c r="K846" s="9">
        <v>43490</v>
      </c>
      <c r="L846" s="8" t="s">
        <v>174</v>
      </c>
    </row>
    <row r="847" spans="1:12" ht="59.25">
      <c r="A847" s="1" t="str" cm="1">
        <f t="array" aca="1" ref="A847" ca="1">INDIRECT(_xlfn.CONCAT("$I", $F847))</f>
        <v>Coldsnap Promos PCSP</v>
      </c>
      <c r="B847" s="1" cm="1">
        <f t="array" aca="1" ref="B847" ca="1">INDIRECT(_xlfn.CONCAT("$J", $F847))</f>
        <v>2</v>
      </c>
      <c r="C847" s="1" cm="1">
        <f t="array" aca="1" ref="C847" ca="1">INDIRECT(_xlfn.CONCAT("$K", $F847))</f>
        <v>38919</v>
      </c>
      <c r="D847" s="1"/>
      <c r="E847" s="1" t="str" cm="1">
        <f t="array" aca="1" ref="E847" ca="1">INDIRECT(_xlfn.CONCAT("$L", $F847))</f>
        <v>en es fr de it pt ja ko ru 汉语 漢語</v>
      </c>
      <c r="F847" s="1" cm="1">
        <f t="array" aca="1" ref="F847" ca="1">IF(NOT(OR(ISERROR(INDIRECT(_xlfn.CONCAT("$I", $F846 + 1))), ISBLANK(INDIRECT(_xlfn.CONCAT("$I", $F846 + 1))))), $F846 + 1, IF(NOT(ISBLANK(INDIRECT(_xlfn.CONCAT("$I", $F846 + 2)))), $F846 + 2, ""))</f>
        <v>1638</v>
      </c>
    </row>
    <row r="848" spans="1:12" ht="59.25">
      <c r="A848" s="1" t="str" cm="1">
        <f t="array" aca="1" ref="A848" ca="1">INDIRECT(_xlfn.CONCAT("$I", $F848))</f>
        <v>Coldsnap Theme Decks CST</v>
      </c>
      <c r="B848" s="1" cm="1">
        <f t="array" aca="1" ref="B848" ca="1">INDIRECT(_xlfn.CONCAT("$J", $F848))</f>
        <v>62</v>
      </c>
      <c r="C848" s="1" cm="1">
        <f t="array" aca="1" ref="C848" ca="1">INDIRECT(_xlfn.CONCAT("$K", $F848))</f>
        <v>38919</v>
      </c>
      <c r="D848" s="1"/>
      <c r="E848" s="1" t="str" cm="1">
        <f t="array" aca="1" ref="E848" ca="1">INDIRECT(_xlfn.CONCAT("$L", $F848))</f>
        <v>en es fr de it pt ja ko ru 汉语 漢語</v>
      </c>
      <c r="F848" s="1" cm="1">
        <f t="array" aca="1" ref="F848" ca="1">IF(NOT(OR(ISERROR(INDIRECT(_xlfn.CONCAT("$I", $F847 + 1))), ISBLANK(INDIRECT(_xlfn.CONCAT("$I", $F847 + 1))))), $F847 + 1, IF(NOT(ISBLANK(INDIRECT(_xlfn.CONCAT("$I", $F847 + 2)))), $F847 + 2, ""))</f>
        <v>1640</v>
      </c>
      <c r="I848" s="8" t="s">
        <v>594</v>
      </c>
      <c r="J848" s="8">
        <v>10</v>
      </c>
      <c r="K848" s="9">
        <v>43512</v>
      </c>
      <c r="L848" s="8" t="s">
        <v>174</v>
      </c>
    </row>
    <row r="849" spans="1:12" ht="59.25">
      <c r="A849" s="1" t="str" cm="1">
        <f t="array" aca="1" ref="A849" ca="1">INDIRECT(_xlfn.CONCAT("$I", $F849))</f>
        <v>Dissension DIS</v>
      </c>
      <c r="B849" s="1" cm="1">
        <f t="array" aca="1" ref="B849" ca="1">INDIRECT(_xlfn.CONCAT("$J", $F849))</f>
        <v>180</v>
      </c>
      <c r="C849" s="1" cm="1">
        <f t="array" aca="1" ref="C849" ca="1">INDIRECT(_xlfn.CONCAT("$K", $F849))</f>
        <v>38842</v>
      </c>
      <c r="D849" s="1"/>
      <c r="E849" s="1" t="str" cm="1">
        <f t="array" aca="1" ref="E849" ca="1">INDIRECT(_xlfn.CONCAT("$L", $F849))</f>
        <v>en es fr de it pt ja ko ru 汉语 漢語</v>
      </c>
      <c r="F849" s="1" cm="1">
        <f t="array" aca="1" ref="F849" ca="1">IF(NOT(OR(ISERROR(INDIRECT(_xlfn.CONCAT("$I", $F848 + 1))), ISBLANK(INDIRECT(_xlfn.CONCAT("$I", $F848 + 1))))), $F848 + 1, IF(NOT(ISBLANK(INDIRECT(_xlfn.CONCAT("$I", $F848 + 2)))), $F848 + 2, ""))</f>
        <v>1642</v>
      </c>
    </row>
    <row r="850" spans="1:12" ht="59.25">
      <c r="A850" s="1" t="str" cm="1">
        <f t="array" aca="1" ref="A850" ca="1">INDIRECT(_xlfn.CONCAT("$I", $F850))</f>
        <v>Dissension Promos PDIS</v>
      </c>
      <c r="B850" s="1" cm="1">
        <f t="array" aca="1" ref="B850" ca="1">INDIRECT(_xlfn.CONCAT("$J", $F850))</f>
        <v>2</v>
      </c>
      <c r="C850" s="1" cm="1">
        <f t="array" aca="1" ref="C850" ca="1">INDIRECT(_xlfn.CONCAT("$K", $F850))</f>
        <v>38842</v>
      </c>
      <c r="D850" s="1"/>
      <c r="E850" s="1" t="str" cm="1">
        <f t="array" aca="1" ref="E850" ca="1">INDIRECT(_xlfn.CONCAT("$L", $F850))</f>
        <v>en es fr de it pt ja ko ru 汉语 漢語</v>
      </c>
      <c r="F850" s="1" cm="1">
        <f t="array" aca="1" ref="F850" ca="1">IF(NOT(OR(ISERROR(INDIRECT(_xlfn.CONCAT("$I", $F849 + 1))), ISBLANK(INDIRECT(_xlfn.CONCAT("$I", $F849 + 1))))), $F849 + 1, IF(NOT(ISBLANK(INDIRECT(_xlfn.CONCAT("$I", $F849 + 2)))), $F849 + 2, ""))</f>
        <v>1644</v>
      </c>
      <c r="I850" s="8" t="s">
        <v>595</v>
      </c>
      <c r="J850" s="8">
        <v>7</v>
      </c>
      <c r="K850" s="9">
        <v>43466</v>
      </c>
      <c r="L850" s="8" t="s">
        <v>174</v>
      </c>
    </row>
    <row r="851" spans="1:12" ht="59.25">
      <c r="A851" s="1" t="str" cm="1">
        <f t="array" aca="1" ref="A851" ca="1">INDIRECT(_xlfn.CONCAT("$I", $F851))</f>
        <v>Champs and States PCMP</v>
      </c>
      <c r="B851" s="1" cm="1">
        <f t="array" aca="1" ref="B851" ca="1">INDIRECT(_xlfn.CONCAT("$J", $F851))</f>
        <v>12</v>
      </c>
      <c r="C851" s="1" cm="1">
        <f t="array" aca="1" ref="C851" ca="1">INDIRECT(_xlfn.CONCAT("$K", $F851))</f>
        <v>38794</v>
      </c>
      <c r="D851" s="1"/>
      <c r="E851" s="1" t="str" cm="1">
        <f t="array" aca="1" ref="E851" ca="1">INDIRECT(_xlfn.CONCAT("$L", $F851))</f>
        <v>en es fr de it pt ja ko ru 汉语 漢語</v>
      </c>
      <c r="F851" s="1" cm="1">
        <f t="array" aca="1" ref="F851" ca="1">IF(NOT(OR(ISERROR(INDIRECT(_xlfn.CONCAT("$I", $F850 + 1))), ISBLANK(INDIRECT(_xlfn.CONCAT("$I", $F850 + 1))))), $F850 + 1, IF(NOT(ISBLANK(INDIRECT(_xlfn.CONCAT("$I", $F850 + 2)))), $F850 + 2, ""))</f>
        <v>1646</v>
      </c>
    </row>
    <row r="852" spans="1:12" ht="59.25">
      <c r="A852" s="1" t="str" cm="1">
        <f t="array" aca="1" ref="A852" ca="1">INDIRECT(_xlfn.CONCAT("$I", $F852))</f>
        <v>Guildpact GPT</v>
      </c>
      <c r="B852" s="1" cm="1">
        <f t="array" aca="1" ref="B852" ca="1">INDIRECT(_xlfn.CONCAT("$J", $F852))</f>
        <v>167</v>
      </c>
      <c r="C852" s="1" cm="1">
        <f t="array" aca="1" ref="C852" ca="1">INDIRECT(_xlfn.CONCAT("$K", $F852))</f>
        <v>38751</v>
      </c>
      <c r="D852" s="1"/>
      <c r="E852" s="1" t="str" cm="1">
        <f t="array" aca="1" ref="E852" ca="1">INDIRECT(_xlfn.CONCAT("$L", $F852))</f>
        <v>en es fr de it pt ja ko ru 汉语 漢語</v>
      </c>
      <c r="F852" s="1" cm="1">
        <f t="array" aca="1" ref="F852" ca="1">IF(NOT(OR(ISERROR(INDIRECT(_xlfn.CONCAT("$I", $F851 + 1))), ISBLANK(INDIRECT(_xlfn.CONCAT("$I", $F851 + 1))))), $F851 + 1, IF(NOT(ISBLANK(INDIRECT(_xlfn.CONCAT("$I", $F851 + 2)))), $F851 + 2, ""))</f>
        <v>1648</v>
      </c>
      <c r="I852" s="8" t="s">
        <v>596</v>
      </c>
      <c r="J852" s="8">
        <v>254</v>
      </c>
      <c r="K852" s="9">
        <v>43441</v>
      </c>
      <c r="L852" t="s">
        <v>174</v>
      </c>
    </row>
    <row r="853" spans="1:12" ht="59.25">
      <c r="A853" s="1" t="str" cm="1">
        <f t="array" aca="1" ref="A853" ca="1">INDIRECT(_xlfn.CONCAT("$I", $F853))</f>
        <v>Guildpact Promos PGPT</v>
      </c>
      <c r="B853" s="1" cm="1">
        <f t="array" aca="1" ref="B853" ca="1">INDIRECT(_xlfn.CONCAT("$J", $F853))</f>
        <v>2</v>
      </c>
      <c r="C853" s="1" cm="1">
        <f t="array" aca="1" ref="C853" ca="1">INDIRECT(_xlfn.CONCAT("$K", $F853))</f>
        <v>38751</v>
      </c>
      <c r="D853" s="1"/>
      <c r="E853" s="1" t="str" cm="1">
        <f t="array" aca="1" ref="E853" ca="1">INDIRECT(_xlfn.CONCAT("$L", $F853))</f>
        <v>en es fr de it pt ja ko ru 汉语 漢語</v>
      </c>
      <c r="F853" s="1" cm="1">
        <f t="array" aca="1" ref="F853" ca="1">IF(NOT(OR(ISERROR(INDIRECT(_xlfn.CONCAT("$I", $F852 + 1))), ISBLANK(INDIRECT(_xlfn.CONCAT("$I", $F852 + 1))))), $F852 + 1, IF(NOT(ISBLANK(INDIRECT(_xlfn.CONCAT("$I", $F852 + 2)))), $F852 + 2, ""))</f>
        <v>1650</v>
      </c>
    </row>
    <row r="854" spans="1:12" ht="59.25">
      <c r="A854" s="1" t="str" cm="1">
        <f t="array" aca="1" ref="A854" ca="1">INDIRECT(_xlfn.CONCAT("$I", $F854))</f>
        <v>Magic Premiere Shop 2006 PMPS06</v>
      </c>
      <c r="B854" s="1" cm="1">
        <f t="array" aca="1" ref="B854" ca="1">INDIRECT(_xlfn.CONCAT("$J", $F854))</f>
        <v>5</v>
      </c>
      <c r="C854" s="1" cm="1">
        <f t="array" aca="1" ref="C854" ca="1">INDIRECT(_xlfn.CONCAT("$K", $F854))</f>
        <v>38718</v>
      </c>
      <c r="D854" s="1"/>
      <c r="E854" s="1" t="str" cm="1">
        <f t="array" aca="1" ref="E854" ca="1">INDIRECT(_xlfn.CONCAT("$L", $F854))</f>
        <v>en es fr de it pt ja ko ru 汉语 漢語</v>
      </c>
      <c r="F854" s="1" cm="1">
        <f t="array" aca="1" ref="F854" ca="1">IF(NOT(OR(ISERROR(INDIRECT(_xlfn.CONCAT("$I", $F853 + 1))), ISBLANK(INDIRECT(_xlfn.CONCAT("$I", $F853 + 1))))), $F853 + 1, IF(NOT(ISBLANK(INDIRECT(_xlfn.CONCAT("$I", $F853 + 2)))), $F853 + 2, ""))</f>
        <v>1652</v>
      </c>
      <c r="I854" s="8" t="s">
        <v>597</v>
      </c>
      <c r="J854" s="8">
        <v>40</v>
      </c>
      <c r="K854" s="9">
        <v>43441</v>
      </c>
      <c r="L854" s="8" t="s">
        <v>174</v>
      </c>
    </row>
    <row r="855" spans="1:12" ht="59.25">
      <c r="A855" s="1" t="str" cm="1">
        <f t="array" aca="1" ref="A855" ca="1">INDIRECT(_xlfn.CONCAT("$I", $F855))</f>
        <v>Arena League 2006 PAL06</v>
      </c>
      <c r="B855" s="1" cm="1">
        <f t="array" aca="1" ref="B855" ca="1">INDIRECT(_xlfn.CONCAT("$J", $F855))</f>
        <v>9</v>
      </c>
      <c r="C855" s="1" cm="1">
        <f t="array" aca="1" ref="C855" ca="1">INDIRECT(_xlfn.CONCAT("$K", $F855))</f>
        <v>38718</v>
      </c>
      <c r="D855" s="1"/>
      <c r="E855" s="1" t="str" cm="1">
        <f t="array" aca="1" ref="E855" ca="1">INDIRECT(_xlfn.CONCAT("$L", $F855))</f>
        <v>en es fr de it pt ja ko ru 汉语 漢語</v>
      </c>
      <c r="F855" s="1" cm="1">
        <f t="array" aca="1" ref="F855" ca="1">IF(NOT(OR(ISERROR(INDIRECT(_xlfn.CONCAT("$I", $F854 + 1))), ISBLANK(INDIRECT(_xlfn.CONCAT("$I", $F854 + 1))))), $F854 + 1, IF(NOT(ISBLANK(INDIRECT(_xlfn.CONCAT("$I", $F854 + 2)))), $F854 + 2, ""))</f>
        <v>1654</v>
      </c>
    </row>
    <row r="856" spans="1:12" ht="59.25">
      <c r="A856" s="1" t="str" cm="1">
        <f t="array" aca="1" ref="A856" ca="1">INDIRECT(_xlfn.CONCAT("$I", $F856))</f>
        <v>Junior APAC Series PJAS</v>
      </c>
      <c r="B856" s="1" cm="1">
        <f t="array" aca="1" ref="B856" ca="1">INDIRECT(_xlfn.CONCAT("$J", $F856))</f>
        <v>6</v>
      </c>
      <c r="C856" s="1" cm="1">
        <f t="array" aca="1" ref="C856" ca="1">INDIRECT(_xlfn.CONCAT("$K", $F856))</f>
        <v>38718</v>
      </c>
      <c r="D856" s="1"/>
      <c r="E856" s="1" t="str" cm="1">
        <f t="array" aca="1" ref="E856" ca="1">INDIRECT(_xlfn.CONCAT("$L", $F856))</f>
        <v>en es fr de it pt ja ko ru 汉语 漢語</v>
      </c>
      <c r="F856" s="1" cm="1">
        <f t="array" aca="1" ref="F856" ca="1">IF(NOT(OR(ISERROR(INDIRECT(_xlfn.CONCAT("$I", $F855 + 1))), ISBLANK(INDIRECT(_xlfn.CONCAT("$I", $F855 + 1))))), $F855 + 1, IF(NOT(ISBLANK(INDIRECT(_xlfn.CONCAT("$I", $F855 + 2)))), $F855 + 2, ""))</f>
        <v>1656</v>
      </c>
      <c r="I856" s="8" t="s">
        <v>598</v>
      </c>
      <c r="J856" s="8">
        <v>16</v>
      </c>
      <c r="K856" s="9">
        <v>43441</v>
      </c>
      <c r="L856" s="8" t="s">
        <v>174</v>
      </c>
    </row>
    <row r="857" spans="1:12" ht="59.25">
      <c r="A857" s="1" t="str" cm="1">
        <f t="array" aca="1" ref="A857" ca="1">INDIRECT(_xlfn.CONCAT("$I", $F857))</f>
        <v>Friday Night Magic 2006 F06</v>
      </c>
      <c r="B857" s="1" cm="1">
        <f t="array" aca="1" ref="B857" ca="1">INDIRECT(_xlfn.CONCAT("$J", $F857))</f>
        <v>12</v>
      </c>
      <c r="C857" s="1" cm="1">
        <f t="array" aca="1" ref="C857" ca="1">INDIRECT(_xlfn.CONCAT("$K", $F857))</f>
        <v>38718</v>
      </c>
      <c r="D857" s="1"/>
      <c r="E857" s="1" t="str" cm="1">
        <f t="array" aca="1" ref="E857" ca="1">INDIRECT(_xlfn.CONCAT("$L", $F857))</f>
        <v>en es fr de it pt ja ko ru 汉语 漢語</v>
      </c>
      <c r="F857" s="1" cm="1">
        <f t="array" aca="1" ref="F857" ca="1">IF(NOT(OR(ISERROR(INDIRECT(_xlfn.CONCAT("$I", $F856 + 1))), ISBLANK(INDIRECT(_xlfn.CONCAT("$I", $F856 + 1))))), $F856 + 1, IF(NOT(ISBLANK(INDIRECT(_xlfn.CONCAT("$I", $F856 + 2)))), $F856 + 2, ""))</f>
        <v>1658</v>
      </c>
    </row>
    <row r="858" spans="1:12" ht="59.25">
      <c r="A858" s="1" t="str" cm="1">
        <f t="array" aca="1" ref="A858" ca="1">INDIRECT(_xlfn.CONCAT("$I", $F858))</f>
        <v>Hachette UK PHUK</v>
      </c>
      <c r="B858" s="1" cm="1">
        <f t="array" aca="1" ref="B858" ca="1">INDIRECT(_xlfn.CONCAT("$J", $F858))</f>
        <v>60</v>
      </c>
      <c r="C858" s="1" cm="1">
        <f t="array" aca="1" ref="C858" ca="1">INDIRECT(_xlfn.CONCAT("$K", $F858))</f>
        <v>38718</v>
      </c>
      <c r="D858" s="1"/>
      <c r="E858" s="1" t="str" cm="1">
        <f t="array" aca="1" ref="E858" ca="1">INDIRECT(_xlfn.CONCAT("$L", $F858))</f>
        <v>en es fr de it pt ja ko ru 汉语 漢語</v>
      </c>
      <c r="F858" s="1" cm="1">
        <f t="array" aca="1" ref="F858" ca="1">IF(NOT(OR(ISERROR(INDIRECT(_xlfn.CONCAT("$I", $F857 + 1))), ISBLANK(INDIRECT(_xlfn.CONCAT("$I", $F857 + 1))))), $F857 + 1, IF(NOT(ISBLANK(INDIRECT(_xlfn.CONCAT("$I", $F857 + 2)))), $F857 + 2, ""))</f>
        <v>1660</v>
      </c>
      <c r="I858" s="8" t="s">
        <v>599</v>
      </c>
      <c r="J858" s="8">
        <v>68</v>
      </c>
      <c r="K858" s="9">
        <v>43420</v>
      </c>
      <c r="L858" s="8" t="s">
        <v>174</v>
      </c>
    </row>
    <row r="859" spans="1:12" ht="59.25">
      <c r="A859" s="1" t="str" cm="1">
        <f t="array" aca="1" ref="A859" ca="1">INDIRECT(_xlfn.CONCAT("$I", $F859))</f>
        <v>Judge Gift Cards 2006 G06</v>
      </c>
      <c r="B859" s="1" cm="1">
        <f t="array" aca="1" ref="B859" ca="1">INDIRECT(_xlfn.CONCAT("$J", $F859))</f>
        <v>4</v>
      </c>
      <c r="C859" s="1" cm="1">
        <f t="array" aca="1" ref="C859" ca="1">INDIRECT(_xlfn.CONCAT("$K", $F859))</f>
        <v>38718</v>
      </c>
      <c r="D859" s="1"/>
      <c r="E859" s="1" t="str" cm="1">
        <f t="array" aca="1" ref="E859" ca="1">INDIRECT(_xlfn.CONCAT("$L", $F859))</f>
        <v>en es fr de it pt ja ko ru 汉语 漢語</v>
      </c>
      <c r="F859" s="1" cm="1">
        <f t="array" aca="1" ref="F859" ca="1">IF(NOT(OR(ISERROR(INDIRECT(_xlfn.CONCAT("$I", $F858 + 1))), ISBLANK(INDIRECT(_xlfn.CONCAT("$I", $F858 + 1))))), $F858 + 1, IF(NOT(ISBLANK(INDIRECT(_xlfn.CONCAT("$I", $F858 + 2)))), $F858 + 2, ""))</f>
        <v>1662</v>
      </c>
    </row>
    <row r="860" spans="1:12" ht="59.25">
      <c r="A860" s="1" t="str" cm="1">
        <f t="array" aca="1" ref="A860" ca="1">INDIRECT(_xlfn.CONCAT("$I", $F860))</f>
        <v>DCI Promos DCI</v>
      </c>
      <c r="B860" s="1" cm="1">
        <f t="array" aca="1" ref="B860" ca="1">INDIRECT(_xlfn.CONCAT("$J", $F860))</f>
        <v>80</v>
      </c>
      <c r="C860" s="1" cm="1">
        <f t="array" aca="1" ref="C860" ca="1">INDIRECT(_xlfn.CONCAT("$K", $F860))</f>
        <v>38718</v>
      </c>
      <c r="D860" s="1"/>
      <c r="E860" s="1" t="str" cm="1">
        <f t="array" aca="1" ref="E860" ca="1">INDIRECT(_xlfn.CONCAT("$L", $F860))</f>
        <v>en es fr de it pt ja ko ru 汉语 漢語</v>
      </c>
      <c r="F860" s="1" cm="1">
        <f t="array" aca="1" ref="F860" ca="1">IF(NOT(OR(ISERROR(INDIRECT(_xlfn.CONCAT("$I", $F859 + 1))), ISBLANK(INDIRECT(_xlfn.CONCAT("$I", $F859 + 1))))), $F859 + 1, IF(NOT(ISBLANK(INDIRECT(_xlfn.CONCAT("$I", $F859 + 2)))), $F859 + 2, ""))</f>
        <v>1664</v>
      </c>
      <c r="I860" s="8" t="s">
        <v>600</v>
      </c>
      <c r="J860" s="8">
        <v>127</v>
      </c>
      <c r="K860" s="9">
        <v>43406</v>
      </c>
      <c r="L860" t="s">
        <v>174</v>
      </c>
    </row>
    <row r="861" spans="1:12" ht="59.25">
      <c r="A861" s="1" t="str" cm="1">
        <f t="array" aca="1" ref="A861" ca="1">INDIRECT(_xlfn.CONCAT("$I", $F861))</f>
        <v>Magic Player Rewards 2006 P06</v>
      </c>
      <c r="B861" s="1" cm="1">
        <f t="array" aca="1" ref="B861" ca="1">INDIRECT(_xlfn.CONCAT("$J", $F861))</f>
        <v>7</v>
      </c>
      <c r="C861" s="1" cm="1">
        <f t="array" aca="1" ref="C861" ca="1">INDIRECT(_xlfn.CONCAT("$K", $F861))</f>
        <v>38718</v>
      </c>
      <c r="D861" s="1"/>
      <c r="E861" s="1" t="str" cm="1">
        <f t="array" aca="1" ref="E861" ca="1">INDIRECT(_xlfn.CONCAT("$L", $F861))</f>
        <v>en es fr de it pt ja ko ru 汉语 漢語</v>
      </c>
      <c r="F861" s="1" cm="1">
        <f t="array" aca="1" ref="F861" ca="1">IF(NOT(OR(ISERROR(INDIRECT(_xlfn.CONCAT("$I", $F860 + 1))), ISBLANK(INDIRECT(_xlfn.CONCAT("$I", $F860 + 1))))), $F860 + 1, IF(NOT(ISBLANK(INDIRECT(_xlfn.CONCAT("$I", $F860 + 2)))), $F860 + 2, ""))</f>
        <v>1666</v>
      </c>
    </row>
    <row r="862" spans="1:12" ht="68.25">
      <c r="A862" s="1" t="str" cm="1">
        <f t="array" aca="1" ref="A862" ca="1">INDIRECT(_xlfn.CONCAT("$I", $F862))</f>
        <v>Two-Headed Giant Tournament P2HG</v>
      </c>
      <c r="B862" s="1" cm="1">
        <f t="array" aca="1" ref="B862" ca="1">INDIRECT(_xlfn.CONCAT("$J", $F862))</f>
        <v>1</v>
      </c>
      <c r="C862" s="1" cm="1">
        <f t="array" aca="1" ref="C862" ca="1">INDIRECT(_xlfn.CONCAT("$K", $F862))</f>
        <v>38695</v>
      </c>
      <c r="D862" s="1"/>
      <c r="E862" s="1" t="str" cm="1">
        <f t="array" aca="1" ref="E862" ca="1">INDIRECT(_xlfn.CONCAT("$L", $F862))</f>
        <v>en es fr de it pt ja ko ru 汉语 漢語</v>
      </c>
      <c r="F862" s="1" cm="1">
        <f t="array" aca="1" ref="F862" ca="1">IF(NOT(OR(ISERROR(INDIRECT(_xlfn.CONCAT("$I", $F861 + 1))), ISBLANK(INDIRECT(_xlfn.CONCAT("$I", $F861 + 1))))), $F861 + 1, IF(NOT(ISBLANK(INDIRECT(_xlfn.CONCAT("$I", $F861 + 2)))), $F861 + 2, ""))</f>
        <v>1668</v>
      </c>
      <c r="I862" s="8" t="s">
        <v>601</v>
      </c>
      <c r="J862" s="8">
        <v>10</v>
      </c>
      <c r="K862" s="9">
        <v>43406</v>
      </c>
      <c r="L862" s="8" t="s">
        <v>174</v>
      </c>
    </row>
    <row r="863" spans="1:12" ht="59.25">
      <c r="A863" s="1" t="str" cm="1">
        <f t="array" aca="1" ref="A863" ca="1">INDIRECT(_xlfn.CONCAT("$I", $F863))</f>
        <v>Magic Premiere Shop 2005 PMPS</v>
      </c>
      <c r="B863" s="1" cm="1">
        <f t="array" aca="1" ref="B863" ca="1">INDIRECT(_xlfn.CONCAT("$J", $F863))</f>
        <v>20</v>
      </c>
      <c r="C863" s="1" cm="1">
        <f t="array" aca="1" ref="C863" ca="1">INDIRECT(_xlfn.CONCAT("$K", $F863))</f>
        <v>38632</v>
      </c>
      <c r="D863" s="1"/>
      <c r="E863" s="1" t="str" cm="1">
        <f t="array" aca="1" ref="E863" ca="1">INDIRECT(_xlfn.CONCAT("$L", $F863))</f>
        <v>en es fr de it pt ja ko ru 汉语 漢語</v>
      </c>
      <c r="F863" s="1" cm="1">
        <f t="array" aca="1" ref="F863" ca="1">IF(NOT(OR(ISERROR(INDIRECT(_xlfn.CONCAT("$I", $F862 + 1))), ISBLANK(INDIRECT(_xlfn.CONCAT("$I", $F862 + 1))))), $F862 + 1, IF(NOT(ISBLANK(INDIRECT(_xlfn.CONCAT("$I", $F862 + 2)))), $F862 + 2, ""))</f>
        <v>1670</v>
      </c>
    </row>
    <row r="864" spans="1:12" ht="59.25">
      <c r="A864" s="1" t="str" cm="1">
        <f t="array" aca="1" ref="A864" ca="1">INDIRECT(_xlfn.CONCAT("$I", $F864))</f>
        <v>Ravnica: City of Guilds RAV</v>
      </c>
      <c r="B864" s="1" cm="1">
        <f t="array" aca="1" ref="B864" ca="1">INDIRECT(_xlfn.CONCAT("$J", $F864))</f>
        <v>306</v>
      </c>
      <c r="C864" s="1" cm="1">
        <f t="array" aca="1" ref="C864" ca="1">INDIRECT(_xlfn.CONCAT("$K", $F864))</f>
        <v>38632</v>
      </c>
      <c r="D864" s="1"/>
      <c r="E864" s="1" t="str" cm="1">
        <f t="array" aca="1" ref="E864" ca="1">INDIRECT(_xlfn.CONCAT("$L", $F864))</f>
        <v>en es fr de it pt ja ko ru 汉语 漢語</v>
      </c>
      <c r="F864" s="1" cm="1">
        <f t="array" aca="1" ref="F864" ca="1">IF(NOT(OR(ISERROR(INDIRECT(_xlfn.CONCAT("$I", $F863 + 1))), ISBLANK(INDIRECT(_xlfn.CONCAT("$I", $F863 + 1))))), $F863 + 1, IF(NOT(ISBLANK(INDIRECT(_xlfn.CONCAT("$I", $F863 + 2)))), $F863 + 2, ""))</f>
        <v>1672</v>
      </c>
      <c r="I864" s="8" t="s">
        <v>602</v>
      </c>
      <c r="J864" s="8">
        <v>273</v>
      </c>
      <c r="K864" s="9">
        <v>43378</v>
      </c>
      <c r="L864" t="s">
        <v>174</v>
      </c>
    </row>
    <row r="865" spans="1:12" ht="68.25">
      <c r="A865" s="1" t="str" cm="1">
        <f t="array" aca="1" ref="A865" ca="1">INDIRECT(_xlfn.CONCAT("$I", $F865))</f>
        <v>Ravnica: City of Guilds Promos PRAV</v>
      </c>
      <c r="B865" s="1" cm="1">
        <f t="array" aca="1" ref="B865" ca="1">INDIRECT(_xlfn.CONCAT("$J", $F865))</f>
        <v>2</v>
      </c>
      <c r="C865" s="1" cm="1">
        <f t="array" aca="1" ref="C865" ca="1">INDIRECT(_xlfn.CONCAT("$K", $F865))</f>
        <v>38632</v>
      </c>
      <c r="D865" s="1"/>
      <c r="E865" s="1" t="str" cm="1">
        <f t="array" aca="1" ref="E865" ca="1">INDIRECT(_xlfn.CONCAT("$L", $F865))</f>
        <v>en es fr de it pt ja ko ru 汉语 漢語</v>
      </c>
      <c r="F865" s="1" cm="1">
        <f t="array" aca="1" ref="F865" ca="1">IF(NOT(OR(ISERROR(INDIRECT(_xlfn.CONCAT("$I", $F864 + 1))), ISBLANK(INDIRECT(_xlfn.CONCAT("$I", $F864 + 1))))), $F864 + 1, IF(NOT(ISBLANK(INDIRECT(_xlfn.CONCAT("$I", $F864 + 2)))), $F864 + 2, ""))</f>
        <v>1674</v>
      </c>
    </row>
    <row r="866" spans="1:12" ht="59.25">
      <c r="A866" s="1" t="str" cm="1">
        <f t="array" aca="1" ref="A866" ca="1">INDIRECT(_xlfn.CONCAT("$I", $F866))</f>
        <v>Salvat 2005 PSAL</v>
      </c>
      <c r="B866" s="1" cm="1">
        <f t="array" aca="1" ref="B866" ca="1">INDIRECT(_xlfn.CONCAT("$J", $F866))</f>
        <v>720</v>
      </c>
      <c r="C866" s="1" cm="1">
        <f t="array" aca="1" ref="C866" ca="1">INDIRECT(_xlfn.CONCAT("$K", $F866))</f>
        <v>38586</v>
      </c>
      <c r="D866" s="1"/>
      <c r="E866" s="1" t="str" cm="1">
        <f t="array" aca="1" ref="E866" ca="1">INDIRECT(_xlfn.CONCAT("$L", $F866))</f>
        <v>en es fr de it pt ja ko ru 汉语 漢語</v>
      </c>
      <c r="F866" s="1" cm="1">
        <f t="array" aca="1" ref="F866" ca="1">IF(NOT(OR(ISERROR(INDIRECT(_xlfn.CONCAT("$I", $F865 + 1))), ISBLANK(INDIRECT(_xlfn.CONCAT("$I", $F865 + 1))))), $F865 + 1, IF(NOT(ISBLANK(INDIRECT(_xlfn.CONCAT("$I", $F865 + 2)))), $F865 + 2, ""))</f>
        <v>1676</v>
      </c>
      <c r="I866" s="8" t="s">
        <v>603</v>
      </c>
      <c r="J866" s="8">
        <v>84</v>
      </c>
      <c r="K866" s="9">
        <v>43378</v>
      </c>
      <c r="L866" t="s">
        <v>174</v>
      </c>
    </row>
    <row r="867" spans="1:12" ht="59.25">
      <c r="A867" s="1" t="str" cm="1">
        <f t="array" aca="1" ref="A867" ca="1">INDIRECT(_xlfn.CONCAT("$I", $F867))</f>
        <v>Ninth Edition 9ED</v>
      </c>
      <c r="B867" s="1" cm="1">
        <f t="array" aca="1" ref="B867" ca="1">INDIRECT(_xlfn.CONCAT("$J", $F867))</f>
        <v>710</v>
      </c>
      <c r="C867" s="1" cm="1">
        <f t="array" aca="1" ref="C867" ca="1">INDIRECT(_xlfn.CONCAT("$K", $F867))</f>
        <v>38562</v>
      </c>
      <c r="D867" s="1"/>
      <c r="E867" s="1" t="str" cm="1">
        <f t="array" aca="1" ref="E867" ca="1">INDIRECT(_xlfn.CONCAT("$L", $F867))</f>
        <v>en es fr de it pt ja ko ru 汉语 漢語</v>
      </c>
      <c r="F867" s="1" cm="1">
        <f t="array" aca="1" ref="F867" ca="1">IF(NOT(OR(ISERROR(INDIRECT(_xlfn.CONCAT("$I", $F866 + 1))), ISBLANK(INDIRECT(_xlfn.CONCAT("$I", $F866 + 1))))), $F866 + 1, IF(NOT(ISBLANK(INDIRECT(_xlfn.CONCAT("$I", $F866 + 2)))), $F866 + 2, ""))</f>
        <v>1678</v>
      </c>
    </row>
    <row r="868" spans="1:12" ht="59.25">
      <c r="A868" s="1" t="str" cm="1">
        <f t="array" aca="1" ref="A868" ca="1">INDIRECT(_xlfn.CONCAT("$I", $F868))</f>
        <v>Ninth Edition Promos P9ED</v>
      </c>
      <c r="B868" s="1" cm="1">
        <f t="array" aca="1" ref="B868" ca="1">INDIRECT(_xlfn.CONCAT("$J", $F868))</f>
        <v>2</v>
      </c>
      <c r="C868" s="1" cm="1">
        <f t="array" aca="1" ref="C868" ca="1">INDIRECT(_xlfn.CONCAT("$K", $F868))</f>
        <v>38562</v>
      </c>
      <c r="D868" s="1"/>
      <c r="E868" s="1" t="str" cm="1">
        <f t="array" aca="1" ref="E868" ca="1">INDIRECT(_xlfn.CONCAT("$L", $F868))</f>
        <v>en es fr de it pt ja ko ru 汉语 漢語</v>
      </c>
      <c r="F868" s="1" cm="1">
        <f t="array" aca="1" ref="F868" ca="1">IF(NOT(OR(ISERROR(INDIRECT(_xlfn.CONCAT("$I", $F867 + 1))), ISBLANK(INDIRECT(_xlfn.CONCAT("$I", $F867 + 1))))), $F867 + 1, IF(NOT(ISBLANK(INDIRECT(_xlfn.CONCAT("$I", $F867 + 2)))), $F867 + 2, ""))</f>
        <v>1680</v>
      </c>
      <c r="I868" s="8" t="s">
        <v>604</v>
      </c>
      <c r="J868" s="8">
        <v>8</v>
      </c>
      <c r="K868" s="9">
        <v>43378</v>
      </c>
      <c r="L868" s="8" t="s">
        <v>174</v>
      </c>
    </row>
    <row r="869" spans="1:12" ht="59.25">
      <c r="A869" s="1" t="str" cm="1">
        <f t="array" aca="1" ref="A869" ca="1">INDIRECT(_xlfn.CONCAT("$I", $F869))</f>
        <v>Saviors of Kamigawa SOK</v>
      </c>
      <c r="B869" s="1" cm="1">
        <f t="array" aca="1" ref="B869" ca="1">INDIRECT(_xlfn.CONCAT("$J", $F869))</f>
        <v>165</v>
      </c>
      <c r="C869" s="1" cm="1">
        <f t="array" aca="1" ref="C869" ca="1">INDIRECT(_xlfn.CONCAT("$K", $F869))</f>
        <v>38506</v>
      </c>
      <c r="D869" s="1"/>
      <c r="E869" s="1" t="str" cm="1">
        <f t="array" aca="1" ref="E869" ca="1">INDIRECT(_xlfn.CONCAT("$L", $F869))</f>
        <v>en es fr de it pt ja ko ru 汉语 漢語</v>
      </c>
      <c r="F869" s="1" cm="1">
        <f t="array" aca="1" ref="F869" ca="1">IF(NOT(OR(ISERROR(INDIRECT(_xlfn.CONCAT("$I", $F868 + 1))), ISBLANK(INDIRECT(_xlfn.CONCAT("$I", $F868 + 1))))), $F868 + 1, IF(NOT(ISBLANK(INDIRECT(_xlfn.CONCAT("$I", $F868 + 2)))), $F868 + 2, ""))</f>
        <v>1682</v>
      </c>
    </row>
    <row r="870" spans="1:12" ht="59.25">
      <c r="A870" s="1" t="str" cm="1">
        <f t="array" aca="1" ref="A870" ca="1">INDIRECT(_xlfn.CONCAT("$I", $F870))</f>
        <v>Saviors of Kamigawa Promos PSOK</v>
      </c>
      <c r="B870" s="1" cm="1">
        <f t="array" aca="1" ref="B870" ca="1">INDIRECT(_xlfn.CONCAT("$J", $F870))</f>
        <v>2</v>
      </c>
      <c r="C870" s="1" cm="1">
        <f t="array" aca="1" ref="C870" ca="1">INDIRECT(_xlfn.CONCAT("$K", $F870))</f>
        <v>38506</v>
      </c>
      <c r="D870" s="1"/>
      <c r="E870" s="1" t="str" cm="1">
        <f t="array" aca="1" ref="E870" ca="1">INDIRECT(_xlfn.CONCAT("$L", $F870))</f>
        <v>en es fr de it pt ja ko ru 汉语 漢語</v>
      </c>
      <c r="F870" s="1" cm="1">
        <f t="array" aca="1" ref="F870" ca="1">IF(NOT(OR(ISERROR(INDIRECT(_xlfn.CONCAT("$I", $F869 + 1))), ISBLANK(INDIRECT(_xlfn.CONCAT("$I", $F869 + 1))))), $F869 + 1, IF(NOT(ISBLANK(INDIRECT(_xlfn.CONCAT("$I", $F869 + 2)))), $F869 + 2, ""))</f>
        <v>1684</v>
      </c>
      <c r="I870" s="8" t="s">
        <v>605</v>
      </c>
      <c r="J870" s="8">
        <v>10</v>
      </c>
      <c r="K870" s="9">
        <v>43413</v>
      </c>
      <c r="L870" s="8" t="s">
        <v>174</v>
      </c>
    </row>
    <row r="871" spans="1:12" ht="59.25">
      <c r="A871" s="1" t="str" cm="1">
        <f t="array" aca="1" ref="A871" ca="1">INDIRECT(_xlfn.CONCAT("$I", $F871))</f>
        <v>Betrayers of Kamigawa BOK</v>
      </c>
      <c r="B871" s="1" cm="1">
        <f t="array" aca="1" ref="B871" ca="1">INDIRECT(_xlfn.CONCAT("$J", $F871))</f>
        <v>165</v>
      </c>
      <c r="C871" s="1" cm="1">
        <f t="array" aca="1" ref="C871" ca="1">INDIRECT(_xlfn.CONCAT("$K", $F871))</f>
        <v>38387</v>
      </c>
      <c r="D871" s="1"/>
      <c r="E871" s="1" t="str" cm="1">
        <f t="array" aca="1" ref="E871" ca="1">INDIRECT(_xlfn.CONCAT("$L", $F871))</f>
        <v>en es fr de it pt ja ko ru 汉语 漢語</v>
      </c>
      <c r="F871" s="1" cm="1">
        <f t="array" aca="1" ref="F871" ca="1">IF(NOT(OR(ISERROR(INDIRECT(_xlfn.CONCAT("$I", $F870 + 1))), ISBLANK(INDIRECT(_xlfn.CONCAT("$I", $F870 + 1))))), $F870 + 1, IF(NOT(ISBLANK(INDIRECT(_xlfn.CONCAT("$I", $F870 + 2)))), $F870 + 2, ""))</f>
        <v>1686</v>
      </c>
    </row>
    <row r="872" spans="1:12" ht="68.25">
      <c r="A872" s="1" t="str" cm="1">
        <f t="array" aca="1" ref="A872" ca="1">INDIRECT(_xlfn.CONCAT("$I", $F872))</f>
        <v>Betrayers of Kamigawa Promos PBOK</v>
      </c>
      <c r="B872" s="1" cm="1">
        <f t="array" aca="1" ref="B872" ca="1">INDIRECT(_xlfn.CONCAT("$J", $F872))</f>
        <v>2</v>
      </c>
      <c r="C872" s="1" cm="1">
        <f t="array" aca="1" ref="C872" ca="1">INDIRECT(_xlfn.CONCAT("$K", $F872))</f>
        <v>38387</v>
      </c>
      <c r="D872" s="1"/>
      <c r="E872" s="1" t="str" cm="1">
        <f t="array" aca="1" ref="E872" ca="1">INDIRECT(_xlfn.CONCAT("$L", $F872))</f>
        <v>en es fr de it pt ja ko ru 汉语 漢語</v>
      </c>
      <c r="F872" s="1" cm="1">
        <f t="array" aca="1" ref="F872" ca="1">IF(NOT(OR(ISERROR(INDIRECT(_xlfn.CONCAT("$I", $F871 + 1))), ISBLANK(INDIRECT(_xlfn.CONCAT("$I", $F871 + 1))))), $F871 + 1, IF(NOT(ISBLANK(INDIRECT(_xlfn.CONCAT("$I", $F871 + 2)))), $F871 + 2, ""))</f>
        <v>1688</v>
      </c>
      <c r="I872" s="8" t="s">
        <v>606</v>
      </c>
      <c r="J872" s="8">
        <v>24</v>
      </c>
      <c r="K872" s="9">
        <v>43378</v>
      </c>
      <c r="L872" s="8" t="s">
        <v>174</v>
      </c>
    </row>
    <row r="873" spans="1:12" ht="59.25">
      <c r="A873" s="1" t="str" cm="1">
        <f t="array" aca="1" ref="A873" ca="1">INDIRECT(_xlfn.CONCAT("$I", $F873))</f>
        <v>Arena League 2005 PAL05</v>
      </c>
      <c r="B873" s="1" cm="1">
        <f t="array" aca="1" ref="B873" ca="1">INDIRECT(_xlfn.CONCAT("$J", $F873))</f>
        <v>8</v>
      </c>
      <c r="C873" s="1" cm="1">
        <f t="array" aca="1" ref="C873" ca="1">INDIRECT(_xlfn.CONCAT("$K", $F873))</f>
        <v>38353</v>
      </c>
      <c r="D873" s="1"/>
      <c r="E873" s="1" t="str" cm="1">
        <f t="array" aca="1" ref="E873" ca="1">INDIRECT(_xlfn.CONCAT("$L", $F873))</f>
        <v>en es fr de it pt ja ko ru 汉语 漢語</v>
      </c>
      <c r="F873" s="1" cm="1">
        <f t="array" aca="1" ref="F873" ca="1">IF(NOT(OR(ISERROR(INDIRECT(_xlfn.CONCAT("$I", $F872 + 1))), ISBLANK(INDIRECT(_xlfn.CONCAT("$I", $F872 + 1))))), $F872 + 1, IF(NOT(ISBLANK(INDIRECT(_xlfn.CONCAT("$I", $F872 + 2)))), $F872 + 2, ""))</f>
        <v>1690</v>
      </c>
    </row>
    <row r="874" spans="1:12" ht="59.25">
      <c r="A874" s="1" t="str" cm="1">
        <f t="array" aca="1" ref="A874" ca="1">INDIRECT(_xlfn.CONCAT("$I", $F874))</f>
        <v>Junior Series Europe PJSE</v>
      </c>
      <c r="B874" s="1" cm="1">
        <f t="array" aca="1" ref="B874" ca="1">INDIRECT(_xlfn.CONCAT("$J", $F874))</f>
        <v>8</v>
      </c>
      <c r="C874" s="1" cm="1">
        <f t="array" aca="1" ref="C874" ca="1">INDIRECT(_xlfn.CONCAT("$K", $F874))</f>
        <v>38353</v>
      </c>
      <c r="D874" s="1"/>
      <c r="E874" s="1" t="str" cm="1">
        <f t="array" aca="1" ref="E874" ca="1">INDIRECT(_xlfn.CONCAT("$L", $F874))</f>
        <v>en es fr de it pt ja ko ru 汉语 漢語</v>
      </c>
      <c r="F874" s="1" cm="1">
        <f t="array" aca="1" ref="F874" ca="1">IF(NOT(OR(ISERROR(INDIRECT(_xlfn.CONCAT("$I", $F873 + 1))), ISBLANK(INDIRECT(_xlfn.CONCAT("$I", $F873 + 1))))), $F873 + 1, IF(NOT(ISBLANK(INDIRECT(_xlfn.CONCAT("$I", $F873 + 2)))), $F873 + 2, ""))</f>
        <v>1692</v>
      </c>
      <c r="I874" s="8" t="s">
        <v>607</v>
      </c>
      <c r="J874" s="8">
        <v>16</v>
      </c>
      <c r="K874" s="9">
        <v>43378</v>
      </c>
      <c r="L874" s="8" t="s">
        <v>174</v>
      </c>
    </row>
    <row r="875" spans="1:12" ht="59.25">
      <c r="A875" s="1" t="str" cm="1">
        <f t="array" aca="1" ref="A875" ca="1">INDIRECT(_xlfn.CONCAT("$I", $F875))</f>
        <v>Friday Night Magic 2005 F05</v>
      </c>
      <c r="B875" s="1" cm="1">
        <f t="array" aca="1" ref="B875" ca="1">INDIRECT(_xlfn.CONCAT("$J", $F875))</f>
        <v>12</v>
      </c>
      <c r="C875" s="1" cm="1">
        <f t="array" aca="1" ref="C875" ca="1">INDIRECT(_xlfn.CONCAT("$K", $F875))</f>
        <v>38353</v>
      </c>
      <c r="D875" s="1"/>
      <c r="E875" s="1" t="str" cm="1">
        <f t="array" aca="1" ref="E875" ca="1">INDIRECT(_xlfn.CONCAT("$L", $F875))</f>
        <v>en es fr de it pt ja ko ru 汉语 漢語</v>
      </c>
      <c r="F875" s="1" cm="1">
        <f t="array" aca="1" ref="F875" ca="1">IF(NOT(OR(ISERROR(INDIRECT(_xlfn.CONCAT("$I", $F874 + 1))), ISBLANK(INDIRECT(_xlfn.CONCAT("$I", $F874 + 1))))), $F874 + 1, IF(NOT(ISBLANK(INDIRECT(_xlfn.CONCAT("$I", $F874 + 2)))), $F874 + 2, ""))</f>
        <v>1694</v>
      </c>
    </row>
    <row r="876" spans="1:12" ht="59.25">
      <c r="A876" s="1" t="str" cm="1">
        <f t="array" aca="1" ref="A876" ca="1">INDIRECT(_xlfn.CONCAT("$I", $F876))</f>
        <v>Magic Player Rewards 2005 P05</v>
      </c>
      <c r="B876" s="1" cm="1">
        <f t="array" aca="1" ref="B876" ca="1">INDIRECT(_xlfn.CONCAT("$J", $F876))</f>
        <v>6</v>
      </c>
      <c r="C876" s="1" cm="1">
        <f t="array" aca="1" ref="C876" ca="1">INDIRECT(_xlfn.CONCAT("$K", $F876))</f>
        <v>38353</v>
      </c>
      <c r="D876" s="1"/>
      <c r="E876" s="1" t="str" cm="1">
        <f t="array" aca="1" ref="E876" ca="1">INDIRECT(_xlfn.CONCAT("$L", $F876))</f>
        <v>en es fr de it pt ja ko ru 汉语 漢語</v>
      </c>
      <c r="F876" s="1" cm="1">
        <f t="array" aca="1" ref="F876" ca="1">IF(NOT(OR(ISERROR(INDIRECT(_xlfn.CONCAT("$I", $F875 + 1))), ISBLANK(INDIRECT(_xlfn.CONCAT("$I", $F875 + 1))))), $F875 + 1, IF(NOT(ISBLANK(INDIRECT(_xlfn.CONCAT("$I", $F875 + 2)))), $F875 + 2, ""))</f>
        <v>1696</v>
      </c>
      <c r="I876" s="8" t="s">
        <v>608</v>
      </c>
      <c r="J876" s="8">
        <v>307</v>
      </c>
      <c r="K876" s="9">
        <v>43322</v>
      </c>
      <c r="L876" t="s">
        <v>174</v>
      </c>
    </row>
    <row r="877" spans="1:12" ht="59.25">
      <c r="A877" s="1" t="str" cm="1">
        <f t="array" aca="1" ref="A877" ca="1">INDIRECT(_xlfn.CONCAT("$I", $F877))</f>
        <v>Judge Gift Cards 2005 G05</v>
      </c>
      <c r="B877" s="1" cm="1">
        <f t="array" aca="1" ref="B877" ca="1">INDIRECT(_xlfn.CONCAT("$J", $F877))</f>
        <v>4</v>
      </c>
      <c r="C877" s="1" cm="1">
        <f t="array" aca="1" ref="C877" ca="1">INDIRECT(_xlfn.CONCAT("$K", $F877))</f>
        <v>38353</v>
      </c>
      <c r="D877" s="1"/>
      <c r="E877" s="1" t="str" cm="1">
        <f t="array" aca="1" ref="E877" ca="1">INDIRECT(_xlfn.CONCAT("$L", $F877))</f>
        <v>en es fr de it pt ja ko ru 汉语 漢語</v>
      </c>
      <c r="F877" s="1" cm="1">
        <f t="array" aca="1" ref="F877" ca="1">IF(NOT(OR(ISERROR(INDIRECT(_xlfn.CONCAT("$I", $F876 + 1))), ISBLANK(INDIRECT(_xlfn.CONCAT("$I", $F876 + 1))))), $F876 + 1, IF(NOT(ISBLANK(INDIRECT(_xlfn.CONCAT("$I", $F876 + 2)))), $F876 + 2, ""))</f>
        <v>1698</v>
      </c>
    </row>
    <row r="878" spans="1:12" ht="59.25">
      <c r="A878" s="1" t="str" cm="1">
        <f t="array" aca="1" ref="A878" ca="1">INDIRECT(_xlfn.CONCAT("$I", $F878))</f>
        <v>Unhinged UNH</v>
      </c>
      <c r="B878" s="1" cm="1">
        <f t="array" aca="1" ref="B878" ca="1">INDIRECT(_xlfn.CONCAT("$J", $F878))</f>
        <v>168</v>
      </c>
      <c r="C878" s="1" cm="1">
        <f t="array" aca="1" ref="C878" ca="1">INDIRECT(_xlfn.CONCAT("$K", $F878))</f>
        <v>38310</v>
      </c>
      <c r="D878" s="1"/>
      <c r="E878" s="1" t="str" cm="1">
        <f t="array" aca="1" ref="E878" ca="1">INDIRECT(_xlfn.CONCAT("$L", $F878))</f>
        <v>en es fr de it pt ja ko ru 汉语 漢語</v>
      </c>
      <c r="F878" s="1" cm="1">
        <f t="array" aca="1" ref="F878" ca="1">IF(NOT(OR(ISERROR(INDIRECT(_xlfn.CONCAT("$I", $F877 + 1))), ISBLANK(INDIRECT(_xlfn.CONCAT("$I", $F877 + 1))))), $F877 + 1, IF(NOT(ISBLANK(INDIRECT(_xlfn.CONCAT("$I", $F877 + 2)))), $F877 + 2, ""))</f>
        <v>1700</v>
      </c>
      <c r="I878" s="8" t="s">
        <v>609</v>
      </c>
      <c r="J878" s="8">
        <v>26</v>
      </c>
      <c r="K878" s="9">
        <v>43321</v>
      </c>
      <c r="L878" s="8" t="s">
        <v>174</v>
      </c>
    </row>
    <row r="879" spans="1:12" ht="59.25">
      <c r="A879" s="1" t="str" cm="1">
        <f t="array" aca="1" ref="A879" ca="1">INDIRECT(_xlfn.CONCAT("$I", $F879))</f>
        <v>Unhinged Promos PUNH</v>
      </c>
      <c r="B879" s="1" cm="1">
        <f t="array" aca="1" ref="B879" ca="1">INDIRECT(_xlfn.CONCAT("$J", $F879))</f>
        <v>1</v>
      </c>
      <c r="C879" s="1" cm="1">
        <f t="array" aca="1" ref="C879" ca="1">INDIRECT(_xlfn.CONCAT("$K", $F879))</f>
        <v>38310</v>
      </c>
      <c r="D879" s="1"/>
      <c r="E879" s="1" t="str" cm="1">
        <f t="array" aca="1" ref="E879" ca="1">INDIRECT(_xlfn.CONCAT("$L", $F879))</f>
        <v>en es fr de it pt ja ko ru 汉语 漢語</v>
      </c>
      <c r="F879" s="1" cm="1">
        <f t="array" aca="1" ref="F879" ca="1">IF(NOT(OR(ISERROR(INDIRECT(_xlfn.CONCAT("$I", $F878 + 1))), ISBLANK(INDIRECT(_xlfn.CONCAT("$I", $F878 + 1))))), $F878 + 1, IF(NOT(ISBLANK(INDIRECT(_xlfn.CONCAT("$I", $F878 + 2)))), $F878 + 2, ""))</f>
        <v>1702</v>
      </c>
    </row>
    <row r="880" spans="1:12" ht="59.25">
      <c r="A880" s="1" t="str" cm="1">
        <f t="array" aca="1" ref="A880" ca="1">INDIRECT(_xlfn.CONCAT("$I", $F880))</f>
        <v>Champions of Kamigawa CHK</v>
      </c>
      <c r="B880" s="1" cm="1">
        <f t="array" aca="1" ref="B880" ca="1">INDIRECT(_xlfn.CONCAT("$J", $F880))</f>
        <v>307</v>
      </c>
      <c r="C880" s="1" cm="1">
        <f t="array" aca="1" ref="C880" ca="1">INDIRECT(_xlfn.CONCAT("$K", $F880))</f>
        <v>38261</v>
      </c>
      <c r="D880" s="1"/>
      <c r="E880" s="1" t="str" cm="1">
        <f t="array" aca="1" ref="E880" ca="1">INDIRECT(_xlfn.CONCAT("$L", $F880))</f>
        <v>en es fr de it pt ja ko ru 汉语 漢語</v>
      </c>
      <c r="F880" s="1" cm="1">
        <f t="array" aca="1" ref="F880" ca="1">IF(NOT(OR(ISERROR(INDIRECT(_xlfn.CONCAT("$I", $F879 + 1))), ISBLANK(INDIRECT(_xlfn.CONCAT("$I", $F879 + 1))))), $F879 + 1, IF(NOT(ISBLANK(INDIRECT(_xlfn.CONCAT("$I", $F879 + 2)))), $F879 + 2, ""))</f>
        <v>1704</v>
      </c>
      <c r="I880" s="8" t="s">
        <v>610</v>
      </c>
      <c r="J880" s="8">
        <v>4</v>
      </c>
      <c r="K880" s="9">
        <v>43321</v>
      </c>
      <c r="L880" s="8" t="s">
        <v>174</v>
      </c>
    </row>
    <row r="881" spans="1:12" ht="68.25">
      <c r="A881" s="1" t="str" cm="1">
        <f t="array" aca="1" ref="A881" ca="1">INDIRECT(_xlfn.CONCAT("$I", $F881))</f>
        <v>Champions of Kamigawa Promos PCHK</v>
      </c>
      <c r="B881" s="1" cm="1">
        <f t="array" aca="1" ref="B881" ca="1">INDIRECT(_xlfn.CONCAT("$J", $F881))</f>
        <v>1</v>
      </c>
      <c r="C881" s="1" cm="1">
        <f t="array" aca="1" ref="C881" ca="1">INDIRECT(_xlfn.CONCAT("$K", $F881))</f>
        <v>38261</v>
      </c>
      <c r="D881" s="1"/>
      <c r="E881" s="1" t="str" cm="1">
        <f t="array" aca="1" ref="E881" ca="1">INDIRECT(_xlfn.CONCAT("$L", $F881))</f>
        <v>en es fr de it pt ja ko ru 汉语 漢語</v>
      </c>
      <c r="F881" s="1" cm="1">
        <f t="array" aca="1" ref="F881" ca="1">IF(NOT(OR(ISERROR(INDIRECT(_xlfn.CONCAT("$I", $F880 + 1))), ISBLANK(INDIRECT(_xlfn.CONCAT("$I", $F880 + 1))))), $F880 + 1, IF(NOT(ISBLANK(INDIRECT(_xlfn.CONCAT("$I", $F880 + 2)))), $F880 + 2, ""))</f>
        <v>1706</v>
      </c>
    </row>
    <row r="882" spans="1:12" ht="68.25">
      <c r="A882" s="1" t="str" cm="1">
        <f t="array" aca="1" ref="A882" ca="1">INDIRECT(_xlfn.CONCAT("$I", $F882))</f>
        <v>World Championship Decks 2004 WC04</v>
      </c>
      <c r="B882" s="1" cm="1">
        <f t="array" aca="1" ref="B882" ca="1">INDIRECT(_xlfn.CONCAT("$J", $F882))</f>
        <v>103</v>
      </c>
      <c r="C882" s="1" cm="1">
        <f t="array" aca="1" ref="C882" ca="1">INDIRECT(_xlfn.CONCAT("$K", $F882))</f>
        <v>38231</v>
      </c>
      <c r="D882" s="1"/>
      <c r="E882" s="1" t="str" cm="1">
        <f t="array" aca="1" ref="E882" ca="1">INDIRECT(_xlfn.CONCAT("$L", $F882))</f>
        <v>en es fr de it pt ja ko ru 汉语 漢語</v>
      </c>
      <c r="F882" s="1" cm="1">
        <f t="array" aca="1" ref="F882" ca="1">IF(NOT(OR(ISERROR(INDIRECT(_xlfn.CONCAT("$I", $F881 + 1))), ISBLANK(INDIRECT(_xlfn.CONCAT("$I", $F881 + 1))))), $F881 + 1, IF(NOT(ISBLANK(INDIRECT(_xlfn.CONCAT("$I", $F881 + 2)))), $F881 + 2, ""))</f>
        <v>1708</v>
      </c>
      <c r="I882" s="8" t="s">
        <v>611</v>
      </c>
      <c r="J882" s="8">
        <v>540</v>
      </c>
      <c r="K882" s="9">
        <v>43320</v>
      </c>
    </row>
    <row r="883" spans="1:12" ht="59.25">
      <c r="A883" s="1" t="str" cm="1">
        <f t="array" aca="1" ref="A883" ca="1">INDIRECT(_xlfn.CONCAT("$I", $F883))</f>
        <v>Fifth Dawn 5DN</v>
      </c>
      <c r="B883" s="1" cm="1">
        <f t="array" aca="1" ref="B883" ca="1">INDIRECT(_xlfn.CONCAT("$J", $F883))</f>
        <v>165</v>
      </c>
      <c r="C883" s="1" cm="1">
        <f t="array" aca="1" ref="C883" ca="1">INDIRECT(_xlfn.CONCAT("$K", $F883))</f>
        <v>38142</v>
      </c>
      <c r="D883" s="1"/>
      <c r="E883" s="1" t="str" cm="1">
        <f t="array" aca="1" ref="E883" ca="1">INDIRECT(_xlfn.CONCAT("$L", $F883))</f>
        <v>en es fr de it pt ja ko ru 汉语 漢語</v>
      </c>
      <c r="F883" s="1" cm="1">
        <f t="array" aca="1" ref="F883" ca="1">IF(NOT(OR(ISERROR(INDIRECT(_xlfn.CONCAT("$I", $F882 + 1))), ISBLANK(INDIRECT(_xlfn.CONCAT("$I", $F882 + 1))))), $F882 + 1, IF(NOT(ISBLANK(INDIRECT(_xlfn.CONCAT("$I", $F882 + 2)))), $F882 + 2, ""))</f>
        <v>1710</v>
      </c>
    </row>
    <row r="884" spans="1:12" ht="59.25">
      <c r="A884" s="1" t="str" cm="1">
        <f t="array" aca="1" ref="A884" ca="1">INDIRECT(_xlfn.CONCAT("$I", $F884))</f>
        <v>Fifth Dawn Promos P5DN</v>
      </c>
      <c r="B884" s="1" cm="1">
        <f t="array" aca="1" ref="B884" ca="1">INDIRECT(_xlfn.CONCAT("$J", $F884))</f>
        <v>1</v>
      </c>
      <c r="C884" s="1" cm="1">
        <f t="array" aca="1" ref="C884" ca="1">INDIRECT(_xlfn.CONCAT("$K", $F884))</f>
        <v>38142</v>
      </c>
      <c r="D884" s="1"/>
      <c r="E884" s="1" t="str" cm="1">
        <f t="array" aca="1" ref="E884" ca="1">INDIRECT(_xlfn.CONCAT("$L", $F884))</f>
        <v>en es fr de it pt ja ko ru 汉语 漢語</v>
      </c>
      <c r="F884" s="1" cm="1">
        <f t="array" aca="1" ref="F884" ca="1">IF(NOT(OR(ISERROR(INDIRECT(_xlfn.CONCAT("$I", $F883 + 1))), ISBLANK(INDIRECT(_xlfn.CONCAT("$I", $F883 + 1))))), $F883 + 1, IF(NOT(ISBLANK(INDIRECT(_xlfn.CONCAT("$I", $F883 + 2)))), $F883 + 2, ""))</f>
        <v>1712</v>
      </c>
      <c r="I884" s="8" t="s">
        <v>612</v>
      </c>
      <c r="J884" s="8">
        <v>3</v>
      </c>
      <c r="K884" s="9">
        <v>43313</v>
      </c>
      <c r="L884" s="8" t="s">
        <v>174</v>
      </c>
    </row>
    <row r="885" spans="1:12" ht="59.25">
      <c r="A885" s="1" t="str" cm="1">
        <f t="array" aca="1" ref="A885" ca="1">INDIRECT(_xlfn.CONCAT("$I", $F885))</f>
        <v>Darksteel DST</v>
      </c>
      <c r="B885" s="1" cm="1">
        <f t="array" aca="1" ref="B885" ca="1">INDIRECT(_xlfn.CONCAT("$J", $F885))</f>
        <v>165</v>
      </c>
      <c r="C885" s="1" cm="1">
        <f t="array" aca="1" ref="C885" ca="1">INDIRECT(_xlfn.CONCAT("$K", $F885))</f>
        <v>38023</v>
      </c>
      <c r="D885" s="1"/>
      <c r="E885" s="1" t="str" cm="1">
        <f t="array" aca="1" ref="E885" ca="1">INDIRECT(_xlfn.CONCAT("$L", $F885))</f>
        <v>en es fr de it pt ja ko ru 汉语 漢語</v>
      </c>
      <c r="F885" s="1" cm="1">
        <f t="array" aca="1" ref="F885" ca="1">IF(NOT(OR(ISERROR(INDIRECT(_xlfn.CONCAT("$I", $F884 + 1))), ISBLANK(INDIRECT(_xlfn.CONCAT("$I", $F884 + 1))))), $F884 + 1, IF(NOT(ISBLANK(INDIRECT(_xlfn.CONCAT("$I", $F884 + 2)))), $F884 + 2, ""))</f>
        <v>1714</v>
      </c>
    </row>
    <row r="886" spans="1:12" ht="59.25">
      <c r="A886" s="1" t="str" cm="1">
        <f t="array" aca="1" ref="A886" ca="1">INDIRECT(_xlfn.CONCAT("$I", $F886))</f>
        <v>Darksteel Promos PDST</v>
      </c>
      <c r="B886" s="1" cm="1">
        <f t="array" aca="1" ref="B886" ca="1">INDIRECT(_xlfn.CONCAT("$J", $F886))</f>
        <v>1</v>
      </c>
      <c r="C886" s="1" cm="1">
        <f t="array" aca="1" ref="C886" ca="1">INDIRECT(_xlfn.CONCAT("$K", $F886))</f>
        <v>38023</v>
      </c>
      <c r="D886" s="1"/>
      <c r="E886" s="1" t="str" cm="1">
        <f t="array" aca="1" ref="E886" ca="1">INDIRECT(_xlfn.CONCAT("$L", $F886))</f>
        <v>en es fr de it pt ja ko ru 汉语 漢語</v>
      </c>
      <c r="F886" s="1" cm="1">
        <f t="array" aca="1" ref="F886" ca="1">IF(NOT(OR(ISERROR(INDIRECT(_xlfn.CONCAT("$I", $F885 + 1))), ISBLANK(INDIRECT(_xlfn.CONCAT("$I", $F885 + 1))))), $F885 + 1, IF(NOT(ISBLANK(INDIRECT(_xlfn.CONCAT("$I", $F885 + 2)))), $F885 + 2, ""))</f>
        <v>1716</v>
      </c>
      <c r="I886" s="8" t="s">
        <v>613</v>
      </c>
      <c r="J886" s="8">
        <v>5</v>
      </c>
      <c r="K886" s="9">
        <v>43300</v>
      </c>
      <c r="L886" s="8" t="s">
        <v>174</v>
      </c>
    </row>
    <row r="887" spans="1:12" ht="59.25">
      <c r="A887" s="1" t="str" cm="1">
        <f t="array" aca="1" ref="A887" ca="1">INDIRECT(_xlfn.CONCAT("$I", $F887))</f>
        <v>Arena League 2004 PAL04</v>
      </c>
      <c r="B887" s="1" cm="1">
        <f t="array" aca="1" ref="B887" ca="1">INDIRECT(_xlfn.CONCAT("$J", $F887))</f>
        <v>14</v>
      </c>
      <c r="C887" s="1" cm="1">
        <f t="array" aca="1" ref="C887" ca="1">INDIRECT(_xlfn.CONCAT("$K", $F887))</f>
        <v>37987</v>
      </c>
      <c r="D887" s="1"/>
      <c r="E887" s="1" t="str" cm="1">
        <f t="array" aca="1" ref="E887" ca="1">INDIRECT(_xlfn.CONCAT("$L", $F887))</f>
        <v>en es fr de it pt ja ko ru 汉语 漢語</v>
      </c>
      <c r="F887" s="1" cm="1">
        <f t="array" aca="1" ref="F887" ca="1">IF(NOT(OR(ISERROR(INDIRECT(_xlfn.CONCAT("$I", $F886 + 1))), ISBLANK(INDIRECT(_xlfn.CONCAT("$I", $F886 + 1))))), $F886 + 1, IF(NOT(ISBLANK(INDIRECT(_xlfn.CONCAT("$I", $F886 + 2)))), $F886 + 2, ""))</f>
        <v>1718</v>
      </c>
    </row>
    <row r="888" spans="1:12" ht="59.25">
      <c r="A888" s="1" t="str" cm="1">
        <f t="array" aca="1" ref="A888" ca="1">INDIRECT(_xlfn.CONCAT("$I", $F888))</f>
        <v>Judge Gift Cards 2004 G04</v>
      </c>
      <c r="B888" s="1" cm="1">
        <f t="array" aca="1" ref="B888" ca="1">INDIRECT(_xlfn.CONCAT("$J", $F888))</f>
        <v>6</v>
      </c>
      <c r="C888" s="1" cm="1">
        <f t="array" aca="1" ref="C888" ca="1">INDIRECT(_xlfn.CONCAT("$K", $F888))</f>
        <v>37987</v>
      </c>
      <c r="D888" s="1"/>
      <c r="E888" s="1" t="str" cm="1">
        <f t="array" aca="1" ref="E888" ca="1">INDIRECT(_xlfn.CONCAT("$L", $F888))</f>
        <v>en es fr de it pt ja ko ru 汉语 漢語</v>
      </c>
      <c r="F888" s="1" cm="1">
        <f t="array" aca="1" ref="F888" ca="1">IF(NOT(OR(ISERROR(INDIRECT(_xlfn.CONCAT("$I", $F887 + 1))), ISBLANK(INDIRECT(_xlfn.CONCAT("$I", $F887 + 1))))), $F887 + 1, IF(NOT(ISBLANK(INDIRECT(_xlfn.CONCAT("$I", $F887 + 2)))), $F887 + 2, ""))</f>
        <v>1720</v>
      </c>
      <c r="I888" s="8" t="s">
        <v>614</v>
      </c>
      <c r="J888" s="8">
        <v>46</v>
      </c>
      <c r="K888" s="9">
        <v>43295</v>
      </c>
      <c r="L888" s="8" t="s">
        <v>174</v>
      </c>
    </row>
    <row r="889" spans="1:12" ht="59.25">
      <c r="A889" s="1" t="str" cm="1">
        <f t="array" aca="1" ref="A889" ca="1">INDIRECT(_xlfn.CONCAT("$I", $F889))</f>
        <v>Magic Player Rewards 2004 P04</v>
      </c>
      <c r="B889" s="1" cm="1">
        <f t="array" aca="1" ref="B889" ca="1">INDIRECT(_xlfn.CONCAT("$J", $F889))</f>
        <v>6</v>
      </c>
      <c r="C889" s="1" cm="1">
        <f t="array" aca="1" ref="C889" ca="1">INDIRECT(_xlfn.CONCAT("$K", $F889))</f>
        <v>37987</v>
      </c>
      <c r="D889" s="1"/>
      <c r="E889" s="1" t="str" cm="1">
        <f t="array" aca="1" ref="E889" ca="1">INDIRECT(_xlfn.CONCAT("$L", $F889))</f>
        <v>en es fr de it pt ja ko ru 汉语 漢語</v>
      </c>
      <c r="F889" s="1" cm="1">
        <f t="array" aca="1" ref="F889" ca="1">IF(NOT(OR(ISERROR(INDIRECT(_xlfn.CONCAT("$I", $F888 + 1))), ISBLANK(INDIRECT(_xlfn.CONCAT("$I", $F888 + 1))))), $F888 + 1, IF(NOT(ISBLANK(INDIRECT(_xlfn.CONCAT("$I", $F888 + 2)))), $F888 + 2, ""))</f>
        <v>1722</v>
      </c>
    </row>
    <row r="890" spans="1:12" ht="59.25">
      <c r="A890" s="1" t="str" cm="1">
        <f t="array" aca="1" ref="A890" ca="1">INDIRECT(_xlfn.CONCAT("$I", $F890))</f>
        <v>Friday Night Magic 2004 F04</v>
      </c>
      <c r="B890" s="1" cm="1">
        <f t="array" aca="1" ref="B890" ca="1">INDIRECT(_xlfn.CONCAT("$J", $F890))</f>
        <v>12</v>
      </c>
      <c r="C890" s="1" cm="1">
        <f t="array" aca="1" ref="C890" ca="1">INDIRECT(_xlfn.CONCAT("$K", $F890))</f>
        <v>37987</v>
      </c>
      <c r="D890" s="1"/>
      <c r="E890" s="1" t="str" cm="1">
        <f t="array" aca="1" ref="E890" ca="1">INDIRECT(_xlfn.CONCAT("$L", $F890))</f>
        <v>en es fr de it pt ja ko ru 汉语 漢語</v>
      </c>
      <c r="F890" s="1" cm="1">
        <f t="array" aca="1" ref="F890" ca="1">IF(NOT(OR(ISERROR(INDIRECT(_xlfn.CONCAT("$I", $F889 + 1))), ISBLANK(INDIRECT(_xlfn.CONCAT("$I", $F889 + 1))))), $F889 + 1, IF(NOT(ISBLANK(INDIRECT(_xlfn.CONCAT("$I", $F889 + 2)))), $F889 + 2, ""))</f>
        <v>1724</v>
      </c>
      <c r="I890" s="8" t="s">
        <v>615</v>
      </c>
      <c r="J890" s="8">
        <v>20</v>
      </c>
      <c r="K890" s="9">
        <v>43295</v>
      </c>
      <c r="L890" s="8" t="s">
        <v>174</v>
      </c>
    </row>
    <row r="891" spans="1:12" ht="59.25">
      <c r="A891" s="1" t="str" cm="1">
        <f t="array" aca="1" ref="A891" ca="1">INDIRECT(_xlfn.CONCAT("$I", $F891))</f>
        <v>Mirrodin MRD</v>
      </c>
      <c r="B891" s="1" cm="1">
        <f t="array" aca="1" ref="B891" ca="1">INDIRECT(_xlfn.CONCAT("$J", $F891))</f>
        <v>306</v>
      </c>
      <c r="C891" s="1" cm="1">
        <f t="array" aca="1" ref="C891" ca="1">INDIRECT(_xlfn.CONCAT("$K", $F891))</f>
        <v>37896</v>
      </c>
      <c r="D891" s="1"/>
      <c r="E891" s="1" t="str" cm="1">
        <f t="array" aca="1" ref="E891" ca="1">INDIRECT(_xlfn.CONCAT("$L", $F891))</f>
        <v>en es fr de it pt ja ko ru 汉语 漢語</v>
      </c>
      <c r="F891" s="1" cm="1">
        <f t="array" aca="1" ref="F891" ca="1">IF(NOT(OR(ISERROR(INDIRECT(_xlfn.CONCAT("$I", $F890 + 1))), ISBLANK(INDIRECT(_xlfn.CONCAT("$I", $F890 + 1))))), $F890 + 1, IF(NOT(ISBLANK(INDIRECT(_xlfn.CONCAT("$I", $F890 + 2)))), $F890 + 2, ""))</f>
        <v>1726</v>
      </c>
    </row>
    <row r="892" spans="1:12" ht="59.25">
      <c r="A892" s="1" t="str" cm="1">
        <f t="array" aca="1" ref="A892" ca="1">INDIRECT(_xlfn.CONCAT("$I", $F892))</f>
        <v>Mirrodin Promos PMRD</v>
      </c>
      <c r="B892" s="1" cm="1">
        <f t="array" aca="1" ref="B892" ca="1">INDIRECT(_xlfn.CONCAT("$J", $F892))</f>
        <v>1</v>
      </c>
      <c r="C892" s="1" cm="1">
        <f t="array" aca="1" ref="C892" ca="1">INDIRECT(_xlfn.CONCAT("$K", $F892))</f>
        <v>38142</v>
      </c>
      <c r="D892" s="1"/>
      <c r="E892" s="1" t="str" cm="1">
        <f t="array" aca="1" ref="E892" ca="1">INDIRECT(_xlfn.CONCAT("$L", $F892))</f>
        <v>en es fr de it pt ja ko ru 汉语 漢語</v>
      </c>
      <c r="F892" s="1" cm="1">
        <f t="array" aca="1" ref="F892" ca="1">IF(NOT(OR(ISERROR(INDIRECT(_xlfn.CONCAT("$I", $F891 + 1))), ISBLANK(INDIRECT(_xlfn.CONCAT("$I", $F891 + 1))))), $F891 + 1, IF(NOT(ISBLANK(INDIRECT(_xlfn.CONCAT("$I", $F891 + 2)))), $F891 + 2, ""))</f>
        <v>1728</v>
      </c>
      <c r="I892" s="8" t="s">
        <v>616</v>
      </c>
      <c r="J892" s="8">
        <v>14</v>
      </c>
      <c r="K892" s="9">
        <v>43295</v>
      </c>
      <c r="L892" s="8" t="s">
        <v>174</v>
      </c>
    </row>
    <row r="893" spans="1:12" ht="68.25">
      <c r="A893" s="1" t="str" cm="1">
        <f t="array" aca="1" ref="A893" ca="1">INDIRECT(_xlfn.CONCAT("$I", $F893))</f>
        <v>World Championship Decks 2003 WC03</v>
      </c>
      <c r="B893" s="1" cm="1">
        <f t="array" aca="1" ref="B893" ca="1">INDIRECT(_xlfn.CONCAT("$J", $F893))</f>
        <v>142</v>
      </c>
      <c r="C893" s="1" cm="1">
        <f t="array" aca="1" ref="C893" ca="1">INDIRECT(_xlfn.CONCAT("$K", $F893))</f>
        <v>37839</v>
      </c>
      <c r="D893" s="1"/>
      <c r="E893" s="1" t="str" cm="1">
        <f t="array" aca="1" ref="E893" ca="1">INDIRECT(_xlfn.CONCAT("$L", $F893))</f>
        <v>en es fr de it pt ja ko ru 汉语 漢語</v>
      </c>
      <c r="F893" s="1" cm="1">
        <f t="array" aca="1" ref="F893" ca="1">IF(NOT(OR(ISERROR(INDIRECT(_xlfn.CONCAT("$I", $F892 + 1))), ISBLANK(INDIRECT(_xlfn.CONCAT("$I", $F892 + 1))))), $F892 + 1, IF(NOT(ISBLANK(INDIRECT(_xlfn.CONCAT("$I", $F892 + 2)))), $F892 + 2, ""))</f>
        <v>1730</v>
      </c>
    </row>
    <row r="894" spans="1:12" ht="59.25">
      <c r="A894" s="1" t="str" cm="1">
        <f t="array" aca="1" ref="A894" ca="1">INDIRECT(_xlfn.CONCAT("$I", $F894))</f>
        <v>Eighth Edition 8ED</v>
      </c>
      <c r="B894" s="1" cm="1">
        <f t="array" aca="1" ref="B894" ca="1">INDIRECT(_xlfn.CONCAT("$J", $F894))</f>
        <v>711</v>
      </c>
      <c r="C894" s="1" cm="1">
        <f t="array" aca="1" ref="C894" ca="1">INDIRECT(_xlfn.CONCAT("$K", $F894))</f>
        <v>37830</v>
      </c>
      <c r="D894" s="1"/>
      <c r="E894" s="1" t="str" cm="1">
        <f t="array" aca="1" ref="E894" ca="1">INDIRECT(_xlfn.CONCAT("$L", $F894))</f>
        <v>en es fr de it pt ja ko ru 汉语 漢語</v>
      </c>
      <c r="F894" s="1" cm="1">
        <f t="array" aca="1" ref="F894" ca="1">IF(NOT(OR(ISERROR(INDIRECT(_xlfn.CONCAT("$I", $F893 + 1))), ISBLANK(INDIRECT(_xlfn.CONCAT("$I", $F893 + 1))))), $F893 + 1, IF(NOT(ISBLANK(INDIRECT(_xlfn.CONCAT("$I", $F893 + 2)))), $F893 + 2, ""))</f>
        <v>1732</v>
      </c>
      <c r="I894" s="8" t="s">
        <v>617</v>
      </c>
      <c r="J894" s="8">
        <v>78</v>
      </c>
      <c r="K894" s="9">
        <v>43295</v>
      </c>
      <c r="L894" s="8" t="s">
        <v>174</v>
      </c>
    </row>
    <row r="895" spans="1:12" ht="59.25">
      <c r="A895" s="1" t="str" cm="1">
        <f t="array" aca="1" ref="A895" ca="1">INDIRECT(_xlfn.CONCAT("$I", $F895))</f>
        <v>Eighth Edition Promos P8ED</v>
      </c>
      <c r="B895" s="1" cm="1">
        <f t="array" aca="1" ref="B895" ca="1">INDIRECT(_xlfn.CONCAT("$J", $F895))</f>
        <v>1</v>
      </c>
      <c r="C895" s="1" cm="1">
        <f t="array" aca="1" ref="C895" ca="1">INDIRECT(_xlfn.CONCAT("$K", $F895))</f>
        <v>37830</v>
      </c>
      <c r="D895" s="1"/>
      <c r="E895" s="1" t="str" cm="1">
        <f t="array" aca="1" ref="E895" ca="1">INDIRECT(_xlfn.CONCAT("$L", $F895))</f>
        <v>en es fr de it pt ja ko ru 汉语 漢語</v>
      </c>
      <c r="F895" s="1" cm="1">
        <f t="array" aca="1" ref="F895" ca="1">IF(NOT(OR(ISERROR(INDIRECT(_xlfn.CONCAT("$I", $F894 + 1))), ISBLANK(INDIRECT(_xlfn.CONCAT("$I", $F894 + 1))))), $F894 + 1, IF(NOT(ISBLANK(INDIRECT(_xlfn.CONCAT("$I", $F894 + 2)))), $F894 + 2, ""))</f>
        <v>1734</v>
      </c>
    </row>
    <row r="896" spans="1:12" ht="59.25">
      <c r="A896" s="1" t="str" cm="1">
        <f t="array" aca="1" ref="A896" ca="1">INDIRECT(_xlfn.CONCAT("$I", $F896))</f>
        <v>Scourge SCG</v>
      </c>
      <c r="B896" s="1" cm="1">
        <f t="array" aca="1" ref="B896" ca="1">INDIRECT(_xlfn.CONCAT("$J", $F896))</f>
        <v>143</v>
      </c>
      <c r="C896" s="1" cm="1">
        <f t="array" aca="1" ref="C896" ca="1">INDIRECT(_xlfn.CONCAT("$K", $F896))</f>
        <v>37767</v>
      </c>
      <c r="D896" s="1"/>
      <c r="E896" s="1" t="str" cm="1">
        <f t="array" aca="1" ref="E896" ca="1">INDIRECT(_xlfn.CONCAT("$L", $F896))</f>
        <v>en es fr de it pt ja ko ru 汉语 漢語</v>
      </c>
      <c r="F896" s="1" cm="1">
        <f t="array" aca="1" ref="F896" ca="1">IF(NOT(OR(ISERROR(INDIRECT(_xlfn.CONCAT("$I", $F895 + 1))), ISBLANK(INDIRECT(_xlfn.CONCAT("$I", $F895 + 1))))), $F895 + 1, IF(NOT(ISBLANK(INDIRECT(_xlfn.CONCAT("$I", $F895 + 2)))), $F895 + 2, ""))</f>
        <v>1736</v>
      </c>
      <c r="I896" s="8" t="s">
        <v>618</v>
      </c>
      <c r="J896" s="8">
        <v>314</v>
      </c>
      <c r="K896" s="9">
        <v>43294</v>
      </c>
      <c r="L896" t="s">
        <v>174</v>
      </c>
    </row>
    <row r="897" spans="1:12" ht="59.25">
      <c r="A897" s="1" t="str" cm="1">
        <f t="array" aca="1" ref="A897" ca="1">INDIRECT(_xlfn.CONCAT("$I", $F897))</f>
        <v>Scourge Promos PSCG</v>
      </c>
      <c r="B897" s="1" cm="1">
        <f t="array" aca="1" ref="B897" ca="1">INDIRECT(_xlfn.CONCAT("$J", $F897))</f>
        <v>1</v>
      </c>
      <c r="C897" s="1" cm="1">
        <f t="array" aca="1" ref="C897" ca="1">INDIRECT(_xlfn.CONCAT("$K", $F897))</f>
        <v>37767</v>
      </c>
      <c r="D897" s="1"/>
      <c r="E897" s="1" t="str" cm="1">
        <f t="array" aca="1" ref="E897" ca="1">INDIRECT(_xlfn.CONCAT("$L", $F897))</f>
        <v>en es fr de it pt ja ko ru 汉语 漢語</v>
      </c>
      <c r="F897" s="1" cm="1">
        <f t="array" aca="1" ref="F897" ca="1">IF(NOT(OR(ISERROR(INDIRECT(_xlfn.CONCAT("$I", $F896 + 1))), ISBLANK(INDIRECT(_xlfn.CONCAT("$I", $F896 + 1))))), $F896 + 1, IF(NOT(ISBLANK(INDIRECT(_xlfn.CONCAT("$I", $F896 + 2)))), $F896 + 2, ""))</f>
        <v>1738</v>
      </c>
    </row>
    <row r="898" spans="1:12" ht="59.25">
      <c r="A898" s="1" t="str" cm="1">
        <f t="array" aca="1" ref="A898" ca="1">INDIRECT(_xlfn.CONCAT("$I", $F898))</f>
        <v>Legions LGN</v>
      </c>
      <c r="B898" s="1" cm="1">
        <f t="array" aca="1" ref="B898" ca="1">INDIRECT(_xlfn.CONCAT("$J", $F898))</f>
        <v>145</v>
      </c>
      <c r="C898" s="1" cm="1">
        <f t="array" aca="1" ref="C898" ca="1">INDIRECT(_xlfn.CONCAT("$K", $F898))</f>
        <v>37655</v>
      </c>
      <c r="D898" s="1"/>
      <c r="E898" s="1" t="str" cm="1">
        <f t="array" aca="1" ref="E898" ca="1">INDIRECT(_xlfn.CONCAT("$L", $F898))</f>
        <v>en es fr de it pt ja ko ru 汉语 漢語</v>
      </c>
      <c r="F898" s="1" cm="1">
        <f t="array" aca="1" ref="F898" ca="1">IF(NOT(OR(ISERROR(INDIRECT(_xlfn.CONCAT("$I", $F897 + 1))), ISBLANK(INDIRECT(_xlfn.CONCAT("$I", $F897 + 1))))), $F897 + 1, IF(NOT(ISBLANK(INDIRECT(_xlfn.CONCAT("$I", $F897 + 2)))), $F897 + 2, ""))</f>
        <v>1740</v>
      </c>
      <c r="I898" s="8" t="s">
        <v>619</v>
      </c>
      <c r="J898" s="8">
        <v>95</v>
      </c>
      <c r="K898" s="9">
        <v>43294</v>
      </c>
      <c r="L898" s="8" t="s">
        <v>174</v>
      </c>
    </row>
    <row r="899" spans="1:12" ht="59.25">
      <c r="A899" s="1" t="str" cm="1">
        <f t="array" aca="1" ref="A899" ca="1">INDIRECT(_xlfn.CONCAT("$I", $F899))</f>
        <v>Legions Promos PLGN</v>
      </c>
      <c r="B899" s="1" cm="1">
        <f t="array" aca="1" ref="B899" ca="1">INDIRECT(_xlfn.CONCAT("$J", $F899))</f>
        <v>1</v>
      </c>
      <c r="C899" s="1" cm="1">
        <f t="array" aca="1" ref="C899" ca="1">INDIRECT(_xlfn.CONCAT("$K", $F899))</f>
        <v>37655</v>
      </c>
      <c r="D899" s="1"/>
      <c r="E899" s="1" t="str" cm="1">
        <f t="array" aca="1" ref="E899" ca="1">INDIRECT(_xlfn.CONCAT("$L", $F899))</f>
        <v>en es fr de it pt ja ko ru 汉语 漢語</v>
      </c>
      <c r="F899" s="1" cm="1">
        <f t="array" aca="1" ref="F899" ca="1">IF(NOT(OR(ISERROR(INDIRECT(_xlfn.CONCAT("$I", $F898 + 1))), ISBLANK(INDIRECT(_xlfn.CONCAT("$I", $F898 + 1))))), $F898 + 1, IF(NOT(ISBLANK(INDIRECT(_xlfn.CONCAT("$I", $F898 + 2)))), $F898 + 2, ""))</f>
        <v>1742</v>
      </c>
    </row>
    <row r="900" spans="1:12" ht="59.25">
      <c r="A900" s="1" t="str" cm="1">
        <f t="array" aca="1" ref="A900" ca="1">INDIRECT(_xlfn.CONCAT("$I", $F900))</f>
        <v>Magic Online Avatars PMOA</v>
      </c>
      <c r="B900" s="1" cm="1">
        <f t="array" aca="1" ref="B900" ca="1">INDIRECT(_xlfn.CONCAT("$J", $F900))</f>
        <v>85</v>
      </c>
      <c r="C900" s="1" cm="1">
        <f t="array" aca="1" ref="C900" ca="1">INDIRECT(_xlfn.CONCAT("$K", $F900))</f>
        <v>37622</v>
      </c>
      <c r="D900" s="1"/>
      <c r="E900" s="1" t="str" cm="1">
        <f t="array" aca="1" ref="E900" ca="1">INDIRECT(_xlfn.CONCAT("$L", $F900))</f>
        <v>en es fr de it pt ja ko ru 汉语 漢語</v>
      </c>
      <c r="F900" s="1" cm="1">
        <f t="array" aca="1" ref="F900" ca="1">IF(NOT(OR(ISERROR(INDIRECT(_xlfn.CONCAT("$I", $F899 + 1))), ISBLANK(INDIRECT(_xlfn.CONCAT("$I", $F899 + 1))))), $F899 + 1, IF(NOT(ISBLANK(INDIRECT(_xlfn.CONCAT("$I", $F899 + 2)))), $F899 + 2, ""))</f>
        <v>1744</v>
      </c>
      <c r="I900" s="8" t="s">
        <v>620</v>
      </c>
      <c r="J900" s="8">
        <v>18</v>
      </c>
      <c r="K900" s="9">
        <v>43294</v>
      </c>
      <c r="L900" s="8" t="s">
        <v>174</v>
      </c>
    </row>
    <row r="901" spans="1:12" ht="59.25">
      <c r="A901" s="1" t="str" cm="1">
        <f t="array" aca="1" ref="A901" ca="1">INDIRECT(_xlfn.CONCAT("$I", $F901))</f>
        <v>Japan Junior Tournament PJJT</v>
      </c>
      <c r="B901" s="1" cm="1">
        <f t="array" aca="1" ref="B901" ca="1">INDIRECT(_xlfn.CONCAT("$J", $F901))</f>
        <v>12</v>
      </c>
      <c r="C901" s="1" cm="1">
        <f t="array" aca="1" ref="C901" ca="1">INDIRECT(_xlfn.CONCAT("$K", $F901))</f>
        <v>37622</v>
      </c>
      <c r="D901" s="1"/>
      <c r="E901" s="1" t="str" cm="1">
        <f t="array" aca="1" ref="E901" ca="1">INDIRECT(_xlfn.CONCAT("$L", $F901))</f>
        <v>en es fr de it pt ja ko ru 汉语 漢語</v>
      </c>
      <c r="F901" s="1" cm="1">
        <f t="array" aca="1" ref="F901" ca="1">IF(NOT(OR(ISERROR(INDIRECT(_xlfn.CONCAT("$I", $F900 + 1))), ISBLANK(INDIRECT(_xlfn.CONCAT("$I", $F900 + 1))))), $F900 + 1, IF(NOT(ISBLANK(INDIRECT(_xlfn.CONCAT("$I", $F900 + 2)))), $F900 + 2, ""))</f>
        <v>1746</v>
      </c>
    </row>
    <row r="902" spans="1:12" ht="59.25">
      <c r="A902" s="1" t="str" cm="1">
        <f t="array" aca="1" ref="A902" ca="1">INDIRECT(_xlfn.CONCAT("$I", $F902))</f>
        <v>Arena League 2003 PAL03</v>
      </c>
      <c r="B902" s="1" cm="1">
        <f t="array" aca="1" ref="B902" ca="1">INDIRECT(_xlfn.CONCAT("$J", $F902))</f>
        <v>8</v>
      </c>
      <c r="C902" s="1" cm="1">
        <f t="array" aca="1" ref="C902" ca="1">INDIRECT(_xlfn.CONCAT("$K", $F902))</f>
        <v>37622</v>
      </c>
      <c r="D902" s="1"/>
      <c r="E902" s="1" t="str" cm="1">
        <f t="array" aca="1" ref="E902" ca="1">INDIRECT(_xlfn.CONCAT("$L", $F902))</f>
        <v>en es fr de it pt ja ko ru 汉语 漢語</v>
      </c>
      <c r="F902" s="1" cm="1">
        <f t="array" aca="1" ref="F902" ca="1">IF(NOT(OR(ISERROR(INDIRECT(_xlfn.CONCAT("$I", $F901 + 1))), ISBLANK(INDIRECT(_xlfn.CONCAT("$I", $F901 + 1))))), $F901 + 1, IF(NOT(ISBLANK(INDIRECT(_xlfn.CONCAT("$I", $F901 + 2)))), $F901 + 2, ""))</f>
        <v>1748</v>
      </c>
      <c r="I902" s="8" t="s">
        <v>621</v>
      </c>
      <c r="J902" s="8">
        <v>5</v>
      </c>
      <c r="K902" s="9">
        <v>43420</v>
      </c>
      <c r="L902" s="8" t="s">
        <v>174</v>
      </c>
    </row>
    <row r="903" spans="1:12" ht="59.25">
      <c r="A903" s="1" t="str" cm="1">
        <f t="array" aca="1" ref="A903" ca="1">INDIRECT(_xlfn.CONCAT("$I", $F903))</f>
        <v>Judge Gift Cards 2003 G03</v>
      </c>
      <c r="B903" s="1" cm="1">
        <f t="array" aca="1" ref="B903" ca="1">INDIRECT(_xlfn.CONCAT("$J", $F903))</f>
        <v>3</v>
      </c>
      <c r="C903" s="1" cm="1">
        <f t="array" aca="1" ref="C903" ca="1">INDIRECT(_xlfn.CONCAT("$K", $F903))</f>
        <v>37622</v>
      </c>
      <c r="D903" s="1"/>
      <c r="E903" s="1" t="str" cm="1">
        <f t="array" aca="1" ref="E903" ca="1">INDIRECT(_xlfn.CONCAT("$L", $F903))</f>
        <v>en es fr de it pt ja ko ru 汉语 漢語</v>
      </c>
      <c r="F903" s="1" cm="1">
        <f t="array" aca="1" ref="F903" ca="1">IF(NOT(OR(ISERROR(INDIRECT(_xlfn.CONCAT("$I", $F902 + 1))), ISBLANK(INDIRECT(_xlfn.CONCAT("$I", $F902 + 1))))), $F902 + 1, IF(NOT(ISBLANK(INDIRECT(_xlfn.CONCAT("$I", $F902 + 2)))), $F902 + 2, ""))</f>
        <v>1750</v>
      </c>
    </row>
    <row r="904" spans="1:12" ht="59.25">
      <c r="A904" s="1" t="str" cm="1">
        <f t="array" aca="1" ref="A904" ca="1">INDIRECT(_xlfn.CONCAT("$I", $F904))</f>
        <v>Magic Player Rewards 2003 P03</v>
      </c>
      <c r="B904" s="1" cm="1">
        <f t="array" aca="1" ref="B904" ca="1">INDIRECT(_xlfn.CONCAT("$J", $F904))</f>
        <v>7</v>
      </c>
      <c r="C904" s="1" cm="1">
        <f t="array" aca="1" ref="C904" ca="1">INDIRECT(_xlfn.CONCAT("$K", $F904))</f>
        <v>37622</v>
      </c>
      <c r="D904" s="1"/>
      <c r="E904" s="1" t="str" cm="1">
        <f t="array" aca="1" ref="E904" ca="1">INDIRECT(_xlfn.CONCAT("$L", $F904))</f>
        <v>en es fr de it pt ja ko ru 汉语 漢語</v>
      </c>
      <c r="F904" s="1" cm="1">
        <f t="array" aca="1" ref="F904" ca="1">IF(NOT(OR(ISERROR(INDIRECT(_xlfn.CONCAT("$I", $F903 + 1))), ISBLANK(INDIRECT(_xlfn.CONCAT("$I", $F903 + 1))))), $F903 + 1, IF(NOT(ISBLANK(INDIRECT(_xlfn.CONCAT("$I", $F903 + 2)))), $F903 + 2, ""))</f>
        <v>1752</v>
      </c>
      <c r="I904" s="8" t="s">
        <v>622</v>
      </c>
      <c r="J904" s="8">
        <v>5</v>
      </c>
      <c r="K904" s="9">
        <v>43294</v>
      </c>
      <c r="L904" s="8" t="s">
        <v>174</v>
      </c>
    </row>
    <row r="905" spans="1:12" ht="59.25">
      <c r="A905" s="1" t="str" cm="1">
        <f t="array" aca="1" ref="A905" ca="1">INDIRECT(_xlfn.CONCAT("$I", $F905))</f>
        <v>Friday Night Magic 2003 F03</v>
      </c>
      <c r="B905" s="1" cm="1">
        <f t="array" aca="1" ref="B905" ca="1">INDIRECT(_xlfn.CONCAT("$J", $F905))</f>
        <v>13</v>
      </c>
      <c r="C905" s="1" cm="1">
        <f t="array" aca="1" ref="C905" ca="1">INDIRECT(_xlfn.CONCAT("$K", $F905))</f>
        <v>37622</v>
      </c>
      <c r="D905" s="1"/>
      <c r="E905" s="1" t="str" cm="1">
        <f t="array" aca="1" ref="E905" ca="1">INDIRECT(_xlfn.CONCAT("$L", $F905))</f>
        <v>en es fr de it pt ja ko ru 汉语 漢語</v>
      </c>
      <c r="F905" s="1" cm="1">
        <f t="array" aca="1" ref="F905" ca="1">IF(NOT(OR(ISERROR(INDIRECT(_xlfn.CONCAT("$I", $F904 + 1))), ISBLANK(INDIRECT(_xlfn.CONCAT("$I", $F904 + 1))))), $F904 + 1, IF(NOT(ISBLANK(INDIRECT(_xlfn.CONCAT("$I", $F904 + 2)))), $F904 + 2, ""))</f>
        <v>1754</v>
      </c>
    </row>
    <row r="906" spans="1:12" ht="59.25">
      <c r="A906" s="1" t="str" cm="1">
        <f t="array" aca="1" ref="A906" ca="1">INDIRECT(_xlfn.CONCAT("$I", $F906))</f>
        <v>Vintage Championship OVNT</v>
      </c>
      <c r="B906" s="1" cm="1">
        <f t="array" aca="1" ref="B906" ca="1">INDIRECT(_xlfn.CONCAT("$J", $F906))</f>
        <v>35</v>
      </c>
      <c r="C906" s="1" cm="1">
        <f t="array" aca="1" ref="C906" ca="1">INDIRECT(_xlfn.CONCAT("$K", $F906))</f>
        <v>37622</v>
      </c>
      <c r="D906" s="1"/>
      <c r="E906" s="1" t="str" cm="1">
        <f t="array" aca="1" ref="E906" ca="1">INDIRECT(_xlfn.CONCAT("$L", $F906))</f>
        <v>en es fr de it pt ja ko ru 汉语 漢語</v>
      </c>
      <c r="F906" s="1" cm="1">
        <f t="array" aca="1" ref="F906" ca="1">IF(NOT(OR(ISERROR(INDIRECT(_xlfn.CONCAT("$I", $F905 + 1))), ISBLANK(INDIRECT(_xlfn.CONCAT("$I", $F905 + 1))))), $F905 + 1, IF(NOT(ISBLANK(INDIRECT(_xlfn.CONCAT("$I", $F905 + 2)))), $F905 + 2, ""))</f>
        <v>1756</v>
      </c>
      <c r="I906" s="8" t="s">
        <v>623</v>
      </c>
      <c r="J906" s="8">
        <v>41</v>
      </c>
      <c r="K906" s="9">
        <v>43273</v>
      </c>
      <c r="L906" t="s">
        <v>174</v>
      </c>
    </row>
    <row r="907" spans="1:12" ht="68.25">
      <c r="A907" s="1" t="str" cm="1">
        <f t="array" aca="1" ref="A907" ca="1">INDIRECT(_xlfn.CONCAT("$I", $F907))</f>
        <v>World Championship Decks 2002 WC02</v>
      </c>
      <c r="B907" s="1" cm="1">
        <f t="array" aca="1" ref="B907" ca="1">INDIRECT(_xlfn.CONCAT("$J", $F907))</f>
        <v>153</v>
      </c>
      <c r="C907" s="1" cm="1">
        <f t="array" aca="1" ref="C907" ca="1">INDIRECT(_xlfn.CONCAT("$K", $F907))</f>
        <v>37591</v>
      </c>
      <c r="D907" s="1"/>
      <c r="E907" s="1" t="str" cm="1">
        <f t="array" aca="1" ref="E907" ca="1">INDIRECT(_xlfn.CONCAT("$L", $F907))</f>
        <v>en es fr de it pt ja ko ru 汉语 漢語</v>
      </c>
      <c r="F907" s="1" cm="1">
        <f t="array" aca="1" ref="F907" ca="1">IF(NOT(OR(ISERROR(INDIRECT(_xlfn.CONCAT("$I", $F906 + 1))), ISBLANK(INDIRECT(_xlfn.CONCAT("$I", $F906 + 1))))), $F906 + 1, IF(NOT(ISBLANK(INDIRECT(_xlfn.CONCAT("$I", $F906 + 2)))), $F906 + 2, ""))</f>
        <v>1758</v>
      </c>
    </row>
    <row r="908" spans="1:12" ht="59.25">
      <c r="A908" s="1" t="str" cm="1">
        <f t="array" aca="1" ref="A908" ca="1">INDIRECT(_xlfn.CONCAT("$I", $F908))</f>
        <v>Onslaught ONS</v>
      </c>
      <c r="B908" s="1" cm="1">
        <f t="array" aca="1" ref="B908" ca="1">INDIRECT(_xlfn.CONCAT("$J", $F908))</f>
        <v>351</v>
      </c>
      <c r="C908" s="1" cm="1">
        <f t="array" aca="1" ref="C908" ca="1">INDIRECT(_xlfn.CONCAT("$K", $F908))</f>
        <v>37536</v>
      </c>
      <c r="D908" s="1"/>
      <c r="E908" s="1" t="str" cm="1">
        <f t="array" aca="1" ref="E908" ca="1">INDIRECT(_xlfn.CONCAT("$L", $F908))</f>
        <v>en es fr de it pt ja ko ru 汉语 漢語</v>
      </c>
      <c r="F908" s="1" cm="1">
        <f t="array" aca="1" ref="F908" ca="1">IF(NOT(OR(ISERROR(INDIRECT(_xlfn.CONCAT("$I", $F907 + 1))), ISBLANK(INDIRECT(_xlfn.CONCAT("$I", $F907 + 1))))), $F907 + 1, IF(NOT(ISBLANK(INDIRECT(_xlfn.CONCAT("$I", $F907 + 2)))), $F907 + 2, ""))</f>
        <v>1760</v>
      </c>
      <c r="I908" s="8" t="s">
        <v>624</v>
      </c>
      <c r="J908" s="8">
        <v>8</v>
      </c>
      <c r="K908" s="9">
        <v>43266</v>
      </c>
      <c r="L908" s="8" t="s">
        <v>174</v>
      </c>
    </row>
    <row r="909" spans="1:12" ht="59.25">
      <c r="A909" s="1" t="str" cm="1">
        <f t="array" aca="1" ref="A909" ca="1">INDIRECT(_xlfn.CONCAT("$I", $F909))</f>
        <v>Onslaught Promos PONS</v>
      </c>
      <c r="B909" s="1" cm="1">
        <f t="array" aca="1" ref="B909" ca="1">INDIRECT(_xlfn.CONCAT("$J", $F909))</f>
        <v>1</v>
      </c>
      <c r="C909" s="1" cm="1">
        <f t="array" aca="1" ref="C909" ca="1">INDIRECT(_xlfn.CONCAT("$K", $F909))</f>
        <v>37527</v>
      </c>
      <c r="D909" s="1"/>
      <c r="E909" s="1" t="str" cm="1">
        <f t="array" aca="1" ref="E909" ca="1">INDIRECT(_xlfn.CONCAT("$L", $F909))</f>
        <v>en es fr de it pt ja ko ru 汉语 漢語</v>
      </c>
      <c r="F909" s="1" cm="1">
        <f t="array" aca="1" ref="F909" ca="1">IF(NOT(OR(ISERROR(INDIRECT(_xlfn.CONCAT("$I", $F908 + 1))), ISBLANK(INDIRECT(_xlfn.CONCAT("$I", $F908 + 1))))), $F908 + 1, IF(NOT(ISBLANK(INDIRECT(_xlfn.CONCAT("$I", $F908 + 2)))), $F908 + 2, ""))</f>
        <v>1762</v>
      </c>
    </row>
    <row r="910" spans="1:12" ht="59.25">
      <c r="A910" s="1" t="str" cm="1">
        <f t="array" aca="1" ref="A910" ca="1">INDIRECT(_xlfn.CONCAT("$I", $F910))</f>
        <v>Hobby Japan Promos JP1</v>
      </c>
      <c r="B910" s="1" cm="1">
        <f t="array" aca="1" ref="B910" ca="1">INDIRECT(_xlfn.CONCAT("$J", $F910))</f>
        <v>5</v>
      </c>
      <c r="C910" s="1" cm="1">
        <f t="array" aca="1" ref="C910" ca="1">INDIRECT(_xlfn.CONCAT("$K", $F910))</f>
        <v>37438</v>
      </c>
      <c r="D910" s="1"/>
      <c r="E910" s="1" t="str" cm="1">
        <f t="array" aca="1" ref="E910" ca="1">INDIRECT(_xlfn.CONCAT("$L", $F910))</f>
        <v>en es fr de it pt ja ko ru 汉语 漢語</v>
      </c>
      <c r="F910" s="1" cm="1">
        <f t="array" aca="1" ref="F910" ca="1">IF(NOT(OR(ISERROR(INDIRECT(_xlfn.CONCAT("$I", $F909 + 1))), ISBLANK(INDIRECT(_xlfn.CONCAT("$I", $F909 + 1))))), $F909 + 1, IF(NOT(ISBLANK(INDIRECT(_xlfn.CONCAT("$I", $F909 + 2)))), $F909 + 2, ""))</f>
        <v>1764</v>
      </c>
      <c r="I910" s="8" t="s">
        <v>625</v>
      </c>
      <c r="J910" s="8">
        <v>540</v>
      </c>
      <c r="K910" s="9">
        <v>43264</v>
      </c>
    </row>
    <row r="911" spans="1:12" ht="59.25">
      <c r="A911" s="1" t="str" cm="1">
        <f t="array" aca="1" ref="A911" ca="1">INDIRECT(_xlfn.CONCAT("$I", $F911))</f>
        <v>Magic Online Promos PRM</v>
      </c>
      <c r="B911" s="1" cm="1">
        <f t="array" aca="1" ref="B911" ca="1">INDIRECT(_xlfn.CONCAT("$J", $F911))</f>
        <v>3110</v>
      </c>
      <c r="C911" s="1" cm="1">
        <f t="array" aca="1" ref="C911" ca="1">INDIRECT(_xlfn.CONCAT("$K", $F911))</f>
        <v>37431</v>
      </c>
      <c r="D911" s="1"/>
      <c r="E911" s="1" t="str" cm="1">
        <f t="array" aca="1" ref="E911" ca="1">INDIRECT(_xlfn.CONCAT("$L", $F911))</f>
        <v>en es fr de it pt ja ko ru 汉语 漢語</v>
      </c>
      <c r="F911" s="1" cm="1">
        <f t="array" aca="1" ref="F911" ca="1">IF(NOT(OR(ISERROR(INDIRECT(_xlfn.CONCAT("$I", $F910 + 1))), ISBLANK(INDIRECT(_xlfn.CONCAT("$I", $F910 + 1))))), $F910 + 1, IF(NOT(ISBLANK(INDIRECT(_xlfn.CONCAT("$I", $F910 + 2)))), $F910 + 2, ""))</f>
        <v>1766</v>
      </c>
    </row>
    <row r="912" spans="1:12" ht="59.25">
      <c r="A912" s="1" t="str" cm="1">
        <f t="array" aca="1" ref="A912" ca="1">INDIRECT(_xlfn.CONCAT("$I", $F912))</f>
        <v>Judgment JUD</v>
      </c>
      <c r="B912" s="1" cm="1">
        <f t="array" aca="1" ref="B912" ca="1">INDIRECT(_xlfn.CONCAT("$J", $F912))</f>
        <v>143</v>
      </c>
      <c r="C912" s="1" cm="1">
        <f t="array" aca="1" ref="C912" ca="1">INDIRECT(_xlfn.CONCAT("$K", $F912))</f>
        <v>37403</v>
      </c>
      <c r="D912" s="1"/>
      <c r="E912" s="1" t="str" cm="1">
        <f t="array" aca="1" ref="E912" ca="1">INDIRECT(_xlfn.CONCAT("$L", $F912))</f>
        <v>en es fr de it pt ja ko ru 汉语 漢語</v>
      </c>
      <c r="F912" s="1" cm="1">
        <f t="array" aca="1" ref="F912" ca="1">IF(NOT(OR(ISERROR(INDIRECT(_xlfn.CONCAT("$I", $F911 + 1))), ISBLANK(INDIRECT(_xlfn.CONCAT("$I", $F911 + 1))))), $F911 + 1, IF(NOT(ISBLANK(INDIRECT(_xlfn.CONCAT("$I", $F911 + 2)))), $F911 + 2, ""))</f>
        <v>1768</v>
      </c>
      <c r="I912" s="8" t="s">
        <v>626</v>
      </c>
      <c r="J912" s="8">
        <v>312</v>
      </c>
      <c r="K912" s="9">
        <v>43259</v>
      </c>
      <c r="L912" s="8" t="s">
        <v>174</v>
      </c>
    </row>
    <row r="913" spans="1:12" ht="59.25">
      <c r="A913" s="1" t="str" cm="1">
        <f t="array" aca="1" ref="A913" ca="1">INDIRECT(_xlfn.CONCAT("$I", $F913))</f>
        <v>Judgment Promos PJUD</v>
      </c>
      <c r="B913" s="1" cm="1">
        <f t="array" aca="1" ref="B913" ca="1">INDIRECT(_xlfn.CONCAT("$J", $F913))</f>
        <v>1</v>
      </c>
      <c r="C913" s="1" cm="1">
        <f t="array" aca="1" ref="C913" ca="1">INDIRECT(_xlfn.CONCAT("$K", $F913))</f>
        <v>37403</v>
      </c>
      <c r="D913" s="1"/>
      <c r="E913" s="1" t="str" cm="1">
        <f t="array" aca="1" ref="E913" ca="1">INDIRECT(_xlfn.CONCAT("$L", $F913))</f>
        <v>en es fr de it pt ja ko ru 汉语 漢語</v>
      </c>
      <c r="F913" s="1" cm="1">
        <f t="array" aca="1" ref="F913" ca="1">IF(NOT(OR(ISERROR(INDIRECT(_xlfn.CONCAT("$I", $F912 + 1))), ISBLANK(INDIRECT(_xlfn.CONCAT("$I", $F912 + 1))))), $F912 + 1, IF(NOT(ISBLANK(INDIRECT(_xlfn.CONCAT("$I", $F912 + 2)))), $F912 + 2, ""))</f>
        <v>1770</v>
      </c>
    </row>
    <row r="914" spans="1:12" ht="59.25">
      <c r="A914" s="1" t="str" cm="1">
        <f t="array" aca="1" ref="A914" ca="1">INDIRECT(_xlfn.CONCAT("$I", $F914))</f>
        <v>Torment TOR</v>
      </c>
      <c r="B914" s="1" cm="1">
        <f t="array" aca="1" ref="B914" ca="1">INDIRECT(_xlfn.CONCAT("$J", $F914))</f>
        <v>143</v>
      </c>
      <c r="C914" s="1" cm="1">
        <f t="array" aca="1" ref="C914" ca="1">INDIRECT(_xlfn.CONCAT("$K", $F914))</f>
        <v>37291</v>
      </c>
      <c r="D914" s="1"/>
      <c r="E914" s="1" t="str" cm="1">
        <f t="array" aca="1" ref="E914" ca="1">INDIRECT(_xlfn.CONCAT("$L", $F914))</f>
        <v>en es fr de it pt ja ko ru 汉语 漢語</v>
      </c>
      <c r="F914" s="1" cm="1">
        <f t="array" aca="1" ref="F914" ca="1">IF(NOT(OR(ISERROR(INDIRECT(_xlfn.CONCAT("$I", $F913 + 1))), ISBLANK(INDIRECT(_xlfn.CONCAT("$I", $F913 + 1))))), $F913 + 1, IF(NOT(ISBLANK(INDIRECT(_xlfn.CONCAT("$I", $F913 + 2)))), $F913 + 2, ""))</f>
        <v>1772</v>
      </c>
      <c r="I914" s="8" t="s">
        <v>627</v>
      </c>
      <c r="J914" s="8">
        <v>19</v>
      </c>
      <c r="K914" s="9">
        <v>43259</v>
      </c>
      <c r="L914" s="8" t="s">
        <v>174</v>
      </c>
    </row>
    <row r="915" spans="1:12" ht="59.25">
      <c r="A915" s="1" t="str" cm="1">
        <f t="array" aca="1" ref="A915" ca="1">INDIRECT(_xlfn.CONCAT("$I", $F915))</f>
        <v>Torment Promos PTOR</v>
      </c>
      <c r="B915" s="1" cm="1">
        <f t="array" aca="1" ref="B915" ca="1">INDIRECT(_xlfn.CONCAT("$J", $F915))</f>
        <v>3</v>
      </c>
      <c r="C915" s="1" cm="1">
        <f t="array" aca="1" ref="C915" ca="1">INDIRECT(_xlfn.CONCAT("$K", $F915))</f>
        <v>37291</v>
      </c>
      <c r="D915" s="1"/>
      <c r="E915" s="1" t="str" cm="1">
        <f t="array" aca="1" ref="E915" ca="1">INDIRECT(_xlfn.CONCAT("$L", $F915))</f>
        <v>en es fr de it pt ja ko ru 汉语 漢語</v>
      </c>
      <c r="F915" s="1" cm="1">
        <f t="array" aca="1" ref="F915" ca="1">IF(NOT(OR(ISERROR(INDIRECT(_xlfn.CONCAT("$I", $F914 + 1))), ISBLANK(INDIRECT(_xlfn.CONCAT("$I", $F914 + 1))))), $F914 + 1, IF(NOT(ISBLANK(INDIRECT(_xlfn.CONCAT("$I", $F914 + 2)))), $F914 + 2, ""))</f>
        <v>1774</v>
      </c>
    </row>
    <row r="916" spans="1:12" ht="59.25">
      <c r="A916" s="1" t="str" cm="1">
        <f t="array" aca="1" ref="A916" ca="1">INDIRECT(_xlfn.CONCAT("$I", $F916))</f>
        <v>Arena League 2002 PAL02</v>
      </c>
      <c r="B916" s="1" cm="1">
        <f t="array" aca="1" ref="B916" ca="1">INDIRECT(_xlfn.CONCAT("$J", $F916))</f>
        <v>5</v>
      </c>
      <c r="C916" s="1" cm="1">
        <f t="array" aca="1" ref="C916" ca="1">INDIRECT(_xlfn.CONCAT("$K", $F916))</f>
        <v>37257</v>
      </c>
      <c r="D916" s="1"/>
      <c r="E916" s="1" t="str" cm="1">
        <f t="array" aca="1" ref="E916" ca="1">INDIRECT(_xlfn.CONCAT("$L", $F916))</f>
        <v>en es fr de it pt ja ko ru 汉语 漢語</v>
      </c>
      <c r="F916" s="1" cm="1">
        <f t="array" aca="1" ref="F916" ca="1">IF(NOT(OR(ISERROR(INDIRECT(_xlfn.CONCAT("$I", $F915 + 1))), ISBLANK(INDIRECT(_xlfn.CONCAT("$I", $F915 + 1))))), $F915 + 1, IF(NOT(ISBLANK(INDIRECT(_xlfn.CONCAT("$I", $F915 + 2)))), $F915 + 2, ""))</f>
        <v>1776</v>
      </c>
      <c r="I916" s="8" t="s">
        <v>628</v>
      </c>
      <c r="J916" s="8">
        <v>256</v>
      </c>
      <c r="K916" s="9">
        <v>43259</v>
      </c>
      <c r="L916" t="s">
        <v>174</v>
      </c>
    </row>
    <row r="917" spans="1:12" ht="59.25">
      <c r="A917" s="1" t="str" cm="1">
        <f t="array" aca="1" ref="A917" ca="1">INDIRECT(_xlfn.CONCAT("$I", $F917))</f>
        <v>Magic Player Rewards 2002 PR2</v>
      </c>
      <c r="B917" s="1" cm="1">
        <f t="array" aca="1" ref="B917" ca="1">INDIRECT(_xlfn.CONCAT("$J", $F917))</f>
        <v>6</v>
      </c>
      <c r="C917" s="1" cm="1">
        <f t="array" aca="1" ref="C917" ca="1">INDIRECT(_xlfn.CONCAT("$K", $F917))</f>
        <v>37257</v>
      </c>
      <c r="D917" s="1"/>
      <c r="E917" s="1" t="str" cm="1">
        <f t="array" aca="1" ref="E917" ca="1">INDIRECT(_xlfn.CONCAT("$L", $F917))</f>
        <v>en es fr de it pt ja ko ru 汉语 漢語</v>
      </c>
      <c r="F917" s="1" cm="1">
        <f t="array" aca="1" ref="F917" ca="1">IF(NOT(OR(ISERROR(INDIRECT(_xlfn.CONCAT("$I", $F916 + 1))), ISBLANK(INDIRECT(_xlfn.CONCAT("$I", $F916 + 1))))), $F916 + 1, IF(NOT(ISBLANK(INDIRECT(_xlfn.CONCAT("$I", $F916 + 2)))), $F916 + 2, ""))</f>
        <v>1778</v>
      </c>
    </row>
    <row r="918" spans="1:12" ht="59.25">
      <c r="A918" s="1" t="str" cm="1">
        <f t="array" aca="1" ref="A918" ca="1">INDIRECT(_xlfn.CONCAT("$I", $F918))</f>
        <v>Judge Gift Cards 2002 G02</v>
      </c>
      <c r="B918" s="1" cm="1">
        <f t="array" aca="1" ref="B918" ca="1">INDIRECT(_xlfn.CONCAT("$J", $F918))</f>
        <v>2</v>
      </c>
      <c r="C918" s="1" cm="1">
        <f t="array" aca="1" ref="C918" ca="1">INDIRECT(_xlfn.CONCAT("$K", $F918))</f>
        <v>37257</v>
      </c>
      <c r="D918" s="1"/>
      <c r="E918" s="1" t="str" cm="1">
        <f t="array" aca="1" ref="E918" ca="1">INDIRECT(_xlfn.CONCAT("$L", $F918))</f>
        <v>en es fr de it pt ja ko ru 汉语 漢語</v>
      </c>
      <c r="F918" s="1" cm="1">
        <f t="array" aca="1" ref="F918" ca="1">IF(NOT(OR(ISERROR(INDIRECT(_xlfn.CONCAT("$I", $F917 + 1))), ISBLANK(INDIRECT(_xlfn.CONCAT("$I", $F917 + 1))))), $F917 + 1, IF(NOT(ISBLANK(INDIRECT(_xlfn.CONCAT("$I", $F917 + 2)))), $F917 + 2, ""))</f>
        <v>1780</v>
      </c>
      <c r="I918" s="8" t="s">
        <v>629</v>
      </c>
      <c r="J918" s="8">
        <v>22</v>
      </c>
      <c r="K918" s="9">
        <v>43259</v>
      </c>
      <c r="L918" s="8" t="s">
        <v>174</v>
      </c>
    </row>
    <row r="919" spans="1:12" ht="59.25">
      <c r="A919" s="1" t="str" cm="1">
        <f t="array" aca="1" ref="A919" ca="1">INDIRECT(_xlfn.CONCAT("$I", $F919))</f>
        <v>Friday Night Magic 2002 F02</v>
      </c>
      <c r="B919" s="1" cm="1">
        <f t="array" aca="1" ref="B919" ca="1">INDIRECT(_xlfn.CONCAT("$J", $F919))</f>
        <v>12</v>
      </c>
      <c r="C919" s="1" cm="1">
        <f t="array" aca="1" ref="C919" ca="1">INDIRECT(_xlfn.CONCAT("$K", $F919))</f>
        <v>37257</v>
      </c>
      <c r="D919" s="1"/>
      <c r="E919" s="1" t="str" cm="1">
        <f t="array" aca="1" ref="E919" ca="1">INDIRECT(_xlfn.CONCAT("$L", $F919))</f>
        <v>en es fr de it pt ja ko ru 汉语 漢語</v>
      </c>
      <c r="F919" s="1" cm="1">
        <f t="array" aca="1" ref="F919" ca="1">IF(NOT(OR(ISERROR(INDIRECT(_xlfn.CONCAT("$I", $F918 + 1))), ISBLANK(INDIRECT(_xlfn.CONCAT("$I", $F918 + 1))))), $F918 + 1, IF(NOT(ISBLANK(INDIRECT(_xlfn.CONCAT("$I", $F918 + 2)))), $F918 + 2, ""))</f>
        <v>1782</v>
      </c>
    </row>
    <row r="920" spans="1:12" ht="59.25">
      <c r="A920" s="1" t="str" cm="1">
        <f t="array" aca="1" ref="A920" ca="1">INDIRECT(_xlfn.CONCAT("$I", $F920))</f>
        <v>Deckmasters DKM</v>
      </c>
      <c r="B920" s="1" cm="1">
        <f t="array" aca="1" ref="B920" ca="1">INDIRECT(_xlfn.CONCAT("$J", $F920))</f>
        <v>58</v>
      </c>
      <c r="C920" s="1" cm="1">
        <f t="array" aca="1" ref="C920" ca="1">INDIRECT(_xlfn.CONCAT("$K", $F920))</f>
        <v>37226</v>
      </c>
      <c r="D920" s="1"/>
      <c r="E920" s="1" t="str" cm="1">
        <f t="array" aca="1" ref="E920" ca="1">INDIRECT(_xlfn.CONCAT("$L", $F920))</f>
        <v>en es fr de it pt ja ko ru 汉语 漢語</v>
      </c>
      <c r="F920" s="1" cm="1">
        <f t="array" aca="1" ref="F920" ca="1">IF(NOT(OR(ISERROR(INDIRECT(_xlfn.CONCAT("$I", $F919 + 1))), ISBLANK(INDIRECT(_xlfn.CONCAT("$I", $F919 + 1))))), $F919 + 1, IF(NOT(ISBLANK(INDIRECT(_xlfn.CONCAT("$I", $F919 + 2)))), $F919 + 2, ""))</f>
        <v>1784</v>
      </c>
      <c r="I920" s="8" t="s">
        <v>630</v>
      </c>
      <c r="J920" s="8">
        <v>8</v>
      </c>
      <c r="K920" s="9">
        <v>43259</v>
      </c>
      <c r="L920" s="8" t="s">
        <v>174</v>
      </c>
    </row>
    <row r="921" spans="1:12" ht="59.25">
      <c r="A921" s="1" t="str" cm="1">
        <f t="array" aca="1" ref="A921" ca="1">INDIRECT(_xlfn.CONCAT("$I", $F921))</f>
        <v>Odyssey ODY</v>
      </c>
      <c r="B921" s="1" cm="1">
        <f t="array" aca="1" ref="B921" ca="1">INDIRECT(_xlfn.CONCAT("$J", $F921))</f>
        <v>353</v>
      </c>
      <c r="C921" s="1" cm="1">
        <f t="array" aca="1" ref="C921" ca="1">INDIRECT(_xlfn.CONCAT("$K", $F921))</f>
        <v>37165</v>
      </c>
      <c r="D921" s="1"/>
      <c r="E921" s="1" t="str" cm="1">
        <f t="array" aca="1" ref="E921" ca="1">INDIRECT(_xlfn.CONCAT("$L", $F921))</f>
        <v>en es fr de it pt ja ko ru 汉语 漢語</v>
      </c>
      <c r="F921" s="1" cm="1">
        <f t="array" aca="1" ref="F921" ca="1">IF(NOT(OR(ISERROR(INDIRECT(_xlfn.CONCAT("$I", $F920 + 1))), ISBLANK(INDIRECT(_xlfn.CONCAT("$I", $F920 + 1))))), $F920 + 1, IF(NOT(ISBLANK(INDIRECT(_xlfn.CONCAT("$I", $F920 + 2)))), $F920 + 2, ""))</f>
        <v>1786</v>
      </c>
    </row>
    <row r="922" spans="1:12" ht="59.25">
      <c r="A922" s="1" t="str" cm="1">
        <f t="array" aca="1" ref="A922" ca="1">INDIRECT(_xlfn.CONCAT("$I", $F922))</f>
        <v>Odyssey Promos PODY</v>
      </c>
      <c r="B922" s="1" cm="1">
        <f t="array" aca="1" ref="B922" ca="1">INDIRECT(_xlfn.CONCAT("$J", $F922))</f>
        <v>1</v>
      </c>
      <c r="C922" s="1" cm="1">
        <f t="array" aca="1" ref="C922" ca="1">INDIRECT(_xlfn.CONCAT("$K", $F922))</f>
        <v>37165</v>
      </c>
      <c r="D922" s="1"/>
      <c r="E922" s="1" t="str" cm="1">
        <f t="array" aca="1" ref="E922" ca="1">INDIRECT(_xlfn.CONCAT("$L", $F922))</f>
        <v>en es fr de it pt ja ko ru 汉语 漢語</v>
      </c>
      <c r="F922" s="1" cm="1">
        <f t="array" aca="1" ref="F922" ca="1">IF(NOT(OR(ISERROR(INDIRECT(_xlfn.CONCAT("$I", $F921 + 1))), ISBLANK(INDIRECT(_xlfn.CONCAT("$I", $F921 + 1))))), $F921 + 1, IF(NOT(ISBLANK(INDIRECT(_xlfn.CONCAT("$I", $F921 + 2)))), $F921 + 2, ""))</f>
        <v>1788</v>
      </c>
      <c r="I922" s="8" t="s">
        <v>631</v>
      </c>
      <c r="J922" s="8">
        <v>600</v>
      </c>
      <c r="K922" s="9">
        <v>43243</v>
      </c>
    </row>
    <row r="923" spans="1:12" ht="68.25">
      <c r="A923" s="1" t="str" cm="1">
        <f t="array" aca="1" ref="A923" ca="1">INDIRECT(_xlfn.CONCAT("$I", $F923))</f>
        <v>World Championship Decks 2001 WC01</v>
      </c>
      <c r="B923" s="1" cm="1">
        <f t="array" aca="1" ref="B923" ca="1">INDIRECT(_xlfn.CONCAT("$J", $F923))</f>
        <v>138</v>
      </c>
      <c r="C923" s="1" cm="1">
        <f t="array" aca="1" ref="C923" ca="1">INDIRECT(_xlfn.CONCAT("$K", $F923))</f>
        <v>37111</v>
      </c>
      <c r="D923" s="1"/>
      <c r="E923" s="1" t="str" cm="1">
        <f t="array" aca="1" ref="E923" ca="1">INDIRECT(_xlfn.CONCAT("$L", $F923))</f>
        <v>en es fr de it pt ja ko ru 汉语 漢語</v>
      </c>
      <c r="F923" s="1" cm="1">
        <f t="array" aca="1" ref="F923" ca="1">IF(NOT(OR(ISERROR(INDIRECT(_xlfn.CONCAT("$I", $F922 + 1))), ISBLANK(INDIRECT(_xlfn.CONCAT("$I", $F922 + 1))))), $F922 + 1, IF(NOT(ISBLANK(INDIRECT(_xlfn.CONCAT("$I", $F922 + 2)))), $F922 + 2, ""))</f>
        <v>1790</v>
      </c>
    </row>
    <row r="924" spans="1:12" ht="59.25">
      <c r="A924" s="1" t="str" cm="1">
        <f t="array" aca="1" ref="A924" ca="1">INDIRECT(_xlfn.CONCAT("$I", $F924))</f>
        <v>Sega Dreamcast Cards PSDG</v>
      </c>
      <c r="B924" s="1" cm="1">
        <f t="array" aca="1" ref="B924" ca="1">INDIRECT(_xlfn.CONCAT("$J", $F924))</f>
        <v>10</v>
      </c>
      <c r="C924" s="1" cm="1">
        <f t="array" aca="1" ref="C924" ca="1">INDIRECT(_xlfn.CONCAT("$K", $F924))</f>
        <v>37070</v>
      </c>
      <c r="D924" s="1"/>
      <c r="E924" s="1" t="str" cm="1">
        <f t="array" aca="1" ref="E924" ca="1">INDIRECT(_xlfn.CONCAT("$L", $F924))</f>
        <v>en es fr de it pt ja ko ru 汉语 漢語</v>
      </c>
      <c r="F924" s="1" cm="1">
        <f t="array" aca="1" ref="F924" ca="1">IF(NOT(OR(ISERROR(INDIRECT(_xlfn.CONCAT("$I", $F923 + 1))), ISBLANK(INDIRECT(_xlfn.CONCAT("$I", $F923 + 1))))), $F923 + 1, IF(NOT(ISBLANK(INDIRECT(_xlfn.CONCAT("$I", $F923 + 2)))), $F923 + 2, ""))</f>
        <v>1792</v>
      </c>
      <c r="I924" s="8" t="s">
        <v>173</v>
      </c>
      <c r="J924" s="8">
        <v>280</v>
      </c>
      <c r="K924" s="9">
        <v>43217</v>
      </c>
      <c r="L924" t="s">
        <v>174</v>
      </c>
    </row>
    <row r="925" spans="1:12" ht="59.25">
      <c r="A925" s="1" t="str" cm="1">
        <f t="array" aca="1" ref="A925" ca="1">INDIRECT(_xlfn.CONCAT("$I", $F925))</f>
        <v>Apocalypse APC</v>
      </c>
      <c r="B925" s="1" cm="1">
        <f t="array" aca="1" ref="B925" ca="1">INDIRECT(_xlfn.CONCAT("$J", $F925))</f>
        <v>143</v>
      </c>
      <c r="C925" s="1" cm="1">
        <f t="array" aca="1" ref="C925" ca="1">INDIRECT(_xlfn.CONCAT("$K", $F925))</f>
        <v>37046</v>
      </c>
      <c r="D925" s="1"/>
      <c r="E925" s="1" t="str" cm="1">
        <f t="array" aca="1" ref="E925" ca="1">INDIRECT(_xlfn.CONCAT("$L", $F925))</f>
        <v>en es fr de it pt ja ko ru 汉语 漢語</v>
      </c>
      <c r="F925" s="1" cm="1">
        <f t="array" aca="1" ref="F925" ca="1">IF(NOT(OR(ISERROR(INDIRECT(_xlfn.CONCAT("$I", $F924 + 1))), ISBLANK(INDIRECT(_xlfn.CONCAT("$I", $F924 + 1))))), $F924 + 1, IF(NOT(ISBLANK(INDIRECT(_xlfn.CONCAT("$I", $F924 + 2)))), $F924 + 2, ""))</f>
        <v>1794</v>
      </c>
    </row>
    <row r="926" spans="1:12" ht="59.25">
      <c r="A926" s="1" t="str" cm="1">
        <f t="array" aca="1" ref="A926" ca="1">INDIRECT(_xlfn.CONCAT("$I", $F926))</f>
        <v>Apocalypse Promos PAPC</v>
      </c>
      <c r="B926" s="1" cm="1">
        <f t="array" aca="1" ref="B926" ca="1">INDIRECT(_xlfn.CONCAT("$J", $F926))</f>
        <v>1</v>
      </c>
      <c r="C926" s="1" cm="1">
        <f t="array" aca="1" ref="C926" ca="1">INDIRECT(_xlfn.CONCAT("$K", $F926))</f>
        <v>37046</v>
      </c>
      <c r="D926" s="1"/>
      <c r="E926" s="1" t="str" cm="1">
        <f t="array" aca="1" ref="E926" ca="1">INDIRECT(_xlfn.CONCAT("$L", $F926))</f>
        <v>en es fr de it pt ja ko ru 汉语 漢語</v>
      </c>
      <c r="F926" s="1" cm="1">
        <f t="array" aca="1" ref="F926" ca="1">IF(NOT(OR(ISERROR(INDIRECT(_xlfn.CONCAT("$I", $F925 + 1))), ISBLANK(INDIRECT(_xlfn.CONCAT("$I", $F925 + 1))))), $F925 + 1, IF(NOT(ISBLANK(INDIRECT(_xlfn.CONCAT("$I", $F925 + 2)))), $F925 + 2, ""))</f>
        <v>1796</v>
      </c>
      <c r="I926" s="8" t="s">
        <v>632</v>
      </c>
      <c r="J926" s="8">
        <v>118</v>
      </c>
      <c r="K926" s="9">
        <v>43217</v>
      </c>
      <c r="L926" t="s">
        <v>174</v>
      </c>
    </row>
    <row r="927" spans="1:12" ht="59.25">
      <c r="A927" s="1" t="str" cm="1">
        <f t="array" aca="1" ref="A927" ca="1">INDIRECT(_xlfn.CONCAT("$I", $F927))</f>
        <v>Seventh Edition 7ED</v>
      </c>
      <c r="B927" s="1" cm="1">
        <f t="array" aca="1" ref="B927" ca="1">INDIRECT(_xlfn.CONCAT("$J", $F927))</f>
        <v>708</v>
      </c>
      <c r="C927" s="1" cm="1">
        <f t="array" aca="1" ref="C927" ca="1">INDIRECT(_xlfn.CONCAT("$K", $F927))</f>
        <v>36992</v>
      </c>
      <c r="D927" s="1"/>
      <c r="E927" s="1" t="str" cm="1">
        <f t="array" aca="1" ref="E927" ca="1">INDIRECT(_xlfn.CONCAT("$L", $F927))</f>
        <v>en es fr de it pt ja ko ru 汉语 漢語</v>
      </c>
      <c r="F927" s="1" cm="1">
        <f t="array" aca="1" ref="F927" ca="1">IF(NOT(OR(ISERROR(INDIRECT(_xlfn.CONCAT("$I", $F926 + 1))), ISBLANK(INDIRECT(_xlfn.CONCAT("$I", $F926 + 1))))), $F926 + 1, IF(NOT(ISBLANK(INDIRECT(_xlfn.CONCAT("$I", $F926 + 2)))), $F926 + 2, ""))</f>
        <v>1798</v>
      </c>
    </row>
    <row r="928" spans="1:12" ht="59.25">
      <c r="A928" s="1" t="str" cm="1">
        <f t="array" aca="1" ref="A928" ca="1">INDIRECT(_xlfn.CONCAT("$I", $F928))</f>
        <v>Planeshift PLS</v>
      </c>
      <c r="B928" s="1" cm="1">
        <f t="array" aca="1" ref="B928" ca="1">INDIRECT(_xlfn.CONCAT("$J", $F928))</f>
        <v>146</v>
      </c>
      <c r="C928" s="1" cm="1">
        <f t="array" aca="1" ref="C928" ca="1">INDIRECT(_xlfn.CONCAT("$K", $F928))</f>
        <v>36927</v>
      </c>
      <c r="D928" s="1"/>
      <c r="E928" s="1" t="str" cm="1">
        <f t="array" aca="1" ref="E928" ca="1">INDIRECT(_xlfn.CONCAT("$L", $F928))</f>
        <v>en es fr de it pt ja ko ru 汉语 漢語</v>
      </c>
      <c r="F928" s="1" cm="1">
        <f t="array" aca="1" ref="F928" ca="1">IF(NOT(OR(ISERROR(INDIRECT(_xlfn.CONCAT("$I", $F927 + 1))), ISBLANK(INDIRECT(_xlfn.CONCAT("$I", $F927 + 1))))), $F927 + 1, IF(NOT(ISBLANK(INDIRECT(_xlfn.CONCAT("$I", $F927 + 2)))), $F927 + 2, ""))</f>
        <v>1800</v>
      </c>
      <c r="I928" s="8" t="s">
        <v>633</v>
      </c>
      <c r="J928" s="8">
        <v>16</v>
      </c>
      <c r="K928" s="9">
        <v>43217</v>
      </c>
      <c r="L928" s="8" t="s">
        <v>174</v>
      </c>
    </row>
    <row r="929" spans="1:12" ht="59.25">
      <c r="A929" s="1" t="str" cm="1">
        <f t="array" aca="1" ref="A929" ca="1">INDIRECT(_xlfn.CONCAT("$I", $F929))</f>
        <v>Planeshift Promos PPLS</v>
      </c>
      <c r="B929" s="1" cm="1">
        <f t="array" aca="1" ref="B929" ca="1">INDIRECT(_xlfn.CONCAT("$J", $F929))</f>
        <v>1</v>
      </c>
      <c r="C929" s="1" cm="1">
        <f t="array" aca="1" ref="C929" ca="1">INDIRECT(_xlfn.CONCAT("$K", $F929))</f>
        <v>36927</v>
      </c>
      <c r="D929" s="1"/>
      <c r="E929" s="1" t="str" cm="1">
        <f t="array" aca="1" ref="E929" ca="1">INDIRECT(_xlfn.CONCAT("$L", $F929))</f>
        <v>en es fr de it pt ja ko ru 汉语 漢語</v>
      </c>
      <c r="F929" s="1" cm="1">
        <f t="array" aca="1" ref="F929" ca="1">IF(NOT(OR(ISERROR(INDIRECT(_xlfn.CONCAT("$I", $F928 + 1))), ISBLANK(INDIRECT(_xlfn.CONCAT("$I", $F928 + 1))))), $F928 + 1, IF(NOT(ISBLANK(INDIRECT(_xlfn.CONCAT("$I", $F928 + 2)))), $F928 + 2, ""))</f>
        <v>1802</v>
      </c>
    </row>
    <row r="930" spans="1:12" ht="59.25">
      <c r="A930" s="1" t="str" cm="1">
        <f t="array" aca="1" ref="A930" ca="1">INDIRECT(_xlfn.CONCAT("$I", $F930))</f>
        <v>Arena League 2001 PAL01</v>
      </c>
      <c r="B930" s="1" cm="1">
        <f t="array" aca="1" ref="B930" ca="1">INDIRECT(_xlfn.CONCAT("$J", $F930))</f>
        <v>12</v>
      </c>
      <c r="C930" s="1" cm="1">
        <f t="array" aca="1" ref="C930" ca="1">INDIRECT(_xlfn.CONCAT("$K", $F930))</f>
        <v>36892</v>
      </c>
      <c r="D930" s="1"/>
      <c r="E930" s="1" t="str" cm="1">
        <f t="array" aca="1" ref="E930" ca="1">INDIRECT(_xlfn.CONCAT("$L", $F930))</f>
        <v>en es fr de it pt ja ko ru 汉语 漢語</v>
      </c>
      <c r="F930" s="1" cm="1">
        <f t="array" aca="1" ref="F930" ca="1">IF(NOT(OR(ISERROR(INDIRECT(_xlfn.CONCAT("$I", $F929 + 1))), ISBLANK(INDIRECT(_xlfn.CONCAT("$I", $F929 + 1))))), $F929 + 1, IF(NOT(ISBLANK(INDIRECT(_xlfn.CONCAT("$I", $F929 + 2)))), $F929 + 2, ""))</f>
        <v>1804</v>
      </c>
      <c r="I930" s="8" t="s">
        <v>634</v>
      </c>
      <c r="J930" s="8">
        <v>76</v>
      </c>
      <c r="K930" s="9">
        <v>43196</v>
      </c>
      <c r="L930" t="s">
        <v>174</v>
      </c>
    </row>
    <row r="931" spans="1:12" ht="59.25">
      <c r="A931" s="1" t="str" cm="1">
        <f t="array" aca="1" ref="A931" ca="1">INDIRECT(_xlfn.CONCAT("$I", $F931))</f>
        <v>Magic Player Rewards 2001 MPR</v>
      </c>
      <c r="B931" s="1" cm="1">
        <f t="array" aca="1" ref="B931" ca="1">INDIRECT(_xlfn.CONCAT("$J", $F931))</f>
        <v>8</v>
      </c>
      <c r="C931" s="1" cm="1">
        <f t="array" aca="1" ref="C931" ca="1">INDIRECT(_xlfn.CONCAT("$K", $F931))</f>
        <v>36892</v>
      </c>
      <c r="D931" s="1"/>
      <c r="E931" s="1" t="str" cm="1">
        <f t="array" aca="1" ref="E931" ca="1">INDIRECT(_xlfn.CONCAT("$L", $F931))</f>
        <v>en es fr de it pt ja ko ru 汉语 漢語</v>
      </c>
      <c r="F931" s="1" cm="1">
        <f t="array" aca="1" ref="F931" ca="1">IF(NOT(OR(ISERROR(INDIRECT(_xlfn.CONCAT("$I", $F930 + 1))), ISBLANK(INDIRECT(_xlfn.CONCAT("$I", $F930 + 1))))), $F930 + 1, IF(NOT(ISBLANK(INDIRECT(_xlfn.CONCAT("$I", $F930 + 2)))), $F930 + 2, ""))</f>
        <v>1806</v>
      </c>
    </row>
    <row r="932" spans="1:12" ht="59.25">
      <c r="A932" s="1" t="str" cm="1">
        <f t="array" aca="1" ref="A932" ca="1">INDIRECT(_xlfn.CONCAT("$I", $F932))</f>
        <v>Judge Gift Cards 2001 G01</v>
      </c>
      <c r="B932" s="1" cm="1">
        <f t="array" aca="1" ref="B932" ca="1">INDIRECT(_xlfn.CONCAT("$J", $F932))</f>
        <v>2</v>
      </c>
      <c r="C932" s="1" cm="1">
        <f t="array" aca="1" ref="C932" ca="1">INDIRECT(_xlfn.CONCAT("$K", $F932))</f>
        <v>36892</v>
      </c>
      <c r="D932" s="1"/>
      <c r="E932" s="1" t="str" cm="1">
        <f t="array" aca="1" ref="E932" ca="1">INDIRECT(_xlfn.CONCAT("$L", $F932))</f>
        <v>en es fr de it pt ja ko ru 汉语 漢語</v>
      </c>
      <c r="F932" s="1" cm="1">
        <f t="array" aca="1" ref="F932" ca="1">IF(NOT(OR(ISERROR(INDIRECT(_xlfn.CONCAT("$I", $F931 + 1))), ISBLANK(INDIRECT(_xlfn.CONCAT("$I", $F931 + 1))))), $F931 + 1, IF(NOT(ISBLANK(INDIRECT(_xlfn.CONCAT("$I", $F931 + 2)))), $F931 + 2, ""))</f>
        <v>1808</v>
      </c>
      <c r="I932" s="8" t="s">
        <v>635</v>
      </c>
      <c r="J932" s="8">
        <v>4</v>
      </c>
      <c r="K932" s="9">
        <v>43196</v>
      </c>
      <c r="L932" s="8" t="s">
        <v>174</v>
      </c>
    </row>
    <row r="933" spans="1:12" ht="59.25">
      <c r="A933" s="1" t="str" cm="1">
        <f t="array" aca="1" ref="A933" ca="1">INDIRECT(_xlfn.CONCAT("$I", $F933))</f>
        <v>Friday Night Magic 2001 F01</v>
      </c>
      <c r="B933" s="1" cm="1">
        <f t="array" aca="1" ref="B933" ca="1">INDIRECT(_xlfn.CONCAT("$J", $F933))</f>
        <v>7</v>
      </c>
      <c r="C933" s="1" cm="1">
        <f t="array" aca="1" ref="C933" ca="1">INDIRECT(_xlfn.CONCAT("$K", $F933))</f>
        <v>36892</v>
      </c>
      <c r="D933" s="1"/>
      <c r="E933" s="1" t="str" cm="1">
        <f t="array" aca="1" ref="E933" ca="1">INDIRECT(_xlfn.CONCAT("$L", $F933))</f>
        <v>en es fr de it pt ja ko ru 汉语 漢語</v>
      </c>
      <c r="F933" s="1" cm="1">
        <f t="array" aca="1" ref="F933" ca="1">IF(NOT(OR(ISERROR(INDIRECT(_xlfn.CONCAT("$I", $F932 + 1))), ISBLANK(INDIRECT(_xlfn.CONCAT("$I", $F932 + 1))))), $F932 + 1, IF(NOT(ISBLANK(INDIRECT(_xlfn.CONCAT("$I", $F932 + 2)))), $F932 + 2, ""))</f>
        <v>1810</v>
      </c>
    </row>
    <row r="934" spans="1:12" ht="59.25">
      <c r="A934" s="1" t="str" cm="1">
        <f t="array" aca="1" ref="A934" ca="1">INDIRECT(_xlfn.CONCAT("$I", $F934))</f>
        <v>Invasion INV</v>
      </c>
      <c r="B934" s="1" cm="1">
        <f t="array" aca="1" ref="B934" ca="1">INDIRECT(_xlfn.CONCAT("$J", $F934))</f>
        <v>354</v>
      </c>
      <c r="C934" s="1" cm="1">
        <f t="array" aca="1" ref="C934" ca="1">INDIRECT(_xlfn.CONCAT("$K", $F934))</f>
        <v>36801</v>
      </c>
      <c r="D934" s="1"/>
      <c r="E934" s="1" t="str" cm="1">
        <f t="array" aca="1" ref="E934" ca="1">INDIRECT(_xlfn.CONCAT("$L", $F934))</f>
        <v>en es fr de it pt ja ko ru 汉语 漢語</v>
      </c>
      <c r="F934" s="1" cm="1">
        <f t="array" aca="1" ref="F934" ca="1">IF(NOT(OR(ISERROR(INDIRECT(_xlfn.CONCAT("$I", $F933 + 1))), ISBLANK(INDIRECT(_xlfn.CONCAT("$I", $F933 + 1))))), $F933 + 1, IF(NOT(ISBLANK(INDIRECT(_xlfn.CONCAT("$I", $F933 + 2)))), $F933 + 2, ""))</f>
        <v>1812</v>
      </c>
      <c r="I934" s="8" t="s">
        <v>636</v>
      </c>
      <c r="J934" s="8">
        <v>249</v>
      </c>
      <c r="K934" s="9">
        <v>43175</v>
      </c>
      <c r="L934" t="s">
        <v>174</v>
      </c>
    </row>
    <row r="935" spans="1:12" ht="59.25">
      <c r="A935" s="1" t="str" cm="1">
        <f t="array" aca="1" ref="A935" ca="1">INDIRECT(_xlfn.CONCAT("$I", $F935))</f>
        <v>Invasion Promos PINV</v>
      </c>
      <c r="B935" s="1" cm="1">
        <f t="array" aca="1" ref="B935" ca="1">INDIRECT(_xlfn.CONCAT("$J", $F935))</f>
        <v>1</v>
      </c>
      <c r="C935" s="1" cm="1">
        <f t="array" aca="1" ref="C935" ca="1">INDIRECT(_xlfn.CONCAT("$K", $F935))</f>
        <v>36801</v>
      </c>
      <c r="D935" s="1"/>
      <c r="E935" s="1" t="str" cm="1">
        <f t="array" aca="1" ref="E935" ca="1">INDIRECT(_xlfn.CONCAT("$L", $F935))</f>
        <v>en es fr de it pt ja ko ru 汉语 漢語</v>
      </c>
      <c r="F935" s="1" cm="1">
        <f t="array" aca="1" ref="F935" ca="1">IF(NOT(OR(ISERROR(INDIRECT(_xlfn.CONCAT("$I", $F934 + 1))), ISBLANK(INDIRECT(_xlfn.CONCAT("$I", $F934 + 1))))), $F934 + 1, IF(NOT(ISBLANK(INDIRECT(_xlfn.CONCAT("$I", $F934 + 2)))), $F934 + 2, ""))</f>
        <v>1814</v>
      </c>
    </row>
    <row r="936" spans="1:12" ht="59.25">
      <c r="A936" s="1" t="str" cm="1">
        <f t="array" aca="1" ref="A936" ca="1">INDIRECT(_xlfn.CONCAT("$I", $F936))</f>
        <v>Beatdown Box Set BTD</v>
      </c>
      <c r="B936" s="1" cm="1">
        <f t="array" aca="1" ref="B936" ca="1">INDIRECT(_xlfn.CONCAT("$J", $F936))</f>
        <v>90</v>
      </c>
      <c r="C936" s="1" cm="1">
        <f t="array" aca="1" ref="C936" ca="1">INDIRECT(_xlfn.CONCAT("$K", $F936))</f>
        <v>36800</v>
      </c>
      <c r="D936" s="1"/>
      <c r="E936" s="1" t="str" cm="1">
        <f t="array" aca="1" ref="E936" ca="1">INDIRECT(_xlfn.CONCAT("$L", $F936))</f>
        <v>en es fr de it pt ja ko ru 汉语 漢語</v>
      </c>
      <c r="F936" s="1" cm="1">
        <f t="array" aca="1" ref="F936" ca="1">IF(NOT(OR(ISERROR(INDIRECT(_xlfn.CONCAT("$I", $F935 + 1))), ISBLANK(INDIRECT(_xlfn.CONCAT("$I", $F935 + 1))))), $F935 + 1, IF(NOT(ISBLANK(INDIRECT(_xlfn.CONCAT("$I", $F935 + 2)))), $F935 + 2, ""))</f>
        <v>1816</v>
      </c>
      <c r="I936" s="8" t="s">
        <v>637</v>
      </c>
      <c r="J936" s="8">
        <v>16</v>
      </c>
      <c r="K936" s="9">
        <v>43175</v>
      </c>
      <c r="L936" s="8" t="s">
        <v>174</v>
      </c>
    </row>
    <row r="937" spans="1:12" ht="68.25">
      <c r="A937" s="1" t="str" cm="1">
        <f t="array" aca="1" ref="A937" ca="1">INDIRECT(_xlfn.CONCAT("$I", $F937))</f>
        <v>World Championship Decks 2000 WC00</v>
      </c>
      <c r="B937" s="1" cm="1">
        <f t="array" aca="1" ref="B937" ca="1">INDIRECT(_xlfn.CONCAT("$J", $F937))</f>
        <v>117</v>
      </c>
      <c r="C937" s="1" cm="1">
        <f t="array" aca="1" ref="C937" ca="1">INDIRECT(_xlfn.CONCAT("$K", $F937))</f>
        <v>36740</v>
      </c>
      <c r="D937" s="1"/>
      <c r="E937" s="1" t="str" cm="1">
        <f t="array" aca="1" ref="E937" ca="1">INDIRECT(_xlfn.CONCAT("$L", $F937))</f>
        <v>en es fr de it pt ja ko ru 汉语 漢語</v>
      </c>
      <c r="F937" s="1" cm="1">
        <f t="array" aca="1" ref="F937" ca="1">IF(NOT(OR(ISERROR(INDIRECT(_xlfn.CONCAT("$I", $F936 + 1))), ISBLANK(INDIRECT(_xlfn.CONCAT("$I", $F936 + 1))))), $F936 + 1, IF(NOT(ISBLANK(INDIRECT(_xlfn.CONCAT("$I", $F936 + 2)))), $F936 + 2, ""))</f>
        <v>1818</v>
      </c>
    </row>
    <row r="938" spans="1:12" ht="59.25">
      <c r="A938" s="1" t="str" cm="1">
        <f t="array" aca="1" ref="A938" ca="1">INDIRECT(_xlfn.CONCAT("$I", $F938))</f>
        <v>Prophecy PCY</v>
      </c>
      <c r="B938" s="1" cm="1">
        <f t="array" aca="1" ref="B938" ca="1">INDIRECT(_xlfn.CONCAT("$J", $F938))</f>
        <v>144</v>
      </c>
      <c r="C938" s="1" cm="1">
        <f t="array" aca="1" ref="C938" ca="1">INDIRECT(_xlfn.CONCAT("$K", $F938))</f>
        <v>36682</v>
      </c>
      <c r="D938" s="1"/>
      <c r="E938" s="1" t="str" cm="1">
        <f t="array" aca="1" ref="E938" ca="1">INDIRECT(_xlfn.CONCAT("$L", $F938))</f>
        <v>en es fr de it pt ja ko ru 汉语 漢語</v>
      </c>
      <c r="F938" s="1" cm="1">
        <f t="array" aca="1" ref="F938" ca="1">IF(NOT(OR(ISERROR(INDIRECT(_xlfn.CONCAT("$I", $F937 + 1))), ISBLANK(INDIRECT(_xlfn.CONCAT("$I", $F937 + 1))))), $F937 + 1, IF(NOT(ISBLANK(INDIRECT(_xlfn.CONCAT("$I", $F937 + 2)))), $F937 + 2, ""))</f>
        <v>1820</v>
      </c>
      <c r="I938" s="8" t="s">
        <v>638</v>
      </c>
      <c r="J938" s="8">
        <v>1</v>
      </c>
      <c r="K938" s="9">
        <v>43147</v>
      </c>
      <c r="L938" s="8" t="s">
        <v>174</v>
      </c>
    </row>
    <row r="939" spans="1:12" ht="59.25">
      <c r="A939" s="1" t="str" cm="1">
        <f t="array" aca="1" ref="A939" ca="1">INDIRECT(_xlfn.CONCAT("$I", $F939))</f>
        <v>Prophecy Promos PPCY</v>
      </c>
      <c r="B939" s="1" cm="1">
        <f t="array" aca="1" ref="B939" ca="1">INDIRECT(_xlfn.CONCAT("$J", $F939))</f>
        <v>1</v>
      </c>
      <c r="C939" s="1" cm="1">
        <f t="array" aca="1" ref="C939" ca="1">INDIRECT(_xlfn.CONCAT("$K", $F939))</f>
        <v>36682</v>
      </c>
      <c r="D939" s="1"/>
      <c r="E939" s="1" t="str" cm="1">
        <f t="array" aca="1" ref="E939" ca="1">INDIRECT(_xlfn.CONCAT("$L", $F939))</f>
        <v>en es fr de it pt ja ko ru 汉语 漢語</v>
      </c>
      <c r="F939" s="1" cm="1">
        <f t="array" aca="1" ref="F939" ca="1">IF(NOT(OR(ISERROR(INDIRECT(_xlfn.CONCAT("$I", $F938 + 1))), ISBLANK(INDIRECT(_xlfn.CONCAT("$I", $F938 + 1))))), $F938 + 1, IF(NOT(ISBLANK(INDIRECT(_xlfn.CONCAT("$I", $F938 + 2)))), $F938 + 2, ""))</f>
        <v>1822</v>
      </c>
    </row>
    <row r="940" spans="1:12" ht="59.25">
      <c r="A940" s="1" t="str" cm="1">
        <f t="array" aca="1" ref="A940" ca="1">INDIRECT(_xlfn.CONCAT("$I", $F940))</f>
        <v>Starter 2000 S00</v>
      </c>
      <c r="B940" s="1" cm="1">
        <f t="array" aca="1" ref="B940" ca="1">INDIRECT(_xlfn.CONCAT("$J", $F940))</f>
        <v>20</v>
      </c>
      <c r="C940" s="1" cm="1">
        <f t="array" aca="1" ref="C940" ca="1">INDIRECT(_xlfn.CONCAT("$K", $F940))</f>
        <v>36617</v>
      </c>
      <c r="D940" s="1"/>
      <c r="E940" s="1" t="str" cm="1">
        <f t="array" aca="1" ref="E940" ca="1">INDIRECT(_xlfn.CONCAT("$L", $F940))</f>
        <v>en es fr de it pt ja ko ru 汉语 漢語</v>
      </c>
      <c r="F940" s="1" cm="1">
        <f t="array" aca="1" ref="F940" ca="1">IF(NOT(OR(ISERROR(INDIRECT(_xlfn.CONCAT("$I", $F939 + 1))), ISBLANK(INDIRECT(_xlfn.CONCAT("$I", $F939 + 1))))), $F939 + 1, IF(NOT(ISBLANK(INDIRECT(_xlfn.CONCAT("$I", $F939 + 2)))), $F939 + 2, ""))</f>
        <v>1824</v>
      </c>
      <c r="I940" s="8" t="s">
        <v>639</v>
      </c>
      <c r="J940" s="8">
        <v>1</v>
      </c>
      <c r="K940" s="9">
        <v>43125</v>
      </c>
      <c r="L940" s="8" t="s">
        <v>174</v>
      </c>
    </row>
    <row r="941" spans="1:12" ht="59.25">
      <c r="A941" s="1" t="str" cm="1">
        <f t="array" aca="1" ref="A941" ca="1">INDIRECT(_xlfn.CONCAT("$I", $F941))</f>
        <v>Nemesis NEM</v>
      </c>
      <c r="B941" s="1" cm="1">
        <f t="array" aca="1" ref="B941" ca="1">INDIRECT(_xlfn.CONCAT("$J", $F941))</f>
        <v>143</v>
      </c>
      <c r="C941" s="1" cm="1">
        <f t="array" aca="1" ref="C941" ca="1">INDIRECT(_xlfn.CONCAT("$K", $F941))</f>
        <v>36570</v>
      </c>
      <c r="D941" s="1"/>
      <c r="E941" s="1" t="str" cm="1">
        <f t="array" aca="1" ref="E941" ca="1">INDIRECT(_xlfn.CONCAT("$L", $F941))</f>
        <v>en es fr de it pt ja ko ru 汉语 漢語</v>
      </c>
      <c r="F941" s="1" cm="1">
        <f t="array" aca="1" ref="F941" ca="1">IF(NOT(OR(ISERROR(INDIRECT(_xlfn.CONCAT("$I", $F940 + 1))), ISBLANK(INDIRECT(_xlfn.CONCAT("$I", $F940 + 1))))), $F940 + 1, IF(NOT(ISBLANK(INDIRECT(_xlfn.CONCAT("$I", $F940 + 2)))), $F940 + 2, ""))</f>
        <v>1826</v>
      </c>
    </row>
    <row r="942" spans="1:12" ht="59.25">
      <c r="A942" s="1" t="str" cm="1">
        <f t="array" aca="1" ref="A942" ca="1">INDIRECT(_xlfn.CONCAT("$I", $F942))</f>
        <v>Nemesis Promos PNEM</v>
      </c>
      <c r="B942" s="1" cm="1">
        <f t="array" aca="1" ref="B942" ca="1">INDIRECT(_xlfn.CONCAT("$J", $F942))</f>
        <v>1</v>
      </c>
      <c r="C942" s="1" cm="1">
        <f t="array" aca="1" ref="C942" ca="1">INDIRECT(_xlfn.CONCAT("$K", $F942))</f>
        <v>36570</v>
      </c>
      <c r="D942" s="1"/>
      <c r="E942" s="1" t="str" cm="1">
        <f t="array" aca="1" ref="E942" ca="1">INDIRECT(_xlfn.CONCAT("$L", $F942))</f>
        <v>en es fr de it pt ja ko ru 汉语 漢語</v>
      </c>
      <c r="F942" s="1" cm="1">
        <f t="array" aca="1" ref="F942" ca="1">IF(NOT(OR(ISERROR(INDIRECT(_xlfn.CONCAT("$I", $F941 + 1))), ISBLANK(INDIRECT(_xlfn.CONCAT("$I", $F941 + 1))))), $F941 + 1, IF(NOT(ISBLANK(INDIRECT(_xlfn.CONCAT("$I", $F941 + 2)))), $F941 + 2, ""))</f>
        <v>1828</v>
      </c>
      <c r="I942" s="8" t="s">
        <v>640</v>
      </c>
      <c r="J942" s="8">
        <v>205</v>
      </c>
      <c r="K942" s="9">
        <v>43119</v>
      </c>
      <c r="L942" t="s">
        <v>174</v>
      </c>
    </row>
    <row r="943" spans="1:12" ht="59.25">
      <c r="A943" s="1" t="str" cm="1">
        <f t="array" aca="1" ref="A943" ca="1">INDIRECT(_xlfn.CONCAT("$I", $F943))</f>
        <v>European Land Program PELP</v>
      </c>
      <c r="B943" s="1" cm="1">
        <f t="array" aca="1" ref="B943" ca="1">INDIRECT(_xlfn.CONCAT("$J", $F943))</f>
        <v>15</v>
      </c>
      <c r="C943" s="1" cm="1">
        <f t="array" aca="1" ref="C943" ca="1">INDIRECT(_xlfn.CONCAT("$K", $F943))</f>
        <v>36561</v>
      </c>
      <c r="D943" s="1"/>
      <c r="E943" s="1" t="str" cm="1">
        <f t="array" aca="1" ref="E943" ca="1">INDIRECT(_xlfn.CONCAT("$L", $F943))</f>
        <v>en es fr de it pt ja ko ru 汉语 漢語</v>
      </c>
      <c r="F943" s="1" cm="1">
        <f t="array" aca="1" ref="F943" ca="1">IF(NOT(OR(ISERROR(INDIRECT(_xlfn.CONCAT("$I", $F942 + 1))), ISBLANK(INDIRECT(_xlfn.CONCAT("$I", $F942 + 1))))), $F942 + 1, IF(NOT(ISBLANK(INDIRECT(_xlfn.CONCAT("$I", $F942 + 2)))), $F942 + 2, ""))</f>
        <v>1830</v>
      </c>
    </row>
    <row r="944" spans="1:12" ht="59.25">
      <c r="A944" s="1" t="str" cm="1">
        <f t="array" aca="1" ref="A944" ca="1">INDIRECT(_xlfn.CONCAT("$I", $F944))</f>
        <v>Arena League 2000 PAL00</v>
      </c>
      <c r="B944" s="1" cm="1">
        <f t="array" aca="1" ref="B944" ca="1">INDIRECT(_xlfn.CONCAT("$J", $F944))</f>
        <v>11</v>
      </c>
      <c r="C944" s="1" cm="1">
        <f t="array" aca="1" ref="C944" ca="1">INDIRECT(_xlfn.CONCAT("$K", $F944))</f>
        <v>36526</v>
      </c>
      <c r="D944" s="1"/>
      <c r="E944" s="1" t="str" cm="1">
        <f t="array" aca="1" ref="E944" ca="1">INDIRECT(_xlfn.CONCAT("$L", $F944))</f>
        <v>en es fr de it pt ja ko ru 汉语 漢語</v>
      </c>
      <c r="F944" s="1" cm="1">
        <f t="array" aca="1" ref="F944" ca="1">IF(NOT(OR(ISERROR(INDIRECT(_xlfn.CONCAT("$I", $F943 + 1))), ISBLANK(INDIRECT(_xlfn.CONCAT("$I", $F943 + 1))))), $F943 + 1, IF(NOT(ISBLANK(INDIRECT(_xlfn.CONCAT("$I", $F943 + 2)))), $F943 + 2, ""))</f>
        <v>1832</v>
      </c>
      <c r="I944" s="8" t="s">
        <v>641</v>
      </c>
      <c r="J944" s="8">
        <v>98</v>
      </c>
      <c r="K944" s="9">
        <v>43119</v>
      </c>
      <c r="L944" s="8" t="s">
        <v>174</v>
      </c>
    </row>
    <row r="945" spans="1:12" ht="59.25">
      <c r="A945" s="1" t="str" cm="1">
        <f t="array" aca="1" ref="A945" ca="1">INDIRECT(_xlfn.CONCAT("$I", $F945))</f>
        <v>Judge Gift Cards 2000 G00</v>
      </c>
      <c r="B945" s="1" cm="1">
        <f t="array" aca="1" ref="B945" ca="1">INDIRECT(_xlfn.CONCAT("$J", $F945))</f>
        <v>2</v>
      </c>
      <c r="C945" s="1" cm="1">
        <f t="array" aca="1" ref="C945" ca="1">INDIRECT(_xlfn.CONCAT("$K", $F945))</f>
        <v>36526</v>
      </c>
      <c r="D945" s="1"/>
      <c r="E945" s="1" t="str" cm="1">
        <f t="array" aca="1" ref="E945" ca="1">INDIRECT(_xlfn.CONCAT("$L", $F945))</f>
        <v>en es fr de it pt ja ko ru 汉语 漢語</v>
      </c>
      <c r="F945" s="1" cm="1">
        <f t="array" aca="1" ref="F945" ca="1">IF(NOT(OR(ISERROR(INDIRECT(_xlfn.CONCAT("$I", $F944 + 1))), ISBLANK(INDIRECT(_xlfn.CONCAT("$I", $F944 + 1))))), $F944 + 1, IF(NOT(ISBLANK(INDIRECT(_xlfn.CONCAT("$I", $F944 + 2)))), $F944 + 2, ""))</f>
        <v>1834</v>
      </c>
    </row>
    <row r="946" spans="1:12" ht="59.25">
      <c r="A946" s="1" t="str" cm="1">
        <f t="array" aca="1" ref="A946" ca="1">INDIRECT(_xlfn.CONCAT("$I", $F946))</f>
        <v>Friday Night Magic 2000 FNM</v>
      </c>
      <c r="B946" s="1" cm="1">
        <f t="array" aca="1" ref="B946" ca="1">INDIRECT(_xlfn.CONCAT("$J", $F946))</f>
        <v>11</v>
      </c>
      <c r="C946" s="1" cm="1">
        <f t="array" aca="1" ref="C946" ca="1">INDIRECT(_xlfn.CONCAT("$K", $F946))</f>
        <v>36526</v>
      </c>
      <c r="D946" s="1"/>
      <c r="E946" s="1" t="str" cm="1">
        <f t="array" aca="1" ref="E946" ca="1">INDIRECT(_xlfn.CONCAT("$L", $F946))</f>
        <v>en es fr de it pt ja ko ru 汉语 漢語</v>
      </c>
      <c r="F946" s="1" cm="1">
        <f t="array" aca="1" ref="F946" ca="1">IF(NOT(OR(ISERROR(INDIRECT(_xlfn.CONCAT("$I", $F945 + 1))), ISBLANK(INDIRECT(_xlfn.CONCAT("$I", $F945 + 1))))), $F945 + 1, IF(NOT(ISBLANK(INDIRECT(_xlfn.CONCAT("$I", $F945 + 2)))), $F945 + 2, ""))</f>
        <v>1836</v>
      </c>
      <c r="I946" s="8" t="s">
        <v>642</v>
      </c>
      <c r="J946" s="8">
        <v>7</v>
      </c>
      <c r="K946" s="9">
        <v>43119</v>
      </c>
      <c r="L946" s="8" t="s">
        <v>174</v>
      </c>
    </row>
    <row r="947" spans="1:12" ht="59.25">
      <c r="A947" s="1" t="str" cm="1">
        <f t="array" aca="1" ref="A947" ca="1">INDIRECT(_xlfn.CONCAT("$I", $F947))</f>
        <v>Junior Super Series PSUS</v>
      </c>
      <c r="B947" s="1" cm="1">
        <f t="array" aca="1" ref="B947" ca="1">INDIRECT(_xlfn.CONCAT("$J", $F947))</f>
        <v>18</v>
      </c>
      <c r="C947" s="1" cm="1">
        <f t="array" aca="1" ref="C947" ca="1">INDIRECT(_xlfn.CONCAT("$K", $F947))</f>
        <v>36495</v>
      </c>
      <c r="D947" s="1"/>
      <c r="E947" s="1" t="str" cm="1">
        <f t="array" aca="1" ref="E947" ca="1">INDIRECT(_xlfn.CONCAT("$L", $F947))</f>
        <v>en es fr de it pt ja ko ru 汉语 漢語</v>
      </c>
      <c r="F947" s="1" cm="1">
        <f t="array" aca="1" ref="F947" ca="1">IF(NOT(OR(ISERROR(INDIRECT(_xlfn.CONCAT("$I", $F946 + 1))), ISBLANK(INDIRECT(_xlfn.CONCAT("$I", $F946 + 1))))), $F946 + 1, IF(NOT(ISBLANK(INDIRECT(_xlfn.CONCAT("$I", $F946 + 2)))), $F946 + 2, ""))</f>
        <v>1838</v>
      </c>
    </row>
    <row r="948" spans="1:12" ht="59.25">
      <c r="A948" s="1" t="str" cm="1">
        <f t="array" aca="1" ref="A948" ca="1">INDIRECT(_xlfn.CONCAT("$I", $F948))</f>
        <v>Battle Royale Box Set BRB</v>
      </c>
      <c r="B948" s="1" cm="1">
        <f t="array" aca="1" ref="B948" ca="1">INDIRECT(_xlfn.CONCAT("$J", $F948))</f>
        <v>136</v>
      </c>
      <c r="C948" s="1" cm="1">
        <f t="array" aca="1" ref="C948" ca="1">INDIRECT(_xlfn.CONCAT("$K", $F948))</f>
        <v>36476</v>
      </c>
      <c r="D948" s="1"/>
      <c r="E948" s="1" t="str" cm="1">
        <f t="array" aca="1" ref="E948" ca="1">INDIRECT(_xlfn.CONCAT("$L", $F948))</f>
        <v>en es fr de it pt ja ko ru 汉语 漢語</v>
      </c>
      <c r="F948" s="1" cm="1">
        <f t="array" aca="1" ref="F948" ca="1">IF(NOT(OR(ISERROR(INDIRECT(_xlfn.CONCAT("$I", $F947 + 1))), ISBLANK(INDIRECT(_xlfn.CONCAT("$I", $F947 + 1))))), $F947 + 1, IF(NOT(ISBLANK(INDIRECT(_xlfn.CONCAT("$I", $F947 + 2)))), $F947 + 2, ""))</f>
        <v>1840</v>
      </c>
      <c r="I948" s="8" t="s">
        <v>643</v>
      </c>
      <c r="J948" s="8">
        <v>8</v>
      </c>
      <c r="K948" s="9">
        <v>43101</v>
      </c>
      <c r="L948" s="8" t="s">
        <v>174</v>
      </c>
    </row>
    <row r="949" spans="1:12" ht="59.25">
      <c r="A949" s="1" t="str" cm="1">
        <f t="array" aca="1" ref="A949" ca="1">INDIRECT(_xlfn.CONCAT("$I", $F949))</f>
        <v>Mercadian Masques MMQ</v>
      </c>
      <c r="B949" s="1" cm="1">
        <f t="array" aca="1" ref="B949" ca="1">INDIRECT(_xlfn.CONCAT("$J", $F949))</f>
        <v>350</v>
      </c>
      <c r="C949" s="1" cm="1">
        <f t="array" aca="1" ref="C949" ca="1">INDIRECT(_xlfn.CONCAT("$K", $F949))</f>
        <v>36437</v>
      </c>
      <c r="D949" s="1"/>
      <c r="E949" s="1" t="str" cm="1">
        <f t="array" aca="1" ref="E949" ca="1">INDIRECT(_xlfn.CONCAT("$L", $F949))</f>
        <v>en es fr de it pt ja ko ru 汉语 漢語</v>
      </c>
      <c r="F949" s="1" cm="1">
        <f t="array" aca="1" ref="F949" ca="1">IF(NOT(OR(ISERROR(INDIRECT(_xlfn.CONCAT("$I", $F948 + 1))), ISBLANK(INDIRECT(_xlfn.CONCAT("$I", $F948 + 1))))), $F948 + 1, IF(NOT(ISBLANK(INDIRECT(_xlfn.CONCAT("$I", $F948 + 2)))), $F948 + 2, ""))</f>
        <v>1842</v>
      </c>
    </row>
    <row r="950" spans="1:12" ht="59.25">
      <c r="A950" s="1" t="str" cm="1">
        <f t="array" aca="1" ref="A950" ca="1">INDIRECT(_xlfn.CONCAT("$I", $F950))</f>
        <v>Mercadian Masques Promos PMMQ</v>
      </c>
      <c r="B950" s="1" cm="1">
        <f t="array" aca="1" ref="B950" ca="1">INDIRECT(_xlfn.CONCAT("$J", $F950))</f>
        <v>1</v>
      </c>
      <c r="C950" s="1" cm="1">
        <f t="array" aca="1" ref="C950" ca="1">INDIRECT(_xlfn.CONCAT("$K", $F950))</f>
        <v>36437</v>
      </c>
      <c r="D950" s="1"/>
      <c r="E950" s="1" t="str" cm="1">
        <f t="array" aca="1" ref="E950" ca="1">INDIRECT(_xlfn.CONCAT("$L", $F950))</f>
        <v>en es fr de it pt ja ko ru 汉语 漢語</v>
      </c>
      <c r="F950" s="1" cm="1">
        <f t="array" aca="1" ref="F950" ca="1">IF(NOT(OR(ISERROR(INDIRECT(_xlfn.CONCAT("$I", $F949 + 1))), ISBLANK(INDIRECT(_xlfn.CONCAT("$I", $F949 + 1))))), $F949 + 1, IF(NOT(ISBLANK(INDIRECT(_xlfn.CONCAT("$I", $F949 + 2)))), $F949 + 2, ""))</f>
        <v>1844</v>
      </c>
      <c r="I950" s="8" t="s">
        <v>644</v>
      </c>
      <c r="J950" s="8">
        <v>3</v>
      </c>
      <c r="K950" s="9">
        <v>43096</v>
      </c>
      <c r="L950" s="8" t="s">
        <v>174</v>
      </c>
    </row>
    <row r="951" spans="1:12" ht="68.25">
      <c r="A951" s="1" t="str" cm="1">
        <f t="array" aca="1" ref="A951" ca="1">INDIRECT(_xlfn.CONCAT("$I", $F951))</f>
        <v>Wizards of the Coast Online Store PWOS</v>
      </c>
      <c r="B951" s="1" cm="1">
        <f t="array" aca="1" ref="B951" ca="1">INDIRECT(_xlfn.CONCAT("$J", $F951))</f>
        <v>1</v>
      </c>
      <c r="C951" s="1" cm="1">
        <f t="array" aca="1" ref="C951" ca="1">INDIRECT(_xlfn.CONCAT("$K", $F951))</f>
        <v>36407</v>
      </c>
      <c r="D951" s="1"/>
      <c r="E951" s="1" t="str" cm="1">
        <f t="array" aca="1" ref="E951" ca="1">INDIRECT(_xlfn.CONCAT("$L", $F951))</f>
        <v>en es fr de it pt ja ko ru 汉语 漢語</v>
      </c>
      <c r="F951" s="1" cm="1">
        <f t="array" aca="1" ref="F951" ca="1">IF(NOT(OR(ISERROR(INDIRECT(_xlfn.CONCAT("$I", $F950 + 1))), ISBLANK(INDIRECT(_xlfn.CONCAT("$I", $F950 + 1))))), $F950 + 1, IF(NOT(ISBLANK(INDIRECT(_xlfn.CONCAT("$I", $F950 + 2)))), $F950 + 2, ""))</f>
        <v>1846</v>
      </c>
    </row>
    <row r="952" spans="1:12" ht="68.25">
      <c r="A952" s="1" t="str" cm="1">
        <f t="array" aca="1" ref="A952" ca="1">INDIRECT(_xlfn.CONCAT("$I", $F952))</f>
        <v>World Championship Decks 1999 WC99</v>
      </c>
      <c r="B952" s="1" cm="1">
        <f t="array" aca="1" ref="B952" ca="1">INDIRECT(_xlfn.CONCAT("$J", $F952))</f>
        <v>111</v>
      </c>
      <c r="C952" s="1" cm="1">
        <f t="array" aca="1" ref="C952" ca="1">INDIRECT(_xlfn.CONCAT("$K", $F952))</f>
        <v>36376</v>
      </c>
      <c r="D952" s="1"/>
      <c r="E952" s="1" t="str" cm="1">
        <f t="array" aca="1" ref="E952" ca="1">INDIRECT(_xlfn.CONCAT("$L", $F952))</f>
        <v>en es fr de it pt ja ko ru 汉语 漢語</v>
      </c>
      <c r="F952" s="1" cm="1">
        <f t="array" aca="1" ref="F952" ca="1">IF(NOT(OR(ISERROR(INDIRECT(_xlfn.CONCAT("$I", $F951 + 1))), ISBLANK(INDIRECT(_xlfn.CONCAT("$I", $F951 + 1))))), $F951 + 1, IF(NOT(ISBLANK(INDIRECT(_xlfn.CONCAT("$I", $F951 + 2)))), $F951 + 2, ""))</f>
        <v>1848</v>
      </c>
      <c r="I952" s="8" t="s">
        <v>645</v>
      </c>
      <c r="J952" s="8">
        <v>268</v>
      </c>
      <c r="K952" s="9">
        <v>43077</v>
      </c>
      <c r="L952" s="8" t="s">
        <v>174</v>
      </c>
    </row>
    <row r="953" spans="1:12" ht="59.25">
      <c r="A953" s="1" t="str" cm="1">
        <f t="array" aca="1" ref="A953" ca="1">INDIRECT(_xlfn.CONCAT("$I", $F953))</f>
        <v>World Championship Promos PWOR</v>
      </c>
      <c r="B953" s="1" cm="1">
        <f t="array" aca="1" ref="B953" ca="1">INDIRECT(_xlfn.CONCAT("$J", $F953))</f>
        <v>2</v>
      </c>
      <c r="C953" s="1" cm="1">
        <f t="array" aca="1" ref="C953" ca="1">INDIRECT(_xlfn.CONCAT("$K", $F953))</f>
        <v>36376</v>
      </c>
      <c r="D953" s="1"/>
      <c r="E953" s="1" t="str" cm="1">
        <f t="array" aca="1" ref="E953" ca="1">INDIRECT(_xlfn.CONCAT("$L", $F953))</f>
        <v>en es fr de it pt ja ko ru 汉语 漢語</v>
      </c>
      <c r="F953" s="1" cm="1">
        <f t="array" aca="1" ref="F953" ca="1">IF(NOT(OR(ISERROR(INDIRECT(_xlfn.CONCAT("$I", $F952 + 1))), ISBLANK(INDIRECT(_xlfn.CONCAT("$I", $F952 + 1))))), $F952 + 1, IF(NOT(ISBLANK(INDIRECT(_xlfn.CONCAT("$I", $F952 + 2)))), $F952 + 2, ""))</f>
        <v>1850</v>
      </c>
    </row>
    <row r="954" spans="1:12" ht="59.25">
      <c r="A954" s="1" t="str" cm="1">
        <f t="array" aca="1" ref="A954" ca="1">INDIRECT(_xlfn.CONCAT("$I", $F954))</f>
        <v>Guru PGRU</v>
      </c>
      <c r="B954" s="1" cm="1">
        <f t="array" aca="1" ref="B954" ca="1">INDIRECT(_xlfn.CONCAT("$J", $F954))</f>
        <v>5</v>
      </c>
      <c r="C954" s="1" cm="1">
        <f t="array" aca="1" ref="C954" ca="1">INDIRECT(_xlfn.CONCAT("$K", $F954))</f>
        <v>36353</v>
      </c>
      <c r="D954" s="1"/>
      <c r="E954" s="1" t="str" cm="1">
        <f t="array" aca="1" ref="E954" ca="1">INDIRECT(_xlfn.CONCAT("$L", $F954))</f>
        <v>en es fr de it pt ja ko ru 汉语 漢語</v>
      </c>
      <c r="F954" s="1" cm="1">
        <f t="array" aca="1" ref="F954" ca="1">IF(NOT(OR(ISERROR(INDIRECT(_xlfn.CONCAT("$I", $F953 + 1))), ISBLANK(INDIRECT(_xlfn.CONCAT("$I", $F953 + 1))))), $F953 + 1, IF(NOT(ISBLANK(INDIRECT(_xlfn.CONCAT("$I", $F953 + 2)))), $F953 + 2, ""))</f>
        <v>1852</v>
      </c>
      <c r="I954" s="8" t="s">
        <v>646</v>
      </c>
      <c r="J954" s="8">
        <v>1</v>
      </c>
      <c r="K954" s="9">
        <v>43077</v>
      </c>
      <c r="L954" s="8" t="s">
        <v>174</v>
      </c>
    </row>
    <row r="955" spans="1:12" ht="59.25">
      <c r="A955" s="1" t="str" cm="1">
        <f t="array" aca="1" ref="A955" ca="1">INDIRECT(_xlfn.CONCAT("$I", $F955))</f>
        <v>Starter 1999 S99</v>
      </c>
      <c r="B955" s="1" cm="1">
        <f t="array" aca="1" ref="B955" ca="1">INDIRECT(_xlfn.CONCAT("$J", $F955))</f>
        <v>173</v>
      </c>
      <c r="C955" s="1" cm="1">
        <f t="array" aca="1" ref="C955" ca="1">INDIRECT(_xlfn.CONCAT("$K", $F955))</f>
        <v>36342</v>
      </c>
      <c r="D955" s="1"/>
      <c r="E955" s="1" t="str" cm="1">
        <f t="array" aca="1" ref="E955" ca="1">INDIRECT(_xlfn.CONCAT("$L", $F955))</f>
        <v>en es fr de it pt ja ko ru 汉语 漢語</v>
      </c>
      <c r="F955" s="1" cm="1">
        <f t="array" aca="1" ref="F955" ca="1">IF(NOT(OR(ISERROR(INDIRECT(_xlfn.CONCAT("$I", $F954 + 1))), ISBLANK(INDIRECT(_xlfn.CONCAT("$I", $F954 + 1))))), $F954 + 1, IF(NOT(ISBLANK(INDIRECT(_xlfn.CONCAT("$I", $F954 + 2)))), $F954 + 2, ""))</f>
        <v>1854</v>
      </c>
    </row>
    <row r="956" spans="1:12" ht="59.25">
      <c r="A956" s="1" t="str" cm="1">
        <f t="array" aca="1" ref="A956" ca="1">INDIRECT(_xlfn.CONCAT("$I", $F956))</f>
        <v>Urza's Destiny UDS</v>
      </c>
      <c r="B956" s="1" cm="1">
        <f t="array" aca="1" ref="B956" ca="1">INDIRECT(_xlfn.CONCAT("$J", $F956))</f>
        <v>143</v>
      </c>
      <c r="C956" s="1" cm="1">
        <f t="array" aca="1" ref="C956" ca="1">INDIRECT(_xlfn.CONCAT("$K", $F956))</f>
        <v>36318</v>
      </c>
      <c r="D956" s="1"/>
      <c r="E956" s="1" t="str" cm="1">
        <f t="array" aca="1" ref="E956" ca="1">INDIRECT(_xlfn.CONCAT("$L", $F956))</f>
        <v>en es fr de it pt ja ko ru 汉语 漢語</v>
      </c>
      <c r="F956" s="1" cm="1">
        <f t="array" aca="1" ref="F956" ca="1">IF(NOT(OR(ISERROR(INDIRECT(_xlfn.CONCAT("$I", $F955 + 1))), ISBLANK(INDIRECT(_xlfn.CONCAT("$I", $F955 + 1))))), $F955 + 1, IF(NOT(ISBLANK(INDIRECT(_xlfn.CONCAT("$I", $F955 + 2)))), $F955 + 2, ""))</f>
        <v>1856</v>
      </c>
      <c r="I956" s="8" t="s">
        <v>647</v>
      </c>
      <c r="J956" s="8">
        <v>20</v>
      </c>
      <c r="K956" s="9">
        <v>43077</v>
      </c>
      <c r="L956" s="8" t="s">
        <v>174</v>
      </c>
    </row>
    <row r="957" spans="1:12" ht="59.25">
      <c r="A957" s="1" t="str" cm="1">
        <f t="array" aca="1" ref="A957" ca="1">INDIRECT(_xlfn.CONCAT("$I", $F957))</f>
        <v>Urza's Destiny Promos PUDS</v>
      </c>
      <c r="B957" s="1" cm="1">
        <f t="array" aca="1" ref="B957" ca="1">INDIRECT(_xlfn.CONCAT("$J", $F957))</f>
        <v>1</v>
      </c>
      <c r="C957" s="1" cm="1">
        <f t="array" aca="1" ref="C957" ca="1">INDIRECT(_xlfn.CONCAT("$K", $F957))</f>
        <v>36318</v>
      </c>
      <c r="D957" s="1"/>
      <c r="E957" s="1" t="str" cm="1">
        <f t="array" aca="1" ref="E957" ca="1">INDIRECT(_xlfn.CONCAT("$L", $F957))</f>
        <v>en es fr de it pt ja ko ru 汉语 漢語</v>
      </c>
      <c r="F957" s="1" cm="1">
        <f t="array" aca="1" ref="F957" ca="1">IF(NOT(OR(ISERROR(INDIRECT(_xlfn.CONCAT("$I", $F956 + 1))), ISBLANK(INDIRECT(_xlfn.CONCAT("$I", $F956 + 1))))), $F956 + 1, IF(NOT(ISBLANK(INDIRECT(_xlfn.CONCAT("$I", $F956 + 2)))), $F956 + 2, ""))</f>
        <v>1858</v>
      </c>
    </row>
    <row r="958" spans="1:12" ht="59.25">
      <c r="A958" s="1" t="str" cm="1">
        <f t="array" aca="1" ref="A958" ca="1">INDIRECT(_xlfn.CONCAT("$I", $F958))</f>
        <v>Portal Three Kingdoms PTK</v>
      </c>
      <c r="B958" s="1" cm="1">
        <f t="array" aca="1" ref="B958" ca="1">INDIRECT(_xlfn.CONCAT("$J", $F958))</f>
        <v>180</v>
      </c>
      <c r="C958" s="1" cm="1">
        <f t="array" aca="1" ref="C958" ca="1">INDIRECT(_xlfn.CONCAT("$K", $F958))</f>
        <v>36281</v>
      </c>
      <c r="D958" s="1"/>
      <c r="E958" s="1" t="str" cm="1">
        <f t="array" aca="1" ref="E958" ca="1">INDIRECT(_xlfn.CONCAT("$L", $F958))</f>
        <v>en es fr de it pt ja ko ru 汉语 漢語</v>
      </c>
      <c r="F958" s="1" cm="1">
        <f t="array" aca="1" ref="F958" ca="1">IF(NOT(OR(ISERROR(INDIRECT(_xlfn.CONCAT("$I", $F957 + 1))), ISBLANK(INDIRECT(_xlfn.CONCAT("$I", $F957 + 1))))), $F957 + 1, IF(NOT(ISBLANK(INDIRECT(_xlfn.CONCAT("$I", $F957 + 2)))), $F957 + 2, ""))</f>
        <v>1860</v>
      </c>
      <c r="I958" s="8" t="s">
        <v>648</v>
      </c>
      <c r="J958" s="8">
        <v>16</v>
      </c>
      <c r="K958" s="9">
        <v>43063</v>
      </c>
      <c r="L958" s="8" t="s">
        <v>174</v>
      </c>
    </row>
    <row r="959" spans="1:12" ht="68.25">
      <c r="A959" s="1" t="str" cm="1">
        <f t="array" aca="1" ref="A959" ca="1">INDIRECT(_xlfn.CONCAT("$I", $F959))</f>
        <v>Portal: Three Kingdoms Promos PPTK</v>
      </c>
      <c r="B959" s="1" cm="1">
        <f t="array" aca="1" ref="B959" ca="1">INDIRECT(_xlfn.CONCAT("$J", $F959))</f>
        <v>2</v>
      </c>
      <c r="C959" s="1" cm="1">
        <f t="array" aca="1" ref="C959" ca="1">INDIRECT(_xlfn.CONCAT("$K", $F959))</f>
        <v>36281</v>
      </c>
      <c r="D959" s="1"/>
      <c r="E959" s="1" t="str" cm="1">
        <f t="array" aca="1" ref="E959" ca="1">INDIRECT(_xlfn.CONCAT("$L", $F959))</f>
        <v>en es fr de it pt ja ko ru 汉语 漢語</v>
      </c>
      <c r="F959" s="1" cm="1">
        <f t="array" aca="1" ref="F959" ca="1">IF(NOT(OR(ISERROR(INDIRECT(_xlfn.CONCAT("$I", $F958 + 1))), ISBLANK(INDIRECT(_xlfn.CONCAT("$I", $F958 + 1))))), $F958 + 1, IF(NOT(ISBLANK(INDIRECT(_xlfn.CONCAT("$I", $F958 + 2)))), $F958 + 2, ""))</f>
        <v>1862</v>
      </c>
    </row>
    <row r="960" spans="1:12" ht="59.25">
      <c r="A960" s="1" t="str" cm="1">
        <f t="array" aca="1" ref="A960" ca="1">INDIRECT(_xlfn.CONCAT("$I", $F960))</f>
        <v>Classic Sixth Edition 6ED</v>
      </c>
      <c r="B960" s="1" cm="1">
        <f t="array" aca="1" ref="B960" ca="1">INDIRECT(_xlfn.CONCAT("$J", $F960))</f>
        <v>351</v>
      </c>
      <c r="C960" s="1" cm="1">
        <f t="array" aca="1" ref="C960" ca="1">INDIRECT(_xlfn.CONCAT("$K", $F960))</f>
        <v>36271</v>
      </c>
      <c r="D960" s="1"/>
      <c r="E960" s="1" t="str" cm="1">
        <f t="array" aca="1" ref="E960" ca="1">INDIRECT(_xlfn.CONCAT("$L", $F960))</f>
        <v>en es fr de it pt ja ko ru 汉语 漢語</v>
      </c>
      <c r="F960" s="1" cm="1">
        <f t="array" aca="1" ref="F960" ca="1">IF(NOT(OR(ISERROR(INDIRECT(_xlfn.CONCAT("$I", $F959 + 1))), ISBLANK(INDIRECT(_xlfn.CONCAT("$I", $F959 + 1))))), $F959 + 1, IF(NOT(ISBLANK(INDIRECT(_xlfn.CONCAT("$I", $F959 + 2)))), $F959 + 2, ""))</f>
        <v>1864</v>
      </c>
      <c r="I960" s="8" t="s">
        <v>649</v>
      </c>
      <c r="J960" s="8">
        <v>48</v>
      </c>
      <c r="K960" s="9">
        <v>43063</v>
      </c>
      <c r="L960" s="8" t="s">
        <v>174</v>
      </c>
    </row>
    <row r="961" spans="1:12" ht="59.25">
      <c r="A961" s="1" t="str" cm="1">
        <f t="array" aca="1" ref="A961" ca="1">INDIRECT(_xlfn.CONCAT("$I", $F961))</f>
        <v>Urza's Legacy ULG</v>
      </c>
      <c r="B961" s="1" cm="1">
        <f t="array" aca="1" ref="B961" ca="1">INDIRECT(_xlfn.CONCAT("$J", $F961))</f>
        <v>143</v>
      </c>
      <c r="C961" s="1" cm="1">
        <f t="array" aca="1" ref="C961" ca="1">INDIRECT(_xlfn.CONCAT("$K", $F961))</f>
        <v>36206</v>
      </c>
      <c r="D961" s="1"/>
      <c r="E961" s="1" t="str" cm="1">
        <f t="array" aca="1" ref="E961" ca="1">INDIRECT(_xlfn.CONCAT("$L", $F961))</f>
        <v>en es fr de it pt ja ko ru 汉语 漢語</v>
      </c>
      <c r="F961" s="1" cm="1">
        <f t="array" aca="1" ref="F961" ca="1">IF(NOT(OR(ISERROR(INDIRECT(_xlfn.CONCAT("$I", $F960 + 1))), ISBLANK(INDIRECT(_xlfn.CONCAT("$I", $F960 + 1))))), $F960 + 1, IF(NOT(ISBLANK(INDIRECT(_xlfn.CONCAT("$I", $F960 + 2)))), $F960 + 2, ""))</f>
        <v>1866</v>
      </c>
    </row>
    <row r="962" spans="1:12" ht="59.25">
      <c r="A962" s="1" t="str" cm="1">
        <f t="array" aca="1" ref="A962" ca="1">INDIRECT(_xlfn.CONCAT("$I", $F962))</f>
        <v>Urza's Legacy Promos PULG</v>
      </c>
      <c r="B962" s="1" cm="1">
        <f t="array" aca="1" ref="B962" ca="1">INDIRECT(_xlfn.CONCAT("$J", $F962))</f>
        <v>2</v>
      </c>
      <c r="C962" s="1" cm="1">
        <f t="array" aca="1" ref="C962" ca="1">INDIRECT(_xlfn.CONCAT("$K", $F962))</f>
        <v>36206</v>
      </c>
      <c r="D962" s="1"/>
      <c r="E962" s="1" t="str" cm="1">
        <f t="array" aca="1" ref="E962" ca="1">INDIRECT(_xlfn.CONCAT("$L", $F962))</f>
        <v>en es fr de it pt ja ko ru 汉语 漢語</v>
      </c>
      <c r="F962" s="1" cm="1">
        <f t="array" aca="1" ref="F962" ca="1">IF(NOT(OR(ISERROR(INDIRECT(_xlfn.CONCAT("$I", $F961 + 1))), ISBLANK(INDIRECT(_xlfn.CONCAT("$I", $F961 + 1))))), $F961 + 1, IF(NOT(ISBLANK(INDIRECT(_xlfn.CONCAT("$I", $F961 + 2)))), $F961 + 2, ""))</f>
        <v>1868</v>
      </c>
      <c r="I962" s="8" t="s">
        <v>650</v>
      </c>
      <c r="J962" s="8">
        <v>249</v>
      </c>
      <c r="K962" s="9">
        <v>43056</v>
      </c>
      <c r="L962" t="s">
        <v>174</v>
      </c>
    </row>
    <row r="963" spans="1:12" ht="59.25">
      <c r="A963" s="1" t="str" cm="1">
        <f t="array" aca="1" ref="A963" ca="1">INDIRECT(_xlfn.CONCAT("$I", $F963))</f>
        <v>Arena League 1999 PAL99</v>
      </c>
      <c r="B963" s="1" cm="1">
        <f t="array" aca="1" ref="B963" ca="1">INDIRECT(_xlfn.CONCAT("$J", $F963))</f>
        <v>10</v>
      </c>
      <c r="C963" s="1" cm="1">
        <f t="array" aca="1" ref="C963" ca="1">INDIRECT(_xlfn.CONCAT("$K", $F963))</f>
        <v>36161</v>
      </c>
      <c r="D963" s="1"/>
      <c r="E963" s="1" t="str" cm="1">
        <f t="array" aca="1" ref="E963" ca="1">INDIRECT(_xlfn.CONCAT("$L", $F963))</f>
        <v>en es fr de it pt ja ko ru 汉语 漢語</v>
      </c>
      <c r="F963" s="1" cm="1">
        <f t="array" aca="1" ref="F963" ca="1">IF(NOT(OR(ISERROR(INDIRECT(_xlfn.CONCAT("$I", $F962 + 1))), ISBLANK(INDIRECT(_xlfn.CONCAT("$I", $F962 + 1))))), $F962 + 1, IF(NOT(ISBLANK(INDIRECT(_xlfn.CONCAT("$I", $F962 + 2)))), $F962 + 2, ""))</f>
        <v>1870</v>
      </c>
    </row>
    <row r="964" spans="1:12" ht="59.25">
      <c r="A964" s="1" t="str" cm="1">
        <f t="array" aca="1" ref="A964" ca="1">INDIRECT(_xlfn.CONCAT("$I", $F964))</f>
        <v>Judge Gift Cards 1999 G99</v>
      </c>
      <c r="B964" s="1" cm="1">
        <f t="array" aca="1" ref="B964" ca="1">INDIRECT(_xlfn.CONCAT("$J", $F964))</f>
        <v>1</v>
      </c>
      <c r="C964" s="1" cm="1">
        <f t="array" aca="1" ref="C964" ca="1">INDIRECT(_xlfn.CONCAT("$K", $F964))</f>
        <v>36161</v>
      </c>
      <c r="D964" s="1"/>
      <c r="E964" s="1" t="str" cm="1">
        <f t="array" aca="1" ref="E964" ca="1">INDIRECT(_xlfn.CONCAT("$L", $F964))</f>
        <v>en es fr de it pt ja ko ru 汉语 漢語</v>
      </c>
      <c r="F964" s="1" cm="1">
        <f t="array" aca="1" ref="F964" ca="1">IF(NOT(OR(ISERROR(INDIRECT(_xlfn.CONCAT("$I", $F963 + 1))), ISBLANK(INDIRECT(_xlfn.CONCAT("$I", $F963 + 1))))), $F963 + 1, IF(NOT(ISBLANK(INDIRECT(_xlfn.CONCAT("$I", $F963 + 2)))), $F963 + 2, ""))</f>
        <v>1872</v>
      </c>
      <c r="I964" s="8" t="s">
        <v>651</v>
      </c>
      <c r="J964" s="8">
        <v>7</v>
      </c>
      <c r="K964" s="9">
        <v>43068</v>
      </c>
      <c r="L964" s="8" t="s">
        <v>174</v>
      </c>
    </row>
    <row r="965" spans="1:12" ht="59.25">
      <c r="A965" s="1" t="str" cm="1">
        <f t="array" aca="1" ref="A965" ca="1">INDIRECT(_xlfn.CONCAT("$I", $F965))</f>
        <v>Anthologies ATH</v>
      </c>
      <c r="B965" s="1" cm="1">
        <f t="array" aca="1" ref="B965" ca="1">INDIRECT(_xlfn.CONCAT("$J", $F965))</f>
        <v>85</v>
      </c>
      <c r="C965" s="1" cm="1">
        <f t="array" aca="1" ref="C965" ca="1">INDIRECT(_xlfn.CONCAT("$K", $F965))</f>
        <v>36100</v>
      </c>
      <c r="D965" s="1"/>
      <c r="E965" s="1" t="str" cm="1">
        <f t="array" aca="1" ref="E965" ca="1">INDIRECT(_xlfn.CONCAT("$L", $F965))</f>
        <v>en es fr de it pt ja ko ru 汉语 漢語</v>
      </c>
      <c r="F965" s="1" cm="1">
        <f t="array" aca="1" ref="F965" ca="1">IF(NOT(OR(ISERROR(INDIRECT(_xlfn.CONCAT("$I", $F964 + 1))), ISBLANK(INDIRECT(_xlfn.CONCAT("$I", $F964 + 1))))), $F964 + 1, IF(NOT(ISBLANK(INDIRECT(_xlfn.CONCAT("$I", $F964 + 2)))), $F964 + 2, ""))</f>
        <v>1874</v>
      </c>
    </row>
    <row r="966" spans="1:12" ht="59.25">
      <c r="A966" s="1" t="str" cm="1">
        <f t="array" aca="1" ref="A966" ca="1">INDIRECT(_xlfn.CONCAT("$I", $F966))</f>
        <v>Urza's Saga USG</v>
      </c>
      <c r="B966" s="1" cm="1">
        <f t="array" aca="1" ref="B966" ca="1">INDIRECT(_xlfn.CONCAT("$J", $F966))</f>
        <v>357</v>
      </c>
      <c r="C966" s="1" cm="1">
        <f t="array" aca="1" ref="C966" ca="1">INDIRECT(_xlfn.CONCAT("$K", $F966))</f>
        <v>36080</v>
      </c>
      <c r="D966" s="1"/>
      <c r="E966" s="1" t="str" cm="1">
        <f t="array" aca="1" ref="E966" ca="1">INDIRECT(_xlfn.CONCAT("$L", $F966))</f>
        <v>en es fr de it pt ja ko ru 汉语 漢語</v>
      </c>
      <c r="F966" s="1" cm="1">
        <f t="array" aca="1" ref="F966" ca="1">IF(NOT(OR(ISERROR(INDIRECT(_xlfn.CONCAT("$I", $F965 + 1))), ISBLANK(INDIRECT(_xlfn.CONCAT("$I", $F965 + 1))))), $F965 + 1, IF(NOT(ISBLANK(INDIRECT(_xlfn.CONCAT("$I", $F965 + 2)))), $F965 + 2, ""))</f>
        <v>1876</v>
      </c>
      <c r="I966" s="8" t="s">
        <v>652</v>
      </c>
      <c r="J966" s="8">
        <v>63</v>
      </c>
      <c r="K966" s="9">
        <v>43032</v>
      </c>
      <c r="L966" t="s">
        <v>174</v>
      </c>
    </row>
    <row r="967" spans="1:12" ht="59.25">
      <c r="A967" s="1" t="str" cm="1">
        <f t="array" aca="1" ref="A967" ca="1">INDIRECT(_xlfn.CONCAT("$I", $F967))</f>
        <v>Urza's Saga Promos PUSG</v>
      </c>
      <c r="B967" s="1" cm="1">
        <f t="array" aca="1" ref="B967" ca="1">INDIRECT(_xlfn.CONCAT("$J", $F967))</f>
        <v>1</v>
      </c>
      <c r="C967" s="1" cm="1">
        <f t="array" aca="1" ref="C967" ca="1">INDIRECT(_xlfn.CONCAT("$K", $F967))</f>
        <v>36080</v>
      </c>
      <c r="D967" s="1"/>
      <c r="E967" s="1" t="str" cm="1">
        <f t="array" aca="1" ref="E967" ca="1">INDIRECT(_xlfn.CONCAT("$L", $F967))</f>
        <v>en es fr de it pt ja ko ru 汉语 漢語</v>
      </c>
      <c r="F967" s="1" cm="1">
        <f t="array" aca="1" ref="F967" ca="1">IF(NOT(OR(ISERROR(INDIRECT(_xlfn.CONCAT("$I", $F966 + 1))), ISBLANK(INDIRECT(_xlfn.CONCAT("$I", $F966 + 1))))), $F966 + 1, IF(NOT(ISBLANK(INDIRECT(_xlfn.CONCAT("$I", $F966 + 2)))), $F966 + 2, ""))</f>
        <v>1878</v>
      </c>
    </row>
    <row r="968" spans="1:12" ht="59.25">
      <c r="A968" s="1" t="str" cm="1">
        <f t="array" aca="1" ref="A968" ca="1">INDIRECT(_xlfn.CONCAT("$I", $F968))</f>
        <v>Asia Pacific Land Program PALP</v>
      </c>
      <c r="B968" s="1" cm="1">
        <f t="array" aca="1" ref="B968" ca="1">INDIRECT(_xlfn.CONCAT("$J", $F968))</f>
        <v>15</v>
      </c>
      <c r="C968" s="1" cm="1">
        <f t="array" aca="1" ref="C968" ca="1">INDIRECT(_xlfn.CONCAT("$K", $F968))</f>
        <v>36039</v>
      </c>
      <c r="D968" s="1"/>
      <c r="E968" s="1" t="str" cm="1">
        <f t="array" aca="1" ref="E968" ca="1">INDIRECT(_xlfn.CONCAT("$L", $F968))</f>
        <v>en es fr de it pt ja ko ru 汉语 漢語</v>
      </c>
      <c r="F968" s="1" cm="1">
        <f t="array" aca="1" ref="F968" ca="1">IF(NOT(OR(ISERROR(INDIRECT(_xlfn.CONCAT("$I", $F967 + 1))), ISBLANK(INDIRECT(_xlfn.CONCAT("$I", $F967 + 1))))), $F967 + 1, IF(NOT(ISBLANK(INDIRECT(_xlfn.CONCAT("$I", $F967 + 2)))), $F967 + 2, ""))</f>
        <v>1880</v>
      </c>
      <c r="I968" s="8" t="s">
        <v>653</v>
      </c>
      <c r="J968" s="8">
        <v>3</v>
      </c>
      <c r="K968" s="9">
        <v>43032</v>
      </c>
      <c r="L968" s="8" t="s">
        <v>174</v>
      </c>
    </row>
    <row r="969" spans="1:12" ht="68.25">
      <c r="A969" s="1" t="str" cm="1">
        <f t="array" aca="1" ref="A969" ca="1">INDIRECT(_xlfn.CONCAT("$I", $F969))</f>
        <v>World Championship Decks 1998 WC98</v>
      </c>
      <c r="B969" s="1" cm="1">
        <f t="array" aca="1" ref="B969" ca="1">INDIRECT(_xlfn.CONCAT("$J", $F969))</f>
        <v>117</v>
      </c>
      <c r="C969" s="1" cm="1">
        <f t="array" aca="1" ref="C969" ca="1">INDIRECT(_xlfn.CONCAT("$K", $F969))</f>
        <v>36019</v>
      </c>
      <c r="D969" s="1"/>
      <c r="E969" s="1" t="str" cm="1">
        <f t="array" aca="1" ref="E969" ca="1">INDIRECT(_xlfn.CONCAT("$L", $F969))</f>
        <v>en es fr de it pt ja ko ru 汉语 漢語</v>
      </c>
      <c r="F969" s="1" cm="1">
        <f t="array" aca="1" ref="F969" ca="1">IF(NOT(OR(ISERROR(INDIRECT(_xlfn.CONCAT("$I", $F968 + 1))), ISBLANK(INDIRECT(_xlfn.CONCAT("$I", $F968 + 1))))), $F968 + 1, IF(NOT(ISBLANK(INDIRECT(_xlfn.CONCAT("$I", $F968 + 2)))), $F968 + 2, ""))</f>
        <v>1882</v>
      </c>
    </row>
    <row r="970" spans="1:12" ht="59.25">
      <c r="A970" s="1" t="str" cm="1">
        <f t="array" aca="1" ref="A970" ca="1">INDIRECT(_xlfn.CONCAT("$I", $F970))</f>
        <v>Unglued UGL</v>
      </c>
      <c r="B970" s="1" cm="1">
        <f t="array" aca="1" ref="B970" ca="1">INDIRECT(_xlfn.CONCAT("$J", $F970))</f>
        <v>88</v>
      </c>
      <c r="C970" s="1" cm="1">
        <f t="array" aca="1" ref="C970" ca="1">INDIRECT(_xlfn.CONCAT("$K", $F970))</f>
        <v>36018</v>
      </c>
      <c r="D970" s="1"/>
      <c r="E970" s="1" t="str" cm="1">
        <f t="array" aca="1" ref="E970" ca="1">INDIRECT(_xlfn.CONCAT("$L", $F970))</f>
        <v>en es fr de it pt ja ko ru 汉语 漢語</v>
      </c>
      <c r="F970" s="1" cm="1">
        <f t="array" aca="1" ref="F970" ca="1">IF(NOT(OR(ISERROR(INDIRECT(_xlfn.CONCAT("$I", $F969 + 1))), ISBLANK(INDIRECT(_xlfn.CONCAT("$I", $F969 + 1))))), $F969 + 1, IF(NOT(ISBLANK(INDIRECT(_xlfn.CONCAT("$I", $F969 + 2)))), $F969 + 2, ""))</f>
        <v>1884</v>
      </c>
      <c r="I970" s="8" t="s">
        <v>654</v>
      </c>
      <c r="J970" s="8">
        <v>5</v>
      </c>
      <c r="K970" s="9">
        <v>43028</v>
      </c>
      <c r="L970" s="8" t="s">
        <v>174</v>
      </c>
    </row>
    <row r="971" spans="1:12" ht="59.25">
      <c r="A971" s="1" t="str" cm="1">
        <f t="array" aca="1" ref="A971" ca="1">INDIRECT(_xlfn.CONCAT("$I", $F971))</f>
        <v>Unglued Tokens TUGL</v>
      </c>
      <c r="B971" s="1" cm="1">
        <f t="array" aca="1" ref="B971" ca="1">INDIRECT(_xlfn.CONCAT("$J", $F971))</f>
        <v>6</v>
      </c>
      <c r="C971" s="1" cm="1">
        <f t="array" aca="1" ref="C971" ca="1">INDIRECT(_xlfn.CONCAT("$K", $F971))</f>
        <v>36018</v>
      </c>
      <c r="D971" s="1"/>
      <c r="E971" s="1" t="str" cm="1">
        <f t="array" aca="1" ref="E971" ca="1">INDIRECT(_xlfn.CONCAT("$L", $F971))</f>
        <v>en es fr de it pt ja ko ru 汉语 漢語</v>
      </c>
      <c r="F971" s="1" cm="1">
        <f t="array" aca="1" ref="F971" ca="1">IF(NOT(OR(ISERROR(INDIRECT(_xlfn.CONCAT("$I", $F970 + 1))), ISBLANK(INDIRECT(_xlfn.CONCAT("$I", $F970 + 1))))), $F970 + 1, IF(NOT(ISBLANK(INDIRECT(_xlfn.CONCAT("$I", $F970 + 2)))), $F970 + 2, ""))</f>
        <v>1886</v>
      </c>
    </row>
    <row r="972" spans="1:12" ht="59.25">
      <c r="A972" s="1" t="str" cm="1">
        <f t="array" aca="1" ref="A972" ca="1">INDIRECT(_xlfn.CONCAT("$I", $F972))</f>
        <v>Portal Second Age P02</v>
      </c>
      <c r="B972" s="1" cm="1">
        <f t="array" aca="1" ref="B972" ca="1">INDIRECT(_xlfn.CONCAT("$J", $F972))</f>
        <v>165</v>
      </c>
      <c r="C972" s="1" cm="1">
        <f t="array" aca="1" ref="C972" ca="1">INDIRECT(_xlfn.CONCAT("$K", $F972))</f>
        <v>35970</v>
      </c>
      <c r="D972" s="1"/>
      <c r="E972" s="1" t="str" cm="1">
        <f t="array" aca="1" ref="E972" ca="1">INDIRECT(_xlfn.CONCAT("$L", $F972))</f>
        <v>en es fr de it pt ja ko ru 汉语 漢語</v>
      </c>
      <c r="F972" s="1" cm="1">
        <f t="array" aca="1" ref="F972" ca="1">IF(NOT(OR(ISERROR(INDIRECT(_xlfn.CONCAT("$I", $F971 + 1))), ISBLANK(INDIRECT(_xlfn.CONCAT("$I", $F971 + 1))))), $F971 + 1, IF(NOT(ISBLANK(INDIRECT(_xlfn.CONCAT("$I", $F971 + 2)))), $F971 + 2, ""))</f>
        <v>1888</v>
      </c>
      <c r="I972" s="8" t="s">
        <v>655</v>
      </c>
      <c r="J972" s="8">
        <v>289</v>
      </c>
      <c r="K972" s="9">
        <v>43007</v>
      </c>
      <c r="L972" t="s">
        <v>174</v>
      </c>
    </row>
    <row r="973" spans="1:12" ht="59.25">
      <c r="A973" s="1" t="str" cm="1">
        <f t="array" aca="1" ref="A973" ca="1">INDIRECT(_xlfn.CONCAT("$I", $F973))</f>
        <v>Exodus EXO</v>
      </c>
      <c r="B973" s="1" cm="1">
        <f t="array" aca="1" ref="B973" ca="1">INDIRECT(_xlfn.CONCAT("$J", $F973))</f>
        <v>143</v>
      </c>
      <c r="C973" s="1" cm="1">
        <f t="array" aca="1" ref="C973" ca="1">INDIRECT(_xlfn.CONCAT("$K", $F973))</f>
        <v>35961</v>
      </c>
      <c r="D973" s="1"/>
      <c r="E973" s="1" t="str" cm="1">
        <f t="array" aca="1" ref="E973" ca="1">INDIRECT(_xlfn.CONCAT("$L", $F973))</f>
        <v>en es fr de it pt ja ko ru 汉语 漢語</v>
      </c>
      <c r="F973" s="1" cm="1">
        <f t="array" aca="1" ref="F973" ca="1">IF(NOT(OR(ISERROR(INDIRECT(_xlfn.CONCAT("$I", $F972 + 1))), ISBLANK(INDIRECT(_xlfn.CONCAT("$I", $F972 + 1))))), $F972 + 1, IF(NOT(ISBLANK(INDIRECT(_xlfn.CONCAT("$I", $F972 + 2)))), $F972 + 2, ""))</f>
        <v>1890</v>
      </c>
    </row>
    <row r="974" spans="1:12" ht="59.25">
      <c r="A974" s="1" t="str" cm="1">
        <f t="array" aca="1" ref="A974" ca="1">INDIRECT(_xlfn.CONCAT("$I", $F974))</f>
        <v>Exodus Promos PEXO</v>
      </c>
      <c r="B974" s="1" cm="1">
        <f t="array" aca="1" ref="B974" ca="1">INDIRECT(_xlfn.CONCAT("$J", $F974))</f>
        <v>1</v>
      </c>
      <c r="C974" s="1" cm="1">
        <f t="array" aca="1" ref="C974" ca="1">INDIRECT(_xlfn.CONCAT("$K", $F974))</f>
        <v>35961</v>
      </c>
      <c r="D974" s="1"/>
      <c r="E974" s="1" t="str" cm="1">
        <f t="array" aca="1" ref="E974" ca="1">INDIRECT(_xlfn.CONCAT("$L", $F974))</f>
        <v>en es fr de it pt ja ko ru 汉语 漢語</v>
      </c>
      <c r="F974" s="1" cm="1">
        <f t="array" aca="1" ref="F974" ca="1">IF(NOT(OR(ISERROR(INDIRECT(_xlfn.CONCAT("$I", $F973 + 1))), ISBLANK(INDIRECT(_xlfn.CONCAT("$I", $F973 + 1))))), $F973 + 1, IF(NOT(ISBLANK(INDIRECT(_xlfn.CONCAT("$I", $F973 + 2)))), $F973 + 2, ""))</f>
        <v>1892</v>
      </c>
      <c r="I974" s="8" t="s">
        <v>656</v>
      </c>
      <c r="J974" s="8">
        <v>120</v>
      </c>
      <c r="K974" s="9">
        <v>43007</v>
      </c>
      <c r="L974" s="8" t="s">
        <v>174</v>
      </c>
    </row>
    <row r="975" spans="1:12" ht="59.25">
      <c r="A975" s="1" t="str" cm="1">
        <f t="array" aca="1" ref="A975" ca="1">INDIRECT(_xlfn.CONCAT("$I", $F975))</f>
        <v>Stronghold STH</v>
      </c>
      <c r="B975" s="1" cm="1">
        <f t="array" aca="1" ref="B975" ca="1">INDIRECT(_xlfn.CONCAT("$J", $F975))</f>
        <v>143</v>
      </c>
      <c r="C975" s="1" cm="1">
        <f t="array" aca="1" ref="C975" ca="1">INDIRECT(_xlfn.CONCAT("$K", $F975))</f>
        <v>35856</v>
      </c>
      <c r="D975" s="1"/>
      <c r="E975" s="1" t="str" cm="1">
        <f t="array" aca="1" ref="E975" ca="1">INDIRECT(_xlfn.CONCAT("$L", $F975))</f>
        <v>en es fr de it pt ja ko ru 汉语 漢語</v>
      </c>
      <c r="F975" s="1" cm="1">
        <f t="array" aca="1" ref="F975" ca="1">IF(NOT(OR(ISERROR(INDIRECT(_xlfn.CONCAT("$I", $F974 + 1))), ISBLANK(INDIRECT(_xlfn.CONCAT("$I", $F974 + 1))))), $F974 + 1, IF(NOT(ISBLANK(INDIRECT(_xlfn.CONCAT("$I", $F974 + 2)))), $F974 + 2, ""))</f>
        <v>1894</v>
      </c>
    </row>
    <row r="976" spans="1:12" ht="59.25">
      <c r="A976" s="1" t="str" cm="1">
        <f t="array" aca="1" ref="A976" ca="1">INDIRECT(_xlfn.CONCAT("$I", $F976))</f>
        <v>Stronghold Promos PSTH</v>
      </c>
      <c r="B976" s="1" cm="1">
        <f t="array" aca="1" ref="B976" ca="1">INDIRECT(_xlfn.CONCAT("$J", $F976))</f>
        <v>1</v>
      </c>
      <c r="C976" s="1" cm="1">
        <f t="array" aca="1" ref="C976" ca="1">INDIRECT(_xlfn.CONCAT("$K", $F976))</f>
        <v>35856</v>
      </c>
      <c r="D976" s="1"/>
      <c r="E976" s="1" t="str" cm="1">
        <f t="array" aca="1" ref="E976" ca="1">INDIRECT(_xlfn.CONCAT("$L", $F976))</f>
        <v>en es fr de it pt ja ko ru 汉语 漢語</v>
      </c>
      <c r="F976" s="1" cm="1">
        <f t="array" aca="1" ref="F976" ca="1">IF(NOT(OR(ISERROR(INDIRECT(_xlfn.CONCAT("$I", $F975 + 1))), ISBLANK(INDIRECT(_xlfn.CONCAT("$I", $F975 + 1))))), $F975 + 1, IF(NOT(ISBLANK(INDIRECT(_xlfn.CONCAT("$I", $F975 + 2)))), $F975 + 2, ""))</f>
        <v>1896</v>
      </c>
      <c r="I976" s="8" t="s">
        <v>657</v>
      </c>
      <c r="J976" s="8">
        <v>11</v>
      </c>
      <c r="K976" s="9">
        <v>43007</v>
      </c>
      <c r="L976" s="8" t="s">
        <v>174</v>
      </c>
    </row>
    <row r="977" spans="1:12" ht="59.25">
      <c r="A977" s="1" t="str" cm="1">
        <f t="array" aca="1" ref="A977" ca="1">INDIRECT(_xlfn.CONCAT("$I", $F977))</f>
        <v>Judge Gift Cards 1998 JGP</v>
      </c>
      <c r="B977" s="1" cm="1">
        <f t="array" aca="1" ref="B977" ca="1">INDIRECT(_xlfn.CONCAT("$J", $F977))</f>
        <v>3</v>
      </c>
      <c r="C977" s="1" cm="1">
        <f t="array" aca="1" ref="C977" ca="1">INDIRECT(_xlfn.CONCAT("$K", $F977))</f>
        <v>35796</v>
      </c>
      <c r="D977" s="1"/>
      <c r="E977" s="1" t="str" cm="1">
        <f t="array" aca="1" ref="E977" ca="1">INDIRECT(_xlfn.CONCAT("$L", $F977))</f>
        <v>en es fr de it pt ja ko ru 汉语 漢語</v>
      </c>
      <c r="F977" s="1" cm="1">
        <f t="array" aca="1" ref="F977" ca="1">IF(NOT(OR(ISERROR(INDIRECT(_xlfn.CONCAT("$I", $F976 + 1))), ISBLANK(INDIRECT(_xlfn.CONCAT("$I", $F976 + 1))))), $F976 + 1, IF(NOT(ISBLANK(INDIRECT(_xlfn.CONCAT("$I", $F976 + 2)))), $F976 + 2, ""))</f>
        <v>1898</v>
      </c>
    </row>
    <row r="978" spans="1:12" ht="59.25">
      <c r="A978" s="1" t="str" cm="1">
        <f t="array" aca="1" ref="A978" ca="1">INDIRECT(_xlfn.CONCAT("$I", $F978))</f>
        <v>Tempest TMP</v>
      </c>
      <c r="B978" s="1" cm="1">
        <f t="array" aca="1" ref="B978" ca="1">INDIRECT(_xlfn.CONCAT("$J", $F978))</f>
        <v>350</v>
      </c>
      <c r="C978" s="1" cm="1">
        <f t="array" aca="1" ref="C978" ca="1">INDIRECT(_xlfn.CONCAT("$K", $F978))</f>
        <v>35717</v>
      </c>
      <c r="D978" s="1"/>
      <c r="E978" s="1" t="str" cm="1">
        <f t="array" aca="1" ref="E978" ca="1">INDIRECT(_xlfn.CONCAT("$L", $F978))</f>
        <v>en es fr de it pt ja ko ru 汉语 漢語</v>
      </c>
      <c r="F978" s="1" cm="1">
        <f t="array" aca="1" ref="F978" ca="1">IF(NOT(OR(ISERROR(INDIRECT(_xlfn.CONCAT("$I", $F977 + 1))), ISBLANK(INDIRECT(_xlfn.CONCAT("$I", $F977 + 1))))), $F977 + 1, IF(NOT(ISBLANK(INDIRECT(_xlfn.CONCAT("$I", $F977 + 2)))), $F977 + 2, ""))</f>
        <v>1900</v>
      </c>
      <c r="I978" s="8" t="s">
        <v>658</v>
      </c>
      <c r="J978" s="8">
        <v>10</v>
      </c>
      <c r="K978" s="9">
        <v>43063</v>
      </c>
      <c r="L978" s="8" t="s">
        <v>174</v>
      </c>
    </row>
    <row r="979" spans="1:12" ht="59.25">
      <c r="A979" s="1" t="str" cm="1">
        <f t="array" aca="1" ref="A979" ca="1">INDIRECT(_xlfn.CONCAT("$I", $F979))</f>
        <v>Tempest Promos PTMP</v>
      </c>
      <c r="B979" s="1" cm="1">
        <f t="array" aca="1" ref="B979" ca="1">INDIRECT(_xlfn.CONCAT("$J", $F979))</f>
        <v>1</v>
      </c>
      <c r="C979" s="1" cm="1">
        <f t="array" aca="1" ref="C979" ca="1">INDIRECT(_xlfn.CONCAT("$K", $F979))</f>
        <v>35717</v>
      </c>
      <c r="D979" s="1"/>
      <c r="E979" s="1" t="str" cm="1">
        <f t="array" aca="1" ref="E979" ca="1">INDIRECT(_xlfn.CONCAT("$L", $F979))</f>
        <v>en es fr de it pt ja ko ru 汉语 漢語</v>
      </c>
      <c r="F979" s="1" cm="1">
        <f t="array" aca="1" ref="F979" ca="1">IF(NOT(OR(ISERROR(INDIRECT(_xlfn.CONCAT("$I", $F978 + 1))), ISBLANK(INDIRECT(_xlfn.CONCAT("$I", $F978 + 1))))), $F978 + 1, IF(NOT(ISBLANK(INDIRECT(_xlfn.CONCAT("$I", $F978 + 2)))), $F978 + 2, ""))</f>
        <v>1902</v>
      </c>
    </row>
    <row r="980" spans="1:12" ht="68.25">
      <c r="A980" s="1" t="str" cm="1">
        <f t="array" aca="1" ref="A980" ca="1">INDIRECT(_xlfn.CONCAT("$I", $F980))</f>
        <v>World Championship Decks 1997 WC97</v>
      </c>
      <c r="B980" s="1" cm="1">
        <f t="array" aca="1" ref="B980" ca="1">INDIRECT(_xlfn.CONCAT("$J", $F980))</f>
        <v>131</v>
      </c>
      <c r="C980" s="1" cm="1">
        <f t="array" aca="1" ref="C980" ca="1">INDIRECT(_xlfn.CONCAT("$K", $F980))</f>
        <v>35655</v>
      </c>
      <c r="D980" s="1"/>
      <c r="E980" s="1" t="str" cm="1">
        <f t="array" aca="1" ref="E980" ca="1">INDIRECT(_xlfn.CONCAT("$L", $F980))</f>
        <v>en es fr de it pt ja ko ru 汉语 漢語</v>
      </c>
      <c r="F980" s="1" cm="1">
        <f t="array" aca="1" ref="F980" ca="1">IF(NOT(OR(ISERROR(INDIRECT(_xlfn.CONCAT("$I", $F979 + 1))), ISBLANK(INDIRECT(_xlfn.CONCAT("$I", $F979 + 1))))), $F979 + 1, IF(NOT(ISBLANK(INDIRECT(_xlfn.CONCAT("$I", $F979 + 2)))), $F979 + 2, ""))</f>
        <v>1904</v>
      </c>
      <c r="I980" s="8" t="s">
        <v>659</v>
      </c>
      <c r="J980" s="8">
        <v>5</v>
      </c>
      <c r="K980" s="9">
        <v>43007</v>
      </c>
      <c r="L980" s="8" t="s">
        <v>174</v>
      </c>
    </row>
    <row r="981" spans="1:12" ht="59.25">
      <c r="A981" s="1" t="str" cm="1">
        <f t="array" aca="1" ref="A981" ca="1">INDIRECT(_xlfn.CONCAT("$I", $F981))</f>
        <v>Weatherlight WTH</v>
      </c>
      <c r="B981" s="1" cm="1">
        <f t="array" aca="1" ref="B981" ca="1">INDIRECT(_xlfn.CONCAT("$J", $F981))</f>
        <v>167</v>
      </c>
      <c r="C981" s="1" cm="1">
        <f t="array" aca="1" ref="C981" ca="1">INDIRECT(_xlfn.CONCAT("$K", $F981))</f>
        <v>35590</v>
      </c>
      <c r="D981" s="1"/>
      <c r="E981" s="1" t="str" cm="1">
        <f t="array" aca="1" ref="E981" ca="1">INDIRECT(_xlfn.CONCAT("$L", $F981))</f>
        <v>en es fr de it pt ja ko ru 汉语 漢語</v>
      </c>
      <c r="F981" s="1" cm="1">
        <f t="array" aca="1" ref="F981" ca="1">IF(NOT(OR(ISERROR(INDIRECT(_xlfn.CONCAT("$I", $F980 + 1))), ISBLANK(INDIRECT(_xlfn.CONCAT("$I", $F980 + 1))))), $F980 + 1, IF(NOT(ISBLANK(INDIRECT(_xlfn.CONCAT("$I", $F980 + 2)))), $F980 + 2, ""))</f>
        <v>1906</v>
      </c>
    </row>
    <row r="982" spans="1:12" ht="59.25">
      <c r="A982" s="1" t="str" cm="1">
        <f t="array" aca="1" ref="A982" ca="1">INDIRECT(_xlfn.CONCAT("$I", $F982))</f>
        <v>Oversized League Prizes OLEP</v>
      </c>
      <c r="B982" s="1" cm="1">
        <f t="array" aca="1" ref="B982" ca="1">INDIRECT(_xlfn.CONCAT("$J", $F982))</f>
        <v>83</v>
      </c>
      <c r="C982" s="1" cm="1">
        <f t="array" aca="1" ref="C982" ca="1">INDIRECT(_xlfn.CONCAT("$K", $F982))</f>
        <v>35580</v>
      </c>
      <c r="D982" s="1"/>
      <c r="E982" s="1" t="str" cm="1">
        <f t="array" aca="1" ref="E982" ca="1">INDIRECT(_xlfn.CONCAT("$L", $F982))</f>
        <v>en es fr de it pt ja ko ru 汉语 漢語</v>
      </c>
      <c r="F982" s="1" cm="1">
        <f t="array" aca="1" ref="F982" ca="1">IF(NOT(OR(ISERROR(INDIRECT(_xlfn.CONCAT("$I", $F981 + 1))), ISBLANK(INDIRECT(_xlfn.CONCAT("$I", $F981 + 1))))), $F981 + 1, IF(NOT(ISBLANK(INDIRECT(_xlfn.CONCAT("$I", $F981 + 2)))), $F981 + 2, ""))</f>
        <v>1908</v>
      </c>
      <c r="I982" s="8" t="s">
        <v>660</v>
      </c>
      <c r="J982" s="8">
        <v>4</v>
      </c>
      <c r="K982" s="9">
        <v>42998</v>
      </c>
      <c r="L982" s="8" t="s">
        <v>174</v>
      </c>
    </row>
    <row r="983" spans="1:12" ht="59.25">
      <c r="A983" s="1" t="str" cm="1">
        <f t="array" aca="1" ref="A983" ca="1">INDIRECT(_xlfn.CONCAT("$I", $F983))</f>
        <v>Vanguard Series PVAN</v>
      </c>
      <c r="B983" s="1" cm="1">
        <f t="array" aca="1" ref="B983" ca="1">INDIRECT(_xlfn.CONCAT("$J", $F983))</f>
        <v>32</v>
      </c>
      <c r="C983" s="1" cm="1">
        <f t="array" aca="1" ref="C983" ca="1">INDIRECT(_xlfn.CONCAT("$K", $F983))</f>
        <v>35551</v>
      </c>
      <c r="D983" s="1"/>
      <c r="E983" s="1" t="str" cm="1">
        <f t="array" aca="1" ref="E983" ca="1">INDIRECT(_xlfn.CONCAT("$L", $F983))</f>
        <v>en es fr de it pt ja ko ru 汉语 漢語</v>
      </c>
      <c r="F983" s="1" cm="1">
        <f t="array" aca="1" ref="F983" ca="1">IF(NOT(OR(ISERROR(INDIRECT(_xlfn.CONCAT("$I", $F982 + 1))), ISBLANK(INDIRECT(_xlfn.CONCAT("$I", $F982 + 1))))), $F982 + 1, IF(NOT(ISBLANK(INDIRECT(_xlfn.CONCAT("$I", $F982 + 2)))), $F982 + 2, ""))</f>
        <v>1910</v>
      </c>
    </row>
    <row r="984" spans="1:12" ht="59.25">
      <c r="A984" s="1" t="str" cm="1">
        <f t="array" aca="1" ref="A984" ca="1">INDIRECT(_xlfn.CONCAT("$I", $F984))</f>
        <v>Portal POR</v>
      </c>
      <c r="B984" s="1" cm="1">
        <f t="array" aca="1" ref="B984" ca="1">INDIRECT(_xlfn.CONCAT("$J", $F984))</f>
        <v>257</v>
      </c>
      <c r="C984" s="1" cm="1">
        <f t="array" aca="1" ref="C984" ca="1">INDIRECT(_xlfn.CONCAT("$K", $F984))</f>
        <v>35551</v>
      </c>
      <c r="D984" s="1"/>
      <c r="E984" s="1" t="str" cm="1">
        <f t="array" aca="1" ref="E984" ca="1">INDIRECT(_xlfn.CONCAT("$L", $F984))</f>
        <v>en es fr de it pt ja ko ru 汉语 漢語</v>
      </c>
      <c r="F984" s="1" cm="1">
        <f t="array" aca="1" ref="F984" ca="1">IF(NOT(OR(ISERROR(INDIRECT(_xlfn.CONCAT("$I", $F983 + 1))), ISBLANK(INDIRECT(_xlfn.CONCAT("$I", $F983 + 1))))), $F983 + 1, IF(NOT(ISBLANK(INDIRECT(_xlfn.CONCAT("$I", $F983 + 2)))), $F983 + 2, ""))</f>
        <v>1912</v>
      </c>
      <c r="I984" s="8" t="s">
        <v>661</v>
      </c>
      <c r="J984" s="8">
        <v>3</v>
      </c>
      <c r="K984" s="9">
        <v>42998</v>
      </c>
      <c r="L984" s="8" t="s">
        <v>174</v>
      </c>
    </row>
    <row r="985" spans="1:12" ht="59.25">
      <c r="A985" s="1" t="str" cm="1">
        <f t="array" aca="1" ref="A985" ca="1">INDIRECT(_xlfn.CONCAT("$I", $F985))</f>
        <v>Astral Cards PAST</v>
      </c>
      <c r="B985" s="1" cm="1">
        <f t="array" aca="1" ref="B985" ca="1">INDIRECT(_xlfn.CONCAT("$J", $F985))</f>
        <v>12</v>
      </c>
      <c r="C985" s="1" cm="1">
        <f t="array" aca="1" ref="C985" ca="1">INDIRECT(_xlfn.CONCAT("$K", $F985))</f>
        <v>35521</v>
      </c>
      <c r="D985" s="1"/>
      <c r="E985" s="1" t="str" cm="1">
        <f t="array" aca="1" ref="E985" ca="1">INDIRECT(_xlfn.CONCAT("$L", $F985))</f>
        <v>en es fr de it pt ja ko ru 汉语 漢語</v>
      </c>
      <c r="F985" s="1" cm="1">
        <f t="array" aca="1" ref="F985" ca="1">IF(NOT(OR(ISERROR(INDIRECT(_xlfn.CONCAT("$I", $F984 + 1))), ISBLANK(INDIRECT(_xlfn.CONCAT("$I", $F984 + 1))))), $F984 + 1, IF(NOT(ISBLANK(INDIRECT(_xlfn.CONCAT("$I", $F984 + 2)))), $F984 + 2, ""))</f>
        <v>1914</v>
      </c>
    </row>
    <row r="986" spans="1:12" ht="59.25">
      <c r="A986" s="1" t="str" cm="1">
        <f t="array" aca="1" ref="A986" ca="1">INDIRECT(_xlfn.CONCAT("$I", $F986))</f>
        <v>MicroProse Promos PMIC</v>
      </c>
      <c r="B986" s="1" cm="1">
        <f t="array" aca="1" ref="B986" ca="1">INDIRECT(_xlfn.CONCAT("$J", $F986))</f>
        <v>1</v>
      </c>
      <c r="C986" s="1" cm="1">
        <f t="array" aca="1" ref="C986" ca="1">INDIRECT(_xlfn.CONCAT("$K", $F986))</f>
        <v>35521</v>
      </c>
      <c r="D986" s="1"/>
      <c r="E986" s="1" t="str" cm="1">
        <f t="array" aca="1" ref="E986" ca="1">INDIRECT(_xlfn.CONCAT("$L", $F986))</f>
        <v>en es fr de it pt ja ko ru 汉语 漢語</v>
      </c>
      <c r="F986" s="1" cm="1">
        <f t="array" aca="1" ref="F986" ca="1">IF(NOT(OR(ISERROR(INDIRECT(_xlfn.CONCAT("$I", $F985 + 1))), ISBLANK(INDIRECT(_xlfn.CONCAT("$I", $F985 + 1))))), $F985 + 1, IF(NOT(ISBLANK(INDIRECT(_xlfn.CONCAT("$I", $F985 + 2)))), $F985 + 2, ""))</f>
        <v>1916</v>
      </c>
      <c r="I986" s="8" t="s">
        <v>662</v>
      </c>
      <c r="J986" s="8">
        <v>540</v>
      </c>
      <c r="K986" s="9">
        <v>42984</v>
      </c>
    </row>
    <row r="987" spans="1:12" ht="59.25">
      <c r="A987" s="1" t="str" cm="1">
        <f t="array" aca="1" ref="A987" ca="1">INDIRECT(_xlfn.CONCAT("$I", $F987))</f>
        <v>Fifth Edition 5ED</v>
      </c>
      <c r="B987" s="1" cm="1">
        <f t="array" aca="1" ref="B987" ca="1">INDIRECT(_xlfn.CONCAT("$J", $F987))</f>
        <v>460</v>
      </c>
      <c r="C987" s="1" cm="1">
        <f t="array" aca="1" ref="C987" ca="1">INDIRECT(_xlfn.CONCAT("$K", $F987))</f>
        <v>35513</v>
      </c>
      <c r="D987" s="1"/>
      <c r="E987" s="1" t="str" cm="1">
        <f t="array" aca="1" ref="E987" ca="1">INDIRECT(_xlfn.CONCAT("$L", $F987))</f>
        <v>en es fr de it pt ja ko ru 汉语 漢語</v>
      </c>
      <c r="F987" s="1" cm="1">
        <f t="array" aca="1" ref="F987" ca="1">IF(NOT(OR(ISERROR(INDIRECT(_xlfn.CONCAT("$I", $F986 + 1))), ISBLANK(INDIRECT(_xlfn.CONCAT("$I", $F986 + 1))))), $F986 + 1, IF(NOT(ISBLANK(INDIRECT(_xlfn.CONCAT("$I", $F986 + 2)))), $F986 + 2, ""))</f>
        <v>1918</v>
      </c>
    </row>
    <row r="988" spans="1:12" ht="59.25">
      <c r="A988" s="1" t="str" cm="1">
        <f t="array" aca="1" ref="A988" ca="1">INDIRECT(_xlfn.CONCAT("$I", $F988))</f>
        <v>Visions VIS</v>
      </c>
      <c r="B988" s="1" cm="1">
        <f t="array" aca="1" ref="B988" ca="1">INDIRECT(_xlfn.CONCAT("$J", $F988))</f>
        <v>167</v>
      </c>
      <c r="C988" s="1" cm="1">
        <f t="array" aca="1" ref="C988" ca="1">INDIRECT(_xlfn.CONCAT("$K", $F988))</f>
        <v>35464</v>
      </c>
      <c r="D988" s="1"/>
      <c r="E988" s="1" t="str" cm="1">
        <f t="array" aca="1" ref="E988" ca="1">INDIRECT(_xlfn.CONCAT("$L", $F988))</f>
        <v>en es fr de it pt ja ko ru 汉语 漢語</v>
      </c>
      <c r="F988" s="1" cm="1">
        <f t="array" aca="1" ref="F988" ca="1">IF(NOT(OR(ISERROR(INDIRECT(_xlfn.CONCAT("$I", $F987 + 1))), ISBLANK(INDIRECT(_xlfn.CONCAT("$I", $F987 + 1))))), $F987 + 1, IF(NOT(ISBLANK(INDIRECT(_xlfn.CONCAT("$I", $F987 + 2)))), $F987 + 2, ""))</f>
        <v>1920</v>
      </c>
      <c r="I988" s="8" t="s">
        <v>663</v>
      </c>
      <c r="J988" s="8">
        <v>309</v>
      </c>
      <c r="K988" s="9">
        <v>42972</v>
      </c>
      <c r="L988" t="s">
        <v>174</v>
      </c>
    </row>
    <row r="989" spans="1:12" ht="59.25">
      <c r="A989" s="1" t="str" cm="1">
        <f t="array" aca="1" ref="A989" ca="1">INDIRECT(_xlfn.CONCAT("$I", $F989))</f>
        <v>Multiverse Gift Box MGB</v>
      </c>
      <c r="B989" s="1" cm="1">
        <f t="array" aca="1" ref="B989" ca="1">INDIRECT(_xlfn.CONCAT("$J", $F989))</f>
        <v>10</v>
      </c>
      <c r="C989" s="1" cm="1">
        <f t="array" aca="1" ref="C989" ca="1">INDIRECT(_xlfn.CONCAT("$K", $F989))</f>
        <v>35370</v>
      </c>
      <c r="D989" s="1"/>
      <c r="E989" s="1" t="str" cm="1">
        <f t="array" aca="1" ref="E989" ca="1">INDIRECT(_xlfn.CONCAT("$L", $F989))</f>
        <v>en es fr de it pt ja ko ru 汉语 漢語</v>
      </c>
      <c r="F989" s="1" cm="1">
        <f t="array" aca="1" ref="F989" ca="1">IF(NOT(OR(ISERROR(INDIRECT(_xlfn.CONCAT("$I", $F988 + 1))), ISBLANK(INDIRECT(_xlfn.CONCAT("$I", $F988 + 1))))), $F988 + 1, IF(NOT(ISBLANK(INDIRECT(_xlfn.CONCAT("$I", $F988 + 2)))), $F988 + 2, ""))</f>
        <v>1922</v>
      </c>
    </row>
    <row r="990" spans="1:12" ht="59.25">
      <c r="A990" s="1" t="str" cm="1">
        <f t="array" aca="1" ref="A990" ca="1">INDIRECT(_xlfn.CONCAT("$I", $F990))</f>
        <v>Introductory Two-Player Set ITP</v>
      </c>
      <c r="B990" s="1" cm="1">
        <f t="array" aca="1" ref="B990" ca="1">INDIRECT(_xlfn.CONCAT("$J", $F990))</f>
        <v>67</v>
      </c>
      <c r="C990" s="1" cm="1">
        <f t="array" aca="1" ref="C990" ca="1">INDIRECT(_xlfn.CONCAT("$K", $F990))</f>
        <v>35430</v>
      </c>
      <c r="D990" s="1"/>
      <c r="E990" s="1" t="str" cm="1">
        <f t="array" aca="1" ref="E990" ca="1">INDIRECT(_xlfn.CONCAT("$L", $F990))</f>
        <v>en es fr de it pt ja ko ru 汉语 漢語</v>
      </c>
      <c r="F990" s="1" cm="1">
        <f t="array" aca="1" ref="F990" ca="1">IF(NOT(OR(ISERROR(INDIRECT(_xlfn.CONCAT("$I", $F989 + 1))), ISBLANK(INDIRECT(_xlfn.CONCAT("$I", $F989 + 1))))), $F989 + 1, IF(NOT(ISBLANK(INDIRECT(_xlfn.CONCAT("$I", $F989 + 2)))), $F989 + 2, ""))</f>
        <v>1924</v>
      </c>
      <c r="I990" s="8" t="s">
        <v>664</v>
      </c>
      <c r="J990" s="8">
        <v>11</v>
      </c>
      <c r="K990" s="9">
        <v>42972</v>
      </c>
      <c r="L990" s="8" t="s">
        <v>174</v>
      </c>
    </row>
    <row r="991" spans="1:12" ht="59.25">
      <c r="A991" s="1" t="str" cm="1">
        <f t="array" aca="1" ref="A991" ca="1">INDIRECT(_xlfn.CONCAT("$I", $F991))</f>
        <v>Mirage MIR</v>
      </c>
      <c r="B991" s="1" cm="1">
        <f t="array" aca="1" ref="B991" ca="1">INDIRECT(_xlfn.CONCAT("$J", $F991))</f>
        <v>353</v>
      </c>
      <c r="C991" s="1" cm="1">
        <f t="array" aca="1" ref="C991" ca="1">INDIRECT(_xlfn.CONCAT("$K", $F991))</f>
        <v>35346</v>
      </c>
      <c r="D991" s="1"/>
      <c r="E991" s="1" t="str" cm="1">
        <f t="array" aca="1" ref="E991" ca="1">INDIRECT(_xlfn.CONCAT("$L", $F991))</f>
        <v>en es fr de it pt ja ko ru 汉语 漢語</v>
      </c>
      <c r="F991" s="1" cm="1">
        <f t="array" aca="1" ref="F991" ca="1">IF(NOT(OR(ISERROR(INDIRECT(_xlfn.CONCAT("$I", $F990 + 1))), ISBLANK(INDIRECT(_xlfn.CONCAT("$I", $F990 + 1))))), $F990 + 1, IF(NOT(ISBLANK(INDIRECT(_xlfn.CONCAT("$I", $F990 + 2)))), $F990 + 2, ""))</f>
        <v>1926</v>
      </c>
    </row>
    <row r="992" spans="1:12" ht="59.25">
      <c r="A992" s="1" t="str" cm="1">
        <f t="array" aca="1" ref="A992" ca="1">INDIRECT(_xlfn.CONCAT("$I", $F992))</f>
        <v>Redemption Program PRED</v>
      </c>
      <c r="B992" s="1" cm="1">
        <f t="array" aca="1" ref="B992" ca="1">INDIRECT(_xlfn.CONCAT("$J", $F992))</f>
        <v>1</v>
      </c>
      <c r="C992" s="1" cm="1">
        <f t="array" aca="1" ref="C992" ca="1">INDIRECT(_xlfn.CONCAT("$K", $F992))</f>
        <v>35339</v>
      </c>
      <c r="D992" s="1"/>
      <c r="E992" s="1" t="str" cm="1">
        <f t="array" aca="1" ref="E992" ca="1">INDIRECT(_xlfn.CONCAT("$L", $F992))</f>
        <v>en es fr de it pt ja ko ru 汉语 漢語</v>
      </c>
      <c r="F992" s="1" cm="1">
        <f t="array" aca="1" ref="F992" ca="1">IF(NOT(OR(ISERROR(INDIRECT(_xlfn.CONCAT("$I", $F991 + 1))), ISBLANK(INDIRECT(_xlfn.CONCAT("$I", $F991 + 1))))), $F991 + 1, IF(NOT(ISBLANK(INDIRECT(_xlfn.CONCAT("$I", $F991 + 2)))), $F991 + 2, ""))</f>
        <v>1928</v>
      </c>
      <c r="I992" s="8" t="s">
        <v>665</v>
      </c>
      <c r="J992" s="8">
        <v>4</v>
      </c>
      <c r="K992" s="9">
        <v>42972</v>
      </c>
      <c r="L992" s="8" t="s">
        <v>174</v>
      </c>
    </row>
    <row r="993" spans="1:12" ht="59.25">
      <c r="A993" s="1" t="str" cm="1">
        <f t="array" aca="1" ref="A993" ca="1">INDIRECT(_xlfn.CONCAT("$I", $F993))</f>
        <v>Celebration Cards PCEL</v>
      </c>
      <c r="B993" s="1" cm="1">
        <f t="array" aca="1" ref="B993" ca="1">INDIRECT(_xlfn.CONCAT("$J", $F993))</f>
        <v>9</v>
      </c>
      <c r="C993" s="1" cm="1">
        <f t="array" aca="1" ref="C993" ca="1">INDIRECT(_xlfn.CONCAT("$K", $F993))</f>
        <v>35291</v>
      </c>
      <c r="D993" s="1"/>
      <c r="E993" s="1" t="str" cm="1">
        <f t="array" aca="1" ref="E993" ca="1">INDIRECT(_xlfn.CONCAT("$L", $F993))</f>
        <v>en es fr de it pt ja ko ru 汉语 漢語</v>
      </c>
      <c r="F993" s="1" cm="1">
        <f t="array" aca="1" ref="F993" ca="1">IF(NOT(OR(ISERROR(INDIRECT(_xlfn.CONCAT("$I", $F992 + 1))), ISBLANK(INDIRECT(_xlfn.CONCAT("$I", $F992 + 1))))), $F992 + 1, IF(NOT(ISBLANK(INDIRECT(_xlfn.CONCAT("$I", $F992 + 2)))), $F992 + 2, ""))</f>
        <v>1930</v>
      </c>
    </row>
    <row r="994" spans="1:12" ht="59.25">
      <c r="A994" s="1" t="str" cm="1">
        <f t="array" aca="1" ref="A994" ca="1">INDIRECT(_xlfn.CONCAT("$I", $F994))</f>
        <v>Arena League 1996 PARL</v>
      </c>
      <c r="B994" s="1" cm="1">
        <f t="array" aca="1" ref="B994" ca="1">INDIRECT(_xlfn.CONCAT("$J", $F994))</f>
        <v>7</v>
      </c>
      <c r="C994" s="1" cm="1">
        <f t="array" aca="1" ref="C994" ca="1">INDIRECT(_xlfn.CONCAT("$K", $F994))</f>
        <v>35279</v>
      </c>
      <c r="D994" s="1"/>
      <c r="E994" s="1" t="str" cm="1">
        <f t="array" aca="1" ref="E994" ca="1">INDIRECT(_xlfn.CONCAT("$L", $F994))</f>
        <v>en es fr de it pt ja ko ru 汉语 漢語</v>
      </c>
      <c r="F994" s="1" cm="1">
        <f t="array" aca="1" ref="F994" ca="1">IF(NOT(OR(ISERROR(INDIRECT(_xlfn.CONCAT("$I", $F993 + 1))), ISBLANK(INDIRECT(_xlfn.CONCAT("$I", $F993 + 1))))), $F993 + 1, IF(NOT(ISBLANK(INDIRECT(_xlfn.CONCAT("$I", $F993 + 2)))), $F993 + 2, ""))</f>
        <v>1932</v>
      </c>
      <c r="I994" s="8" t="s">
        <v>666</v>
      </c>
      <c r="J994" s="8">
        <v>6</v>
      </c>
      <c r="K994" s="9">
        <v>42936</v>
      </c>
      <c r="L994" s="8" t="s">
        <v>174</v>
      </c>
    </row>
    <row r="995" spans="1:12" ht="59.25">
      <c r="A995" s="1" t="str" cm="1">
        <f t="array" aca="1" ref="A995" ca="1">INDIRECT(_xlfn.CONCAT("$I", $F995))</f>
        <v>DCI Legend Membership PLGM</v>
      </c>
      <c r="B995" s="1" cm="1">
        <f t="array" aca="1" ref="B995" ca="1">INDIRECT(_xlfn.CONCAT("$J", $F995))</f>
        <v>2</v>
      </c>
      <c r="C995" s="1" cm="1">
        <f t="array" aca="1" ref="C995" ca="1">INDIRECT(_xlfn.CONCAT("$K", $F995))</f>
        <v>35247</v>
      </c>
      <c r="D995" s="1"/>
      <c r="E995" s="1" t="str" cm="1">
        <f t="array" aca="1" ref="E995" ca="1">INDIRECT(_xlfn.CONCAT("$L", $F995))</f>
        <v>en es fr de it pt ja ko ru 汉语 漢語</v>
      </c>
      <c r="F995" s="1" cm="1">
        <f t="array" aca="1" ref="F995" ca="1">IF(NOT(OR(ISERROR(INDIRECT(_xlfn.CONCAT("$I", $F994 + 1))), ISBLANK(INDIRECT(_xlfn.CONCAT("$I", $F994 + 1))))), $F994 + 1, IF(NOT(ISBLANK(INDIRECT(_xlfn.CONCAT("$I", $F994 + 2)))), $F994 + 2, ""))</f>
        <v>1934</v>
      </c>
    </row>
    <row r="996" spans="1:12" ht="59.25">
      <c r="A996" s="1" t="str" cm="1">
        <f t="array" aca="1" ref="A996" ca="1">INDIRECT(_xlfn.CONCAT("$I", $F996))</f>
        <v>Rivals Quick Start Set RQS</v>
      </c>
      <c r="B996" s="1" cm="1">
        <f t="array" aca="1" ref="B996" ca="1">INDIRECT(_xlfn.CONCAT("$J", $F996))</f>
        <v>65</v>
      </c>
      <c r="C996" s="1" cm="1">
        <f t="array" aca="1" ref="C996" ca="1">INDIRECT(_xlfn.CONCAT("$K", $F996))</f>
        <v>35247</v>
      </c>
      <c r="D996" s="1"/>
      <c r="E996" s="1" t="str" cm="1">
        <f t="array" aca="1" ref="E996" ca="1">INDIRECT(_xlfn.CONCAT("$L", $F996))</f>
        <v>en es fr de it pt ja ko ru 汉语 漢語</v>
      </c>
      <c r="F996" s="1" cm="1">
        <f t="array" aca="1" ref="F996" ca="1">IF(NOT(OR(ISERROR(INDIRECT(_xlfn.CONCAT("$I", $F995 + 1))), ISBLANK(INDIRECT(_xlfn.CONCAT("$I", $F995 + 1))))), $F995 + 1, IF(NOT(ISBLANK(INDIRECT(_xlfn.CONCAT("$I", $F995 + 2)))), $F995 + 2, ""))</f>
        <v>1936</v>
      </c>
      <c r="I996" s="8" t="s">
        <v>667</v>
      </c>
      <c r="J996" s="8">
        <v>209</v>
      </c>
      <c r="K996" s="9">
        <v>42930</v>
      </c>
      <c r="L996" t="s">
        <v>174</v>
      </c>
    </row>
    <row r="997" spans="1:12" ht="59.25">
      <c r="A997" s="1" t="str" cm="1">
        <f t="array" aca="1" ref="A997" ca="1">INDIRECT(_xlfn.CONCAT("$I", $F997))</f>
        <v>Alliances ALL</v>
      </c>
      <c r="B997" s="1" cm="1">
        <f t="array" aca="1" ref="B997" ca="1">INDIRECT(_xlfn.CONCAT("$J", $F997))</f>
        <v>199</v>
      </c>
      <c r="C997" s="1" cm="1">
        <f t="array" aca="1" ref="C997" ca="1">INDIRECT(_xlfn.CONCAT("$K", $F997))</f>
        <v>35226</v>
      </c>
      <c r="D997" s="1"/>
      <c r="E997" s="1" t="str" cm="1">
        <f t="array" aca="1" ref="E997" ca="1">INDIRECT(_xlfn.CONCAT("$L", $F997))</f>
        <v>en es fr de it pt ja ko ru 汉语 漢語</v>
      </c>
      <c r="F997" s="1" cm="1">
        <f t="array" aca="1" ref="F997" ca="1">IF(NOT(OR(ISERROR(INDIRECT(_xlfn.CONCAT("$I", $F996 + 1))), ISBLANK(INDIRECT(_xlfn.CONCAT("$I", $F996 + 1))))), $F996 + 1, IF(NOT(ISBLANK(INDIRECT(_xlfn.CONCAT("$I", $F996 + 2)))), $F996 + 2, ""))</f>
        <v>1938</v>
      </c>
    </row>
    <row r="998" spans="1:12" ht="59.25">
      <c r="A998" s="1" t="str" cm="1">
        <f t="array" aca="1" ref="A998" ca="1">INDIRECT(_xlfn.CONCAT("$I", $F998))</f>
        <v>Pro Tour Collector Set PTC</v>
      </c>
      <c r="B998" s="1" cm="1">
        <f t="array" aca="1" ref="B998" ca="1">INDIRECT(_xlfn.CONCAT("$J", $F998))</f>
        <v>308</v>
      </c>
      <c r="C998" s="1" cm="1">
        <f t="array" aca="1" ref="C998" ca="1">INDIRECT(_xlfn.CONCAT("$K", $F998))</f>
        <v>35186</v>
      </c>
      <c r="D998" s="1"/>
      <c r="E998" s="1" t="str" cm="1">
        <f t="array" aca="1" ref="E998" ca="1">INDIRECT(_xlfn.CONCAT("$L", $F998))</f>
        <v>en es fr de it pt ja ko ru 汉语 漢語</v>
      </c>
      <c r="F998" s="1" cm="1">
        <f t="array" aca="1" ref="F998" ca="1">IF(NOT(OR(ISERROR(INDIRECT(_xlfn.CONCAT("$I", $F997 + 1))), ISBLANK(INDIRECT(_xlfn.CONCAT("$I", $F997 + 1))))), $F997 + 1, IF(NOT(ISBLANK(INDIRECT(_xlfn.CONCAT("$I", $F997 + 2)))), $F997 + 2, ""))</f>
        <v>1940</v>
      </c>
      <c r="I998" s="8" t="s">
        <v>668</v>
      </c>
      <c r="J998" s="8">
        <v>62</v>
      </c>
      <c r="K998" s="9">
        <v>42930</v>
      </c>
      <c r="L998" s="8" t="s">
        <v>174</v>
      </c>
    </row>
    <row r="999" spans="1:12" ht="59.25">
      <c r="A999" s="1" t="str" cm="1">
        <f t="array" aca="1" ref="A999" ca="1">INDIRECT(_xlfn.CONCAT("$I", $F999))</f>
        <v>Oversized 90's Promos O90P</v>
      </c>
      <c r="B999" s="1" cm="1">
        <f t="array" aca="1" ref="B999" ca="1">INDIRECT(_xlfn.CONCAT("$J", $F999))</f>
        <v>10</v>
      </c>
      <c r="C999" s="1" cm="1">
        <f t="array" aca="1" ref="C999" ca="1">INDIRECT(_xlfn.CONCAT("$K", $F999))</f>
        <v>35156</v>
      </c>
      <c r="D999" s="1"/>
      <c r="E999" s="1" t="str" cm="1">
        <f t="array" aca="1" ref="E999" ca="1">INDIRECT(_xlfn.CONCAT("$L", $F999))</f>
        <v>en es fr de it pt ja ko ru 汉语 漢語</v>
      </c>
      <c r="F999" s="1" cm="1">
        <f t="array" aca="1" ref="F999" ca="1">IF(NOT(OR(ISERROR(INDIRECT(_xlfn.CONCAT("$I", $F998 + 1))), ISBLANK(INDIRECT(_xlfn.CONCAT("$I", $F998 + 1))))), $F998 + 1, IF(NOT(ISBLANK(INDIRECT(_xlfn.CONCAT("$I", $F998 + 2)))), $F998 + 2, ""))</f>
        <v>1942</v>
      </c>
    </row>
    <row r="1000" spans="1:12" ht="59.25">
      <c r="A1000" s="1" t="str" cm="1">
        <f t="array" aca="1" ref="A1000" ca="1">INDIRECT(_xlfn.CONCAT("$I", $F1000))</f>
        <v>Homelands HML</v>
      </c>
      <c r="B1000" s="1" cm="1">
        <f t="array" aca="1" ref="B1000" ca="1">INDIRECT(_xlfn.CONCAT("$J", $F1000))</f>
        <v>140</v>
      </c>
      <c r="C1000" s="1" cm="1">
        <f t="array" aca="1" ref="C1000" ca="1">INDIRECT(_xlfn.CONCAT("$K", $F1000))</f>
        <v>34973</v>
      </c>
      <c r="D1000" s="1"/>
      <c r="E1000" s="1" t="str" cm="1">
        <f t="array" aca="1" ref="E1000" ca="1">INDIRECT(_xlfn.CONCAT("$L", $F1000))</f>
        <v>en es fr de it pt ja ko ru 汉语 漢語</v>
      </c>
      <c r="F1000" s="1" cm="1">
        <f t="array" aca="1" ref="F1000" ca="1">IF(NOT(OR(ISERROR(INDIRECT(_xlfn.CONCAT("$I", $F999 + 1))), ISBLANK(INDIRECT(_xlfn.CONCAT("$I", $F999 + 1))))), $F999 + 1, IF(NOT(ISBLANK(INDIRECT(_xlfn.CONCAT("$I", $F999 + 2)))), $F999 + 2, ""))</f>
        <v>1944</v>
      </c>
      <c r="I1000" s="8" t="s">
        <v>669</v>
      </c>
      <c r="J1000" s="8">
        <v>13</v>
      </c>
      <c r="K1000" s="9">
        <v>42930</v>
      </c>
      <c r="L1000" s="8" t="s">
        <v>174</v>
      </c>
    </row>
    <row r="1001" spans="1:12" ht="59.25">
      <c r="A1001" s="1" t="str" cm="1">
        <f t="array" aca="1" ref="A1001" ca="1">INDIRECT(_xlfn.CONCAT("$I", $F1001))</f>
        <v>Renaissance REN</v>
      </c>
      <c r="B1001" s="1" cm="1">
        <f t="array" aca="1" ref="B1001" ca="1">INDIRECT(_xlfn.CONCAT("$J", $F1001))</f>
        <v>122</v>
      </c>
      <c r="C1001" s="1" cm="1">
        <f t="array" aca="1" ref="C1001" ca="1">INDIRECT(_xlfn.CONCAT("$K", $F1001))</f>
        <v>34912</v>
      </c>
      <c r="D1001" s="1"/>
      <c r="E1001" s="1" t="str" cm="1">
        <f t="array" aca="1" ref="E1001" ca="1">INDIRECT(_xlfn.CONCAT("$L", $F1001))</f>
        <v>en es fr de it pt ja ko ru 汉语 漢語</v>
      </c>
      <c r="F1001" s="1" cm="1">
        <f t="array" aca="1" ref="F1001" ca="1">IF(NOT(OR(ISERROR(INDIRECT(_xlfn.CONCAT("$I", $F1000 + 1))), ISBLANK(INDIRECT(_xlfn.CONCAT("$I", $F1000 + 1))))), $F1000 + 1, IF(NOT(ISBLANK(INDIRECT(_xlfn.CONCAT("$I", $F1000 + 2)))), $F1000 + 2, ""))</f>
        <v>1946</v>
      </c>
    </row>
    <row r="1002" spans="1:12" ht="59.25">
      <c r="A1002" s="1" t="str" cm="1">
        <f t="array" aca="1" ref="A1002" ca="1">INDIRECT(_xlfn.CONCAT("$I", $F1002))</f>
        <v>Rinascimento RIN</v>
      </c>
      <c r="B1002" s="1" cm="1">
        <f t="array" aca="1" ref="B1002" ca="1">INDIRECT(_xlfn.CONCAT("$J", $F1002))</f>
        <v>69</v>
      </c>
      <c r="C1002" s="1" cm="1">
        <f t="array" aca="1" ref="C1002" ca="1">INDIRECT(_xlfn.CONCAT("$K", $F1002))</f>
        <v>34912</v>
      </c>
      <c r="D1002" s="1"/>
      <c r="E1002" s="1" t="str" cm="1">
        <f t="array" aca="1" ref="E1002" ca="1">INDIRECT(_xlfn.CONCAT("$L", $F1002))</f>
        <v>en es fr de it pt ja ko ru 汉语 漢語</v>
      </c>
      <c r="F1002" s="1" cm="1">
        <f t="array" aca="1" ref="F1002" ca="1">IF(NOT(OR(ISERROR(INDIRECT(_xlfn.CONCAT("$I", $F1001 + 1))), ISBLANK(INDIRECT(_xlfn.CONCAT("$I", $F1001 + 1))))), $F1001 + 1, IF(NOT(ISBLANK(INDIRECT(_xlfn.CONCAT("$I", $F1001 + 2)))), $F1001 + 2, ""))</f>
        <v>1948</v>
      </c>
      <c r="I1002" s="8" t="s">
        <v>670</v>
      </c>
      <c r="J1002" s="8">
        <v>106</v>
      </c>
      <c r="K1002" s="9">
        <v>42902</v>
      </c>
      <c r="L1002" s="8" t="s">
        <v>174</v>
      </c>
    </row>
    <row r="1003" spans="1:12" ht="59.25">
      <c r="A1003" s="1" t="str" cm="1">
        <f t="array" aca="1" ref="A1003" ca="1">INDIRECT(_xlfn.CONCAT("$I", $F1003))</f>
        <v>Chronicles CHR</v>
      </c>
      <c r="B1003" s="1" cm="1">
        <f t="array" aca="1" ref="B1003" ca="1">INDIRECT(_xlfn.CONCAT("$J", $F1003))</f>
        <v>125</v>
      </c>
      <c r="C1003" s="1" cm="1">
        <f t="array" aca="1" ref="C1003" ca="1">INDIRECT(_xlfn.CONCAT("$K", $F1003))</f>
        <v>34881</v>
      </c>
      <c r="D1003" s="1"/>
      <c r="E1003" s="1" t="str" cm="1">
        <f t="array" aca="1" ref="E1003" ca="1">INDIRECT(_xlfn.CONCAT("$L", $F1003))</f>
        <v>en es fr de it pt ja ko ru 汉语 漢語</v>
      </c>
      <c r="F1003" s="1" cm="1">
        <f t="array" aca="1" ref="F1003" ca="1">IF(NOT(OR(ISERROR(INDIRECT(_xlfn.CONCAT("$I", $F1002 + 1))), ISBLANK(INDIRECT(_xlfn.CONCAT("$I", $F1002 + 1))))), $F1002 + 1, IF(NOT(ISBLANK(INDIRECT(_xlfn.CONCAT("$I", $F1002 + 2)))), $F1002 + 2, ""))</f>
        <v>1950</v>
      </c>
    </row>
    <row r="1004" spans="1:12" ht="68.25">
      <c r="A1004" s="1" t="str" cm="1">
        <f t="array" aca="1" ref="A1004" ca="1">INDIRECT(_xlfn.CONCAT("$I", $F1004))</f>
        <v>Chronicles Foreign Black Border BCHR</v>
      </c>
      <c r="B1004" s="1" cm="1">
        <f t="array" aca="1" ref="B1004" ca="1">INDIRECT(_xlfn.CONCAT("$J", $F1004))</f>
        <v>125</v>
      </c>
      <c r="C1004" s="1" cm="1">
        <f t="array" aca="1" ref="C1004" ca="1">INDIRECT(_xlfn.CONCAT("$K", $F1004))</f>
        <v>34881</v>
      </c>
      <c r="D1004" s="1"/>
      <c r="E1004" s="1" t="str" cm="1">
        <f t="array" aca="1" ref="E1004" ca="1">INDIRECT(_xlfn.CONCAT("$L", $F1004))</f>
        <v>en es fr de it pt ja ko ru 汉语 漢語</v>
      </c>
      <c r="F1004" s="1" cm="1">
        <f t="array" aca="1" ref="F1004" ca="1">IF(NOT(OR(ISERROR(INDIRECT(_xlfn.CONCAT("$I", $F1003 + 1))), ISBLANK(INDIRECT(_xlfn.CONCAT("$I", $F1003 + 1))))), $F1003 + 1, IF(NOT(ISBLANK(INDIRECT(_xlfn.CONCAT("$I", $F1003 + 2)))), $F1003 + 2, ""))</f>
        <v>1952</v>
      </c>
      <c r="I1004" s="8" t="s">
        <v>671</v>
      </c>
      <c r="J1004" s="8">
        <v>5</v>
      </c>
      <c r="K1004" s="9">
        <v>42986</v>
      </c>
      <c r="L1004" s="8" t="s">
        <v>174</v>
      </c>
    </row>
    <row r="1005" spans="1:12" ht="59.25">
      <c r="A1005" s="1" t="str" cm="1">
        <f t="array" aca="1" ref="A1005" ca="1">INDIRECT(_xlfn.CONCAT("$I", $F1005))</f>
        <v>Ice Age ICE</v>
      </c>
      <c r="B1005" s="1" cm="1">
        <f t="array" aca="1" ref="B1005" ca="1">INDIRECT(_xlfn.CONCAT("$J", $F1005))</f>
        <v>383</v>
      </c>
      <c r="C1005" s="1" cm="1">
        <f t="array" aca="1" ref="C1005" ca="1">INDIRECT(_xlfn.CONCAT("$K", $F1005))</f>
        <v>34853</v>
      </c>
      <c r="D1005" s="1"/>
      <c r="E1005" s="1" t="str" cm="1">
        <f t="array" aca="1" ref="E1005" ca="1">INDIRECT(_xlfn.CONCAT("$L", $F1005))</f>
        <v>en es fr de it pt ja ko ru 汉语 漢語</v>
      </c>
      <c r="F1005" s="1" cm="1">
        <f t="array" aca="1" ref="F1005" ca="1">IF(NOT(OR(ISERROR(INDIRECT(_xlfn.CONCAT("$I", $F1004 + 1))), ISBLANK(INDIRECT(_xlfn.CONCAT("$I", $F1004 + 1))))), $F1004 + 1, IF(NOT(ISBLANK(INDIRECT(_xlfn.CONCAT("$I", $F1004 + 2)))), $F1004 + 2, ""))</f>
        <v>1954</v>
      </c>
    </row>
    <row r="1006" spans="1:12" ht="59.25">
      <c r="A1006" s="1" t="str" cm="1">
        <f t="array" aca="1" ref="A1006" ca="1">INDIRECT(_xlfn.CONCAT("$I", $F1006))</f>
        <v>Fourth Edition 4ED</v>
      </c>
      <c r="B1006" s="1" cm="1">
        <f t="array" aca="1" ref="B1006" ca="1">INDIRECT(_xlfn.CONCAT("$J", $F1006))</f>
        <v>380</v>
      </c>
      <c r="C1006" s="1" cm="1">
        <f t="array" aca="1" ref="C1006" ca="1">INDIRECT(_xlfn.CONCAT("$K", $F1006))</f>
        <v>34790</v>
      </c>
      <c r="D1006" s="1"/>
      <c r="E1006" s="1" t="str" cm="1">
        <f t="array" aca="1" ref="E1006" ca="1">INDIRECT(_xlfn.CONCAT("$L", $F1006))</f>
        <v>en es fr de it pt ja ko ru 汉语 漢語</v>
      </c>
      <c r="F1006" s="1" cm="1">
        <f t="array" aca="1" ref="F1006" ca="1">IF(NOT(OR(ISERROR(INDIRECT(_xlfn.CONCAT("$I", $F1005 + 1))), ISBLANK(INDIRECT(_xlfn.CONCAT("$I", $F1005 + 1))))), $F1005 + 1, IF(NOT(ISBLANK(INDIRECT(_xlfn.CONCAT("$I", $F1005 + 2)))), $F1005 + 2, ""))</f>
        <v>1956</v>
      </c>
      <c r="I1006" s="8" t="s">
        <v>672</v>
      </c>
      <c r="J1006" s="8">
        <v>20</v>
      </c>
      <c r="K1006" s="9">
        <v>42902</v>
      </c>
      <c r="L1006" s="8" t="s">
        <v>174</v>
      </c>
    </row>
    <row r="1007" spans="1:12" ht="68.25">
      <c r="A1007" s="1" t="str" cm="1">
        <f t="array" aca="1" ref="A1007" ca="1">INDIRECT(_xlfn.CONCAT("$I", $F1007))</f>
        <v>Fourth Edition Foreign Black Border 4BB</v>
      </c>
      <c r="B1007" s="1" cm="1">
        <f t="array" aca="1" ref="B1007" ca="1">INDIRECT(_xlfn.CONCAT("$J", $F1007))</f>
        <v>378</v>
      </c>
      <c r="C1007" s="1" cm="1">
        <f t="array" aca="1" ref="C1007" ca="1">INDIRECT(_xlfn.CONCAT("$K", $F1007))</f>
        <v>34790</v>
      </c>
      <c r="D1007" s="1"/>
      <c r="E1007" s="1" t="str" cm="1">
        <f t="array" aca="1" ref="E1007" ca="1">INDIRECT(_xlfn.CONCAT("$L", $F1007))</f>
        <v>en es fr de it pt ja ko ru 汉语 漢語</v>
      </c>
      <c r="F1007" s="1" cm="1">
        <f t="array" aca="1" ref="F1007" ca="1">IF(NOT(OR(ISERROR(INDIRECT(_xlfn.CONCAT("$I", $F1006 + 1))), ISBLANK(INDIRECT(_xlfn.CONCAT("$I", $F1006 + 1))))), $F1006 + 1, IF(NOT(ISBLANK(INDIRECT(_xlfn.CONCAT("$I", $F1006 + 2)))), $F1006 + 2, ""))</f>
        <v>1958</v>
      </c>
    </row>
    <row r="1008" spans="1:12" ht="59.25">
      <c r="A1008" s="1" t="str" cm="1">
        <f t="array" aca="1" ref="A1008" ca="1">INDIRECT(_xlfn.CONCAT("$I", $F1008))</f>
        <v>Media and Collaboration Promos PMEI</v>
      </c>
      <c r="B1008" s="1" cm="1">
        <f t="array" aca="1" ref="B1008" ca="1">INDIRECT(_xlfn.CONCAT("$J", $F1008))</f>
        <v>82</v>
      </c>
      <c r="C1008" s="1" cm="1">
        <f t="array" aca="1" ref="C1008" ca="1">INDIRECT(_xlfn.CONCAT("$K", $F1008))</f>
        <v>34700</v>
      </c>
      <c r="D1008" s="1"/>
      <c r="E1008" s="1" t="str" cm="1">
        <f t="array" aca="1" ref="E1008" ca="1">INDIRECT(_xlfn.CONCAT("$L", $F1008))</f>
        <v>en es fr de it pt ja ko ru 汉语 漢語</v>
      </c>
      <c r="F1008" s="1" cm="1">
        <f t="array" aca="1" ref="F1008" ca="1">IF(NOT(OR(ISERROR(INDIRECT(_xlfn.CONCAT("$I", $F1007 + 1))), ISBLANK(INDIRECT(_xlfn.CONCAT("$I", $F1007 + 1))))), $F1007 + 1, IF(NOT(ISBLANK(INDIRECT(_xlfn.CONCAT("$I", $F1007 + 2)))), $F1007 + 2, ""))</f>
        <v>1960</v>
      </c>
      <c r="I1008" s="8" t="s">
        <v>673</v>
      </c>
      <c r="J1008" s="8">
        <v>320</v>
      </c>
      <c r="K1008" s="9">
        <v>42895</v>
      </c>
      <c r="L1008" s="8" t="s">
        <v>174</v>
      </c>
    </row>
    <row r="1009" spans="1:12" ht="59.25">
      <c r="A1009" s="1" t="str" cm="1">
        <f t="array" aca="1" ref="A1009" ca="1">INDIRECT(_xlfn.CONCAT("$I", $F1009))</f>
        <v>Fallen Empires FEM</v>
      </c>
      <c r="B1009" s="1" cm="1">
        <f t="array" aca="1" ref="B1009" ca="1">INDIRECT(_xlfn.CONCAT("$J", $F1009))</f>
        <v>187</v>
      </c>
      <c r="C1009" s="1" cm="1">
        <f t="array" aca="1" ref="C1009" ca="1">INDIRECT(_xlfn.CONCAT("$K", $F1009))</f>
        <v>34639</v>
      </c>
      <c r="D1009" s="1"/>
      <c r="E1009" s="1" t="str" cm="1">
        <f t="array" aca="1" ref="E1009" ca="1">INDIRECT(_xlfn.CONCAT("$L", $F1009))</f>
        <v>en es fr de it pt ja ko ru 汉语 漢語</v>
      </c>
      <c r="F1009" s="1" cm="1">
        <f t="array" aca="1" ref="F1009" ca="1">IF(NOT(OR(ISERROR(INDIRECT(_xlfn.CONCAT("$I", $F1008 + 1))), ISBLANK(INDIRECT(_xlfn.CONCAT("$I", $F1008 + 1))))), $F1008 + 1, IF(NOT(ISBLANK(INDIRECT(_xlfn.CONCAT("$I", $F1008 + 2)))), $F1008 + 2, ""))</f>
        <v>1962</v>
      </c>
    </row>
    <row r="1010" spans="1:12" ht="59.25">
      <c r="A1010" s="1" t="str" cm="1">
        <f t="array" aca="1" ref="A1010" ca="1">INDIRECT(_xlfn.CONCAT("$I", $F1010))</f>
        <v>HarperPrism Book Promos PHPR</v>
      </c>
      <c r="B1010" s="1" cm="1">
        <f t="array" aca="1" ref="B1010" ca="1">INDIRECT(_xlfn.CONCAT("$J", $F1010))</f>
        <v>5</v>
      </c>
      <c r="C1010" s="1" cm="1">
        <f t="array" aca="1" ref="C1010" ca="1">INDIRECT(_xlfn.CONCAT("$K", $F1010))</f>
        <v>34578</v>
      </c>
      <c r="D1010" s="1"/>
      <c r="E1010" s="1" t="str" cm="1">
        <f t="array" aca="1" ref="E1010" ca="1">INDIRECT(_xlfn.CONCAT("$L", $F1010))</f>
        <v>en es fr de it pt ja ko ru 汉语 漢語</v>
      </c>
      <c r="F1010" s="1" cm="1">
        <f t="array" aca="1" ref="F1010" ca="1">IF(NOT(OR(ISERROR(INDIRECT(_xlfn.CONCAT("$I", $F1009 + 1))), ISBLANK(INDIRECT(_xlfn.CONCAT("$I", $F1009 + 1))))), $F1009 + 1, IF(NOT(ISBLANK(INDIRECT(_xlfn.CONCAT("$I", $F1009 + 2)))), $F1009 + 2, ""))</f>
        <v>1964</v>
      </c>
      <c r="I1010" s="8" t="s">
        <v>674</v>
      </c>
      <c r="J1010" s="8">
        <v>20</v>
      </c>
      <c r="K1010" s="9">
        <v>42895</v>
      </c>
      <c r="L1010" s="8" t="s">
        <v>174</v>
      </c>
    </row>
    <row r="1011" spans="1:12" ht="59.25">
      <c r="A1011" s="1" t="str" cm="1">
        <f t="array" aca="1" ref="A1011" ca="1">INDIRECT(_xlfn.CONCAT("$I", $F1011))</f>
        <v>The Dark DRK</v>
      </c>
      <c r="B1011" s="1" cm="1">
        <f t="array" aca="1" ref="B1011" ca="1">INDIRECT(_xlfn.CONCAT("$J", $F1011))</f>
        <v>122</v>
      </c>
      <c r="C1011" s="1" cm="1">
        <f t="array" aca="1" ref="C1011" ca="1">INDIRECT(_xlfn.CONCAT("$K", $F1011))</f>
        <v>34547</v>
      </c>
      <c r="D1011" s="1"/>
      <c r="E1011" s="1" t="str" cm="1">
        <f t="array" aca="1" ref="E1011" ca="1">INDIRECT(_xlfn.CONCAT("$L", $F1011))</f>
        <v>en es fr de it pt ja ko ru 汉语 漢語</v>
      </c>
      <c r="F1011" s="1" cm="1">
        <f t="array" aca="1" ref="F1011" ca="1">IF(NOT(OR(ISERROR(INDIRECT(_xlfn.CONCAT("$I", $F1010 + 1))), ISBLANK(INDIRECT(_xlfn.CONCAT("$I", $F1010 + 1))))), $F1010 + 1, IF(NOT(ISBLANK(INDIRECT(_xlfn.CONCAT("$I", $F1010 + 2)))), $F1010 + 2, ""))</f>
        <v>1966</v>
      </c>
    </row>
    <row r="1012" spans="1:12" ht="59.25">
      <c r="A1012" s="1" t="str" cm="1">
        <f t="array" aca="1" ref="A1012" ca="1">INDIRECT(_xlfn.CONCAT("$I", $F1012))</f>
        <v>Dragon Con PDRC</v>
      </c>
      <c r="B1012" s="1" cm="1">
        <f t="array" aca="1" ref="B1012" ca="1">INDIRECT(_xlfn.CONCAT("$J", $F1012))</f>
        <v>1</v>
      </c>
      <c r="C1012" s="1" cm="1">
        <f t="array" aca="1" ref="C1012" ca="1">INDIRECT(_xlfn.CONCAT("$K", $F1012))</f>
        <v>34530</v>
      </c>
      <c r="D1012" s="1"/>
      <c r="E1012" s="1" t="str" cm="1">
        <f t="array" aca="1" ref="E1012" ca="1">INDIRECT(_xlfn.CONCAT("$L", $F1012))</f>
        <v>en es fr de it pt ja ko ru 汉语 漢語</v>
      </c>
      <c r="F1012" s="1" cm="1">
        <f t="array" aca="1" ref="F1012" ca="1">IF(NOT(OR(ISERROR(INDIRECT(_xlfn.CONCAT("$I", $F1011 + 1))), ISBLANK(INDIRECT(_xlfn.CONCAT("$I", $F1011 + 1))))), $F1011 + 1, IF(NOT(ISBLANK(INDIRECT(_xlfn.CONCAT("$I", $F1011 + 2)))), $F1011 + 2, ""))</f>
        <v>1968</v>
      </c>
      <c r="I1012" s="8" t="s">
        <v>675</v>
      </c>
      <c r="J1012" s="8">
        <v>287</v>
      </c>
      <c r="K1012" s="9">
        <v>42853</v>
      </c>
      <c r="L1012" t="s">
        <v>174</v>
      </c>
    </row>
    <row r="1013" spans="1:12" ht="59.25">
      <c r="A1013" s="1" t="str" cm="1">
        <f t="array" aca="1" ref="A1013" ca="1">INDIRECT(_xlfn.CONCAT("$I", $F1013))</f>
        <v>Summer Magic / Edgar SUM</v>
      </c>
      <c r="B1013" s="1" cm="1">
        <f t="array" aca="1" ref="B1013" ca="1">INDIRECT(_xlfn.CONCAT("$J", $F1013))</f>
        <v>306</v>
      </c>
      <c r="C1013" s="1" cm="1">
        <f t="array" aca="1" ref="C1013" ca="1">INDIRECT(_xlfn.CONCAT("$K", $F1013))</f>
        <v>34506</v>
      </c>
      <c r="D1013" s="1"/>
      <c r="E1013" s="1" t="str" cm="1">
        <f t="array" aca="1" ref="E1013" ca="1">INDIRECT(_xlfn.CONCAT("$L", $F1013))</f>
        <v>en es fr de it pt ja ko ru 汉语 漢語</v>
      </c>
      <c r="F1013" s="1" cm="1">
        <f t="array" aca="1" ref="F1013" ca="1">IF(NOT(OR(ISERROR(INDIRECT(_xlfn.CONCAT("$I", $F1012 + 1))), ISBLANK(INDIRECT(_xlfn.CONCAT("$I", $F1012 + 1))))), $F1012 + 1, IF(NOT(ISBLANK(INDIRECT(_xlfn.CONCAT("$I", $F1012 + 2)))), $F1012 + 2, ""))</f>
        <v>1970</v>
      </c>
    </row>
    <row r="1014" spans="1:12" ht="59.25">
      <c r="A1014" s="1" t="str" cm="1">
        <f t="array" aca="1" ref="A1014" ca="1">INDIRECT(_xlfn.CONCAT("$I", $F1014))</f>
        <v>Legends LEG</v>
      </c>
      <c r="B1014" s="1" cm="1">
        <f t="array" aca="1" ref="B1014" ca="1">INDIRECT(_xlfn.CONCAT("$J", $F1014))</f>
        <v>310</v>
      </c>
      <c r="C1014" s="1" cm="1">
        <f t="array" aca="1" ref="C1014" ca="1">INDIRECT(_xlfn.CONCAT("$K", $F1014))</f>
        <v>34486</v>
      </c>
      <c r="D1014" s="1"/>
      <c r="E1014" s="1" t="str" cm="1">
        <f t="array" aca="1" ref="E1014" ca="1">INDIRECT(_xlfn.CONCAT("$L", $F1014))</f>
        <v>en es fr de it pt ja ko ru 汉语 漢語</v>
      </c>
      <c r="F1014" s="1" cm="1">
        <f t="array" aca="1" ref="F1014" ca="1">IF(NOT(OR(ISERROR(INDIRECT(_xlfn.CONCAT("$I", $F1013 + 1))), ISBLANK(INDIRECT(_xlfn.CONCAT("$I", $F1013 + 1))))), $F1013 + 1, IF(NOT(ISBLANK(INDIRECT(_xlfn.CONCAT("$I", $F1013 + 2)))), $F1013 + 2, ""))</f>
        <v>1972</v>
      </c>
      <c r="I1014" s="8" t="s">
        <v>676</v>
      </c>
      <c r="J1014" s="8">
        <v>54</v>
      </c>
      <c r="K1014" s="9">
        <v>42853</v>
      </c>
      <c r="L1014" s="8" t="s">
        <v>174</v>
      </c>
    </row>
    <row r="1015" spans="1:12" ht="59.25">
      <c r="A1015" s="1" t="str" cm="1">
        <f t="array" aca="1" ref="A1015" ca="1">INDIRECT(_xlfn.CONCAT("$I", $F1015))</f>
        <v>Revised Edition 3ED</v>
      </c>
      <c r="B1015" s="1" cm="1">
        <f t="array" aca="1" ref="B1015" ca="1">INDIRECT(_xlfn.CONCAT("$J", $F1015))</f>
        <v>306</v>
      </c>
      <c r="C1015" s="1" cm="1">
        <f t="array" aca="1" ref="C1015" ca="1">INDIRECT(_xlfn.CONCAT("$K", $F1015))</f>
        <v>34435</v>
      </c>
      <c r="D1015" s="1"/>
      <c r="E1015" s="1" t="str" cm="1">
        <f t="array" aca="1" ref="E1015" ca="1">INDIRECT(_xlfn.CONCAT("$L", $F1015))</f>
        <v>en es fr de it pt ja ko ru 汉语 漢語</v>
      </c>
      <c r="F1015" s="1" cm="1">
        <f t="array" aca="1" ref="F1015" ca="1">IF(NOT(OR(ISERROR(INDIRECT(_xlfn.CONCAT("$I", $F1014 + 1))), ISBLANK(INDIRECT(_xlfn.CONCAT("$I", $F1014 + 1))))), $F1014 + 1, IF(NOT(ISBLANK(INDIRECT(_xlfn.CONCAT("$I", $F1014 + 2)))), $F1014 + 2, ""))</f>
        <v>1974</v>
      </c>
    </row>
    <row r="1016" spans="1:12" ht="59.25">
      <c r="A1016" s="1" t="str" cm="1">
        <f t="array" aca="1" ref="A1016" ca="1">INDIRECT(_xlfn.CONCAT("$I", $F1016))</f>
        <v>Foreign Black Border FBB</v>
      </c>
      <c r="B1016" s="1" cm="1">
        <f t="array" aca="1" ref="B1016" ca="1">INDIRECT(_xlfn.CONCAT("$J", $F1016))</f>
        <v>307</v>
      </c>
      <c r="C1016" s="1" cm="1">
        <f t="array" aca="1" ref="C1016" ca="1">INDIRECT(_xlfn.CONCAT("$K", $F1016))</f>
        <v>34435</v>
      </c>
      <c r="D1016" s="1"/>
      <c r="E1016" s="1" t="str" cm="1">
        <f t="array" aca="1" ref="E1016" ca="1">INDIRECT(_xlfn.CONCAT("$L", $F1016))</f>
        <v>en es fr de it pt ja ko ru 汉语 漢語</v>
      </c>
      <c r="F1016" s="1" cm="1">
        <f t="array" aca="1" ref="F1016" ca="1">IF(NOT(OR(ISERROR(INDIRECT(_xlfn.CONCAT("$I", $F1015 + 1))), ISBLANK(INDIRECT(_xlfn.CONCAT("$I", $F1015 + 1))))), $F1015 + 1, IF(NOT(ISBLANK(INDIRECT(_xlfn.CONCAT("$I", $F1015 + 2)))), $F1015 + 2, ""))</f>
        <v>1976</v>
      </c>
      <c r="I1016" s="8" t="s">
        <v>677</v>
      </c>
      <c r="J1016" s="8">
        <v>77</v>
      </c>
      <c r="K1016" s="9">
        <v>42853</v>
      </c>
      <c r="L1016" s="8" t="s">
        <v>174</v>
      </c>
    </row>
    <row r="1017" spans="1:12" ht="59.25">
      <c r="A1017" s="1" t="str" cm="1">
        <f t="array" aca="1" ref="A1017" ca="1">INDIRECT(_xlfn.CONCAT("$I", $F1017))</f>
        <v>Antiquities ATQ</v>
      </c>
      <c r="B1017" s="1" cm="1">
        <f t="array" aca="1" ref="B1017" ca="1">INDIRECT(_xlfn.CONCAT("$J", $F1017))</f>
        <v>102</v>
      </c>
      <c r="C1017" s="1" cm="1">
        <f t="array" aca="1" ref="C1017" ca="1">INDIRECT(_xlfn.CONCAT("$K", $F1017))</f>
        <v>34397</v>
      </c>
      <c r="D1017" s="1"/>
      <c r="E1017" s="1" t="str" cm="1">
        <f t="array" aca="1" ref="E1017" ca="1">INDIRECT(_xlfn.CONCAT("$L", $F1017))</f>
        <v>en es fr de it pt ja ko ru 汉语 漢語</v>
      </c>
      <c r="F1017" s="1" cm="1">
        <f t="array" aca="1" ref="F1017" ca="1">IF(NOT(OR(ISERROR(INDIRECT(_xlfn.CONCAT("$I", $F1016 + 1))), ISBLANK(INDIRECT(_xlfn.CONCAT("$I", $F1016 + 1))))), $F1016 + 1, IF(NOT(ISBLANK(INDIRECT(_xlfn.CONCAT("$I", $F1016 + 2)))), $F1016 + 2, ""))</f>
        <v>1978</v>
      </c>
    </row>
    <row r="1018" spans="1:12" ht="59.25">
      <c r="A1018" s="1" t="str" cm="1">
        <f t="array" aca="1" ref="A1018" ca="1">INDIRECT(_xlfn.CONCAT("$I", $F1018))</f>
        <v>Arabian Nights ARN</v>
      </c>
      <c r="B1018" s="1" cm="1">
        <f t="array" aca="1" ref="B1018" ca="1">INDIRECT(_xlfn.CONCAT("$J", $F1018))</f>
        <v>92</v>
      </c>
      <c r="C1018" s="1" cm="1">
        <f t="array" aca="1" ref="C1018" ca="1">INDIRECT(_xlfn.CONCAT("$K", $F1018))</f>
        <v>34320</v>
      </c>
      <c r="D1018" s="1"/>
      <c r="E1018" s="1" t="str" cm="1">
        <f t="array" aca="1" ref="E1018" ca="1">INDIRECT(_xlfn.CONCAT("$L", $F1018))</f>
        <v>en es fr de it pt ja ko ru 汉语 漢語</v>
      </c>
      <c r="F1018" s="1" cm="1">
        <f t="array" aca="1" ref="F1018" ca="1">IF(NOT(OR(ISERROR(INDIRECT(_xlfn.CONCAT("$I", $F1017 + 1))), ISBLANK(INDIRECT(_xlfn.CONCAT("$I", $F1017 + 1))))), $F1017 + 1, IF(NOT(ISBLANK(INDIRECT(_xlfn.CONCAT("$I", $F1017 + 2)))), $F1017 + 2, ""))</f>
        <v>1980</v>
      </c>
      <c r="I1018" s="8" t="s">
        <v>678</v>
      </c>
      <c r="J1018" s="8">
        <v>26</v>
      </c>
      <c r="K1018" s="9">
        <v>42853</v>
      </c>
      <c r="L1018" s="8" t="s">
        <v>174</v>
      </c>
    </row>
    <row r="1019" spans="1:12" ht="59.25">
      <c r="A1019" s="1" t="str" cm="1">
        <f t="array" aca="1" ref="A1019" ca="1">INDIRECT(_xlfn.CONCAT("$I", $F1019))</f>
        <v>Intl. Collectors' Edition CEI</v>
      </c>
      <c r="B1019" s="1" cm="1">
        <f t="array" aca="1" ref="B1019" ca="1">INDIRECT(_xlfn.CONCAT("$J", $F1019))</f>
        <v>302</v>
      </c>
      <c r="C1019" s="1" cm="1">
        <f t="array" aca="1" ref="C1019" ca="1">INDIRECT(_xlfn.CONCAT("$K", $F1019))</f>
        <v>34313</v>
      </c>
      <c r="D1019" s="1"/>
      <c r="E1019" s="1" t="str" cm="1">
        <f t="array" aca="1" ref="E1019" ca="1">INDIRECT(_xlfn.CONCAT("$L", $F1019))</f>
        <v>en es fr de it pt ja ko ru 汉语 漢語</v>
      </c>
      <c r="F1019" s="1" cm="1">
        <f t="array" aca="1" ref="F1019" ca="1">IF(NOT(OR(ISERROR(INDIRECT(_xlfn.CONCAT("$I", $F1018 + 1))), ISBLANK(INDIRECT(_xlfn.CONCAT("$I", $F1018 + 1))))), $F1018 + 1, IF(NOT(ISBLANK(INDIRECT(_xlfn.CONCAT("$I", $F1018 + 2)))), $F1018 + 2, ""))</f>
        <v>1982</v>
      </c>
    </row>
    <row r="1020" spans="1:12" ht="59.25">
      <c r="A1020" s="1" t="str" cm="1">
        <f t="array" aca="1" ref="A1020" ca="1">INDIRECT(_xlfn.CONCAT("$I", $F1020))</f>
        <v>Collectors' Edition CED</v>
      </c>
      <c r="B1020" s="1" cm="1">
        <f t="array" aca="1" ref="B1020" ca="1">INDIRECT(_xlfn.CONCAT("$J", $F1020))</f>
        <v>302</v>
      </c>
      <c r="C1020" s="1" cm="1">
        <f t="array" aca="1" ref="C1020" ca="1">INDIRECT(_xlfn.CONCAT("$K", $F1020))</f>
        <v>34313</v>
      </c>
      <c r="D1020" s="1"/>
      <c r="E1020" s="1" t="str" cm="1">
        <f t="array" aca="1" ref="E1020" ca="1">INDIRECT(_xlfn.CONCAT("$L", $F1020))</f>
        <v>en es fr de it pt ja ko ru 汉语 漢語</v>
      </c>
      <c r="F1020" s="1" cm="1">
        <f t="array" aca="1" ref="F1020" ca="1">IF(NOT(OR(ISERROR(INDIRECT(_xlfn.CONCAT("$I", $F1019 + 1))), ISBLANK(INDIRECT(_xlfn.CONCAT("$I", $F1019 + 1))))), $F1019 + 1, IF(NOT(ISBLANK(INDIRECT(_xlfn.CONCAT("$I", $F1019 + 2)))), $F1019 + 2, ""))</f>
        <v>1984</v>
      </c>
      <c r="I1020" s="8" t="s">
        <v>679</v>
      </c>
      <c r="J1020" s="8">
        <v>30</v>
      </c>
      <c r="K1020" s="9">
        <v>42840</v>
      </c>
      <c r="L1020" t="s">
        <v>174</v>
      </c>
    </row>
    <row r="1021" spans="1:12" ht="59.25">
      <c r="A1021" s="1" t="str" cm="1">
        <f t="array" aca="1" ref="A1021" ca="1">INDIRECT(_xlfn.CONCAT("$I", $F1021))</f>
        <v>Unlimited Edition 2ED</v>
      </c>
      <c r="B1021" s="1" cm="1">
        <f t="array" aca="1" ref="B1021" ca="1">INDIRECT(_xlfn.CONCAT("$J", $F1021))</f>
        <v>302</v>
      </c>
      <c r="C1021" s="1" cm="1">
        <f t="array" aca="1" ref="C1021" ca="1">INDIRECT(_xlfn.CONCAT("$K", $F1021))</f>
        <v>34304</v>
      </c>
      <c r="D1021" s="1"/>
      <c r="E1021" s="1" t="str" cm="1">
        <f t="array" aca="1" ref="E1021" ca="1">INDIRECT(_xlfn.CONCAT("$L", $F1021))</f>
        <v>en es fr de it pt ja ko ru 汉语 漢語</v>
      </c>
      <c r="F1021" s="1" cm="1">
        <f t="array" aca="1" ref="F1021" ca="1">IF(NOT(OR(ISERROR(INDIRECT(_xlfn.CONCAT("$I", $F1020 + 1))), ISBLANK(INDIRECT(_xlfn.CONCAT("$I", $F1020 + 1))))), $F1020 + 1, IF(NOT(ISBLANK(INDIRECT(_xlfn.CONCAT("$I", $F1020 + 2)))), $F1020 + 2, ""))</f>
        <v>1986</v>
      </c>
    </row>
    <row r="1022" spans="1:12" ht="59.25">
      <c r="A1022" s="1" t="str" cm="1">
        <f t="array" aca="1" ref="A1022" ca="1">INDIRECT(_xlfn.CONCAT("$I", $F1022))</f>
        <v>Limited Edition Beta LEB</v>
      </c>
      <c r="B1022" s="1" cm="1">
        <f t="array" aca="1" ref="B1022" ca="1">INDIRECT(_xlfn.CONCAT("$J", $F1022))</f>
        <v>302</v>
      </c>
      <c r="C1022" s="1" cm="1">
        <f t="array" aca="1" ref="C1022" ca="1">INDIRECT(_xlfn.CONCAT("$K", $F1022))</f>
        <v>34246</v>
      </c>
      <c r="D1022" s="1"/>
      <c r="E1022" s="1" t="str" cm="1">
        <f t="array" aca="1" ref="E1022" ca="1">INDIRECT(_xlfn.CONCAT("$L", $F1022))</f>
        <v>en es fr de it pt ja ko ru 汉语 漢語</v>
      </c>
      <c r="F1022" s="1" cm="1">
        <f t="array" aca="1" ref="F1022" ca="1">IF(NOT(OR(ISERROR(INDIRECT(_xlfn.CONCAT("$I", $F1021 + 1))), ISBLANK(INDIRECT(_xlfn.CONCAT("$I", $F1021 + 1))))), $F1021 + 1, IF(NOT(ISBLANK(INDIRECT(_xlfn.CONCAT("$I", $F1021 + 2)))), $F1021 + 2, ""))</f>
        <v>1988</v>
      </c>
      <c r="I1022" s="8" t="s">
        <v>680</v>
      </c>
      <c r="J1022" s="8">
        <v>600</v>
      </c>
      <c r="K1022" s="9">
        <v>42830</v>
      </c>
    </row>
    <row r="1023" spans="1:12" ht="41.25">
      <c r="A1023" s="1" t="str" cm="1">
        <f t="array" aca="1" ref="A1023" ca="1">INDIRECT(_xlfn.CONCAT("$I", $F1023))</f>
        <v>Limited Edition Alpha LEA</v>
      </c>
      <c r="B1023" s="1" cm="1">
        <f t="array" aca="1" ref="B1023" ca="1">INDIRECT(_xlfn.CONCAT("$J", $F1023))</f>
        <v>295</v>
      </c>
      <c r="C1023" s="1" cm="1">
        <f t="array" aca="1" ref="C1023" ca="1">INDIRECT(_xlfn.CONCAT("$K", $F1023))</f>
        <v>34186</v>
      </c>
      <c r="D1023" s="1"/>
      <c r="E1023" s="1" t="str" cm="1">
        <f t="array" aca="1" ref="E1023" ca="1">INDIRECT(_xlfn.CONCAT("$L", $F1023))</f>
        <v>en es fr de it pt ja ko ru</v>
      </c>
      <c r="F1023" s="1" cm="1">
        <f t="array" aca="1" ref="F1023" ca="1">IF(NOT(OR(ISERROR(INDIRECT(_xlfn.CONCAT("$I", $F1022 + 1))), ISBLANK(INDIRECT(_xlfn.CONCAT("$I", $F1022 + 1))))), $F1022 + 1, IF(NOT(ISBLANK(INDIRECT(_xlfn.CONCAT("$I", $F1022 + 2)))), $F1022 + 2, ""))</f>
        <v>1990</v>
      </c>
    </row>
    <row r="1024" spans="1:12">
      <c r="A1024" s="1" t="e" cm="1">
        <f t="array" aca="1" ref="A1024" ca="1">INDIRECT(_xlfn.CONCAT("$I", $F1024))</f>
        <v>#REF!</v>
      </c>
      <c r="B1024" s="1" t="e" cm="1">
        <f t="array" aca="1" ref="B1024" ca="1">INDIRECT(_xlfn.CONCAT("$J", $F1024))</f>
        <v>#REF!</v>
      </c>
      <c r="C1024" s="1" t="e" cm="1">
        <f t="array" aca="1" ref="C1024" ca="1">INDIRECT(_xlfn.CONCAT("$K", $F1024))</f>
        <v>#REF!</v>
      </c>
      <c r="D1024" s="1"/>
      <c r="E1024" s="1" t="e" cm="1">
        <f t="array" aca="1" ref="E1024" ca="1">INDIRECT(_xlfn.CONCAT("$L", $F1024))</f>
        <v>#REF!</v>
      </c>
      <c r="F1024" s="1" t="str" cm="1">
        <f t="array" aca="1" ref="F1024" ca="1">IF(NOT(OR(ISERROR(INDIRECT(_xlfn.CONCAT("$I", $F1023 + 1))), ISBLANK(INDIRECT(_xlfn.CONCAT("$I", $F1023 + 1))))), $F1023 + 1, IF(NOT(ISBLANK(INDIRECT(_xlfn.CONCAT("$I", $F1023 + 2)))), $F1023 + 2, ""))</f>
        <v/>
      </c>
      <c r="I1024" s="8" t="s">
        <v>681</v>
      </c>
      <c r="J1024" s="8">
        <v>65</v>
      </c>
      <c r="K1024" s="9">
        <v>42825</v>
      </c>
      <c r="L1024" t="s">
        <v>174</v>
      </c>
    </row>
    <row r="1025" spans="1:12">
      <c r="A1025" s="1" t="e" cm="1">
        <f t="array" aca="1" ref="A1025" ca="1">INDIRECT(_xlfn.CONCAT("$I", $F1025))</f>
        <v>#REF!</v>
      </c>
      <c r="B1025" s="1" t="e" cm="1">
        <f t="array" aca="1" ref="B1025" ca="1">INDIRECT(_xlfn.CONCAT("$J", $F1025))</f>
        <v>#REF!</v>
      </c>
      <c r="C1025" s="1" t="e" cm="1">
        <f t="array" aca="1" ref="C1025" ca="1">INDIRECT(_xlfn.CONCAT("$K", $F1025))</f>
        <v>#REF!</v>
      </c>
      <c r="D1025" s="1"/>
      <c r="E1025" s="1" t="e" cm="1">
        <f t="array" aca="1" ref="E1025" ca="1">INDIRECT(_xlfn.CONCAT("$L", $F1025))</f>
        <v>#REF!</v>
      </c>
      <c r="F1025" s="1"/>
    </row>
    <row r="1026" spans="1:12">
      <c r="A1026" s="1" t="e" cm="1">
        <f t="array" aca="1" ref="A1026" ca="1">INDIRECT(_xlfn.CONCAT("$I", $F1026))</f>
        <v>#REF!</v>
      </c>
      <c r="B1026" s="1" t="e" cm="1">
        <f t="array" aca="1" ref="B1026" ca="1">INDIRECT(_xlfn.CONCAT("$J", $F1026))</f>
        <v>#REF!</v>
      </c>
      <c r="C1026" s="1" t="e" cm="1">
        <f t="array" aca="1" ref="C1026" ca="1">INDIRECT(_xlfn.CONCAT("$K", $F1026))</f>
        <v>#REF!</v>
      </c>
      <c r="D1026" s="1"/>
      <c r="E1026" s="1" t="e" cm="1">
        <f t="array" aca="1" ref="E1026" ca="1">INDIRECT(_xlfn.CONCAT("$L", $F1026))</f>
        <v>#REF!</v>
      </c>
      <c r="F1026" s="1"/>
      <c r="I1026" s="8" t="s">
        <v>682</v>
      </c>
      <c r="J1026" s="8">
        <v>7</v>
      </c>
      <c r="K1026" s="9">
        <v>42825</v>
      </c>
      <c r="L1026" s="8" t="s">
        <v>174</v>
      </c>
    </row>
    <row r="1027" spans="1:12">
      <c r="A1027" s="1" t="e" cm="1">
        <f t="array" aca="1" ref="A1027" ca="1">INDIRECT(_xlfn.CONCAT("$I", $F1027))</f>
        <v>#REF!</v>
      </c>
      <c r="B1027" s="1" t="e" cm="1">
        <f t="array" aca="1" ref="B1027" ca="1">INDIRECT(_xlfn.CONCAT("$J", $F1027))</f>
        <v>#REF!</v>
      </c>
      <c r="C1027" s="1" t="e" cm="1">
        <f t="array" aca="1" ref="C1027" ca="1">INDIRECT(_xlfn.CONCAT("$K", $F1027))</f>
        <v>#REF!</v>
      </c>
      <c r="D1027" s="1"/>
      <c r="E1027" s="1" t="e" cm="1">
        <f t="array" aca="1" ref="E1027" ca="1">INDIRECT(_xlfn.CONCAT("$L", $F1027))</f>
        <v>#REF!</v>
      </c>
      <c r="F1027" s="1"/>
    </row>
    <row r="1028" spans="1:12">
      <c r="A1028" s="1" t="e" cm="1">
        <f t="array" aca="1" ref="A1028" ca="1">INDIRECT(_xlfn.CONCAT("$I", $F1028))</f>
        <v>#REF!</v>
      </c>
      <c r="B1028" s="1" t="e" cm="1">
        <f t="array" aca="1" ref="B1028" ca="1">INDIRECT(_xlfn.CONCAT("$J", $F1028))</f>
        <v>#REF!</v>
      </c>
      <c r="C1028" s="1" t="e" cm="1">
        <f t="array" aca="1" ref="C1028" ca="1">INDIRECT(_xlfn.CONCAT("$K", $F1028))</f>
        <v>#REF!</v>
      </c>
      <c r="D1028" s="1"/>
      <c r="E1028" s="1" t="e" cm="1">
        <f t="array" aca="1" ref="E1028" ca="1">INDIRECT(_xlfn.CONCAT("$L", $F1028))</f>
        <v>#REF!</v>
      </c>
      <c r="F1028" s="1"/>
      <c r="I1028" s="8" t="s">
        <v>683</v>
      </c>
      <c r="J1028" s="8">
        <v>249</v>
      </c>
      <c r="K1028" s="9">
        <v>42811</v>
      </c>
      <c r="L1028" t="s">
        <v>174</v>
      </c>
    </row>
    <row r="1029" spans="1:12">
      <c r="A1029" s="1" t="e" cm="1">
        <f t="array" aca="1" ref="A1029" ca="1">INDIRECT(_xlfn.CONCAT("$I", $F1029))</f>
        <v>#REF!</v>
      </c>
      <c r="B1029" s="1" t="e" cm="1">
        <f t="array" aca="1" ref="B1029" ca="1">INDIRECT(_xlfn.CONCAT("$J", $F1029))</f>
        <v>#REF!</v>
      </c>
      <c r="C1029" s="1" t="e" cm="1">
        <f t="array" aca="1" ref="C1029" ca="1">INDIRECT(_xlfn.CONCAT("$K", $F1029))</f>
        <v>#REF!</v>
      </c>
      <c r="D1029" s="1"/>
      <c r="E1029" s="1" t="e" cm="1">
        <f t="array" aca="1" ref="E1029" ca="1">INDIRECT(_xlfn.CONCAT("$L", $F1029))</f>
        <v>#REF!</v>
      </c>
      <c r="F1029" s="1"/>
    </row>
    <row r="1030" spans="1:12">
      <c r="A1030" s="1" t="e" cm="1">
        <f t="array" aca="1" ref="A1030" ca="1">INDIRECT(_xlfn.CONCAT("$I", $F1030))</f>
        <v>#REF!</v>
      </c>
      <c r="B1030" s="1" t="e" cm="1">
        <f t="array" aca="1" ref="B1030" ca="1">INDIRECT(_xlfn.CONCAT("$J", $F1030))</f>
        <v>#REF!</v>
      </c>
      <c r="C1030" s="1" t="e" cm="1">
        <f t="array" aca="1" ref="C1030" ca="1">INDIRECT(_xlfn.CONCAT("$K", $F1030))</f>
        <v>#REF!</v>
      </c>
      <c r="D1030" s="1"/>
      <c r="E1030" s="1" t="e" cm="1">
        <f t="array" aca="1" ref="E1030" ca="1">INDIRECT(_xlfn.CONCAT("$L", $F1030))</f>
        <v>#REF!</v>
      </c>
      <c r="F1030" s="1"/>
      <c r="I1030" s="8" t="s">
        <v>684</v>
      </c>
      <c r="J1030" s="8">
        <v>21</v>
      </c>
      <c r="K1030" s="9">
        <v>42811</v>
      </c>
      <c r="L1030" s="8" t="s">
        <v>174</v>
      </c>
    </row>
    <row r="1031" spans="1:12">
      <c r="A1031" s="1" t="e" cm="1">
        <f t="array" aca="1" ref="A1031" ca="1">INDIRECT(_xlfn.CONCAT("$I", $F1031))</f>
        <v>#REF!</v>
      </c>
      <c r="B1031" s="1" t="e" cm="1">
        <f t="array" aca="1" ref="B1031" ca="1">INDIRECT(_xlfn.CONCAT("$J", $F1031))</f>
        <v>#REF!</v>
      </c>
      <c r="C1031" s="1" t="e" cm="1">
        <f t="array" aca="1" ref="C1031" ca="1">INDIRECT(_xlfn.CONCAT("$K", $F1031))</f>
        <v>#REF!</v>
      </c>
      <c r="D1031" s="1"/>
      <c r="E1031" s="1" t="e" cm="1">
        <f t="array" aca="1" ref="E1031" ca="1">INDIRECT(_xlfn.CONCAT("$L", $F1031))</f>
        <v>#REF!</v>
      </c>
      <c r="F1031" s="1"/>
    </row>
    <row r="1032" spans="1:12">
      <c r="A1032" s="1" t="e" cm="1">
        <f t="array" aca="1" ref="A1032" ca="1">INDIRECT(_xlfn.CONCAT("$I", $F1032))</f>
        <v>#REF!</v>
      </c>
      <c r="B1032" s="1" t="e" cm="1">
        <f t="array" aca="1" ref="B1032" ca="1">INDIRECT(_xlfn.CONCAT("$J", $F1032))</f>
        <v>#REF!</v>
      </c>
      <c r="C1032" s="1" t="e" cm="1">
        <f t="array" aca="1" ref="C1032" ca="1">INDIRECT(_xlfn.CONCAT("$K", $F1032))</f>
        <v>#REF!</v>
      </c>
      <c r="D1032" s="1"/>
      <c r="E1032" s="1" t="e" cm="1">
        <f t="array" aca="1" ref="E1032" ca="1">INDIRECT(_xlfn.CONCAT("$L", $F1032))</f>
        <v>#REF!</v>
      </c>
      <c r="F1032" s="1"/>
      <c r="I1032" s="8" t="s">
        <v>685</v>
      </c>
      <c r="J1032" s="8">
        <v>197</v>
      </c>
      <c r="K1032" s="9">
        <v>42755</v>
      </c>
      <c r="L1032" t="s">
        <v>174</v>
      </c>
    </row>
    <row r="1033" spans="1:12">
      <c r="A1033" s="1" t="e" cm="1">
        <f t="array" aca="1" ref="A1033" ca="1">INDIRECT(_xlfn.CONCAT("$I", $F1033))</f>
        <v>#REF!</v>
      </c>
      <c r="B1033" s="1" t="e" cm="1">
        <f t="array" aca="1" ref="B1033" ca="1">INDIRECT(_xlfn.CONCAT("$J", $F1033))</f>
        <v>#REF!</v>
      </c>
      <c r="C1033" s="1" t="e" cm="1">
        <f t="array" aca="1" ref="C1033" ca="1">INDIRECT(_xlfn.CONCAT("$K", $F1033))</f>
        <v>#REF!</v>
      </c>
      <c r="D1033" s="1"/>
      <c r="E1033" s="1" t="e" cm="1">
        <f t="array" aca="1" ref="E1033" ca="1">INDIRECT(_xlfn.CONCAT("$L", $F1033))</f>
        <v>#REF!</v>
      </c>
      <c r="F1033" s="1"/>
    </row>
    <row r="1034" spans="1:12">
      <c r="A1034" s="1" t="e" cm="1">
        <f t="array" aca="1" ref="A1034" ca="1">INDIRECT(_xlfn.CONCAT("$I", $F1034))</f>
        <v>#REF!</v>
      </c>
      <c r="B1034" s="1" t="e" cm="1">
        <f t="array" aca="1" ref="B1034" ca="1">INDIRECT(_xlfn.CONCAT("$J", $F1034))</f>
        <v>#REF!</v>
      </c>
      <c r="C1034" s="1" t="e" cm="1">
        <f t="array" aca="1" ref="C1034" ca="1">INDIRECT(_xlfn.CONCAT("$K", $F1034))</f>
        <v>#REF!</v>
      </c>
      <c r="D1034" s="1"/>
      <c r="E1034" s="1" t="e" cm="1">
        <f t="array" aca="1" ref="E1034" ca="1">INDIRECT(_xlfn.CONCAT("$L", $F1034))</f>
        <v>#REF!</v>
      </c>
      <c r="F1034" s="1"/>
      <c r="I1034" s="8" t="s">
        <v>686</v>
      </c>
      <c r="J1034" s="8">
        <v>65</v>
      </c>
      <c r="K1034" s="9">
        <v>42755</v>
      </c>
      <c r="L1034" s="8" t="s">
        <v>174</v>
      </c>
    </row>
    <row r="1035" spans="1:12">
      <c r="A1035" s="1" t="e" cm="1">
        <f t="array" aca="1" ref="A1035" ca="1">INDIRECT(_xlfn.CONCAT("$I", $F1035))</f>
        <v>#REF!</v>
      </c>
      <c r="B1035" s="1" t="e" cm="1">
        <f t="array" aca="1" ref="B1035" ca="1">INDIRECT(_xlfn.CONCAT("$J", $F1035))</f>
        <v>#REF!</v>
      </c>
      <c r="C1035" s="1" t="e" cm="1">
        <f t="array" aca="1" ref="C1035" ca="1">INDIRECT(_xlfn.CONCAT("$K", $F1035))</f>
        <v>#REF!</v>
      </c>
      <c r="D1035" s="1"/>
      <c r="E1035" s="1" t="e" cm="1">
        <f t="array" aca="1" ref="E1035" ca="1">INDIRECT(_xlfn.CONCAT("$L", $F1035))</f>
        <v>#REF!</v>
      </c>
      <c r="F1035" s="1"/>
    </row>
    <row r="1036" spans="1:12">
      <c r="A1036" s="1" t="e" cm="1">
        <f t="array" aca="1" ref="A1036" ca="1">INDIRECT(_xlfn.CONCAT("$I", $F1036))</f>
        <v>#REF!</v>
      </c>
      <c r="B1036" s="1" t="e" cm="1">
        <f t="array" aca="1" ref="B1036" ca="1">INDIRECT(_xlfn.CONCAT("$J", $F1036))</f>
        <v>#REF!</v>
      </c>
      <c r="C1036" s="1" t="e" cm="1">
        <f t="array" aca="1" ref="C1036" ca="1">INDIRECT(_xlfn.CONCAT("$K", $F1036))</f>
        <v>#REF!</v>
      </c>
      <c r="D1036" s="1"/>
      <c r="E1036" s="1" t="e" cm="1">
        <f t="array" aca="1" ref="E1036" ca="1">INDIRECT(_xlfn.CONCAT("$L", $F1036))</f>
        <v>#REF!</v>
      </c>
      <c r="F1036" s="1"/>
      <c r="I1036" s="8" t="s">
        <v>687</v>
      </c>
      <c r="J1036" s="8">
        <v>4</v>
      </c>
      <c r="K1036" s="9">
        <v>42755</v>
      </c>
      <c r="L1036" s="8" t="s">
        <v>174</v>
      </c>
    </row>
    <row r="1037" spans="1:12">
      <c r="A1037" s="1" t="e" cm="1">
        <f t="array" aca="1" ref="A1037" ca="1">INDIRECT(_xlfn.CONCAT("$I", $F1037))</f>
        <v>#REF!</v>
      </c>
      <c r="B1037" s="1" t="e" cm="1">
        <f t="array" aca="1" ref="B1037" ca="1">INDIRECT(_xlfn.CONCAT("$J", $F1037))</f>
        <v>#REF!</v>
      </c>
      <c r="C1037" s="1" t="e" cm="1">
        <f t="array" aca="1" ref="C1037" ca="1">INDIRECT(_xlfn.CONCAT("$K", $F1037))</f>
        <v>#REF!</v>
      </c>
      <c r="D1037" s="1"/>
      <c r="E1037" s="1" t="e" cm="1">
        <f t="array" aca="1" ref="E1037" ca="1">INDIRECT(_xlfn.CONCAT("$L", $F1037))</f>
        <v>#REF!</v>
      </c>
      <c r="F1037" s="1"/>
    </row>
    <row r="1038" spans="1:12">
      <c r="A1038" s="1" t="e" cm="1">
        <f t="array" aca="1" ref="A1038" ca="1">INDIRECT(_xlfn.CONCAT("$I", $F1038))</f>
        <v>#REF!</v>
      </c>
      <c r="B1038" s="1" t="e" cm="1">
        <f t="array" aca="1" ref="B1038" ca="1">INDIRECT(_xlfn.CONCAT("$J", $F1038))</f>
        <v>#REF!</v>
      </c>
      <c r="C1038" s="1" t="e" cm="1">
        <f t="array" aca="1" ref="C1038" ca="1">INDIRECT(_xlfn.CONCAT("$K", $F1038))</f>
        <v>#REF!</v>
      </c>
      <c r="D1038" s="1"/>
      <c r="E1038" s="1" t="e" cm="1">
        <f t="array" aca="1" ref="E1038" ca="1">INDIRECT(_xlfn.CONCAT("$L", $F1038))</f>
        <v>#REF!</v>
      </c>
      <c r="F1038" s="1"/>
      <c r="I1038" s="8" t="s">
        <v>688</v>
      </c>
      <c r="J1038" s="8">
        <v>1</v>
      </c>
      <c r="K1038" s="9">
        <v>42736</v>
      </c>
      <c r="L1038" s="8" t="s">
        <v>174</v>
      </c>
    </row>
    <row r="1039" spans="1:12">
      <c r="A1039" s="1" t="e" cm="1">
        <f t="array" aca="1" ref="A1039" ca="1">INDIRECT(_xlfn.CONCAT("$I", $F1039))</f>
        <v>#REF!</v>
      </c>
      <c r="B1039" s="1" t="e" cm="1">
        <f t="array" aca="1" ref="B1039" ca="1">INDIRECT(_xlfn.CONCAT("$J", $F1039))</f>
        <v>#REF!</v>
      </c>
      <c r="C1039" s="1" t="e" cm="1">
        <f t="array" aca="1" ref="C1039" ca="1">INDIRECT(_xlfn.CONCAT("$K", $F1039))</f>
        <v>#REF!</v>
      </c>
      <c r="D1039" s="1"/>
      <c r="E1039" s="1" t="e" cm="1">
        <f t="array" aca="1" ref="E1039" ca="1">INDIRECT(_xlfn.CONCAT("$L", $F1039))</f>
        <v>#REF!</v>
      </c>
      <c r="F1039" s="1"/>
    </row>
    <row r="1040" spans="1:12">
      <c r="A1040" s="1" t="e" cm="1">
        <f t="array" aca="1" ref="A1040" ca="1">INDIRECT(_xlfn.CONCAT("$I", $F1040))</f>
        <v>#REF!</v>
      </c>
      <c r="B1040" s="1" t="e" cm="1">
        <f t="array" aca="1" ref="B1040" ca="1">INDIRECT(_xlfn.CONCAT("$J", $F1040))</f>
        <v>#REF!</v>
      </c>
      <c r="C1040" s="1" t="e" cm="1">
        <f t="array" aca="1" ref="C1040" ca="1">INDIRECT(_xlfn.CONCAT("$K", $F1040))</f>
        <v>#REF!</v>
      </c>
      <c r="D1040" s="1"/>
      <c r="E1040" s="1" t="e" cm="1">
        <f t="array" aca="1" ref="E1040" ca="1">INDIRECT(_xlfn.CONCAT("$L", $F1040))</f>
        <v>#REF!</v>
      </c>
      <c r="F1040" s="1"/>
      <c r="I1040" s="8" t="s">
        <v>689</v>
      </c>
      <c r="J1040" s="8">
        <v>12</v>
      </c>
      <c r="K1040" s="9">
        <v>42736</v>
      </c>
      <c r="L1040" s="8" t="s">
        <v>174</v>
      </c>
    </row>
    <row r="1041" spans="1:12">
      <c r="A1041" s="1" t="e" cm="1">
        <f t="array" aca="1" ref="A1041" ca="1">INDIRECT(_xlfn.CONCAT("$I", $F1041))</f>
        <v>#REF!</v>
      </c>
      <c r="B1041" s="1" t="e" cm="1">
        <f t="array" aca="1" ref="B1041" ca="1">INDIRECT(_xlfn.CONCAT("$J", $F1041))</f>
        <v>#REF!</v>
      </c>
      <c r="C1041" s="1" t="e" cm="1">
        <f t="array" aca="1" ref="C1041" ca="1">INDIRECT(_xlfn.CONCAT("$K", $F1041))</f>
        <v>#REF!</v>
      </c>
      <c r="D1041" s="1"/>
      <c r="E1041" s="1" t="e" cm="1">
        <f t="array" aca="1" ref="E1041" ca="1">INDIRECT(_xlfn.CONCAT("$L", $F1041))</f>
        <v>#REF!</v>
      </c>
      <c r="F1041" s="1"/>
    </row>
    <row r="1042" spans="1:12">
      <c r="A1042" s="1" t="e" cm="1">
        <f t="array" aca="1" ref="A1042" ca="1">INDIRECT(_xlfn.CONCAT("$I", $F1042))</f>
        <v>#REF!</v>
      </c>
      <c r="B1042" s="1" t="e" cm="1">
        <f t="array" aca="1" ref="B1042" ca="1">INDIRECT(_xlfn.CONCAT("$J", $F1042))</f>
        <v>#REF!</v>
      </c>
      <c r="C1042" s="1" t="e" cm="1">
        <f t="array" aca="1" ref="C1042" ca="1">INDIRECT(_xlfn.CONCAT("$K", $F1042))</f>
        <v>#REF!</v>
      </c>
      <c r="D1042" s="1"/>
      <c r="E1042" s="1" t="e" cm="1">
        <f t="array" aca="1" ref="E1042" ca="1">INDIRECT(_xlfn.CONCAT("$L", $F1042))</f>
        <v>#REF!</v>
      </c>
      <c r="F1042" s="1"/>
      <c r="I1042" s="8" t="s">
        <v>690</v>
      </c>
      <c r="J1042" s="8">
        <v>9</v>
      </c>
      <c r="K1042" s="9">
        <v>42736</v>
      </c>
      <c r="L1042" s="8" t="s">
        <v>174</v>
      </c>
    </row>
    <row r="1043" spans="1:12">
      <c r="A1043" s="1" t="e" cm="1">
        <f t="array" aca="1" ref="A1043" ca="1">INDIRECT(_xlfn.CONCAT("$I", $F1043))</f>
        <v>#REF!</v>
      </c>
      <c r="B1043" s="1" t="e" cm="1">
        <f t="array" aca="1" ref="B1043" ca="1">INDIRECT(_xlfn.CONCAT("$J", $F1043))</f>
        <v>#REF!</v>
      </c>
      <c r="C1043" s="1" t="e" cm="1">
        <f t="array" aca="1" ref="C1043" ca="1">INDIRECT(_xlfn.CONCAT("$K", $F1043))</f>
        <v>#REF!</v>
      </c>
      <c r="D1043" s="1"/>
      <c r="E1043" s="1" t="e" cm="1">
        <f t="array" aca="1" ref="E1043" ca="1">INDIRECT(_xlfn.CONCAT("$L", $F1043))</f>
        <v>#REF!</v>
      </c>
      <c r="F1043" s="1"/>
    </row>
    <row r="1044" spans="1:12">
      <c r="A1044" s="1" t="e" cm="1">
        <f t="array" aca="1" ref="A1044" ca="1">INDIRECT(_xlfn.CONCAT("$I", $F1044))</f>
        <v>#REF!</v>
      </c>
      <c r="B1044" s="1" t="e" cm="1">
        <f t="array" aca="1" ref="B1044" ca="1">INDIRECT(_xlfn.CONCAT("$J", $F1044))</f>
        <v>#REF!</v>
      </c>
      <c r="C1044" s="1" t="e" cm="1">
        <f t="array" aca="1" ref="C1044" ca="1">INDIRECT(_xlfn.CONCAT("$K", $F1044))</f>
        <v>#REF!</v>
      </c>
      <c r="D1044" s="1"/>
      <c r="E1044" s="1" t="e" cm="1">
        <f t="array" aca="1" ref="E1044" ca="1">INDIRECT(_xlfn.CONCAT("$L", $F1044))</f>
        <v>#REF!</v>
      </c>
      <c r="F1044" s="1"/>
      <c r="I1044" s="8" t="s">
        <v>691</v>
      </c>
      <c r="J1044" s="8">
        <v>156</v>
      </c>
      <c r="K1044" s="9">
        <v>42699</v>
      </c>
      <c r="L1044" s="8" t="s">
        <v>174</v>
      </c>
    </row>
    <row r="1045" spans="1:12">
      <c r="A1045" s="1" t="e" cm="1">
        <f t="array" aca="1" ref="A1045" ca="1">INDIRECT(_xlfn.CONCAT("$I", $F1045))</f>
        <v>#REF!</v>
      </c>
      <c r="B1045" s="1" t="e" cm="1">
        <f t="array" aca="1" ref="B1045" ca="1">INDIRECT(_xlfn.CONCAT("$J", $F1045))</f>
        <v>#REF!</v>
      </c>
      <c r="C1045" s="1" t="e" cm="1">
        <f t="array" aca="1" ref="C1045" ca="1">INDIRECT(_xlfn.CONCAT("$K", $F1045))</f>
        <v>#REF!</v>
      </c>
      <c r="D1045" s="1"/>
      <c r="E1045" s="1" t="e" cm="1">
        <f t="array" aca="1" ref="E1045" ca="1">INDIRECT(_xlfn.CONCAT("$L", $F1045))</f>
        <v>#REF!</v>
      </c>
      <c r="F1045" s="1"/>
    </row>
    <row r="1046" spans="1:12">
      <c r="A1046" s="1" t="e" cm="1">
        <f t="array" aca="1" ref="A1046" ca="1">INDIRECT(_xlfn.CONCAT("$I", $F1046))</f>
        <v>#REF!</v>
      </c>
      <c r="B1046" s="1" t="e" cm="1">
        <f t="array" aca="1" ref="B1046" ca="1">INDIRECT(_xlfn.CONCAT("$J", $F1046))</f>
        <v>#REF!</v>
      </c>
      <c r="C1046" s="1" t="e" cm="1">
        <f t="array" aca="1" ref="C1046" ca="1">INDIRECT(_xlfn.CONCAT("$K", $F1046))</f>
        <v>#REF!</v>
      </c>
      <c r="D1046" s="1"/>
      <c r="E1046" s="1" t="e" cm="1">
        <f t="array" aca="1" ref="E1046" ca="1">INDIRECT(_xlfn.CONCAT("$L", $F1046))</f>
        <v>#REF!</v>
      </c>
      <c r="F1046" s="1"/>
      <c r="I1046" s="8" t="s">
        <v>692</v>
      </c>
      <c r="J1046" s="8">
        <v>19</v>
      </c>
      <c r="K1046" s="9">
        <v>42699</v>
      </c>
      <c r="L1046" s="8" t="s">
        <v>174</v>
      </c>
    </row>
    <row r="1047" spans="1:12">
      <c r="A1047" s="1" t="e" cm="1">
        <f t="array" aca="1" ref="A1047" ca="1">INDIRECT(_xlfn.CONCAT("$I", $F1047))</f>
        <v>#REF!</v>
      </c>
      <c r="B1047" s="1" t="e" cm="1">
        <f t="array" aca="1" ref="B1047" ca="1">INDIRECT(_xlfn.CONCAT("$J", $F1047))</f>
        <v>#REF!</v>
      </c>
      <c r="C1047" s="1" t="e" cm="1">
        <f t="array" aca="1" ref="C1047" ca="1">INDIRECT(_xlfn.CONCAT("$K", $F1047))</f>
        <v>#REF!</v>
      </c>
      <c r="D1047" s="1"/>
      <c r="E1047" s="1" t="e" cm="1">
        <f t="array" aca="1" ref="E1047" ca="1">INDIRECT(_xlfn.CONCAT("$L", $F1047))</f>
        <v>#REF!</v>
      </c>
      <c r="F1047" s="1"/>
    </row>
    <row r="1048" spans="1:12">
      <c r="A1048" s="1" t="e" cm="1">
        <f t="array" aca="1" ref="A1048" ca="1">INDIRECT(_xlfn.CONCAT("$I", $F1048))</f>
        <v>#REF!</v>
      </c>
      <c r="B1048" s="1" t="e" cm="1">
        <f t="array" aca="1" ref="B1048" ca="1">INDIRECT(_xlfn.CONCAT("$J", $F1048))</f>
        <v>#REF!</v>
      </c>
      <c r="C1048" s="1" t="e" cm="1">
        <f t="array" aca="1" ref="C1048" ca="1">INDIRECT(_xlfn.CONCAT("$K", $F1048))</f>
        <v>#REF!</v>
      </c>
      <c r="D1048" s="1"/>
      <c r="E1048" s="1" t="e" cm="1">
        <f t="array" aca="1" ref="E1048" ca="1">INDIRECT(_xlfn.CONCAT("$L", $F1048))</f>
        <v>#REF!</v>
      </c>
      <c r="F1048" s="1"/>
      <c r="I1048" s="8" t="s">
        <v>693</v>
      </c>
      <c r="J1048" s="8">
        <v>86</v>
      </c>
      <c r="K1048" s="9">
        <v>42699</v>
      </c>
      <c r="L1048" s="8" t="s">
        <v>174</v>
      </c>
    </row>
    <row r="1049" spans="1:12">
      <c r="A1049" s="1" t="e" cm="1">
        <f t="array" aca="1" ref="A1049" ca="1">INDIRECT(_xlfn.CONCAT("$I", $F1049))</f>
        <v>#REF!</v>
      </c>
      <c r="B1049" s="1" t="e" cm="1">
        <f t="array" aca="1" ref="B1049" ca="1">INDIRECT(_xlfn.CONCAT("$J", $F1049))</f>
        <v>#REF!</v>
      </c>
      <c r="C1049" s="1" t="e" cm="1">
        <f t="array" aca="1" ref="C1049" ca="1">INDIRECT(_xlfn.CONCAT("$K", $F1049))</f>
        <v>#REF!</v>
      </c>
      <c r="D1049" s="1"/>
      <c r="E1049" s="1" t="e" cm="1">
        <f t="array" aca="1" ref="E1049" ca="1">INDIRECT(_xlfn.CONCAT("$L", $F1049))</f>
        <v>#REF!</v>
      </c>
      <c r="F1049" s="1"/>
    </row>
    <row r="1050" spans="1:12">
      <c r="A1050" s="1" t="e" cm="1">
        <f t="array" aca="1" ref="A1050" ca="1">INDIRECT(_xlfn.CONCAT("$I", $F1050))</f>
        <v>#REF!</v>
      </c>
      <c r="B1050" s="1" t="e" cm="1">
        <f t="array" aca="1" ref="B1050" ca="1">INDIRECT(_xlfn.CONCAT("$J", $F1050))</f>
        <v>#REF!</v>
      </c>
      <c r="C1050" s="1" t="e" cm="1">
        <f t="array" aca="1" ref="C1050" ca="1">INDIRECT(_xlfn.CONCAT("$K", $F1050))</f>
        <v>#REF!</v>
      </c>
      <c r="D1050" s="1"/>
      <c r="E1050" s="1" t="e" cm="1">
        <f t="array" aca="1" ref="E1050" ca="1">INDIRECT(_xlfn.CONCAT("$L", $F1050))</f>
        <v>#REF!</v>
      </c>
      <c r="F1050" s="1"/>
      <c r="I1050" s="8" t="s">
        <v>694</v>
      </c>
      <c r="J1050" s="8">
        <v>282</v>
      </c>
      <c r="K1050" s="9">
        <v>42690</v>
      </c>
      <c r="L1050" s="8" t="s">
        <v>174</v>
      </c>
    </row>
    <row r="1051" spans="1:12">
      <c r="A1051" s="1" t="e" cm="1">
        <f t="array" aca="1" ref="A1051" ca="1">INDIRECT(_xlfn.CONCAT("$I", $F1051))</f>
        <v>#REF!</v>
      </c>
      <c r="B1051" s="1" t="e" cm="1">
        <f t="array" aca="1" ref="B1051" ca="1">INDIRECT(_xlfn.CONCAT("$J", $F1051))</f>
        <v>#REF!</v>
      </c>
      <c r="C1051" s="1" t="e" cm="1">
        <f t="array" aca="1" ref="C1051" ca="1">INDIRECT(_xlfn.CONCAT("$K", $F1051))</f>
        <v>#REF!</v>
      </c>
      <c r="D1051" s="1"/>
      <c r="E1051" s="1" t="e" cm="1">
        <f t="array" aca="1" ref="E1051" ca="1">INDIRECT(_xlfn.CONCAT("$L", $F1051))</f>
        <v>#REF!</v>
      </c>
      <c r="F1051" s="1"/>
    </row>
    <row r="1052" spans="1:12">
      <c r="A1052" s="1" t="e" cm="1">
        <f t="array" aca="1" ref="A1052" ca="1">INDIRECT(_xlfn.CONCAT("$I", $F1052))</f>
        <v>#REF!</v>
      </c>
      <c r="B1052" s="1" t="e" cm="1">
        <f t="array" aca="1" ref="B1052" ca="1">INDIRECT(_xlfn.CONCAT("$J", $F1052))</f>
        <v>#REF!</v>
      </c>
      <c r="C1052" s="1" t="e" cm="1">
        <f t="array" aca="1" ref="C1052" ca="1">INDIRECT(_xlfn.CONCAT("$K", $F1052))</f>
        <v>#REF!</v>
      </c>
      <c r="D1052" s="1"/>
      <c r="E1052" s="1" t="e" cm="1">
        <f t="array" aca="1" ref="E1052" ca="1">INDIRECT(_xlfn.CONCAT("$L", $F1052))</f>
        <v>#REF!</v>
      </c>
      <c r="F1052" s="1"/>
      <c r="I1052" s="8" t="s">
        <v>695</v>
      </c>
      <c r="J1052" s="8">
        <v>538</v>
      </c>
      <c r="K1052" s="9">
        <v>42690</v>
      </c>
    </row>
    <row r="1053" spans="1:12">
      <c r="A1053" s="1" t="e" cm="1">
        <f t="array" aca="1" ref="A1053" ca="1">INDIRECT(_xlfn.CONCAT("$I", $F1053))</f>
        <v>#REF!</v>
      </c>
      <c r="B1053" s="1" t="e" cm="1">
        <f t="array" aca="1" ref="B1053" ca="1">INDIRECT(_xlfn.CONCAT("$J", $F1053))</f>
        <v>#REF!</v>
      </c>
      <c r="C1053" s="1" t="e" cm="1">
        <f t="array" aca="1" ref="C1053" ca="1">INDIRECT(_xlfn.CONCAT("$K", $F1053))</f>
        <v>#REF!</v>
      </c>
      <c r="D1053" s="1"/>
      <c r="E1053" s="1" t="e" cm="1">
        <f t="array" aca="1" ref="E1053" ca="1">INDIRECT(_xlfn.CONCAT("$L", $F1053))</f>
        <v>#REF!</v>
      </c>
      <c r="F1053" s="1"/>
    </row>
    <row r="1054" spans="1:12">
      <c r="A1054" s="1" t="e" cm="1">
        <f t="array" aca="1" ref="A1054" ca="1">INDIRECT(_xlfn.CONCAT("$I", $F1054))</f>
        <v>#REF!</v>
      </c>
      <c r="B1054" s="1" t="e" cm="1">
        <f t="array" aca="1" ref="B1054" ca="1">INDIRECT(_xlfn.CONCAT("$J", $F1054))</f>
        <v>#REF!</v>
      </c>
      <c r="C1054" s="1" t="e" cm="1">
        <f t="array" aca="1" ref="C1054" ca="1">INDIRECT(_xlfn.CONCAT("$K", $F1054))</f>
        <v>#REF!</v>
      </c>
      <c r="D1054" s="1"/>
      <c r="E1054" s="1" t="e" cm="1">
        <f t="array" aca="1" ref="E1054" ca="1">INDIRECT(_xlfn.CONCAT("$L", $F1054))</f>
        <v>#REF!</v>
      </c>
      <c r="F1054" s="1"/>
      <c r="I1054" s="8" t="s">
        <v>696</v>
      </c>
      <c r="J1054" s="8">
        <v>351</v>
      </c>
      <c r="K1054" s="9">
        <v>42685</v>
      </c>
      <c r="L1054" t="s">
        <v>174</v>
      </c>
    </row>
    <row r="1055" spans="1:12">
      <c r="A1055" s="1" t="e" cm="1">
        <f t="array" aca="1" ref="A1055" ca="1">INDIRECT(_xlfn.CONCAT("$I", $F1055))</f>
        <v>#REF!</v>
      </c>
      <c r="B1055" s="1" t="e" cm="1">
        <f t="array" aca="1" ref="B1055" ca="1">INDIRECT(_xlfn.CONCAT("$J", $F1055))</f>
        <v>#REF!</v>
      </c>
      <c r="C1055" s="1" t="e" cm="1">
        <f t="array" aca="1" ref="C1055" ca="1">INDIRECT(_xlfn.CONCAT("$K", $F1055))</f>
        <v>#REF!</v>
      </c>
      <c r="D1055" s="1"/>
      <c r="E1055" s="1" t="e" cm="1">
        <f t="array" aca="1" ref="E1055" ca="1">INDIRECT(_xlfn.CONCAT("$L", $F1055))</f>
        <v>#REF!</v>
      </c>
      <c r="F1055" s="1"/>
    </row>
    <row r="1056" spans="1:12">
      <c r="A1056" s="1" t="e" cm="1">
        <f t="array" aca="1" ref="A1056" ca="1">INDIRECT(_xlfn.CONCAT("$I", $F1056))</f>
        <v>#REF!</v>
      </c>
      <c r="B1056" s="1" t="e" cm="1">
        <f t="array" aca="1" ref="B1056" ca="1">INDIRECT(_xlfn.CONCAT("$J", $F1056))</f>
        <v>#REF!</v>
      </c>
      <c r="C1056" s="1" t="e" cm="1">
        <f t="array" aca="1" ref="C1056" ca="1">INDIRECT(_xlfn.CONCAT("$K", $F1056))</f>
        <v>#REF!</v>
      </c>
      <c r="D1056" s="1"/>
      <c r="E1056" s="1" t="e" cm="1">
        <f t="array" aca="1" ref="E1056" ca="1">INDIRECT(_xlfn.CONCAT("$L", $F1056))</f>
        <v>#REF!</v>
      </c>
      <c r="F1056" s="1"/>
      <c r="I1056" s="8" t="s">
        <v>697</v>
      </c>
      <c r="J1056" s="8">
        <v>21</v>
      </c>
      <c r="K1056" s="9">
        <v>42685</v>
      </c>
      <c r="L1056" s="8" t="s">
        <v>174</v>
      </c>
    </row>
    <row r="1057" spans="1:12">
      <c r="A1057" s="1" t="e" cm="1">
        <f t="array" aca="1" ref="A1057" ca="1">INDIRECT(_xlfn.CONCAT("$I", $F1057))</f>
        <v>#REF!</v>
      </c>
      <c r="B1057" s="1" t="e" cm="1">
        <f t="array" aca="1" ref="B1057" ca="1">INDIRECT(_xlfn.CONCAT("$J", $F1057))</f>
        <v>#REF!</v>
      </c>
      <c r="C1057" s="1" t="e" cm="1">
        <f t="array" aca="1" ref="C1057" ca="1">INDIRECT(_xlfn.CONCAT("$K", $F1057))</f>
        <v>#REF!</v>
      </c>
      <c r="D1057" s="1"/>
      <c r="E1057" s="1" t="e" cm="1">
        <f t="array" aca="1" ref="E1057" ca="1">INDIRECT(_xlfn.CONCAT("$L", $F1057))</f>
        <v>#REF!</v>
      </c>
      <c r="F1057" s="1"/>
    </row>
    <row r="1058" spans="1:12">
      <c r="A1058" s="1" t="e" cm="1">
        <f t="array" aca="1" ref="A1058" ca="1">INDIRECT(_xlfn.CONCAT("$I", $F1058))</f>
        <v>#REF!</v>
      </c>
      <c r="B1058" s="1" t="e" cm="1">
        <f t="array" aca="1" ref="B1058" ca="1">INDIRECT(_xlfn.CONCAT("$J", $F1058))</f>
        <v>#REF!</v>
      </c>
      <c r="C1058" s="1" t="e" cm="1">
        <f t="array" aca="1" ref="C1058" ca="1">INDIRECT(_xlfn.CONCAT("$K", $F1058))</f>
        <v>#REF!</v>
      </c>
      <c r="D1058" s="1"/>
      <c r="E1058" s="1" t="e" cm="1">
        <f t="array" aca="1" ref="E1058" ca="1">INDIRECT(_xlfn.CONCAT("$L", $F1058))</f>
        <v>#REF!</v>
      </c>
      <c r="F1058" s="1"/>
      <c r="I1058" s="8" t="s">
        <v>698</v>
      </c>
      <c r="J1058" s="8">
        <v>5</v>
      </c>
      <c r="K1058" s="9">
        <v>42685</v>
      </c>
      <c r="L1058" s="8" t="s">
        <v>174</v>
      </c>
    </row>
    <row r="1059" spans="1:12">
      <c r="A1059" s="1" t="e" cm="1">
        <f t="array" aca="1" ref="A1059" ca="1">INDIRECT(_xlfn.CONCAT("$I", $F1059))</f>
        <v>#REF!</v>
      </c>
      <c r="B1059" s="1" t="e" cm="1">
        <f t="array" aca="1" ref="B1059" ca="1">INDIRECT(_xlfn.CONCAT("$J", $F1059))</f>
        <v>#REF!</v>
      </c>
      <c r="C1059" s="1" t="e" cm="1">
        <f t="array" aca="1" ref="C1059" ca="1">INDIRECT(_xlfn.CONCAT("$K", $F1059))</f>
        <v>#REF!</v>
      </c>
      <c r="D1059" s="1"/>
      <c r="E1059" s="1" t="e" cm="1">
        <f t="array" aca="1" ref="E1059" ca="1">INDIRECT(_xlfn.CONCAT("$L", $F1059))</f>
        <v>#REF!</v>
      </c>
      <c r="F1059" s="1"/>
    </row>
    <row r="1060" spans="1:12">
      <c r="A1060" s="1" t="e" cm="1">
        <f t="array" aca="1" ref="A1060" ca="1">INDIRECT(_xlfn.CONCAT("$I", $F1060))</f>
        <v>#REF!</v>
      </c>
      <c r="B1060" s="1" t="e" cm="1">
        <f t="array" aca="1" ref="B1060" ca="1">INDIRECT(_xlfn.CONCAT("$J", $F1060))</f>
        <v>#REF!</v>
      </c>
      <c r="C1060" s="1" t="e" cm="1">
        <f t="array" aca="1" ref="C1060" ca="1">INDIRECT(_xlfn.CONCAT("$K", $F1060))</f>
        <v>#REF!</v>
      </c>
      <c r="D1060" s="1"/>
      <c r="E1060" s="1" t="e" cm="1">
        <f t="array" aca="1" ref="E1060" ca="1">INDIRECT(_xlfn.CONCAT("$L", $F1060))</f>
        <v>#REF!</v>
      </c>
      <c r="F1060" s="1"/>
      <c r="I1060" s="8" t="s">
        <v>699</v>
      </c>
      <c r="J1060" s="8">
        <v>5</v>
      </c>
      <c r="K1060" s="9">
        <v>42644</v>
      </c>
      <c r="L1060" s="8" t="s">
        <v>174</v>
      </c>
    </row>
    <row r="1061" spans="1:12">
      <c r="A1061" s="1" t="e" cm="1">
        <f t="array" aca="1" ref="A1061" ca="1">INDIRECT(_xlfn.CONCAT("$I", $F1061))</f>
        <v>#REF!</v>
      </c>
      <c r="B1061" s="1" t="e" cm="1">
        <f t="array" aca="1" ref="B1061" ca="1">INDIRECT(_xlfn.CONCAT("$J", $F1061))</f>
        <v>#REF!</v>
      </c>
      <c r="C1061" s="1" t="e" cm="1">
        <f t="array" aca="1" ref="C1061" ca="1">INDIRECT(_xlfn.CONCAT("$K", $F1061))</f>
        <v>#REF!</v>
      </c>
      <c r="D1061" s="1"/>
      <c r="E1061" s="1" t="e" cm="1">
        <f t="array" aca="1" ref="E1061" ca="1">INDIRECT(_xlfn.CONCAT("$L", $F1061))</f>
        <v>#REF!</v>
      </c>
      <c r="F1061" s="1"/>
    </row>
    <row r="1062" spans="1:12">
      <c r="A1062" s="1" t="e" cm="1">
        <f t="array" aca="1" ref="A1062" ca="1">INDIRECT(_xlfn.CONCAT("$I", $F1062))</f>
        <v>#REF!</v>
      </c>
      <c r="B1062" s="1" t="e" cm="1">
        <f t="array" aca="1" ref="B1062" ca="1">INDIRECT(_xlfn.CONCAT("$J", $F1062))</f>
        <v>#REF!</v>
      </c>
      <c r="C1062" s="1" t="e" cm="1">
        <f t="array" aca="1" ref="C1062" ca="1">INDIRECT(_xlfn.CONCAT("$K", $F1062))</f>
        <v>#REF!</v>
      </c>
      <c r="D1062" s="1"/>
      <c r="E1062" s="1" t="e" cm="1">
        <f t="array" aca="1" ref="E1062" ca="1">INDIRECT(_xlfn.CONCAT("$L", $F1062))</f>
        <v>#REF!</v>
      </c>
      <c r="F1062" s="1"/>
      <c r="I1062" s="8" t="s">
        <v>700</v>
      </c>
      <c r="J1062" s="8">
        <v>278</v>
      </c>
      <c r="K1062" s="9">
        <v>42643</v>
      </c>
      <c r="L1062" t="s">
        <v>174</v>
      </c>
    </row>
    <row r="1063" spans="1:12">
      <c r="A1063" s="1" t="e" cm="1">
        <f t="array" aca="1" ref="A1063" ca="1">INDIRECT(_xlfn.CONCAT("$I", $F1063))</f>
        <v>#REF!</v>
      </c>
      <c r="B1063" s="1" t="e" cm="1">
        <f t="array" aca="1" ref="B1063" ca="1">INDIRECT(_xlfn.CONCAT("$J", $F1063))</f>
        <v>#REF!</v>
      </c>
      <c r="C1063" s="1" t="e" cm="1">
        <f t="array" aca="1" ref="C1063" ca="1">INDIRECT(_xlfn.CONCAT("$K", $F1063))</f>
        <v>#REF!</v>
      </c>
      <c r="D1063" s="1"/>
      <c r="E1063" s="1" t="e" cm="1">
        <f t="array" aca="1" ref="E1063" ca="1">INDIRECT(_xlfn.CONCAT("$L", $F1063))</f>
        <v>#REF!</v>
      </c>
      <c r="F1063" s="1"/>
    </row>
    <row r="1064" spans="1:12">
      <c r="A1064" s="1" t="e" cm="1">
        <f t="array" aca="1" ref="A1064" ca="1">INDIRECT(_xlfn.CONCAT("$I", $F1064))</f>
        <v>#REF!</v>
      </c>
      <c r="B1064" s="1" t="e" cm="1">
        <f t="array" aca="1" ref="B1064" ca="1">INDIRECT(_xlfn.CONCAT("$J", $F1064))</f>
        <v>#REF!</v>
      </c>
      <c r="C1064" s="1" t="e" cm="1">
        <f t="array" aca="1" ref="C1064" ca="1">INDIRECT(_xlfn.CONCAT("$K", $F1064))</f>
        <v>#REF!</v>
      </c>
      <c r="D1064" s="1"/>
      <c r="E1064" s="1" t="e" cm="1">
        <f t="array" aca="1" ref="E1064" ca="1">INDIRECT(_xlfn.CONCAT("$L", $F1064))</f>
        <v>#REF!</v>
      </c>
      <c r="F1064" s="1"/>
      <c r="I1064" s="8" t="s">
        <v>701</v>
      </c>
      <c r="J1064" s="8">
        <v>54</v>
      </c>
      <c r="K1064" s="9">
        <v>42643</v>
      </c>
      <c r="L1064" s="8" t="s">
        <v>174</v>
      </c>
    </row>
    <row r="1065" spans="1:12">
      <c r="A1065" s="1" t="e" cm="1">
        <f t="array" aca="1" ref="A1065" ca="1">INDIRECT(_xlfn.CONCAT("$I", $F1065))</f>
        <v>#REF!</v>
      </c>
      <c r="B1065" s="1" t="e" cm="1">
        <f t="array" aca="1" ref="B1065" ca="1">INDIRECT(_xlfn.CONCAT("$J", $F1065))</f>
        <v>#REF!</v>
      </c>
      <c r="C1065" s="1" t="e" cm="1">
        <f t="array" aca="1" ref="C1065" ca="1">INDIRECT(_xlfn.CONCAT("$K", $F1065))</f>
        <v>#REF!</v>
      </c>
      <c r="D1065" s="1"/>
      <c r="E1065" s="1" t="e" cm="1">
        <f t="array" aca="1" ref="E1065" ca="1">INDIRECT(_xlfn.CONCAT("$L", $F1065))</f>
        <v>#REF!</v>
      </c>
      <c r="F1065" s="1"/>
    </row>
    <row r="1066" spans="1:12">
      <c r="A1066" s="1" t="e" cm="1">
        <f t="array" aca="1" ref="A1066" ca="1">INDIRECT(_xlfn.CONCAT("$I", $F1066))</f>
        <v>#REF!</v>
      </c>
      <c r="B1066" s="1" t="e" cm="1">
        <f t="array" aca="1" ref="B1066" ca="1">INDIRECT(_xlfn.CONCAT("$J", $F1066))</f>
        <v>#REF!</v>
      </c>
      <c r="C1066" s="1" t="e" cm="1">
        <f t="array" aca="1" ref="C1066" ca="1">INDIRECT(_xlfn.CONCAT("$K", $F1066))</f>
        <v>#REF!</v>
      </c>
      <c r="D1066" s="1"/>
      <c r="E1066" s="1" t="e" cm="1">
        <f t="array" aca="1" ref="E1066" ca="1">INDIRECT(_xlfn.CONCAT("$L", $F1066))</f>
        <v>#REF!</v>
      </c>
      <c r="F1066" s="1"/>
      <c r="I1066" s="8" t="s">
        <v>702</v>
      </c>
      <c r="J1066" s="8">
        <v>83</v>
      </c>
      <c r="K1066" s="9">
        <v>42643</v>
      </c>
      <c r="L1066" s="8" t="s">
        <v>174</v>
      </c>
    </row>
    <row r="1067" spans="1:12">
      <c r="A1067" s="1" t="e" cm="1">
        <f t="array" aca="1" ref="A1067" ca="1">INDIRECT(_xlfn.CONCAT("$I", $F1067))</f>
        <v>#REF!</v>
      </c>
      <c r="B1067" s="1" t="e" cm="1">
        <f t="array" aca="1" ref="B1067" ca="1">INDIRECT(_xlfn.CONCAT("$J", $F1067))</f>
        <v>#REF!</v>
      </c>
      <c r="C1067" s="1" t="e" cm="1">
        <f t="array" aca="1" ref="C1067" ca="1">INDIRECT(_xlfn.CONCAT("$K", $F1067))</f>
        <v>#REF!</v>
      </c>
      <c r="D1067" s="1"/>
      <c r="E1067" s="1" t="e" cm="1">
        <f t="array" aca="1" ref="E1067" ca="1">INDIRECT(_xlfn.CONCAT("$L", $F1067))</f>
        <v>#REF!</v>
      </c>
      <c r="F1067" s="1"/>
    </row>
    <row r="1068" spans="1:12">
      <c r="A1068" s="1" t="e" cm="1">
        <f t="array" aca="1" ref="A1068" ca="1">INDIRECT(_xlfn.CONCAT("$I", $F1068))</f>
        <v>#REF!</v>
      </c>
      <c r="B1068" s="1" t="e" cm="1">
        <f t="array" aca="1" ref="B1068" ca="1">INDIRECT(_xlfn.CONCAT("$J", $F1068))</f>
        <v>#REF!</v>
      </c>
      <c r="C1068" s="1" t="e" cm="1">
        <f t="array" aca="1" ref="C1068" ca="1">INDIRECT(_xlfn.CONCAT("$K", $F1068))</f>
        <v>#REF!</v>
      </c>
      <c r="D1068" s="1"/>
      <c r="E1068" s="1" t="e" cm="1">
        <f t="array" aca="1" ref="E1068" ca="1">INDIRECT(_xlfn.CONCAT("$L", $F1068))</f>
        <v>#REF!</v>
      </c>
      <c r="F1068" s="1"/>
      <c r="I1068" s="8" t="s">
        <v>703</v>
      </c>
      <c r="J1068" s="8">
        <v>13</v>
      </c>
      <c r="K1068" s="9">
        <v>42643</v>
      </c>
      <c r="L1068" s="8" t="s">
        <v>174</v>
      </c>
    </row>
    <row r="1069" spans="1:12">
      <c r="A1069" s="1" t="e" cm="1">
        <f t="array" aca="1" ref="A1069" ca="1">INDIRECT(_xlfn.CONCAT("$I", $F1069))</f>
        <v>#REF!</v>
      </c>
      <c r="B1069" s="1" t="e" cm="1">
        <f t="array" aca="1" ref="B1069" ca="1">INDIRECT(_xlfn.CONCAT("$J", $F1069))</f>
        <v>#REF!</v>
      </c>
      <c r="C1069" s="1" t="e" cm="1">
        <f t="array" aca="1" ref="C1069" ca="1">INDIRECT(_xlfn.CONCAT("$K", $F1069))</f>
        <v>#REF!</v>
      </c>
      <c r="D1069" s="1"/>
      <c r="E1069" s="1" t="e" cm="1">
        <f t="array" aca="1" ref="E1069" ca="1">INDIRECT(_xlfn.CONCAT("$L", $F1069))</f>
        <v>#REF!</v>
      </c>
      <c r="F1069" s="1"/>
    </row>
    <row r="1070" spans="1:12">
      <c r="A1070" s="1" t="e" cm="1">
        <f t="array" aca="1" ref="A1070" ca="1">INDIRECT(_xlfn.CONCAT("$I", $F1070))</f>
        <v>#REF!</v>
      </c>
      <c r="B1070" s="1" t="e" cm="1">
        <f t="array" aca="1" ref="B1070" ca="1">INDIRECT(_xlfn.CONCAT("$J", $F1070))</f>
        <v>#REF!</v>
      </c>
      <c r="C1070" s="1" t="e" cm="1">
        <f t="array" aca="1" ref="C1070" ca="1">INDIRECT(_xlfn.CONCAT("$K", $F1070))</f>
        <v>#REF!</v>
      </c>
      <c r="D1070" s="1"/>
      <c r="E1070" s="1" t="e" cm="1">
        <f t="array" aca="1" ref="E1070" ca="1">INDIRECT(_xlfn.CONCAT("$L", $F1070))</f>
        <v>#REF!</v>
      </c>
      <c r="F1070" s="1"/>
      <c r="I1070" s="8" t="s">
        <v>704</v>
      </c>
      <c r="J1070" s="8">
        <v>76</v>
      </c>
      <c r="K1070" s="9">
        <v>42615</v>
      </c>
      <c r="L1070" t="s">
        <v>174</v>
      </c>
    </row>
    <row r="1071" spans="1:12">
      <c r="A1071" s="1" t="e" cm="1">
        <f t="array" aca="1" ref="A1071" ca="1">INDIRECT(_xlfn.CONCAT("$I", $F1071))</f>
        <v>#REF!</v>
      </c>
      <c r="B1071" s="1" t="e" cm="1">
        <f t="array" aca="1" ref="B1071" ca="1">INDIRECT(_xlfn.CONCAT("$J", $F1071))</f>
        <v>#REF!</v>
      </c>
      <c r="C1071" s="1" t="e" cm="1">
        <f t="array" aca="1" ref="C1071" ca="1">INDIRECT(_xlfn.CONCAT("$K", $F1071))</f>
        <v>#REF!</v>
      </c>
      <c r="D1071" s="1"/>
      <c r="E1071" s="1" t="e" cm="1">
        <f t="array" aca="1" ref="E1071" ca="1">INDIRECT(_xlfn.CONCAT("$L", $F1071))</f>
        <v>#REF!</v>
      </c>
      <c r="F1071" s="1"/>
    </row>
    <row r="1072" spans="1:12">
      <c r="A1072" s="1" t="e" cm="1">
        <f t="array" aca="1" ref="A1072" ca="1">INDIRECT(_xlfn.CONCAT("$I", $F1072))</f>
        <v>#REF!</v>
      </c>
      <c r="B1072" s="1" t="e" cm="1">
        <f t="array" aca="1" ref="B1072" ca="1">INDIRECT(_xlfn.CONCAT("$J", $F1072))</f>
        <v>#REF!</v>
      </c>
      <c r="C1072" s="1" t="e" cm="1">
        <f t="array" aca="1" ref="C1072" ca="1">INDIRECT(_xlfn.CONCAT("$K", $F1072))</f>
        <v>#REF!</v>
      </c>
      <c r="D1072" s="1"/>
      <c r="E1072" s="1" t="e" cm="1">
        <f t="array" aca="1" ref="E1072" ca="1">INDIRECT(_xlfn.CONCAT("$L", $F1072))</f>
        <v>#REF!</v>
      </c>
      <c r="F1072" s="1"/>
      <c r="I1072" s="8" t="s">
        <v>705</v>
      </c>
      <c r="J1072" s="8">
        <v>222</v>
      </c>
      <c r="K1072" s="9">
        <v>42608</v>
      </c>
      <c r="L1072" t="s">
        <v>174</v>
      </c>
    </row>
    <row r="1073" spans="1:12">
      <c r="A1073" s="1" t="e" cm="1">
        <f t="array" aca="1" ref="A1073" ca="1">INDIRECT(_xlfn.CONCAT("$I", $F1073))</f>
        <v>#REF!</v>
      </c>
      <c r="B1073" s="1" t="e" cm="1">
        <f t="array" aca="1" ref="B1073" ca="1">INDIRECT(_xlfn.CONCAT("$J", $F1073))</f>
        <v>#REF!</v>
      </c>
      <c r="C1073" s="1" t="e" cm="1">
        <f t="array" aca="1" ref="C1073" ca="1">INDIRECT(_xlfn.CONCAT("$K", $F1073))</f>
        <v>#REF!</v>
      </c>
      <c r="D1073" s="1"/>
      <c r="E1073" s="1" t="e" cm="1">
        <f t="array" aca="1" ref="E1073" ca="1">INDIRECT(_xlfn.CONCAT("$L", $F1073))</f>
        <v>#REF!</v>
      </c>
      <c r="F1073" s="1"/>
    </row>
    <row r="1074" spans="1:12">
      <c r="A1074" s="1" t="e" cm="1">
        <f t="array" aca="1" ref="A1074" ca="1">INDIRECT(_xlfn.CONCAT("$I", $F1074))</f>
        <v>#REF!</v>
      </c>
      <c r="B1074" s="1" t="e" cm="1">
        <f t="array" aca="1" ref="B1074" ca="1">INDIRECT(_xlfn.CONCAT("$J", $F1074))</f>
        <v>#REF!</v>
      </c>
      <c r="C1074" s="1" t="e" cm="1">
        <f t="array" aca="1" ref="C1074" ca="1">INDIRECT(_xlfn.CONCAT("$K", $F1074))</f>
        <v>#REF!</v>
      </c>
      <c r="D1074" s="1"/>
      <c r="E1074" s="1" t="e" cm="1">
        <f t="array" aca="1" ref="E1074" ca="1">INDIRECT(_xlfn.CONCAT("$L", $F1074))</f>
        <v>#REF!</v>
      </c>
      <c r="F1074" s="1"/>
      <c r="I1074" s="8" t="s">
        <v>706</v>
      </c>
      <c r="J1074" s="8">
        <v>12</v>
      </c>
      <c r="K1074" s="9">
        <v>42608</v>
      </c>
      <c r="L1074" s="8" t="s">
        <v>174</v>
      </c>
    </row>
    <row r="1075" spans="1:12">
      <c r="A1075" s="1" t="e" cm="1">
        <f t="array" aca="1" ref="A1075" ca="1">INDIRECT(_xlfn.CONCAT("$I", $F1075))</f>
        <v>#REF!</v>
      </c>
      <c r="B1075" s="1" t="e" cm="1">
        <f t="array" aca="1" ref="B1075" ca="1">INDIRECT(_xlfn.CONCAT("$J", $F1075))</f>
        <v>#REF!</v>
      </c>
      <c r="C1075" s="1" t="e" cm="1">
        <f t="array" aca="1" ref="C1075" ca="1">INDIRECT(_xlfn.CONCAT("$K", $F1075))</f>
        <v>#REF!</v>
      </c>
      <c r="D1075" s="1"/>
      <c r="E1075" s="1" t="e" cm="1">
        <f t="array" aca="1" ref="E1075" ca="1">INDIRECT(_xlfn.CONCAT("$L", $F1075))</f>
        <v>#REF!</v>
      </c>
      <c r="F1075" s="1"/>
    </row>
    <row r="1076" spans="1:12">
      <c r="A1076" s="1" t="e" cm="1">
        <f t="array" aca="1" ref="A1076" ca="1">INDIRECT(_xlfn.CONCAT("$I", $F1076))</f>
        <v>#REF!</v>
      </c>
      <c r="B1076" s="1" t="e" cm="1">
        <f t="array" aca="1" ref="B1076" ca="1">INDIRECT(_xlfn.CONCAT("$J", $F1076))</f>
        <v>#REF!</v>
      </c>
      <c r="C1076" s="1" t="e" cm="1">
        <f t="array" aca="1" ref="C1076" ca="1">INDIRECT(_xlfn.CONCAT("$K", $F1076))</f>
        <v>#REF!</v>
      </c>
      <c r="D1076" s="1"/>
      <c r="E1076" s="1" t="e" cm="1">
        <f t="array" aca="1" ref="E1076" ca="1">INDIRECT(_xlfn.CONCAT("$L", $F1076))</f>
        <v>#REF!</v>
      </c>
      <c r="F1076" s="1"/>
      <c r="I1076" s="8" t="s">
        <v>707</v>
      </c>
      <c r="J1076" s="8">
        <v>16</v>
      </c>
      <c r="K1076" s="9">
        <v>42601</v>
      </c>
      <c r="L1076" s="8" t="s">
        <v>174</v>
      </c>
    </row>
    <row r="1077" spans="1:12">
      <c r="A1077" s="1" t="e" cm="1">
        <f t="array" aca="1" ref="A1077" ca="1">INDIRECT(_xlfn.CONCAT("$I", $F1077))</f>
        <v>#REF!</v>
      </c>
      <c r="B1077" s="1" t="e" cm="1">
        <f t="array" aca="1" ref="B1077" ca="1">INDIRECT(_xlfn.CONCAT("$J", $F1077))</f>
        <v>#REF!</v>
      </c>
      <c r="C1077" s="1" t="e" cm="1">
        <f t="array" aca="1" ref="C1077" ca="1">INDIRECT(_xlfn.CONCAT("$K", $F1077))</f>
        <v>#REF!</v>
      </c>
      <c r="D1077" s="1"/>
      <c r="E1077" s="1" t="e" cm="1">
        <f t="array" aca="1" ref="E1077" ca="1">INDIRECT(_xlfn.CONCAT("$L", $F1077))</f>
        <v>#REF!</v>
      </c>
      <c r="F1077" s="1"/>
    </row>
    <row r="1078" spans="1:12">
      <c r="A1078" s="1" t="e" cm="1">
        <f t="array" aca="1" ref="A1078" ca="1">INDIRECT(_xlfn.CONCAT("$I", $F1078))</f>
        <v>#REF!</v>
      </c>
      <c r="B1078" s="1" t="e" cm="1">
        <f t="array" aca="1" ref="B1078" ca="1">INDIRECT(_xlfn.CONCAT("$J", $F1078))</f>
        <v>#REF!</v>
      </c>
      <c r="C1078" s="1" t="e" cm="1">
        <f t="array" aca="1" ref="C1078" ca="1">INDIRECT(_xlfn.CONCAT("$K", $F1078))</f>
        <v>#REF!</v>
      </c>
      <c r="D1078" s="1"/>
      <c r="E1078" s="1" t="e" cm="1">
        <f t="array" aca="1" ref="E1078" ca="1">INDIRECT(_xlfn.CONCAT("$L", $F1078))</f>
        <v>#REF!</v>
      </c>
      <c r="F1078" s="1"/>
      <c r="I1078" s="8" t="s">
        <v>708</v>
      </c>
      <c r="J1078" s="8">
        <v>208</v>
      </c>
      <c r="K1078" s="9">
        <v>42573</v>
      </c>
      <c r="L1078" t="s">
        <v>174</v>
      </c>
    </row>
    <row r="1079" spans="1:12">
      <c r="A1079" s="1" t="e" cm="1">
        <f t="array" aca="1" ref="A1079" ca="1">INDIRECT(_xlfn.CONCAT("$I", $F1079))</f>
        <v>#REF!</v>
      </c>
      <c r="B1079" s="1" t="e" cm="1">
        <f t="array" aca="1" ref="B1079" ca="1">INDIRECT(_xlfn.CONCAT("$J", $F1079))</f>
        <v>#REF!</v>
      </c>
      <c r="C1079" s="1" t="e" cm="1">
        <f t="array" aca="1" ref="C1079" ca="1">INDIRECT(_xlfn.CONCAT("$K", $F1079))</f>
        <v>#REF!</v>
      </c>
      <c r="D1079" s="1"/>
      <c r="E1079" s="1" t="e" cm="1">
        <f t="array" aca="1" ref="E1079" ca="1">INDIRECT(_xlfn.CONCAT("$L", $F1079))</f>
        <v>#REF!</v>
      </c>
      <c r="F1079" s="1"/>
    </row>
    <row r="1080" spans="1:12">
      <c r="A1080" s="1" t="e" cm="1">
        <f t="array" aca="1" ref="A1080" ca="1">INDIRECT(_xlfn.CONCAT("$I", $F1080))</f>
        <v>#REF!</v>
      </c>
      <c r="B1080" s="1" t="e" cm="1">
        <f t="array" aca="1" ref="B1080" ca="1">INDIRECT(_xlfn.CONCAT("$J", $F1080))</f>
        <v>#REF!</v>
      </c>
      <c r="C1080" s="1" t="e" cm="1">
        <f t="array" aca="1" ref="C1080" ca="1">INDIRECT(_xlfn.CONCAT("$K", $F1080))</f>
        <v>#REF!</v>
      </c>
      <c r="D1080" s="1"/>
      <c r="E1080" s="1" t="e" cm="1">
        <f t="array" aca="1" ref="E1080" ca="1">INDIRECT(_xlfn.CONCAT("$L", $F1080))</f>
        <v>#REF!</v>
      </c>
      <c r="F1080" s="1"/>
      <c r="I1080" s="8" t="s">
        <v>709</v>
      </c>
      <c r="J1080" s="8">
        <v>77</v>
      </c>
      <c r="K1080" s="9">
        <v>42573</v>
      </c>
      <c r="L1080" s="8" t="s">
        <v>174</v>
      </c>
    </row>
    <row r="1081" spans="1:12">
      <c r="A1081" s="1" t="e" cm="1">
        <f t="array" aca="1" ref="A1081" ca="1">INDIRECT(_xlfn.CONCAT("$I", $F1081))</f>
        <v>#REF!</v>
      </c>
      <c r="B1081" s="1" t="e" cm="1">
        <f t="array" aca="1" ref="B1081" ca="1">INDIRECT(_xlfn.CONCAT("$J", $F1081))</f>
        <v>#REF!</v>
      </c>
      <c r="C1081" s="1" t="e" cm="1">
        <f t="array" aca="1" ref="C1081" ca="1">INDIRECT(_xlfn.CONCAT("$K", $F1081))</f>
        <v>#REF!</v>
      </c>
      <c r="D1081" s="1"/>
      <c r="E1081" s="1" t="e" cm="1">
        <f t="array" aca="1" ref="E1081" ca="1">INDIRECT(_xlfn.CONCAT("$L", $F1081))</f>
        <v>#REF!</v>
      </c>
      <c r="F1081" s="1"/>
    </row>
    <row r="1082" spans="1:12">
      <c r="A1082" s="1" t="e" cm="1">
        <f t="array" aca="1" ref="A1082" ca="1">INDIRECT(_xlfn.CONCAT("$I", $F1082))</f>
        <v>#REF!</v>
      </c>
      <c r="B1082" s="1" t="e" cm="1">
        <f t="array" aca="1" ref="B1082" ca="1">INDIRECT(_xlfn.CONCAT("$J", $F1082))</f>
        <v>#REF!</v>
      </c>
      <c r="C1082" s="1" t="e" cm="1">
        <f t="array" aca="1" ref="C1082" ca="1">INDIRECT(_xlfn.CONCAT("$K", $F1082))</f>
        <v>#REF!</v>
      </c>
      <c r="D1082" s="1"/>
      <c r="E1082" s="1" t="e" cm="1">
        <f t="array" aca="1" ref="E1082" ca="1">INDIRECT(_xlfn.CONCAT("$L", $F1082))</f>
        <v>#REF!</v>
      </c>
      <c r="F1082" s="1"/>
      <c r="I1082" s="8" t="s">
        <v>710</v>
      </c>
      <c r="J1082" s="8">
        <v>11</v>
      </c>
      <c r="K1082" s="9">
        <v>42573</v>
      </c>
      <c r="L1082" s="8" t="s">
        <v>174</v>
      </c>
    </row>
    <row r="1083" spans="1:12">
      <c r="A1083" s="1" t="e" cm="1">
        <f t="array" aca="1" ref="A1083" ca="1">INDIRECT(_xlfn.CONCAT("$I", $F1083))</f>
        <v>#REF!</v>
      </c>
      <c r="B1083" s="1" t="e" cm="1">
        <f t="array" aca="1" ref="B1083" ca="1">INDIRECT(_xlfn.CONCAT("$J", $F1083))</f>
        <v>#REF!</v>
      </c>
      <c r="C1083" s="1" t="e" cm="1">
        <f t="array" aca="1" ref="C1083" ca="1">INDIRECT(_xlfn.CONCAT("$K", $F1083))</f>
        <v>#REF!</v>
      </c>
      <c r="D1083" s="1"/>
      <c r="E1083" s="1" t="e" cm="1">
        <f t="array" aca="1" ref="E1083" ca="1">INDIRECT(_xlfn.CONCAT("$L", $F1083))</f>
        <v>#REF!</v>
      </c>
      <c r="F1083" s="1"/>
    </row>
    <row r="1084" spans="1:12">
      <c r="A1084" s="1" t="e" cm="1">
        <f t="array" aca="1" ref="A1084" ca="1">INDIRECT(_xlfn.CONCAT("$I", $F1084))</f>
        <v>#REF!</v>
      </c>
      <c r="B1084" s="1" t="e" cm="1">
        <f t="array" aca="1" ref="B1084" ca="1">INDIRECT(_xlfn.CONCAT("$J", $F1084))</f>
        <v>#REF!</v>
      </c>
      <c r="C1084" s="1" t="e" cm="1">
        <f t="array" aca="1" ref="C1084" ca="1">INDIRECT(_xlfn.CONCAT("$K", $F1084))</f>
        <v>#REF!</v>
      </c>
      <c r="D1084" s="1"/>
      <c r="E1084" s="1" t="e" cm="1">
        <f t="array" aca="1" ref="E1084" ca="1">INDIRECT(_xlfn.CONCAT("$L", $F1084))</f>
        <v>#REF!</v>
      </c>
      <c r="F1084" s="1"/>
      <c r="I1084" s="8" t="s">
        <v>711</v>
      </c>
      <c r="J1084" s="8">
        <v>249</v>
      </c>
      <c r="K1084" s="9">
        <v>42531</v>
      </c>
      <c r="L1084" t="s">
        <v>174</v>
      </c>
    </row>
    <row r="1085" spans="1:12">
      <c r="A1085" s="1" t="e" cm="1">
        <f t="array" aca="1" ref="A1085" ca="1">INDIRECT(_xlfn.CONCAT("$I", $F1085))</f>
        <v>#REF!</v>
      </c>
      <c r="B1085" s="1" t="e" cm="1">
        <f t="array" aca="1" ref="B1085" ca="1">INDIRECT(_xlfn.CONCAT("$J", $F1085))</f>
        <v>#REF!</v>
      </c>
      <c r="C1085" s="1" t="e" cm="1">
        <f t="array" aca="1" ref="C1085" ca="1">INDIRECT(_xlfn.CONCAT("$K", $F1085))</f>
        <v>#REF!</v>
      </c>
      <c r="D1085" s="1"/>
      <c r="E1085" s="1" t="e" cm="1">
        <f t="array" aca="1" ref="E1085" ca="1">INDIRECT(_xlfn.CONCAT("$L", $F1085))</f>
        <v>#REF!</v>
      </c>
      <c r="F1085" s="1"/>
    </row>
    <row r="1086" spans="1:12">
      <c r="A1086" s="1" t="e" cm="1">
        <f t="array" aca="1" ref="A1086" ca="1">INDIRECT(_xlfn.CONCAT("$I", $F1086))</f>
        <v>#REF!</v>
      </c>
      <c r="B1086" s="1" t="e" cm="1">
        <f t="array" aca="1" ref="B1086" ca="1">INDIRECT(_xlfn.CONCAT("$J", $F1086))</f>
        <v>#REF!</v>
      </c>
      <c r="C1086" s="1" t="e" cm="1">
        <f t="array" aca="1" ref="C1086" ca="1">INDIRECT(_xlfn.CONCAT("$K", $F1086))</f>
        <v>#REF!</v>
      </c>
      <c r="D1086" s="1"/>
      <c r="E1086" s="1" t="e" cm="1">
        <f t="array" aca="1" ref="E1086" ca="1">INDIRECT(_xlfn.CONCAT("$L", $F1086))</f>
        <v>#REF!</v>
      </c>
      <c r="F1086" s="1"/>
      <c r="I1086" s="8" t="s">
        <v>712</v>
      </c>
      <c r="J1086" s="8">
        <v>16</v>
      </c>
      <c r="K1086" s="9">
        <v>42531</v>
      </c>
      <c r="L1086" s="8" t="s">
        <v>174</v>
      </c>
    </row>
    <row r="1087" spans="1:12">
      <c r="A1087" s="1" t="e" cm="1">
        <f t="array" aca="1" ref="A1087" ca="1">INDIRECT(_xlfn.CONCAT("$I", $F1087))</f>
        <v>#REF!</v>
      </c>
      <c r="B1087" s="1" t="e" cm="1">
        <f t="array" aca="1" ref="B1087" ca="1">INDIRECT(_xlfn.CONCAT("$J", $F1087))</f>
        <v>#REF!</v>
      </c>
      <c r="C1087" s="1" t="e" cm="1">
        <f t="array" aca="1" ref="C1087" ca="1">INDIRECT(_xlfn.CONCAT("$K", $F1087))</f>
        <v>#REF!</v>
      </c>
      <c r="D1087" s="1"/>
      <c r="E1087" s="1" t="e" cm="1">
        <f t="array" aca="1" ref="E1087" ca="1">INDIRECT(_xlfn.CONCAT("$L", $F1087))</f>
        <v>#REF!</v>
      </c>
      <c r="F1087" s="1"/>
    </row>
    <row r="1088" spans="1:12">
      <c r="A1088" s="1" t="e" cm="1">
        <f t="array" aca="1" ref="A1088" ca="1">INDIRECT(_xlfn.CONCAT("$I", $F1088))</f>
        <v>#REF!</v>
      </c>
      <c r="B1088" s="1" t="e" cm="1">
        <f t="array" aca="1" ref="B1088" ca="1">INDIRECT(_xlfn.CONCAT("$J", $F1088))</f>
        <v>#REF!</v>
      </c>
      <c r="C1088" s="1" t="e" cm="1">
        <f t="array" aca="1" ref="C1088" ca="1">INDIRECT(_xlfn.CONCAT("$K", $F1088))</f>
        <v>#REF!</v>
      </c>
      <c r="D1088" s="1"/>
      <c r="E1088" s="1" t="e" cm="1">
        <f t="array" aca="1" ref="E1088" ca="1">INDIRECT(_xlfn.CONCAT("$L", $F1088))</f>
        <v>#REF!</v>
      </c>
      <c r="F1088" s="1"/>
      <c r="I1088" s="8" t="s">
        <v>713</v>
      </c>
      <c r="J1088" s="8">
        <v>302</v>
      </c>
      <c r="K1088" s="9">
        <v>42468</v>
      </c>
      <c r="L1088" t="s">
        <v>174</v>
      </c>
    </row>
    <row r="1089" spans="1:12">
      <c r="A1089" s="1" t="e" cm="1">
        <f t="array" aca="1" ref="A1089" ca="1">INDIRECT(_xlfn.CONCAT("$I", $F1089))</f>
        <v>#REF!</v>
      </c>
      <c r="B1089" s="1" t="e" cm="1">
        <f t="array" aca="1" ref="B1089" ca="1">INDIRECT(_xlfn.CONCAT("$J", $F1089))</f>
        <v>#REF!</v>
      </c>
      <c r="C1089" s="1" t="e" cm="1">
        <f t="array" aca="1" ref="C1089" ca="1">INDIRECT(_xlfn.CONCAT("$K", $F1089))</f>
        <v>#REF!</v>
      </c>
      <c r="D1089" s="1"/>
      <c r="E1089" s="1" t="e" cm="1">
        <f t="array" aca="1" ref="E1089" ca="1">INDIRECT(_xlfn.CONCAT("$L", $F1089))</f>
        <v>#REF!</v>
      </c>
      <c r="F1089" s="1"/>
    </row>
    <row r="1090" spans="1:12">
      <c r="A1090" s="1" t="e" cm="1">
        <f t="array" aca="1" ref="A1090" ca="1">INDIRECT(_xlfn.CONCAT("$I", $F1090))</f>
        <v>#REF!</v>
      </c>
      <c r="B1090" s="1" t="e" cm="1">
        <f t="array" aca="1" ref="B1090" ca="1">INDIRECT(_xlfn.CONCAT("$J", $F1090))</f>
        <v>#REF!</v>
      </c>
      <c r="C1090" s="1" t="e" cm="1">
        <f t="array" aca="1" ref="C1090" ca="1">INDIRECT(_xlfn.CONCAT("$K", $F1090))</f>
        <v>#REF!</v>
      </c>
      <c r="D1090" s="1"/>
      <c r="E1090" s="1" t="e" cm="1">
        <f t="array" aca="1" ref="E1090" ca="1">INDIRECT(_xlfn.CONCAT("$L", $F1090))</f>
        <v>#REF!</v>
      </c>
      <c r="F1090" s="1"/>
      <c r="I1090" s="8" t="s">
        <v>714</v>
      </c>
      <c r="J1090" s="8">
        <v>90</v>
      </c>
      <c r="K1090" s="9">
        <v>42468</v>
      </c>
      <c r="L1090" s="8" t="s">
        <v>174</v>
      </c>
    </row>
    <row r="1091" spans="1:12">
      <c r="A1091" s="1" t="e" cm="1">
        <f t="array" aca="1" ref="A1091" ca="1">INDIRECT(_xlfn.CONCAT("$I", $F1091))</f>
        <v>#REF!</v>
      </c>
      <c r="B1091" s="1" t="e" cm="1">
        <f t="array" aca="1" ref="B1091" ca="1">INDIRECT(_xlfn.CONCAT("$J", $F1091))</f>
        <v>#REF!</v>
      </c>
      <c r="C1091" s="1" t="e" cm="1">
        <f t="array" aca="1" ref="C1091" ca="1">INDIRECT(_xlfn.CONCAT("$K", $F1091))</f>
        <v>#REF!</v>
      </c>
      <c r="D1091" s="1"/>
      <c r="E1091" s="1" t="e" cm="1">
        <f t="array" aca="1" ref="E1091" ca="1">INDIRECT(_xlfn.CONCAT("$L", $F1091))</f>
        <v>#REF!</v>
      </c>
      <c r="F1091" s="1"/>
    </row>
    <row r="1092" spans="1:12">
      <c r="A1092" s="1" t="e" cm="1">
        <f t="array" aca="1" ref="A1092" ca="1">INDIRECT(_xlfn.CONCAT("$I", $F1092))</f>
        <v>#REF!</v>
      </c>
      <c r="B1092" s="1" t="e" cm="1">
        <f t="array" aca="1" ref="B1092" ca="1">INDIRECT(_xlfn.CONCAT("$J", $F1092))</f>
        <v>#REF!</v>
      </c>
      <c r="C1092" s="1" t="e" cm="1">
        <f t="array" aca="1" ref="C1092" ca="1">INDIRECT(_xlfn.CONCAT("$K", $F1092))</f>
        <v>#REF!</v>
      </c>
      <c r="D1092" s="1"/>
      <c r="E1092" s="1" t="e" cm="1">
        <f t="array" aca="1" ref="E1092" ca="1">INDIRECT(_xlfn.CONCAT("$L", $F1092))</f>
        <v>#REF!</v>
      </c>
      <c r="F1092" s="1"/>
      <c r="I1092" s="8" t="s">
        <v>715</v>
      </c>
      <c r="J1092" s="8">
        <v>20</v>
      </c>
      <c r="K1092" s="9">
        <v>42468</v>
      </c>
      <c r="L1092" s="8" t="s">
        <v>174</v>
      </c>
    </row>
    <row r="1093" spans="1:12">
      <c r="A1093" s="1" t="e" cm="1">
        <f t="array" aca="1" ref="A1093" ca="1">INDIRECT(_xlfn.CONCAT("$I", $F1093))</f>
        <v>#REF!</v>
      </c>
      <c r="B1093" s="1" t="e" cm="1">
        <f t="array" aca="1" ref="B1093" ca="1">INDIRECT(_xlfn.CONCAT("$J", $F1093))</f>
        <v>#REF!</v>
      </c>
      <c r="C1093" s="1" t="e" cm="1">
        <f t="array" aca="1" ref="C1093" ca="1">INDIRECT(_xlfn.CONCAT("$K", $F1093))</f>
        <v>#REF!</v>
      </c>
      <c r="D1093" s="1"/>
      <c r="E1093" s="1" t="e" cm="1">
        <f t="array" aca="1" ref="E1093" ca="1">INDIRECT(_xlfn.CONCAT("$L", $F1093))</f>
        <v>#REF!</v>
      </c>
      <c r="F1093" s="1"/>
    </row>
    <row r="1094" spans="1:12">
      <c r="A1094" s="1" t="e" cm="1">
        <f t="array" aca="1" ref="A1094" ca="1">INDIRECT(_xlfn.CONCAT("$I", $F1094))</f>
        <v>#REF!</v>
      </c>
      <c r="B1094" s="1" t="e" cm="1">
        <f t="array" aca="1" ref="B1094" ca="1">INDIRECT(_xlfn.CONCAT("$J", $F1094))</f>
        <v>#REF!</v>
      </c>
      <c r="C1094" s="1" t="e" cm="1">
        <f t="array" aca="1" ref="C1094" ca="1">INDIRECT(_xlfn.CONCAT("$K", $F1094))</f>
        <v>#REF!</v>
      </c>
      <c r="D1094" s="1"/>
      <c r="E1094" s="1" t="e" cm="1">
        <f t="array" aca="1" ref="E1094" ca="1">INDIRECT(_xlfn.CONCAT("$L", $F1094))</f>
        <v>#REF!</v>
      </c>
      <c r="F1094" s="1"/>
      <c r="I1094" s="8" t="s">
        <v>716</v>
      </c>
      <c r="J1094" s="8">
        <v>16</v>
      </c>
      <c r="K1094" s="9">
        <v>42468</v>
      </c>
      <c r="L1094" t="s">
        <v>174</v>
      </c>
    </row>
    <row r="1095" spans="1:12">
      <c r="A1095" s="1" t="e" cm="1">
        <f t="array" aca="1" ref="A1095" ca="1">INDIRECT(_xlfn.CONCAT("$I", $F1095))</f>
        <v>#REF!</v>
      </c>
      <c r="B1095" s="1" t="e" cm="1">
        <f t="array" aca="1" ref="B1095" ca="1">INDIRECT(_xlfn.CONCAT("$J", $F1095))</f>
        <v>#REF!</v>
      </c>
      <c r="C1095" s="1" t="e" cm="1">
        <f t="array" aca="1" ref="C1095" ca="1">INDIRECT(_xlfn.CONCAT("$K", $F1095))</f>
        <v>#REF!</v>
      </c>
      <c r="D1095" s="1"/>
      <c r="E1095" s="1" t="e" cm="1">
        <f t="array" aca="1" ref="E1095" ca="1">INDIRECT(_xlfn.CONCAT("$L", $F1095))</f>
        <v>#REF!</v>
      </c>
      <c r="F1095" s="1"/>
    </row>
    <row r="1096" spans="1:12">
      <c r="A1096" s="1" t="e" cm="1">
        <f t="array" aca="1" ref="A1096" ca="1">INDIRECT(_xlfn.CONCAT("$I", $F1096))</f>
        <v>#REF!</v>
      </c>
      <c r="B1096" s="1" t="e" cm="1">
        <f t="array" aca="1" ref="B1096" ca="1">INDIRECT(_xlfn.CONCAT("$J", $F1096))</f>
        <v>#REF!</v>
      </c>
      <c r="C1096" s="1" t="e" cm="1">
        <f t="array" aca="1" ref="C1096" ca="1">INDIRECT(_xlfn.CONCAT("$K", $F1096))</f>
        <v>#REF!</v>
      </c>
      <c r="D1096" s="1"/>
      <c r="E1096" s="1" t="e" cm="1">
        <f t="array" aca="1" ref="E1096" ca="1">INDIRECT(_xlfn.CONCAT("$L", $F1096))</f>
        <v>#REF!</v>
      </c>
      <c r="F1096" s="1"/>
      <c r="I1096" s="8" t="s">
        <v>717</v>
      </c>
      <c r="J1096" s="8">
        <v>80</v>
      </c>
      <c r="K1096" s="9">
        <v>42426</v>
      </c>
      <c r="L1096" t="s">
        <v>174</v>
      </c>
    </row>
    <row r="1097" spans="1:12">
      <c r="A1097" s="1" t="e" cm="1">
        <f t="array" aca="1" ref="A1097" ca="1">INDIRECT(_xlfn.CONCAT("$I", $F1097))</f>
        <v>#REF!</v>
      </c>
      <c r="B1097" s="1" t="e" cm="1">
        <f t="array" aca="1" ref="B1097" ca="1">INDIRECT(_xlfn.CONCAT("$J", $F1097))</f>
        <v>#REF!</v>
      </c>
      <c r="C1097" s="1" t="e" cm="1">
        <f t="array" aca="1" ref="C1097" ca="1">INDIRECT(_xlfn.CONCAT("$K", $F1097))</f>
        <v>#REF!</v>
      </c>
      <c r="D1097" s="1"/>
      <c r="E1097" s="1" t="e" cm="1">
        <f t="array" aca="1" ref="E1097" ca="1">INDIRECT(_xlfn.CONCAT("$L", $F1097))</f>
        <v>#REF!</v>
      </c>
      <c r="F1097" s="1"/>
    </row>
    <row r="1098" spans="1:12">
      <c r="A1098" s="1" t="e" cm="1">
        <f t="array" aca="1" ref="A1098" ca="1">INDIRECT(_xlfn.CONCAT("$I", $F1098))</f>
        <v>#REF!</v>
      </c>
      <c r="B1098" s="1" t="e" cm="1">
        <f t="array" aca="1" ref="B1098" ca="1">INDIRECT(_xlfn.CONCAT("$J", $F1098))</f>
        <v>#REF!</v>
      </c>
      <c r="C1098" s="1" t="e" cm="1">
        <f t="array" aca="1" ref="C1098" ca="1">INDIRECT(_xlfn.CONCAT("$K", $F1098))</f>
        <v>#REF!</v>
      </c>
      <c r="D1098" s="1"/>
      <c r="E1098" s="1" t="e" cm="1">
        <f t="array" aca="1" ref="E1098" ca="1">INDIRECT(_xlfn.CONCAT("$L", $F1098))</f>
        <v>#REF!</v>
      </c>
      <c r="F1098" s="1"/>
      <c r="I1098" s="8" t="s">
        <v>1168</v>
      </c>
      <c r="J1098" s="8">
        <v>187</v>
      </c>
      <c r="K1098" s="9">
        <v>42391</v>
      </c>
      <c r="L1098" t="s">
        <v>174</v>
      </c>
    </row>
    <row r="1099" spans="1:12">
      <c r="A1099" s="1" t="e" cm="1">
        <f t="array" aca="1" ref="A1099" ca="1">INDIRECT(_xlfn.CONCAT("$I", $F1099))</f>
        <v>#REF!</v>
      </c>
      <c r="B1099" s="1" t="e" cm="1">
        <f t="array" aca="1" ref="B1099" ca="1">INDIRECT(_xlfn.CONCAT("$J", $F1099))</f>
        <v>#REF!</v>
      </c>
      <c r="C1099" s="1" t="e" cm="1">
        <f t="array" aca="1" ref="C1099" ca="1">INDIRECT(_xlfn.CONCAT("$K", $F1099))</f>
        <v>#REF!</v>
      </c>
      <c r="D1099" s="1"/>
      <c r="E1099" s="1" t="e" cm="1">
        <f t="array" aca="1" ref="E1099" ca="1">INDIRECT(_xlfn.CONCAT("$L", $F1099))</f>
        <v>#REF!</v>
      </c>
      <c r="F1099" s="1"/>
    </row>
    <row r="1100" spans="1:12">
      <c r="A1100" s="1" t="e" cm="1">
        <f t="array" aca="1" ref="A1100" ca="1">INDIRECT(_xlfn.CONCAT("$I", $F1100))</f>
        <v>#REF!</v>
      </c>
      <c r="B1100" s="1" t="e" cm="1">
        <f t="array" aca="1" ref="B1100" ca="1">INDIRECT(_xlfn.CONCAT("$J", $F1100))</f>
        <v>#REF!</v>
      </c>
      <c r="C1100" s="1" t="e" cm="1">
        <f t="array" aca="1" ref="C1100" ca="1">INDIRECT(_xlfn.CONCAT("$K", $F1100))</f>
        <v>#REF!</v>
      </c>
      <c r="D1100" s="1"/>
      <c r="E1100" s="1" t="e" cm="1">
        <f t="array" aca="1" ref="E1100" ca="1">INDIRECT(_xlfn.CONCAT("$L", $F1100))</f>
        <v>#REF!</v>
      </c>
      <c r="F1100" s="1"/>
      <c r="I1100" s="8" t="s">
        <v>718</v>
      </c>
      <c r="J1100" s="8">
        <v>65</v>
      </c>
      <c r="K1100" s="9">
        <v>42391</v>
      </c>
      <c r="L1100" s="8" t="s">
        <v>174</v>
      </c>
    </row>
    <row r="1101" spans="1:12">
      <c r="A1101" s="1" t="e" cm="1">
        <f t="array" aca="1" ref="A1101" ca="1">INDIRECT(_xlfn.CONCAT("$I", $F1101))</f>
        <v>#REF!</v>
      </c>
      <c r="B1101" s="1" t="e" cm="1">
        <f t="array" aca="1" ref="B1101" ca="1">INDIRECT(_xlfn.CONCAT("$J", $F1101))</f>
        <v>#REF!</v>
      </c>
      <c r="C1101" s="1" t="e" cm="1">
        <f t="array" aca="1" ref="C1101" ca="1">INDIRECT(_xlfn.CONCAT("$K", $F1101))</f>
        <v>#REF!</v>
      </c>
      <c r="D1101" s="1"/>
      <c r="E1101" s="1" t="e" cm="1">
        <f t="array" aca="1" ref="E1101" ca="1">INDIRECT(_xlfn.CONCAT("$L", $F1101))</f>
        <v>#REF!</v>
      </c>
      <c r="F1101" s="1"/>
    </row>
    <row r="1102" spans="1:12">
      <c r="A1102" s="1" t="e" cm="1">
        <f t="array" aca="1" ref="A1102" ca="1">INDIRECT(_xlfn.CONCAT("$I", $F1102))</f>
        <v>#REF!</v>
      </c>
      <c r="B1102" s="1" t="e" cm="1">
        <f t="array" aca="1" ref="B1102" ca="1">INDIRECT(_xlfn.CONCAT("$J", $F1102))</f>
        <v>#REF!</v>
      </c>
      <c r="C1102" s="1" t="e" cm="1">
        <f t="array" aca="1" ref="C1102" ca="1">INDIRECT(_xlfn.CONCAT("$K", $F1102))</f>
        <v>#REF!</v>
      </c>
      <c r="D1102" s="1"/>
      <c r="E1102" s="1" t="e" cm="1">
        <f t="array" aca="1" ref="E1102" ca="1">INDIRECT(_xlfn.CONCAT("$L", $F1102))</f>
        <v>#REF!</v>
      </c>
      <c r="F1102" s="1"/>
      <c r="I1102" s="8" t="s">
        <v>719</v>
      </c>
      <c r="J1102" s="8">
        <v>11</v>
      </c>
      <c r="K1102" s="9">
        <v>42391</v>
      </c>
      <c r="L1102" s="8" t="s">
        <v>174</v>
      </c>
    </row>
    <row r="1103" spans="1:12">
      <c r="A1103" s="1" t="e" cm="1">
        <f t="array" aca="1" ref="A1103" ca="1">INDIRECT(_xlfn.CONCAT("$I", $F1103))</f>
        <v>#REF!</v>
      </c>
      <c r="B1103" s="1" t="e" cm="1">
        <f t="array" aca="1" ref="B1103" ca="1">INDIRECT(_xlfn.CONCAT("$J", $F1103))</f>
        <v>#REF!</v>
      </c>
      <c r="C1103" s="1" t="e" cm="1">
        <f t="array" aca="1" ref="C1103" ca="1">INDIRECT(_xlfn.CONCAT("$K", $F1103))</f>
        <v>#REF!</v>
      </c>
      <c r="D1103" s="1"/>
      <c r="E1103" s="1" t="e" cm="1">
        <f t="array" aca="1" ref="E1103" ca="1">INDIRECT(_xlfn.CONCAT("$L", $F1103))</f>
        <v>#REF!</v>
      </c>
      <c r="F1103" s="1"/>
    </row>
    <row r="1104" spans="1:12">
      <c r="A1104" s="1" t="e" cm="1">
        <f t="array" aca="1" ref="A1104" ca="1">INDIRECT(_xlfn.CONCAT("$I", $F1104))</f>
        <v>#REF!</v>
      </c>
      <c r="B1104" s="1" t="e" cm="1">
        <f t="array" aca="1" ref="B1104" ca="1">INDIRECT(_xlfn.CONCAT("$J", $F1104))</f>
        <v>#REF!</v>
      </c>
      <c r="C1104" s="1" t="e" cm="1">
        <f t="array" aca="1" ref="C1104" ca="1">INDIRECT(_xlfn.CONCAT("$K", $F1104))</f>
        <v>#REF!</v>
      </c>
      <c r="D1104" s="1"/>
      <c r="E1104" s="1" t="e" cm="1">
        <f t="array" aca="1" ref="E1104" ca="1">INDIRECT(_xlfn.CONCAT("$L", $F1104))</f>
        <v>#REF!</v>
      </c>
      <c r="F1104" s="1"/>
      <c r="I1104" s="8" t="s">
        <v>720</v>
      </c>
      <c r="J1104" s="8">
        <v>1</v>
      </c>
      <c r="K1104" s="9">
        <v>42370</v>
      </c>
      <c r="L1104" s="8" t="s">
        <v>174</v>
      </c>
    </row>
    <row r="1105" spans="1:12">
      <c r="A1105" s="1" t="e" cm="1">
        <f t="array" aca="1" ref="A1105" ca="1">INDIRECT(_xlfn.CONCAT("$I", $F1105))</f>
        <v>#REF!</v>
      </c>
      <c r="B1105" s="1" t="e" cm="1">
        <f t="array" aca="1" ref="B1105" ca="1">INDIRECT(_xlfn.CONCAT("$J", $F1105))</f>
        <v>#REF!</v>
      </c>
      <c r="C1105" s="1" t="e" cm="1">
        <f t="array" aca="1" ref="C1105" ca="1">INDIRECT(_xlfn.CONCAT("$K", $F1105))</f>
        <v>#REF!</v>
      </c>
      <c r="D1105" s="1"/>
      <c r="E1105" s="1" t="e" cm="1">
        <f t="array" aca="1" ref="E1105" ca="1">INDIRECT(_xlfn.CONCAT("$L", $F1105))</f>
        <v>#REF!</v>
      </c>
      <c r="F1105" s="1"/>
    </row>
    <row r="1106" spans="1:12">
      <c r="A1106" s="1" t="e" cm="1">
        <f t="array" aca="1" ref="A1106" ca="1">INDIRECT(_xlfn.CONCAT("$I", $F1106))</f>
        <v>#REF!</v>
      </c>
      <c r="B1106" s="1" t="e" cm="1">
        <f t="array" aca="1" ref="B1106" ca="1">INDIRECT(_xlfn.CONCAT("$J", $F1106))</f>
        <v>#REF!</v>
      </c>
      <c r="C1106" s="1" t="e" cm="1">
        <f t="array" aca="1" ref="C1106" ca="1">INDIRECT(_xlfn.CONCAT("$K", $F1106))</f>
        <v>#REF!</v>
      </c>
      <c r="D1106" s="1"/>
      <c r="E1106" s="1" t="e" cm="1">
        <f t="array" aca="1" ref="E1106" ca="1">INDIRECT(_xlfn.CONCAT("$L", $F1106))</f>
        <v>#REF!</v>
      </c>
      <c r="F1106" s="1"/>
      <c r="I1106" s="8" t="s">
        <v>721</v>
      </c>
      <c r="J1106" s="8">
        <v>8</v>
      </c>
      <c r="K1106" s="9">
        <v>42370</v>
      </c>
      <c r="L1106" s="8" t="s">
        <v>174</v>
      </c>
    </row>
    <row r="1107" spans="1:12">
      <c r="A1107" s="1" t="e" cm="1">
        <f t="array" aca="1" ref="A1107" ca="1">INDIRECT(_xlfn.CONCAT("$I", $F1107))</f>
        <v>#REF!</v>
      </c>
      <c r="B1107" s="1" t="e" cm="1">
        <f t="array" aca="1" ref="B1107" ca="1">INDIRECT(_xlfn.CONCAT("$J", $F1107))</f>
        <v>#REF!</v>
      </c>
      <c r="C1107" s="1" t="e" cm="1">
        <f t="array" aca="1" ref="C1107" ca="1">INDIRECT(_xlfn.CONCAT("$K", $F1107))</f>
        <v>#REF!</v>
      </c>
      <c r="D1107" s="1"/>
      <c r="E1107" s="1" t="e" cm="1">
        <f t="array" aca="1" ref="E1107" ca="1">INDIRECT(_xlfn.CONCAT("$L", $F1107))</f>
        <v>#REF!</v>
      </c>
      <c r="F1107" s="1"/>
    </row>
    <row r="1108" spans="1:12">
      <c r="A1108" s="1" t="e" cm="1">
        <f t="array" aca="1" ref="A1108" ca="1">INDIRECT(_xlfn.CONCAT("$I", $F1108))</f>
        <v>#REF!</v>
      </c>
      <c r="B1108" s="1" t="e" cm="1">
        <f t="array" aca="1" ref="B1108" ca="1">INDIRECT(_xlfn.CONCAT("$J", $F1108))</f>
        <v>#REF!</v>
      </c>
      <c r="C1108" s="1" t="e" cm="1">
        <f t="array" aca="1" ref="C1108" ca="1">INDIRECT(_xlfn.CONCAT("$K", $F1108))</f>
        <v>#REF!</v>
      </c>
      <c r="D1108" s="1"/>
      <c r="E1108" s="1" t="e" cm="1">
        <f t="array" aca="1" ref="E1108" ca="1">INDIRECT(_xlfn.CONCAT("$L", $F1108))</f>
        <v>#REF!</v>
      </c>
      <c r="F1108" s="1"/>
      <c r="I1108" s="8" t="s">
        <v>722</v>
      </c>
      <c r="J1108" s="8">
        <v>12</v>
      </c>
      <c r="K1108" s="9">
        <v>42370</v>
      </c>
      <c r="L1108" s="8" t="s">
        <v>174</v>
      </c>
    </row>
    <row r="1109" spans="1:12">
      <c r="A1109" s="1" t="e" cm="1">
        <f t="array" aca="1" ref="A1109" ca="1">INDIRECT(_xlfn.CONCAT("$I", $F1109))</f>
        <v>#REF!</v>
      </c>
      <c r="B1109" s="1" t="e" cm="1">
        <f t="array" aca="1" ref="B1109" ca="1">INDIRECT(_xlfn.CONCAT("$J", $F1109))</f>
        <v>#REF!</v>
      </c>
      <c r="C1109" s="1" t="e" cm="1">
        <f t="array" aca="1" ref="C1109" ca="1">INDIRECT(_xlfn.CONCAT("$K", $F1109))</f>
        <v>#REF!</v>
      </c>
      <c r="D1109" s="1"/>
      <c r="E1109" s="1" t="e" cm="1">
        <f t="array" aca="1" ref="E1109" ca="1">INDIRECT(_xlfn.CONCAT("$L", $F1109))</f>
        <v>#REF!</v>
      </c>
      <c r="F1109" s="1"/>
    </row>
    <row r="1110" spans="1:12">
      <c r="A1110" s="1" t="e" cm="1">
        <f t="array" aca="1" ref="A1110" ca="1">INDIRECT(_xlfn.CONCAT("$I", $F1110))</f>
        <v>#REF!</v>
      </c>
      <c r="B1110" s="1" t="e" cm="1">
        <f t="array" aca="1" ref="B1110" ca="1">INDIRECT(_xlfn.CONCAT("$J", $F1110))</f>
        <v>#REF!</v>
      </c>
      <c r="C1110" s="1" t="e" cm="1">
        <f t="array" aca="1" ref="C1110" ca="1">INDIRECT(_xlfn.CONCAT("$K", $F1110))</f>
        <v>#REF!</v>
      </c>
      <c r="D1110" s="1"/>
      <c r="E1110" s="1" t="e" cm="1">
        <f t="array" aca="1" ref="E1110" ca="1">INDIRECT(_xlfn.CONCAT("$L", $F1110))</f>
        <v>#REF!</v>
      </c>
      <c r="F1110" s="1"/>
      <c r="I1110" s="8" t="s">
        <v>723</v>
      </c>
      <c r="J1110" s="8">
        <v>149</v>
      </c>
      <c r="K1110" s="9">
        <v>42326</v>
      </c>
      <c r="L1110" s="8" t="s">
        <v>174</v>
      </c>
    </row>
    <row r="1111" spans="1:12">
      <c r="A1111" s="1" t="e" cm="1">
        <f t="array" aca="1" ref="A1111" ca="1">INDIRECT(_xlfn.CONCAT("$I", $F1111))</f>
        <v>#REF!</v>
      </c>
      <c r="B1111" s="1" t="e" cm="1">
        <f t="array" aca="1" ref="B1111" ca="1">INDIRECT(_xlfn.CONCAT("$J", $F1111))</f>
        <v>#REF!</v>
      </c>
      <c r="C1111" s="1" t="e" cm="1">
        <f t="array" aca="1" ref="C1111" ca="1">INDIRECT(_xlfn.CONCAT("$K", $F1111))</f>
        <v>#REF!</v>
      </c>
      <c r="D1111" s="1"/>
      <c r="E1111" s="1" t="e" cm="1">
        <f t="array" aca="1" ref="E1111" ca="1">INDIRECT(_xlfn.CONCAT("$L", $F1111))</f>
        <v>#REF!</v>
      </c>
      <c r="F1111" s="1"/>
    </row>
    <row r="1112" spans="1:12">
      <c r="A1112" s="1" t="e" cm="1">
        <f t="array" aca="1" ref="A1112" ca="1">INDIRECT(_xlfn.CONCAT("$I", $F1112))</f>
        <v>#REF!</v>
      </c>
      <c r="B1112" s="1" t="e" cm="1">
        <f t="array" aca="1" ref="B1112" ca="1">INDIRECT(_xlfn.CONCAT("$J", $F1112))</f>
        <v>#REF!</v>
      </c>
      <c r="C1112" s="1" t="e" cm="1">
        <f t="array" aca="1" ref="C1112" ca="1">INDIRECT(_xlfn.CONCAT("$K", $F1112))</f>
        <v>#REF!</v>
      </c>
      <c r="D1112" s="1"/>
      <c r="E1112" s="1" t="e" cm="1">
        <f t="array" aca="1" ref="E1112" ca="1">INDIRECT(_xlfn.CONCAT("$L", $F1112))</f>
        <v>#REF!</v>
      </c>
      <c r="F1112" s="1"/>
      <c r="I1112" s="8" t="s">
        <v>724</v>
      </c>
      <c r="J1112" s="8">
        <v>342</v>
      </c>
      <c r="K1112" s="9">
        <v>42321</v>
      </c>
      <c r="L1112" t="s">
        <v>174</v>
      </c>
    </row>
    <row r="1113" spans="1:12">
      <c r="A1113" s="1" t="e" cm="1">
        <f t="array" aca="1" ref="A1113" ca="1">INDIRECT(_xlfn.CONCAT("$I", $F1113))</f>
        <v>#REF!</v>
      </c>
      <c r="B1113" s="1" t="e" cm="1">
        <f t="array" aca="1" ref="B1113" ca="1">INDIRECT(_xlfn.CONCAT("$J", $F1113))</f>
        <v>#REF!</v>
      </c>
      <c r="C1113" s="1" t="e" cm="1">
        <f t="array" aca="1" ref="C1113" ca="1">INDIRECT(_xlfn.CONCAT("$K", $F1113))</f>
        <v>#REF!</v>
      </c>
      <c r="D1113" s="1"/>
      <c r="E1113" s="1" t="e" cm="1">
        <f t="array" aca="1" ref="E1113" ca="1">INDIRECT(_xlfn.CONCAT("$L", $F1113))</f>
        <v>#REF!</v>
      </c>
      <c r="F1113" s="1"/>
    </row>
    <row r="1114" spans="1:12">
      <c r="A1114" s="1" t="e" cm="1">
        <f t="array" aca="1" ref="A1114" ca="1">INDIRECT(_xlfn.CONCAT("$I", $F1114))</f>
        <v>#REF!</v>
      </c>
      <c r="B1114" s="1" t="e" cm="1">
        <f t="array" aca="1" ref="B1114" ca="1">INDIRECT(_xlfn.CONCAT("$J", $F1114))</f>
        <v>#REF!</v>
      </c>
      <c r="C1114" s="1" t="e" cm="1">
        <f t="array" aca="1" ref="C1114" ca="1">INDIRECT(_xlfn.CONCAT("$K", $F1114))</f>
        <v>#REF!</v>
      </c>
      <c r="D1114" s="1"/>
      <c r="E1114" s="1" t="e" cm="1">
        <f t="array" aca="1" ref="E1114" ca="1">INDIRECT(_xlfn.CONCAT("$L", $F1114))</f>
        <v>#REF!</v>
      </c>
      <c r="F1114" s="1"/>
      <c r="I1114" s="8" t="s">
        <v>725</v>
      </c>
      <c r="J1114" s="8">
        <v>25</v>
      </c>
      <c r="K1114" s="9">
        <v>42321</v>
      </c>
      <c r="L1114" s="8" t="s">
        <v>174</v>
      </c>
    </row>
    <row r="1115" spans="1:12">
      <c r="A1115" s="1" t="e" cm="1">
        <f t="array" aca="1" ref="A1115" ca="1">INDIRECT(_xlfn.CONCAT("$I", $F1115))</f>
        <v>#REF!</v>
      </c>
      <c r="B1115" s="1" t="e" cm="1">
        <f t="array" aca="1" ref="B1115" ca="1">INDIRECT(_xlfn.CONCAT("$J", $F1115))</f>
        <v>#REF!</v>
      </c>
      <c r="C1115" s="1" t="e" cm="1">
        <f t="array" aca="1" ref="C1115" ca="1">INDIRECT(_xlfn.CONCAT("$K", $F1115))</f>
        <v>#REF!</v>
      </c>
      <c r="D1115" s="1"/>
      <c r="E1115" s="1" t="e" cm="1">
        <f t="array" aca="1" ref="E1115" ca="1">INDIRECT(_xlfn.CONCAT("$L", $F1115))</f>
        <v>#REF!</v>
      </c>
      <c r="F1115" s="1"/>
    </row>
    <row r="1116" spans="1:12">
      <c r="A1116" s="1" t="e" cm="1">
        <f t="array" aca="1" ref="A1116" ca="1">INDIRECT(_xlfn.CONCAT("$I", $F1116))</f>
        <v>#REF!</v>
      </c>
      <c r="B1116" s="1" t="e" cm="1">
        <f t="array" aca="1" ref="B1116" ca="1">INDIRECT(_xlfn.CONCAT("$J", $F1116))</f>
        <v>#REF!</v>
      </c>
      <c r="C1116" s="1" t="e" cm="1">
        <f t="array" aca="1" ref="C1116" ca="1">INDIRECT(_xlfn.CONCAT("$K", $F1116))</f>
        <v>#REF!</v>
      </c>
      <c r="D1116" s="1"/>
      <c r="E1116" s="1" t="e" cm="1">
        <f t="array" aca="1" ref="E1116" ca="1">INDIRECT(_xlfn.CONCAT("$L", $F1116))</f>
        <v>#REF!</v>
      </c>
      <c r="F1116" s="1"/>
      <c r="I1116" s="8" t="s">
        <v>726</v>
      </c>
      <c r="J1116" s="8">
        <v>5</v>
      </c>
      <c r="K1116" s="9">
        <v>42321</v>
      </c>
      <c r="L1116" s="8" t="s">
        <v>174</v>
      </c>
    </row>
    <row r="1117" spans="1:12">
      <c r="A1117" s="1" t="e" cm="1">
        <f t="array" aca="1" ref="A1117" ca="1">INDIRECT(_xlfn.CONCAT("$I", $F1117))</f>
        <v>#REF!</v>
      </c>
      <c r="B1117" s="1" t="e" cm="1">
        <f t="array" aca="1" ref="B1117" ca="1">INDIRECT(_xlfn.CONCAT("$J", $F1117))</f>
        <v>#REF!</v>
      </c>
      <c r="C1117" s="1" t="e" cm="1">
        <f t="array" aca="1" ref="C1117" ca="1">INDIRECT(_xlfn.CONCAT("$K", $F1117))</f>
        <v>#REF!</v>
      </c>
      <c r="D1117" s="1"/>
      <c r="E1117" s="1" t="e" cm="1">
        <f t="array" aca="1" ref="E1117" ca="1">INDIRECT(_xlfn.CONCAT("$L", $F1117))</f>
        <v>#REF!</v>
      </c>
      <c r="F1117" s="1"/>
    </row>
    <row r="1118" spans="1:12">
      <c r="A1118" s="1" t="e" cm="1">
        <f t="array" aca="1" ref="A1118" ca="1">INDIRECT(_xlfn.CONCAT("$I", $F1118))</f>
        <v>#REF!</v>
      </c>
      <c r="B1118" s="1" t="e" cm="1">
        <f t="array" aca="1" ref="B1118" ca="1">INDIRECT(_xlfn.CONCAT("$J", $F1118))</f>
        <v>#REF!</v>
      </c>
      <c r="C1118" s="1" t="e" cm="1">
        <f t="array" aca="1" ref="C1118" ca="1">INDIRECT(_xlfn.CONCAT("$K", $F1118))</f>
        <v>#REF!</v>
      </c>
      <c r="D1118" s="1"/>
      <c r="E1118" s="1" t="e" cm="1">
        <f t="array" aca="1" ref="E1118" ca="1">INDIRECT(_xlfn.CONCAT("$L", $F1118))</f>
        <v>#REF!</v>
      </c>
      <c r="F1118" s="1"/>
      <c r="I1118" s="8" t="s">
        <v>727</v>
      </c>
      <c r="J1118" s="8">
        <v>299</v>
      </c>
      <c r="K1118" s="9">
        <v>42279</v>
      </c>
      <c r="L1118" t="s">
        <v>174</v>
      </c>
    </row>
    <row r="1119" spans="1:12">
      <c r="A1119" s="1" t="e" cm="1">
        <f t="array" aca="1" ref="A1119" ca="1">INDIRECT(_xlfn.CONCAT("$I", $F1119))</f>
        <v>#REF!</v>
      </c>
      <c r="B1119" s="1" t="e" cm="1">
        <f t="array" aca="1" ref="B1119" ca="1">INDIRECT(_xlfn.CONCAT("$J", $F1119))</f>
        <v>#REF!</v>
      </c>
      <c r="C1119" s="1" t="e" cm="1">
        <f t="array" aca="1" ref="C1119" ca="1">INDIRECT(_xlfn.CONCAT("$K", $F1119))</f>
        <v>#REF!</v>
      </c>
      <c r="D1119" s="1"/>
      <c r="E1119" s="1" t="e" cm="1">
        <f t="array" aca="1" ref="E1119" ca="1">INDIRECT(_xlfn.CONCAT("$L", $F1119))</f>
        <v>#REF!</v>
      </c>
      <c r="F1119" s="1"/>
    </row>
    <row r="1120" spans="1:12">
      <c r="A1120" s="1" t="e" cm="1">
        <f t="array" aca="1" ref="A1120" ca="1">INDIRECT(_xlfn.CONCAT("$I", $F1120))</f>
        <v>#REF!</v>
      </c>
      <c r="B1120" s="1" t="e" cm="1">
        <f t="array" aca="1" ref="B1120" ca="1">INDIRECT(_xlfn.CONCAT("$J", $F1120))</f>
        <v>#REF!</v>
      </c>
      <c r="C1120" s="1" t="e" cm="1">
        <f t="array" aca="1" ref="C1120" ca="1">INDIRECT(_xlfn.CONCAT("$K", $F1120))</f>
        <v>#REF!</v>
      </c>
      <c r="D1120" s="1"/>
      <c r="E1120" s="1" t="e" cm="1">
        <f t="array" aca="1" ref="E1120" ca="1">INDIRECT(_xlfn.CONCAT("$L", $F1120))</f>
        <v>#REF!</v>
      </c>
      <c r="F1120" s="1"/>
      <c r="I1120" s="8" t="s">
        <v>728</v>
      </c>
      <c r="J1120" s="8">
        <v>45</v>
      </c>
      <c r="K1120" s="9">
        <v>42279</v>
      </c>
      <c r="L1120" s="8" t="s">
        <v>174</v>
      </c>
    </row>
    <row r="1121" spans="1:12">
      <c r="A1121" s="1" t="e" cm="1">
        <f t="array" aca="1" ref="A1121" ca="1">INDIRECT(_xlfn.CONCAT("$I", $F1121))</f>
        <v>#REF!</v>
      </c>
      <c r="B1121" s="1" t="e" cm="1">
        <f t="array" aca="1" ref="B1121" ca="1">INDIRECT(_xlfn.CONCAT("$J", $F1121))</f>
        <v>#REF!</v>
      </c>
      <c r="C1121" s="1" t="e" cm="1">
        <f t="array" aca="1" ref="C1121" ca="1">INDIRECT(_xlfn.CONCAT("$K", $F1121))</f>
        <v>#REF!</v>
      </c>
      <c r="D1121" s="1"/>
      <c r="E1121" s="1" t="e" cm="1">
        <f t="array" aca="1" ref="E1121" ca="1">INDIRECT(_xlfn.CONCAT("$L", $F1121))</f>
        <v>#REF!</v>
      </c>
      <c r="F1121" s="1"/>
    </row>
    <row r="1122" spans="1:12">
      <c r="A1122" s="1" t="e" cm="1">
        <f t="array" aca="1" ref="A1122" ca="1">INDIRECT(_xlfn.CONCAT("$I", $F1122))</f>
        <v>#REF!</v>
      </c>
      <c r="B1122" s="1" t="e" cm="1">
        <f t="array" aca="1" ref="B1122" ca="1">INDIRECT(_xlfn.CONCAT("$J", $F1122))</f>
        <v>#REF!</v>
      </c>
      <c r="C1122" s="1" t="e" cm="1">
        <f t="array" aca="1" ref="C1122" ca="1">INDIRECT(_xlfn.CONCAT("$K", $F1122))</f>
        <v>#REF!</v>
      </c>
      <c r="D1122" s="1"/>
      <c r="E1122" s="1" t="e" cm="1">
        <f t="array" aca="1" ref="E1122" ca="1">INDIRECT(_xlfn.CONCAT("$L", $F1122))</f>
        <v>#REF!</v>
      </c>
      <c r="F1122" s="1"/>
      <c r="I1122" s="8" t="s">
        <v>729</v>
      </c>
      <c r="J1122" s="8">
        <v>90</v>
      </c>
      <c r="K1122" s="9">
        <v>42279</v>
      </c>
      <c r="L1122" s="8" t="s">
        <v>174</v>
      </c>
    </row>
    <row r="1123" spans="1:12">
      <c r="A1123" s="1" t="e" cm="1">
        <f t="array" aca="1" ref="A1123" ca="1">INDIRECT(_xlfn.CONCAT("$I", $F1123))</f>
        <v>#REF!</v>
      </c>
      <c r="B1123" s="1" t="e" cm="1">
        <f t="array" aca="1" ref="B1123" ca="1">INDIRECT(_xlfn.CONCAT("$J", $F1123))</f>
        <v>#REF!</v>
      </c>
      <c r="C1123" s="1" t="e" cm="1">
        <f t="array" aca="1" ref="C1123" ca="1">INDIRECT(_xlfn.CONCAT("$K", $F1123))</f>
        <v>#REF!</v>
      </c>
      <c r="D1123" s="1"/>
      <c r="E1123" s="1" t="e" cm="1">
        <f t="array" aca="1" ref="E1123" ca="1">INDIRECT(_xlfn.CONCAT("$L", $F1123))</f>
        <v>#REF!</v>
      </c>
      <c r="F1123" s="1"/>
    </row>
    <row r="1124" spans="1:12">
      <c r="A1124" s="1" t="e" cm="1">
        <f t="array" aca="1" ref="A1124" ca="1">INDIRECT(_xlfn.CONCAT("$I", $F1124))</f>
        <v>#REF!</v>
      </c>
      <c r="B1124" s="1" t="e" cm="1">
        <f t="array" aca="1" ref="B1124" ca="1">INDIRECT(_xlfn.CONCAT("$J", $F1124))</f>
        <v>#REF!</v>
      </c>
      <c r="C1124" s="1" t="e" cm="1">
        <f t="array" aca="1" ref="C1124" ca="1">INDIRECT(_xlfn.CONCAT("$K", $F1124))</f>
        <v>#REF!</v>
      </c>
      <c r="D1124" s="1"/>
      <c r="E1124" s="1" t="e" cm="1">
        <f t="array" aca="1" ref="E1124" ca="1">INDIRECT(_xlfn.CONCAT("$L", $F1124))</f>
        <v>#REF!</v>
      </c>
      <c r="F1124" s="1"/>
      <c r="I1124" s="8" t="s">
        <v>730</v>
      </c>
      <c r="J1124" s="8">
        <v>14</v>
      </c>
      <c r="K1124" s="9">
        <v>42279</v>
      </c>
      <c r="L1124" s="8" t="s">
        <v>174</v>
      </c>
    </row>
    <row r="1125" spans="1:12">
      <c r="A1125" s="1" t="e" cm="1">
        <f t="array" aca="1" ref="A1125" ca="1">INDIRECT(_xlfn.CONCAT("$I", $F1125))</f>
        <v>#REF!</v>
      </c>
      <c r="B1125" s="1" t="e" cm="1">
        <f t="array" aca="1" ref="B1125" ca="1">INDIRECT(_xlfn.CONCAT("$J", $F1125))</f>
        <v>#REF!</v>
      </c>
      <c r="C1125" s="1" t="e" cm="1">
        <f t="array" aca="1" ref="C1125" ca="1">INDIRECT(_xlfn.CONCAT("$K", $F1125))</f>
        <v>#REF!</v>
      </c>
      <c r="D1125" s="1"/>
      <c r="E1125" s="1" t="e" cm="1">
        <f t="array" aca="1" ref="E1125" ca="1">INDIRECT(_xlfn.CONCAT("$L", $F1125))</f>
        <v>#REF!</v>
      </c>
      <c r="F1125" s="1"/>
    </row>
    <row r="1126" spans="1:12">
      <c r="A1126" s="1" t="e" cm="1">
        <f t="array" aca="1" ref="A1126" ca="1">INDIRECT(_xlfn.CONCAT("$I", $F1126))</f>
        <v>#REF!</v>
      </c>
      <c r="B1126" s="1" t="e" cm="1">
        <f t="array" aca="1" ref="B1126" ca="1">INDIRECT(_xlfn.CONCAT("$J", $F1126))</f>
        <v>#REF!</v>
      </c>
      <c r="C1126" s="1" t="e" cm="1">
        <f t="array" aca="1" ref="C1126" ca="1">INDIRECT(_xlfn.CONCAT("$K", $F1126))</f>
        <v>#REF!</v>
      </c>
      <c r="D1126" s="1"/>
      <c r="E1126" s="1" t="e" cm="1">
        <f t="array" aca="1" ref="E1126" ca="1">INDIRECT(_xlfn.CONCAT("$L", $F1126))</f>
        <v>#REF!</v>
      </c>
      <c r="F1126" s="1"/>
      <c r="I1126" s="8" t="s">
        <v>731</v>
      </c>
      <c r="J1126" s="8">
        <v>5</v>
      </c>
      <c r="K1126" s="9">
        <v>42279</v>
      </c>
      <c r="L1126" s="8" t="s">
        <v>174</v>
      </c>
    </row>
    <row r="1127" spans="1:12">
      <c r="A1127" s="1" t="e" cm="1">
        <f t="array" aca="1" ref="A1127" ca="1">INDIRECT(_xlfn.CONCAT("$I", $F1127))</f>
        <v>#REF!</v>
      </c>
      <c r="B1127" s="1" t="e" cm="1">
        <f t="array" aca="1" ref="B1127" ca="1">INDIRECT(_xlfn.CONCAT("$J", $F1127))</f>
        <v>#REF!</v>
      </c>
      <c r="C1127" s="1" t="e" cm="1">
        <f t="array" aca="1" ref="C1127" ca="1">INDIRECT(_xlfn.CONCAT("$K", $F1127))</f>
        <v>#REF!</v>
      </c>
      <c r="D1127" s="1"/>
      <c r="E1127" s="1" t="e" cm="1">
        <f t="array" aca="1" ref="E1127" ca="1">INDIRECT(_xlfn.CONCAT("$L", $F1127))</f>
        <v>#REF!</v>
      </c>
      <c r="F1127" s="1"/>
    </row>
    <row r="1128" spans="1:12">
      <c r="A1128" s="1" t="e" cm="1">
        <f t="array" aca="1" ref="A1128" ca="1">INDIRECT(_xlfn.CONCAT("$I", $F1128))</f>
        <v>#REF!</v>
      </c>
      <c r="B1128" s="1" t="e" cm="1">
        <f t="array" aca="1" ref="B1128" ca="1">INDIRECT(_xlfn.CONCAT("$J", $F1128))</f>
        <v>#REF!</v>
      </c>
      <c r="C1128" s="1" t="e" cm="1">
        <f t="array" aca="1" ref="C1128" ca="1">INDIRECT(_xlfn.CONCAT("$K", $F1128))</f>
        <v>#REF!</v>
      </c>
      <c r="D1128" s="1"/>
      <c r="E1128" s="1" t="e" cm="1">
        <f t="array" aca="1" ref="E1128" ca="1">INDIRECT(_xlfn.CONCAT("$L", $F1128))</f>
        <v>#REF!</v>
      </c>
      <c r="F1128" s="1"/>
      <c r="I1128" s="8" t="s">
        <v>732</v>
      </c>
      <c r="J1128" s="8">
        <v>80</v>
      </c>
      <c r="K1128" s="9">
        <v>42244</v>
      </c>
      <c r="L1128" t="s">
        <v>174</v>
      </c>
    </row>
    <row r="1129" spans="1:12">
      <c r="A1129" s="1" t="e" cm="1">
        <f t="array" aca="1" ref="A1129" ca="1">INDIRECT(_xlfn.CONCAT("$I", $F1129))</f>
        <v>#REF!</v>
      </c>
      <c r="B1129" s="1" t="e" cm="1">
        <f t="array" aca="1" ref="B1129" ca="1">INDIRECT(_xlfn.CONCAT("$J", $F1129))</f>
        <v>#REF!</v>
      </c>
      <c r="C1129" s="1" t="e" cm="1">
        <f t="array" aca="1" ref="C1129" ca="1">INDIRECT(_xlfn.CONCAT("$K", $F1129))</f>
        <v>#REF!</v>
      </c>
      <c r="D1129" s="1"/>
      <c r="E1129" s="1" t="e" cm="1">
        <f t="array" aca="1" ref="E1129" ca="1">INDIRECT(_xlfn.CONCAT("$L", $F1129))</f>
        <v>#REF!</v>
      </c>
      <c r="F1129" s="1"/>
    </row>
    <row r="1130" spans="1:12">
      <c r="A1130" s="1" t="e" cm="1">
        <f t="array" aca="1" ref="A1130" ca="1">INDIRECT(_xlfn.CONCAT("$I", $F1130))</f>
        <v>#REF!</v>
      </c>
      <c r="B1130" s="1" t="e" cm="1">
        <f t="array" aca="1" ref="B1130" ca="1">INDIRECT(_xlfn.CONCAT("$J", $F1130))</f>
        <v>#REF!</v>
      </c>
      <c r="C1130" s="1" t="e" cm="1">
        <f t="array" aca="1" ref="C1130" ca="1">INDIRECT(_xlfn.CONCAT("$K", $F1130))</f>
        <v>#REF!</v>
      </c>
      <c r="D1130" s="1"/>
      <c r="E1130" s="1" t="e" cm="1">
        <f t="array" aca="1" ref="E1130" ca="1">INDIRECT(_xlfn.CONCAT("$L", $F1130))</f>
        <v>#REF!</v>
      </c>
      <c r="F1130" s="1"/>
      <c r="I1130" s="8" t="s">
        <v>733</v>
      </c>
      <c r="J1130" s="8">
        <v>15</v>
      </c>
      <c r="K1130" s="9">
        <v>42237</v>
      </c>
      <c r="L1130" s="8" t="s">
        <v>174</v>
      </c>
    </row>
    <row r="1131" spans="1:12">
      <c r="A1131" s="1" t="e" cm="1">
        <f t="array" aca="1" ref="A1131" ca="1">INDIRECT(_xlfn.CONCAT("$I", $F1131))</f>
        <v>#REF!</v>
      </c>
      <c r="B1131" s="1" t="e" cm="1">
        <f t="array" aca="1" ref="B1131" ca="1">INDIRECT(_xlfn.CONCAT("$J", $F1131))</f>
        <v>#REF!</v>
      </c>
      <c r="C1131" s="1" t="e" cm="1">
        <f t="array" aca="1" ref="C1131" ca="1">INDIRECT(_xlfn.CONCAT("$K", $F1131))</f>
        <v>#REF!</v>
      </c>
      <c r="D1131" s="1"/>
      <c r="E1131" s="1" t="e" cm="1">
        <f t="array" aca="1" ref="E1131" ca="1">INDIRECT(_xlfn.CONCAT("$L", $F1131))</f>
        <v>#REF!</v>
      </c>
      <c r="F1131" s="1"/>
    </row>
    <row r="1132" spans="1:12">
      <c r="A1132" s="1" t="e" cm="1">
        <f t="array" aca="1" ref="A1132" ca="1">INDIRECT(_xlfn.CONCAT("$I", $F1132))</f>
        <v>#REF!</v>
      </c>
      <c r="B1132" s="1" t="e" cm="1">
        <f t="array" aca="1" ref="B1132" ca="1">INDIRECT(_xlfn.CONCAT("$J", $F1132))</f>
        <v>#REF!</v>
      </c>
      <c r="C1132" s="1" t="e" cm="1">
        <f t="array" aca="1" ref="C1132" ca="1">INDIRECT(_xlfn.CONCAT("$K", $F1132))</f>
        <v>#REF!</v>
      </c>
      <c r="D1132" s="1"/>
      <c r="E1132" s="1" t="e" cm="1">
        <f t="array" aca="1" ref="E1132" ca="1">INDIRECT(_xlfn.CONCAT("$L", $F1132))</f>
        <v>#REF!</v>
      </c>
      <c r="F1132" s="1"/>
      <c r="I1132" s="8" t="s">
        <v>734</v>
      </c>
      <c r="J1132" s="8">
        <v>288</v>
      </c>
      <c r="K1132" s="9">
        <v>42202</v>
      </c>
      <c r="L1132" t="s">
        <v>174</v>
      </c>
    </row>
    <row r="1133" spans="1:12">
      <c r="A1133" s="1" t="e" cm="1">
        <f t="array" aca="1" ref="A1133" ca="1">INDIRECT(_xlfn.CONCAT("$I", $F1133))</f>
        <v>#REF!</v>
      </c>
      <c r="B1133" s="1" t="e" cm="1">
        <f t="array" aca="1" ref="B1133" ca="1">INDIRECT(_xlfn.CONCAT("$J", $F1133))</f>
        <v>#REF!</v>
      </c>
      <c r="C1133" s="1" t="e" cm="1">
        <f t="array" aca="1" ref="C1133" ca="1">INDIRECT(_xlfn.CONCAT("$K", $F1133))</f>
        <v>#REF!</v>
      </c>
      <c r="D1133" s="1"/>
      <c r="E1133" s="1" t="e" cm="1">
        <f t="array" aca="1" ref="E1133" ca="1">INDIRECT(_xlfn.CONCAT("$L", $F1133))</f>
        <v>#REF!</v>
      </c>
      <c r="F1133" s="1"/>
    </row>
    <row r="1134" spans="1:12">
      <c r="A1134" s="1" t="e" cm="1">
        <f t="array" aca="1" ref="A1134" ca="1">INDIRECT(_xlfn.CONCAT("$I", $F1134))</f>
        <v>#REF!</v>
      </c>
      <c r="B1134" s="1" t="e" cm="1">
        <f t="array" aca="1" ref="B1134" ca="1">INDIRECT(_xlfn.CONCAT("$J", $F1134))</f>
        <v>#REF!</v>
      </c>
      <c r="C1134" s="1" t="e" cm="1">
        <f t="array" aca="1" ref="C1134" ca="1">INDIRECT(_xlfn.CONCAT("$K", $F1134))</f>
        <v>#REF!</v>
      </c>
      <c r="D1134" s="1"/>
      <c r="E1134" s="1" t="e" cm="1">
        <f t="array" aca="1" ref="E1134" ca="1">INDIRECT(_xlfn.CONCAT("$L", $F1134))</f>
        <v>#REF!</v>
      </c>
      <c r="F1134" s="1"/>
      <c r="I1134" s="8" t="s">
        <v>735</v>
      </c>
      <c r="J1134" s="8">
        <v>54</v>
      </c>
      <c r="K1134" s="9">
        <v>42202</v>
      </c>
      <c r="L1134" s="8" t="s">
        <v>174</v>
      </c>
    </row>
    <row r="1135" spans="1:12">
      <c r="A1135" s="1" t="e" cm="1">
        <f t="array" aca="1" ref="A1135" ca="1">INDIRECT(_xlfn.CONCAT("$I", $F1135))</f>
        <v>#REF!</v>
      </c>
      <c r="B1135" s="1" t="e" cm="1">
        <f t="array" aca="1" ref="B1135" ca="1">INDIRECT(_xlfn.CONCAT("$J", $F1135))</f>
        <v>#REF!</v>
      </c>
      <c r="C1135" s="1" t="e" cm="1">
        <f t="array" aca="1" ref="C1135" ca="1">INDIRECT(_xlfn.CONCAT("$K", $F1135))</f>
        <v>#REF!</v>
      </c>
      <c r="D1135" s="1"/>
      <c r="E1135" s="1" t="e" cm="1">
        <f t="array" aca="1" ref="E1135" ca="1">INDIRECT(_xlfn.CONCAT("$L", $F1135))</f>
        <v>#REF!</v>
      </c>
      <c r="F1135" s="1"/>
    </row>
    <row r="1136" spans="1:12">
      <c r="A1136" s="1" t="e" cm="1">
        <f t="array" aca="1" ref="A1136" ca="1">INDIRECT(_xlfn.CONCAT("$I", $F1136))</f>
        <v>#REF!</v>
      </c>
      <c r="B1136" s="1" t="e" cm="1">
        <f t="array" aca="1" ref="B1136" ca="1">INDIRECT(_xlfn.CONCAT("$J", $F1136))</f>
        <v>#REF!</v>
      </c>
      <c r="C1136" s="1" t="e" cm="1">
        <f t="array" aca="1" ref="C1136" ca="1">INDIRECT(_xlfn.CONCAT("$K", $F1136))</f>
        <v>#REF!</v>
      </c>
      <c r="D1136" s="1"/>
      <c r="E1136" s="1" t="e" cm="1">
        <f t="array" aca="1" ref="E1136" ca="1">INDIRECT(_xlfn.CONCAT("$L", $F1136))</f>
        <v>#REF!</v>
      </c>
      <c r="F1136" s="1"/>
      <c r="I1136" s="8" t="s">
        <v>736</v>
      </c>
      <c r="J1136" s="8">
        <v>15</v>
      </c>
      <c r="K1136" s="9">
        <v>42202</v>
      </c>
      <c r="L1136" s="8" t="s">
        <v>174</v>
      </c>
    </row>
    <row r="1137" spans="1:12">
      <c r="A1137" s="1" t="e" cm="1">
        <f t="array" aca="1" ref="A1137" ca="1">INDIRECT(_xlfn.CONCAT("$I", $F1137))</f>
        <v>#REF!</v>
      </c>
      <c r="B1137" s="1" t="e" cm="1">
        <f t="array" aca="1" ref="B1137" ca="1">INDIRECT(_xlfn.CONCAT("$J", $F1137))</f>
        <v>#REF!</v>
      </c>
      <c r="C1137" s="1" t="e" cm="1">
        <f t="array" aca="1" ref="C1137" ca="1">INDIRECT(_xlfn.CONCAT("$K", $F1137))</f>
        <v>#REF!</v>
      </c>
      <c r="D1137" s="1"/>
      <c r="E1137" s="1" t="e" cm="1">
        <f t="array" aca="1" ref="E1137" ca="1">INDIRECT(_xlfn.CONCAT("$L", $F1137))</f>
        <v>#REF!</v>
      </c>
      <c r="F1137" s="1"/>
    </row>
    <row r="1138" spans="1:12">
      <c r="A1138" s="1" t="e" cm="1">
        <f t="array" aca="1" ref="A1138" ca="1">INDIRECT(_xlfn.CONCAT("$I", $F1138))</f>
        <v>#REF!</v>
      </c>
      <c r="B1138" s="1" t="e" cm="1">
        <f t="array" aca="1" ref="B1138" ca="1">INDIRECT(_xlfn.CONCAT("$J", $F1138))</f>
        <v>#REF!</v>
      </c>
      <c r="C1138" s="1" t="e" cm="1">
        <f t="array" aca="1" ref="C1138" ca="1">INDIRECT(_xlfn.CONCAT("$K", $F1138))</f>
        <v>#REF!</v>
      </c>
      <c r="D1138" s="1"/>
      <c r="E1138" s="1" t="e" cm="1">
        <f t="array" aca="1" ref="E1138" ca="1">INDIRECT(_xlfn.CONCAT("$L", $F1138))</f>
        <v>#REF!</v>
      </c>
      <c r="F1138" s="1"/>
      <c r="I1138" s="8" t="s">
        <v>737</v>
      </c>
      <c r="J1138" s="8">
        <v>6</v>
      </c>
      <c r="K1138" s="9">
        <v>42202</v>
      </c>
      <c r="L1138" s="8" t="s">
        <v>174</v>
      </c>
    </row>
    <row r="1139" spans="1:12">
      <c r="A1139" s="1" t="e" cm="1">
        <f t="array" aca="1" ref="A1139" ca="1">INDIRECT(_xlfn.CONCAT("$I", $F1139))</f>
        <v>#REF!</v>
      </c>
      <c r="B1139" s="1" t="e" cm="1">
        <f t="array" aca="1" ref="B1139" ca="1">INDIRECT(_xlfn.CONCAT("$J", $F1139))</f>
        <v>#REF!</v>
      </c>
      <c r="C1139" s="1" t="e" cm="1">
        <f t="array" aca="1" ref="C1139" ca="1">INDIRECT(_xlfn.CONCAT("$K", $F1139))</f>
        <v>#REF!</v>
      </c>
      <c r="D1139" s="1"/>
      <c r="E1139" s="1" t="e" cm="1">
        <f t="array" aca="1" ref="E1139" ca="1">INDIRECT(_xlfn.CONCAT("$L", $F1139))</f>
        <v>#REF!</v>
      </c>
      <c r="F1139" s="1"/>
    </row>
    <row r="1140" spans="1:12">
      <c r="A1140" s="1" t="e" cm="1">
        <f t="array" aca="1" ref="A1140" ca="1">INDIRECT(_xlfn.CONCAT("$I", $F1140))</f>
        <v>#REF!</v>
      </c>
      <c r="B1140" s="1" t="e" cm="1">
        <f t="array" aca="1" ref="B1140" ca="1">INDIRECT(_xlfn.CONCAT("$J", $F1140))</f>
        <v>#REF!</v>
      </c>
      <c r="C1140" s="1" t="e" cm="1">
        <f t="array" aca="1" ref="C1140" ca="1">INDIRECT(_xlfn.CONCAT("$K", $F1140))</f>
        <v>#REF!</v>
      </c>
      <c r="D1140" s="1"/>
      <c r="E1140" s="1" t="e" cm="1">
        <f t="array" aca="1" ref="E1140" ca="1">INDIRECT(_xlfn.CONCAT("$L", $F1140))</f>
        <v>#REF!</v>
      </c>
      <c r="F1140" s="1"/>
      <c r="I1140" s="8" t="s">
        <v>738</v>
      </c>
      <c r="J1140" s="8">
        <v>5</v>
      </c>
      <c r="K1140" s="9">
        <v>42194</v>
      </c>
      <c r="L1140" s="8" t="s">
        <v>174</v>
      </c>
    </row>
    <row r="1141" spans="1:12">
      <c r="A1141" s="1" t="e" cm="1">
        <f t="array" aca="1" ref="A1141" ca="1">INDIRECT(_xlfn.CONCAT("$I", $F1141))</f>
        <v>#REF!</v>
      </c>
      <c r="B1141" s="1" t="e" cm="1">
        <f t="array" aca="1" ref="B1141" ca="1">INDIRECT(_xlfn.CONCAT("$J", $F1141))</f>
        <v>#REF!</v>
      </c>
      <c r="C1141" s="1" t="e" cm="1">
        <f t="array" aca="1" ref="C1141" ca="1">INDIRECT(_xlfn.CONCAT("$K", $F1141))</f>
        <v>#REF!</v>
      </c>
      <c r="D1141" s="1"/>
      <c r="E1141" s="1" t="e" cm="1">
        <f t="array" aca="1" ref="E1141" ca="1">INDIRECT(_xlfn.CONCAT("$L", $F1141))</f>
        <v>#REF!</v>
      </c>
      <c r="F1141" s="1"/>
    </row>
    <row r="1142" spans="1:12">
      <c r="A1142" s="1" t="e" cm="1">
        <f t="array" aca="1" ref="A1142" ca="1">INDIRECT(_xlfn.CONCAT("$I", $F1142))</f>
        <v>#REF!</v>
      </c>
      <c r="B1142" s="1" t="e" cm="1">
        <f t="array" aca="1" ref="B1142" ca="1">INDIRECT(_xlfn.CONCAT("$J", $F1142))</f>
        <v>#REF!</v>
      </c>
      <c r="C1142" s="1" t="e" cm="1">
        <f t="array" aca="1" ref="C1142" ca="1">INDIRECT(_xlfn.CONCAT("$K", $F1142))</f>
        <v>#REF!</v>
      </c>
      <c r="D1142" s="1"/>
      <c r="E1142" s="1" t="e" cm="1">
        <f t="array" aca="1" ref="E1142" ca="1">INDIRECT(_xlfn.CONCAT("$L", $F1142))</f>
        <v>#REF!</v>
      </c>
      <c r="F1142" s="1"/>
      <c r="I1142" s="8" t="s">
        <v>739</v>
      </c>
      <c r="J1142" s="8">
        <v>249</v>
      </c>
      <c r="K1142" s="9">
        <v>42146</v>
      </c>
      <c r="L1142" t="s">
        <v>174</v>
      </c>
    </row>
    <row r="1143" spans="1:12">
      <c r="A1143" s="1" t="e" cm="1">
        <f t="array" aca="1" ref="A1143" ca="1">INDIRECT(_xlfn.CONCAT("$I", $F1143))</f>
        <v>#REF!</v>
      </c>
      <c r="B1143" s="1" t="e" cm="1">
        <f t="array" aca="1" ref="B1143" ca="1">INDIRECT(_xlfn.CONCAT("$J", $F1143))</f>
        <v>#REF!</v>
      </c>
      <c r="C1143" s="1" t="e" cm="1">
        <f t="array" aca="1" ref="C1143" ca="1">INDIRECT(_xlfn.CONCAT("$K", $F1143))</f>
        <v>#REF!</v>
      </c>
      <c r="D1143" s="1"/>
      <c r="E1143" s="1" t="e" cm="1">
        <f t="array" aca="1" ref="E1143" ca="1">INDIRECT(_xlfn.CONCAT("$L", $F1143))</f>
        <v>#REF!</v>
      </c>
      <c r="F1143" s="1"/>
    </row>
    <row r="1144" spans="1:12">
      <c r="A1144" s="1" t="e" cm="1">
        <f t="array" aca="1" ref="A1144" ca="1">INDIRECT(_xlfn.CONCAT("$I", $F1144))</f>
        <v>#REF!</v>
      </c>
      <c r="B1144" s="1" t="e" cm="1">
        <f t="array" aca="1" ref="B1144" ca="1">INDIRECT(_xlfn.CONCAT("$J", $F1144))</f>
        <v>#REF!</v>
      </c>
      <c r="C1144" s="1" t="e" cm="1">
        <f t="array" aca="1" ref="C1144" ca="1">INDIRECT(_xlfn.CONCAT("$K", $F1144))</f>
        <v>#REF!</v>
      </c>
      <c r="D1144" s="1"/>
      <c r="E1144" s="1" t="e" cm="1">
        <f t="array" aca="1" ref="E1144" ca="1">INDIRECT(_xlfn.CONCAT("$L", $F1144))</f>
        <v>#REF!</v>
      </c>
      <c r="F1144" s="1"/>
      <c r="I1144" s="8" t="s">
        <v>740</v>
      </c>
      <c r="J1144" s="8">
        <v>16</v>
      </c>
      <c r="K1144" s="9">
        <v>42146</v>
      </c>
      <c r="L1144" s="8" t="s">
        <v>174</v>
      </c>
    </row>
    <row r="1145" spans="1:12">
      <c r="A1145" s="1" t="e" cm="1">
        <f t="array" aca="1" ref="A1145" ca="1">INDIRECT(_xlfn.CONCAT("$I", $F1145))</f>
        <v>#REF!</v>
      </c>
      <c r="B1145" s="1" t="e" cm="1">
        <f t="array" aca="1" ref="B1145" ca="1">INDIRECT(_xlfn.CONCAT("$J", $F1145))</f>
        <v>#REF!</v>
      </c>
      <c r="C1145" s="1" t="e" cm="1">
        <f t="array" aca="1" ref="C1145" ca="1">INDIRECT(_xlfn.CONCAT("$K", $F1145))</f>
        <v>#REF!</v>
      </c>
      <c r="D1145" s="1"/>
      <c r="E1145" s="1" t="e" cm="1">
        <f t="array" aca="1" ref="E1145" ca="1">INDIRECT(_xlfn.CONCAT("$L", $F1145))</f>
        <v>#REF!</v>
      </c>
      <c r="F1145" s="1"/>
    </row>
    <row r="1146" spans="1:12">
      <c r="A1146" s="1" t="e" cm="1">
        <f t="array" aca="1" ref="A1146" ca="1">INDIRECT(_xlfn.CONCAT("$I", $F1146))</f>
        <v>#REF!</v>
      </c>
      <c r="B1146" s="1" t="e" cm="1">
        <f t="array" aca="1" ref="B1146" ca="1">INDIRECT(_xlfn.CONCAT("$J", $F1146))</f>
        <v>#REF!</v>
      </c>
      <c r="C1146" s="1" t="e" cm="1">
        <f t="array" aca="1" ref="C1146" ca="1">INDIRECT(_xlfn.CONCAT("$K", $F1146))</f>
        <v>#REF!</v>
      </c>
      <c r="D1146" s="1"/>
      <c r="E1146" s="1" t="e" cm="1">
        <f t="array" aca="1" ref="E1146" ca="1">INDIRECT(_xlfn.CONCAT("$L", $F1146))</f>
        <v>#REF!</v>
      </c>
      <c r="F1146" s="1"/>
      <c r="I1146" s="8" t="s">
        <v>741</v>
      </c>
      <c r="J1146" s="8">
        <v>269</v>
      </c>
      <c r="K1146" s="9">
        <v>42130</v>
      </c>
      <c r="L1146" s="8" t="s">
        <v>174</v>
      </c>
    </row>
    <row r="1147" spans="1:12">
      <c r="A1147" s="1" t="e" cm="1">
        <f t="array" aca="1" ref="A1147" ca="1">INDIRECT(_xlfn.CONCAT("$I", $F1147))</f>
        <v>#REF!</v>
      </c>
      <c r="B1147" s="1" t="e" cm="1">
        <f t="array" aca="1" ref="B1147" ca="1">INDIRECT(_xlfn.CONCAT("$J", $F1147))</f>
        <v>#REF!</v>
      </c>
      <c r="C1147" s="1" t="e" cm="1">
        <f t="array" aca="1" ref="C1147" ca="1">INDIRECT(_xlfn.CONCAT("$K", $F1147))</f>
        <v>#REF!</v>
      </c>
      <c r="D1147" s="1"/>
      <c r="E1147" s="1" t="e" cm="1">
        <f t="array" aca="1" ref="E1147" ca="1">INDIRECT(_xlfn.CONCAT("$L", $F1147))</f>
        <v>#REF!</v>
      </c>
      <c r="F1147" s="1"/>
    </row>
    <row r="1148" spans="1:12">
      <c r="A1148" s="1" t="e" cm="1">
        <f t="array" aca="1" ref="A1148" ca="1">INDIRECT(_xlfn.CONCAT("$I", $F1148))</f>
        <v>#REF!</v>
      </c>
      <c r="B1148" s="1" t="e" cm="1">
        <f t="array" aca="1" ref="B1148" ca="1">INDIRECT(_xlfn.CONCAT("$J", $F1148))</f>
        <v>#REF!</v>
      </c>
      <c r="C1148" s="1" t="e" cm="1">
        <f t="array" aca="1" ref="C1148" ca="1">INDIRECT(_xlfn.CONCAT("$K", $F1148))</f>
        <v>#REF!</v>
      </c>
      <c r="D1148" s="1"/>
      <c r="E1148" s="1" t="e" cm="1">
        <f t="array" aca="1" ref="E1148" ca="1">INDIRECT(_xlfn.CONCAT("$L", $F1148))</f>
        <v>#REF!</v>
      </c>
      <c r="F1148" s="1"/>
      <c r="I1148" s="8" t="s">
        <v>742</v>
      </c>
      <c r="J1148" s="8">
        <v>264</v>
      </c>
      <c r="K1148" s="9">
        <v>42090</v>
      </c>
      <c r="L1148" t="s">
        <v>174</v>
      </c>
    </row>
    <row r="1149" spans="1:12">
      <c r="A1149" s="1" t="e" cm="1">
        <f t="array" aca="1" ref="A1149" ca="1">INDIRECT(_xlfn.CONCAT("$I", $F1149))</f>
        <v>#REF!</v>
      </c>
      <c r="B1149" s="1" t="e" cm="1">
        <f t="array" aca="1" ref="B1149" ca="1">INDIRECT(_xlfn.CONCAT("$J", $F1149))</f>
        <v>#REF!</v>
      </c>
      <c r="C1149" s="1" t="e" cm="1">
        <f t="array" aca="1" ref="C1149" ca="1">INDIRECT(_xlfn.CONCAT("$K", $F1149))</f>
        <v>#REF!</v>
      </c>
      <c r="D1149" s="1"/>
      <c r="E1149" s="1" t="e" cm="1">
        <f t="array" aca="1" ref="E1149" ca="1">INDIRECT(_xlfn.CONCAT("$L", $F1149))</f>
        <v>#REF!</v>
      </c>
      <c r="F1149" s="1"/>
    </row>
    <row r="1150" spans="1:12">
      <c r="A1150" s="1" t="e" cm="1">
        <f t="array" aca="1" ref="A1150" ca="1">INDIRECT(_xlfn.CONCAT("$I", $F1150))</f>
        <v>#REF!</v>
      </c>
      <c r="B1150" s="1" t="e" cm="1">
        <f t="array" aca="1" ref="B1150" ca="1">INDIRECT(_xlfn.CONCAT("$J", $F1150))</f>
        <v>#REF!</v>
      </c>
      <c r="C1150" s="1" t="e" cm="1">
        <f t="array" aca="1" ref="C1150" ca="1">INDIRECT(_xlfn.CONCAT("$K", $F1150))</f>
        <v>#REF!</v>
      </c>
      <c r="D1150" s="1"/>
      <c r="E1150" s="1" t="e" cm="1">
        <f t="array" aca="1" ref="E1150" ca="1">INDIRECT(_xlfn.CONCAT("$L", $F1150))</f>
        <v>#REF!</v>
      </c>
      <c r="F1150" s="1"/>
      <c r="I1150" s="8" t="s">
        <v>743</v>
      </c>
      <c r="J1150" s="8">
        <v>51</v>
      </c>
      <c r="K1150" s="9">
        <v>42090</v>
      </c>
      <c r="L1150" s="8" t="s">
        <v>174</v>
      </c>
    </row>
    <row r="1151" spans="1:12">
      <c r="A1151" s="1" t="e" cm="1">
        <f t="array" aca="1" ref="A1151" ca="1">INDIRECT(_xlfn.CONCAT("$I", $F1151))</f>
        <v>#REF!</v>
      </c>
      <c r="B1151" s="1" t="e" cm="1">
        <f t="array" aca="1" ref="B1151" ca="1">INDIRECT(_xlfn.CONCAT("$J", $F1151))</f>
        <v>#REF!</v>
      </c>
      <c r="C1151" s="1" t="e" cm="1">
        <f t="array" aca="1" ref="C1151" ca="1">INDIRECT(_xlfn.CONCAT("$K", $F1151))</f>
        <v>#REF!</v>
      </c>
      <c r="D1151" s="1"/>
      <c r="E1151" s="1" t="e" cm="1">
        <f t="array" aca="1" ref="E1151" ca="1">INDIRECT(_xlfn.CONCAT("$L", $F1151))</f>
        <v>#REF!</v>
      </c>
      <c r="F1151" s="1"/>
    </row>
    <row r="1152" spans="1:12">
      <c r="A1152" s="1" t="e" cm="1">
        <f t="array" aca="1" ref="A1152" ca="1">INDIRECT(_xlfn.CONCAT("$I", $F1152))</f>
        <v>#REF!</v>
      </c>
      <c r="B1152" s="1" t="e" cm="1">
        <f t="array" aca="1" ref="B1152" ca="1">INDIRECT(_xlfn.CONCAT("$J", $F1152))</f>
        <v>#REF!</v>
      </c>
      <c r="C1152" s="1" t="e" cm="1">
        <f t="array" aca="1" ref="C1152" ca="1">INDIRECT(_xlfn.CONCAT("$K", $F1152))</f>
        <v>#REF!</v>
      </c>
      <c r="D1152" s="1"/>
      <c r="E1152" s="1" t="e" cm="1">
        <f t="array" aca="1" ref="E1152" ca="1">INDIRECT(_xlfn.CONCAT("$L", $F1152))</f>
        <v>#REF!</v>
      </c>
      <c r="F1152" s="1"/>
      <c r="I1152" s="8" t="s">
        <v>744</v>
      </c>
      <c r="J1152" s="8">
        <v>8</v>
      </c>
      <c r="K1152" s="9">
        <v>42090</v>
      </c>
      <c r="L1152" s="8" t="s">
        <v>174</v>
      </c>
    </row>
    <row r="1153" spans="1:12">
      <c r="A1153" s="1" t="e" cm="1">
        <f t="array" aca="1" ref="A1153" ca="1">INDIRECT(_xlfn.CONCAT("$I", $F1153))</f>
        <v>#REF!</v>
      </c>
      <c r="B1153" s="1" t="e" cm="1">
        <f t="array" aca="1" ref="B1153" ca="1">INDIRECT(_xlfn.CONCAT("$J", $F1153))</f>
        <v>#REF!</v>
      </c>
      <c r="C1153" s="1" t="e" cm="1">
        <f t="array" aca="1" ref="C1153" ca="1">INDIRECT(_xlfn.CONCAT("$K", $F1153))</f>
        <v>#REF!</v>
      </c>
      <c r="D1153" s="1"/>
      <c r="E1153" s="1" t="e" cm="1">
        <f t="array" aca="1" ref="E1153" ca="1">INDIRECT(_xlfn.CONCAT("$L", $F1153))</f>
        <v>#REF!</v>
      </c>
      <c r="F1153" s="1"/>
    </row>
    <row r="1154" spans="1:12">
      <c r="A1154" s="1" t="e" cm="1">
        <f t="array" aca="1" ref="A1154" ca="1">INDIRECT(_xlfn.CONCAT("$I", $F1154))</f>
        <v>#REF!</v>
      </c>
      <c r="B1154" s="1" t="e" cm="1">
        <f t="array" aca="1" ref="B1154" ca="1">INDIRECT(_xlfn.CONCAT("$J", $F1154))</f>
        <v>#REF!</v>
      </c>
      <c r="C1154" s="1" t="e" cm="1">
        <f t="array" aca="1" ref="C1154" ca="1">INDIRECT(_xlfn.CONCAT("$K", $F1154))</f>
        <v>#REF!</v>
      </c>
      <c r="D1154" s="1"/>
      <c r="E1154" s="1" t="e" cm="1">
        <f t="array" aca="1" ref="E1154" ca="1">INDIRECT(_xlfn.CONCAT("$L", $F1154))</f>
        <v>#REF!</v>
      </c>
      <c r="F1154" s="1"/>
      <c r="I1154" s="8" t="s">
        <v>745</v>
      </c>
      <c r="J1154" s="8">
        <v>4</v>
      </c>
      <c r="K1154" s="9">
        <v>42097</v>
      </c>
      <c r="L1154" s="8" t="s">
        <v>174</v>
      </c>
    </row>
    <row r="1155" spans="1:12">
      <c r="A1155" s="1" t="e" cm="1">
        <f t="array" aca="1" ref="A1155" ca="1">INDIRECT(_xlfn.CONCAT("$I", $F1155))</f>
        <v>#REF!</v>
      </c>
      <c r="B1155" s="1" t="e" cm="1">
        <f t="array" aca="1" ref="B1155" ca="1">INDIRECT(_xlfn.CONCAT("$J", $F1155))</f>
        <v>#REF!</v>
      </c>
      <c r="C1155" s="1" t="e" cm="1">
        <f t="array" aca="1" ref="C1155" ca="1">INDIRECT(_xlfn.CONCAT("$K", $F1155))</f>
        <v>#REF!</v>
      </c>
      <c r="D1155" s="1"/>
      <c r="E1155" s="1" t="e" cm="1">
        <f t="array" aca="1" ref="E1155" ca="1">INDIRECT(_xlfn.CONCAT("$L", $F1155))</f>
        <v>#REF!</v>
      </c>
      <c r="F1155" s="1"/>
    </row>
    <row r="1156" spans="1:12">
      <c r="A1156" s="1" t="e" cm="1">
        <f t="array" aca="1" ref="A1156" ca="1">INDIRECT(_xlfn.CONCAT("$I", $F1156))</f>
        <v>#REF!</v>
      </c>
      <c r="B1156" s="1" t="e" cm="1">
        <f t="array" aca="1" ref="B1156" ca="1">INDIRECT(_xlfn.CONCAT("$J", $F1156))</f>
        <v>#REF!</v>
      </c>
      <c r="C1156" s="1" t="e" cm="1">
        <f t="array" aca="1" ref="C1156" ca="1">INDIRECT(_xlfn.CONCAT("$K", $F1156))</f>
        <v>#REF!</v>
      </c>
      <c r="D1156" s="1"/>
      <c r="E1156" s="1" t="e" cm="1">
        <f t="array" aca="1" ref="E1156" ca="1">INDIRECT(_xlfn.CONCAT("$L", $F1156))</f>
        <v>#REF!</v>
      </c>
      <c r="F1156" s="1"/>
      <c r="I1156" s="8" t="s">
        <v>746</v>
      </c>
      <c r="J1156" s="8">
        <v>67</v>
      </c>
      <c r="K1156" s="9">
        <v>42062</v>
      </c>
      <c r="L1156" t="s">
        <v>174</v>
      </c>
    </row>
    <row r="1157" spans="1:12">
      <c r="A1157" s="1" t="e" cm="1">
        <f t="array" aca="1" ref="A1157" ca="1">INDIRECT(_xlfn.CONCAT("$I", $F1157))</f>
        <v>#REF!</v>
      </c>
      <c r="B1157" s="1" t="e" cm="1">
        <f t="array" aca="1" ref="B1157" ca="1">INDIRECT(_xlfn.CONCAT("$J", $F1157))</f>
        <v>#REF!</v>
      </c>
      <c r="C1157" s="1" t="e" cm="1">
        <f t="array" aca="1" ref="C1157" ca="1">INDIRECT(_xlfn.CONCAT("$K", $F1157))</f>
        <v>#REF!</v>
      </c>
      <c r="D1157" s="1"/>
      <c r="E1157" s="1" t="e" cm="1">
        <f t="array" aca="1" ref="E1157" ca="1">INDIRECT(_xlfn.CONCAT("$L", $F1157))</f>
        <v>#REF!</v>
      </c>
      <c r="F1157" s="1"/>
    </row>
    <row r="1158" spans="1:12">
      <c r="A1158" s="1" t="e" cm="1">
        <f t="array" aca="1" ref="A1158" ca="1">INDIRECT(_xlfn.CONCAT("$I", $F1158))</f>
        <v>#REF!</v>
      </c>
      <c r="B1158" s="1" t="e" cm="1">
        <f t="array" aca="1" ref="B1158" ca="1">INDIRECT(_xlfn.CONCAT("$J", $F1158))</f>
        <v>#REF!</v>
      </c>
      <c r="C1158" s="1" t="e" cm="1">
        <f t="array" aca="1" ref="C1158" ca="1">INDIRECT(_xlfn.CONCAT("$K", $F1158))</f>
        <v>#REF!</v>
      </c>
      <c r="D1158" s="1"/>
      <c r="E1158" s="1" t="e" cm="1">
        <f t="array" aca="1" ref="E1158" ca="1">INDIRECT(_xlfn.CONCAT("$L", $F1158))</f>
        <v>#REF!</v>
      </c>
      <c r="F1158" s="1"/>
      <c r="I1158" s="8" t="s">
        <v>747</v>
      </c>
      <c r="J1158" s="8">
        <v>191</v>
      </c>
      <c r="K1158" s="9">
        <v>42027</v>
      </c>
      <c r="L1158" t="s">
        <v>174</v>
      </c>
    </row>
    <row r="1159" spans="1:12">
      <c r="A1159" s="1" t="e" cm="1">
        <f t="array" aca="1" ref="A1159" ca="1">INDIRECT(_xlfn.CONCAT("$I", $F1159))</f>
        <v>#REF!</v>
      </c>
      <c r="B1159" s="1" t="e" cm="1">
        <f t="array" aca="1" ref="B1159" ca="1">INDIRECT(_xlfn.CONCAT("$J", $F1159))</f>
        <v>#REF!</v>
      </c>
      <c r="C1159" s="1" t="e" cm="1">
        <f t="array" aca="1" ref="C1159" ca="1">INDIRECT(_xlfn.CONCAT("$K", $F1159))</f>
        <v>#REF!</v>
      </c>
      <c r="D1159" s="1"/>
      <c r="E1159" s="1" t="e" cm="1">
        <f t="array" aca="1" ref="E1159" ca="1">INDIRECT(_xlfn.CONCAT("$L", $F1159))</f>
        <v>#REF!</v>
      </c>
      <c r="F1159" s="1"/>
    </row>
    <row r="1160" spans="1:12">
      <c r="A1160" s="1" t="e" cm="1">
        <f t="array" aca="1" ref="A1160" ca="1">INDIRECT(_xlfn.CONCAT("$I", $F1160))</f>
        <v>#REF!</v>
      </c>
      <c r="B1160" s="1" t="e" cm="1">
        <f t="array" aca="1" ref="B1160" ca="1">INDIRECT(_xlfn.CONCAT("$J", $F1160))</f>
        <v>#REF!</v>
      </c>
      <c r="C1160" s="1" t="e" cm="1">
        <f t="array" aca="1" ref="C1160" ca="1">INDIRECT(_xlfn.CONCAT("$K", $F1160))</f>
        <v>#REF!</v>
      </c>
      <c r="D1160" s="1"/>
      <c r="E1160" s="1" t="e" cm="1">
        <f t="array" aca="1" ref="E1160" ca="1">INDIRECT(_xlfn.CONCAT("$L", $F1160))</f>
        <v>#REF!</v>
      </c>
      <c r="F1160" s="1"/>
      <c r="I1160" s="8" t="s">
        <v>748</v>
      </c>
      <c r="J1160" s="8">
        <v>43</v>
      </c>
      <c r="K1160" s="9">
        <v>42027</v>
      </c>
      <c r="L1160" s="8" t="s">
        <v>174</v>
      </c>
    </row>
    <row r="1161" spans="1:12">
      <c r="A1161" s="1" t="e" cm="1">
        <f t="array" aca="1" ref="A1161" ca="1">INDIRECT(_xlfn.CONCAT("$I", $F1161))</f>
        <v>#REF!</v>
      </c>
      <c r="B1161" s="1" t="e" cm="1">
        <f t="array" aca="1" ref="B1161" ca="1">INDIRECT(_xlfn.CONCAT("$J", $F1161))</f>
        <v>#REF!</v>
      </c>
      <c r="C1161" s="1" t="e" cm="1">
        <f t="array" aca="1" ref="C1161" ca="1">INDIRECT(_xlfn.CONCAT("$K", $F1161))</f>
        <v>#REF!</v>
      </c>
      <c r="D1161" s="1"/>
      <c r="E1161" s="1" t="e" cm="1">
        <f t="array" aca="1" ref="E1161" ca="1">INDIRECT(_xlfn.CONCAT("$L", $F1161))</f>
        <v>#REF!</v>
      </c>
      <c r="F1161" s="1"/>
    </row>
    <row r="1162" spans="1:12">
      <c r="A1162" s="1" t="e" cm="1">
        <f t="array" aca="1" ref="A1162" ca="1">INDIRECT(_xlfn.CONCAT("$I", $F1162))</f>
        <v>#REF!</v>
      </c>
      <c r="B1162" s="1" t="e" cm="1">
        <f t="array" aca="1" ref="B1162" ca="1">INDIRECT(_xlfn.CONCAT("$J", $F1162))</f>
        <v>#REF!</v>
      </c>
      <c r="C1162" s="1" t="e" cm="1">
        <f t="array" aca="1" ref="C1162" ca="1">INDIRECT(_xlfn.CONCAT("$K", $F1162))</f>
        <v>#REF!</v>
      </c>
      <c r="D1162" s="1"/>
      <c r="E1162" s="1" t="e" cm="1">
        <f t="array" aca="1" ref="E1162" ca="1">INDIRECT(_xlfn.CONCAT("$L", $F1162))</f>
        <v>#REF!</v>
      </c>
      <c r="F1162" s="1"/>
      <c r="I1162" s="8" t="s">
        <v>749</v>
      </c>
      <c r="J1162" s="8">
        <v>4</v>
      </c>
      <c r="K1162" s="9">
        <v>42027</v>
      </c>
      <c r="L1162" s="8" t="s">
        <v>174</v>
      </c>
    </row>
    <row r="1163" spans="1:12">
      <c r="A1163" s="1" t="e" cm="1">
        <f t="array" aca="1" ref="A1163" ca="1">INDIRECT(_xlfn.CONCAT("$I", $F1163))</f>
        <v>#REF!</v>
      </c>
      <c r="B1163" s="1" t="e" cm="1">
        <f t="array" aca="1" ref="B1163" ca="1">INDIRECT(_xlfn.CONCAT("$J", $F1163))</f>
        <v>#REF!</v>
      </c>
      <c r="C1163" s="1" t="e" cm="1">
        <f t="array" aca="1" ref="C1163" ca="1">INDIRECT(_xlfn.CONCAT("$K", $F1163))</f>
        <v>#REF!</v>
      </c>
      <c r="D1163" s="1"/>
      <c r="E1163" s="1" t="e" cm="1">
        <f t="array" aca="1" ref="E1163" ca="1">INDIRECT(_xlfn.CONCAT("$L", $F1163))</f>
        <v>#REF!</v>
      </c>
      <c r="F1163" s="1"/>
    </row>
    <row r="1164" spans="1:12">
      <c r="A1164" s="1" t="e" cm="1">
        <f t="array" aca="1" ref="A1164" ca="1">INDIRECT(_xlfn.CONCAT("$I", $F1164))</f>
        <v>#REF!</v>
      </c>
      <c r="B1164" s="1" t="e" cm="1">
        <f t="array" aca="1" ref="B1164" ca="1">INDIRECT(_xlfn.CONCAT("$J", $F1164))</f>
        <v>#REF!</v>
      </c>
      <c r="C1164" s="1" t="e" cm="1">
        <f t="array" aca="1" ref="C1164" ca="1">INDIRECT(_xlfn.CONCAT("$K", $F1164))</f>
        <v>#REF!</v>
      </c>
      <c r="D1164" s="1"/>
      <c r="E1164" s="1" t="e" cm="1">
        <f t="array" aca="1" ref="E1164" ca="1">INDIRECT(_xlfn.CONCAT("$L", $F1164))</f>
        <v>#REF!</v>
      </c>
      <c r="F1164" s="1"/>
      <c r="I1164" s="8" t="s">
        <v>750</v>
      </c>
      <c r="J1164" s="8">
        <v>6</v>
      </c>
      <c r="K1164" s="9">
        <v>42027</v>
      </c>
      <c r="L1164" s="8" t="s">
        <v>174</v>
      </c>
    </row>
    <row r="1165" spans="1:12">
      <c r="A1165" s="1" t="e" cm="1">
        <f t="array" aca="1" ref="A1165" ca="1">INDIRECT(_xlfn.CONCAT("$I", $F1165))</f>
        <v>#REF!</v>
      </c>
      <c r="B1165" s="1" t="e" cm="1">
        <f t="array" aca="1" ref="B1165" ca="1">INDIRECT(_xlfn.CONCAT("$J", $F1165))</f>
        <v>#REF!</v>
      </c>
      <c r="C1165" s="1" t="e" cm="1">
        <f t="array" aca="1" ref="C1165" ca="1">INDIRECT(_xlfn.CONCAT("$K", $F1165))</f>
        <v>#REF!</v>
      </c>
      <c r="D1165" s="1"/>
      <c r="E1165" s="1" t="e" cm="1">
        <f t="array" aca="1" ref="E1165" ca="1">INDIRECT(_xlfn.CONCAT("$L", $F1165))</f>
        <v>#REF!</v>
      </c>
      <c r="F1165" s="1"/>
    </row>
    <row r="1166" spans="1:12">
      <c r="A1166" s="1" t="e" cm="1">
        <f t="array" aca="1" ref="A1166" ca="1">INDIRECT(_xlfn.CONCAT("$I", $F1166))</f>
        <v>#REF!</v>
      </c>
      <c r="B1166" s="1" t="e" cm="1">
        <f t="array" aca="1" ref="B1166" ca="1">INDIRECT(_xlfn.CONCAT("$J", $F1166))</f>
        <v>#REF!</v>
      </c>
      <c r="C1166" s="1" t="e" cm="1">
        <f t="array" aca="1" ref="C1166" ca="1">INDIRECT(_xlfn.CONCAT("$K", $F1166))</f>
        <v>#REF!</v>
      </c>
      <c r="D1166" s="1"/>
      <c r="E1166" s="1" t="e" cm="1">
        <f t="array" aca="1" ref="E1166" ca="1">INDIRECT(_xlfn.CONCAT("$L", $F1166))</f>
        <v>#REF!</v>
      </c>
      <c r="F1166" s="1"/>
      <c r="I1166" s="8" t="s">
        <v>751</v>
      </c>
      <c r="J1166" s="8">
        <v>26</v>
      </c>
      <c r="K1166" s="9">
        <v>42021</v>
      </c>
      <c r="L1166" t="s">
        <v>174</v>
      </c>
    </row>
    <row r="1167" spans="1:12">
      <c r="A1167" s="1" t="e" cm="1">
        <f t="array" aca="1" ref="A1167" ca="1">INDIRECT(_xlfn.CONCAT("$I", $F1167))</f>
        <v>#REF!</v>
      </c>
      <c r="B1167" s="1" t="e" cm="1">
        <f t="array" aca="1" ref="B1167" ca="1">INDIRECT(_xlfn.CONCAT("$J", $F1167))</f>
        <v>#REF!</v>
      </c>
      <c r="C1167" s="1" t="e" cm="1">
        <f t="array" aca="1" ref="C1167" ca="1">INDIRECT(_xlfn.CONCAT("$K", $F1167))</f>
        <v>#REF!</v>
      </c>
      <c r="D1167" s="1"/>
      <c r="E1167" s="1" t="e" cm="1">
        <f t="array" aca="1" ref="E1167" ca="1">INDIRECT(_xlfn.CONCAT("$L", $F1167))</f>
        <v>#REF!</v>
      </c>
      <c r="F1167" s="1"/>
    </row>
    <row r="1168" spans="1:12">
      <c r="A1168" s="1" t="e" cm="1">
        <f t="array" aca="1" ref="A1168" ca="1">INDIRECT(_xlfn.CONCAT("$I", $F1168))</f>
        <v>#REF!</v>
      </c>
      <c r="B1168" s="1" t="e" cm="1">
        <f t="array" aca="1" ref="B1168" ca="1">INDIRECT(_xlfn.CONCAT("$J", $F1168))</f>
        <v>#REF!</v>
      </c>
      <c r="C1168" s="1" t="e" cm="1">
        <f t="array" aca="1" ref="C1168" ca="1">INDIRECT(_xlfn.CONCAT("$K", $F1168))</f>
        <v>#REF!</v>
      </c>
      <c r="D1168" s="1"/>
      <c r="E1168" s="1" t="e" cm="1">
        <f t="array" aca="1" ref="E1168" ca="1">INDIRECT(_xlfn.CONCAT("$L", $F1168))</f>
        <v>#REF!</v>
      </c>
      <c r="F1168" s="1"/>
      <c r="I1168" s="8" t="s">
        <v>752</v>
      </c>
      <c r="J1168" s="8">
        <v>1</v>
      </c>
      <c r="K1168" s="9">
        <v>42005</v>
      </c>
      <c r="L1168" s="8" t="s">
        <v>174</v>
      </c>
    </row>
    <row r="1169" spans="1:12">
      <c r="A1169" s="1" t="e" cm="1">
        <f t="array" aca="1" ref="A1169" ca="1">INDIRECT(_xlfn.CONCAT("$I", $F1169))</f>
        <v>#REF!</v>
      </c>
      <c r="B1169" s="1" t="e" cm="1">
        <f t="array" aca="1" ref="B1169" ca="1">INDIRECT(_xlfn.CONCAT("$J", $F1169))</f>
        <v>#REF!</v>
      </c>
      <c r="C1169" s="1" t="e" cm="1">
        <f t="array" aca="1" ref="C1169" ca="1">INDIRECT(_xlfn.CONCAT("$K", $F1169))</f>
        <v>#REF!</v>
      </c>
      <c r="D1169" s="1"/>
      <c r="E1169" s="1" t="e" cm="1">
        <f t="array" aca="1" ref="E1169" ca="1">INDIRECT(_xlfn.CONCAT("$L", $F1169))</f>
        <v>#REF!</v>
      </c>
      <c r="F1169" s="1"/>
    </row>
    <row r="1170" spans="1:12">
      <c r="A1170" s="1" t="e" cm="1">
        <f t="array" aca="1" ref="A1170" ca="1">INDIRECT(_xlfn.CONCAT("$I", $F1170))</f>
        <v>#REF!</v>
      </c>
      <c r="B1170" s="1" t="e" cm="1">
        <f t="array" aca="1" ref="B1170" ca="1">INDIRECT(_xlfn.CONCAT("$J", $F1170))</f>
        <v>#REF!</v>
      </c>
      <c r="C1170" s="1" t="e" cm="1">
        <f t="array" aca="1" ref="C1170" ca="1">INDIRECT(_xlfn.CONCAT("$K", $F1170))</f>
        <v>#REF!</v>
      </c>
      <c r="D1170" s="1"/>
      <c r="E1170" s="1" t="e" cm="1">
        <f t="array" aca="1" ref="E1170" ca="1">INDIRECT(_xlfn.CONCAT("$L", $F1170))</f>
        <v>#REF!</v>
      </c>
      <c r="F1170" s="1"/>
      <c r="I1170" s="8" t="s">
        <v>753</v>
      </c>
      <c r="J1170" s="8">
        <v>12</v>
      </c>
      <c r="K1170" s="9">
        <v>42005</v>
      </c>
      <c r="L1170" s="8" t="s">
        <v>174</v>
      </c>
    </row>
    <row r="1171" spans="1:12">
      <c r="A1171" s="1" t="e" cm="1">
        <f t="array" aca="1" ref="A1171" ca="1">INDIRECT(_xlfn.CONCAT("$I", $F1171))</f>
        <v>#REF!</v>
      </c>
      <c r="B1171" s="1" t="e" cm="1">
        <f t="array" aca="1" ref="B1171" ca="1">INDIRECT(_xlfn.CONCAT("$J", $F1171))</f>
        <v>#REF!</v>
      </c>
      <c r="C1171" s="1" t="e" cm="1">
        <f t="array" aca="1" ref="C1171" ca="1">INDIRECT(_xlfn.CONCAT("$K", $F1171))</f>
        <v>#REF!</v>
      </c>
      <c r="D1171" s="1"/>
      <c r="E1171" s="1" t="e" cm="1">
        <f t="array" aca="1" ref="E1171" ca="1">INDIRECT(_xlfn.CONCAT("$L", $F1171))</f>
        <v>#REF!</v>
      </c>
      <c r="F1171" s="1"/>
    </row>
    <row r="1172" spans="1:12">
      <c r="F1172" s="1"/>
      <c r="I1172" s="8" t="s">
        <v>754</v>
      </c>
      <c r="J1172" s="8">
        <v>8</v>
      </c>
      <c r="K1172" s="9">
        <v>42005</v>
      </c>
      <c r="L1172" s="8" t="s">
        <v>174</v>
      </c>
    </row>
    <row r="1173" spans="1:12">
      <c r="F1173" s="1"/>
    </row>
    <row r="1174" spans="1:12">
      <c r="F1174" s="1"/>
      <c r="I1174" s="8" t="s">
        <v>755</v>
      </c>
      <c r="J1174" s="8">
        <v>62</v>
      </c>
      <c r="K1174" s="9">
        <v>41978</v>
      </c>
      <c r="L1174" s="8" t="s">
        <v>174</v>
      </c>
    </row>
    <row r="1175" spans="1:12">
      <c r="F1175" s="1"/>
    </row>
    <row r="1176" spans="1:12">
      <c r="F1176" s="1"/>
      <c r="I1176" s="8" t="s">
        <v>756</v>
      </c>
      <c r="J1176" s="8">
        <v>3</v>
      </c>
      <c r="K1176" s="9">
        <v>41978</v>
      </c>
      <c r="L1176" s="8" t="s">
        <v>174</v>
      </c>
    </row>
    <row r="1177" spans="1:12">
      <c r="F1177" s="1"/>
    </row>
    <row r="1178" spans="1:12">
      <c r="F1178" s="1"/>
      <c r="I1178" s="8" t="s">
        <v>757</v>
      </c>
      <c r="J1178" s="8">
        <v>63</v>
      </c>
      <c r="K1178" s="9">
        <v>41978</v>
      </c>
      <c r="L1178" s="8" t="s">
        <v>174</v>
      </c>
    </row>
    <row r="1179" spans="1:12">
      <c r="F1179" s="1"/>
    </row>
    <row r="1180" spans="1:12">
      <c r="F1180" s="1"/>
      <c r="I1180" s="8" t="s">
        <v>758</v>
      </c>
      <c r="J1180" s="8">
        <v>4</v>
      </c>
      <c r="K1180" s="9">
        <v>41978</v>
      </c>
      <c r="L1180" s="8" t="s">
        <v>174</v>
      </c>
    </row>
    <row r="1181" spans="1:12">
      <c r="F1181" s="1"/>
    </row>
    <row r="1182" spans="1:12">
      <c r="F1182" s="1"/>
      <c r="I1182" s="8" t="s">
        <v>759</v>
      </c>
      <c r="J1182" s="8">
        <v>62</v>
      </c>
      <c r="K1182" s="9">
        <v>41978</v>
      </c>
      <c r="L1182" s="8" t="s">
        <v>174</v>
      </c>
    </row>
    <row r="1183" spans="1:12">
      <c r="F1183" s="1"/>
    </row>
    <row r="1184" spans="1:12">
      <c r="F1184" s="1"/>
      <c r="I1184" s="8" t="s">
        <v>760</v>
      </c>
      <c r="J1184" s="8">
        <v>1</v>
      </c>
      <c r="K1184" s="9">
        <v>41978</v>
      </c>
      <c r="L1184" s="8" t="s">
        <v>174</v>
      </c>
    </row>
    <row r="1185" spans="6:12">
      <c r="F1185" s="1"/>
    </row>
    <row r="1186" spans="6:12">
      <c r="F1186" s="1"/>
      <c r="I1186" s="8" t="s">
        <v>761</v>
      </c>
      <c r="J1186" s="8">
        <v>62</v>
      </c>
      <c r="K1186" s="9">
        <v>41978</v>
      </c>
      <c r="L1186" s="8" t="s">
        <v>174</v>
      </c>
    </row>
    <row r="1187" spans="6:12">
      <c r="F1187" s="1"/>
    </row>
    <row r="1188" spans="6:12">
      <c r="F1188" s="1"/>
      <c r="I1188" s="8" t="s">
        <v>762</v>
      </c>
      <c r="J1188" s="8">
        <v>3</v>
      </c>
      <c r="K1188" s="9">
        <v>41978</v>
      </c>
      <c r="L1188" s="8" t="s">
        <v>174</v>
      </c>
    </row>
    <row r="1189" spans="6:12">
      <c r="F1189" s="1"/>
    </row>
    <row r="1190" spans="6:12">
      <c r="F1190" s="1"/>
      <c r="I1190" s="8" t="s">
        <v>763</v>
      </c>
      <c r="J1190" s="8">
        <v>337</v>
      </c>
      <c r="K1190" s="9">
        <v>41950</v>
      </c>
      <c r="L1190" t="s">
        <v>174</v>
      </c>
    </row>
    <row r="1191" spans="6:12">
      <c r="F1191" s="1"/>
    </row>
    <row r="1192" spans="6:12">
      <c r="F1192" s="1"/>
      <c r="I1192" s="8" t="s">
        <v>764</v>
      </c>
      <c r="J1192" s="8">
        <v>36</v>
      </c>
      <c r="K1192" s="9">
        <v>41950</v>
      </c>
      <c r="L1192" s="8" t="s">
        <v>174</v>
      </c>
    </row>
    <row r="1193" spans="6:12">
      <c r="F1193" s="1"/>
    </row>
    <row r="1194" spans="6:12">
      <c r="F1194" s="1"/>
      <c r="I1194" s="8" t="s">
        <v>765</v>
      </c>
      <c r="J1194" s="8">
        <v>5</v>
      </c>
      <c r="K1194" s="9">
        <v>41950</v>
      </c>
      <c r="L1194" s="8" t="s">
        <v>174</v>
      </c>
    </row>
    <row r="1195" spans="6:12">
      <c r="F1195" s="1"/>
    </row>
    <row r="1196" spans="6:12">
      <c r="F1196" s="1"/>
      <c r="I1196" s="8" t="s">
        <v>766</v>
      </c>
      <c r="J1196" s="8">
        <v>293</v>
      </c>
      <c r="K1196" s="9">
        <v>41908</v>
      </c>
      <c r="L1196" t="s">
        <v>174</v>
      </c>
    </row>
    <row r="1197" spans="6:12">
      <c r="F1197" s="1"/>
    </row>
    <row r="1198" spans="6:12">
      <c r="F1198" s="1"/>
      <c r="I1198" s="8" t="s">
        <v>767</v>
      </c>
      <c r="J1198" s="8">
        <v>56</v>
      </c>
      <c r="K1198" s="9">
        <v>41908</v>
      </c>
      <c r="L1198" s="8" t="s">
        <v>174</v>
      </c>
    </row>
    <row r="1199" spans="6:12">
      <c r="F1199" s="1"/>
    </row>
    <row r="1200" spans="6:12">
      <c r="F1200" s="1"/>
      <c r="I1200" s="8" t="s">
        <v>768</v>
      </c>
      <c r="J1200" s="8">
        <v>13</v>
      </c>
      <c r="K1200" s="9">
        <v>41908</v>
      </c>
      <c r="L1200" s="8" t="s">
        <v>174</v>
      </c>
    </row>
    <row r="1201" spans="6:12">
      <c r="F1201" s="1"/>
    </row>
    <row r="1202" spans="6:12">
      <c r="F1202" s="1"/>
      <c r="I1202" s="8" t="s">
        <v>769</v>
      </c>
      <c r="J1202" s="8">
        <v>82</v>
      </c>
      <c r="K1202" s="9">
        <v>41887</v>
      </c>
      <c r="L1202" t="s">
        <v>174</v>
      </c>
    </row>
    <row r="1203" spans="6:12">
      <c r="F1203" s="1"/>
    </row>
    <row r="1204" spans="6:12">
      <c r="F1204" s="1"/>
      <c r="I1204" s="8" t="s">
        <v>770</v>
      </c>
      <c r="J1204" s="8">
        <v>15</v>
      </c>
      <c r="K1204" s="9">
        <v>41873</v>
      </c>
      <c r="L1204" s="8" t="s">
        <v>174</v>
      </c>
    </row>
    <row r="1205" spans="6:12">
      <c r="F1205" s="1"/>
    </row>
    <row r="1206" spans="6:12">
      <c r="F1206" s="1"/>
      <c r="I1206" s="8" t="s">
        <v>771</v>
      </c>
      <c r="J1206" s="8">
        <v>284</v>
      </c>
      <c r="K1206" s="9">
        <v>41838</v>
      </c>
      <c r="L1206" t="s">
        <v>174</v>
      </c>
    </row>
    <row r="1207" spans="6:12">
      <c r="F1207" s="1"/>
    </row>
    <row r="1208" spans="6:12">
      <c r="F1208" s="1"/>
      <c r="I1208" s="8" t="s">
        <v>772</v>
      </c>
      <c r="J1208" s="8">
        <v>14</v>
      </c>
      <c r="K1208" s="9">
        <v>41837</v>
      </c>
      <c r="L1208" s="8" t="s">
        <v>174</v>
      </c>
    </row>
    <row r="1209" spans="6:12">
      <c r="F1209" s="1"/>
    </row>
    <row r="1210" spans="6:12">
      <c r="F1210" s="1"/>
      <c r="I1210" s="8" t="s">
        <v>773</v>
      </c>
      <c r="J1210" s="8">
        <v>14</v>
      </c>
      <c r="K1210" s="9">
        <v>41838</v>
      </c>
      <c r="L1210" s="8" t="s">
        <v>174</v>
      </c>
    </row>
    <row r="1211" spans="6:12">
      <c r="F1211" s="1"/>
    </row>
    <row r="1212" spans="6:12">
      <c r="F1212" s="1"/>
      <c r="I1212" s="8" t="s">
        <v>774</v>
      </c>
      <c r="J1212" s="8">
        <v>6</v>
      </c>
      <c r="K1212" s="9">
        <v>41838</v>
      </c>
      <c r="L1212" s="8" t="s">
        <v>174</v>
      </c>
    </row>
    <row r="1213" spans="6:12">
      <c r="F1213" s="1"/>
    </row>
    <row r="1214" spans="6:12">
      <c r="F1214" s="1"/>
      <c r="I1214" s="8" t="s">
        <v>775</v>
      </c>
      <c r="J1214" s="8">
        <v>2</v>
      </c>
      <c r="K1214" s="9">
        <v>41832</v>
      </c>
      <c r="L1214" s="8" t="s">
        <v>174</v>
      </c>
    </row>
    <row r="1215" spans="6:12">
      <c r="F1215" s="1"/>
    </row>
    <row r="1216" spans="6:12">
      <c r="F1216" s="1"/>
      <c r="I1216" s="8" t="s">
        <v>776</v>
      </c>
      <c r="J1216" s="8">
        <v>2</v>
      </c>
      <c r="K1216" s="9">
        <v>41829</v>
      </c>
      <c r="L1216" s="8" t="s">
        <v>174</v>
      </c>
    </row>
    <row r="1217" spans="6:12">
      <c r="F1217" s="1"/>
    </row>
    <row r="1218" spans="6:12">
      <c r="F1218" s="1"/>
      <c r="I1218" s="8" t="s">
        <v>777</v>
      </c>
      <c r="J1218" s="8">
        <v>6</v>
      </c>
      <c r="K1218" s="9">
        <v>41828</v>
      </c>
      <c r="L1218" s="8" t="s">
        <v>174</v>
      </c>
    </row>
    <row r="1219" spans="6:12">
      <c r="F1219" s="1"/>
    </row>
    <row r="1220" spans="6:12">
      <c r="F1220" s="1"/>
      <c r="I1220" s="8" t="s">
        <v>778</v>
      </c>
      <c r="J1220" s="8">
        <v>325</v>
      </c>
      <c r="K1220" s="9">
        <v>41806</v>
      </c>
      <c r="L1220" s="8" t="s">
        <v>174</v>
      </c>
    </row>
    <row r="1221" spans="6:12">
      <c r="F1221" s="1"/>
    </row>
    <row r="1222" spans="6:12">
      <c r="F1222" s="1"/>
      <c r="I1222" s="8" t="s">
        <v>779</v>
      </c>
      <c r="J1222" s="8">
        <v>210</v>
      </c>
      <c r="K1222" s="9">
        <v>41796</v>
      </c>
      <c r="L1222" t="s">
        <v>174</v>
      </c>
    </row>
    <row r="1223" spans="6:12">
      <c r="F1223" s="1"/>
    </row>
    <row r="1224" spans="6:12">
      <c r="F1224" s="1"/>
      <c r="I1224" s="8" t="s">
        <v>780</v>
      </c>
      <c r="J1224" s="8">
        <v>1</v>
      </c>
      <c r="K1224" s="9">
        <v>41796</v>
      </c>
      <c r="L1224" s="8" t="s">
        <v>174</v>
      </c>
    </row>
    <row r="1225" spans="6:12">
      <c r="F1225" s="1"/>
    </row>
    <row r="1226" spans="6:12">
      <c r="F1226" s="1"/>
      <c r="I1226" s="8" t="s">
        <v>781</v>
      </c>
      <c r="J1226" s="8">
        <v>9</v>
      </c>
      <c r="K1226" s="9">
        <v>41796</v>
      </c>
      <c r="L1226" s="8" t="s">
        <v>174</v>
      </c>
    </row>
    <row r="1227" spans="6:12">
      <c r="F1227" s="1"/>
    </row>
    <row r="1228" spans="6:12">
      <c r="F1228" s="1"/>
      <c r="I1228" s="8" t="s">
        <v>782</v>
      </c>
      <c r="J1228" s="8">
        <v>26</v>
      </c>
      <c r="K1228" s="9">
        <v>41789</v>
      </c>
      <c r="L1228" s="8" t="s">
        <v>174</v>
      </c>
    </row>
    <row r="1229" spans="6:12">
      <c r="F1229" s="1"/>
    </row>
    <row r="1230" spans="6:12">
      <c r="F1230" s="1"/>
      <c r="I1230" s="8" t="s">
        <v>783</v>
      </c>
      <c r="J1230" s="8">
        <v>4</v>
      </c>
      <c r="K1230" s="9">
        <v>41789</v>
      </c>
      <c r="L1230" s="8" t="s">
        <v>174</v>
      </c>
    </row>
    <row r="1231" spans="6:12">
      <c r="F1231" s="1"/>
    </row>
    <row r="1232" spans="6:12">
      <c r="F1232" s="1"/>
      <c r="I1232" s="8" t="s">
        <v>784</v>
      </c>
      <c r="J1232" s="8">
        <v>165</v>
      </c>
      <c r="K1232" s="9">
        <v>41761</v>
      </c>
      <c r="L1232" t="s">
        <v>174</v>
      </c>
    </row>
    <row r="1233" spans="6:12">
      <c r="F1233" s="1"/>
    </row>
    <row r="1234" spans="6:12">
      <c r="F1234" s="1"/>
      <c r="I1234" s="8" t="s">
        <v>785</v>
      </c>
      <c r="J1234" s="8">
        <v>10</v>
      </c>
      <c r="K1234" s="9">
        <v>41755</v>
      </c>
      <c r="L1234" s="8" t="s">
        <v>174</v>
      </c>
    </row>
    <row r="1235" spans="6:12">
      <c r="F1235" s="1"/>
    </row>
    <row r="1236" spans="6:12">
      <c r="F1236" s="1"/>
      <c r="I1236" s="8" t="s">
        <v>786</v>
      </c>
      <c r="J1236" s="8">
        <v>6</v>
      </c>
      <c r="K1236" s="9">
        <v>41761</v>
      </c>
      <c r="L1236" s="8" t="s">
        <v>174</v>
      </c>
    </row>
    <row r="1237" spans="6:12">
      <c r="F1237" s="1"/>
    </row>
    <row r="1238" spans="6:12">
      <c r="F1238" s="1"/>
      <c r="I1238" s="8" t="s">
        <v>787</v>
      </c>
      <c r="J1238" s="8">
        <v>15</v>
      </c>
      <c r="K1238" s="9">
        <v>41784</v>
      </c>
      <c r="L1238" s="8" t="s">
        <v>174</v>
      </c>
    </row>
    <row r="1239" spans="6:12">
      <c r="F1239" s="1"/>
    </row>
    <row r="1240" spans="6:12">
      <c r="F1240" s="1"/>
      <c r="I1240" s="8" t="s">
        <v>788</v>
      </c>
      <c r="J1240" s="8">
        <v>8</v>
      </c>
      <c r="K1240" s="9">
        <v>41761</v>
      </c>
      <c r="L1240" s="8" t="s">
        <v>174</v>
      </c>
    </row>
    <row r="1241" spans="6:12">
      <c r="F1241" s="1"/>
    </row>
    <row r="1242" spans="6:12">
      <c r="F1242" s="1"/>
      <c r="I1242" s="8" t="s">
        <v>789</v>
      </c>
      <c r="J1242" s="8">
        <v>88</v>
      </c>
      <c r="K1242" s="9">
        <v>41712</v>
      </c>
      <c r="L1242" t="s">
        <v>174</v>
      </c>
    </row>
    <row r="1243" spans="6:12">
      <c r="F1243" s="1"/>
    </row>
    <row r="1244" spans="6:12">
      <c r="F1244" s="1"/>
      <c r="I1244" s="8" t="s">
        <v>790</v>
      </c>
      <c r="J1244" s="8">
        <v>1</v>
      </c>
      <c r="K1244" s="9">
        <v>41712</v>
      </c>
      <c r="L1244" s="8" t="s">
        <v>174</v>
      </c>
    </row>
    <row r="1245" spans="6:12">
      <c r="F1245" s="1"/>
    </row>
    <row r="1246" spans="6:12">
      <c r="F1246" s="1"/>
      <c r="I1246" s="8" t="s">
        <v>791</v>
      </c>
      <c r="J1246" s="8">
        <v>165</v>
      </c>
      <c r="K1246" s="9">
        <v>41677</v>
      </c>
      <c r="L1246" t="s">
        <v>174</v>
      </c>
    </row>
    <row r="1247" spans="6:12">
      <c r="F1247" s="1"/>
    </row>
    <row r="1248" spans="6:12">
      <c r="F1248" s="1"/>
      <c r="I1248" s="8" t="s">
        <v>792</v>
      </c>
      <c r="J1248" s="8">
        <v>9</v>
      </c>
      <c r="K1248" s="9">
        <v>41671</v>
      </c>
      <c r="L1248" s="8" t="s">
        <v>174</v>
      </c>
    </row>
    <row r="1249" spans="6:12">
      <c r="F1249" s="1"/>
    </row>
    <row r="1250" spans="6:12">
      <c r="F1250" s="1"/>
      <c r="I1250" s="8" t="s">
        <v>793</v>
      </c>
      <c r="J1250" s="8">
        <v>11</v>
      </c>
      <c r="K1250" s="9">
        <v>41677</v>
      </c>
      <c r="L1250" s="8" t="s">
        <v>174</v>
      </c>
    </row>
    <row r="1251" spans="6:12">
      <c r="F1251" s="1"/>
    </row>
    <row r="1252" spans="6:12">
      <c r="F1252" s="1"/>
      <c r="I1252" s="8" t="s">
        <v>794</v>
      </c>
      <c r="J1252" s="8">
        <v>15</v>
      </c>
      <c r="K1252" s="9">
        <v>41699</v>
      </c>
      <c r="L1252" s="8" t="s">
        <v>174</v>
      </c>
    </row>
    <row r="1253" spans="6:12">
      <c r="F1253" s="1"/>
    </row>
    <row r="1254" spans="6:12">
      <c r="F1254" s="1"/>
      <c r="I1254" s="8" t="s">
        <v>795</v>
      </c>
      <c r="J1254" s="8">
        <v>7</v>
      </c>
      <c r="K1254" s="9">
        <v>41677</v>
      </c>
      <c r="L1254" s="8" t="s">
        <v>174</v>
      </c>
    </row>
    <row r="1255" spans="6:12">
      <c r="F1255" s="1"/>
    </row>
    <row r="1256" spans="6:12">
      <c r="F1256" s="1"/>
      <c r="I1256" s="8" t="s">
        <v>796</v>
      </c>
      <c r="J1256" s="8">
        <v>4</v>
      </c>
      <c r="K1256" s="9">
        <v>41640</v>
      </c>
      <c r="L1256" s="8" t="s">
        <v>174</v>
      </c>
    </row>
    <row r="1257" spans="6:12">
      <c r="F1257" s="1"/>
    </row>
    <row r="1258" spans="6:12">
      <c r="F1258" s="1"/>
      <c r="I1258" s="8" t="s">
        <v>797</v>
      </c>
      <c r="J1258" s="8">
        <v>14</v>
      </c>
      <c r="K1258" s="9">
        <v>41640</v>
      </c>
      <c r="L1258" s="8" t="s">
        <v>174</v>
      </c>
    </row>
    <row r="1259" spans="6:12">
      <c r="F1259" s="1"/>
    </row>
    <row r="1260" spans="6:12">
      <c r="F1260" s="1"/>
      <c r="I1260" s="8" t="s">
        <v>798</v>
      </c>
      <c r="J1260" s="8">
        <v>12</v>
      </c>
      <c r="K1260" s="9">
        <v>41640</v>
      </c>
      <c r="L1260" s="8" t="s">
        <v>174</v>
      </c>
    </row>
    <row r="1261" spans="6:12">
      <c r="F1261" s="1"/>
    </row>
    <row r="1262" spans="6:12">
      <c r="F1262" s="1"/>
      <c r="I1262" s="8" t="s">
        <v>799</v>
      </c>
      <c r="J1262" s="8">
        <v>356</v>
      </c>
      <c r="K1262" s="9">
        <v>41579</v>
      </c>
      <c r="L1262" t="s">
        <v>174</v>
      </c>
    </row>
    <row r="1263" spans="6:12">
      <c r="F1263" s="1"/>
    </row>
    <row r="1264" spans="6:12">
      <c r="F1264" s="1"/>
      <c r="I1264" s="8" t="s">
        <v>800</v>
      </c>
      <c r="J1264" s="8">
        <v>15</v>
      </c>
      <c r="K1264" s="9">
        <v>41579</v>
      </c>
      <c r="L1264" s="8" t="s">
        <v>174</v>
      </c>
    </row>
    <row r="1265" spans="6:12">
      <c r="F1265" s="1"/>
    </row>
    <row r="1266" spans="6:12">
      <c r="F1266" s="1"/>
      <c r="I1266" s="8" t="s">
        <v>801</v>
      </c>
      <c r="J1266" s="8">
        <v>249</v>
      </c>
      <c r="K1266" s="9">
        <v>41544</v>
      </c>
      <c r="L1266" t="s">
        <v>174</v>
      </c>
    </row>
    <row r="1267" spans="6:12">
      <c r="F1267" s="1"/>
    </row>
    <row r="1268" spans="6:12">
      <c r="F1268" s="1"/>
      <c r="I1268" s="8" t="s">
        <v>802</v>
      </c>
      <c r="J1268" s="8">
        <v>10</v>
      </c>
      <c r="K1268" s="9">
        <v>41538</v>
      </c>
      <c r="L1268" s="8" t="s">
        <v>174</v>
      </c>
    </row>
    <row r="1269" spans="6:12">
      <c r="F1269" s="1"/>
    </row>
    <row r="1270" spans="6:12">
      <c r="F1270" s="1"/>
      <c r="I1270" s="8" t="s">
        <v>803</v>
      </c>
      <c r="J1270" s="8">
        <v>11</v>
      </c>
      <c r="K1270" s="9">
        <v>41544</v>
      </c>
      <c r="L1270" s="8" t="s">
        <v>174</v>
      </c>
    </row>
    <row r="1271" spans="6:12">
      <c r="F1271" s="1"/>
    </row>
    <row r="1272" spans="6:12">
      <c r="F1272" s="1"/>
      <c r="I1272" s="8" t="s">
        <v>804</v>
      </c>
      <c r="J1272" s="8">
        <v>15</v>
      </c>
      <c r="K1272" s="9">
        <v>41566</v>
      </c>
      <c r="L1272" s="8" t="s">
        <v>174</v>
      </c>
    </row>
    <row r="1273" spans="6:12">
      <c r="F1273" s="1"/>
    </row>
    <row r="1274" spans="6:12">
      <c r="F1274" s="1"/>
      <c r="I1274" s="8" t="s">
        <v>805</v>
      </c>
      <c r="J1274" s="8">
        <v>7</v>
      </c>
      <c r="K1274" s="9">
        <v>41544</v>
      </c>
      <c r="L1274" s="8" t="s">
        <v>174</v>
      </c>
    </row>
    <row r="1275" spans="6:12">
      <c r="F1275" s="1"/>
    </row>
    <row r="1276" spans="6:12">
      <c r="F1276" s="1"/>
      <c r="I1276" s="8" t="s">
        <v>806</v>
      </c>
      <c r="J1276" s="8">
        <v>81</v>
      </c>
      <c r="K1276" s="9">
        <v>41523</v>
      </c>
      <c r="L1276" t="s">
        <v>174</v>
      </c>
    </row>
    <row r="1277" spans="6:12">
      <c r="F1277" s="1"/>
    </row>
    <row r="1278" spans="6:12">
      <c r="F1278" s="1"/>
      <c r="I1278" s="8" t="s">
        <v>807</v>
      </c>
      <c r="J1278" s="8">
        <v>2</v>
      </c>
      <c r="K1278" s="9">
        <v>41523</v>
      </c>
      <c r="L1278" s="8" t="s">
        <v>174</v>
      </c>
    </row>
    <row r="1279" spans="6:12">
      <c r="F1279" s="1"/>
    </row>
    <row r="1280" spans="6:12">
      <c r="F1280" s="1"/>
      <c r="I1280" s="8" t="s">
        <v>808</v>
      </c>
      <c r="J1280" s="8">
        <v>20</v>
      </c>
      <c r="K1280" s="9">
        <v>41509</v>
      </c>
      <c r="L1280" s="8" t="s">
        <v>174</v>
      </c>
    </row>
    <row r="1281" spans="6:12">
      <c r="F1281" s="1"/>
    </row>
    <row r="1282" spans="6:12">
      <c r="F1282" s="1"/>
      <c r="I1282" s="8" t="s">
        <v>809</v>
      </c>
      <c r="J1282" s="8">
        <v>249</v>
      </c>
      <c r="K1282" s="9">
        <v>41474</v>
      </c>
      <c r="L1282" t="s">
        <v>174</v>
      </c>
    </row>
    <row r="1283" spans="6:12">
      <c r="F1283" s="1"/>
    </row>
    <row r="1284" spans="6:12">
      <c r="F1284" s="1"/>
      <c r="I1284" s="8" t="s">
        <v>810</v>
      </c>
      <c r="J1284" s="8">
        <v>6</v>
      </c>
      <c r="K1284" s="9">
        <v>41473</v>
      </c>
      <c r="L1284" s="8" t="s">
        <v>174</v>
      </c>
    </row>
    <row r="1285" spans="6:12">
      <c r="F1285" s="1"/>
    </row>
    <row r="1286" spans="6:12">
      <c r="F1286" s="1"/>
      <c r="I1286" s="8" t="s">
        <v>811</v>
      </c>
      <c r="J1286" s="8">
        <v>13</v>
      </c>
      <c r="K1286" s="9">
        <v>41474</v>
      </c>
      <c r="L1286" s="8" t="s">
        <v>174</v>
      </c>
    </row>
    <row r="1287" spans="6:12">
      <c r="F1287" s="1"/>
    </row>
    <row r="1288" spans="6:12">
      <c r="F1288" s="1"/>
      <c r="I1288" s="8" t="s">
        <v>812</v>
      </c>
      <c r="J1288" s="8">
        <v>5</v>
      </c>
      <c r="K1288" s="9">
        <v>41473</v>
      </c>
      <c r="L1288" s="8" t="s">
        <v>174</v>
      </c>
    </row>
    <row r="1289" spans="6:12">
      <c r="F1289" s="1"/>
    </row>
    <row r="1290" spans="6:12">
      <c r="F1290" s="1"/>
      <c r="I1290" s="8" t="s">
        <v>813</v>
      </c>
      <c r="J1290" s="8">
        <v>229</v>
      </c>
      <c r="K1290" s="9">
        <v>41432</v>
      </c>
      <c r="L1290" s="8" t="s">
        <v>174</v>
      </c>
    </row>
    <row r="1291" spans="6:12">
      <c r="F1291" s="1"/>
    </row>
    <row r="1292" spans="6:12">
      <c r="F1292" s="1"/>
      <c r="I1292" s="8" t="s">
        <v>814</v>
      </c>
      <c r="J1292" s="8">
        <v>16</v>
      </c>
      <c r="K1292" s="9">
        <v>41432</v>
      </c>
      <c r="L1292" s="8" t="s">
        <v>174</v>
      </c>
    </row>
    <row r="1293" spans="6:12">
      <c r="F1293" s="1"/>
    </row>
    <row r="1294" spans="6:12">
      <c r="F1294" s="1"/>
      <c r="I1294" s="8" t="s">
        <v>815</v>
      </c>
      <c r="J1294" s="8">
        <v>156</v>
      </c>
      <c r="K1294" s="9">
        <v>41397</v>
      </c>
      <c r="L1294" t="s">
        <v>174</v>
      </c>
    </row>
    <row r="1295" spans="6:12">
      <c r="F1295" s="1"/>
    </row>
    <row r="1296" spans="6:12">
      <c r="F1296" s="1"/>
      <c r="I1296" s="8" t="s">
        <v>816</v>
      </c>
      <c r="J1296" s="8">
        <v>6</v>
      </c>
      <c r="K1296" s="9">
        <v>41391</v>
      </c>
      <c r="L1296" s="8" t="s">
        <v>174</v>
      </c>
    </row>
    <row r="1297" spans="6:12">
      <c r="F1297" s="1"/>
    </row>
    <row r="1298" spans="6:12">
      <c r="F1298" s="1"/>
      <c r="I1298" s="8" t="s">
        <v>817</v>
      </c>
      <c r="J1298" s="8">
        <v>1</v>
      </c>
      <c r="K1298" s="9">
        <v>41397</v>
      </c>
      <c r="L1298" s="8" t="s">
        <v>174</v>
      </c>
    </row>
    <row r="1299" spans="6:12">
      <c r="F1299" s="1"/>
    </row>
    <row r="1300" spans="6:12">
      <c r="F1300" s="1"/>
      <c r="I1300" s="8" t="s">
        <v>818</v>
      </c>
      <c r="J1300" s="8">
        <v>5</v>
      </c>
      <c r="K1300" s="9">
        <v>41370</v>
      </c>
      <c r="L1300" s="8" t="s">
        <v>174</v>
      </c>
    </row>
    <row r="1301" spans="6:12">
      <c r="F1301" s="1"/>
    </row>
    <row r="1302" spans="6:12">
      <c r="F1302" s="1"/>
      <c r="I1302" s="8" t="s">
        <v>819</v>
      </c>
      <c r="J1302" s="8">
        <v>80</v>
      </c>
      <c r="K1302" s="9">
        <v>41348</v>
      </c>
      <c r="L1302" t="s">
        <v>174</v>
      </c>
    </row>
    <row r="1303" spans="6:12">
      <c r="F1303" s="1"/>
    </row>
    <row r="1304" spans="6:12">
      <c r="F1304" s="1"/>
      <c r="I1304" s="8" t="s">
        <v>820</v>
      </c>
      <c r="J1304" s="8">
        <v>1</v>
      </c>
      <c r="K1304" s="9">
        <v>41348</v>
      </c>
      <c r="L1304" s="8" t="s">
        <v>174</v>
      </c>
    </row>
    <row r="1305" spans="6:12">
      <c r="F1305" s="1"/>
    </row>
    <row r="1306" spans="6:12">
      <c r="F1306" s="1"/>
      <c r="I1306" s="8" t="s">
        <v>821</v>
      </c>
      <c r="J1306" s="8">
        <v>249</v>
      </c>
      <c r="K1306" s="9">
        <v>41306</v>
      </c>
      <c r="L1306" t="s">
        <v>174</v>
      </c>
    </row>
    <row r="1307" spans="6:12">
      <c r="F1307" s="1"/>
    </row>
    <row r="1308" spans="6:12">
      <c r="F1308" s="1"/>
      <c r="I1308" s="8" t="s">
        <v>822</v>
      </c>
      <c r="J1308" s="8">
        <v>10</v>
      </c>
      <c r="K1308" s="9">
        <v>41300</v>
      </c>
      <c r="L1308" s="8" t="s">
        <v>174</v>
      </c>
    </row>
    <row r="1309" spans="6:12">
      <c r="F1309" s="1"/>
    </row>
    <row r="1310" spans="6:12">
      <c r="F1310" s="1"/>
      <c r="I1310" s="8" t="s">
        <v>823</v>
      </c>
      <c r="J1310" s="8">
        <v>8</v>
      </c>
      <c r="K1310" s="9">
        <v>41306</v>
      </c>
      <c r="L1310" s="8" t="s">
        <v>174</v>
      </c>
    </row>
    <row r="1311" spans="6:12">
      <c r="F1311" s="1"/>
    </row>
    <row r="1312" spans="6:12">
      <c r="F1312" s="1"/>
      <c r="I1312" s="8" t="s">
        <v>824</v>
      </c>
      <c r="J1312" s="8">
        <v>3</v>
      </c>
      <c r="K1312" s="9">
        <v>41275</v>
      </c>
      <c r="L1312" s="8" t="s">
        <v>174</v>
      </c>
    </row>
    <row r="1313" spans="6:12">
      <c r="F1313" s="1"/>
    </row>
    <row r="1314" spans="6:12">
      <c r="F1314" s="1"/>
      <c r="I1314" s="8" t="s">
        <v>825</v>
      </c>
      <c r="J1314" s="8">
        <v>4</v>
      </c>
      <c r="K1314" s="9">
        <v>41275</v>
      </c>
      <c r="L1314" s="8" t="s">
        <v>174</v>
      </c>
    </row>
    <row r="1315" spans="6:12">
      <c r="F1315" s="1"/>
    </row>
    <row r="1316" spans="6:12">
      <c r="F1316" s="1"/>
      <c r="I1316" s="8" t="s">
        <v>826</v>
      </c>
      <c r="J1316" s="8">
        <v>9</v>
      </c>
      <c r="K1316" s="9">
        <v>41275</v>
      </c>
      <c r="L1316" s="8" t="s">
        <v>174</v>
      </c>
    </row>
    <row r="1317" spans="6:12">
      <c r="F1317" s="1"/>
    </row>
    <row r="1318" spans="6:12">
      <c r="F1318" s="1"/>
      <c r="I1318" s="8" t="s">
        <v>827</v>
      </c>
      <c r="J1318" s="8">
        <v>12</v>
      </c>
      <c r="K1318" s="9">
        <v>41275</v>
      </c>
      <c r="L1318" s="8" t="s">
        <v>174</v>
      </c>
    </row>
    <row r="1319" spans="6:12">
      <c r="F1319" s="1"/>
    </row>
    <row r="1320" spans="6:12">
      <c r="F1320" s="1"/>
      <c r="I1320" s="8" t="s">
        <v>828</v>
      </c>
      <c r="J1320" s="8">
        <v>18</v>
      </c>
      <c r="K1320" s="9">
        <v>41215</v>
      </c>
      <c r="L1320" s="8" t="s">
        <v>174</v>
      </c>
    </row>
    <row r="1321" spans="6:12">
      <c r="F1321" s="1"/>
    </row>
    <row r="1322" spans="6:12">
      <c r="F1322" s="1"/>
      <c r="I1322" s="8" t="s">
        <v>829</v>
      </c>
      <c r="J1322" s="8">
        <v>10</v>
      </c>
      <c r="K1322" s="9">
        <v>41215</v>
      </c>
      <c r="L1322" s="8" t="s">
        <v>174</v>
      </c>
    </row>
    <row r="1323" spans="6:12">
      <c r="F1323" s="1"/>
    </row>
    <row r="1324" spans="6:12">
      <c r="F1324" s="1"/>
      <c r="I1324" s="8" t="s">
        <v>830</v>
      </c>
      <c r="J1324" s="8">
        <v>274</v>
      </c>
      <c r="K1324" s="9">
        <v>41187</v>
      </c>
      <c r="L1324" t="s">
        <v>174</v>
      </c>
    </row>
    <row r="1325" spans="6:12">
      <c r="F1325" s="1"/>
    </row>
    <row r="1326" spans="6:12">
      <c r="F1326" s="1"/>
      <c r="I1326" s="8" t="s">
        <v>831</v>
      </c>
      <c r="J1326" s="8">
        <v>10</v>
      </c>
      <c r="K1326" s="9">
        <v>41187</v>
      </c>
      <c r="L1326" s="8" t="s">
        <v>174</v>
      </c>
    </row>
    <row r="1327" spans="6:12">
      <c r="F1327" s="1"/>
    </row>
    <row r="1328" spans="6:12">
      <c r="F1328" s="1"/>
      <c r="I1328" s="8" t="s">
        <v>832</v>
      </c>
      <c r="J1328" s="8">
        <v>12</v>
      </c>
      <c r="K1328" s="9">
        <v>41187</v>
      </c>
      <c r="L1328" s="8" t="s">
        <v>174</v>
      </c>
    </row>
    <row r="1329" spans="6:12">
      <c r="F1329" s="1"/>
    </row>
    <row r="1330" spans="6:12">
      <c r="F1330" s="1"/>
      <c r="I1330" s="8" t="s">
        <v>833</v>
      </c>
      <c r="J1330" s="8">
        <v>90</v>
      </c>
      <c r="K1330" s="9">
        <v>41159</v>
      </c>
      <c r="L1330" t="s">
        <v>174</v>
      </c>
    </row>
    <row r="1331" spans="6:12">
      <c r="F1331" s="1"/>
    </row>
    <row r="1332" spans="6:12">
      <c r="F1332" s="1"/>
      <c r="I1332" s="8" t="s">
        <v>834</v>
      </c>
      <c r="J1332" s="8">
        <v>1</v>
      </c>
      <c r="K1332" s="9">
        <v>41159</v>
      </c>
      <c r="L1332" s="8" t="s">
        <v>174</v>
      </c>
    </row>
    <row r="1333" spans="6:12">
      <c r="F1333" s="1"/>
    </row>
    <row r="1334" spans="6:12">
      <c r="F1334" s="1"/>
      <c r="I1334" s="8" t="s">
        <v>835</v>
      </c>
      <c r="J1334" s="8">
        <v>15</v>
      </c>
      <c r="K1334" s="9">
        <v>41152</v>
      </c>
      <c r="L1334" s="8" t="s">
        <v>174</v>
      </c>
    </row>
    <row r="1335" spans="6:12">
      <c r="F1335" s="1"/>
    </row>
    <row r="1336" spans="6:12">
      <c r="F1336" s="1"/>
      <c r="I1336" s="8" t="s">
        <v>836</v>
      </c>
      <c r="J1336" s="8">
        <v>249</v>
      </c>
      <c r="K1336" s="9">
        <v>41103</v>
      </c>
      <c r="L1336" t="s">
        <v>174</v>
      </c>
    </row>
    <row r="1337" spans="6:12">
      <c r="F1337" s="1"/>
    </row>
    <row r="1338" spans="6:12">
      <c r="F1338" s="1"/>
      <c r="I1338" s="8" t="s">
        <v>837</v>
      </c>
      <c r="J1338" s="8">
        <v>6</v>
      </c>
      <c r="K1338" s="9">
        <v>41102</v>
      </c>
      <c r="L1338" s="8" t="s">
        <v>174</v>
      </c>
    </row>
    <row r="1339" spans="6:12">
      <c r="F1339" s="1"/>
    </row>
    <row r="1340" spans="6:12">
      <c r="F1340" s="1"/>
      <c r="I1340" s="8" t="s">
        <v>838</v>
      </c>
      <c r="J1340" s="8">
        <v>11</v>
      </c>
      <c r="K1340" s="9">
        <v>41103</v>
      </c>
      <c r="L1340" s="8" t="s">
        <v>174</v>
      </c>
    </row>
    <row r="1341" spans="6:12">
      <c r="F1341" s="1"/>
    </row>
    <row r="1342" spans="6:12">
      <c r="F1342" s="1"/>
      <c r="I1342" s="8" t="s">
        <v>839</v>
      </c>
      <c r="J1342" s="8">
        <v>156</v>
      </c>
      <c r="K1342" s="9">
        <v>41061</v>
      </c>
      <c r="L1342" t="s">
        <v>174</v>
      </c>
    </row>
    <row r="1343" spans="6:12">
      <c r="F1343" s="1"/>
    </row>
    <row r="1344" spans="6:12">
      <c r="F1344" s="1"/>
      <c r="I1344" s="8" t="s">
        <v>840</v>
      </c>
      <c r="J1344" s="8">
        <v>40</v>
      </c>
      <c r="K1344" s="9">
        <v>41061</v>
      </c>
      <c r="L1344" t="s">
        <v>174</v>
      </c>
    </row>
    <row r="1345" spans="6:12">
      <c r="F1345" s="1"/>
    </row>
    <row r="1346" spans="6:12">
      <c r="F1346" s="1"/>
      <c r="I1346" s="8" t="s">
        <v>841</v>
      </c>
      <c r="J1346" s="8">
        <v>244</v>
      </c>
      <c r="K1346" s="9">
        <v>41033</v>
      </c>
      <c r="L1346" t="s">
        <v>174</v>
      </c>
    </row>
    <row r="1347" spans="6:12">
      <c r="F1347" s="1"/>
    </row>
    <row r="1348" spans="6:12">
      <c r="F1348" s="1"/>
      <c r="I1348" s="8" t="s">
        <v>842</v>
      </c>
      <c r="J1348" s="8">
        <v>6</v>
      </c>
      <c r="K1348" s="9">
        <v>41027</v>
      </c>
      <c r="L1348" s="8" t="s">
        <v>174</v>
      </c>
    </row>
    <row r="1349" spans="6:12">
      <c r="F1349" s="1"/>
    </row>
    <row r="1350" spans="6:12">
      <c r="F1350" s="1"/>
      <c r="I1350" s="8" t="s">
        <v>843</v>
      </c>
      <c r="J1350" s="8">
        <v>8</v>
      </c>
      <c r="K1350" s="9">
        <v>41033</v>
      </c>
      <c r="L1350" s="8" t="s">
        <v>174</v>
      </c>
    </row>
    <row r="1351" spans="6:12">
      <c r="F1351" s="1"/>
    </row>
    <row r="1352" spans="6:12">
      <c r="F1352" s="1"/>
      <c r="I1352" s="8" t="s">
        <v>844</v>
      </c>
      <c r="J1352" s="8">
        <v>6</v>
      </c>
      <c r="K1352" s="9">
        <v>41027</v>
      </c>
      <c r="L1352" s="8" t="s">
        <v>174</v>
      </c>
    </row>
    <row r="1353" spans="6:12">
      <c r="F1353" s="1"/>
    </row>
    <row r="1354" spans="6:12">
      <c r="F1354" s="1"/>
      <c r="I1354" s="8" t="s">
        <v>845</v>
      </c>
      <c r="J1354" s="8">
        <v>77</v>
      </c>
      <c r="K1354" s="9">
        <v>40998</v>
      </c>
      <c r="L1354" t="s">
        <v>174</v>
      </c>
    </row>
    <row r="1355" spans="6:12">
      <c r="F1355" s="1"/>
    </row>
    <row r="1356" spans="6:12">
      <c r="F1356" s="1"/>
      <c r="I1356" s="8" t="s">
        <v>846</v>
      </c>
      <c r="J1356" s="8">
        <v>2</v>
      </c>
      <c r="K1356" s="9">
        <v>40998</v>
      </c>
      <c r="L1356" s="8" t="s">
        <v>174</v>
      </c>
    </row>
    <row r="1357" spans="6:12">
      <c r="F1357" s="1"/>
    </row>
    <row r="1358" spans="6:12">
      <c r="F1358" s="1"/>
      <c r="I1358" s="8" t="s">
        <v>847</v>
      </c>
      <c r="J1358" s="8">
        <v>158</v>
      </c>
      <c r="K1358" s="9">
        <v>40942</v>
      </c>
      <c r="L1358" t="s">
        <v>174</v>
      </c>
    </row>
    <row r="1359" spans="6:12">
      <c r="F1359" s="1"/>
    </row>
    <row r="1360" spans="6:12">
      <c r="F1360" s="1"/>
      <c r="I1360" s="8" t="s">
        <v>848</v>
      </c>
      <c r="J1360" s="8">
        <v>5</v>
      </c>
      <c r="K1360" s="9">
        <v>40936</v>
      </c>
      <c r="L1360" s="8" t="s">
        <v>174</v>
      </c>
    </row>
    <row r="1361" spans="6:12">
      <c r="F1361" s="1"/>
    </row>
    <row r="1362" spans="6:12">
      <c r="F1362" s="1"/>
      <c r="I1362" s="8" t="s">
        <v>849</v>
      </c>
      <c r="J1362" s="8">
        <v>4</v>
      </c>
      <c r="K1362" s="9">
        <v>40942</v>
      </c>
      <c r="L1362" s="8" t="s">
        <v>174</v>
      </c>
    </row>
    <row r="1363" spans="6:12">
      <c r="F1363" s="1"/>
    </row>
    <row r="1364" spans="6:12">
      <c r="F1364" s="1"/>
      <c r="I1364" s="8" t="s">
        <v>850</v>
      </c>
      <c r="J1364" s="8">
        <v>3</v>
      </c>
      <c r="K1364" s="9">
        <v>40909</v>
      </c>
      <c r="L1364" s="8" t="s">
        <v>174</v>
      </c>
    </row>
    <row r="1365" spans="6:12">
      <c r="F1365" s="1"/>
    </row>
    <row r="1366" spans="6:12">
      <c r="F1366" s="1"/>
      <c r="I1366" s="8" t="s">
        <v>851</v>
      </c>
      <c r="J1366" s="8">
        <v>3</v>
      </c>
      <c r="K1366" s="9">
        <v>40909</v>
      </c>
      <c r="L1366" s="8" t="s">
        <v>174</v>
      </c>
    </row>
    <row r="1367" spans="6:12">
      <c r="F1367" s="1"/>
    </row>
    <row r="1368" spans="6:12">
      <c r="F1368" s="1"/>
      <c r="I1368" s="8" t="s">
        <v>852</v>
      </c>
      <c r="J1368" s="8">
        <v>17</v>
      </c>
      <c r="K1368" s="9">
        <v>40909</v>
      </c>
      <c r="L1368" s="8" t="s">
        <v>174</v>
      </c>
    </row>
    <row r="1369" spans="6:12">
      <c r="F1369" s="1"/>
    </row>
    <row r="1370" spans="6:12">
      <c r="F1370" s="1"/>
      <c r="I1370" s="8" t="s">
        <v>853</v>
      </c>
      <c r="J1370" s="8">
        <v>2</v>
      </c>
      <c r="K1370" s="9">
        <v>40909</v>
      </c>
      <c r="L1370" s="8" t="s">
        <v>174</v>
      </c>
    </row>
    <row r="1371" spans="6:12">
      <c r="F1371" s="1"/>
    </row>
    <row r="1372" spans="6:12">
      <c r="F1372" s="1"/>
      <c r="I1372" s="8" t="s">
        <v>854</v>
      </c>
      <c r="J1372" s="8">
        <v>9</v>
      </c>
      <c r="K1372" s="9">
        <v>40909</v>
      </c>
      <c r="L1372" s="8" t="s">
        <v>174</v>
      </c>
    </row>
    <row r="1373" spans="6:12">
      <c r="F1373" s="1"/>
    </row>
    <row r="1374" spans="6:12">
      <c r="F1374" s="1"/>
      <c r="I1374" s="8" t="s">
        <v>855</v>
      </c>
      <c r="J1374" s="8">
        <v>13</v>
      </c>
      <c r="K1374" s="9">
        <v>40909</v>
      </c>
      <c r="L1374" s="8" t="s">
        <v>174</v>
      </c>
    </row>
    <row r="1375" spans="6:12">
      <c r="F1375" s="1"/>
    </row>
    <row r="1376" spans="6:12">
      <c r="F1376" s="1"/>
      <c r="I1376" s="8" t="s">
        <v>856</v>
      </c>
      <c r="J1376" s="8">
        <v>30</v>
      </c>
      <c r="K1376" s="9">
        <v>40865</v>
      </c>
      <c r="L1376" s="8" t="s">
        <v>174</v>
      </c>
    </row>
    <row r="1377" spans="6:12">
      <c r="F1377" s="1"/>
    </row>
    <row r="1378" spans="6:12">
      <c r="F1378" s="1"/>
      <c r="I1378" s="8" t="s">
        <v>857</v>
      </c>
      <c r="J1378" s="8">
        <v>264</v>
      </c>
      <c r="K1378" s="9">
        <v>40816</v>
      </c>
      <c r="L1378" t="s">
        <v>174</v>
      </c>
    </row>
    <row r="1379" spans="6:12">
      <c r="F1379" s="1"/>
    </row>
    <row r="1380" spans="6:12">
      <c r="F1380" s="1"/>
      <c r="I1380" s="8" t="s">
        <v>858</v>
      </c>
      <c r="J1380" s="8">
        <v>5</v>
      </c>
      <c r="K1380" s="9">
        <v>40810</v>
      </c>
      <c r="L1380" s="8" t="s">
        <v>174</v>
      </c>
    </row>
    <row r="1381" spans="6:12">
      <c r="F1381" s="1"/>
    </row>
    <row r="1382" spans="6:12">
      <c r="F1382" s="1"/>
      <c r="I1382" s="8" t="s">
        <v>859</v>
      </c>
      <c r="J1382" s="8">
        <v>13</v>
      </c>
      <c r="K1382" s="9">
        <v>40816</v>
      </c>
      <c r="L1382" s="8" t="s">
        <v>174</v>
      </c>
    </row>
    <row r="1383" spans="6:12">
      <c r="F1383" s="1"/>
    </row>
    <row r="1384" spans="6:12">
      <c r="F1384" s="1"/>
      <c r="I1384" s="8" t="s">
        <v>860</v>
      </c>
      <c r="J1384" s="8">
        <v>80</v>
      </c>
      <c r="K1384" s="9">
        <v>40788</v>
      </c>
      <c r="L1384" t="s">
        <v>174</v>
      </c>
    </row>
    <row r="1385" spans="6:12">
      <c r="F1385" s="1"/>
    </row>
    <row r="1386" spans="6:12">
      <c r="F1386" s="1"/>
      <c r="I1386" s="8" t="s">
        <v>861</v>
      </c>
      <c r="J1386" s="8">
        <v>2</v>
      </c>
      <c r="K1386" s="9">
        <v>40788</v>
      </c>
      <c r="L1386" s="8" t="s">
        <v>174</v>
      </c>
    </row>
    <row r="1387" spans="6:12">
      <c r="F1387" s="1"/>
    </row>
    <row r="1388" spans="6:12">
      <c r="F1388" s="1"/>
      <c r="I1388" s="8" t="s">
        <v>862</v>
      </c>
      <c r="J1388" s="8">
        <v>15</v>
      </c>
      <c r="K1388" s="9">
        <v>40781</v>
      </c>
      <c r="L1388" s="8" t="s">
        <v>174</v>
      </c>
    </row>
    <row r="1389" spans="6:12">
      <c r="F1389" s="1"/>
    </row>
    <row r="1390" spans="6:12">
      <c r="F1390" s="1"/>
      <c r="I1390" s="8" t="s">
        <v>863</v>
      </c>
      <c r="J1390" s="8">
        <v>249</v>
      </c>
      <c r="K1390" s="9">
        <v>40739</v>
      </c>
      <c r="L1390" t="s">
        <v>174</v>
      </c>
    </row>
    <row r="1391" spans="6:12">
      <c r="F1391" s="1"/>
    </row>
    <row r="1392" spans="6:12">
      <c r="F1392" s="1"/>
      <c r="I1392" s="8" t="s">
        <v>864</v>
      </c>
      <c r="J1392" s="8">
        <v>3</v>
      </c>
      <c r="K1392" s="9">
        <v>40738</v>
      </c>
      <c r="L1392" s="8" t="s">
        <v>174</v>
      </c>
    </row>
    <row r="1393" spans="6:12">
      <c r="F1393" s="1"/>
    </row>
    <row r="1394" spans="6:12">
      <c r="F1394" s="1"/>
      <c r="I1394" s="8" t="s">
        <v>865</v>
      </c>
      <c r="J1394" s="8">
        <v>7</v>
      </c>
      <c r="K1394" s="9">
        <v>40739</v>
      </c>
      <c r="L1394" s="8" t="s">
        <v>174</v>
      </c>
    </row>
    <row r="1395" spans="6:12">
      <c r="F1395" s="1"/>
    </row>
    <row r="1396" spans="6:12">
      <c r="F1396" s="1"/>
      <c r="I1396" s="8" t="s">
        <v>866</v>
      </c>
      <c r="J1396" s="8">
        <v>318</v>
      </c>
      <c r="K1396" s="9">
        <v>40711</v>
      </c>
      <c r="L1396" t="s">
        <v>174</v>
      </c>
    </row>
    <row r="1397" spans="6:12">
      <c r="F1397" s="1"/>
    </row>
    <row r="1398" spans="6:12">
      <c r="F1398" s="1"/>
      <c r="I1398" s="8" t="s">
        <v>867</v>
      </c>
      <c r="J1398" s="8">
        <v>5</v>
      </c>
      <c r="K1398" s="9">
        <v>40711</v>
      </c>
      <c r="L1398" s="8" t="s">
        <v>174</v>
      </c>
    </row>
    <row r="1399" spans="6:12">
      <c r="F1399" s="1"/>
    </row>
    <row r="1400" spans="6:12">
      <c r="F1400" s="1"/>
      <c r="I1400" s="8" t="s">
        <v>868</v>
      </c>
      <c r="J1400" s="8">
        <v>15</v>
      </c>
      <c r="K1400" s="9">
        <v>40711</v>
      </c>
      <c r="L1400" s="8" t="s">
        <v>174</v>
      </c>
    </row>
    <row r="1401" spans="6:12">
      <c r="F1401" s="1"/>
    </row>
    <row r="1402" spans="6:12">
      <c r="F1402" s="1"/>
      <c r="I1402" s="8" t="s">
        <v>869</v>
      </c>
      <c r="J1402" s="8">
        <v>88</v>
      </c>
      <c r="K1402" s="9">
        <v>40677</v>
      </c>
      <c r="L1402" s="8" t="s">
        <v>174</v>
      </c>
    </row>
    <row r="1403" spans="6:12">
      <c r="F1403" s="1"/>
    </row>
    <row r="1404" spans="6:12">
      <c r="F1404" s="1"/>
      <c r="I1404" s="8" t="s">
        <v>870</v>
      </c>
      <c r="J1404" s="8">
        <v>175</v>
      </c>
      <c r="K1404" s="9">
        <v>40676</v>
      </c>
      <c r="L1404" t="s">
        <v>174</v>
      </c>
    </row>
    <row r="1405" spans="6:12">
      <c r="F1405" s="1"/>
    </row>
    <row r="1406" spans="6:12">
      <c r="F1406" s="1"/>
      <c r="I1406" s="8" t="s">
        <v>871</v>
      </c>
      <c r="J1406" s="8">
        <v>4</v>
      </c>
      <c r="K1406" s="9">
        <v>40675</v>
      </c>
      <c r="L1406" s="8" t="s">
        <v>174</v>
      </c>
    </row>
    <row r="1407" spans="6:12">
      <c r="F1407" s="1"/>
    </row>
    <row r="1408" spans="6:12">
      <c r="F1408" s="1"/>
      <c r="I1408" s="8" t="s">
        <v>872</v>
      </c>
      <c r="J1408" s="8">
        <v>5</v>
      </c>
      <c r="K1408" s="9">
        <v>40676</v>
      </c>
      <c r="L1408" s="8" t="s">
        <v>174</v>
      </c>
    </row>
    <row r="1409" spans="6:12">
      <c r="F1409" s="1"/>
    </row>
    <row r="1410" spans="6:12">
      <c r="F1410" s="1"/>
      <c r="I1410" s="8" t="s">
        <v>873</v>
      </c>
      <c r="J1410" s="8">
        <v>81</v>
      </c>
      <c r="K1410" s="9">
        <v>40634</v>
      </c>
      <c r="L1410" t="s">
        <v>174</v>
      </c>
    </row>
    <row r="1411" spans="6:12">
      <c r="F1411" s="1"/>
    </row>
    <row r="1412" spans="6:12">
      <c r="F1412" s="1"/>
      <c r="I1412" s="8" t="s">
        <v>874</v>
      </c>
      <c r="J1412" s="8">
        <v>1</v>
      </c>
      <c r="K1412" s="9">
        <v>40634</v>
      </c>
      <c r="L1412" s="8" t="s">
        <v>174</v>
      </c>
    </row>
    <row r="1413" spans="6:12">
      <c r="F1413" s="1"/>
    </row>
    <row r="1414" spans="6:12">
      <c r="F1414" s="1"/>
      <c r="I1414" s="8" t="s">
        <v>875</v>
      </c>
      <c r="J1414" s="8">
        <v>155</v>
      </c>
      <c r="K1414" s="9">
        <v>40578</v>
      </c>
      <c r="L1414" t="s">
        <v>174</v>
      </c>
    </row>
    <row r="1415" spans="6:12">
      <c r="F1415" s="1"/>
    </row>
    <row r="1416" spans="6:12">
      <c r="F1416" s="1"/>
      <c r="I1416" s="8" t="s">
        <v>876</v>
      </c>
      <c r="J1416" s="8">
        <v>4</v>
      </c>
      <c r="K1416" s="9">
        <v>40577</v>
      </c>
      <c r="L1416" s="8" t="s">
        <v>174</v>
      </c>
    </row>
    <row r="1417" spans="6:12">
      <c r="F1417" s="1"/>
    </row>
    <row r="1418" spans="6:12">
      <c r="F1418" s="1"/>
      <c r="I1418" s="8" t="s">
        <v>877</v>
      </c>
      <c r="J1418" s="8">
        <v>6</v>
      </c>
      <c r="K1418" s="9">
        <v>40578</v>
      </c>
      <c r="L1418" s="8" t="s">
        <v>174</v>
      </c>
    </row>
    <row r="1419" spans="6:12">
      <c r="F1419" s="1"/>
    </row>
    <row r="1420" spans="6:12">
      <c r="F1420" s="1"/>
      <c r="I1420" s="8" t="s">
        <v>878</v>
      </c>
      <c r="J1420" s="8">
        <v>269</v>
      </c>
      <c r="K1420" s="9">
        <v>40553</v>
      </c>
      <c r="L1420" s="8" t="s">
        <v>174</v>
      </c>
    </row>
    <row r="1421" spans="6:12">
      <c r="F1421" s="1"/>
    </row>
    <row r="1422" spans="6:12">
      <c r="F1422" s="1"/>
      <c r="I1422" s="8" t="s">
        <v>879</v>
      </c>
      <c r="J1422" s="8">
        <v>5</v>
      </c>
      <c r="K1422" s="9">
        <v>40544</v>
      </c>
      <c r="L1422" s="8" t="s">
        <v>174</v>
      </c>
    </row>
    <row r="1423" spans="6:12">
      <c r="F1423" s="1"/>
    </row>
    <row r="1424" spans="6:12">
      <c r="F1424" s="1"/>
      <c r="I1424" s="8" t="s">
        <v>880</v>
      </c>
      <c r="J1424" s="8">
        <v>3</v>
      </c>
      <c r="K1424" s="9">
        <v>40544</v>
      </c>
      <c r="L1424" s="8" t="s">
        <v>174</v>
      </c>
    </row>
    <row r="1425" spans="6:12">
      <c r="F1425" s="1"/>
    </row>
    <row r="1426" spans="6:12">
      <c r="F1426" s="1"/>
      <c r="I1426" s="8" t="s">
        <v>881</v>
      </c>
      <c r="J1426" s="8">
        <v>3</v>
      </c>
      <c r="K1426" s="9">
        <v>40544</v>
      </c>
      <c r="L1426" s="8" t="s">
        <v>174</v>
      </c>
    </row>
    <row r="1427" spans="6:12">
      <c r="F1427" s="1"/>
    </row>
    <row r="1428" spans="6:12">
      <c r="F1428" s="1"/>
      <c r="I1428" s="8" t="s">
        <v>882</v>
      </c>
      <c r="J1428" s="8">
        <v>224</v>
      </c>
      <c r="K1428" s="9">
        <v>40544</v>
      </c>
      <c r="L1428" s="8" t="s">
        <v>174</v>
      </c>
    </row>
    <row r="1429" spans="6:12">
      <c r="F1429" s="1"/>
    </row>
    <row r="1430" spans="6:12">
      <c r="F1430" s="1"/>
      <c r="I1430" s="8" t="s">
        <v>883</v>
      </c>
      <c r="J1430" s="8">
        <v>27</v>
      </c>
      <c r="K1430" s="9">
        <v>40544</v>
      </c>
      <c r="L1430" s="8" t="s">
        <v>174</v>
      </c>
    </row>
    <row r="1431" spans="6:12">
      <c r="F1431" s="1"/>
    </row>
    <row r="1432" spans="6:12">
      <c r="F1432" s="1"/>
      <c r="I1432" s="8" t="s">
        <v>884</v>
      </c>
      <c r="J1432" s="8">
        <v>8</v>
      </c>
      <c r="K1432" s="9">
        <v>40544</v>
      </c>
      <c r="L1432" s="8" t="s">
        <v>174</v>
      </c>
    </row>
    <row r="1433" spans="6:12">
      <c r="F1433" s="1"/>
    </row>
    <row r="1434" spans="6:12">
      <c r="F1434" s="1"/>
      <c r="I1434" s="8" t="s">
        <v>885</v>
      </c>
      <c r="J1434" s="8">
        <v>7</v>
      </c>
      <c r="K1434" s="9">
        <v>40544</v>
      </c>
      <c r="L1434" s="8" t="s">
        <v>174</v>
      </c>
    </row>
    <row r="1435" spans="6:12">
      <c r="F1435" s="1"/>
    </row>
    <row r="1436" spans="6:12">
      <c r="F1436" s="1"/>
      <c r="I1436" s="8" t="s">
        <v>886</v>
      </c>
      <c r="J1436" s="8">
        <v>12</v>
      </c>
      <c r="K1436" s="9">
        <v>40544</v>
      </c>
      <c r="L1436" s="8" t="s">
        <v>174</v>
      </c>
    </row>
    <row r="1437" spans="6:12">
      <c r="F1437" s="1"/>
    </row>
    <row r="1438" spans="6:12">
      <c r="F1438" s="1"/>
      <c r="I1438" s="8" t="s">
        <v>887</v>
      </c>
      <c r="J1438" s="8">
        <v>34</v>
      </c>
      <c r="K1438" s="9">
        <v>40501</v>
      </c>
      <c r="L1438" s="8" t="s">
        <v>174</v>
      </c>
    </row>
    <row r="1439" spans="6:12">
      <c r="F1439" s="1"/>
    </row>
    <row r="1440" spans="6:12">
      <c r="F1440" s="1"/>
      <c r="I1440" s="8" t="s">
        <v>888</v>
      </c>
      <c r="J1440" s="8">
        <v>197</v>
      </c>
      <c r="K1440" s="9">
        <v>40490</v>
      </c>
      <c r="L1440" s="8" t="s">
        <v>174</v>
      </c>
    </row>
    <row r="1441" spans="6:12">
      <c r="F1441" s="1"/>
    </row>
    <row r="1442" spans="6:12">
      <c r="F1442" s="1"/>
      <c r="I1442" s="8" t="s">
        <v>889</v>
      </c>
      <c r="J1442" s="8">
        <v>249</v>
      </c>
      <c r="K1442" s="9">
        <v>40452</v>
      </c>
      <c r="L1442" t="s">
        <v>174</v>
      </c>
    </row>
    <row r="1443" spans="6:12">
      <c r="F1443" s="1"/>
    </row>
    <row r="1444" spans="6:12">
      <c r="F1444" s="1"/>
      <c r="I1444" s="8" t="s">
        <v>890</v>
      </c>
      <c r="J1444" s="8">
        <v>4</v>
      </c>
      <c r="K1444" s="9">
        <v>40451</v>
      </c>
      <c r="L1444" s="8" t="s">
        <v>174</v>
      </c>
    </row>
    <row r="1445" spans="6:12">
      <c r="F1445" s="1"/>
    </row>
    <row r="1446" spans="6:12">
      <c r="F1446" s="1"/>
      <c r="I1446" s="8" t="s">
        <v>891</v>
      </c>
      <c r="J1446" s="8">
        <v>10</v>
      </c>
      <c r="K1446" s="9">
        <v>40452</v>
      </c>
      <c r="L1446" s="8" t="s">
        <v>174</v>
      </c>
    </row>
    <row r="1447" spans="6:12">
      <c r="F1447" s="1"/>
    </row>
    <row r="1448" spans="6:12">
      <c r="F1448" s="1"/>
      <c r="I1448" s="8" t="s">
        <v>892</v>
      </c>
      <c r="J1448" s="8">
        <v>79</v>
      </c>
      <c r="K1448" s="9">
        <v>40424</v>
      </c>
      <c r="L1448" t="s">
        <v>174</v>
      </c>
    </row>
    <row r="1449" spans="6:12">
      <c r="F1449" s="1"/>
    </row>
    <row r="1450" spans="6:12">
      <c r="F1450" s="1"/>
      <c r="I1450" s="8" t="s">
        <v>893</v>
      </c>
      <c r="J1450" s="8">
        <v>1</v>
      </c>
      <c r="K1450" s="9">
        <v>40424</v>
      </c>
      <c r="L1450" s="8" t="s">
        <v>174</v>
      </c>
    </row>
    <row r="1451" spans="6:12">
      <c r="F1451" s="1"/>
    </row>
    <row r="1452" spans="6:12">
      <c r="F1452" s="1"/>
      <c r="I1452" s="8" t="s">
        <v>894</v>
      </c>
      <c r="J1452" s="8">
        <v>15</v>
      </c>
      <c r="K1452" s="9">
        <v>40417</v>
      </c>
      <c r="L1452" s="8" t="s">
        <v>174</v>
      </c>
    </row>
    <row r="1453" spans="6:12">
      <c r="F1453" s="1"/>
    </row>
    <row r="1454" spans="6:12">
      <c r="F1454" s="1"/>
      <c r="I1454" s="8" t="s">
        <v>895</v>
      </c>
      <c r="J1454" s="8">
        <v>249</v>
      </c>
      <c r="K1454" s="9">
        <v>40375</v>
      </c>
      <c r="L1454" t="s">
        <v>174</v>
      </c>
    </row>
    <row r="1455" spans="6:12">
      <c r="F1455" s="1"/>
    </row>
    <row r="1456" spans="6:12">
      <c r="F1456" s="1"/>
      <c r="I1456" s="8" t="s">
        <v>896</v>
      </c>
      <c r="J1456" s="8">
        <v>6</v>
      </c>
      <c r="K1456" s="9">
        <v>40374</v>
      </c>
      <c r="L1456" t="s">
        <v>174</v>
      </c>
    </row>
    <row r="1457" spans="6:12">
      <c r="F1457" s="1"/>
    </row>
    <row r="1458" spans="6:12">
      <c r="F1458" s="1"/>
      <c r="I1458" s="8" t="s">
        <v>897</v>
      </c>
      <c r="J1458" s="8">
        <v>6</v>
      </c>
      <c r="K1458" s="9">
        <v>40375</v>
      </c>
      <c r="L1458" s="8" t="s">
        <v>174</v>
      </c>
    </row>
    <row r="1459" spans="6:12">
      <c r="F1459" s="1"/>
    </row>
    <row r="1460" spans="6:12">
      <c r="F1460" s="1"/>
      <c r="I1460" s="8" t="s">
        <v>898</v>
      </c>
      <c r="J1460" s="8">
        <v>150</v>
      </c>
      <c r="K1460" s="9">
        <v>40347</v>
      </c>
      <c r="L1460" s="8" t="s">
        <v>174</v>
      </c>
    </row>
    <row r="1461" spans="6:12">
      <c r="F1461" s="1"/>
    </row>
    <row r="1462" spans="6:12">
      <c r="F1462" s="1"/>
      <c r="I1462" s="8" t="s">
        <v>899</v>
      </c>
      <c r="J1462" s="8">
        <v>45</v>
      </c>
      <c r="K1462" s="9">
        <v>40347</v>
      </c>
      <c r="L1462" s="8" t="s">
        <v>174</v>
      </c>
    </row>
    <row r="1463" spans="6:12">
      <c r="F1463" s="1"/>
    </row>
    <row r="1464" spans="6:12">
      <c r="F1464" s="1"/>
      <c r="I1464" s="8" t="s">
        <v>900</v>
      </c>
      <c r="J1464" s="8">
        <v>113</v>
      </c>
      <c r="K1464" s="9">
        <v>40333</v>
      </c>
      <c r="L1464" s="8" t="s">
        <v>174</v>
      </c>
    </row>
    <row r="1465" spans="6:12">
      <c r="F1465" s="1"/>
    </row>
    <row r="1466" spans="6:12">
      <c r="F1466" s="1"/>
      <c r="I1466" s="8" t="s">
        <v>901</v>
      </c>
      <c r="J1466" s="8">
        <v>248</v>
      </c>
      <c r="K1466" s="9">
        <v>40291</v>
      </c>
      <c r="L1466" t="s">
        <v>174</v>
      </c>
    </row>
    <row r="1467" spans="6:12">
      <c r="F1467" s="1"/>
    </row>
    <row r="1468" spans="6:12">
      <c r="F1468" s="1"/>
      <c r="I1468" s="8" t="s">
        <v>902</v>
      </c>
      <c r="J1468" s="8">
        <v>4</v>
      </c>
      <c r="K1468" s="9">
        <v>40291</v>
      </c>
      <c r="L1468" t="s">
        <v>174</v>
      </c>
    </row>
    <row r="1469" spans="6:12">
      <c r="F1469" s="1"/>
    </row>
    <row r="1470" spans="6:12">
      <c r="F1470" s="1"/>
      <c r="I1470" s="8" t="s">
        <v>903</v>
      </c>
      <c r="J1470" s="8">
        <v>7</v>
      </c>
      <c r="K1470" s="9">
        <v>40291</v>
      </c>
      <c r="L1470" s="8" t="s">
        <v>174</v>
      </c>
    </row>
    <row r="1471" spans="6:12">
      <c r="F1471" s="1"/>
    </row>
    <row r="1472" spans="6:12">
      <c r="F1472" s="1"/>
      <c r="I1472" s="8" t="s">
        <v>904</v>
      </c>
      <c r="J1472" s="8">
        <v>71</v>
      </c>
      <c r="K1472" s="9">
        <v>40256</v>
      </c>
      <c r="L1472" t="s">
        <v>174</v>
      </c>
    </row>
    <row r="1473" spans="6:12">
      <c r="F1473" s="1"/>
    </row>
    <row r="1474" spans="6:12">
      <c r="F1474" s="1"/>
      <c r="I1474" s="8" t="s">
        <v>905</v>
      </c>
      <c r="J1474" s="8">
        <v>3</v>
      </c>
      <c r="K1474" s="9">
        <v>40256</v>
      </c>
      <c r="L1474" s="8" t="s">
        <v>174</v>
      </c>
    </row>
    <row r="1475" spans="6:12">
      <c r="F1475" s="1"/>
    </row>
    <row r="1476" spans="6:12">
      <c r="F1476" s="1"/>
      <c r="I1476" s="8" t="s">
        <v>906</v>
      </c>
      <c r="J1476" s="8">
        <v>145</v>
      </c>
      <c r="K1476" s="9">
        <v>40214</v>
      </c>
      <c r="L1476" t="s">
        <v>174</v>
      </c>
    </row>
    <row r="1477" spans="6:12">
      <c r="F1477" s="1"/>
    </row>
    <row r="1478" spans="6:12">
      <c r="F1478" s="1"/>
      <c r="I1478" s="8" t="s">
        <v>907</v>
      </c>
      <c r="J1478" s="8">
        <v>6</v>
      </c>
      <c r="K1478" s="9">
        <v>40214</v>
      </c>
      <c r="L1478" t="s">
        <v>174</v>
      </c>
    </row>
    <row r="1479" spans="6:12">
      <c r="F1479" s="1"/>
    </row>
    <row r="1480" spans="6:12">
      <c r="F1480" s="1"/>
      <c r="I1480" s="8" t="s">
        <v>908</v>
      </c>
      <c r="J1480" s="8">
        <v>6</v>
      </c>
      <c r="K1480" s="9">
        <v>40214</v>
      </c>
      <c r="L1480" s="8" t="s">
        <v>174</v>
      </c>
    </row>
    <row r="1481" spans="6:12">
      <c r="F1481" s="1"/>
    </row>
    <row r="1482" spans="6:12">
      <c r="F1482" s="1"/>
      <c r="I1482" s="8" t="s">
        <v>909</v>
      </c>
      <c r="J1482" s="8">
        <v>2</v>
      </c>
      <c r="K1482" s="9">
        <v>40179</v>
      </c>
      <c r="L1482" s="8" t="s">
        <v>174</v>
      </c>
    </row>
    <row r="1483" spans="6:12">
      <c r="F1483" s="1"/>
    </row>
    <row r="1484" spans="6:12">
      <c r="F1484" s="1"/>
      <c r="I1484" s="8" t="s">
        <v>910</v>
      </c>
      <c r="J1484" s="8">
        <v>5</v>
      </c>
      <c r="K1484" s="9">
        <v>40179</v>
      </c>
      <c r="L1484" s="8" t="s">
        <v>174</v>
      </c>
    </row>
    <row r="1485" spans="6:12">
      <c r="F1485" s="1"/>
    </row>
    <row r="1486" spans="6:12">
      <c r="F1486" s="1"/>
      <c r="I1486" s="8" t="s">
        <v>911</v>
      </c>
      <c r="J1486" s="8">
        <v>13</v>
      </c>
      <c r="K1486" s="9">
        <v>40179</v>
      </c>
      <c r="L1486" s="8" t="s">
        <v>174</v>
      </c>
    </row>
    <row r="1487" spans="6:12">
      <c r="F1487" s="1"/>
    </row>
    <row r="1488" spans="6:12">
      <c r="F1488" s="1"/>
      <c r="I1488" s="8" t="s">
        <v>912</v>
      </c>
      <c r="J1488" s="8">
        <v>8</v>
      </c>
      <c r="K1488" s="9">
        <v>40179</v>
      </c>
      <c r="L1488" s="8" t="s">
        <v>174</v>
      </c>
    </row>
    <row r="1489" spans="6:12">
      <c r="F1489" s="1"/>
    </row>
    <row r="1490" spans="6:12">
      <c r="F1490" s="1"/>
      <c r="I1490" s="8" t="s">
        <v>913</v>
      </c>
      <c r="J1490" s="8">
        <v>12</v>
      </c>
      <c r="K1490" s="9">
        <v>40179</v>
      </c>
      <c r="L1490" s="8" t="s">
        <v>174</v>
      </c>
    </row>
    <row r="1491" spans="6:12">
      <c r="F1491" s="1"/>
    </row>
    <row r="1492" spans="6:12">
      <c r="F1492" s="1"/>
      <c r="I1492" s="8" t="s">
        <v>914</v>
      </c>
      <c r="J1492" s="8">
        <v>41</v>
      </c>
      <c r="K1492" s="9">
        <v>40137</v>
      </c>
      <c r="L1492" s="8" t="s">
        <v>174</v>
      </c>
    </row>
    <row r="1493" spans="6:12">
      <c r="F1493" s="1"/>
    </row>
    <row r="1494" spans="6:12">
      <c r="F1494" s="1"/>
      <c r="I1494" s="8" t="s">
        <v>915</v>
      </c>
      <c r="J1494" s="8">
        <v>63</v>
      </c>
      <c r="K1494" s="9">
        <v>40116</v>
      </c>
      <c r="L1494" s="8" t="s">
        <v>174</v>
      </c>
    </row>
    <row r="1495" spans="6:12">
      <c r="F1495" s="1"/>
    </row>
    <row r="1496" spans="6:12">
      <c r="F1496" s="1"/>
      <c r="I1496" s="8" t="s">
        <v>916</v>
      </c>
      <c r="J1496" s="8">
        <v>3</v>
      </c>
      <c r="K1496" s="9">
        <v>40116</v>
      </c>
      <c r="L1496" s="8" t="s">
        <v>174</v>
      </c>
    </row>
    <row r="1497" spans="6:12">
      <c r="F1497" s="1"/>
    </row>
    <row r="1498" spans="6:12">
      <c r="F1498" s="1"/>
      <c r="I1498" s="8" t="s">
        <v>917</v>
      </c>
      <c r="J1498" s="8">
        <v>269</v>
      </c>
      <c r="K1498" s="9">
        <v>40088</v>
      </c>
      <c r="L1498" t="s">
        <v>174</v>
      </c>
    </row>
    <row r="1499" spans="6:12">
      <c r="F1499" s="1"/>
    </row>
    <row r="1500" spans="6:12">
      <c r="F1500" s="1"/>
      <c r="I1500" s="8" t="s">
        <v>918</v>
      </c>
      <c r="J1500" s="8">
        <v>5</v>
      </c>
      <c r="K1500" s="9">
        <v>40088</v>
      </c>
      <c r="L1500" t="s">
        <v>174</v>
      </c>
    </row>
    <row r="1501" spans="6:12">
      <c r="F1501" s="1"/>
    </row>
    <row r="1502" spans="6:12">
      <c r="F1502" s="1"/>
      <c r="I1502" s="8" t="s">
        <v>919</v>
      </c>
      <c r="J1502" s="8">
        <v>11</v>
      </c>
      <c r="K1502" s="9">
        <v>40088</v>
      </c>
      <c r="L1502" s="8" t="s">
        <v>174</v>
      </c>
    </row>
    <row r="1503" spans="6:12">
      <c r="F1503" s="1"/>
    </row>
    <row r="1504" spans="6:12">
      <c r="F1504" s="1"/>
      <c r="I1504" s="8" t="s">
        <v>920</v>
      </c>
      <c r="J1504" s="8">
        <v>230</v>
      </c>
      <c r="K1504" s="9">
        <v>40063</v>
      </c>
      <c r="L1504" s="8" t="s">
        <v>174</v>
      </c>
    </row>
    <row r="1505" spans="6:12">
      <c r="F1505" s="1"/>
    </row>
    <row r="1506" spans="6:12">
      <c r="F1506" s="1"/>
      <c r="I1506" s="8" t="s">
        <v>921</v>
      </c>
      <c r="J1506" s="8">
        <v>169</v>
      </c>
      <c r="K1506" s="9">
        <v>40060</v>
      </c>
      <c r="L1506" s="8" t="s">
        <v>174</v>
      </c>
    </row>
    <row r="1507" spans="6:12">
      <c r="F1507" s="1"/>
    </row>
    <row r="1508" spans="6:12">
      <c r="F1508" s="1"/>
      <c r="I1508" s="8" t="s">
        <v>922</v>
      </c>
      <c r="J1508" s="8">
        <v>1</v>
      </c>
      <c r="K1508" s="9">
        <v>40060</v>
      </c>
      <c r="L1508" s="8" t="s">
        <v>174</v>
      </c>
    </row>
    <row r="1509" spans="6:12">
      <c r="F1509" s="1"/>
    </row>
    <row r="1510" spans="6:12">
      <c r="F1510" s="1"/>
      <c r="I1510" s="8" t="s">
        <v>923</v>
      </c>
      <c r="J1510" s="8">
        <v>40</v>
      </c>
      <c r="K1510" s="9">
        <v>40060</v>
      </c>
      <c r="L1510" t="s">
        <v>174</v>
      </c>
    </row>
    <row r="1511" spans="6:12">
      <c r="F1511" s="1"/>
    </row>
    <row r="1512" spans="6:12">
      <c r="F1512" s="1"/>
      <c r="I1512" s="8" t="s">
        <v>924</v>
      </c>
      <c r="J1512" s="8">
        <v>15</v>
      </c>
      <c r="K1512" s="9">
        <v>40053</v>
      </c>
      <c r="L1512" s="8" t="s">
        <v>174</v>
      </c>
    </row>
    <row r="1513" spans="6:12">
      <c r="F1513" s="1"/>
    </row>
    <row r="1514" spans="6:12">
      <c r="F1514" s="1"/>
      <c r="I1514" s="8" t="s">
        <v>925</v>
      </c>
      <c r="J1514" s="8">
        <v>249</v>
      </c>
      <c r="K1514" s="9">
        <v>40011</v>
      </c>
      <c r="L1514" t="s">
        <v>174</v>
      </c>
    </row>
    <row r="1515" spans="6:12">
      <c r="F1515" s="1"/>
    </row>
    <row r="1516" spans="6:12">
      <c r="F1516" s="1"/>
      <c r="I1516" s="8" t="s">
        <v>926</v>
      </c>
      <c r="J1516" s="8">
        <v>3</v>
      </c>
      <c r="K1516" s="9">
        <v>40010</v>
      </c>
      <c r="L1516" s="8" t="s">
        <v>174</v>
      </c>
    </row>
    <row r="1517" spans="6:12">
      <c r="F1517" s="1"/>
    </row>
    <row r="1518" spans="6:12">
      <c r="F1518" s="1"/>
      <c r="I1518" s="8" t="s">
        <v>927</v>
      </c>
      <c r="J1518" s="8">
        <v>8</v>
      </c>
      <c r="K1518" s="9">
        <v>40011</v>
      </c>
      <c r="L1518" s="8" t="s">
        <v>174</v>
      </c>
    </row>
    <row r="1519" spans="6:12">
      <c r="F1519" s="1"/>
    </row>
    <row r="1520" spans="6:12">
      <c r="F1520" s="1"/>
      <c r="I1520" s="8" t="s">
        <v>928</v>
      </c>
      <c r="J1520" s="8">
        <v>145</v>
      </c>
      <c r="K1520" s="9">
        <v>39933</v>
      </c>
      <c r="L1520" t="s">
        <v>174</v>
      </c>
    </row>
    <row r="1521" spans="6:12">
      <c r="F1521" s="1"/>
    </row>
    <row r="1522" spans="6:12">
      <c r="F1522" s="1"/>
      <c r="I1522" s="8" t="s">
        <v>929</v>
      </c>
      <c r="J1522" s="8">
        <v>3</v>
      </c>
      <c r="K1522" s="9">
        <v>39933</v>
      </c>
      <c r="L1522" s="8" t="s">
        <v>174</v>
      </c>
    </row>
    <row r="1523" spans="6:12">
      <c r="F1523" s="1"/>
    </row>
    <row r="1524" spans="6:12">
      <c r="F1524" s="1"/>
      <c r="I1524" s="8" t="s">
        <v>930</v>
      </c>
      <c r="J1524" s="8">
        <v>4</v>
      </c>
      <c r="K1524" s="9">
        <v>39933</v>
      </c>
      <c r="L1524" s="8" t="s">
        <v>174</v>
      </c>
    </row>
    <row r="1525" spans="6:12">
      <c r="F1525" s="1"/>
    </row>
    <row r="1526" spans="6:12">
      <c r="F1526" s="1"/>
      <c r="I1526" s="8" t="s">
        <v>931</v>
      </c>
      <c r="J1526" s="8">
        <v>62</v>
      </c>
      <c r="K1526" s="9">
        <v>39913</v>
      </c>
      <c r="L1526" s="8" t="s">
        <v>174</v>
      </c>
    </row>
    <row r="1527" spans="6:12">
      <c r="F1527" s="1"/>
    </row>
    <row r="1528" spans="6:12">
      <c r="F1528" s="1"/>
      <c r="I1528" s="8" t="s">
        <v>932</v>
      </c>
      <c r="J1528" s="8">
        <v>3</v>
      </c>
      <c r="K1528" s="9">
        <v>39913</v>
      </c>
      <c r="L1528" s="8" t="s">
        <v>174</v>
      </c>
    </row>
    <row r="1529" spans="6:12">
      <c r="F1529" s="1"/>
    </row>
    <row r="1530" spans="6:12">
      <c r="F1530" s="1"/>
      <c r="I1530" s="8" t="s">
        <v>933</v>
      </c>
      <c r="J1530" s="8">
        <v>15</v>
      </c>
      <c r="K1530" s="9">
        <v>39852</v>
      </c>
      <c r="L1530" t="s">
        <v>174</v>
      </c>
    </row>
    <row r="1531" spans="6:12">
      <c r="F1531" s="1"/>
    </row>
    <row r="1532" spans="6:12">
      <c r="F1532" s="1"/>
      <c r="I1532" s="8" t="s">
        <v>934</v>
      </c>
      <c r="J1532" s="8">
        <v>145</v>
      </c>
      <c r="K1532" s="9">
        <v>39850</v>
      </c>
      <c r="L1532" t="s">
        <v>174</v>
      </c>
    </row>
    <row r="1533" spans="6:12">
      <c r="F1533" s="1"/>
    </row>
    <row r="1534" spans="6:12">
      <c r="F1534" s="1"/>
      <c r="I1534" s="8" t="s">
        <v>935</v>
      </c>
      <c r="J1534" s="8">
        <v>2</v>
      </c>
      <c r="K1534" s="9">
        <v>39850</v>
      </c>
      <c r="L1534" s="8" t="s">
        <v>174</v>
      </c>
    </row>
    <row r="1535" spans="6:12">
      <c r="F1535" s="1"/>
    </row>
    <row r="1536" spans="6:12">
      <c r="F1536" s="1"/>
      <c r="I1536" s="8" t="s">
        <v>936</v>
      </c>
      <c r="J1536" s="8">
        <v>2</v>
      </c>
      <c r="K1536" s="9">
        <v>39850</v>
      </c>
      <c r="L1536" s="8" t="s">
        <v>174</v>
      </c>
    </row>
    <row r="1537" spans="6:12">
      <c r="F1537" s="1"/>
    </row>
    <row r="1538" spans="6:12">
      <c r="F1538" s="1"/>
      <c r="I1538" s="8" t="s">
        <v>937</v>
      </c>
      <c r="J1538" s="8">
        <v>1</v>
      </c>
      <c r="K1538" s="9">
        <v>39814</v>
      </c>
      <c r="L1538" s="8" t="s">
        <v>174</v>
      </c>
    </row>
    <row r="1539" spans="6:12">
      <c r="F1539" s="1"/>
    </row>
    <row r="1540" spans="6:12">
      <c r="F1540" s="1"/>
      <c r="I1540" s="8" t="s">
        <v>938</v>
      </c>
      <c r="J1540" s="8">
        <v>5</v>
      </c>
      <c r="K1540" s="9">
        <v>39814</v>
      </c>
      <c r="L1540" s="8" t="s">
        <v>174</v>
      </c>
    </row>
    <row r="1541" spans="6:12">
      <c r="F1541" s="1"/>
    </row>
    <row r="1542" spans="6:12">
      <c r="F1542" s="1"/>
      <c r="I1542" s="8" t="s">
        <v>939</v>
      </c>
      <c r="J1542" s="8">
        <v>12</v>
      </c>
      <c r="K1542" s="9">
        <v>39814</v>
      </c>
      <c r="L1542" s="8" t="s">
        <v>174</v>
      </c>
    </row>
    <row r="1543" spans="6:12">
      <c r="F1543" s="1"/>
    </row>
    <row r="1544" spans="6:12">
      <c r="F1544" s="1"/>
      <c r="I1544" s="8" t="s">
        <v>940</v>
      </c>
      <c r="J1544" s="8">
        <v>13</v>
      </c>
      <c r="K1544" s="9">
        <v>39814</v>
      </c>
      <c r="L1544" s="8" t="s">
        <v>174</v>
      </c>
    </row>
    <row r="1545" spans="6:12">
      <c r="F1545" s="1"/>
    </row>
    <row r="1546" spans="6:12">
      <c r="F1546" s="1"/>
      <c r="I1546" s="8" t="s">
        <v>941</v>
      </c>
      <c r="J1546" s="8">
        <v>10</v>
      </c>
      <c r="K1546" s="9">
        <v>39814</v>
      </c>
      <c r="L1546" s="8" t="s">
        <v>174</v>
      </c>
    </row>
    <row r="1547" spans="6:12">
      <c r="F1547" s="1"/>
    </row>
    <row r="1548" spans="6:12">
      <c r="F1548" s="1"/>
      <c r="I1548" s="8" t="s">
        <v>942</v>
      </c>
      <c r="J1548" s="8">
        <v>64</v>
      </c>
      <c r="K1548" s="9">
        <v>39759</v>
      </c>
      <c r="L1548" t="s">
        <v>174</v>
      </c>
    </row>
    <row r="1549" spans="6:12">
      <c r="F1549" s="1"/>
    </row>
    <row r="1550" spans="6:12">
      <c r="F1550" s="1"/>
      <c r="I1550" s="8" t="s">
        <v>943</v>
      </c>
      <c r="J1550" s="8">
        <v>1</v>
      </c>
      <c r="K1550" s="9">
        <v>39759</v>
      </c>
      <c r="L1550" s="8" t="s">
        <v>174</v>
      </c>
    </row>
    <row r="1551" spans="6:12">
      <c r="F1551" s="1"/>
    </row>
    <row r="1552" spans="6:12">
      <c r="F1552" s="1"/>
      <c r="I1552" s="8" t="s">
        <v>944</v>
      </c>
      <c r="J1552" s="8">
        <v>250</v>
      </c>
      <c r="K1552" s="9">
        <v>39724</v>
      </c>
      <c r="L1552" t="s">
        <v>174</v>
      </c>
    </row>
    <row r="1553" spans="6:12">
      <c r="F1553" s="1"/>
    </row>
    <row r="1554" spans="6:12">
      <c r="F1554" s="1"/>
      <c r="I1554" s="8" t="s">
        <v>945</v>
      </c>
      <c r="J1554" s="8">
        <v>2</v>
      </c>
      <c r="K1554" s="9">
        <v>39724</v>
      </c>
      <c r="L1554" s="8" t="s">
        <v>174</v>
      </c>
    </row>
    <row r="1555" spans="6:12">
      <c r="F1555" s="1"/>
    </row>
    <row r="1556" spans="6:12">
      <c r="F1556" s="1"/>
      <c r="I1556" s="8" t="s">
        <v>946</v>
      </c>
      <c r="J1556" s="8">
        <v>10</v>
      </c>
      <c r="K1556" s="9">
        <v>39724</v>
      </c>
      <c r="L1556" s="8" t="s">
        <v>174</v>
      </c>
    </row>
    <row r="1557" spans="6:12">
      <c r="F1557" s="1"/>
    </row>
    <row r="1558" spans="6:12">
      <c r="F1558" s="1"/>
      <c r="I1558" s="8" t="s">
        <v>947</v>
      </c>
      <c r="J1558" s="8">
        <v>245</v>
      </c>
      <c r="K1558" s="9">
        <v>39713</v>
      </c>
      <c r="L1558" s="8" t="s">
        <v>174</v>
      </c>
    </row>
    <row r="1559" spans="6:12">
      <c r="F1559" s="1"/>
    </row>
    <row r="1560" spans="6:12">
      <c r="F1560" s="1"/>
      <c r="I1560" s="8" t="s">
        <v>948</v>
      </c>
      <c r="J1560" s="8">
        <v>15</v>
      </c>
      <c r="K1560" s="9">
        <v>39689</v>
      </c>
      <c r="L1560" s="8" t="s">
        <v>174</v>
      </c>
    </row>
    <row r="1561" spans="6:12">
      <c r="F1561" s="1"/>
    </row>
    <row r="1562" spans="6:12">
      <c r="F1562" s="1"/>
      <c r="I1562" s="8" t="s">
        <v>949</v>
      </c>
      <c r="J1562" s="8">
        <v>180</v>
      </c>
      <c r="K1562" s="9">
        <v>39654</v>
      </c>
      <c r="L1562" t="s">
        <v>174</v>
      </c>
    </row>
    <row r="1563" spans="6:12">
      <c r="F1563" s="1"/>
    </row>
    <row r="1564" spans="6:12">
      <c r="F1564" s="1"/>
      <c r="I1564" s="8" t="s">
        <v>950</v>
      </c>
      <c r="J1564" s="8">
        <v>2</v>
      </c>
      <c r="K1564" s="9">
        <v>39654</v>
      </c>
      <c r="L1564" s="8" t="s">
        <v>174</v>
      </c>
    </row>
    <row r="1565" spans="6:12">
      <c r="F1565" s="1"/>
    </row>
    <row r="1566" spans="6:12">
      <c r="F1566" s="1"/>
      <c r="I1566" s="8" t="s">
        <v>951</v>
      </c>
      <c r="J1566" s="8">
        <v>7</v>
      </c>
      <c r="K1566" s="9">
        <v>39654</v>
      </c>
      <c r="L1566" s="8" t="s">
        <v>174</v>
      </c>
    </row>
    <row r="1567" spans="6:12">
      <c r="F1567" s="1"/>
    </row>
    <row r="1568" spans="6:12">
      <c r="F1568" s="1"/>
      <c r="I1568" s="8" t="s">
        <v>952</v>
      </c>
      <c r="J1568" s="8">
        <v>302</v>
      </c>
      <c r="K1568" s="9">
        <v>39570</v>
      </c>
      <c r="L1568" t="s">
        <v>174</v>
      </c>
    </row>
    <row r="1569" spans="6:12">
      <c r="F1569" s="1"/>
    </row>
    <row r="1570" spans="6:12">
      <c r="F1570" s="1"/>
      <c r="I1570" s="8" t="s">
        <v>953</v>
      </c>
      <c r="J1570" s="8">
        <v>2</v>
      </c>
      <c r="K1570" s="9">
        <v>39570</v>
      </c>
      <c r="L1570" s="8" t="s">
        <v>174</v>
      </c>
    </row>
    <row r="1571" spans="6:12">
      <c r="F1571" s="1"/>
    </row>
    <row r="1572" spans="6:12">
      <c r="F1572" s="1"/>
      <c r="I1572" s="8" t="s">
        <v>954</v>
      </c>
      <c r="J1572" s="8">
        <v>12</v>
      </c>
      <c r="K1572" s="9">
        <v>39570</v>
      </c>
      <c r="L1572" s="8" t="s">
        <v>174</v>
      </c>
    </row>
    <row r="1573" spans="6:12">
      <c r="F1573" s="1"/>
    </row>
    <row r="1574" spans="6:12">
      <c r="F1574" s="1"/>
      <c r="I1574" s="8" t="s">
        <v>955</v>
      </c>
      <c r="J1574" s="8">
        <v>2</v>
      </c>
      <c r="K1574" s="9">
        <v>39539</v>
      </c>
      <c r="L1574" s="8" t="s">
        <v>174</v>
      </c>
    </row>
    <row r="1575" spans="6:12">
      <c r="F1575" s="1"/>
    </row>
    <row r="1576" spans="6:12">
      <c r="F1576" s="1"/>
      <c r="I1576" s="8" t="s">
        <v>956</v>
      </c>
      <c r="J1576" s="8">
        <v>150</v>
      </c>
      <c r="K1576" s="9">
        <v>39479</v>
      </c>
      <c r="L1576" t="s">
        <v>174</v>
      </c>
    </row>
    <row r="1577" spans="6:12">
      <c r="F1577" s="1"/>
    </row>
    <row r="1578" spans="6:12">
      <c r="F1578" s="1"/>
      <c r="I1578" s="8" t="s">
        <v>957</v>
      </c>
      <c r="J1578" s="8">
        <v>2</v>
      </c>
      <c r="K1578" s="9">
        <v>39479</v>
      </c>
      <c r="L1578" s="8" t="s">
        <v>174</v>
      </c>
    </row>
    <row r="1579" spans="6:12">
      <c r="F1579" s="1"/>
    </row>
    <row r="1580" spans="6:12">
      <c r="F1580" s="1"/>
      <c r="I1580" s="8" t="s">
        <v>958</v>
      </c>
      <c r="J1580" s="8">
        <v>3</v>
      </c>
      <c r="K1580" s="9">
        <v>39479</v>
      </c>
      <c r="L1580" s="8" t="s">
        <v>174</v>
      </c>
    </row>
    <row r="1581" spans="6:12">
      <c r="F1581" s="1"/>
    </row>
    <row r="1582" spans="6:12">
      <c r="F1582" s="1"/>
      <c r="I1582" s="8" t="s">
        <v>959</v>
      </c>
      <c r="J1582" s="8">
        <v>6</v>
      </c>
      <c r="K1582" s="9">
        <v>39448</v>
      </c>
      <c r="L1582" s="8" t="s">
        <v>174</v>
      </c>
    </row>
    <row r="1583" spans="6:12">
      <c r="F1583" s="1"/>
    </row>
    <row r="1584" spans="6:12">
      <c r="F1584" s="1"/>
      <c r="I1584" s="8" t="s">
        <v>960</v>
      </c>
      <c r="J1584" s="8">
        <v>7</v>
      </c>
      <c r="K1584" s="9">
        <v>39448</v>
      </c>
      <c r="L1584" s="8" t="s">
        <v>174</v>
      </c>
    </row>
    <row r="1585" spans="6:12">
      <c r="F1585" s="1"/>
    </row>
    <row r="1586" spans="6:12">
      <c r="F1586" s="1"/>
      <c r="I1586" s="8" t="s">
        <v>961</v>
      </c>
      <c r="J1586" s="8">
        <v>12</v>
      </c>
      <c r="K1586" s="9">
        <v>39448</v>
      </c>
      <c r="L1586" s="8" t="s">
        <v>174</v>
      </c>
    </row>
    <row r="1587" spans="6:12">
      <c r="F1587" s="1"/>
    </row>
    <row r="1588" spans="6:12">
      <c r="F1588" s="1"/>
      <c r="I1588" s="8" t="s">
        <v>962</v>
      </c>
      <c r="J1588" s="8">
        <v>5</v>
      </c>
      <c r="K1588" s="9">
        <v>39448</v>
      </c>
      <c r="L1588" s="8" t="s">
        <v>174</v>
      </c>
    </row>
    <row r="1589" spans="6:12">
      <c r="F1589" s="1"/>
    </row>
    <row r="1590" spans="6:12">
      <c r="F1590" s="1"/>
      <c r="I1590" s="8" t="s">
        <v>963</v>
      </c>
      <c r="J1590" s="8">
        <v>62</v>
      </c>
      <c r="K1590" s="9">
        <v>39402</v>
      </c>
      <c r="L1590" s="8" t="s">
        <v>174</v>
      </c>
    </row>
    <row r="1591" spans="6:12">
      <c r="F1591" s="1"/>
    </row>
    <row r="1592" spans="6:12">
      <c r="F1592" s="1"/>
      <c r="I1592" s="8" t="s">
        <v>964</v>
      </c>
      <c r="J1592" s="8">
        <v>3</v>
      </c>
      <c r="K1592" s="9">
        <v>39402</v>
      </c>
      <c r="L1592" s="8" t="s">
        <v>174</v>
      </c>
    </row>
    <row r="1593" spans="6:12">
      <c r="F1593" s="1"/>
    </row>
    <row r="1594" spans="6:12">
      <c r="F1594" s="1"/>
      <c r="I1594" s="8" t="s">
        <v>965</v>
      </c>
      <c r="J1594" s="8">
        <v>301</v>
      </c>
      <c r="K1594" s="9">
        <v>39367</v>
      </c>
      <c r="L1594" t="s">
        <v>174</v>
      </c>
    </row>
    <row r="1595" spans="6:12">
      <c r="F1595" s="1"/>
    </row>
    <row r="1596" spans="6:12">
      <c r="F1596" s="1"/>
      <c r="I1596" s="8" t="s">
        <v>966</v>
      </c>
      <c r="J1596" s="8">
        <v>3</v>
      </c>
      <c r="K1596" s="9">
        <v>39367</v>
      </c>
      <c r="L1596" s="8" t="s">
        <v>174</v>
      </c>
    </row>
    <row r="1597" spans="6:12">
      <c r="F1597" s="1"/>
    </row>
    <row r="1598" spans="6:12">
      <c r="F1598" s="1"/>
      <c r="I1598" s="8" t="s">
        <v>967</v>
      </c>
      <c r="J1598" s="8">
        <v>11</v>
      </c>
      <c r="K1598" s="9">
        <v>39367</v>
      </c>
      <c r="L1598" s="8" t="s">
        <v>174</v>
      </c>
    </row>
    <row r="1599" spans="6:12">
      <c r="F1599" s="1"/>
    </row>
    <row r="1600" spans="6:12">
      <c r="F1600" s="1"/>
      <c r="I1600" s="8" t="s">
        <v>968</v>
      </c>
      <c r="J1600" s="8">
        <v>195</v>
      </c>
      <c r="K1600" s="9">
        <v>39335</v>
      </c>
      <c r="L1600" s="8" t="s">
        <v>174</v>
      </c>
    </row>
    <row r="1601" spans="6:12">
      <c r="F1601" s="1"/>
    </row>
    <row r="1602" spans="6:12">
      <c r="F1602" s="1"/>
      <c r="I1602" s="8" t="s">
        <v>969</v>
      </c>
      <c r="J1602" s="8">
        <v>510</v>
      </c>
      <c r="K1602" s="9">
        <v>39276</v>
      </c>
      <c r="L1602" t="s">
        <v>174</v>
      </c>
    </row>
    <row r="1603" spans="6:12">
      <c r="F1603" s="1"/>
    </row>
    <row r="1604" spans="6:12">
      <c r="F1604" s="1"/>
      <c r="I1604" s="8" t="s">
        <v>970</v>
      </c>
      <c r="J1604" s="8">
        <v>3</v>
      </c>
      <c r="K1604" s="9">
        <v>39276</v>
      </c>
      <c r="L1604" s="8" t="s">
        <v>174</v>
      </c>
    </row>
    <row r="1605" spans="6:12">
      <c r="F1605" s="1"/>
    </row>
    <row r="1606" spans="6:12">
      <c r="F1606" s="1"/>
      <c r="I1606" s="8" t="s">
        <v>971</v>
      </c>
      <c r="J1606" s="8">
        <v>6</v>
      </c>
      <c r="K1606" s="9">
        <v>39276</v>
      </c>
      <c r="L1606" s="8" t="s">
        <v>174</v>
      </c>
    </row>
    <row r="1607" spans="6:12">
      <c r="F1607" s="1"/>
    </row>
    <row r="1608" spans="6:12">
      <c r="F1608" s="1"/>
      <c r="I1608" s="8" t="s">
        <v>972</v>
      </c>
      <c r="J1608" s="8">
        <v>180</v>
      </c>
      <c r="K1608" s="9">
        <v>39206</v>
      </c>
      <c r="L1608" t="s">
        <v>174</v>
      </c>
    </row>
    <row r="1609" spans="6:12">
      <c r="F1609" s="1"/>
    </row>
    <row r="1610" spans="6:12">
      <c r="F1610" s="1"/>
      <c r="I1610" s="8" t="s">
        <v>973</v>
      </c>
      <c r="J1610" s="8">
        <v>2</v>
      </c>
      <c r="K1610" s="9">
        <v>39206</v>
      </c>
      <c r="L1610" s="8" t="s">
        <v>174</v>
      </c>
    </row>
    <row r="1611" spans="6:12">
      <c r="F1611" s="1"/>
    </row>
    <row r="1612" spans="6:12">
      <c r="F1612" s="1"/>
      <c r="I1612" s="8" t="s">
        <v>974</v>
      </c>
      <c r="J1612" s="8">
        <v>20</v>
      </c>
      <c r="K1612" s="9">
        <v>39137</v>
      </c>
      <c r="L1612" s="8" t="s">
        <v>174</v>
      </c>
    </row>
    <row r="1613" spans="6:12">
      <c r="F1613" s="1"/>
    </row>
    <row r="1614" spans="6:12">
      <c r="F1614" s="1"/>
      <c r="I1614" s="8" t="s">
        <v>975</v>
      </c>
      <c r="J1614" s="8">
        <v>17</v>
      </c>
      <c r="K1614" s="9">
        <v>39122</v>
      </c>
      <c r="L1614" s="8" t="s">
        <v>174</v>
      </c>
    </row>
    <row r="1615" spans="6:12">
      <c r="F1615" s="1"/>
    </row>
    <row r="1616" spans="6:12">
      <c r="F1616" s="1"/>
      <c r="I1616" s="8" t="s">
        <v>976</v>
      </c>
      <c r="J1616" s="8">
        <v>165</v>
      </c>
      <c r="K1616" s="9">
        <v>39115</v>
      </c>
      <c r="L1616" t="s">
        <v>174</v>
      </c>
    </row>
    <row r="1617" spans="6:12">
      <c r="F1617" s="1"/>
    </row>
    <row r="1618" spans="6:12">
      <c r="F1618" s="1"/>
      <c r="I1618" s="8" t="s">
        <v>977</v>
      </c>
      <c r="J1618" s="8">
        <v>2</v>
      </c>
      <c r="K1618" s="9">
        <v>39115</v>
      </c>
      <c r="L1618" s="8" t="s">
        <v>174</v>
      </c>
    </row>
    <row r="1619" spans="6:12">
      <c r="F1619" s="1"/>
    </row>
    <row r="1620" spans="6:12">
      <c r="F1620" s="1"/>
      <c r="I1620" s="8" t="s">
        <v>978</v>
      </c>
      <c r="J1620" s="8">
        <v>5</v>
      </c>
      <c r="K1620" s="9">
        <v>39083</v>
      </c>
      <c r="L1620" s="8" t="s">
        <v>174</v>
      </c>
    </row>
    <row r="1621" spans="6:12">
      <c r="F1621" s="1"/>
    </row>
    <row r="1622" spans="6:12">
      <c r="F1622" s="1"/>
      <c r="I1622" s="8" t="s">
        <v>979</v>
      </c>
      <c r="J1622" s="8">
        <v>5</v>
      </c>
      <c r="K1622" s="9">
        <v>39083</v>
      </c>
      <c r="L1622" s="8" t="s">
        <v>174</v>
      </c>
    </row>
    <row r="1623" spans="6:12">
      <c r="F1623" s="1"/>
    </row>
    <row r="1624" spans="6:12">
      <c r="F1624" s="1"/>
      <c r="I1624" s="8" t="s">
        <v>980</v>
      </c>
      <c r="J1624" s="8">
        <v>7</v>
      </c>
      <c r="K1624" s="9">
        <v>39083</v>
      </c>
      <c r="L1624" s="8" t="s">
        <v>174</v>
      </c>
    </row>
    <row r="1625" spans="6:12">
      <c r="F1625" s="1"/>
    </row>
    <row r="1626" spans="6:12">
      <c r="F1626" s="1"/>
      <c r="I1626" s="8" t="s">
        <v>981</v>
      </c>
      <c r="J1626" s="8">
        <v>12</v>
      </c>
      <c r="K1626" s="9">
        <v>39083</v>
      </c>
      <c r="L1626" s="8" t="s">
        <v>174</v>
      </c>
    </row>
    <row r="1627" spans="6:12">
      <c r="F1627" s="1"/>
    </row>
    <row r="1628" spans="6:12">
      <c r="F1628" s="1"/>
      <c r="I1628" s="8" t="s">
        <v>982</v>
      </c>
      <c r="J1628" s="8">
        <v>23</v>
      </c>
      <c r="K1628" s="9">
        <v>39082</v>
      </c>
      <c r="L1628" s="8" t="s">
        <v>174</v>
      </c>
    </row>
    <row r="1629" spans="6:12">
      <c r="F1629" s="1"/>
    </row>
    <row r="1630" spans="6:12">
      <c r="F1630" s="1"/>
      <c r="I1630" s="8" t="s">
        <v>983</v>
      </c>
      <c r="J1630" s="8">
        <v>301</v>
      </c>
      <c r="K1630" s="9">
        <v>38996</v>
      </c>
      <c r="L1630" t="s">
        <v>174</v>
      </c>
    </row>
    <row r="1631" spans="6:12">
      <c r="F1631" s="1"/>
    </row>
    <row r="1632" spans="6:12">
      <c r="F1632" s="1"/>
      <c r="I1632" s="8" t="s">
        <v>984</v>
      </c>
      <c r="J1632" s="8">
        <v>3</v>
      </c>
      <c r="K1632" s="9">
        <v>38996</v>
      </c>
      <c r="L1632" s="8" t="s">
        <v>174</v>
      </c>
    </row>
    <row r="1633" spans="6:12">
      <c r="F1633" s="1"/>
    </row>
    <row r="1634" spans="6:12">
      <c r="F1634" s="1"/>
      <c r="I1634" s="8" t="s">
        <v>985</v>
      </c>
      <c r="J1634" s="8">
        <v>121</v>
      </c>
      <c r="K1634" s="9">
        <v>38996</v>
      </c>
      <c r="L1634" t="s">
        <v>174</v>
      </c>
    </row>
    <row r="1635" spans="6:12">
      <c r="F1635" s="1"/>
    </row>
    <row r="1636" spans="6:12">
      <c r="F1636" s="1"/>
      <c r="I1636" s="8" t="s">
        <v>986</v>
      </c>
      <c r="J1636" s="8">
        <v>155</v>
      </c>
      <c r="K1636" s="9">
        <v>38919</v>
      </c>
      <c r="L1636" t="s">
        <v>174</v>
      </c>
    </row>
    <row r="1637" spans="6:12">
      <c r="F1637" s="1"/>
    </row>
    <row r="1638" spans="6:12">
      <c r="F1638" s="1"/>
      <c r="I1638" s="8" t="s">
        <v>987</v>
      </c>
      <c r="J1638" s="8">
        <v>2</v>
      </c>
      <c r="K1638" s="9">
        <v>38919</v>
      </c>
      <c r="L1638" s="8" t="s">
        <v>174</v>
      </c>
    </row>
    <row r="1639" spans="6:12">
      <c r="F1639" s="1"/>
    </row>
    <row r="1640" spans="6:12">
      <c r="F1640" s="1"/>
      <c r="I1640" s="8" t="s">
        <v>988</v>
      </c>
      <c r="J1640" s="8">
        <v>62</v>
      </c>
      <c r="K1640" s="9">
        <v>38919</v>
      </c>
      <c r="L1640" t="s">
        <v>174</v>
      </c>
    </row>
    <row r="1641" spans="6:12">
      <c r="F1641" s="1"/>
    </row>
    <row r="1642" spans="6:12">
      <c r="F1642" s="1"/>
      <c r="I1642" s="8" t="s">
        <v>989</v>
      </c>
      <c r="J1642" s="8">
        <v>180</v>
      </c>
      <c r="K1642" s="9">
        <v>38842</v>
      </c>
      <c r="L1642" t="s">
        <v>174</v>
      </c>
    </row>
    <row r="1643" spans="6:12">
      <c r="F1643" s="1"/>
    </row>
    <row r="1644" spans="6:12">
      <c r="F1644" s="1"/>
      <c r="I1644" s="8" t="s">
        <v>990</v>
      </c>
      <c r="J1644" s="8">
        <v>2</v>
      </c>
      <c r="K1644" s="9">
        <v>38842</v>
      </c>
      <c r="L1644" s="8" t="s">
        <v>174</v>
      </c>
    </row>
    <row r="1645" spans="6:12">
      <c r="F1645" s="1"/>
    </row>
    <row r="1646" spans="6:12">
      <c r="F1646" s="1"/>
      <c r="I1646" s="8" t="s">
        <v>991</v>
      </c>
      <c r="J1646" s="8">
        <v>12</v>
      </c>
      <c r="K1646" s="9">
        <v>38794</v>
      </c>
      <c r="L1646" s="8" t="s">
        <v>174</v>
      </c>
    </row>
    <row r="1647" spans="6:12">
      <c r="F1647" s="1"/>
    </row>
    <row r="1648" spans="6:12">
      <c r="F1648" s="1"/>
      <c r="I1648" s="8" t="s">
        <v>992</v>
      </c>
      <c r="J1648" s="8">
        <v>167</v>
      </c>
      <c r="K1648" s="9">
        <v>38751</v>
      </c>
      <c r="L1648" t="s">
        <v>174</v>
      </c>
    </row>
    <row r="1649" spans="6:12">
      <c r="F1649" s="1"/>
    </row>
    <row r="1650" spans="6:12">
      <c r="F1650" s="1"/>
      <c r="I1650" s="8" t="s">
        <v>993</v>
      </c>
      <c r="J1650" s="8">
        <v>2</v>
      </c>
      <c r="K1650" s="9">
        <v>38751</v>
      </c>
      <c r="L1650" s="8" t="s">
        <v>174</v>
      </c>
    </row>
    <row r="1651" spans="6:12">
      <c r="F1651" s="1"/>
    </row>
    <row r="1652" spans="6:12">
      <c r="F1652" s="1"/>
      <c r="I1652" s="8" t="s">
        <v>994</v>
      </c>
      <c r="J1652" s="8">
        <v>5</v>
      </c>
      <c r="K1652" s="9">
        <v>38718</v>
      </c>
      <c r="L1652" s="8" t="s">
        <v>174</v>
      </c>
    </row>
    <row r="1653" spans="6:12">
      <c r="F1653" s="1"/>
    </row>
    <row r="1654" spans="6:12">
      <c r="F1654" s="1"/>
      <c r="I1654" s="8" t="s">
        <v>995</v>
      </c>
      <c r="J1654" s="8">
        <v>9</v>
      </c>
      <c r="K1654" s="9">
        <v>38718</v>
      </c>
      <c r="L1654" s="8" t="s">
        <v>174</v>
      </c>
    </row>
    <row r="1655" spans="6:12">
      <c r="F1655" s="1"/>
    </row>
    <row r="1656" spans="6:12">
      <c r="F1656" s="1"/>
      <c r="I1656" s="8" t="s">
        <v>996</v>
      </c>
      <c r="J1656" s="8">
        <v>6</v>
      </c>
      <c r="K1656" s="9">
        <v>38718</v>
      </c>
      <c r="L1656" s="8" t="s">
        <v>174</v>
      </c>
    </row>
    <row r="1657" spans="6:12">
      <c r="F1657" s="1"/>
    </row>
    <row r="1658" spans="6:12">
      <c r="F1658" s="1"/>
      <c r="I1658" s="8" t="s">
        <v>997</v>
      </c>
      <c r="J1658" s="8">
        <v>12</v>
      </c>
      <c r="K1658" s="9">
        <v>38718</v>
      </c>
      <c r="L1658" s="8" t="s">
        <v>174</v>
      </c>
    </row>
    <row r="1659" spans="6:12">
      <c r="F1659" s="1"/>
    </row>
    <row r="1660" spans="6:12">
      <c r="F1660" s="1"/>
      <c r="I1660" s="8" t="s">
        <v>998</v>
      </c>
      <c r="J1660" s="8">
        <v>60</v>
      </c>
      <c r="K1660" s="9">
        <v>38718</v>
      </c>
      <c r="L1660" s="8" t="s">
        <v>174</v>
      </c>
    </row>
    <row r="1661" spans="6:12">
      <c r="F1661" s="1"/>
    </row>
    <row r="1662" spans="6:12">
      <c r="F1662" s="1"/>
      <c r="I1662" s="8" t="s">
        <v>999</v>
      </c>
      <c r="J1662" s="8">
        <v>4</v>
      </c>
      <c r="K1662" s="9">
        <v>38718</v>
      </c>
      <c r="L1662" s="8" t="s">
        <v>174</v>
      </c>
    </row>
    <row r="1663" spans="6:12">
      <c r="F1663" s="1"/>
    </row>
    <row r="1664" spans="6:12">
      <c r="F1664" s="1"/>
      <c r="I1664" s="8" t="s">
        <v>1000</v>
      </c>
      <c r="J1664" s="8">
        <v>80</v>
      </c>
      <c r="K1664" s="9">
        <v>38718</v>
      </c>
      <c r="L1664" t="s">
        <v>174</v>
      </c>
    </row>
    <row r="1665" spans="6:12">
      <c r="F1665" s="1"/>
    </row>
    <row r="1666" spans="6:12">
      <c r="F1666" s="1"/>
      <c r="I1666" s="8" t="s">
        <v>1001</v>
      </c>
      <c r="J1666" s="8">
        <v>7</v>
      </c>
      <c r="K1666" s="9">
        <v>38718</v>
      </c>
      <c r="L1666" s="8" t="s">
        <v>174</v>
      </c>
    </row>
    <row r="1667" spans="6:12">
      <c r="F1667" s="1"/>
    </row>
    <row r="1668" spans="6:12">
      <c r="F1668" s="1"/>
      <c r="I1668" s="8" t="s">
        <v>1002</v>
      </c>
      <c r="J1668" s="8">
        <v>1</v>
      </c>
      <c r="K1668" s="9">
        <v>38695</v>
      </c>
      <c r="L1668" s="8" t="s">
        <v>174</v>
      </c>
    </row>
    <row r="1669" spans="6:12">
      <c r="F1669" s="1"/>
    </row>
    <row r="1670" spans="6:12">
      <c r="F1670" s="1"/>
      <c r="I1670" s="8" t="s">
        <v>1003</v>
      </c>
      <c r="J1670" s="8">
        <v>20</v>
      </c>
      <c r="K1670" s="9">
        <v>38632</v>
      </c>
      <c r="L1670" s="8" t="s">
        <v>174</v>
      </c>
    </row>
    <row r="1671" spans="6:12">
      <c r="F1671" s="1"/>
    </row>
    <row r="1672" spans="6:12">
      <c r="F1672" s="1"/>
      <c r="I1672" s="8" t="s">
        <v>1004</v>
      </c>
      <c r="J1672" s="8">
        <v>306</v>
      </c>
      <c r="K1672" s="9">
        <v>38632</v>
      </c>
      <c r="L1672" t="s">
        <v>174</v>
      </c>
    </row>
    <row r="1673" spans="6:12">
      <c r="F1673" s="1"/>
    </row>
    <row r="1674" spans="6:12">
      <c r="F1674" s="1"/>
      <c r="I1674" s="8" t="s">
        <v>1005</v>
      </c>
      <c r="J1674" s="8">
        <v>2</v>
      </c>
      <c r="K1674" s="9">
        <v>38632</v>
      </c>
      <c r="L1674" s="8" t="s">
        <v>174</v>
      </c>
    </row>
    <row r="1675" spans="6:12">
      <c r="F1675" s="1"/>
    </row>
    <row r="1676" spans="6:12">
      <c r="F1676" s="1"/>
      <c r="I1676" s="8" t="s">
        <v>1006</v>
      </c>
      <c r="J1676" s="8">
        <v>720</v>
      </c>
      <c r="K1676" s="9">
        <v>38586</v>
      </c>
      <c r="L1676" t="s">
        <v>174</v>
      </c>
    </row>
    <row r="1677" spans="6:12">
      <c r="F1677" s="1"/>
    </row>
    <row r="1678" spans="6:12">
      <c r="F1678" s="1"/>
      <c r="I1678" s="8" t="s">
        <v>1007</v>
      </c>
      <c r="J1678" s="8">
        <v>710</v>
      </c>
      <c r="K1678" s="9">
        <v>38562</v>
      </c>
      <c r="L1678" t="s">
        <v>174</v>
      </c>
    </row>
    <row r="1679" spans="6:12">
      <c r="F1679" s="1"/>
    </row>
    <row r="1680" spans="6:12">
      <c r="F1680" s="1"/>
      <c r="I1680" s="8" t="s">
        <v>1008</v>
      </c>
      <c r="J1680" s="8">
        <v>2</v>
      </c>
      <c r="K1680" s="9">
        <v>38562</v>
      </c>
      <c r="L1680" t="s">
        <v>174</v>
      </c>
    </row>
    <row r="1681" spans="6:12">
      <c r="F1681" s="1"/>
    </row>
    <row r="1682" spans="6:12">
      <c r="F1682" s="1"/>
      <c r="I1682" s="8" t="s">
        <v>1009</v>
      </c>
      <c r="J1682" s="8">
        <v>165</v>
      </c>
      <c r="K1682" s="9">
        <v>38506</v>
      </c>
      <c r="L1682" t="s">
        <v>174</v>
      </c>
    </row>
    <row r="1683" spans="6:12">
      <c r="F1683" s="1"/>
    </row>
    <row r="1684" spans="6:12">
      <c r="F1684" s="1"/>
      <c r="I1684" s="8" t="s">
        <v>1010</v>
      </c>
      <c r="J1684" s="8">
        <v>2</v>
      </c>
      <c r="K1684" s="9">
        <v>38506</v>
      </c>
      <c r="L1684" s="8" t="s">
        <v>174</v>
      </c>
    </row>
    <row r="1685" spans="6:12">
      <c r="F1685" s="1"/>
    </row>
    <row r="1686" spans="6:12">
      <c r="F1686" s="1"/>
      <c r="I1686" s="8" t="s">
        <v>1011</v>
      </c>
      <c r="J1686" s="8">
        <v>165</v>
      </c>
      <c r="K1686" s="9">
        <v>38387</v>
      </c>
      <c r="L1686" t="s">
        <v>174</v>
      </c>
    </row>
    <row r="1687" spans="6:12">
      <c r="F1687" s="1"/>
    </row>
    <row r="1688" spans="6:12">
      <c r="F1688" s="1"/>
      <c r="I1688" s="8" t="s">
        <v>1012</v>
      </c>
      <c r="J1688" s="8">
        <v>2</v>
      </c>
      <c r="K1688" s="9">
        <v>38387</v>
      </c>
      <c r="L1688" s="8" t="s">
        <v>174</v>
      </c>
    </row>
    <row r="1689" spans="6:12">
      <c r="F1689" s="1"/>
    </row>
    <row r="1690" spans="6:12">
      <c r="F1690" s="1"/>
      <c r="I1690" s="8" t="s">
        <v>1013</v>
      </c>
      <c r="J1690" s="8">
        <v>8</v>
      </c>
      <c r="K1690" s="9">
        <v>38353</v>
      </c>
      <c r="L1690" s="8" t="s">
        <v>174</v>
      </c>
    </row>
    <row r="1691" spans="6:12">
      <c r="F1691" s="1"/>
    </row>
    <row r="1692" spans="6:12">
      <c r="F1692" s="1"/>
      <c r="I1692" s="8" t="s">
        <v>1014</v>
      </c>
      <c r="J1692" s="8">
        <v>8</v>
      </c>
      <c r="K1692" s="9">
        <v>38353</v>
      </c>
      <c r="L1692" s="8" t="s">
        <v>174</v>
      </c>
    </row>
    <row r="1693" spans="6:12">
      <c r="F1693" s="1"/>
    </row>
    <row r="1694" spans="6:12">
      <c r="F1694" s="1"/>
      <c r="I1694" s="8" t="s">
        <v>1015</v>
      </c>
      <c r="J1694" s="8">
        <v>12</v>
      </c>
      <c r="K1694" s="9">
        <v>38353</v>
      </c>
      <c r="L1694" s="8" t="s">
        <v>174</v>
      </c>
    </row>
    <row r="1695" spans="6:12">
      <c r="F1695" s="1"/>
    </row>
    <row r="1696" spans="6:12">
      <c r="F1696" s="1"/>
      <c r="I1696" s="8" t="s">
        <v>1016</v>
      </c>
      <c r="J1696" s="8">
        <v>6</v>
      </c>
      <c r="K1696" s="9">
        <v>38353</v>
      </c>
      <c r="L1696" s="8" t="s">
        <v>174</v>
      </c>
    </row>
    <row r="1697" spans="6:12">
      <c r="F1697" s="1"/>
    </row>
    <row r="1698" spans="6:12">
      <c r="F1698" s="1"/>
      <c r="I1698" s="8" t="s">
        <v>1017</v>
      </c>
      <c r="J1698" s="8">
        <v>4</v>
      </c>
      <c r="K1698" s="9">
        <v>38353</v>
      </c>
      <c r="L1698" s="8" t="s">
        <v>174</v>
      </c>
    </row>
    <row r="1699" spans="6:12">
      <c r="F1699" s="1"/>
    </row>
    <row r="1700" spans="6:12">
      <c r="F1700" s="1"/>
      <c r="I1700" s="8" t="s">
        <v>1018</v>
      </c>
      <c r="J1700" s="8">
        <v>168</v>
      </c>
      <c r="K1700" s="9">
        <v>38310</v>
      </c>
      <c r="L1700" s="8" t="s">
        <v>174</v>
      </c>
    </row>
    <row r="1701" spans="6:12">
      <c r="F1701" s="1"/>
    </row>
    <row r="1702" spans="6:12">
      <c r="F1702" s="1"/>
      <c r="I1702" s="8" t="s">
        <v>1019</v>
      </c>
      <c r="J1702" s="8">
        <v>1</v>
      </c>
      <c r="K1702" s="9">
        <v>38310</v>
      </c>
      <c r="L1702" s="8" t="s">
        <v>174</v>
      </c>
    </row>
    <row r="1703" spans="6:12">
      <c r="F1703" s="1"/>
    </row>
    <row r="1704" spans="6:12">
      <c r="F1704" s="1"/>
      <c r="I1704" s="8" t="s">
        <v>1020</v>
      </c>
      <c r="J1704" s="8">
        <v>307</v>
      </c>
      <c r="K1704" s="9">
        <v>38261</v>
      </c>
      <c r="L1704" t="s">
        <v>174</v>
      </c>
    </row>
    <row r="1705" spans="6:12">
      <c r="F1705" s="1"/>
    </row>
    <row r="1706" spans="6:12">
      <c r="F1706" s="1"/>
      <c r="I1706" s="8" t="s">
        <v>1021</v>
      </c>
      <c r="J1706" s="8">
        <v>1</v>
      </c>
      <c r="K1706" s="9">
        <v>38261</v>
      </c>
      <c r="L1706" s="8" t="s">
        <v>174</v>
      </c>
    </row>
    <row r="1707" spans="6:12">
      <c r="F1707" s="1"/>
    </row>
    <row r="1708" spans="6:12">
      <c r="F1708" s="1"/>
      <c r="I1708" s="8" t="s">
        <v>1022</v>
      </c>
      <c r="J1708" s="8">
        <v>103</v>
      </c>
      <c r="K1708" s="9">
        <v>38231</v>
      </c>
      <c r="L1708" s="8" t="s">
        <v>174</v>
      </c>
    </row>
    <row r="1709" spans="6:12">
      <c r="F1709" s="1"/>
    </row>
    <row r="1710" spans="6:12">
      <c r="F1710" s="1"/>
      <c r="I1710" s="8" t="s">
        <v>1023</v>
      </c>
      <c r="J1710" s="8">
        <v>165</v>
      </c>
      <c r="K1710" s="9">
        <v>38142</v>
      </c>
      <c r="L1710" t="s">
        <v>174</v>
      </c>
    </row>
    <row r="1711" spans="6:12">
      <c r="F1711" s="1"/>
    </row>
    <row r="1712" spans="6:12">
      <c r="F1712" s="1"/>
      <c r="I1712" s="8" t="s">
        <v>1024</v>
      </c>
      <c r="J1712" s="8">
        <v>1</v>
      </c>
      <c r="K1712" s="9">
        <v>38142</v>
      </c>
      <c r="L1712" s="8" t="s">
        <v>174</v>
      </c>
    </row>
    <row r="1713" spans="6:12">
      <c r="F1713" s="1"/>
    </row>
    <row r="1714" spans="6:12">
      <c r="F1714" s="1"/>
      <c r="I1714" s="8" t="s">
        <v>1025</v>
      </c>
      <c r="J1714" s="8">
        <v>165</v>
      </c>
      <c r="K1714" s="9">
        <v>38023</v>
      </c>
      <c r="L1714" t="s">
        <v>174</v>
      </c>
    </row>
    <row r="1715" spans="6:12">
      <c r="F1715" s="1"/>
    </row>
    <row r="1716" spans="6:12">
      <c r="F1716" s="1"/>
      <c r="I1716" s="8" t="s">
        <v>1026</v>
      </c>
      <c r="J1716" s="8">
        <v>1</v>
      </c>
      <c r="K1716" s="9">
        <v>38023</v>
      </c>
      <c r="L1716" s="8" t="s">
        <v>174</v>
      </c>
    </row>
    <row r="1717" spans="6:12">
      <c r="F1717" s="1"/>
    </row>
    <row r="1718" spans="6:12">
      <c r="F1718" s="1"/>
      <c r="I1718" s="8" t="s">
        <v>1027</v>
      </c>
      <c r="J1718" s="8">
        <v>14</v>
      </c>
      <c r="K1718" s="9">
        <v>37987</v>
      </c>
      <c r="L1718" s="8" t="s">
        <v>174</v>
      </c>
    </row>
    <row r="1719" spans="6:12">
      <c r="F1719" s="1"/>
    </row>
    <row r="1720" spans="6:12">
      <c r="F1720" s="1"/>
      <c r="I1720" s="8" t="s">
        <v>1028</v>
      </c>
      <c r="J1720" s="8">
        <v>6</v>
      </c>
      <c r="K1720" s="9">
        <v>37987</v>
      </c>
      <c r="L1720" s="8" t="s">
        <v>174</v>
      </c>
    </row>
    <row r="1721" spans="6:12">
      <c r="F1721" s="1"/>
    </row>
    <row r="1722" spans="6:12">
      <c r="F1722" s="1"/>
      <c r="I1722" s="8" t="s">
        <v>1029</v>
      </c>
      <c r="J1722" s="8">
        <v>6</v>
      </c>
      <c r="K1722" s="9">
        <v>37987</v>
      </c>
      <c r="L1722" s="8" t="s">
        <v>174</v>
      </c>
    </row>
    <row r="1723" spans="6:12">
      <c r="F1723" s="1"/>
    </row>
    <row r="1724" spans="6:12">
      <c r="F1724" s="1"/>
      <c r="I1724" s="8" t="s">
        <v>1030</v>
      </c>
      <c r="J1724" s="8">
        <v>12</v>
      </c>
      <c r="K1724" s="9">
        <v>37987</v>
      </c>
      <c r="L1724" s="8" t="s">
        <v>174</v>
      </c>
    </row>
    <row r="1725" spans="6:12">
      <c r="F1725" s="1"/>
    </row>
    <row r="1726" spans="6:12">
      <c r="F1726" s="1"/>
      <c r="I1726" s="8" t="s">
        <v>1031</v>
      </c>
      <c r="J1726" s="8">
        <v>306</v>
      </c>
      <c r="K1726" s="9">
        <v>37896</v>
      </c>
      <c r="L1726" t="s">
        <v>174</v>
      </c>
    </row>
    <row r="1727" spans="6:12">
      <c r="F1727" s="1"/>
    </row>
    <row r="1728" spans="6:12">
      <c r="F1728" s="1"/>
      <c r="I1728" s="8" t="s">
        <v>1032</v>
      </c>
      <c r="J1728" s="8">
        <v>1</v>
      </c>
      <c r="K1728" s="9">
        <v>38142</v>
      </c>
      <c r="L1728" s="8" t="s">
        <v>174</v>
      </c>
    </row>
    <row r="1729" spans="6:12">
      <c r="F1729" s="1"/>
    </row>
    <row r="1730" spans="6:12">
      <c r="F1730" s="1"/>
      <c r="I1730" s="8" t="s">
        <v>1033</v>
      </c>
      <c r="J1730" s="8">
        <v>142</v>
      </c>
      <c r="K1730" s="9">
        <v>37839</v>
      </c>
      <c r="L1730" s="8" t="s">
        <v>174</v>
      </c>
    </row>
    <row r="1731" spans="6:12">
      <c r="F1731" s="1"/>
    </row>
    <row r="1732" spans="6:12">
      <c r="F1732" s="1"/>
      <c r="I1732" s="8" t="s">
        <v>1034</v>
      </c>
      <c r="J1732" s="8">
        <v>711</v>
      </c>
      <c r="K1732" s="9">
        <v>37830</v>
      </c>
      <c r="L1732" t="s">
        <v>174</v>
      </c>
    </row>
    <row r="1733" spans="6:12">
      <c r="F1733" s="1"/>
    </row>
    <row r="1734" spans="6:12">
      <c r="F1734" s="1"/>
      <c r="I1734" s="8" t="s">
        <v>1035</v>
      </c>
      <c r="J1734" s="8">
        <v>1</v>
      </c>
      <c r="K1734" s="9">
        <v>37830</v>
      </c>
      <c r="L1734" s="8" t="s">
        <v>174</v>
      </c>
    </row>
    <row r="1735" spans="6:12">
      <c r="F1735" s="1"/>
    </row>
    <row r="1736" spans="6:12">
      <c r="F1736" s="1"/>
      <c r="I1736" s="8" t="s">
        <v>1036</v>
      </c>
      <c r="J1736" s="8">
        <v>143</v>
      </c>
      <c r="K1736" s="9">
        <v>37767</v>
      </c>
      <c r="L1736" t="s">
        <v>174</v>
      </c>
    </row>
    <row r="1737" spans="6:12">
      <c r="F1737" s="1"/>
    </row>
    <row r="1738" spans="6:12">
      <c r="F1738" s="1"/>
      <c r="I1738" s="8" t="s">
        <v>1037</v>
      </c>
      <c r="J1738" s="8">
        <v>1</v>
      </c>
      <c r="K1738" s="9">
        <v>37767</v>
      </c>
      <c r="L1738" s="8" t="s">
        <v>174</v>
      </c>
    </row>
    <row r="1739" spans="6:12">
      <c r="F1739" s="1"/>
    </row>
    <row r="1740" spans="6:12">
      <c r="F1740" s="1"/>
      <c r="I1740" s="8" t="s">
        <v>1038</v>
      </c>
      <c r="J1740" s="8">
        <v>145</v>
      </c>
      <c r="K1740" s="9">
        <v>37655</v>
      </c>
      <c r="L1740" t="s">
        <v>174</v>
      </c>
    </row>
    <row r="1741" spans="6:12">
      <c r="F1741" s="1"/>
    </row>
    <row r="1742" spans="6:12">
      <c r="F1742" s="1"/>
      <c r="I1742" s="8" t="s">
        <v>1039</v>
      </c>
      <c r="J1742" s="8">
        <v>1</v>
      </c>
      <c r="K1742" s="9">
        <v>37655</v>
      </c>
      <c r="L1742" s="8" t="s">
        <v>174</v>
      </c>
    </row>
    <row r="1743" spans="6:12">
      <c r="F1743" s="1"/>
    </row>
    <row r="1744" spans="6:12">
      <c r="F1744" s="1"/>
      <c r="I1744" s="8" t="s">
        <v>1040</v>
      </c>
      <c r="J1744" s="8">
        <v>85</v>
      </c>
      <c r="K1744" s="9">
        <v>37622</v>
      </c>
      <c r="L1744" s="8" t="s">
        <v>174</v>
      </c>
    </row>
    <row r="1745" spans="6:12">
      <c r="F1745" s="1"/>
    </row>
    <row r="1746" spans="6:12">
      <c r="F1746" s="1"/>
      <c r="I1746" s="8" t="s">
        <v>1041</v>
      </c>
      <c r="J1746" s="8">
        <v>12</v>
      </c>
      <c r="K1746" s="9">
        <v>37622</v>
      </c>
      <c r="L1746" s="8" t="s">
        <v>174</v>
      </c>
    </row>
    <row r="1747" spans="6:12">
      <c r="F1747" s="1"/>
    </row>
    <row r="1748" spans="6:12">
      <c r="F1748" s="1"/>
      <c r="I1748" s="8" t="s">
        <v>1042</v>
      </c>
      <c r="J1748" s="8">
        <v>8</v>
      </c>
      <c r="K1748" s="9">
        <v>37622</v>
      </c>
      <c r="L1748" s="8" t="s">
        <v>174</v>
      </c>
    </row>
    <row r="1749" spans="6:12">
      <c r="F1749" s="1"/>
    </row>
    <row r="1750" spans="6:12">
      <c r="F1750" s="1"/>
      <c r="I1750" s="8" t="s">
        <v>1043</v>
      </c>
      <c r="J1750" s="8">
        <v>3</v>
      </c>
      <c r="K1750" s="9">
        <v>37622</v>
      </c>
      <c r="L1750" s="8" t="s">
        <v>174</v>
      </c>
    </row>
    <row r="1751" spans="6:12">
      <c r="F1751" s="1"/>
    </row>
    <row r="1752" spans="6:12">
      <c r="F1752" s="1"/>
      <c r="I1752" s="8" t="s">
        <v>1044</v>
      </c>
      <c r="J1752" s="8">
        <v>7</v>
      </c>
      <c r="K1752" s="9">
        <v>37622</v>
      </c>
      <c r="L1752" s="8" t="s">
        <v>174</v>
      </c>
    </row>
    <row r="1753" spans="6:12">
      <c r="F1753" s="1"/>
    </row>
    <row r="1754" spans="6:12">
      <c r="F1754" s="1"/>
      <c r="I1754" s="8" t="s">
        <v>1045</v>
      </c>
      <c r="J1754" s="8">
        <v>13</v>
      </c>
      <c r="K1754" s="9">
        <v>37622</v>
      </c>
      <c r="L1754" s="8" t="s">
        <v>174</v>
      </c>
    </row>
    <row r="1755" spans="6:12">
      <c r="F1755" s="1"/>
    </row>
    <row r="1756" spans="6:12">
      <c r="F1756" s="1"/>
      <c r="I1756" s="8" t="s">
        <v>1046</v>
      </c>
      <c r="J1756" s="8">
        <v>35</v>
      </c>
      <c r="K1756" s="9">
        <v>37622</v>
      </c>
      <c r="L1756" s="8" t="s">
        <v>174</v>
      </c>
    </row>
    <row r="1757" spans="6:12">
      <c r="F1757" s="1"/>
    </row>
    <row r="1758" spans="6:12">
      <c r="F1758" s="1"/>
      <c r="I1758" s="8" t="s">
        <v>1047</v>
      </c>
      <c r="J1758" s="8">
        <v>153</v>
      </c>
      <c r="K1758" s="9">
        <v>37591</v>
      </c>
      <c r="L1758" s="8" t="s">
        <v>174</v>
      </c>
    </row>
    <row r="1759" spans="6:12">
      <c r="F1759" s="1"/>
    </row>
    <row r="1760" spans="6:12">
      <c r="F1760" s="1"/>
      <c r="I1760" s="8" t="s">
        <v>1048</v>
      </c>
      <c r="J1760" s="8">
        <v>351</v>
      </c>
      <c r="K1760" s="9">
        <v>37536</v>
      </c>
      <c r="L1760" t="s">
        <v>174</v>
      </c>
    </row>
    <row r="1761" spans="6:12">
      <c r="F1761" s="1"/>
    </row>
    <row r="1762" spans="6:12">
      <c r="F1762" s="1"/>
      <c r="I1762" s="8" t="s">
        <v>1049</v>
      </c>
      <c r="J1762" s="8">
        <v>1</v>
      </c>
      <c r="K1762" s="9">
        <v>37527</v>
      </c>
      <c r="L1762" s="8" t="s">
        <v>174</v>
      </c>
    </row>
    <row r="1763" spans="6:12">
      <c r="F1763" s="1"/>
    </row>
    <row r="1764" spans="6:12">
      <c r="F1764" s="1"/>
      <c r="I1764" s="8" t="s">
        <v>1050</v>
      </c>
      <c r="J1764" s="8">
        <v>5</v>
      </c>
      <c r="K1764" s="9">
        <v>37438</v>
      </c>
      <c r="L1764" s="8" t="s">
        <v>174</v>
      </c>
    </row>
    <row r="1765" spans="6:12">
      <c r="F1765" s="1"/>
    </row>
    <row r="1766" spans="6:12">
      <c r="F1766" s="1"/>
      <c r="I1766" s="8" t="s">
        <v>1051</v>
      </c>
      <c r="J1766" s="8">
        <v>3110</v>
      </c>
      <c r="K1766" s="9">
        <v>37431</v>
      </c>
      <c r="L1766" s="8" t="s">
        <v>174</v>
      </c>
    </row>
    <row r="1767" spans="6:12">
      <c r="F1767" s="1"/>
    </row>
    <row r="1768" spans="6:12">
      <c r="F1768" s="1"/>
      <c r="I1768" s="8" t="s">
        <v>1052</v>
      </c>
      <c r="J1768" s="8">
        <v>143</v>
      </c>
      <c r="K1768" s="9">
        <v>37403</v>
      </c>
      <c r="L1768" t="s">
        <v>174</v>
      </c>
    </row>
    <row r="1769" spans="6:12">
      <c r="F1769" s="1"/>
    </row>
    <row r="1770" spans="6:12">
      <c r="F1770" s="1"/>
      <c r="I1770" s="8" t="s">
        <v>1053</v>
      </c>
      <c r="J1770" s="8">
        <v>1</v>
      </c>
      <c r="K1770" s="9">
        <v>37403</v>
      </c>
      <c r="L1770" t="s">
        <v>174</v>
      </c>
    </row>
    <row r="1771" spans="6:12">
      <c r="F1771" s="1"/>
    </row>
    <row r="1772" spans="6:12">
      <c r="F1772" s="1"/>
      <c r="I1772" s="8" t="s">
        <v>1054</v>
      </c>
      <c r="J1772" s="8">
        <v>143</v>
      </c>
      <c r="K1772" s="9">
        <v>37291</v>
      </c>
      <c r="L1772" t="s">
        <v>174</v>
      </c>
    </row>
    <row r="1773" spans="6:12">
      <c r="F1773" s="1"/>
    </row>
    <row r="1774" spans="6:12">
      <c r="F1774" s="1"/>
      <c r="I1774" s="8" t="s">
        <v>1055</v>
      </c>
      <c r="J1774" s="8">
        <v>3</v>
      </c>
      <c r="K1774" s="9">
        <v>37291</v>
      </c>
      <c r="L1774" s="8" t="s">
        <v>174</v>
      </c>
    </row>
    <row r="1775" spans="6:12">
      <c r="F1775" s="1"/>
    </row>
    <row r="1776" spans="6:12">
      <c r="F1776" s="1"/>
      <c r="I1776" s="8" t="s">
        <v>1056</v>
      </c>
      <c r="J1776" s="8">
        <v>5</v>
      </c>
      <c r="K1776" s="9">
        <v>37257</v>
      </c>
      <c r="L1776" s="8" t="s">
        <v>174</v>
      </c>
    </row>
    <row r="1777" spans="6:12">
      <c r="F1777" s="1"/>
    </row>
    <row r="1778" spans="6:12">
      <c r="F1778" s="1"/>
      <c r="I1778" s="8" t="s">
        <v>1057</v>
      </c>
      <c r="J1778" s="8">
        <v>6</v>
      </c>
      <c r="K1778" s="9">
        <v>37257</v>
      </c>
      <c r="L1778" s="8" t="s">
        <v>174</v>
      </c>
    </row>
    <row r="1779" spans="6:12">
      <c r="F1779" s="1"/>
    </row>
    <row r="1780" spans="6:12">
      <c r="F1780" s="1"/>
      <c r="I1780" s="8" t="s">
        <v>1058</v>
      </c>
      <c r="J1780" s="8">
        <v>2</v>
      </c>
      <c r="K1780" s="9">
        <v>37257</v>
      </c>
      <c r="L1780" s="8" t="s">
        <v>174</v>
      </c>
    </row>
    <row r="1781" spans="6:12">
      <c r="F1781" s="1"/>
    </row>
    <row r="1782" spans="6:12">
      <c r="F1782" s="1"/>
      <c r="I1782" s="8" t="s">
        <v>1059</v>
      </c>
      <c r="J1782" s="8">
        <v>12</v>
      </c>
      <c r="K1782" s="9">
        <v>37257</v>
      </c>
      <c r="L1782" s="8" t="s">
        <v>174</v>
      </c>
    </row>
    <row r="1783" spans="6:12">
      <c r="F1783" s="1"/>
    </row>
    <row r="1784" spans="6:12">
      <c r="F1784" s="1"/>
      <c r="I1784" s="8" t="s">
        <v>1060</v>
      </c>
      <c r="J1784" s="8">
        <v>58</v>
      </c>
      <c r="K1784" s="9">
        <v>37226</v>
      </c>
      <c r="L1784" s="8" t="s">
        <v>174</v>
      </c>
    </row>
    <row r="1785" spans="6:12">
      <c r="F1785" s="1"/>
    </row>
    <row r="1786" spans="6:12">
      <c r="F1786" s="1"/>
      <c r="I1786" s="8" t="s">
        <v>1061</v>
      </c>
      <c r="J1786" s="8">
        <v>353</v>
      </c>
      <c r="K1786" s="9">
        <v>37165</v>
      </c>
      <c r="L1786" t="s">
        <v>174</v>
      </c>
    </row>
    <row r="1787" spans="6:12">
      <c r="F1787" s="1"/>
    </row>
    <row r="1788" spans="6:12">
      <c r="F1788" s="1"/>
      <c r="I1788" s="8" t="s">
        <v>1062</v>
      </c>
      <c r="J1788" s="8">
        <v>1</v>
      </c>
      <c r="K1788" s="9">
        <v>37165</v>
      </c>
      <c r="L1788" t="s">
        <v>174</v>
      </c>
    </row>
    <row r="1789" spans="6:12">
      <c r="F1789" s="1"/>
    </row>
    <row r="1790" spans="6:12">
      <c r="F1790" s="1"/>
      <c r="I1790" s="8" t="s">
        <v>1063</v>
      </c>
      <c r="J1790" s="8">
        <v>138</v>
      </c>
      <c r="K1790" s="9">
        <v>37111</v>
      </c>
      <c r="L1790" s="8" t="s">
        <v>174</v>
      </c>
    </row>
    <row r="1791" spans="6:12">
      <c r="F1791" s="1"/>
    </row>
    <row r="1792" spans="6:12">
      <c r="F1792" s="1"/>
      <c r="I1792" s="8" t="s">
        <v>1064</v>
      </c>
      <c r="J1792" s="8">
        <v>10</v>
      </c>
      <c r="K1792" s="9">
        <v>37070</v>
      </c>
      <c r="L1792" s="8" t="s">
        <v>174</v>
      </c>
    </row>
    <row r="1793" spans="6:12">
      <c r="F1793" s="1"/>
    </row>
    <row r="1794" spans="6:12">
      <c r="F1794" s="1"/>
      <c r="I1794" s="8" t="s">
        <v>1065</v>
      </c>
      <c r="J1794" s="8">
        <v>143</v>
      </c>
      <c r="K1794" s="9">
        <v>37046</v>
      </c>
      <c r="L1794" t="s">
        <v>174</v>
      </c>
    </row>
    <row r="1795" spans="6:12">
      <c r="F1795" s="1"/>
    </row>
    <row r="1796" spans="6:12">
      <c r="F1796" s="1"/>
      <c r="I1796" s="8" t="s">
        <v>1066</v>
      </c>
      <c r="J1796" s="8">
        <v>1</v>
      </c>
      <c r="K1796" s="9">
        <v>37046</v>
      </c>
      <c r="L1796" t="s">
        <v>174</v>
      </c>
    </row>
    <row r="1797" spans="6:12">
      <c r="F1797" s="1"/>
    </row>
    <row r="1798" spans="6:12">
      <c r="F1798" s="1"/>
      <c r="I1798" s="8" t="s">
        <v>1067</v>
      </c>
      <c r="J1798" s="8">
        <v>708</v>
      </c>
      <c r="K1798" s="9">
        <v>36992</v>
      </c>
      <c r="L1798" t="s">
        <v>174</v>
      </c>
    </row>
    <row r="1799" spans="6:12">
      <c r="F1799" s="1"/>
    </row>
    <row r="1800" spans="6:12">
      <c r="F1800" s="1"/>
      <c r="I1800" s="8" t="s">
        <v>1068</v>
      </c>
      <c r="J1800" s="8">
        <v>146</v>
      </c>
      <c r="K1800" s="9">
        <v>36927</v>
      </c>
      <c r="L1800" t="s">
        <v>174</v>
      </c>
    </row>
    <row r="1801" spans="6:12">
      <c r="F1801" s="1"/>
    </row>
    <row r="1802" spans="6:12">
      <c r="F1802" s="1"/>
      <c r="I1802" s="8" t="s">
        <v>1069</v>
      </c>
      <c r="J1802" s="8">
        <v>1</v>
      </c>
      <c r="K1802" s="9">
        <v>36927</v>
      </c>
      <c r="L1802" t="s">
        <v>174</v>
      </c>
    </row>
    <row r="1803" spans="6:12">
      <c r="F1803" s="1"/>
    </row>
    <row r="1804" spans="6:12">
      <c r="F1804" s="1"/>
      <c r="I1804" s="8" t="s">
        <v>1070</v>
      </c>
      <c r="J1804" s="8">
        <v>12</v>
      </c>
      <c r="K1804" s="9">
        <v>36892</v>
      </c>
      <c r="L1804" s="8" t="s">
        <v>174</v>
      </c>
    </row>
    <row r="1805" spans="6:12">
      <c r="F1805" s="1"/>
    </row>
    <row r="1806" spans="6:12">
      <c r="F1806" s="1"/>
      <c r="I1806" s="8" t="s">
        <v>1071</v>
      </c>
      <c r="J1806" s="8">
        <v>8</v>
      </c>
      <c r="K1806" s="9">
        <v>36892</v>
      </c>
      <c r="L1806" s="8" t="s">
        <v>174</v>
      </c>
    </row>
    <row r="1807" spans="6:12">
      <c r="F1807" s="1"/>
    </row>
    <row r="1808" spans="6:12">
      <c r="F1808" s="1"/>
      <c r="I1808" s="8" t="s">
        <v>1072</v>
      </c>
      <c r="J1808" s="8">
        <v>2</v>
      </c>
      <c r="K1808" s="9">
        <v>36892</v>
      </c>
      <c r="L1808" s="8" t="s">
        <v>174</v>
      </c>
    </row>
    <row r="1809" spans="6:12">
      <c r="F1809" s="1"/>
    </row>
    <row r="1810" spans="6:12">
      <c r="F1810" s="1"/>
      <c r="I1810" s="8" t="s">
        <v>1073</v>
      </c>
      <c r="J1810" s="8">
        <v>7</v>
      </c>
      <c r="K1810" s="9">
        <v>36892</v>
      </c>
      <c r="L1810" s="8" t="s">
        <v>174</v>
      </c>
    </row>
    <row r="1811" spans="6:12">
      <c r="F1811" s="1"/>
    </row>
    <row r="1812" spans="6:12">
      <c r="F1812" s="1"/>
      <c r="I1812" s="8" t="s">
        <v>1074</v>
      </c>
      <c r="J1812" s="8">
        <v>354</v>
      </c>
      <c r="K1812" s="9">
        <v>36801</v>
      </c>
      <c r="L1812" t="s">
        <v>174</v>
      </c>
    </row>
    <row r="1813" spans="6:12">
      <c r="F1813" s="1"/>
    </row>
    <row r="1814" spans="6:12">
      <c r="F1814" s="1"/>
      <c r="I1814" s="8" t="s">
        <v>1075</v>
      </c>
      <c r="J1814" s="8">
        <v>1</v>
      </c>
      <c r="K1814" s="9">
        <v>36801</v>
      </c>
      <c r="L1814" t="s">
        <v>174</v>
      </c>
    </row>
    <row r="1815" spans="6:12">
      <c r="F1815" s="1"/>
    </row>
    <row r="1816" spans="6:12">
      <c r="F1816" s="1"/>
      <c r="I1816" s="8" t="s">
        <v>1076</v>
      </c>
      <c r="J1816" s="8">
        <v>90</v>
      </c>
      <c r="K1816" s="9">
        <v>36800</v>
      </c>
      <c r="L1816" s="8" t="s">
        <v>174</v>
      </c>
    </row>
    <row r="1817" spans="6:12">
      <c r="F1817" s="1"/>
    </row>
    <row r="1818" spans="6:12">
      <c r="F1818" s="1"/>
      <c r="I1818" s="8" t="s">
        <v>1077</v>
      </c>
      <c r="J1818" s="8">
        <v>117</v>
      </c>
      <c r="K1818" s="9">
        <v>36740</v>
      </c>
      <c r="L1818" s="8" t="s">
        <v>174</v>
      </c>
    </row>
    <row r="1819" spans="6:12">
      <c r="F1819" s="1"/>
    </row>
    <row r="1820" spans="6:12">
      <c r="F1820" s="1"/>
      <c r="I1820" s="8" t="s">
        <v>1078</v>
      </c>
      <c r="J1820" s="8">
        <v>144</v>
      </c>
      <c r="K1820" s="9">
        <v>36682</v>
      </c>
      <c r="L1820" t="s">
        <v>174</v>
      </c>
    </row>
    <row r="1821" spans="6:12">
      <c r="F1821" s="1"/>
    </row>
    <row r="1822" spans="6:12">
      <c r="F1822" s="1"/>
      <c r="I1822" s="8" t="s">
        <v>1079</v>
      </c>
      <c r="J1822" s="8">
        <v>1</v>
      </c>
      <c r="K1822" s="9">
        <v>36682</v>
      </c>
      <c r="L1822" s="8" t="s">
        <v>174</v>
      </c>
    </row>
    <row r="1823" spans="6:12">
      <c r="F1823" s="1"/>
    </row>
    <row r="1824" spans="6:12">
      <c r="F1824" s="1"/>
      <c r="I1824" s="8" t="s">
        <v>1080</v>
      </c>
      <c r="J1824" s="8">
        <v>20</v>
      </c>
      <c r="K1824" s="9">
        <v>36617</v>
      </c>
      <c r="L1824" t="s">
        <v>174</v>
      </c>
    </row>
    <row r="1825" spans="6:12">
      <c r="F1825" s="1"/>
    </row>
    <row r="1826" spans="6:12">
      <c r="F1826" s="1"/>
      <c r="I1826" s="8" t="s">
        <v>1081</v>
      </c>
      <c r="J1826" s="8">
        <v>143</v>
      </c>
      <c r="K1826" s="9">
        <v>36570</v>
      </c>
      <c r="L1826" t="s">
        <v>174</v>
      </c>
    </row>
    <row r="1827" spans="6:12">
      <c r="F1827" s="1"/>
    </row>
    <row r="1828" spans="6:12">
      <c r="F1828" s="1"/>
      <c r="I1828" s="8" t="s">
        <v>1082</v>
      </c>
      <c r="J1828" s="8">
        <v>1</v>
      </c>
      <c r="K1828" s="9">
        <v>36570</v>
      </c>
      <c r="L1828" s="8" t="s">
        <v>174</v>
      </c>
    </row>
    <row r="1829" spans="6:12">
      <c r="F1829" s="1"/>
    </row>
    <row r="1830" spans="6:12">
      <c r="F1830" s="1"/>
      <c r="I1830" s="8" t="s">
        <v>1083</v>
      </c>
      <c r="J1830" s="8">
        <v>15</v>
      </c>
      <c r="K1830" s="9">
        <v>36561</v>
      </c>
      <c r="L1830" s="8" t="s">
        <v>174</v>
      </c>
    </row>
    <row r="1831" spans="6:12">
      <c r="F1831" s="1"/>
    </row>
    <row r="1832" spans="6:12">
      <c r="F1832" s="1"/>
      <c r="I1832" s="8" t="s">
        <v>1084</v>
      </c>
      <c r="J1832" s="8">
        <v>11</v>
      </c>
      <c r="K1832" s="9">
        <v>36526</v>
      </c>
      <c r="L1832" s="8" t="s">
        <v>174</v>
      </c>
    </row>
    <row r="1833" spans="6:12">
      <c r="F1833" s="1"/>
    </row>
    <row r="1834" spans="6:12">
      <c r="F1834" s="1"/>
      <c r="I1834" s="8" t="s">
        <v>1085</v>
      </c>
      <c r="J1834" s="8">
        <v>2</v>
      </c>
      <c r="K1834" s="9">
        <v>36526</v>
      </c>
      <c r="L1834" s="8" t="s">
        <v>174</v>
      </c>
    </row>
    <row r="1835" spans="6:12">
      <c r="F1835" s="1"/>
    </row>
    <row r="1836" spans="6:12">
      <c r="F1836" s="1"/>
      <c r="I1836" s="8" t="s">
        <v>1086</v>
      </c>
      <c r="J1836" s="8">
        <v>11</v>
      </c>
      <c r="K1836" s="9">
        <v>36526</v>
      </c>
      <c r="L1836" s="8" t="s">
        <v>174</v>
      </c>
    </row>
    <row r="1837" spans="6:12">
      <c r="F1837" s="1"/>
    </row>
    <row r="1838" spans="6:12">
      <c r="F1838" s="1"/>
      <c r="I1838" s="8" t="s">
        <v>1087</v>
      </c>
      <c r="J1838" s="8">
        <v>18</v>
      </c>
      <c r="K1838" s="9">
        <v>36495</v>
      </c>
      <c r="L1838" s="8" t="s">
        <v>174</v>
      </c>
    </row>
    <row r="1839" spans="6:12">
      <c r="F1839" s="1"/>
    </row>
    <row r="1840" spans="6:12">
      <c r="F1840" s="1"/>
      <c r="I1840" s="8" t="s">
        <v>1088</v>
      </c>
      <c r="J1840" s="8">
        <v>136</v>
      </c>
      <c r="K1840" s="9">
        <v>36476</v>
      </c>
      <c r="L1840" s="8" t="s">
        <v>174</v>
      </c>
    </row>
    <row r="1841" spans="6:12">
      <c r="F1841" s="1"/>
    </row>
    <row r="1842" spans="6:12">
      <c r="F1842" s="1"/>
      <c r="I1842" s="8" t="s">
        <v>1089</v>
      </c>
      <c r="J1842" s="8">
        <v>350</v>
      </c>
      <c r="K1842" s="9">
        <v>36437</v>
      </c>
      <c r="L1842" t="s">
        <v>174</v>
      </c>
    </row>
    <row r="1843" spans="6:12">
      <c r="F1843" s="1"/>
    </row>
    <row r="1844" spans="6:12">
      <c r="F1844" s="1"/>
      <c r="I1844" s="8" t="s">
        <v>1090</v>
      </c>
      <c r="J1844" s="8">
        <v>1</v>
      </c>
      <c r="K1844" s="9">
        <v>36437</v>
      </c>
      <c r="L1844" s="8" t="s">
        <v>174</v>
      </c>
    </row>
    <row r="1845" spans="6:12">
      <c r="F1845" s="1"/>
    </row>
    <row r="1846" spans="6:12">
      <c r="F1846" s="1"/>
      <c r="I1846" s="8" t="s">
        <v>1091</v>
      </c>
      <c r="J1846" s="8">
        <v>1</v>
      </c>
      <c r="K1846" s="9">
        <v>36407</v>
      </c>
      <c r="L1846" s="8" t="s">
        <v>174</v>
      </c>
    </row>
    <row r="1847" spans="6:12">
      <c r="F1847" s="1"/>
    </row>
    <row r="1848" spans="6:12">
      <c r="F1848" s="1"/>
      <c r="I1848" s="8" t="s">
        <v>1092</v>
      </c>
      <c r="J1848" s="8">
        <v>111</v>
      </c>
      <c r="K1848" s="9">
        <v>36376</v>
      </c>
      <c r="L1848" s="8" t="s">
        <v>174</v>
      </c>
    </row>
    <row r="1849" spans="6:12">
      <c r="F1849" s="1"/>
    </row>
    <row r="1850" spans="6:12">
      <c r="F1850" s="1"/>
      <c r="I1850" s="8" t="s">
        <v>1093</v>
      </c>
      <c r="J1850" s="8">
        <v>2</v>
      </c>
      <c r="K1850" s="9">
        <v>36376</v>
      </c>
      <c r="L1850" s="8" t="s">
        <v>174</v>
      </c>
    </row>
    <row r="1851" spans="6:12">
      <c r="F1851" s="1"/>
    </row>
    <row r="1852" spans="6:12">
      <c r="F1852" s="1"/>
      <c r="I1852" s="8" t="s">
        <v>1094</v>
      </c>
      <c r="J1852" s="8">
        <v>5</v>
      </c>
      <c r="K1852" s="9">
        <v>36353</v>
      </c>
      <c r="L1852" s="8" t="s">
        <v>174</v>
      </c>
    </row>
    <row r="1853" spans="6:12">
      <c r="F1853" s="1"/>
    </row>
    <row r="1854" spans="6:12">
      <c r="F1854" s="1"/>
      <c r="I1854" s="8" t="s">
        <v>1095</v>
      </c>
      <c r="J1854" s="8">
        <v>173</v>
      </c>
      <c r="K1854" s="9">
        <v>36342</v>
      </c>
      <c r="L1854" s="8" t="s">
        <v>174</v>
      </c>
    </row>
    <row r="1855" spans="6:12">
      <c r="F1855" s="1"/>
    </row>
    <row r="1856" spans="6:12">
      <c r="F1856" s="1"/>
      <c r="I1856" s="8" t="s">
        <v>1096</v>
      </c>
      <c r="J1856" s="8">
        <v>143</v>
      </c>
      <c r="K1856" s="9">
        <v>36318</v>
      </c>
      <c r="L1856" t="s">
        <v>174</v>
      </c>
    </row>
    <row r="1857" spans="6:12">
      <c r="F1857" s="1"/>
    </row>
    <row r="1858" spans="6:12">
      <c r="F1858" s="1"/>
      <c r="I1858" s="8" t="s">
        <v>1097</v>
      </c>
      <c r="J1858" s="8">
        <v>1</v>
      </c>
      <c r="K1858" s="9">
        <v>36318</v>
      </c>
      <c r="L1858" s="8" t="s">
        <v>174</v>
      </c>
    </row>
    <row r="1859" spans="6:12">
      <c r="F1859" s="1"/>
    </row>
    <row r="1860" spans="6:12">
      <c r="F1860" s="1"/>
      <c r="I1860" s="8" t="s">
        <v>1098</v>
      </c>
      <c r="J1860" s="8">
        <v>180</v>
      </c>
      <c r="K1860" s="9">
        <v>36281</v>
      </c>
      <c r="L1860" t="s">
        <v>174</v>
      </c>
    </row>
    <row r="1861" spans="6:12">
      <c r="F1861" s="1"/>
    </row>
    <row r="1862" spans="6:12">
      <c r="F1862" s="1"/>
      <c r="I1862" s="8" t="s">
        <v>1099</v>
      </c>
      <c r="J1862" s="8">
        <v>2</v>
      </c>
      <c r="K1862" s="9">
        <v>36281</v>
      </c>
      <c r="L1862" s="8" t="s">
        <v>174</v>
      </c>
    </row>
    <row r="1863" spans="6:12">
      <c r="F1863" s="1"/>
    </row>
    <row r="1864" spans="6:12">
      <c r="F1864" s="1"/>
      <c r="I1864" s="8" t="s">
        <v>1100</v>
      </c>
      <c r="J1864" s="8">
        <v>351</v>
      </c>
      <c r="K1864" s="9">
        <v>36271</v>
      </c>
      <c r="L1864" t="s">
        <v>174</v>
      </c>
    </row>
    <row r="1865" spans="6:12">
      <c r="F1865" s="1"/>
    </row>
    <row r="1866" spans="6:12">
      <c r="F1866" s="1"/>
      <c r="I1866" s="8" t="s">
        <v>1101</v>
      </c>
      <c r="J1866" s="8">
        <v>143</v>
      </c>
      <c r="K1866" s="9">
        <v>36206</v>
      </c>
      <c r="L1866" t="s">
        <v>174</v>
      </c>
    </row>
    <row r="1867" spans="6:12">
      <c r="F1867" s="1"/>
    </row>
    <row r="1868" spans="6:12">
      <c r="F1868" s="1"/>
      <c r="I1868" s="8" t="s">
        <v>1102</v>
      </c>
      <c r="J1868" s="8">
        <v>2</v>
      </c>
      <c r="K1868" s="9">
        <v>36206</v>
      </c>
      <c r="L1868" s="8" t="s">
        <v>174</v>
      </c>
    </row>
    <row r="1869" spans="6:12">
      <c r="F1869" s="1"/>
    </row>
    <row r="1870" spans="6:12">
      <c r="F1870" s="1"/>
      <c r="I1870" s="8" t="s">
        <v>1103</v>
      </c>
      <c r="J1870" s="8">
        <v>10</v>
      </c>
      <c r="K1870" s="9">
        <v>36161</v>
      </c>
      <c r="L1870" s="8" t="s">
        <v>174</v>
      </c>
    </row>
    <row r="1871" spans="6:12">
      <c r="F1871" s="1"/>
    </row>
    <row r="1872" spans="6:12">
      <c r="F1872" s="1"/>
      <c r="I1872" s="8" t="s">
        <v>1104</v>
      </c>
      <c r="J1872" s="8">
        <v>1</v>
      </c>
      <c r="K1872" s="9">
        <v>36161</v>
      </c>
      <c r="L1872" s="8" t="s">
        <v>174</v>
      </c>
    </row>
    <row r="1873" spans="6:12">
      <c r="F1873" s="1"/>
    </row>
    <row r="1874" spans="6:12">
      <c r="F1874" s="1"/>
      <c r="I1874" s="8" t="s">
        <v>1105</v>
      </c>
      <c r="J1874" s="8">
        <v>85</v>
      </c>
      <c r="K1874" s="9">
        <v>36100</v>
      </c>
      <c r="L1874" s="8" t="s">
        <v>174</v>
      </c>
    </row>
    <row r="1875" spans="6:12">
      <c r="F1875" s="1"/>
    </row>
    <row r="1876" spans="6:12">
      <c r="F1876" s="1"/>
      <c r="I1876" s="8" t="s">
        <v>1106</v>
      </c>
      <c r="J1876" s="8">
        <v>357</v>
      </c>
      <c r="K1876" s="9">
        <v>36080</v>
      </c>
      <c r="L1876" t="s">
        <v>174</v>
      </c>
    </row>
    <row r="1877" spans="6:12">
      <c r="F1877" s="1"/>
    </row>
    <row r="1878" spans="6:12">
      <c r="F1878" s="1"/>
      <c r="I1878" s="8" t="s">
        <v>1107</v>
      </c>
      <c r="J1878" s="8">
        <v>1</v>
      </c>
      <c r="K1878" s="9">
        <v>36080</v>
      </c>
      <c r="L1878" s="8" t="s">
        <v>174</v>
      </c>
    </row>
    <row r="1879" spans="6:12">
      <c r="F1879" s="1"/>
    </row>
    <row r="1880" spans="6:12">
      <c r="F1880" s="1"/>
      <c r="I1880" s="8" t="s">
        <v>1108</v>
      </c>
      <c r="J1880" s="8">
        <v>15</v>
      </c>
      <c r="K1880" s="9">
        <v>36039</v>
      </c>
      <c r="L1880" s="8" t="s">
        <v>174</v>
      </c>
    </row>
    <row r="1881" spans="6:12">
      <c r="F1881" s="1"/>
    </row>
    <row r="1882" spans="6:12">
      <c r="F1882" s="1"/>
      <c r="I1882" s="8" t="s">
        <v>1109</v>
      </c>
      <c r="J1882" s="8">
        <v>117</v>
      </c>
      <c r="K1882" s="9">
        <v>36019</v>
      </c>
      <c r="L1882" s="8" t="s">
        <v>174</v>
      </c>
    </row>
    <row r="1883" spans="6:12">
      <c r="F1883" s="1"/>
    </row>
    <row r="1884" spans="6:12">
      <c r="F1884" s="1"/>
      <c r="I1884" s="8" t="s">
        <v>1110</v>
      </c>
      <c r="J1884" s="8">
        <v>88</v>
      </c>
      <c r="K1884" s="9">
        <v>36018</v>
      </c>
      <c r="L1884" s="8" t="s">
        <v>174</v>
      </c>
    </row>
    <row r="1885" spans="6:12">
      <c r="F1885" s="1"/>
    </row>
    <row r="1886" spans="6:12">
      <c r="F1886" s="1"/>
      <c r="I1886" s="8" t="s">
        <v>1111</v>
      </c>
      <c r="J1886" s="8">
        <v>6</v>
      </c>
      <c r="K1886" s="9">
        <v>36018</v>
      </c>
      <c r="L1886" s="8" t="s">
        <v>174</v>
      </c>
    </row>
    <row r="1887" spans="6:12">
      <c r="F1887" s="1"/>
    </row>
    <row r="1888" spans="6:12">
      <c r="F1888" s="1"/>
      <c r="I1888" s="8" t="s">
        <v>1112</v>
      </c>
      <c r="J1888" s="8">
        <v>165</v>
      </c>
      <c r="K1888" s="9">
        <v>35970</v>
      </c>
      <c r="L1888" t="s">
        <v>174</v>
      </c>
    </row>
    <row r="1889" spans="6:12">
      <c r="F1889" s="1"/>
    </row>
    <row r="1890" spans="6:12">
      <c r="F1890" s="1"/>
      <c r="I1890" s="8" t="s">
        <v>1113</v>
      </c>
      <c r="J1890" s="8">
        <v>143</v>
      </c>
      <c r="K1890" s="9">
        <v>35961</v>
      </c>
      <c r="L1890" t="s">
        <v>174</v>
      </c>
    </row>
    <row r="1891" spans="6:12">
      <c r="F1891" s="1"/>
    </row>
    <row r="1892" spans="6:12">
      <c r="F1892" s="1"/>
      <c r="I1892" s="8" t="s">
        <v>1114</v>
      </c>
      <c r="J1892" s="8">
        <v>1</v>
      </c>
      <c r="K1892" s="9">
        <v>35961</v>
      </c>
      <c r="L1892" s="8" t="s">
        <v>174</v>
      </c>
    </row>
    <row r="1893" spans="6:12">
      <c r="F1893" s="1"/>
    </row>
    <row r="1894" spans="6:12">
      <c r="F1894" s="1"/>
      <c r="I1894" s="8" t="s">
        <v>1115</v>
      </c>
      <c r="J1894" s="8">
        <v>143</v>
      </c>
      <c r="K1894" s="9">
        <v>35856</v>
      </c>
      <c r="L1894" t="s">
        <v>174</v>
      </c>
    </row>
    <row r="1895" spans="6:12">
      <c r="F1895" s="1"/>
    </row>
    <row r="1896" spans="6:12">
      <c r="F1896" s="1"/>
      <c r="I1896" s="8" t="s">
        <v>1116</v>
      </c>
      <c r="J1896" s="8">
        <v>1</v>
      </c>
      <c r="K1896" s="9">
        <v>35856</v>
      </c>
      <c r="L1896" s="8" t="s">
        <v>174</v>
      </c>
    </row>
    <row r="1897" spans="6:12">
      <c r="F1897" s="1"/>
    </row>
    <row r="1898" spans="6:12">
      <c r="F1898" s="1"/>
      <c r="I1898" s="8" t="s">
        <v>1117</v>
      </c>
      <c r="J1898" s="8">
        <v>3</v>
      </c>
      <c r="K1898" s="9">
        <v>35796</v>
      </c>
      <c r="L1898" s="8" t="s">
        <v>174</v>
      </c>
    </row>
    <row r="1899" spans="6:12">
      <c r="F1899" s="1"/>
    </row>
    <row r="1900" spans="6:12">
      <c r="F1900" s="1"/>
      <c r="I1900" s="8" t="s">
        <v>1118</v>
      </c>
      <c r="J1900" s="8">
        <v>350</v>
      </c>
      <c r="K1900" s="9">
        <v>35717</v>
      </c>
      <c r="L1900" t="s">
        <v>174</v>
      </c>
    </row>
    <row r="1901" spans="6:12">
      <c r="F1901" s="1"/>
    </row>
    <row r="1902" spans="6:12">
      <c r="F1902" s="1"/>
      <c r="I1902" s="8" t="s">
        <v>1119</v>
      </c>
      <c r="J1902" s="8">
        <v>1</v>
      </c>
      <c r="K1902" s="9">
        <v>35717</v>
      </c>
      <c r="L1902" s="8" t="s">
        <v>174</v>
      </c>
    </row>
    <row r="1903" spans="6:12">
      <c r="F1903" s="1"/>
    </row>
    <row r="1904" spans="6:12">
      <c r="F1904" s="1"/>
      <c r="I1904" s="8" t="s">
        <v>1120</v>
      </c>
      <c r="J1904" s="8">
        <v>131</v>
      </c>
      <c r="K1904" s="9">
        <v>35655</v>
      </c>
      <c r="L1904" s="8" t="s">
        <v>174</v>
      </c>
    </row>
    <row r="1905" spans="6:12">
      <c r="F1905" s="1"/>
    </row>
    <row r="1906" spans="6:12">
      <c r="F1906" s="1"/>
      <c r="I1906" s="8" t="s">
        <v>1121</v>
      </c>
      <c r="J1906" s="8">
        <v>167</v>
      </c>
      <c r="K1906" s="9">
        <v>35590</v>
      </c>
      <c r="L1906" t="s">
        <v>174</v>
      </c>
    </row>
    <row r="1907" spans="6:12">
      <c r="F1907" s="1"/>
    </row>
    <row r="1908" spans="6:12">
      <c r="F1908" s="1"/>
      <c r="I1908" s="8" t="s">
        <v>1122</v>
      </c>
      <c r="J1908" s="8">
        <v>83</v>
      </c>
      <c r="K1908" s="9">
        <v>35580</v>
      </c>
      <c r="L1908" s="8" t="s">
        <v>174</v>
      </c>
    </row>
    <row r="1909" spans="6:12">
      <c r="F1909" s="1"/>
    </row>
    <row r="1910" spans="6:12">
      <c r="F1910" s="1"/>
      <c r="I1910" s="8" t="s">
        <v>1123</v>
      </c>
      <c r="J1910" s="8">
        <v>32</v>
      </c>
      <c r="K1910" s="9">
        <v>35551</v>
      </c>
      <c r="L1910" s="8" t="s">
        <v>174</v>
      </c>
    </row>
    <row r="1911" spans="6:12">
      <c r="F1911" s="1"/>
    </row>
    <row r="1912" spans="6:12">
      <c r="F1912" s="1"/>
      <c r="I1912" s="8" t="s">
        <v>1124</v>
      </c>
      <c r="J1912" s="8">
        <v>257</v>
      </c>
      <c r="K1912" s="9">
        <v>35551</v>
      </c>
      <c r="L1912" t="s">
        <v>174</v>
      </c>
    </row>
    <row r="1913" spans="6:12">
      <c r="F1913" s="1"/>
    </row>
    <row r="1914" spans="6:12">
      <c r="F1914" s="1"/>
      <c r="I1914" s="8" t="s">
        <v>1125</v>
      </c>
      <c r="J1914" s="8">
        <v>12</v>
      </c>
      <c r="K1914" s="9">
        <v>35521</v>
      </c>
      <c r="L1914" s="8" t="s">
        <v>174</v>
      </c>
    </row>
    <row r="1915" spans="6:12">
      <c r="F1915" s="1"/>
    </row>
    <row r="1916" spans="6:12">
      <c r="F1916" s="1"/>
      <c r="I1916" s="8" t="s">
        <v>1126</v>
      </c>
      <c r="J1916" s="8">
        <v>1</v>
      </c>
      <c r="K1916" s="9">
        <v>35521</v>
      </c>
      <c r="L1916" s="8" t="s">
        <v>174</v>
      </c>
    </row>
    <row r="1917" spans="6:12">
      <c r="F1917" s="1"/>
    </row>
    <row r="1918" spans="6:12">
      <c r="F1918" s="1"/>
      <c r="I1918" s="8" t="s">
        <v>1127</v>
      </c>
      <c r="J1918" s="8">
        <v>460</v>
      </c>
      <c r="K1918" s="9">
        <v>35513</v>
      </c>
      <c r="L1918" t="s">
        <v>174</v>
      </c>
    </row>
    <row r="1919" spans="6:12">
      <c r="F1919" s="1"/>
    </row>
    <row r="1920" spans="6:12">
      <c r="F1920" s="1"/>
      <c r="I1920" s="8" t="s">
        <v>1128</v>
      </c>
      <c r="J1920" s="8">
        <v>167</v>
      </c>
      <c r="K1920" s="9">
        <v>35464</v>
      </c>
      <c r="L1920" t="s">
        <v>174</v>
      </c>
    </row>
    <row r="1921" spans="6:12">
      <c r="F1921" s="1"/>
    </row>
    <row r="1922" spans="6:12">
      <c r="F1922" s="1"/>
      <c r="I1922" s="8" t="s">
        <v>1129</v>
      </c>
      <c r="J1922" s="8">
        <v>10</v>
      </c>
      <c r="K1922" s="9">
        <v>35370</v>
      </c>
      <c r="L1922" s="8" t="s">
        <v>174</v>
      </c>
    </row>
    <row r="1923" spans="6:12">
      <c r="F1923" s="1"/>
    </row>
    <row r="1924" spans="6:12">
      <c r="F1924" s="1"/>
      <c r="I1924" s="8" t="s">
        <v>1130</v>
      </c>
      <c r="J1924" s="8">
        <v>67</v>
      </c>
      <c r="K1924" s="9">
        <v>35430</v>
      </c>
      <c r="L1924" t="s">
        <v>174</v>
      </c>
    </row>
    <row r="1925" spans="6:12">
      <c r="F1925" s="1"/>
    </row>
    <row r="1926" spans="6:12">
      <c r="F1926" s="1"/>
      <c r="I1926" s="8" t="s">
        <v>1131</v>
      </c>
      <c r="J1926" s="8">
        <v>353</v>
      </c>
      <c r="K1926" s="9">
        <v>35346</v>
      </c>
      <c r="L1926" t="s">
        <v>174</v>
      </c>
    </row>
    <row r="1927" spans="6:12">
      <c r="F1927" s="1"/>
    </row>
    <row r="1928" spans="6:12">
      <c r="F1928" s="1"/>
      <c r="I1928" s="8" t="s">
        <v>1132</v>
      </c>
      <c r="J1928" s="8">
        <v>1</v>
      </c>
      <c r="K1928" s="9">
        <v>35339</v>
      </c>
      <c r="L1928" s="8" t="s">
        <v>174</v>
      </c>
    </row>
    <row r="1929" spans="6:12">
      <c r="F1929" s="1"/>
    </row>
    <row r="1930" spans="6:12">
      <c r="F1930" s="1"/>
      <c r="I1930" s="8" t="s">
        <v>1133</v>
      </c>
      <c r="J1930" s="8">
        <v>9</v>
      </c>
      <c r="K1930" s="9">
        <v>35291</v>
      </c>
      <c r="L1930" s="8" t="s">
        <v>174</v>
      </c>
    </row>
    <row r="1931" spans="6:12">
      <c r="F1931" s="1"/>
    </row>
    <row r="1932" spans="6:12">
      <c r="F1932" s="1"/>
      <c r="I1932" s="8" t="s">
        <v>1134</v>
      </c>
      <c r="J1932" s="8">
        <v>7</v>
      </c>
      <c r="K1932" s="9">
        <v>35279</v>
      </c>
      <c r="L1932" s="8" t="s">
        <v>174</v>
      </c>
    </row>
    <row r="1933" spans="6:12">
      <c r="F1933" s="1"/>
    </row>
    <row r="1934" spans="6:12">
      <c r="F1934" s="1"/>
      <c r="I1934" s="8" t="s">
        <v>1135</v>
      </c>
      <c r="J1934" s="8">
        <v>2</v>
      </c>
      <c r="K1934" s="9">
        <v>35247</v>
      </c>
      <c r="L1934" s="8" t="s">
        <v>174</v>
      </c>
    </row>
    <row r="1935" spans="6:12">
      <c r="F1935" s="1"/>
    </row>
    <row r="1936" spans="6:12">
      <c r="F1936" s="1"/>
      <c r="I1936" s="8" t="s">
        <v>1136</v>
      </c>
      <c r="J1936" s="8">
        <v>65</v>
      </c>
      <c r="K1936" s="9">
        <v>35247</v>
      </c>
      <c r="L1936" s="8" t="s">
        <v>174</v>
      </c>
    </row>
    <row r="1937" spans="6:12">
      <c r="F1937" s="1"/>
    </row>
    <row r="1938" spans="6:12">
      <c r="F1938" s="1"/>
      <c r="I1938" s="8" t="s">
        <v>1137</v>
      </c>
      <c r="J1938" s="8">
        <v>199</v>
      </c>
      <c r="K1938" s="9">
        <v>35226</v>
      </c>
      <c r="L1938" t="s">
        <v>174</v>
      </c>
    </row>
    <row r="1939" spans="6:12">
      <c r="F1939" s="1"/>
    </row>
    <row r="1940" spans="6:12">
      <c r="F1940" s="1"/>
      <c r="I1940" s="8" t="s">
        <v>1138</v>
      </c>
      <c r="J1940" s="8">
        <v>308</v>
      </c>
      <c r="K1940" s="9">
        <v>35186</v>
      </c>
      <c r="L1940" s="8" t="s">
        <v>174</v>
      </c>
    </row>
    <row r="1941" spans="6:12">
      <c r="F1941" s="1"/>
    </row>
    <row r="1942" spans="6:12">
      <c r="F1942" s="1"/>
      <c r="I1942" s="8" t="s">
        <v>1139</v>
      </c>
      <c r="J1942" s="8">
        <v>10</v>
      </c>
      <c r="K1942" s="9">
        <v>35156</v>
      </c>
      <c r="L1942" s="8" t="s">
        <v>174</v>
      </c>
    </row>
    <row r="1943" spans="6:12">
      <c r="F1943" s="1"/>
    </row>
    <row r="1944" spans="6:12">
      <c r="F1944" s="1"/>
      <c r="I1944" s="8" t="s">
        <v>1140</v>
      </c>
      <c r="J1944" s="8">
        <v>140</v>
      </c>
      <c r="K1944" s="9">
        <v>34973</v>
      </c>
      <c r="L1944" t="s">
        <v>174</v>
      </c>
    </row>
    <row r="1945" spans="6:12">
      <c r="F1945" s="1"/>
    </row>
    <row r="1946" spans="6:12">
      <c r="F1946" s="1"/>
      <c r="I1946" s="8" t="s">
        <v>1141</v>
      </c>
      <c r="J1946" s="8">
        <v>122</v>
      </c>
      <c r="K1946" s="9">
        <v>34912</v>
      </c>
      <c r="L1946" t="s">
        <v>174</v>
      </c>
    </row>
    <row r="1947" spans="6:12">
      <c r="F1947" s="1"/>
    </row>
    <row r="1948" spans="6:12">
      <c r="F1948" s="1"/>
      <c r="I1948" s="8" t="s">
        <v>1142</v>
      </c>
      <c r="J1948" s="8">
        <v>69</v>
      </c>
      <c r="K1948" s="9">
        <v>34912</v>
      </c>
      <c r="L1948" s="8" t="s">
        <v>174</v>
      </c>
    </row>
    <row r="1949" spans="6:12">
      <c r="F1949" s="1"/>
    </row>
    <row r="1950" spans="6:12">
      <c r="F1950" s="1"/>
      <c r="I1950" s="8" t="s">
        <v>1143</v>
      </c>
      <c r="J1950" s="8">
        <v>125</v>
      </c>
      <c r="K1950" s="9">
        <v>34881</v>
      </c>
      <c r="L1950" s="8" t="s">
        <v>174</v>
      </c>
    </row>
    <row r="1951" spans="6:12">
      <c r="F1951" s="1"/>
    </row>
    <row r="1952" spans="6:12">
      <c r="F1952" s="1"/>
      <c r="I1952" s="8" t="s">
        <v>1144</v>
      </c>
      <c r="J1952" s="8">
        <v>125</v>
      </c>
      <c r="K1952" s="9">
        <v>34881</v>
      </c>
      <c r="L1952" s="8" t="s">
        <v>174</v>
      </c>
    </row>
    <row r="1953" spans="6:12">
      <c r="F1953" s="1"/>
    </row>
    <row r="1954" spans="6:12">
      <c r="F1954" s="1"/>
      <c r="I1954" s="8" t="s">
        <v>1145</v>
      </c>
      <c r="J1954" s="8">
        <v>383</v>
      </c>
      <c r="K1954" s="9">
        <v>34853</v>
      </c>
      <c r="L1954" t="s">
        <v>174</v>
      </c>
    </row>
    <row r="1955" spans="6:12">
      <c r="F1955" s="1"/>
    </row>
    <row r="1956" spans="6:12">
      <c r="F1956" s="1"/>
      <c r="I1956" s="8" t="s">
        <v>1146</v>
      </c>
      <c r="J1956" s="8">
        <v>380</v>
      </c>
      <c r="K1956" s="9">
        <v>34790</v>
      </c>
      <c r="L1956" t="s">
        <v>174</v>
      </c>
    </row>
    <row r="1957" spans="6:12">
      <c r="F1957" s="1"/>
    </row>
    <row r="1958" spans="6:12">
      <c r="F1958" s="1"/>
      <c r="I1958" s="8" t="s">
        <v>1147</v>
      </c>
      <c r="J1958" s="8">
        <v>378</v>
      </c>
      <c r="K1958" s="9">
        <v>34790</v>
      </c>
      <c r="L1958" t="s">
        <v>174</v>
      </c>
    </row>
    <row r="1959" spans="6:12">
      <c r="F1959" s="1"/>
    </row>
    <row r="1960" spans="6:12">
      <c r="F1960" s="1"/>
      <c r="I1960" s="8" t="s">
        <v>1148</v>
      </c>
      <c r="J1960" s="8">
        <v>82</v>
      </c>
      <c r="K1960" s="9">
        <v>34700</v>
      </c>
      <c r="L1960" t="s">
        <v>174</v>
      </c>
    </row>
    <row r="1961" spans="6:12">
      <c r="F1961" s="1"/>
    </row>
    <row r="1962" spans="6:12">
      <c r="F1962" s="1"/>
      <c r="I1962" s="8" t="s">
        <v>1149</v>
      </c>
      <c r="J1962" s="8">
        <v>187</v>
      </c>
      <c r="K1962" s="9">
        <v>34639</v>
      </c>
      <c r="L1962" s="8" t="s">
        <v>174</v>
      </c>
    </row>
    <row r="1963" spans="6:12">
      <c r="F1963" s="1"/>
    </row>
    <row r="1964" spans="6:12">
      <c r="F1964" s="1"/>
      <c r="I1964" s="8" t="s">
        <v>1150</v>
      </c>
      <c r="J1964" s="8">
        <v>5</v>
      </c>
      <c r="K1964" s="9">
        <v>34578</v>
      </c>
      <c r="L1964" t="s">
        <v>174</v>
      </c>
    </row>
    <row r="1965" spans="6:12">
      <c r="F1965" s="1"/>
    </row>
    <row r="1966" spans="6:12">
      <c r="F1966" s="1"/>
      <c r="I1966" s="8" t="s">
        <v>1151</v>
      </c>
      <c r="J1966" s="8">
        <v>122</v>
      </c>
      <c r="K1966" s="9">
        <v>34547</v>
      </c>
      <c r="L1966" t="s">
        <v>174</v>
      </c>
    </row>
    <row r="1967" spans="6:12">
      <c r="F1967" s="1"/>
    </row>
    <row r="1968" spans="6:12">
      <c r="F1968" s="1"/>
      <c r="I1968" s="8" t="s">
        <v>1152</v>
      </c>
      <c r="J1968" s="8">
        <v>1</v>
      </c>
      <c r="K1968" s="9">
        <v>34530</v>
      </c>
      <c r="L1968" s="8" t="s">
        <v>174</v>
      </c>
    </row>
    <row r="1969" spans="6:12">
      <c r="F1969" s="1"/>
    </row>
    <row r="1970" spans="6:12">
      <c r="F1970" s="1"/>
      <c r="I1970" s="8" t="s">
        <v>1153</v>
      </c>
      <c r="J1970" s="8">
        <v>306</v>
      </c>
      <c r="K1970" s="9">
        <v>34506</v>
      </c>
      <c r="L1970" s="8" t="s">
        <v>174</v>
      </c>
    </row>
    <row r="1971" spans="6:12">
      <c r="F1971" s="1"/>
    </row>
    <row r="1972" spans="6:12">
      <c r="F1972" s="1"/>
      <c r="I1972" s="8" t="s">
        <v>1154</v>
      </c>
      <c r="J1972" s="8">
        <v>310</v>
      </c>
      <c r="K1972" s="9">
        <v>34486</v>
      </c>
      <c r="L1972" t="s">
        <v>174</v>
      </c>
    </row>
    <row r="1973" spans="6:12">
      <c r="F1973" s="1"/>
    </row>
    <row r="1974" spans="6:12">
      <c r="F1974" s="1"/>
      <c r="I1974" s="8" t="s">
        <v>1155</v>
      </c>
      <c r="J1974" s="8">
        <v>306</v>
      </c>
      <c r="K1974" s="9">
        <v>34435</v>
      </c>
      <c r="L1974" t="s">
        <v>174</v>
      </c>
    </row>
    <row r="1975" spans="6:12">
      <c r="F1975" s="1"/>
    </row>
    <row r="1976" spans="6:12">
      <c r="F1976" s="1"/>
      <c r="I1976" s="8" t="s">
        <v>1156</v>
      </c>
      <c r="J1976" s="8">
        <v>307</v>
      </c>
      <c r="K1976" s="9">
        <v>34435</v>
      </c>
      <c r="L1976" t="s">
        <v>174</v>
      </c>
    </row>
    <row r="1977" spans="6:12">
      <c r="F1977" s="1"/>
    </row>
    <row r="1978" spans="6:12">
      <c r="F1978" s="1"/>
      <c r="I1978" s="8" t="s">
        <v>1157</v>
      </c>
      <c r="J1978" s="8">
        <v>102</v>
      </c>
      <c r="K1978" s="9">
        <v>34397</v>
      </c>
      <c r="L1978" s="8" t="s">
        <v>174</v>
      </c>
    </row>
    <row r="1979" spans="6:12">
      <c r="F1979" s="1"/>
    </row>
    <row r="1980" spans="6:12">
      <c r="F1980" s="1"/>
      <c r="I1980" s="8" t="s">
        <v>1158</v>
      </c>
      <c r="J1980" s="8">
        <v>92</v>
      </c>
      <c r="K1980" s="9">
        <v>34320</v>
      </c>
      <c r="L1980" s="8" t="s">
        <v>174</v>
      </c>
    </row>
    <row r="1981" spans="6:12">
      <c r="F1981" s="1"/>
    </row>
    <row r="1982" spans="6:12">
      <c r="F1982" s="1"/>
      <c r="I1982" s="8" t="s">
        <v>1159</v>
      </c>
      <c r="J1982" s="8">
        <v>302</v>
      </c>
      <c r="K1982" s="9">
        <v>34313</v>
      </c>
      <c r="L1982" s="8" t="s">
        <v>174</v>
      </c>
    </row>
    <row r="1983" spans="6:12">
      <c r="F1983" s="1"/>
    </row>
    <row r="1984" spans="6:12">
      <c r="F1984" s="1"/>
      <c r="I1984" s="8" t="s">
        <v>1160</v>
      </c>
      <c r="J1984" s="8">
        <v>302</v>
      </c>
      <c r="K1984" s="9">
        <v>34313</v>
      </c>
      <c r="L1984" s="8" t="s">
        <v>174</v>
      </c>
    </row>
    <row r="1985" spans="6:12">
      <c r="F1985" s="1"/>
    </row>
    <row r="1986" spans="6:12">
      <c r="F1986" s="1"/>
      <c r="I1986" s="8" t="s">
        <v>1161</v>
      </c>
      <c r="J1986" s="8">
        <v>302</v>
      </c>
      <c r="K1986" s="9">
        <v>34304</v>
      </c>
      <c r="L1986" s="8" t="s">
        <v>174</v>
      </c>
    </row>
    <row r="1987" spans="6:12">
      <c r="F1987" s="1"/>
    </row>
    <row r="1988" spans="6:12">
      <c r="F1988" s="1"/>
      <c r="I1988" s="8" t="s">
        <v>1162</v>
      </c>
      <c r="J1988" s="8">
        <v>302</v>
      </c>
      <c r="K1988" s="9">
        <v>34246</v>
      </c>
      <c r="L1988" s="8" t="s">
        <v>174</v>
      </c>
    </row>
    <row r="1989" spans="6:12">
      <c r="F1989" s="1"/>
    </row>
    <row r="1990" spans="6:12">
      <c r="F1990" s="1"/>
      <c r="I1990" s="8" t="s">
        <v>1163</v>
      </c>
      <c r="J1990" s="8">
        <v>295</v>
      </c>
      <c r="K1990" s="9">
        <v>34186</v>
      </c>
      <c r="L1990" s="8" t="s">
        <v>1164</v>
      </c>
    </row>
    <row r="1991" spans="6:12">
      <c r="F1991" s="1"/>
    </row>
    <row r="1992" spans="6:12">
      <c r="F1992" s="1"/>
    </row>
    <row r="1993" spans="6:12">
      <c r="F1993" s="1"/>
    </row>
    <row r="1994" spans="6:12">
      <c r="F1994" s="1"/>
    </row>
    <row r="1995" spans="6:12">
      <c r="F1995" s="1"/>
    </row>
    <row r="1996" spans="6:12">
      <c r="F1996" s="1"/>
    </row>
    <row r="1997" spans="6:12">
      <c r="F1997" s="1"/>
    </row>
    <row r="1998" spans="6:12">
      <c r="F1998" s="1"/>
    </row>
    <row r="1999" spans="6:12">
      <c r="F1999" s="1"/>
    </row>
    <row r="2000" spans="6:12">
      <c r="F2000" s="1"/>
    </row>
    <row r="2001" spans="6:6">
      <c r="F2001" s="1"/>
    </row>
    <row r="2002" spans="6:6">
      <c r="F2002" s="1"/>
    </row>
    <row r="2003" spans="6:6">
      <c r="F2003" s="1"/>
    </row>
    <row r="2004" spans="6:6">
      <c r="F2004" s="1"/>
    </row>
    <row r="2005" spans="6:6">
      <c r="F2005" s="1"/>
    </row>
    <row r="2006" spans="6:6">
      <c r="F2006" s="1"/>
    </row>
    <row r="2007" spans="6:6">
      <c r="F2007" s="1"/>
    </row>
    <row r="2008" spans="6:6">
      <c r="F2008" s="1"/>
    </row>
    <row r="2009" spans="6:6">
      <c r="F2009" s="1"/>
    </row>
    <row r="2010" spans="6:6">
      <c r="F2010" s="1"/>
    </row>
    <row r="2011" spans="6:6">
      <c r="F2011" s="1"/>
    </row>
    <row r="2012" spans="6:6">
      <c r="F2012" s="1"/>
    </row>
    <row r="2013" spans="6:6">
      <c r="F2013" s="1"/>
    </row>
    <row r="2014" spans="6:6">
      <c r="F2014" s="1"/>
    </row>
    <row r="2015" spans="6:6">
      <c r="F2015" s="1"/>
    </row>
    <row r="2016" spans="6:6">
      <c r="F2016" s="1"/>
    </row>
    <row r="2017" spans="6:6">
      <c r="F2017" s="1"/>
    </row>
    <row r="2018" spans="6:6">
      <c r="F2018" s="1"/>
    </row>
    <row r="2019" spans="6:6">
      <c r="F2019" s="1"/>
    </row>
    <row r="2020" spans="6:6">
      <c r="F2020" s="1"/>
    </row>
    <row r="2021" spans="6:6">
      <c r="F2021" s="1"/>
    </row>
    <row r="2022" spans="6:6">
      <c r="F2022" s="1"/>
    </row>
    <row r="2023" spans="6:6">
      <c r="F2023" s="1"/>
    </row>
    <row r="2024" spans="6:6">
      <c r="F2024" s="1"/>
    </row>
    <row r="2025" spans="6:6">
      <c r="F2025" s="1"/>
    </row>
    <row r="2026" spans="6:6">
      <c r="F2026" s="1"/>
    </row>
    <row r="2027" spans="6:6">
      <c r="F2027" s="1"/>
    </row>
    <row r="2028" spans="6:6">
      <c r="F2028" s="1"/>
    </row>
    <row r="2029" spans="6:6">
      <c r="F2029" s="1"/>
    </row>
    <row r="2030" spans="6:6">
      <c r="F2030" s="1"/>
    </row>
    <row r="2031" spans="6:6">
      <c r="F2031" s="1"/>
    </row>
    <row r="2032" spans="6:6">
      <c r="F2032" s="1"/>
    </row>
    <row r="2033" spans="6:6">
      <c r="F2033" s="1"/>
    </row>
    <row r="2034" spans="6:6">
      <c r="F2034" s="1"/>
    </row>
    <row r="2035" spans="6:6">
      <c r="F2035" s="1"/>
    </row>
    <row r="2036" spans="6:6">
      <c r="F2036" s="1"/>
    </row>
    <row r="2037" spans="6:6">
      <c r="F2037" s="1"/>
    </row>
    <row r="2038" spans="6:6">
      <c r="F2038" s="1"/>
    </row>
    <row r="2039" spans="6:6">
      <c r="F2039" s="1"/>
    </row>
    <row r="2040" spans="6:6">
      <c r="F2040" s="1"/>
    </row>
    <row r="2041" spans="6:6">
      <c r="F2041" s="1"/>
    </row>
    <row r="2042" spans="6:6">
      <c r="F2042" s="1"/>
    </row>
    <row r="2043" spans="6:6">
      <c r="F2043" s="1"/>
    </row>
    <row r="2044" spans="6:6">
      <c r="F2044" s="1"/>
    </row>
    <row r="2045" spans="6:6">
      <c r="F2045" s="1"/>
    </row>
    <row r="2046" spans="6:6">
      <c r="F2046" s="1"/>
    </row>
    <row r="2047" spans="6:6">
      <c r="F2047" s="1"/>
    </row>
    <row r="2048" spans="6:6">
      <c r="F2048" s="1"/>
    </row>
    <row r="2049" spans="6:6">
      <c r="F2049" s="1"/>
    </row>
    <row r="2050" spans="6:6">
      <c r="F2050" s="1"/>
    </row>
    <row r="2051" spans="6:6">
      <c r="F2051" s="1"/>
    </row>
    <row r="2052" spans="6:6">
      <c r="F2052" s="1"/>
    </row>
    <row r="2053" spans="6:6">
      <c r="F2053" s="1"/>
    </row>
    <row r="2054" spans="6:6">
      <c r="F2054" s="1"/>
    </row>
    <row r="2055" spans="6:6">
      <c r="F2055" s="1"/>
    </row>
    <row r="2056" spans="6:6">
      <c r="F2056" s="1"/>
    </row>
    <row r="2057" spans="6:6">
      <c r="F2057" s="1"/>
    </row>
    <row r="2058" spans="6:6">
      <c r="F2058" s="1"/>
    </row>
    <row r="2059" spans="6:6">
      <c r="F2059" s="1"/>
    </row>
    <row r="2060" spans="6:6">
      <c r="F2060" s="1"/>
    </row>
    <row r="2061" spans="6:6">
      <c r="F2061" s="1"/>
    </row>
    <row r="2062" spans="6:6">
      <c r="F2062" s="1"/>
    </row>
    <row r="2063" spans="6:6">
      <c r="F2063" s="1"/>
    </row>
    <row r="2064" spans="6:6">
      <c r="F2064" s="1"/>
    </row>
    <row r="2065" spans="6:6">
      <c r="F2065" s="1"/>
    </row>
    <row r="2066" spans="6:6">
      <c r="F2066" s="1"/>
    </row>
    <row r="2067" spans="6:6">
      <c r="F2067" s="1"/>
    </row>
    <row r="2068" spans="6:6">
      <c r="F2068" s="1"/>
    </row>
    <row r="2069" spans="6:6">
      <c r="F2069" s="1"/>
    </row>
    <row r="2070" spans="6:6">
      <c r="F2070" s="1"/>
    </row>
    <row r="2071" spans="6:6">
      <c r="F2071" s="1"/>
    </row>
    <row r="2072" spans="6:6">
      <c r="F2072" s="1"/>
    </row>
    <row r="2073" spans="6:6">
      <c r="F2073" s="1"/>
    </row>
    <row r="2074" spans="6:6">
      <c r="F2074" s="1"/>
    </row>
    <row r="2075" spans="6:6">
      <c r="F2075" s="1"/>
    </row>
    <row r="2076" spans="6:6">
      <c r="F2076" s="1"/>
    </row>
    <row r="2077" spans="6:6">
      <c r="F2077" s="1"/>
    </row>
    <row r="2078" spans="6:6">
      <c r="F2078" s="1"/>
    </row>
    <row r="2079" spans="6:6">
      <c r="F2079" s="1"/>
    </row>
    <row r="2080" spans="6:6">
      <c r="F2080" s="1"/>
    </row>
    <row r="2081" spans="6:6">
      <c r="F2081" s="1"/>
    </row>
    <row r="2082" spans="6:6">
      <c r="F2082" s="1"/>
    </row>
    <row r="2083" spans="6:6">
      <c r="F2083" s="1"/>
    </row>
    <row r="2084" spans="6:6">
      <c r="F2084" s="1"/>
    </row>
    <row r="2085" spans="6:6">
      <c r="F2085" s="1"/>
    </row>
    <row r="2086" spans="6:6">
      <c r="F2086" s="1"/>
    </row>
    <row r="2087" spans="6:6">
      <c r="F2087" s="1"/>
    </row>
    <row r="2088" spans="6:6">
      <c r="F2088" s="1"/>
    </row>
    <row r="2089" spans="6:6">
      <c r="F2089" s="1"/>
    </row>
    <row r="2090" spans="6:6">
      <c r="F2090" s="1"/>
    </row>
    <row r="2091" spans="6:6">
      <c r="F2091" s="1"/>
    </row>
    <row r="2092" spans="6:6">
      <c r="F2092" s="1"/>
    </row>
    <row r="2093" spans="6:6">
      <c r="F2093" s="1"/>
    </row>
    <row r="2094" spans="6:6">
      <c r="F2094" s="1"/>
    </row>
    <row r="2095" spans="6:6">
      <c r="F2095" s="1"/>
    </row>
    <row r="2096" spans="6:6">
      <c r="F2096" s="1"/>
    </row>
    <row r="2097" spans="6:6">
      <c r="F2097" s="1"/>
    </row>
    <row r="2098" spans="6:6">
      <c r="F2098" s="1"/>
    </row>
    <row r="2099" spans="6:6">
      <c r="F2099" s="1"/>
    </row>
    <row r="2100" spans="6:6">
      <c r="F2100" s="1"/>
    </row>
    <row r="2101" spans="6:6">
      <c r="F2101" s="1"/>
    </row>
    <row r="2102" spans="6:6">
      <c r="F2102" s="1"/>
    </row>
    <row r="2103" spans="6:6">
      <c r="F2103" s="1"/>
    </row>
    <row r="2104" spans="6:6">
      <c r="F2104" s="1"/>
    </row>
    <row r="2105" spans="6:6">
      <c r="F2105" s="1"/>
    </row>
    <row r="2106" spans="6:6">
      <c r="F2106" s="1"/>
    </row>
    <row r="2107" spans="6:6">
      <c r="F2107" s="1"/>
    </row>
    <row r="2108" spans="6:6">
      <c r="F2108" s="1"/>
    </row>
    <row r="2109" spans="6:6">
      <c r="F2109" s="1"/>
    </row>
    <row r="2110" spans="6:6">
      <c r="F2110" s="1"/>
    </row>
    <row r="2111" spans="6:6">
      <c r="F2111" s="1"/>
    </row>
    <row r="2112" spans="6:6">
      <c r="F2112" s="1"/>
    </row>
    <row r="2113" spans="6:6">
      <c r="F2113" s="1"/>
    </row>
    <row r="2114" spans="6:6">
      <c r="F2114" s="1"/>
    </row>
    <row r="2115" spans="6:6">
      <c r="F2115" s="1"/>
    </row>
    <row r="2116" spans="6:6">
      <c r="F2116" s="1"/>
    </row>
    <row r="2117" spans="6:6">
      <c r="F2117" s="1"/>
    </row>
    <row r="2118" spans="6:6">
      <c r="F2118" s="1"/>
    </row>
    <row r="2119" spans="6:6">
      <c r="F2119" s="1"/>
    </row>
    <row r="2120" spans="6:6">
      <c r="F2120" s="1"/>
    </row>
    <row r="2121" spans="6:6">
      <c r="F2121" s="1"/>
    </row>
    <row r="2122" spans="6:6">
      <c r="F2122" s="1"/>
    </row>
    <row r="2123" spans="6:6">
      <c r="F2123" s="1"/>
    </row>
    <row r="2124" spans="6:6">
      <c r="F2124" s="1"/>
    </row>
    <row r="2125" spans="6:6">
      <c r="F2125" s="1"/>
    </row>
    <row r="2126" spans="6:6">
      <c r="F2126" s="1"/>
    </row>
    <row r="2127" spans="6:6">
      <c r="F2127" s="1"/>
    </row>
    <row r="2128" spans="6:6">
      <c r="F2128" s="1"/>
    </row>
    <row r="2129" spans="6:6">
      <c r="F2129" s="1"/>
    </row>
    <row r="2130" spans="6:6">
      <c r="F2130" s="1"/>
    </row>
    <row r="2131" spans="6:6">
      <c r="F2131" s="1"/>
    </row>
    <row r="2132" spans="6:6">
      <c r="F2132" s="1"/>
    </row>
    <row r="2133" spans="6:6">
      <c r="F2133" s="1"/>
    </row>
    <row r="2134" spans="6:6">
      <c r="F2134" s="1"/>
    </row>
    <row r="2135" spans="6:6">
      <c r="F2135" s="1"/>
    </row>
    <row r="2136" spans="6:6">
      <c r="F2136" s="1"/>
    </row>
    <row r="2137" spans="6:6">
      <c r="F2137" s="1"/>
    </row>
    <row r="2138" spans="6:6">
      <c r="F2138" s="1"/>
    </row>
    <row r="2139" spans="6:6">
      <c r="F2139" s="1"/>
    </row>
    <row r="2140" spans="6:6">
      <c r="F2140" s="1"/>
    </row>
    <row r="2141" spans="6:6">
      <c r="F2141" s="1"/>
    </row>
    <row r="2142" spans="6:6">
      <c r="F2142" s="1"/>
    </row>
    <row r="2143" spans="6:6">
      <c r="F2143" s="1"/>
    </row>
    <row r="2144" spans="6:6">
      <c r="F2144" s="1"/>
    </row>
    <row r="2145" spans="6:6">
      <c r="F2145" s="1"/>
    </row>
    <row r="2146" spans="6:6">
      <c r="F2146" s="1"/>
    </row>
    <row r="2147" spans="6:6">
      <c r="F2147" s="1"/>
    </row>
    <row r="2148" spans="6:6">
      <c r="F2148" s="1"/>
    </row>
    <row r="2149" spans="6:6">
      <c r="F2149" s="1"/>
    </row>
    <row r="2150" spans="6:6">
      <c r="F2150" s="1"/>
    </row>
    <row r="2151" spans="6:6">
      <c r="F2151" s="1"/>
    </row>
    <row r="2152" spans="6:6">
      <c r="F2152" s="1"/>
    </row>
    <row r="2153" spans="6:6">
      <c r="F2153" s="1"/>
    </row>
    <row r="2154" spans="6:6">
      <c r="F2154" s="1"/>
    </row>
    <row r="2155" spans="6:6">
      <c r="F2155" s="1"/>
    </row>
    <row r="2156" spans="6:6">
      <c r="F2156" s="1"/>
    </row>
    <row r="2157" spans="6:6">
      <c r="F2157" s="1"/>
    </row>
    <row r="2158" spans="6:6">
      <c r="F2158" s="1"/>
    </row>
    <row r="2159" spans="6:6">
      <c r="F2159" s="1"/>
    </row>
    <row r="2160" spans="6:6">
      <c r="F2160" s="1"/>
    </row>
    <row r="2161" spans="6:6">
      <c r="F2161" s="1"/>
    </row>
    <row r="2162" spans="6:6">
      <c r="F2162" s="1"/>
    </row>
    <row r="2163" spans="6:6">
      <c r="F2163" s="1"/>
    </row>
    <row r="2164" spans="6:6">
      <c r="F2164" s="1"/>
    </row>
    <row r="2165" spans="6:6">
      <c r="F2165" s="1"/>
    </row>
    <row r="2166" spans="6:6">
      <c r="F2166" s="1"/>
    </row>
    <row r="2167" spans="6:6">
      <c r="F2167" s="1"/>
    </row>
    <row r="2168" spans="6:6">
      <c r="F2168" s="1"/>
    </row>
    <row r="2169" spans="6:6">
      <c r="F2169" s="1"/>
    </row>
    <row r="2170" spans="6:6">
      <c r="F2170" s="1"/>
    </row>
    <row r="2171" spans="6:6">
      <c r="F2171" s="1"/>
    </row>
    <row r="2172" spans="6:6">
      <c r="F2172" s="1"/>
    </row>
    <row r="2173" spans="6:6">
      <c r="F2173" s="1"/>
    </row>
    <row r="2174" spans="6:6">
      <c r="F2174" s="1"/>
    </row>
    <row r="2175" spans="6:6">
      <c r="F2175" s="1"/>
    </row>
    <row r="2176" spans="6:6">
      <c r="F2176" s="1"/>
    </row>
    <row r="2177" spans="6:6">
      <c r="F2177" s="1"/>
    </row>
    <row r="2178" spans="6:6">
      <c r="F2178" s="1"/>
    </row>
    <row r="2179" spans="6:6">
      <c r="F2179" s="1"/>
    </row>
    <row r="2180" spans="6:6">
      <c r="F2180" s="1"/>
    </row>
    <row r="2181" spans="6:6">
      <c r="F2181" s="1"/>
    </row>
    <row r="2182" spans="6:6">
      <c r="F2182" s="1"/>
    </row>
    <row r="2183" spans="6:6">
      <c r="F2183" s="1"/>
    </row>
    <row r="2184" spans="6:6">
      <c r="F2184" s="1"/>
    </row>
    <row r="2185" spans="6:6">
      <c r="F2185" s="1"/>
    </row>
    <row r="2186" spans="6:6">
      <c r="F2186" s="1"/>
    </row>
    <row r="2187" spans="6:6">
      <c r="F2187" s="1"/>
    </row>
    <row r="2188" spans="6:6">
      <c r="F2188" s="1"/>
    </row>
    <row r="2189" spans="6:6">
      <c r="F2189" s="1"/>
    </row>
    <row r="2190" spans="6:6">
      <c r="F2190" s="1"/>
    </row>
    <row r="2191" spans="6:6">
      <c r="F2191" s="1"/>
    </row>
    <row r="2192" spans="6:6">
      <c r="F2192" s="1"/>
    </row>
    <row r="2193" spans="6:6">
      <c r="F2193" s="1"/>
    </row>
    <row r="2194" spans="6:6">
      <c r="F2194" s="1"/>
    </row>
    <row r="2195" spans="6:6">
      <c r="F2195" s="1"/>
    </row>
    <row r="2196" spans="6:6">
      <c r="F2196" s="1"/>
    </row>
    <row r="2197" spans="6:6">
      <c r="F2197" s="1"/>
    </row>
    <row r="2198" spans="6:6">
      <c r="F2198" s="1"/>
    </row>
    <row r="2199" spans="6:6">
      <c r="F2199" s="1"/>
    </row>
    <row r="2200" spans="6:6">
      <c r="F2200" s="1"/>
    </row>
    <row r="2201" spans="6:6">
      <c r="F2201" s="1"/>
    </row>
    <row r="2202" spans="6:6">
      <c r="F2202" s="1"/>
    </row>
    <row r="2203" spans="6:6">
      <c r="F2203" s="1"/>
    </row>
    <row r="2204" spans="6:6">
      <c r="F2204" s="1"/>
    </row>
    <row r="2205" spans="6:6">
      <c r="F2205" s="1"/>
    </row>
    <row r="2206" spans="6:6">
      <c r="F2206" s="1"/>
    </row>
    <row r="2207" spans="6:6">
      <c r="F2207" s="1"/>
    </row>
    <row r="2208" spans="6:6">
      <c r="F2208" s="1"/>
    </row>
    <row r="2209" spans="6:6">
      <c r="F2209" s="1"/>
    </row>
    <row r="2210" spans="6:6">
      <c r="F2210" s="1"/>
    </row>
    <row r="2211" spans="6:6">
      <c r="F2211" s="1"/>
    </row>
    <row r="2212" spans="6:6">
      <c r="F2212" s="1"/>
    </row>
    <row r="2213" spans="6:6">
      <c r="F2213" s="1"/>
    </row>
    <row r="2214" spans="6:6">
      <c r="F2214" s="1"/>
    </row>
    <row r="2215" spans="6:6">
      <c r="F2215" s="1"/>
    </row>
    <row r="2216" spans="6:6">
      <c r="F2216" s="1"/>
    </row>
    <row r="2217" spans="6:6">
      <c r="F2217" s="1"/>
    </row>
    <row r="2218" spans="6:6">
      <c r="F2218" s="1"/>
    </row>
    <row r="2219" spans="6:6">
      <c r="F2219" s="1"/>
    </row>
    <row r="2220" spans="6:6">
      <c r="F2220" s="1"/>
    </row>
    <row r="2221" spans="6:6">
      <c r="F2221" s="1"/>
    </row>
    <row r="2222" spans="6:6">
      <c r="F2222" s="1"/>
    </row>
    <row r="2223" spans="6:6">
      <c r="F2223" s="1"/>
    </row>
    <row r="2224" spans="6:6">
      <c r="F2224" s="1"/>
    </row>
    <row r="2225" spans="6:6">
      <c r="F2225" s="1"/>
    </row>
    <row r="2226" spans="6:6">
      <c r="F2226" s="1"/>
    </row>
    <row r="2227" spans="6:6">
      <c r="F2227" s="1"/>
    </row>
    <row r="2228" spans="6:6">
      <c r="F2228" s="1"/>
    </row>
    <row r="2229" spans="6:6">
      <c r="F2229" s="1"/>
    </row>
    <row r="2230" spans="6:6">
      <c r="F2230" s="1"/>
    </row>
    <row r="2231" spans="6:6">
      <c r="F2231" s="1"/>
    </row>
    <row r="2232" spans="6:6">
      <c r="F2232" s="1"/>
    </row>
    <row r="2233" spans="6:6">
      <c r="F2233" s="1"/>
    </row>
    <row r="2234" spans="6:6">
      <c r="F2234" s="1"/>
    </row>
    <row r="2235" spans="6:6">
      <c r="F2235" s="1"/>
    </row>
    <row r="2236" spans="6:6">
      <c r="F2236" s="1"/>
    </row>
    <row r="2237" spans="6:6">
      <c r="F2237" s="1"/>
    </row>
    <row r="2238" spans="6:6">
      <c r="F2238" s="1"/>
    </row>
    <row r="2239" spans="6:6">
      <c r="F2239" s="1"/>
    </row>
    <row r="2240" spans="6:6">
      <c r="F2240" s="1"/>
    </row>
    <row r="2241" spans="6:6">
      <c r="F2241" s="1"/>
    </row>
    <row r="2242" spans="6:6">
      <c r="F2242" s="1"/>
    </row>
    <row r="2243" spans="6:6">
      <c r="F2243" s="1"/>
    </row>
    <row r="2244" spans="6:6">
      <c r="F2244" s="1"/>
    </row>
    <row r="2245" spans="6:6">
      <c r="F2245" s="1"/>
    </row>
    <row r="2246" spans="6:6">
      <c r="F2246" s="1"/>
    </row>
    <row r="2247" spans="6:6">
      <c r="F2247" s="1"/>
    </row>
    <row r="2248" spans="6:6">
      <c r="F2248" s="1"/>
    </row>
    <row r="2249" spans="6:6">
      <c r="F2249" s="1"/>
    </row>
    <row r="2250" spans="6:6">
      <c r="F2250" s="1"/>
    </row>
    <row r="2251" spans="6:6">
      <c r="F2251" s="1"/>
    </row>
    <row r="2252" spans="6:6">
      <c r="F2252" s="1"/>
    </row>
    <row r="2253" spans="6:6">
      <c r="F2253" s="1"/>
    </row>
    <row r="2254" spans="6:6">
      <c r="F2254" s="1"/>
    </row>
    <row r="2255" spans="6:6">
      <c r="F2255" s="1"/>
    </row>
    <row r="2256" spans="6:6">
      <c r="F2256" s="1"/>
    </row>
    <row r="2257" spans="6:6">
      <c r="F2257" s="1"/>
    </row>
    <row r="2258" spans="6:6">
      <c r="F2258" s="1"/>
    </row>
    <row r="2259" spans="6:6">
      <c r="F2259" s="1"/>
    </row>
    <row r="2260" spans="6:6">
      <c r="F2260" s="1"/>
    </row>
    <row r="2261" spans="6:6">
      <c r="F2261" s="1"/>
    </row>
    <row r="2262" spans="6:6">
      <c r="F2262" s="1"/>
    </row>
    <row r="2263" spans="6:6">
      <c r="F2263" s="1"/>
    </row>
    <row r="2264" spans="6:6">
      <c r="F2264" s="1"/>
    </row>
    <row r="2265" spans="6:6">
      <c r="F2265" s="1"/>
    </row>
    <row r="2266" spans="6:6">
      <c r="F2266" s="1"/>
    </row>
    <row r="2267" spans="6:6">
      <c r="F2267" s="1"/>
    </row>
    <row r="2268" spans="6:6">
      <c r="F2268" s="1"/>
    </row>
    <row r="2269" spans="6:6">
      <c r="F2269" s="1"/>
    </row>
    <row r="2270" spans="6:6">
      <c r="F2270" s="1"/>
    </row>
    <row r="2271" spans="6:6">
      <c r="F2271" s="1"/>
    </row>
    <row r="2272" spans="6:6">
      <c r="F2272" s="1"/>
    </row>
    <row r="2273" spans="6:6">
      <c r="F2273" s="1"/>
    </row>
    <row r="2274" spans="6:6">
      <c r="F2274" s="1"/>
    </row>
    <row r="2275" spans="6:6">
      <c r="F2275" s="1"/>
    </row>
    <row r="2276" spans="6:6">
      <c r="F2276" s="1"/>
    </row>
    <row r="2277" spans="6:6">
      <c r="F2277" s="1"/>
    </row>
    <row r="2278" spans="6:6">
      <c r="F2278" s="1"/>
    </row>
    <row r="2279" spans="6:6">
      <c r="F2279" s="1"/>
    </row>
    <row r="2280" spans="6:6">
      <c r="F2280" s="1"/>
    </row>
    <row r="2281" spans="6:6">
      <c r="F2281" s="1"/>
    </row>
    <row r="2282" spans="6:6">
      <c r="F2282" s="1"/>
    </row>
    <row r="2283" spans="6:6">
      <c r="F2283" s="1"/>
    </row>
    <row r="2284" spans="6:6">
      <c r="F2284" s="1"/>
    </row>
    <row r="2285" spans="6:6">
      <c r="F2285" s="1"/>
    </row>
    <row r="2286" spans="6:6">
      <c r="F2286" s="1"/>
    </row>
    <row r="2287" spans="6:6">
      <c r="F2287" s="1"/>
    </row>
    <row r="2288" spans="6:6">
      <c r="F2288" s="1"/>
    </row>
    <row r="2289" spans="6:6">
      <c r="F2289" s="1"/>
    </row>
    <row r="2290" spans="6:6">
      <c r="F2290" s="1"/>
    </row>
    <row r="2291" spans="6:6">
      <c r="F2291" s="1"/>
    </row>
    <row r="2292" spans="6:6">
      <c r="F2292" s="1"/>
    </row>
    <row r="2293" spans="6:6">
      <c r="F2293" s="1"/>
    </row>
    <row r="2294" spans="6:6">
      <c r="F2294" s="1"/>
    </row>
    <row r="2295" spans="6:6">
      <c r="F2295" s="1"/>
    </row>
    <row r="2296" spans="6:6">
      <c r="F2296" s="1"/>
    </row>
    <row r="2297" spans="6:6">
      <c r="F2297" s="1"/>
    </row>
    <row r="2298" spans="6:6">
      <c r="F2298" s="1"/>
    </row>
    <row r="2299" spans="6:6">
      <c r="F2299" s="1"/>
    </row>
    <row r="2300" spans="6:6">
      <c r="F2300" s="1"/>
    </row>
    <row r="2301" spans="6:6">
      <c r="F2301" s="1"/>
    </row>
    <row r="2302" spans="6:6">
      <c r="F2302" s="1"/>
    </row>
    <row r="2303" spans="6:6">
      <c r="F2303" s="1"/>
    </row>
    <row r="2304" spans="6:6">
      <c r="F2304" s="1"/>
    </row>
    <row r="2305" spans="6:6">
      <c r="F2305" s="1"/>
    </row>
    <row r="2306" spans="6:6">
      <c r="F2306" s="1"/>
    </row>
    <row r="2307" spans="6:6">
      <c r="F2307" s="1"/>
    </row>
    <row r="2308" spans="6:6">
      <c r="F2308" s="1"/>
    </row>
    <row r="2309" spans="6:6">
      <c r="F2309" s="1"/>
    </row>
    <row r="2310" spans="6:6">
      <c r="F2310" s="1"/>
    </row>
    <row r="2311" spans="6:6">
      <c r="F2311" s="1"/>
    </row>
    <row r="2312" spans="6:6">
      <c r="F2312" s="1"/>
    </row>
    <row r="2313" spans="6:6">
      <c r="F2313" s="1"/>
    </row>
    <row r="2314" spans="6:6">
      <c r="F2314" s="1"/>
    </row>
    <row r="2315" spans="6:6">
      <c r="F2315" s="1"/>
    </row>
    <row r="2316" spans="6:6">
      <c r="F2316" s="1"/>
    </row>
    <row r="2317" spans="6:6">
      <c r="F2317" s="1"/>
    </row>
    <row r="2318" spans="6:6">
      <c r="F2318" s="1"/>
    </row>
    <row r="2319" spans="6:6">
      <c r="F2319" s="1"/>
    </row>
    <row r="2320" spans="6:6">
      <c r="F2320" s="1"/>
    </row>
    <row r="2321" spans="6:6">
      <c r="F2321" s="1"/>
    </row>
    <row r="2322" spans="6:6">
      <c r="F2322" s="1"/>
    </row>
    <row r="2323" spans="6:6">
      <c r="F2323" s="1"/>
    </row>
    <row r="2324" spans="6:6">
      <c r="F2324" s="1"/>
    </row>
    <row r="2325" spans="6:6">
      <c r="F2325" s="1"/>
    </row>
    <row r="2326" spans="6:6">
      <c r="F2326" s="1"/>
    </row>
    <row r="2327" spans="6:6">
      <c r="F2327" s="1"/>
    </row>
    <row r="2328" spans="6:6">
      <c r="F2328" s="1"/>
    </row>
    <row r="2329" spans="6:6">
      <c r="F2329" s="1"/>
    </row>
    <row r="2330" spans="6:6">
      <c r="F2330" s="1"/>
    </row>
    <row r="2331" spans="6:6">
      <c r="F2331" s="1"/>
    </row>
    <row r="2332" spans="6:6">
      <c r="F2332" s="1"/>
    </row>
    <row r="2333" spans="6:6">
      <c r="F2333" s="1"/>
    </row>
    <row r="2334" spans="6:6">
      <c r="F2334" s="1"/>
    </row>
    <row r="2335" spans="6:6">
      <c r="F2335" s="1"/>
    </row>
    <row r="2336" spans="6:6">
      <c r="F2336" s="1"/>
    </row>
    <row r="2337" spans="6:6">
      <c r="F2337" s="1"/>
    </row>
    <row r="2338" spans="6:6">
      <c r="F2338" s="1"/>
    </row>
    <row r="2339" spans="6:6">
      <c r="F2339" s="1"/>
    </row>
    <row r="2340" spans="6:6">
      <c r="F2340" s="1"/>
    </row>
    <row r="2341" spans="6:6">
      <c r="F2341" s="1"/>
    </row>
    <row r="2342" spans="6:6">
      <c r="F2342" s="1"/>
    </row>
    <row r="2343" spans="6:6">
      <c r="F2343" s="1"/>
    </row>
    <row r="2344" spans="6:6">
      <c r="F2344" s="1"/>
    </row>
    <row r="2345" spans="6:6">
      <c r="F2345" s="1"/>
    </row>
    <row r="2346" spans="6:6">
      <c r="F2346" s="1"/>
    </row>
    <row r="2347" spans="6:6">
      <c r="F2347" s="1"/>
    </row>
    <row r="2348" spans="6:6">
      <c r="F2348" s="1"/>
    </row>
    <row r="2349" spans="6:6">
      <c r="F2349" s="1"/>
    </row>
    <row r="2350" spans="6:6">
      <c r="F2350" s="1"/>
    </row>
    <row r="2351" spans="6:6">
      <c r="F2351" s="1"/>
    </row>
    <row r="2352" spans="6:6">
      <c r="F2352" s="1"/>
    </row>
    <row r="2353" spans="6:6">
      <c r="F2353" s="1"/>
    </row>
    <row r="2354" spans="6:6">
      <c r="F2354" s="1"/>
    </row>
    <row r="2355" spans="6:6">
      <c r="F2355" s="1"/>
    </row>
    <row r="2356" spans="6:6">
      <c r="F2356" s="1"/>
    </row>
    <row r="2357" spans="6:6">
      <c r="F2357" s="1"/>
    </row>
    <row r="2358" spans="6:6">
      <c r="F2358" s="1"/>
    </row>
    <row r="2359" spans="6:6">
      <c r="F2359" s="1"/>
    </row>
    <row r="2360" spans="6:6">
      <c r="F2360" s="1"/>
    </row>
    <row r="2361" spans="6:6">
      <c r="F2361" s="1"/>
    </row>
    <row r="2362" spans="6:6">
      <c r="F2362" s="1"/>
    </row>
    <row r="2363" spans="6:6">
      <c r="F2363" s="1"/>
    </row>
    <row r="2364" spans="6:6">
      <c r="F2364" s="1"/>
    </row>
    <row r="2365" spans="6:6">
      <c r="F2365" s="1"/>
    </row>
    <row r="2366" spans="6:6">
      <c r="F2366" s="1"/>
    </row>
    <row r="2367" spans="6:6">
      <c r="F2367" s="1"/>
    </row>
    <row r="2368" spans="6:6">
      <c r="F2368" s="1"/>
    </row>
    <row r="2369" spans="6:6">
      <c r="F2369" s="1"/>
    </row>
    <row r="2370" spans="6:6">
      <c r="F2370" s="1"/>
    </row>
    <row r="2371" spans="6:6">
      <c r="F2371" s="1"/>
    </row>
    <row r="2372" spans="6:6">
      <c r="F2372" s="1"/>
    </row>
    <row r="2373" spans="6:6">
      <c r="F2373" s="1"/>
    </row>
    <row r="2374" spans="6:6">
      <c r="F2374" s="1"/>
    </row>
    <row r="2375" spans="6:6">
      <c r="F2375" s="1"/>
    </row>
    <row r="2376" spans="6:6">
      <c r="F2376" s="1"/>
    </row>
    <row r="2377" spans="6:6">
      <c r="F2377" s="1"/>
    </row>
    <row r="2378" spans="6:6">
      <c r="F2378" s="1"/>
    </row>
    <row r="2379" spans="6:6">
      <c r="F2379" s="1"/>
    </row>
    <row r="2380" spans="6:6">
      <c r="F2380" s="1"/>
    </row>
    <row r="2381" spans="6:6">
      <c r="F2381" s="1"/>
    </row>
    <row r="2382" spans="6:6">
      <c r="F2382" s="1"/>
    </row>
    <row r="2383" spans="6:6">
      <c r="F2383" s="1"/>
    </row>
    <row r="2384" spans="6:6">
      <c r="F2384" s="1"/>
    </row>
    <row r="2385" spans="6:6">
      <c r="F2385" s="1"/>
    </row>
    <row r="2386" spans="6:6">
      <c r="F2386" s="1"/>
    </row>
    <row r="2387" spans="6:6">
      <c r="F2387" s="1"/>
    </row>
    <row r="2388" spans="6:6">
      <c r="F2388" s="1"/>
    </row>
    <row r="2389" spans="6:6">
      <c r="F2389" s="1"/>
    </row>
    <row r="2390" spans="6:6">
      <c r="F2390" s="1"/>
    </row>
    <row r="2391" spans="6:6">
      <c r="F2391" s="1"/>
    </row>
    <row r="2392" spans="6:6">
      <c r="F2392" s="1"/>
    </row>
    <row r="2393" spans="6:6">
      <c r="F2393" s="1"/>
    </row>
    <row r="2394" spans="6:6">
      <c r="F2394" s="1"/>
    </row>
    <row r="2395" spans="6:6">
      <c r="F2395" s="1"/>
    </row>
    <row r="2396" spans="6:6">
      <c r="F2396" s="1"/>
    </row>
    <row r="2397" spans="6:6">
      <c r="F2397" s="1"/>
    </row>
    <row r="2398" spans="6:6">
      <c r="F2398" s="1"/>
    </row>
    <row r="2399" spans="6:6">
      <c r="F2399" s="1"/>
    </row>
    <row r="2400" spans="6:6">
      <c r="F2400" s="1"/>
    </row>
    <row r="2401" spans="6:6">
      <c r="F2401" s="1"/>
    </row>
    <row r="2402" spans="6:6">
      <c r="F2402" s="1"/>
    </row>
    <row r="2403" spans="6:6">
      <c r="F2403" s="1"/>
    </row>
    <row r="2404" spans="6:6">
      <c r="F2404" s="1"/>
    </row>
    <row r="2405" spans="6:6">
      <c r="F2405" s="1"/>
    </row>
    <row r="2406" spans="6:6">
      <c r="F2406" s="1"/>
    </row>
    <row r="2407" spans="6:6">
      <c r="F2407" s="1"/>
    </row>
    <row r="2408" spans="6:6">
      <c r="F2408" s="1"/>
    </row>
    <row r="2409" spans="6:6">
      <c r="F2409" s="1"/>
    </row>
    <row r="2410" spans="6:6">
      <c r="F2410" s="1"/>
    </row>
    <row r="2411" spans="6:6">
      <c r="F2411" s="1"/>
    </row>
    <row r="2412" spans="6:6">
      <c r="F2412" s="1"/>
    </row>
    <row r="2413" spans="6:6">
      <c r="F2413" s="1"/>
    </row>
    <row r="2414" spans="6:6">
      <c r="F2414" s="1"/>
    </row>
    <row r="2415" spans="6:6">
      <c r="F2415" s="1"/>
    </row>
    <row r="2416" spans="6:6">
      <c r="F2416" s="1"/>
    </row>
    <row r="2417" spans="6:6">
      <c r="F2417" s="1"/>
    </row>
    <row r="2418" spans="6:6">
      <c r="F2418" s="1"/>
    </row>
    <row r="2419" spans="6:6">
      <c r="F2419" s="1"/>
    </row>
    <row r="2420" spans="6:6">
      <c r="F2420" s="1"/>
    </row>
    <row r="2421" spans="6:6">
      <c r="F2421" s="1"/>
    </row>
    <row r="2422" spans="6:6">
      <c r="F2422" s="1"/>
    </row>
    <row r="2423" spans="6:6">
      <c r="F2423" s="1"/>
    </row>
    <row r="2424" spans="6:6">
      <c r="F2424" s="1"/>
    </row>
    <row r="2425" spans="6:6">
      <c r="F2425" s="1"/>
    </row>
    <row r="2426" spans="6:6">
      <c r="F2426" s="1"/>
    </row>
    <row r="2427" spans="6:6">
      <c r="F2427" s="1"/>
    </row>
    <row r="2428" spans="6:6">
      <c r="F2428" s="1"/>
    </row>
    <row r="2429" spans="6:6">
      <c r="F2429" s="1"/>
    </row>
    <row r="2430" spans="6:6">
      <c r="F2430" s="1"/>
    </row>
    <row r="2431" spans="6:6">
      <c r="F2431" s="1"/>
    </row>
    <row r="2432" spans="6:6">
      <c r="F2432" s="1"/>
    </row>
    <row r="2433" spans="6:6">
      <c r="F2433" s="1"/>
    </row>
    <row r="2434" spans="6:6">
      <c r="F2434" s="1"/>
    </row>
    <row r="2435" spans="6:6">
      <c r="F2435" s="1"/>
    </row>
    <row r="2436" spans="6:6">
      <c r="F2436" s="1"/>
    </row>
    <row r="2437" spans="6:6">
      <c r="F2437" s="1"/>
    </row>
    <row r="2438" spans="6:6">
      <c r="F2438" s="1"/>
    </row>
    <row r="2439" spans="6:6">
      <c r="F2439" s="1"/>
    </row>
    <row r="2440" spans="6:6">
      <c r="F2440" s="1"/>
    </row>
    <row r="2441" spans="6:6">
      <c r="F2441" s="1"/>
    </row>
    <row r="2442" spans="6:6">
      <c r="F2442" s="1"/>
    </row>
    <row r="2443" spans="6:6">
      <c r="F2443" s="1"/>
    </row>
    <row r="2444" spans="6:6">
      <c r="F2444" s="1"/>
    </row>
    <row r="2445" spans="6:6">
      <c r="F2445" s="1"/>
    </row>
    <row r="2446" spans="6:6">
      <c r="F2446" s="1"/>
    </row>
    <row r="2447" spans="6:6">
      <c r="F2447" s="1"/>
    </row>
    <row r="2448" spans="6:6">
      <c r="F2448" s="1"/>
    </row>
    <row r="2449" spans="6:6">
      <c r="F2449" s="1"/>
    </row>
    <row r="2450" spans="6:6">
      <c r="F2450" s="1"/>
    </row>
    <row r="2451" spans="6:6">
      <c r="F2451" s="1"/>
    </row>
    <row r="2452" spans="6:6">
      <c r="F2452" s="1"/>
    </row>
    <row r="2453" spans="6:6">
      <c r="F2453" s="1"/>
    </row>
    <row r="2454" spans="6:6">
      <c r="F2454" s="1"/>
    </row>
    <row r="2455" spans="6:6">
      <c r="F2455" s="1"/>
    </row>
    <row r="2456" spans="6:6">
      <c r="F2456" s="1"/>
    </row>
    <row r="2457" spans="6:6">
      <c r="F2457" s="1"/>
    </row>
    <row r="2458" spans="6:6">
      <c r="F2458" s="1"/>
    </row>
    <row r="2459" spans="6:6">
      <c r="F2459" s="1"/>
    </row>
    <row r="2460" spans="6:6">
      <c r="F2460" s="1"/>
    </row>
    <row r="2461" spans="6:6">
      <c r="F2461" s="1"/>
    </row>
    <row r="2462" spans="6:6">
      <c r="F2462" s="1"/>
    </row>
    <row r="2463" spans="6:6">
      <c r="F2463" s="1"/>
    </row>
    <row r="2464" spans="6:6">
      <c r="F2464" s="1"/>
    </row>
    <row r="2465" spans="6:6">
      <c r="F2465" s="1"/>
    </row>
    <row r="2466" spans="6:6">
      <c r="F2466" s="1"/>
    </row>
    <row r="2467" spans="6:6">
      <c r="F2467" s="1"/>
    </row>
    <row r="2468" spans="6:6">
      <c r="F2468" s="1"/>
    </row>
    <row r="2469" spans="6:6">
      <c r="F2469" s="1"/>
    </row>
    <row r="2470" spans="6:6">
      <c r="F2470" s="1"/>
    </row>
    <row r="2471" spans="6:6">
      <c r="F2471" s="1"/>
    </row>
    <row r="2472" spans="6:6">
      <c r="F2472" s="1"/>
    </row>
    <row r="2473" spans="6:6">
      <c r="F2473" s="1"/>
    </row>
    <row r="2474" spans="6:6">
      <c r="F2474" s="1"/>
    </row>
    <row r="2475" spans="6:6">
      <c r="F2475" s="1"/>
    </row>
    <row r="2476" spans="6:6">
      <c r="F2476" s="1"/>
    </row>
    <row r="2477" spans="6:6">
      <c r="F2477" s="1"/>
    </row>
    <row r="2478" spans="6:6">
      <c r="F2478" s="1"/>
    </row>
    <row r="2479" spans="6:6">
      <c r="F2479" s="1"/>
    </row>
    <row r="2480" spans="6:6">
      <c r="F2480" s="1"/>
    </row>
    <row r="2481" spans="6:6">
      <c r="F2481" s="1"/>
    </row>
    <row r="2482" spans="6:6">
      <c r="F2482" s="1"/>
    </row>
    <row r="2483" spans="6:6">
      <c r="F2483" s="1"/>
    </row>
    <row r="2484" spans="6:6">
      <c r="F2484" s="1"/>
    </row>
    <row r="2485" spans="6:6">
      <c r="F2485" s="1"/>
    </row>
    <row r="2486" spans="6:6">
      <c r="F2486" s="1"/>
    </row>
    <row r="2487" spans="6:6">
      <c r="F2487" s="1"/>
    </row>
    <row r="2488" spans="6:6">
      <c r="F2488" s="1"/>
    </row>
    <row r="2489" spans="6:6">
      <c r="F2489" s="1"/>
    </row>
    <row r="2490" spans="6:6">
      <c r="F2490" s="1"/>
    </row>
    <row r="2491" spans="6:6">
      <c r="F2491" s="1"/>
    </row>
    <row r="2492" spans="6:6">
      <c r="F2492" s="1"/>
    </row>
    <row r="2493" spans="6:6">
      <c r="F2493" s="1"/>
    </row>
    <row r="2494" spans="6:6">
      <c r="F2494" s="1"/>
    </row>
    <row r="2495" spans="6:6">
      <c r="F2495" s="1"/>
    </row>
    <row r="2496" spans="6:6">
      <c r="F2496" s="1"/>
    </row>
    <row r="2497" spans="6:6">
      <c r="F2497" s="1"/>
    </row>
    <row r="2498" spans="6:6">
      <c r="F2498" s="1"/>
    </row>
    <row r="2499" spans="6:6">
      <c r="F2499" s="1"/>
    </row>
    <row r="2500" spans="6:6">
      <c r="F2500" s="1"/>
    </row>
    <row r="2501" spans="6:6">
      <c r="F2501" s="1"/>
    </row>
    <row r="2502" spans="6:6">
      <c r="F2502" s="1"/>
    </row>
    <row r="2503" spans="6:6">
      <c r="F2503" s="1"/>
    </row>
    <row r="2504" spans="6:6">
      <c r="F2504" s="1"/>
    </row>
    <row r="2505" spans="6:6">
      <c r="F2505" s="1"/>
    </row>
    <row r="2506" spans="6:6">
      <c r="F2506" s="1"/>
    </row>
    <row r="2507" spans="6:6">
      <c r="F2507" s="1"/>
    </row>
    <row r="2508" spans="6:6">
      <c r="F2508" s="1"/>
    </row>
    <row r="2509" spans="6:6">
      <c r="F2509" s="1"/>
    </row>
    <row r="2510" spans="6:6">
      <c r="F2510" s="1"/>
    </row>
    <row r="2511" spans="6:6">
      <c r="F2511" s="1"/>
    </row>
    <row r="2512" spans="6:6">
      <c r="F2512" s="1"/>
    </row>
    <row r="2513" spans="6:6">
      <c r="F2513" s="1"/>
    </row>
    <row r="2514" spans="6:6">
      <c r="F2514" s="1"/>
    </row>
    <row r="2515" spans="6:6">
      <c r="F2515" s="1"/>
    </row>
    <row r="2516" spans="6:6">
      <c r="F2516" s="1"/>
    </row>
    <row r="2517" spans="6:6">
      <c r="F2517" s="1"/>
    </row>
    <row r="2518" spans="6:6">
      <c r="F2518" s="1"/>
    </row>
    <row r="2519" spans="6:6">
      <c r="F2519" s="1"/>
    </row>
    <row r="2520" spans="6:6">
      <c r="F2520" s="1"/>
    </row>
    <row r="2521" spans="6:6">
      <c r="F2521" s="1"/>
    </row>
    <row r="2522" spans="6:6">
      <c r="F2522" s="1"/>
    </row>
    <row r="2523" spans="6:6">
      <c r="F2523" s="1"/>
    </row>
    <row r="2524" spans="6:6">
      <c r="F2524" s="1"/>
    </row>
    <row r="2525" spans="6:6">
      <c r="F2525" s="1"/>
    </row>
    <row r="2526" spans="6:6">
      <c r="F2526" s="1"/>
    </row>
    <row r="2527" spans="6:6">
      <c r="F2527" s="1"/>
    </row>
    <row r="2528" spans="6:6">
      <c r="F2528" s="1"/>
    </row>
    <row r="2529" spans="6:6">
      <c r="F2529" s="1"/>
    </row>
    <row r="2530" spans="6:6">
      <c r="F2530" s="1"/>
    </row>
    <row r="2531" spans="6:6">
      <c r="F2531" s="1"/>
    </row>
    <row r="2532" spans="6:6">
      <c r="F2532" s="1"/>
    </row>
    <row r="2533" spans="6:6">
      <c r="F2533" s="1"/>
    </row>
    <row r="2534" spans="6:6">
      <c r="F2534" s="1"/>
    </row>
    <row r="2535" spans="6:6">
      <c r="F2535" s="1"/>
    </row>
    <row r="2536" spans="6:6">
      <c r="F2536" s="1"/>
    </row>
    <row r="2537" spans="6:6">
      <c r="F2537" s="1"/>
    </row>
    <row r="2538" spans="6:6">
      <c r="F2538" s="1"/>
    </row>
    <row r="2539" spans="6:6">
      <c r="F2539" s="1"/>
    </row>
    <row r="2540" spans="6:6">
      <c r="F2540" s="1"/>
    </row>
    <row r="2541" spans="6:6">
      <c r="F2541" s="1"/>
    </row>
    <row r="2542" spans="6:6">
      <c r="F2542" s="1"/>
    </row>
    <row r="2543" spans="6:6">
      <c r="F2543" s="1"/>
    </row>
    <row r="2544" spans="6:6">
      <c r="F2544" s="1"/>
    </row>
    <row r="2545" spans="6:6">
      <c r="F2545" s="1"/>
    </row>
    <row r="2546" spans="6:6">
      <c r="F2546" s="1"/>
    </row>
    <row r="2547" spans="6:6">
      <c r="F2547" s="1"/>
    </row>
    <row r="2548" spans="6:6">
      <c r="F2548" s="1"/>
    </row>
    <row r="2549" spans="6:6">
      <c r="F2549" s="1"/>
    </row>
    <row r="2550" spans="6:6">
      <c r="F2550" s="1"/>
    </row>
    <row r="2551" spans="6:6">
      <c r="F2551" s="1"/>
    </row>
    <row r="2552" spans="6:6">
      <c r="F2552" s="1"/>
    </row>
    <row r="2553" spans="6:6">
      <c r="F2553" s="1"/>
    </row>
    <row r="2554" spans="6:6">
      <c r="F2554" s="1"/>
    </row>
    <row r="2555" spans="6:6">
      <c r="F2555" s="1"/>
    </row>
    <row r="2556" spans="6:6">
      <c r="F2556" s="1"/>
    </row>
    <row r="2557" spans="6:6">
      <c r="F2557" s="1"/>
    </row>
    <row r="2558" spans="6:6">
      <c r="F2558" s="1"/>
    </row>
    <row r="2559" spans="6:6">
      <c r="F2559" s="1"/>
    </row>
    <row r="2560" spans="6:6">
      <c r="F2560" s="1"/>
    </row>
    <row r="2561" spans="6:6">
      <c r="F2561" s="1"/>
    </row>
    <row r="2562" spans="6:6">
      <c r="F2562" s="1"/>
    </row>
    <row r="2563" spans="6:6">
      <c r="F2563" s="1"/>
    </row>
    <row r="2564" spans="6:6">
      <c r="F2564" s="1"/>
    </row>
    <row r="2565" spans="6:6">
      <c r="F2565" s="1"/>
    </row>
    <row r="2566" spans="6:6">
      <c r="F2566" s="1"/>
    </row>
    <row r="2567" spans="6:6">
      <c r="F2567" s="1"/>
    </row>
    <row r="2568" spans="6:6">
      <c r="F2568" s="1"/>
    </row>
    <row r="2569" spans="6:6">
      <c r="F2569" s="1"/>
    </row>
    <row r="2570" spans="6:6">
      <c r="F2570" s="1"/>
    </row>
    <row r="2571" spans="6:6">
      <c r="F2571" s="1"/>
    </row>
    <row r="2572" spans="6:6">
      <c r="F2572" s="1"/>
    </row>
    <row r="2573" spans="6:6">
      <c r="F2573" s="1"/>
    </row>
    <row r="2574" spans="6:6">
      <c r="F2574" s="1"/>
    </row>
    <row r="2575" spans="6:6">
      <c r="F2575" s="1"/>
    </row>
    <row r="2576" spans="6:6">
      <c r="F2576" s="1"/>
    </row>
    <row r="2577" spans="6:6">
      <c r="F2577" s="1"/>
    </row>
    <row r="2578" spans="6:6">
      <c r="F2578" s="1"/>
    </row>
    <row r="2579" spans="6:6">
      <c r="F2579" s="1"/>
    </row>
    <row r="2580" spans="6:6">
      <c r="F2580" s="1"/>
    </row>
    <row r="2581" spans="6:6">
      <c r="F2581" s="1"/>
    </row>
    <row r="2582" spans="6:6">
      <c r="F2582" s="1"/>
    </row>
    <row r="2583" spans="6:6">
      <c r="F2583" s="1"/>
    </row>
    <row r="2584" spans="6:6">
      <c r="F2584" s="1"/>
    </row>
    <row r="2585" spans="6:6">
      <c r="F2585" s="1"/>
    </row>
    <row r="2586" spans="6:6">
      <c r="F2586" s="1"/>
    </row>
    <row r="2587" spans="6:6">
      <c r="F2587" s="1"/>
    </row>
    <row r="2588" spans="6:6">
      <c r="F2588" s="1"/>
    </row>
    <row r="2589" spans="6:6">
      <c r="F2589" s="1"/>
    </row>
    <row r="2590" spans="6:6">
      <c r="F2590" s="1"/>
    </row>
    <row r="2591" spans="6:6">
      <c r="F2591" s="1"/>
    </row>
    <row r="2592" spans="6:6">
      <c r="F2592" s="1"/>
    </row>
    <row r="2593" spans="6:6">
      <c r="F2593" s="1"/>
    </row>
    <row r="2594" spans="6:6">
      <c r="F2594" s="1"/>
    </row>
    <row r="2595" spans="6:6">
      <c r="F2595" s="1"/>
    </row>
    <row r="2596" spans="6:6">
      <c r="F2596" s="1"/>
    </row>
    <row r="2597" spans="6:6">
      <c r="F2597" s="1"/>
    </row>
    <row r="2598" spans="6:6">
      <c r="F2598" s="1"/>
    </row>
    <row r="2599" spans="6:6">
      <c r="F2599" s="1"/>
    </row>
    <row r="2600" spans="6:6">
      <c r="F2600" s="1"/>
    </row>
    <row r="2601" spans="6:6">
      <c r="F2601" s="1"/>
    </row>
    <row r="2602" spans="6:6">
      <c r="F2602" s="1"/>
    </row>
    <row r="2603" spans="6:6">
      <c r="F2603" s="1"/>
    </row>
    <row r="2604" spans="6:6">
      <c r="F2604" s="1"/>
    </row>
    <row r="2605" spans="6:6">
      <c r="F2605" s="1"/>
    </row>
    <row r="2606" spans="6:6">
      <c r="F2606" s="1"/>
    </row>
    <row r="2607" spans="6:6">
      <c r="F2607" s="1"/>
    </row>
    <row r="2608" spans="6:6">
      <c r="F2608" s="1"/>
    </row>
    <row r="2609" spans="6:6">
      <c r="F2609" s="1"/>
    </row>
    <row r="2610" spans="6:6">
      <c r="F2610" s="1"/>
    </row>
    <row r="2611" spans="6:6">
      <c r="F2611" s="1"/>
    </row>
    <row r="2612" spans="6:6">
      <c r="F2612" s="1"/>
    </row>
    <row r="2613" spans="6:6">
      <c r="F2613" s="1"/>
    </row>
    <row r="2614" spans="6:6">
      <c r="F2614" s="1"/>
    </row>
    <row r="2615" spans="6:6">
      <c r="F2615" s="1"/>
    </row>
    <row r="2616" spans="6:6">
      <c r="F2616" s="1"/>
    </row>
    <row r="2617" spans="6:6">
      <c r="F2617" s="1"/>
    </row>
    <row r="2618" spans="6:6">
      <c r="F2618" s="1"/>
    </row>
    <row r="2619" spans="6:6">
      <c r="F2619" s="1"/>
    </row>
    <row r="2620" spans="6:6">
      <c r="F2620" s="1"/>
    </row>
    <row r="2621" spans="6:6">
      <c r="F2621" s="1"/>
    </row>
    <row r="2622" spans="6:6">
      <c r="F2622" s="1"/>
    </row>
    <row r="2623" spans="6:6">
      <c r="F2623" s="1"/>
    </row>
    <row r="2624" spans="6:6">
      <c r="F2624" s="1"/>
    </row>
    <row r="2625" spans="6:6">
      <c r="F2625" s="1"/>
    </row>
    <row r="2626" spans="6:6">
      <c r="F2626" s="1"/>
    </row>
    <row r="2627" spans="6:6">
      <c r="F2627" s="1"/>
    </row>
    <row r="2628" spans="6:6">
      <c r="F2628" s="1"/>
    </row>
    <row r="2629" spans="6:6">
      <c r="F2629" s="1"/>
    </row>
    <row r="2630" spans="6:6">
      <c r="F2630" s="1"/>
    </row>
    <row r="2631" spans="6:6">
      <c r="F2631" s="1"/>
    </row>
    <row r="2632" spans="6:6">
      <c r="F2632" s="1"/>
    </row>
    <row r="2633" spans="6:6">
      <c r="F2633" s="1"/>
    </row>
    <row r="2634" spans="6:6">
      <c r="F2634" s="1"/>
    </row>
    <row r="2635" spans="6:6">
      <c r="F2635" s="1"/>
    </row>
    <row r="2636" spans="6:6">
      <c r="F2636" s="1"/>
    </row>
    <row r="2637" spans="6:6">
      <c r="F2637" s="1"/>
    </row>
    <row r="2638" spans="6:6">
      <c r="F2638" s="1"/>
    </row>
    <row r="2639" spans="6:6">
      <c r="F2639" s="1"/>
    </row>
    <row r="2640" spans="6:6">
      <c r="F2640" s="1"/>
    </row>
    <row r="2641" spans="6:6">
      <c r="F2641" s="1"/>
    </row>
    <row r="2642" spans="6:6">
      <c r="F2642" s="1"/>
    </row>
    <row r="2643" spans="6:6">
      <c r="F2643" s="1"/>
    </row>
    <row r="2644" spans="6:6">
      <c r="F2644" s="1"/>
    </row>
    <row r="2645" spans="6:6">
      <c r="F2645" s="1"/>
    </row>
    <row r="2646" spans="6:6">
      <c r="F2646" s="1"/>
    </row>
    <row r="2647" spans="6:6">
      <c r="F2647" s="1"/>
    </row>
    <row r="2648" spans="6:6">
      <c r="F2648" s="1"/>
    </row>
    <row r="2649" spans="6:6">
      <c r="F2649" s="1"/>
    </row>
    <row r="2650" spans="6:6">
      <c r="F2650" s="1"/>
    </row>
    <row r="2651" spans="6:6">
      <c r="F2651" s="1"/>
    </row>
    <row r="2652" spans="6:6">
      <c r="F2652" s="1"/>
    </row>
    <row r="2653" spans="6:6">
      <c r="F2653" s="1"/>
    </row>
    <row r="2654" spans="6:6">
      <c r="F2654" s="1"/>
    </row>
    <row r="2655" spans="6:6">
      <c r="F2655" s="1"/>
    </row>
    <row r="2656" spans="6:6">
      <c r="F2656" s="1"/>
    </row>
    <row r="2657" spans="6:6">
      <c r="F2657" s="1"/>
    </row>
    <row r="2658" spans="6:6">
      <c r="F2658" s="1"/>
    </row>
    <row r="2659" spans="6:6">
      <c r="F2659" s="1"/>
    </row>
    <row r="2660" spans="6:6">
      <c r="F2660" s="1"/>
    </row>
    <row r="2661" spans="6:6">
      <c r="F2661" s="1"/>
    </row>
    <row r="2662" spans="6:6">
      <c r="F2662" s="1"/>
    </row>
    <row r="2663" spans="6:6">
      <c r="F2663" s="1"/>
    </row>
    <row r="2664" spans="6:6">
      <c r="F2664" s="1"/>
    </row>
    <row r="2665" spans="6:6">
      <c r="F2665" s="1"/>
    </row>
    <row r="2666" spans="6:6">
      <c r="F2666" s="1"/>
    </row>
    <row r="2667" spans="6:6">
      <c r="F2667" s="1"/>
    </row>
    <row r="2668" spans="6:6">
      <c r="F2668" s="1"/>
    </row>
    <row r="2669" spans="6:6">
      <c r="F2669" s="1"/>
    </row>
    <row r="2670" spans="6:6">
      <c r="F2670" s="1"/>
    </row>
    <row r="2671" spans="6:6">
      <c r="F2671" s="1"/>
    </row>
    <row r="2672" spans="6:6">
      <c r="F2672" s="1"/>
    </row>
    <row r="2673" spans="6:6">
      <c r="F2673" s="1"/>
    </row>
    <row r="2674" spans="6:6">
      <c r="F2674" s="1"/>
    </row>
    <row r="2675" spans="6:6">
      <c r="F2675" s="1"/>
    </row>
    <row r="2676" spans="6:6">
      <c r="F2676" s="1"/>
    </row>
    <row r="2677" spans="6:6">
      <c r="F2677" s="1"/>
    </row>
    <row r="2678" spans="6:6">
      <c r="F2678" s="1"/>
    </row>
    <row r="2679" spans="6:6">
      <c r="F2679" s="1"/>
    </row>
    <row r="2680" spans="6:6">
      <c r="F2680" s="1"/>
    </row>
    <row r="2681" spans="6:6">
      <c r="F2681" s="1"/>
    </row>
    <row r="2682" spans="6:6">
      <c r="F2682" s="1"/>
    </row>
    <row r="2683" spans="6:6">
      <c r="F2683" s="1"/>
    </row>
    <row r="2684" spans="6:6">
      <c r="F2684" s="1"/>
    </row>
    <row r="2685" spans="6:6">
      <c r="F2685" s="1"/>
    </row>
    <row r="2686" spans="6:6">
      <c r="F2686" s="1"/>
    </row>
    <row r="2687" spans="6:6">
      <c r="F2687" s="1"/>
    </row>
    <row r="2688" spans="6:6">
      <c r="F2688" s="1"/>
    </row>
    <row r="2689" spans="6:6">
      <c r="F2689" s="1"/>
    </row>
    <row r="2690" spans="6:6">
      <c r="F2690" s="1"/>
    </row>
    <row r="2691" spans="6:6">
      <c r="F2691" s="1"/>
    </row>
    <row r="2692" spans="6:6">
      <c r="F2692" s="1"/>
    </row>
    <row r="2693" spans="6:6">
      <c r="F2693" s="1"/>
    </row>
    <row r="2694" spans="6:6">
      <c r="F2694" s="1"/>
    </row>
    <row r="2695" spans="6:6">
      <c r="F2695" s="1"/>
    </row>
    <row r="2696" spans="6:6">
      <c r="F2696" s="1"/>
    </row>
    <row r="2697" spans="6:6">
      <c r="F2697" s="1"/>
    </row>
    <row r="2698" spans="6:6">
      <c r="F2698" s="1"/>
    </row>
    <row r="2699" spans="6:6">
      <c r="F2699" s="1"/>
    </row>
    <row r="2700" spans="6:6">
      <c r="F2700" s="1"/>
    </row>
    <row r="2701" spans="6:6">
      <c r="F2701" s="1"/>
    </row>
    <row r="2702" spans="6:6">
      <c r="F2702" s="1"/>
    </row>
    <row r="2703" spans="6:6">
      <c r="F2703" s="1"/>
    </row>
    <row r="2704" spans="6:6">
      <c r="F2704" s="1"/>
    </row>
    <row r="2705" spans="6:6">
      <c r="F2705" s="1"/>
    </row>
    <row r="2706" spans="6:6">
      <c r="F2706" s="1"/>
    </row>
    <row r="2707" spans="6:6">
      <c r="F2707" s="1"/>
    </row>
    <row r="2708" spans="6:6">
      <c r="F2708" s="1"/>
    </row>
    <row r="2709" spans="6:6">
      <c r="F2709" s="1"/>
    </row>
    <row r="2710" spans="6:6">
      <c r="F2710" s="1"/>
    </row>
    <row r="2711" spans="6:6">
      <c r="F2711" s="1"/>
    </row>
    <row r="2712" spans="6:6">
      <c r="F2712" s="1"/>
    </row>
    <row r="2713" spans="6:6">
      <c r="F2713" s="1"/>
    </row>
    <row r="2714" spans="6:6">
      <c r="F2714" s="1"/>
    </row>
    <row r="2715" spans="6:6">
      <c r="F2715" s="1"/>
    </row>
    <row r="2716" spans="6:6">
      <c r="F2716" s="1"/>
    </row>
    <row r="2717" spans="6:6">
      <c r="F2717" s="1"/>
    </row>
    <row r="2718" spans="6:6">
      <c r="F2718" s="1"/>
    </row>
    <row r="2719" spans="6:6">
      <c r="F2719" s="1"/>
    </row>
    <row r="2720" spans="6:6">
      <c r="F2720" s="1"/>
    </row>
    <row r="2721" spans="6:6">
      <c r="F2721" s="1"/>
    </row>
    <row r="2722" spans="6:6">
      <c r="F2722" s="1"/>
    </row>
    <row r="2723" spans="6:6">
      <c r="F2723" s="1"/>
    </row>
    <row r="2724" spans="6:6">
      <c r="F2724" s="1"/>
    </row>
    <row r="2725" spans="6:6">
      <c r="F2725" s="1"/>
    </row>
    <row r="2726" spans="6:6">
      <c r="F2726" s="1"/>
    </row>
    <row r="2727" spans="6:6">
      <c r="F2727" s="1"/>
    </row>
    <row r="2728" spans="6:6">
      <c r="F2728" s="1"/>
    </row>
    <row r="2729" spans="6:6">
      <c r="F2729" s="1"/>
    </row>
    <row r="2730" spans="6:6">
      <c r="F2730" s="1"/>
    </row>
    <row r="2731" spans="6:6">
      <c r="F2731" s="1"/>
    </row>
    <row r="2732" spans="6:6">
      <c r="F2732" s="1"/>
    </row>
    <row r="2733" spans="6:6">
      <c r="F2733" s="1"/>
    </row>
    <row r="2734" spans="6:6">
      <c r="F2734" s="1"/>
    </row>
    <row r="2735" spans="6:6">
      <c r="F2735" s="1"/>
    </row>
    <row r="2736" spans="6:6">
      <c r="F2736" s="1"/>
    </row>
    <row r="2737" spans="6:6">
      <c r="F2737" s="1"/>
    </row>
    <row r="2738" spans="6:6">
      <c r="F2738" s="1"/>
    </row>
    <row r="2739" spans="6:6">
      <c r="F2739" s="1"/>
    </row>
    <row r="2740" spans="6:6">
      <c r="F2740" s="1"/>
    </row>
    <row r="2741" spans="6:6">
      <c r="F2741" s="1"/>
    </row>
    <row r="2742" spans="6:6">
      <c r="F2742" s="1"/>
    </row>
    <row r="2743" spans="6:6">
      <c r="F2743" s="1"/>
    </row>
    <row r="2744" spans="6:6">
      <c r="F2744" s="1"/>
    </row>
    <row r="2745" spans="6:6">
      <c r="F2745" s="1"/>
    </row>
    <row r="2746" spans="6:6">
      <c r="F2746" s="1"/>
    </row>
    <row r="2747" spans="6:6">
      <c r="F2747" s="1"/>
    </row>
    <row r="2748" spans="6:6">
      <c r="F2748" s="1"/>
    </row>
    <row r="2749" spans="6:6">
      <c r="F2749" s="1"/>
    </row>
    <row r="2750" spans="6:6">
      <c r="F2750" s="1"/>
    </row>
    <row r="2751" spans="6:6">
      <c r="F2751" s="1"/>
    </row>
    <row r="2752" spans="6:6">
      <c r="F2752" s="1"/>
    </row>
    <row r="2753" spans="6:6">
      <c r="F2753" s="1"/>
    </row>
    <row r="2754" spans="6:6">
      <c r="F2754" s="1"/>
    </row>
    <row r="2755" spans="6:6">
      <c r="F2755" s="1"/>
    </row>
    <row r="2756" spans="6:6">
      <c r="F2756" s="1"/>
    </row>
    <row r="2757" spans="6:6">
      <c r="F2757" s="1"/>
    </row>
    <row r="2758" spans="6:6">
      <c r="F2758" s="1"/>
    </row>
    <row r="2759" spans="6:6">
      <c r="F2759" s="1"/>
    </row>
    <row r="2760" spans="6:6">
      <c r="F2760" s="1"/>
    </row>
    <row r="2761" spans="6:6">
      <c r="F2761" s="1"/>
    </row>
    <row r="2762" spans="6:6">
      <c r="F2762" s="1"/>
    </row>
    <row r="2763" spans="6:6">
      <c r="F2763" s="1"/>
    </row>
    <row r="2764" spans="6:6">
      <c r="F2764" s="1"/>
    </row>
    <row r="2765" spans="6:6">
      <c r="F2765" s="1"/>
    </row>
    <row r="2766" spans="6:6">
      <c r="F2766" s="1"/>
    </row>
    <row r="2767" spans="6:6">
      <c r="F2767" s="1"/>
    </row>
    <row r="2768" spans="6:6">
      <c r="F2768" s="1"/>
    </row>
    <row r="2769" spans="6:6">
      <c r="F2769" s="1"/>
    </row>
    <row r="2770" spans="6:6">
      <c r="F2770" s="1"/>
    </row>
    <row r="2771" spans="6:6">
      <c r="F2771" s="1"/>
    </row>
    <row r="2772" spans="6:6">
      <c r="F2772" s="1"/>
    </row>
    <row r="2773" spans="6:6">
      <c r="F2773" s="1"/>
    </row>
    <row r="2774" spans="6:6">
      <c r="F2774" s="1"/>
    </row>
    <row r="2775" spans="6:6">
      <c r="F2775" s="1"/>
    </row>
    <row r="2776" spans="6:6">
      <c r="F2776" s="1"/>
    </row>
    <row r="2777" spans="6:6">
      <c r="F2777" s="1"/>
    </row>
    <row r="2778" spans="6:6">
      <c r="F2778" s="1"/>
    </row>
    <row r="2779" spans="6:6">
      <c r="F2779" s="1"/>
    </row>
    <row r="2780" spans="6:6">
      <c r="F2780" s="1"/>
    </row>
    <row r="2781" spans="6:6">
      <c r="F2781" s="1"/>
    </row>
    <row r="2782" spans="6:6">
      <c r="F2782" s="1"/>
    </row>
    <row r="2783" spans="6:6">
      <c r="F2783" s="1"/>
    </row>
    <row r="2784" spans="6:6">
      <c r="F2784" s="1"/>
    </row>
    <row r="2785" spans="6:6">
      <c r="F2785" s="1"/>
    </row>
    <row r="2786" spans="6:6">
      <c r="F2786" s="1"/>
    </row>
    <row r="2787" spans="6:6">
      <c r="F2787" s="1"/>
    </row>
    <row r="2788" spans="6:6">
      <c r="F2788" s="1"/>
    </row>
    <row r="2789" spans="6:6">
      <c r="F2789" s="1"/>
    </row>
    <row r="2790" spans="6:6">
      <c r="F2790" s="1"/>
    </row>
    <row r="2791" spans="6:6">
      <c r="F2791" s="1"/>
    </row>
    <row r="2792" spans="6:6">
      <c r="F2792" s="1"/>
    </row>
    <row r="2793" spans="6:6">
      <c r="F2793" s="1"/>
    </row>
    <row r="2794" spans="6:6">
      <c r="F2794" s="1"/>
    </row>
    <row r="2795" spans="6:6">
      <c r="F2795" s="1"/>
    </row>
    <row r="2796" spans="6:6">
      <c r="F2796" s="1"/>
    </row>
    <row r="2797" spans="6:6">
      <c r="F2797" s="1"/>
    </row>
    <row r="2798" spans="6:6">
      <c r="F2798" s="1"/>
    </row>
    <row r="2799" spans="6:6">
      <c r="F2799" s="1"/>
    </row>
    <row r="2800" spans="6:6">
      <c r="F2800" s="1"/>
    </row>
    <row r="2801" spans="6:6">
      <c r="F2801" s="1"/>
    </row>
    <row r="2802" spans="6:6">
      <c r="F2802" s="1"/>
    </row>
    <row r="2803" spans="6:6">
      <c r="F2803" s="1"/>
    </row>
    <row r="2804" spans="6:6">
      <c r="F2804" s="1"/>
    </row>
    <row r="2805" spans="6:6">
      <c r="F2805" s="1"/>
    </row>
    <row r="2806" spans="6:6">
      <c r="F2806" s="1"/>
    </row>
    <row r="2807" spans="6:6">
      <c r="F2807" s="1"/>
    </row>
    <row r="2808" spans="6:6">
      <c r="F2808" s="1"/>
    </row>
    <row r="2809" spans="6:6">
      <c r="F2809" s="1"/>
    </row>
    <row r="2810" spans="6:6">
      <c r="F2810" s="1"/>
    </row>
    <row r="2811" spans="6:6">
      <c r="F2811" s="1"/>
    </row>
    <row r="2812" spans="6:6">
      <c r="F2812" s="1"/>
    </row>
    <row r="2813" spans="6:6">
      <c r="F2813" s="1"/>
    </row>
    <row r="2814" spans="6:6">
      <c r="F2814" s="1"/>
    </row>
    <row r="2815" spans="6:6">
      <c r="F2815" s="1"/>
    </row>
    <row r="2816" spans="6:6">
      <c r="F2816" s="1"/>
    </row>
    <row r="2817" spans="6:6">
      <c r="F2817" s="1"/>
    </row>
    <row r="2818" spans="6:6">
      <c r="F2818" s="1"/>
    </row>
    <row r="2819" spans="6:6">
      <c r="F2819" s="1"/>
    </row>
    <row r="2820" spans="6:6">
      <c r="F2820" s="1"/>
    </row>
    <row r="2821" spans="6:6">
      <c r="F2821" s="1"/>
    </row>
    <row r="2822" spans="6:6">
      <c r="F2822" s="1"/>
    </row>
    <row r="2823" spans="6:6">
      <c r="F2823" s="1"/>
    </row>
    <row r="2824" spans="6:6">
      <c r="F2824" s="1"/>
    </row>
    <row r="2825" spans="6:6">
      <c r="F2825" s="1"/>
    </row>
    <row r="2826" spans="6:6">
      <c r="F2826" s="1"/>
    </row>
    <row r="2827" spans="6:6">
      <c r="F2827" s="1"/>
    </row>
    <row r="2828" spans="6:6">
      <c r="F2828" s="1"/>
    </row>
    <row r="2829" spans="6:6">
      <c r="F2829" s="1"/>
    </row>
    <row r="2830" spans="6:6">
      <c r="F2830" s="1"/>
    </row>
    <row r="2831" spans="6:6">
      <c r="F2831" s="1"/>
    </row>
    <row r="2832" spans="6:6">
      <c r="F2832" s="1"/>
    </row>
    <row r="2833" spans="6:6">
      <c r="F2833" s="1"/>
    </row>
    <row r="2834" spans="6:6">
      <c r="F2834" s="1"/>
    </row>
    <row r="2835" spans="6:6">
      <c r="F2835" s="1"/>
    </row>
    <row r="2836" spans="6:6">
      <c r="F2836" s="1"/>
    </row>
    <row r="2837" spans="6:6">
      <c r="F2837" s="1"/>
    </row>
    <row r="2838" spans="6:6">
      <c r="F2838" s="1"/>
    </row>
    <row r="2839" spans="6:6">
      <c r="F2839" s="1"/>
    </row>
    <row r="2840" spans="6:6">
      <c r="F2840" s="1"/>
    </row>
    <row r="2841" spans="6:6">
      <c r="F2841" s="1"/>
    </row>
    <row r="2842" spans="6:6">
      <c r="F2842" s="1"/>
    </row>
    <row r="2843" spans="6:6">
      <c r="F2843" s="1"/>
    </row>
    <row r="2844" spans="6:6">
      <c r="F2844" s="1"/>
    </row>
    <row r="2845" spans="6:6">
      <c r="F2845" s="1"/>
    </row>
    <row r="2846" spans="6:6">
      <c r="F2846" s="1"/>
    </row>
    <row r="2847" spans="6:6">
      <c r="F2847" s="1"/>
    </row>
    <row r="2848" spans="6:6">
      <c r="F2848" s="1"/>
    </row>
    <row r="2849" spans="6:6">
      <c r="F2849" s="1"/>
    </row>
    <row r="2850" spans="6:6">
      <c r="F2850" s="1"/>
    </row>
    <row r="2851" spans="6:6">
      <c r="F2851" s="1"/>
    </row>
    <row r="2852" spans="6:6">
      <c r="F2852" s="1"/>
    </row>
    <row r="2853" spans="6:6">
      <c r="F2853" s="1"/>
    </row>
    <row r="2854" spans="6:6">
      <c r="F2854" s="1"/>
    </row>
    <row r="2855" spans="6:6">
      <c r="F2855" s="1"/>
    </row>
    <row r="2856" spans="6:6">
      <c r="F2856" s="1"/>
    </row>
    <row r="2857" spans="6:6">
      <c r="F2857" s="1"/>
    </row>
    <row r="2858" spans="6:6">
      <c r="F2858" s="1"/>
    </row>
    <row r="2859" spans="6:6">
      <c r="F2859" s="1"/>
    </row>
    <row r="2860" spans="6:6">
      <c r="F2860" s="1"/>
    </row>
    <row r="2861" spans="6:6">
      <c r="F2861" s="1"/>
    </row>
    <row r="2862" spans="6:6">
      <c r="F2862" s="1"/>
    </row>
    <row r="2863" spans="6:6">
      <c r="F2863" s="1"/>
    </row>
    <row r="2864" spans="6:6">
      <c r="F2864" s="1"/>
    </row>
    <row r="2865" spans="6:6">
      <c r="F2865" s="1"/>
    </row>
    <row r="2866" spans="6:6">
      <c r="F2866" s="1"/>
    </row>
    <row r="2867" spans="6:6">
      <c r="F2867" s="1"/>
    </row>
    <row r="2868" spans="6:6">
      <c r="F2868" s="1"/>
    </row>
    <row r="2869" spans="6:6">
      <c r="F2869" s="1"/>
    </row>
    <row r="2870" spans="6:6">
      <c r="F2870" s="1"/>
    </row>
    <row r="2871" spans="6:6">
      <c r="F2871" s="1"/>
    </row>
    <row r="2872" spans="6:6">
      <c r="F2872" s="1"/>
    </row>
    <row r="2873" spans="6:6">
      <c r="F2873" s="1"/>
    </row>
    <row r="2874" spans="6:6">
      <c r="F2874" s="1"/>
    </row>
    <row r="2875" spans="6:6">
      <c r="F2875" s="1"/>
    </row>
    <row r="2876" spans="6:6">
      <c r="F2876" s="1"/>
    </row>
    <row r="2877" spans="6:6">
      <c r="F2877" s="1"/>
    </row>
    <row r="2878" spans="6:6">
      <c r="F2878" s="1"/>
    </row>
    <row r="2879" spans="6:6">
      <c r="F2879" s="1"/>
    </row>
    <row r="2880" spans="6:6">
      <c r="F2880" s="1"/>
    </row>
    <row r="2881" spans="6:6">
      <c r="F2881" s="1"/>
    </row>
    <row r="2882" spans="6:6">
      <c r="F2882" s="1"/>
    </row>
    <row r="2883" spans="6:6">
      <c r="F2883" s="1"/>
    </row>
    <row r="2884" spans="6:6">
      <c r="F2884" s="1"/>
    </row>
    <row r="2885" spans="6:6">
      <c r="F2885" s="1"/>
    </row>
    <row r="2886" spans="6:6">
      <c r="F2886" s="1"/>
    </row>
    <row r="2887" spans="6:6">
      <c r="F2887" s="1"/>
    </row>
    <row r="2888" spans="6:6">
      <c r="F2888" s="1"/>
    </row>
    <row r="2889" spans="6:6">
      <c r="F2889" s="1"/>
    </row>
    <row r="2890" spans="6:6">
      <c r="F2890" s="1"/>
    </row>
    <row r="2891" spans="6:6">
      <c r="F2891" s="1"/>
    </row>
    <row r="2892" spans="6:6">
      <c r="F2892" s="1"/>
    </row>
    <row r="2893" spans="6:6">
      <c r="F2893" s="1"/>
    </row>
    <row r="2894" spans="6:6">
      <c r="F2894" s="1"/>
    </row>
    <row r="2895" spans="6:6">
      <c r="F2895" s="1"/>
    </row>
    <row r="2896" spans="6:6">
      <c r="F2896" s="1"/>
    </row>
    <row r="2897" spans="6:6">
      <c r="F2897" s="1"/>
    </row>
    <row r="2898" spans="6:6">
      <c r="F2898" s="1"/>
    </row>
    <row r="2899" spans="6:6">
      <c r="F2899" s="1"/>
    </row>
    <row r="2900" spans="6:6">
      <c r="F2900" s="1"/>
    </row>
    <row r="2901" spans="6:6">
      <c r="F2901" s="1"/>
    </row>
    <row r="2902" spans="6:6">
      <c r="F2902" s="1"/>
    </row>
    <row r="2903" spans="6:6">
      <c r="F2903" s="1"/>
    </row>
    <row r="2904" spans="6:6">
      <c r="F2904" s="1"/>
    </row>
    <row r="2905" spans="6:6">
      <c r="F2905" s="1"/>
    </row>
    <row r="2906" spans="6:6">
      <c r="F2906" s="1"/>
    </row>
    <row r="2907" spans="6:6">
      <c r="F2907" s="1"/>
    </row>
    <row r="2908" spans="6:6">
      <c r="F2908" s="1"/>
    </row>
    <row r="2909" spans="6:6">
      <c r="F2909" s="1"/>
    </row>
    <row r="2910" spans="6:6">
      <c r="F2910" s="1"/>
    </row>
    <row r="2911" spans="6:6">
      <c r="F2911" s="1"/>
    </row>
    <row r="2912" spans="6:6">
      <c r="F2912" s="1"/>
    </row>
    <row r="2913" spans="6:6">
      <c r="F2913" s="1"/>
    </row>
    <row r="2914" spans="6:6">
      <c r="F2914" s="1"/>
    </row>
    <row r="2915" spans="6:6">
      <c r="F2915" s="1"/>
    </row>
    <row r="2916" spans="6:6">
      <c r="F2916" s="1"/>
    </row>
    <row r="2917" spans="6:6">
      <c r="F2917" s="1"/>
    </row>
    <row r="2918" spans="6:6">
      <c r="F2918" s="1"/>
    </row>
    <row r="2919" spans="6:6">
      <c r="F2919" s="1"/>
    </row>
    <row r="2920" spans="6:6">
      <c r="F2920" s="1"/>
    </row>
    <row r="2921" spans="6:6">
      <c r="F2921" s="1"/>
    </row>
    <row r="2922" spans="6:6">
      <c r="F2922" s="1"/>
    </row>
    <row r="2923" spans="6:6">
      <c r="F2923" s="1"/>
    </row>
    <row r="2924" spans="6:6">
      <c r="F2924" s="1"/>
    </row>
    <row r="2925" spans="6:6">
      <c r="F2925" s="1"/>
    </row>
    <row r="2926" spans="6:6">
      <c r="F2926" s="1"/>
    </row>
    <row r="2927" spans="6:6">
      <c r="F2927" s="1"/>
    </row>
    <row r="2928" spans="6:6">
      <c r="F2928" s="1"/>
    </row>
    <row r="2929" spans="6:6">
      <c r="F2929" s="1"/>
    </row>
    <row r="2930" spans="6:6">
      <c r="F2930" s="1"/>
    </row>
    <row r="2931" spans="6:6">
      <c r="F2931" s="1"/>
    </row>
    <row r="2932" spans="6:6">
      <c r="F2932" s="1"/>
    </row>
    <row r="2933" spans="6:6">
      <c r="F2933" s="1"/>
    </row>
    <row r="2934" spans="6:6">
      <c r="F2934" s="1"/>
    </row>
    <row r="2935" spans="6:6">
      <c r="F2935" s="1"/>
    </row>
    <row r="2936" spans="6:6">
      <c r="F2936" s="1"/>
    </row>
    <row r="2937" spans="6:6">
      <c r="F2937" s="1"/>
    </row>
    <row r="2938" spans="6:6">
      <c r="F2938" s="1"/>
    </row>
    <row r="2939" spans="6:6">
      <c r="F2939" s="1"/>
    </row>
    <row r="2940" spans="6:6">
      <c r="F2940" s="1"/>
    </row>
    <row r="2941" spans="6:6">
      <c r="F2941" s="1"/>
    </row>
    <row r="2942" spans="6:6">
      <c r="F2942" s="1"/>
    </row>
    <row r="2943" spans="6:6">
      <c r="F2943" s="1"/>
    </row>
    <row r="2944" spans="6:6">
      <c r="F2944" s="1"/>
    </row>
    <row r="2945" spans="6:6">
      <c r="F2945" s="1"/>
    </row>
    <row r="2946" spans="6:6">
      <c r="F2946" s="1"/>
    </row>
    <row r="2947" spans="6:6">
      <c r="F2947" s="1"/>
    </row>
    <row r="2948" spans="6:6">
      <c r="F2948" s="1"/>
    </row>
    <row r="2949" spans="6:6">
      <c r="F2949" s="1"/>
    </row>
    <row r="2950" spans="6:6">
      <c r="F2950" s="1"/>
    </row>
    <row r="2951" spans="6:6">
      <c r="F2951" s="1"/>
    </row>
    <row r="2952" spans="6:6">
      <c r="F2952" s="1"/>
    </row>
    <row r="2953" spans="6:6">
      <c r="F2953" s="1"/>
    </row>
    <row r="2954" spans="6:6">
      <c r="F2954" s="1"/>
    </row>
    <row r="2955" spans="6:6">
      <c r="F2955" s="1"/>
    </row>
    <row r="2956" spans="6:6">
      <c r="F2956" s="1"/>
    </row>
    <row r="2957" spans="6:6">
      <c r="F2957" s="1"/>
    </row>
    <row r="2958" spans="6:6">
      <c r="F2958" s="1"/>
    </row>
    <row r="2959" spans="6:6">
      <c r="F2959" s="1"/>
    </row>
    <row r="2960" spans="6:6">
      <c r="F2960" s="1"/>
    </row>
    <row r="2961" spans="6:6">
      <c r="F2961" s="1"/>
    </row>
    <row r="2962" spans="6:6">
      <c r="F2962" s="1"/>
    </row>
    <row r="2963" spans="6:6">
      <c r="F2963" s="1"/>
    </row>
    <row r="2964" spans="6:6">
      <c r="F2964" s="1"/>
    </row>
    <row r="2965" spans="6:6">
      <c r="F2965" s="1"/>
    </row>
    <row r="2966" spans="6:6">
      <c r="F2966" s="1"/>
    </row>
    <row r="2967" spans="6:6">
      <c r="F2967" s="1"/>
    </row>
    <row r="2968" spans="6:6">
      <c r="F2968" s="1"/>
    </row>
    <row r="2969" spans="6:6">
      <c r="F2969" s="1"/>
    </row>
    <row r="2970" spans="6:6">
      <c r="F2970" s="1"/>
    </row>
    <row r="2971" spans="6:6">
      <c r="F2971" s="1"/>
    </row>
    <row r="2972" spans="6:6">
      <c r="F2972" s="1"/>
    </row>
    <row r="2973" spans="6:6">
      <c r="F2973" s="1"/>
    </row>
    <row r="2974" spans="6:6">
      <c r="F2974" s="1"/>
    </row>
    <row r="2975" spans="6:6">
      <c r="F2975" s="1"/>
    </row>
    <row r="2976" spans="6:6">
      <c r="F2976" s="1"/>
    </row>
    <row r="2977" spans="6:6">
      <c r="F2977" s="1"/>
    </row>
    <row r="2978" spans="6:6">
      <c r="F2978" s="1"/>
    </row>
    <row r="2979" spans="6:6">
      <c r="F2979" s="1"/>
    </row>
    <row r="2980" spans="6:6">
      <c r="F2980" s="1"/>
    </row>
    <row r="2981" spans="6:6">
      <c r="F2981" s="1"/>
    </row>
    <row r="2982" spans="6:6">
      <c r="F2982" s="1"/>
    </row>
    <row r="2983" spans="6:6">
      <c r="F2983" s="1"/>
    </row>
    <row r="2984" spans="6:6">
      <c r="F2984" s="1"/>
    </row>
    <row r="2985" spans="6:6">
      <c r="F2985" s="1"/>
    </row>
    <row r="2986" spans="6:6">
      <c r="F2986" s="1"/>
    </row>
    <row r="2987" spans="6:6">
      <c r="F2987" s="1"/>
    </row>
    <row r="2988" spans="6:6">
      <c r="F2988" s="1"/>
    </row>
    <row r="2989" spans="6:6">
      <c r="F2989" s="1"/>
    </row>
    <row r="2990" spans="6:6">
      <c r="F2990" s="1"/>
    </row>
    <row r="2991" spans="6:6">
      <c r="F2991" s="1"/>
    </row>
    <row r="2992" spans="6:6">
      <c r="F2992" s="1"/>
    </row>
    <row r="2993" spans="6:6">
      <c r="F2993" s="1"/>
    </row>
    <row r="2994" spans="6:6">
      <c r="F2994" s="1"/>
    </row>
    <row r="2995" spans="6:6">
      <c r="F2995" s="1"/>
    </row>
    <row r="2996" spans="6:6">
      <c r="F2996" s="1"/>
    </row>
    <row r="2997" spans="6:6">
      <c r="F2997" s="1"/>
    </row>
    <row r="2998" spans="6:6">
      <c r="F2998" s="1"/>
    </row>
    <row r="2999" spans="6:6">
      <c r="F2999" s="1"/>
    </row>
    <row r="3000" spans="6:6">
      <c r="F3000" s="1"/>
    </row>
    <row r="3001" spans="6:6">
      <c r="F3001" s="1"/>
    </row>
    <row r="3002" spans="6:6">
      <c r="F3002" s="1"/>
    </row>
    <row r="3003" spans="6:6">
      <c r="F3003" s="1"/>
    </row>
    <row r="3004" spans="6:6">
      <c r="F3004" s="1"/>
    </row>
    <row r="3005" spans="6:6">
      <c r="F3005" s="1"/>
    </row>
    <row r="3006" spans="6:6">
      <c r="F3006" s="1"/>
    </row>
    <row r="3007" spans="6:6">
      <c r="F3007" s="1"/>
    </row>
    <row r="3008" spans="6:6">
      <c r="F3008" s="1"/>
    </row>
    <row r="3009" spans="6:6">
      <c r="F3009" s="1"/>
    </row>
    <row r="3010" spans="6:6">
      <c r="F3010" s="1"/>
    </row>
    <row r="3011" spans="6:6">
      <c r="F3011" s="1"/>
    </row>
    <row r="3012" spans="6:6">
      <c r="F3012" s="1"/>
    </row>
    <row r="3013" spans="6:6">
      <c r="F3013" s="1"/>
    </row>
    <row r="3014" spans="6:6">
      <c r="F3014" s="1"/>
    </row>
    <row r="3015" spans="6:6">
      <c r="F3015" s="1"/>
    </row>
    <row r="3016" spans="6:6">
      <c r="F3016" s="1"/>
    </row>
    <row r="3017" spans="6:6">
      <c r="F3017" s="1"/>
    </row>
    <row r="3018" spans="6:6">
      <c r="F3018" s="1"/>
    </row>
    <row r="3019" spans="6:6">
      <c r="F3019" s="1"/>
    </row>
    <row r="3020" spans="6:6">
      <c r="F3020" s="1"/>
    </row>
    <row r="3021" spans="6:6">
      <c r="F3021" s="1"/>
    </row>
    <row r="3022" spans="6:6">
      <c r="F3022" s="1"/>
    </row>
    <row r="3023" spans="6:6">
      <c r="F3023" s="1"/>
    </row>
    <row r="3024" spans="6:6">
      <c r="F3024" s="1"/>
    </row>
    <row r="3025" spans="6:6">
      <c r="F3025" s="1"/>
    </row>
    <row r="3026" spans="6:6">
      <c r="F3026" s="1"/>
    </row>
    <row r="3027" spans="6:6">
      <c r="F3027" s="1"/>
    </row>
    <row r="3028" spans="6:6">
      <c r="F3028" s="1"/>
    </row>
    <row r="3029" spans="6:6">
      <c r="F3029" s="1"/>
    </row>
    <row r="3030" spans="6:6">
      <c r="F3030" s="1"/>
    </row>
    <row r="3031" spans="6:6">
      <c r="F3031" s="1"/>
    </row>
    <row r="3032" spans="6:6">
      <c r="F3032" s="1"/>
    </row>
    <row r="3033" spans="6:6">
      <c r="F3033" s="1"/>
    </row>
    <row r="3034" spans="6:6">
      <c r="F3034" s="1"/>
    </row>
    <row r="3035" spans="6:6">
      <c r="F3035" s="1"/>
    </row>
    <row r="3036" spans="6:6">
      <c r="F3036" s="1"/>
    </row>
    <row r="3037" spans="6:6">
      <c r="F3037" s="1"/>
    </row>
    <row r="3038" spans="6:6">
      <c r="F3038" s="1"/>
    </row>
    <row r="3039" spans="6:6">
      <c r="F3039" s="1"/>
    </row>
    <row r="3040" spans="6:6">
      <c r="F3040" s="1"/>
    </row>
    <row r="3041" spans="6:6">
      <c r="F3041" s="1"/>
    </row>
    <row r="3042" spans="6:6">
      <c r="F3042" s="1"/>
    </row>
    <row r="3043" spans="6:6">
      <c r="F3043" s="1"/>
    </row>
    <row r="3044" spans="6:6">
      <c r="F3044" s="1"/>
    </row>
    <row r="3045" spans="6:6">
      <c r="F3045" s="1"/>
    </row>
    <row r="3046" spans="6:6">
      <c r="F3046" s="1"/>
    </row>
    <row r="3047" spans="6:6">
      <c r="F3047" s="1"/>
    </row>
    <row r="3048" spans="6:6">
      <c r="F3048" s="1"/>
    </row>
    <row r="3049" spans="6:6">
      <c r="F3049" s="1"/>
    </row>
    <row r="3050" spans="6:6">
      <c r="F3050" s="1"/>
    </row>
    <row r="3051" spans="6:6">
      <c r="F3051" s="1"/>
    </row>
    <row r="3052" spans="6:6">
      <c r="F3052" s="1"/>
    </row>
    <row r="3053" spans="6:6">
      <c r="F3053" s="1"/>
    </row>
    <row r="3054" spans="6:6">
      <c r="F3054" s="1"/>
    </row>
    <row r="3055" spans="6:6">
      <c r="F3055" s="1"/>
    </row>
    <row r="3056" spans="6:6">
      <c r="F3056" s="1"/>
    </row>
    <row r="3057" spans="6:6">
      <c r="F3057" s="1"/>
    </row>
    <row r="3058" spans="6:6">
      <c r="F3058" s="1"/>
    </row>
    <row r="3059" spans="6:6">
      <c r="F3059" s="1"/>
    </row>
    <row r="3060" spans="6:6">
      <c r="F3060" s="1"/>
    </row>
    <row r="3061" spans="6:6">
      <c r="F3061" s="1"/>
    </row>
    <row r="3062" spans="6:6">
      <c r="F3062" s="1"/>
    </row>
    <row r="3063" spans="6:6">
      <c r="F3063" s="1"/>
    </row>
    <row r="3064" spans="6:6">
      <c r="F3064" s="1"/>
    </row>
    <row r="3065" spans="6:6">
      <c r="F3065" s="1"/>
    </row>
    <row r="3066" spans="6:6">
      <c r="F3066" s="1"/>
    </row>
    <row r="3067" spans="6:6">
      <c r="F3067" s="1"/>
    </row>
    <row r="3068" spans="6:6">
      <c r="F3068" s="1"/>
    </row>
    <row r="3069" spans="6:6">
      <c r="F3069" s="1"/>
    </row>
    <row r="3070" spans="6:6">
      <c r="F3070" s="1"/>
    </row>
    <row r="3071" spans="6:6">
      <c r="F3071" s="1"/>
    </row>
    <row r="3072" spans="6:6">
      <c r="F3072" s="1"/>
    </row>
    <row r="3073" spans="6:6">
      <c r="F3073" s="1"/>
    </row>
    <row r="3074" spans="6:6">
      <c r="F3074" s="1"/>
    </row>
    <row r="3075" spans="6:6">
      <c r="F3075" s="1"/>
    </row>
    <row r="3076" spans="6:6">
      <c r="F3076" s="1"/>
    </row>
    <row r="3077" spans="6:6">
      <c r="F3077" s="1"/>
    </row>
    <row r="3078" spans="6:6">
      <c r="F3078" s="1"/>
    </row>
    <row r="3079" spans="6:6">
      <c r="F3079" s="1"/>
    </row>
    <row r="3080" spans="6:6">
      <c r="F3080" s="1"/>
    </row>
    <row r="3081" spans="6:6">
      <c r="F3081" s="1"/>
    </row>
    <row r="3082" spans="6:6">
      <c r="F3082" s="1"/>
    </row>
    <row r="3083" spans="6:6">
      <c r="F3083" s="1"/>
    </row>
    <row r="3084" spans="6:6">
      <c r="F3084" s="1"/>
    </row>
    <row r="3085" spans="6:6">
      <c r="F3085" s="1"/>
    </row>
    <row r="3086" spans="6:6">
      <c r="F3086" s="1"/>
    </row>
    <row r="3087" spans="6:6">
      <c r="F3087" s="1"/>
    </row>
    <row r="3088" spans="6:6">
      <c r="F3088" s="1"/>
    </row>
    <row r="3089" spans="6:6">
      <c r="F3089" s="1"/>
    </row>
    <row r="3090" spans="6:6">
      <c r="F3090" s="1"/>
    </row>
    <row r="3091" spans="6:6">
      <c r="F3091" s="1"/>
    </row>
    <row r="3092" spans="6:6">
      <c r="F3092" s="1"/>
    </row>
    <row r="3093" spans="6:6">
      <c r="F3093" s="1"/>
    </row>
    <row r="3094" spans="6:6">
      <c r="F3094" s="1"/>
    </row>
    <row r="3095" spans="6:6">
      <c r="F3095" s="1"/>
    </row>
    <row r="3096" spans="6:6">
      <c r="F3096" s="1"/>
    </row>
    <row r="3097" spans="6:6">
      <c r="F3097" s="1"/>
    </row>
    <row r="3098" spans="6:6">
      <c r="F3098" s="1"/>
    </row>
    <row r="3099" spans="6:6">
      <c r="F3099" s="1"/>
    </row>
    <row r="3100" spans="6:6">
      <c r="F3100" s="1"/>
    </row>
    <row r="3101" spans="6:6">
      <c r="F3101" s="1"/>
    </row>
    <row r="3102" spans="6:6">
      <c r="F3102" s="1"/>
    </row>
    <row r="3103" spans="6:6">
      <c r="F3103" s="1"/>
    </row>
    <row r="3104" spans="6:6">
      <c r="F3104" s="1"/>
    </row>
    <row r="3105" spans="6:6">
      <c r="F3105" s="1"/>
    </row>
    <row r="3106" spans="6:6">
      <c r="F3106" s="1"/>
    </row>
    <row r="3107" spans="6:6">
      <c r="F3107" s="1"/>
    </row>
    <row r="3108" spans="6:6">
      <c r="F3108" s="1"/>
    </row>
    <row r="3109" spans="6:6">
      <c r="F3109" s="1"/>
    </row>
    <row r="3110" spans="6:6">
      <c r="F3110" s="1"/>
    </row>
    <row r="3111" spans="6:6">
      <c r="F3111" s="1"/>
    </row>
    <row r="3112" spans="6:6">
      <c r="F3112" s="1"/>
    </row>
    <row r="3113" spans="6:6">
      <c r="F3113" s="1"/>
    </row>
    <row r="3114" spans="6:6">
      <c r="F3114" s="1"/>
    </row>
    <row r="3115" spans="6:6">
      <c r="F3115" s="1"/>
    </row>
    <row r="3116" spans="6:6">
      <c r="F3116" s="1"/>
    </row>
    <row r="3117" spans="6:6">
      <c r="F3117" s="1"/>
    </row>
    <row r="3118" spans="6:6">
      <c r="F3118" s="1"/>
    </row>
    <row r="3119" spans="6:6">
      <c r="F3119" s="1"/>
    </row>
    <row r="3120" spans="6:6">
      <c r="F3120" s="1"/>
    </row>
    <row r="3121" spans="6:6">
      <c r="F3121" s="1"/>
    </row>
    <row r="3122" spans="6:6">
      <c r="F3122" s="1"/>
    </row>
    <row r="3123" spans="6:6">
      <c r="F3123" s="1"/>
    </row>
    <row r="3124" spans="6:6">
      <c r="F3124" s="1"/>
    </row>
    <row r="3125" spans="6:6">
      <c r="F3125" s="1"/>
    </row>
    <row r="3126" spans="6:6">
      <c r="F3126" s="1"/>
    </row>
    <row r="3127" spans="6:6">
      <c r="F3127" s="1"/>
    </row>
    <row r="3128" spans="6:6">
      <c r="F3128" s="1"/>
    </row>
    <row r="3129" spans="6:6">
      <c r="F3129" s="1"/>
    </row>
    <row r="3130" spans="6:6">
      <c r="F3130" s="1"/>
    </row>
    <row r="3131" spans="6:6">
      <c r="F3131" s="1"/>
    </row>
    <row r="3132" spans="6:6">
      <c r="F3132" s="1"/>
    </row>
    <row r="3133" spans="6:6">
      <c r="F3133" s="1"/>
    </row>
    <row r="3134" spans="6:6">
      <c r="F3134" s="1"/>
    </row>
    <row r="3135" spans="6:6">
      <c r="F3135" s="1"/>
    </row>
    <row r="3136" spans="6:6">
      <c r="F3136" s="1"/>
    </row>
    <row r="3137" spans="6:6">
      <c r="F3137" s="1"/>
    </row>
    <row r="3138" spans="6:6">
      <c r="F3138" s="1"/>
    </row>
    <row r="3139" spans="6:6">
      <c r="F3139" s="1"/>
    </row>
    <row r="3140" spans="6:6">
      <c r="F3140" s="1"/>
    </row>
    <row r="3141" spans="6:6">
      <c r="F3141" s="1"/>
    </row>
    <row r="3142" spans="6:6">
      <c r="F3142" s="1"/>
    </row>
    <row r="3143" spans="6:6">
      <c r="F3143" s="1"/>
    </row>
    <row r="3144" spans="6:6">
      <c r="F3144" s="1"/>
    </row>
    <row r="3145" spans="6:6">
      <c r="F3145" s="1"/>
    </row>
    <row r="3146" spans="6:6">
      <c r="F3146" s="1"/>
    </row>
    <row r="3147" spans="6:6">
      <c r="F3147" s="1"/>
    </row>
    <row r="3148" spans="6:6">
      <c r="F3148" s="1"/>
    </row>
    <row r="3149" spans="6:6">
      <c r="F3149" s="1"/>
    </row>
    <row r="3150" spans="6:6">
      <c r="F3150" s="1"/>
    </row>
    <row r="3151" spans="6:6">
      <c r="F3151" s="1"/>
    </row>
    <row r="3152" spans="6:6">
      <c r="F3152" s="1"/>
    </row>
    <row r="3153" spans="6:6">
      <c r="F3153" s="1"/>
    </row>
    <row r="3154" spans="6:6">
      <c r="F3154" s="1"/>
    </row>
    <row r="3155" spans="6:6">
      <c r="F3155" s="1"/>
    </row>
    <row r="3156" spans="6:6">
      <c r="F3156" s="1"/>
    </row>
    <row r="3157" spans="6:6">
      <c r="F3157" s="1"/>
    </row>
    <row r="3158" spans="6:6">
      <c r="F3158" s="1"/>
    </row>
    <row r="3159" spans="6:6">
      <c r="F3159" s="1"/>
    </row>
    <row r="3160" spans="6:6">
      <c r="F3160" s="1"/>
    </row>
    <row r="3161" spans="6:6">
      <c r="F3161" s="1"/>
    </row>
    <row r="3162" spans="6:6">
      <c r="F3162" s="1"/>
    </row>
    <row r="3163" spans="6:6">
      <c r="F3163" s="1"/>
    </row>
    <row r="3164" spans="6:6">
      <c r="F3164" s="1"/>
    </row>
    <row r="3165" spans="6:6">
      <c r="F3165" s="1"/>
    </row>
    <row r="3166" spans="6:6">
      <c r="F3166" s="1"/>
    </row>
    <row r="3167" spans="6:6">
      <c r="F3167" s="1"/>
    </row>
    <row r="3168" spans="6:6">
      <c r="F3168" s="1"/>
    </row>
    <row r="3169" spans="6:6">
      <c r="F3169" s="1"/>
    </row>
    <row r="3170" spans="6:6">
      <c r="F3170" s="1"/>
    </row>
    <row r="3171" spans="6:6">
      <c r="F3171" s="1"/>
    </row>
    <row r="3172" spans="6:6">
      <c r="F3172" s="1"/>
    </row>
    <row r="3173" spans="6:6">
      <c r="F3173" s="1"/>
    </row>
    <row r="3174" spans="6:6">
      <c r="F3174" s="1"/>
    </row>
    <row r="3175" spans="6:6">
      <c r="F3175" s="1"/>
    </row>
    <row r="3176" spans="6:6">
      <c r="F3176" s="1"/>
    </row>
    <row r="3177" spans="6:6">
      <c r="F3177" s="1"/>
    </row>
    <row r="3178" spans="6:6">
      <c r="F3178" s="1"/>
    </row>
    <row r="3179" spans="6:6">
      <c r="F3179" s="1"/>
    </row>
    <row r="3180" spans="6:6">
      <c r="F3180" s="1"/>
    </row>
    <row r="3181" spans="6:6">
      <c r="F3181" s="1"/>
    </row>
    <row r="3182" spans="6:6">
      <c r="F3182" s="1"/>
    </row>
    <row r="3183" spans="6:6">
      <c r="F3183" s="1"/>
    </row>
    <row r="3184" spans="6:6">
      <c r="F3184" s="1"/>
    </row>
    <row r="3185" spans="6:6">
      <c r="F3185" s="1"/>
    </row>
    <row r="3186" spans="6:6">
      <c r="F3186" s="1"/>
    </row>
    <row r="3187" spans="6:6">
      <c r="F3187" s="1"/>
    </row>
    <row r="3188" spans="6:6">
      <c r="F3188" s="1"/>
    </row>
    <row r="3189" spans="6:6">
      <c r="F3189" s="1"/>
    </row>
    <row r="3190" spans="6:6">
      <c r="F3190" s="1"/>
    </row>
    <row r="3191" spans="6:6">
      <c r="F3191" s="1"/>
    </row>
    <row r="3192" spans="6:6">
      <c r="F3192" s="1"/>
    </row>
    <row r="3193" spans="6:6">
      <c r="F3193" s="1"/>
    </row>
    <row r="3194" spans="6:6">
      <c r="F3194" s="1"/>
    </row>
    <row r="3195" spans="6:6">
      <c r="F3195" s="1"/>
    </row>
    <row r="3196" spans="6:6">
      <c r="F3196" s="1"/>
    </row>
    <row r="3197" spans="6:6">
      <c r="F3197" s="1"/>
    </row>
    <row r="3198" spans="6:6">
      <c r="F3198" s="1"/>
    </row>
    <row r="3199" spans="6:6">
      <c r="F3199" s="1"/>
    </row>
    <row r="3200" spans="6:6">
      <c r="F3200" s="1"/>
    </row>
    <row r="3201" spans="6:6">
      <c r="F3201" s="1"/>
    </row>
    <row r="3202" spans="6:6">
      <c r="F3202" s="1"/>
    </row>
    <row r="3203" spans="6:6">
      <c r="F3203" s="1"/>
    </row>
    <row r="3204" spans="6:6">
      <c r="F3204" s="1"/>
    </row>
    <row r="3205" spans="6:6">
      <c r="F3205" s="1"/>
    </row>
    <row r="3206" spans="6:6">
      <c r="F3206" s="1"/>
    </row>
    <row r="3207" spans="6:6">
      <c r="F3207" s="1"/>
    </row>
    <row r="3208" spans="6:6">
      <c r="F3208" s="1"/>
    </row>
    <row r="3209" spans="6:6">
      <c r="F3209" s="1"/>
    </row>
    <row r="3210" spans="6:6">
      <c r="F3210" s="1"/>
    </row>
    <row r="3211" spans="6:6">
      <c r="F3211" s="1"/>
    </row>
    <row r="3212" spans="6:6">
      <c r="F3212" s="1"/>
    </row>
    <row r="3213" spans="6:6">
      <c r="F3213" s="1"/>
    </row>
    <row r="3214" spans="6:6">
      <c r="F3214" s="1"/>
    </row>
    <row r="3215" spans="6:6">
      <c r="F3215" s="1"/>
    </row>
    <row r="3216" spans="6:6">
      <c r="F3216" s="1"/>
    </row>
    <row r="3217" spans="6:6">
      <c r="F3217" s="1"/>
    </row>
    <row r="3218" spans="6:6">
      <c r="F3218" s="1"/>
    </row>
    <row r="3219" spans="6:6">
      <c r="F3219" s="1"/>
    </row>
    <row r="3220" spans="6:6">
      <c r="F3220" s="1"/>
    </row>
    <row r="3221" spans="6:6">
      <c r="F3221" s="1"/>
    </row>
    <row r="3222" spans="6:6">
      <c r="F3222" s="1"/>
    </row>
    <row r="3223" spans="6:6">
      <c r="F3223" s="1"/>
    </row>
    <row r="3224" spans="6:6">
      <c r="F3224" s="1"/>
    </row>
    <row r="3225" spans="6:6">
      <c r="F3225" s="1"/>
    </row>
    <row r="3226" spans="6:6">
      <c r="F3226" s="1"/>
    </row>
    <row r="3227" spans="6:6">
      <c r="F3227" s="1"/>
    </row>
    <row r="3228" spans="6:6">
      <c r="F3228" s="1"/>
    </row>
    <row r="3229" spans="6:6">
      <c r="F3229" s="1"/>
    </row>
    <row r="3230" spans="6:6">
      <c r="F3230" s="1"/>
    </row>
    <row r="3231" spans="6:6">
      <c r="F3231" s="1"/>
    </row>
    <row r="3232" spans="6:6">
      <c r="F3232" s="1"/>
    </row>
    <row r="3233" spans="6:6">
      <c r="F3233" s="1"/>
    </row>
    <row r="3234" spans="6:6">
      <c r="F3234" s="1"/>
    </row>
    <row r="3235" spans="6:6">
      <c r="F3235" s="1"/>
    </row>
    <row r="3236" spans="6:6">
      <c r="F3236" s="1"/>
    </row>
    <row r="3237" spans="6:6">
      <c r="F3237" s="1"/>
    </row>
    <row r="3238" spans="6:6">
      <c r="F3238" s="1"/>
    </row>
    <row r="3239" spans="6:6">
      <c r="F3239" s="1"/>
    </row>
    <row r="3240" spans="6:6">
      <c r="F3240" s="1"/>
    </row>
    <row r="3241" spans="6:6">
      <c r="F3241" s="1"/>
    </row>
    <row r="3242" spans="6:6">
      <c r="F3242" s="1"/>
    </row>
    <row r="3243" spans="6:6">
      <c r="F3243" s="1"/>
    </row>
    <row r="3244" spans="6:6">
      <c r="F3244" s="1"/>
    </row>
    <row r="3245" spans="6:6">
      <c r="F3245" s="1"/>
    </row>
    <row r="3246" spans="6:6">
      <c r="F3246" s="1"/>
    </row>
    <row r="3247" spans="6:6">
      <c r="F3247" s="1"/>
    </row>
    <row r="3248" spans="6:6">
      <c r="F3248" s="1"/>
    </row>
    <row r="3249" spans="6:6">
      <c r="F3249" s="1"/>
    </row>
    <row r="3250" spans="6:6">
      <c r="F3250" s="1"/>
    </row>
    <row r="3251" spans="6:6">
      <c r="F3251" s="1"/>
    </row>
    <row r="3252" spans="6:6">
      <c r="F3252" s="1"/>
    </row>
    <row r="3253" spans="6:6">
      <c r="F3253" s="1"/>
    </row>
    <row r="3254" spans="6:6">
      <c r="F3254" s="1"/>
    </row>
    <row r="3255" spans="6:6">
      <c r="F3255" s="1"/>
    </row>
    <row r="3256" spans="6:6">
      <c r="F3256" s="1"/>
    </row>
    <row r="3257" spans="6:6">
      <c r="F3257" s="1"/>
    </row>
    <row r="3258" spans="6:6">
      <c r="F3258" s="1"/>
    </row>
    <row r="3259" spans="6:6">
      <c r="F3259" s="1"/>
    </row>
    <row r="3260" spans="6:6">
      <c r="F3260" s="1"/>
    </row>
    <row r="3261" spans="6:6">
      <c r="F3261" s="1"/>
    </row>
    <row r="3262" spans="6:6">
      <c r="F3262" s="1"/>
    </row>
    <row r="3263" spans="6:6">
      <c r="F3263" s="1"/>
    </row>
    <row r="3264" spans="6:6">
      <c r="F3264" s="1"/>
    </row>
    <row r="3265" spans="6:6">
      <c r="F3265" s="1"/>
    </row>
    <row r="3266" spans="6:6">
      <c r="F3266" s="1"/>
    </row>
    <row r="3267" spans="6:6">
      <c r="F3267" s="1"/>
    </row>
    <row r="3268" spans="6:6">
      <c r="F3268" s="1"/>
    </row>
    <row r="3269" spans="6:6">
      <c r="F3269" s="1"/>
    </row>
    <row r="3270" spans="6:6">
      <c r="F3270" s="1"/>
    </row>
    <row r="3271" spans="6:6">
      <c r="F3271" s="1"/>
    </row>
    <row r="3272" spans="6:6">
      <c r="F3272" s="1"/>
    </row>
    <row r="3273" spans="6:6">
      <c r="F3273" s="1"/>
    </row>
    <row r="3274" spans="6:6">
      <c r="F3274" s="1"/>
    </row>
    <row r="3275" spans="6:6">
      <c r="F3275" s="1"/>
    </row>
    <row r="3276" spans="6:6">
      <c r="F3276" s="1"/>
    </row>
    <row r="3277" spans="6:6">
      <c r="F3277" s="1"/>
    </row>
    <row r="3278" spans="6:6">
      <c r="F3278" s="1"/>
    </row>
    <row r="3279" spans="6:6">
      <c r="F3279" s="1"/>
    </row>
    <row r="3280" spans="6:6">
      <c r="F3280" s="1"/>
    </row>
    <row r="3281" spans="6:6">
      <c r="F3281" s="1"/>
    </row>
    <row r="3282" spans="6:6">
      <c r="F3282" s="1"/>
    </row>
    <row r="3283" spans="6:6">
      <c r="F3283" s="1"/>
    </row>
    <row r="3284" spans="6:6">
      <c r="F3284" s="1"/>
    </row>
    <row r="3285" spans="6:6">
      <c r="F3285" s="1"/>
    </row>
    <row r="3286" spans="6:6">
      <c r="F3286" s="1"/>
    </row>
    <row r="3287" spans="6:6">
      <c r="F3287" s="1"/>
    </row>
    <row r="3288" spans="6:6">
      <c r="F3288" s="1"/>
    </row>
    <row r="3289" spans="6:6">
      <c r="F3289" s="1"/>
    </row>
    <row r="3290" spans="6:6">
      <c r="F3290" s="1"/>
    </row>
    <row r="3291" spans="6:6">
      <c r="F3291" s="1"/>
    </row>
    <row r="3292" spans="6:6">
      <c r="F3292" s="1"/>
    </row>
    <row r="3293" spans="6:6">
      <c r="F3293" s="1"/>
    </row>
    <row r="3294" spans="6:6">
      <c r="F3294" s="1"/>
    </row>
    <row r="3295" spans="6:6">
      <c r="F3295" s="1"/>
    </row>
    <row r="3296" spans="6:6">
      <c r="F3296" s="1"/>
    </row>
    <row r="3297" spans="6:6">
      <c r="F3297" s="1"/>
    </row>
    <row r="3298" spans="6:6">
      <c r="F3298" s="1"/>
    </row>
    <row r="3299" spans="6:6">
      <c r="F3299" s="1"/>
    </row>
    <row r="3300" spans="6:6">
      <c r="F3300" s="1"/>
    </row>
    <row r="3301" spans="6:6">
      <c r="F3301" s="1"/>
    </row>
    <row r="3302" spans="6:6">
      <c r="F3302" s="1"/>
    </row>
    <row r="3303" spans="6:6">
      <c r="F3303" s="1"/>
    </row>
    <row r="3304" spans="6:6">
      <c r="F3304" s="1"/>
    </row>
    <row r="3305" spans="6:6">
      <c r="F3305" s="1"/>
    </row>
    <row r="3306" spans="6:6">
      <c r="F3306" s="1"/>
    </row>
    <row r="3307" spans="6:6">
      <c r="F3307" s="1"/>
    </row>
    <row r="3308" spans="6:6">
      <c r="F3308" s="1"/>
    </row>
    <row r="3309" spans="6:6">
      <c r="F3309" s="1"/>
    </row>
    <row r="3310" spans="6:6">
      <c r="F3310" s="1"/>
    </row>
    <row r="3311" spans="6:6">
      <c r="F3311" s="1"/>
    </row>
    <row r="3312" spans="6:6">
      <c r="F3312" s="1"/>
    </row>
    <row r="3313" spans="6:6">
      <c r="F3313" s="1"/>
    </row>
    <row r="3314" spans="6:6">
      <c r="F3314" s="1"/>
    </row>
    <row r="3315" spans="6:6">
      <c r="F3315" s="1"/>
    </row>
    <row r="3316" spans="6:6">
      <c r="F3316" s="1"/>
    </row>
    <row r="3317" spans="6:6">
      <c r="F3317" s="1"/>
    </row>
    <row r="3318" spans="6:6">
      <c r="F3318" s="1"/>
    </row>
    <row r="3319" spans="6:6">
      <c r="F3319" s="1"/>
    </row>
    <row r="3320" spans="6:6">
      <c r="F3320" s="1"/>
    </row>
    <row r="3321" spans="6:6">
      <c r="F3321" s="1"/>
    </row>
    <row r="3322" spans="6:6">
      <c r="F3322" s="1"/>
    </row>
    <row r="3323" spans="6:6">
      <c r="F3323" s="1"/>
    </row>
    <row r="3324" spans="6:6">
      <c r="F3324" s="1"/>
    </row>
    <row r="3325" spans="6:6">
      <c r="F3325" s="1"/>
    </row>
    <row r="3326" spans="6:6">
      <c r="F3326" s="1"/>
    </row>
    <row r="3327" spans="6:6">
      <c r="F3327" s="1"/>
    </row>
    <row r="3328" spans="6:6">
      <c r="F3328" s="1"/>
    </row>
    <row r="3329" spans="6:6">
      <c r="F3329" s="1"/>
    </row>
    <row r="3330" spans="6:6">
      <c r="F3330" s="1"/>
    </row>
    <row r="3331" spans="6:6">
      <c r="F3331" s="1"/>
    </row>
    <row r="3332" spans="6:6">
      <c r="F3332" s="1"/>
    </row>
    <row r="3333" spans="6:6">
      <c r="F3333" s="1"/>
    </row>
    <row r="3334" spans="6:6">
      <c r="F3334" s="1"/>
    </row>
    <row r="3335" spans="6:6">
      <c r="F3335" s="1"/>
    </row>
    <row r="3336" spans="6:6">
      <c r="F3336" s="1"/>
    </row>
    <row r="3337" spans="6:6">
      <c r="F3337" s="1"/>
    </row>
    <row r="3338" spans="6:6">
      <c r="F3338" s="1"/>
    </row>
    <row r="3339" spans="6:6">
      <c r="F3339" s="1"/>
    </row>
    <row r="3340" spans="6:6">
      <c r="F3340" s="1"/>
    </row>
    <row r="3341" spans="6:6">
      <c r="F3341" s="1"/>
    </row>
    <row r="3342" spans="6:6">
      <c r="F3342" s="1"/>
    </row>
    <row r="3343" spans="6:6">
      <c r="F3343" s="1"/>
    </row>
    <row r="3344" spans="6:6">
      <c r="F3344" s="1"/>
    </row>
    <row r="3345" spans="6:6">
      <c r="F3345" s="1"/>
    </row>
    <row r="3346" spans="6:6">
      <c r="F3346" s="1"/>
    </row>
    <row r="3347" spans="6:6">
      <c r="F3347" s="1"/>
    </row>
    <row r="3348" spans="6:6">
      <c r="F3348" s="1"/>
    </row>
    <row r="3349" spans="6:6">
      <c r="F3349" s="1"/>
    </row>
    <row r="3350" spans="6:6">
      <c r="F3350" s="1"/>
    </row>
    <row r="3351" spans="6:6">
      <c r="F3351" s="1"/>
    </row>
    <row r="3352" spans="6:6">
      <c r="F3352" s="1"/>
    </row>
    <row r="3353" spans="6:6">
      <c r="F3353" s="1"/>
    </row>
    <row r="3354" spans="6:6">
      <c r="F3354" s="1"/>
    </row>
    <row r="3355" spans="6:6">
      <c r="F3355" s="1"/>
    </row>
    <row r="3356" spans="6:6">
      <c r="F3356" s="1"/>
    </row>
    <row r="3357" spans="6:6">
      <c r="F3357" s="1"/>
    </row>
    <row r="3358" spans="6:6">
      <c r="F3358" s="1"/>
    </row>
    <row r="3359" spans="6:6">
      <c r="F3359" s="1"/>
    </row>
    <row r="3360" spans="6:6">
      <c r="F3360" s="1"/>
    </row>
    <row r="3361" spans="6:6">
      <c r="F3361" s="1"/>
    </row>
    <row r="3362" spans="6:6">
      <c r="F3362" s="1"/>
    </row>
    <row r="3363" spans="6:6">
      <c r="F3363" s="1"/>
    </row>
    <row r="3364" spans="6:6">
      <c r="F3364" s="1"/>
    </row>
    <row r="3365" spans="6:6">
      <c r="F3365" s="1"/>
    </row>
    <row r="3366" spans="6:6">
      <c r="F3366" s="1"/>
    </row>
    <row r="3367" spans="6:6">
      <c r="F3367" s="1"/>
    </row>
    <row r="3368" spans="6:6">
      <c r="F3368" s="1"/>
    </row>
    <row r="3369" spans="6:6">
      <c r="F3369" s="1"/>
    </row>
    <row r="3370" spans="6:6">
      <c r="F3370" s="1"/>
    </row>
    <row r="3371" spans="6:6">
      <c r="F3371" s="1"/>
    </row>
    <row r="3372" spans="6:6">
      <c r="F3372" s="1"/>
    </row>
    <row r="3373" spans="6:6">
      <c r="F3373" s="1"/>
    </row>
    <row r="3374" spans="6:6">
      <c r="F3374" s="1"/>
    </row>
    <row r="3375" spans="6:6">
      <c r="F3375" s="1"/>
    </row>
    <row r="3376" spans="6:6">
      <c r="F3376" s="1"/>
    </row>
    <row r="3377" spans="6:6">
      <c r="F3377" s="1"/>
    </row>
    <row r="3378" spans="6:6">
      <c r="F3378" s="1"/>
    </row>
    <row r="3379" spans="6:6">
      <c r="F3379" s="1"/>
    </row>
    <row r="3380" spans="6:6">
      <c r="F3380" s="1"/>
    </row>
    <row r="3381" spans="6:6">
      <c r="F3381" s="1"/>
    </row>
    <row r="3382" spans="6:6">
      <c r="F3382" s="1"/>
    </row>
    <row r="3383" spans="6:6">
      <c r="F3383" s="1"/>
    </row>
    <row r="3384" spans="6:6">
      <c r="F3384" s="1"/>
    </row>
    <row r="3385" spans="6:6">
      <c r="F3385" s="1"/>
    </row>
    <row r="3386" spans="6:6">
      <c r="F3386" s="1"/>
    </row>
    <row r="3387" spans="6:6">
      <c r="F3387" s="1"/>
    </row>
    <row r="3388" spans="6:6">
      <c r="F3388" s="1"/>
    </row>
    <row r="3389" spans="6:6">
      <c r="F3389" s="1"/>
    </row>
    <row r="3390" spans="6:6">
      <c r="F3390" s="1"/>
    </row>
    <row r="3391" spans="6:6">
      <c r="F3391" s="1"/>
    </row>
    <row r="3392" spans="6:6">
      <c r="F3392" s="1"/>
    </row>
    <row r="3393" spans="6:6">
      <c r="F3393" s="1"/>
    </row>
    <row r="3394" spans="6:6">
      <c r="F3394" s="1"/>
    </row>
    <row r="3395" spans="6:6">
      <c r="F3395" s="1"/>
    </row>
    <row r="3396" spans="6:6">
      <c r="F3396" s="1"/>
    </row>
    <row r="3397" spans="6:6">
      <c r="F3397" s="1"/>
    </row>
    <row r="3398" spans="6:6">
      <c r="F3398" s="1"/>
    </row>
    <row r="3399" spans="6:6">
      <c r="F3399" s="1"/>
    </row>
    <row r="3400" spans="6:6">
      <c r="F3400" s="1"/>
    </row>
    <row r="3401" spans="6:6">
      <c r="F3401" s="1"/>
    </row>
    <row r="3402" spans="6:6">
      <c r="F3402" s="1"/>
    </row>
    <row r="3403" spans="6:6">
      <c r="F3403" s="1"/>
    </row>
    <row r="3404" spans="6:6">
      <c r="F3404" s="1"/>
    </row>
    <row r="3405" spans="6:6">
      <c r="F3405" s="1"/>
    </row>
    <row r="3406" spans="6:6">
      <c r="F3406" s="1"/>
    </row>
    <row r="3407" spans="6:6">
      <c r="F3407" s="1"/>
    </row>
    <row r="3408" spans="6:6">
      <c r="F3408" s="1"/>
    </row>
    <row r="3409" spans="6:6">
      <c r="F3409" s="1"/>
    </row>
    <row r="3410" spans="6:6">
      <c r="F3410" s="1"/>
    </row>
    <row r="3411" spans="6:6">
      <c r="F3411" s="1"/>
    </row>
    <row r="3412" spans="6:6">
      <c r="F3412" s="1"/>
    </row>
    <row r="3413" spans="6:6">
      <c r="F3413" s="1"/>
    </row>
    <row r="3414" spans="6:6">
      <c r="F3414" s="1"/>
    </row>
    <row r="3415" spans="6:6">
      <c r="F3415" s="1"/>
    </row>
    <row r="3416" spans="6:6">
      <c r="F3416" s="1"/>
    </row>
    <row r="3417" spans="6:6">
      <c r="F3417" s="1"/>
    </row>
    <row r="3418" spans="6:6">
      <c r="F3418" s="1"/>
    </row>
    <row r="3419" spans="6:6">
      <c r="F3419" s="1"/>
    </row>
    <row r="3420" spans="6:6">
      <c r="F3420" s="1"/>
    </row>
    <row r="3421" spans="6:6">
      <c r="F3421" s="1"/>
    </row>
    <row r="3422" spans="6:6">
      <c r="F3422" s="1"/>
    </row>
    <row r="3423" spans="6:6">
      <c r="F3423" s="1"/>
    </row>
    <row r="3424" spans="6:6">
      <c r="F3424" s="1"/>
    </row>
    <row r="3425" spans="6:6">
      <c r="F3425" s="1"/>
    </row>
    <row r="3426" spans="6:6">
      <c r="F3426" s="1"/>
    </row>
    <row r="3427" spans="6:6">
      <c r="F3427" s="1"/>
    </row>
    <row r="3428" spans="6:6">
      <c r="F3428" s="1"/>
    </row>
    <row r="3429" spans="6:6">
      <c r="F3429" s="1"/>
    </row>
    <row r="3430" spans="6:6">
      <c r="F3430" s="1"/>
    </row>
    <row r="3431" spans="6:6">
      <c r="F3431" s="1"/>
    </row>
    <row r="3432" spans="6:6">
      <c r="F3432" s="1"/>
    </row>
    <row r="3433" spans="6:6">
      <c r="F3433" s="1"/>
    </row>
    <row r="3434" spans="6:6">
      <c r="F3434" s="1"/>
    </row>
    <row r="3435" spans="6:6">
      <c r="F3435" s="1"/>
    </row>
    <row r="3436" spans="6:6">
      <c r="F3436" s="1"/>
    </row>
    <row r="3437" spans="6:6">
      <c r="F3437" s="1"/>
    </row>
    <row r="3438" spans="6:6">
      <c r="F3438" s="1"/>
    </row>
    <row r="3439" spans="6:6">
      <c r="F3439" s="1"/>
    </row>
    <row r="3440" spans="6:6">
      <c r="F3440" s="1"/>
    </row>
    <row r="3441" spans="6:6">
      <c r="F3441" s="1"/>
    </row>
    <row r="3442" spans="6:6">
      <c r="F3442" s="1"/>
    </row>
    <row r="3443" spans="6:6">
      <c r="F3443" s="1"/>
    </row>
    <row r="3444" spans="6:6">
      <c r="F3444" s="1"/>
    </row>
    <row r="3445" spans="6:6">
      <c r="F3445" s="1"/>
    </row>
    <row r="3446" spans="6:6">
      <c r="F3446" s="1"/>
    </row>
    <row r="3447" spans="6:6">
      <c r="F3447" s="1"/>
    </row>
    <row r="3448" spans="6:6">
      <c r="F3448" s="1"/>
    </row>
    <row r="3449" spans="6:6">
      <c r="F3449" s="1"/>
    </row>
    <row r="3450" spans="6:6">
      <c r="F3450" s="1"/>
    </row>
    <row r="3451" spans="6:6">
      <c r="F3451" s="1"/>
    </row>
    <row r="3452" spans="6:6">
      <c r="F3452" s="1"/>
    </row>
    <row r="3453" spans="6:6">
      <c r="F3453" s="1"/>
    </row>
    <row r="3454" spans="6:6">
      <c r="F3454" s="1"/>
    </row>
    <row r="3455" spans="6:6">
      <c r="F3455" s="1"/>
    </row>
    <row r="3456" spans="6:6">
      <c r="F3456" s="1"/>
    </row>
    <row r="3457" spans="6:6">
      <c r="F3457" s="1"/>
    </row>
    <row r="3458" spans="6:6">
      <c r="F3458" s="1"/>
    </row>
    <row r="3459" spans="6:6">
      <c r="F3459" s="1"/>
    </row>
    <row r="3460" spans="6:6">
      <c r="F3460" s="1"/>
    </row>
    <row r="3461" spans="6:6">
      <c r="F3461" s="1"/>
    </row>
    <row r="3462" spans="6:6">
      <c r="F3462" s="1"/>
    </row>
    <row r="3463" spans="6:6">
      <c r="F3463" s="1"/>
    </row>
    <row r="3464" spans="6:6">
      <c r="F3464" s="1"/>
    </row>
    <row r="3465" spans="6:6">
      <c r="F3465" s="1"/>
    </row>
    <row r="3466" spans="6:6">
      <c r="F3466" s="1"/>
    </row>
    <row r="3467" spans="6:6">
      <c r="F3467" s="1"/>
    </row>
    <row r="3468" spans="6:6">
      <c r="F3468" s="1"/>
    </row>
    <row r="3469" spans="6:6">
      <c r="F3469" s="1"/>
    </row>
    <row r="3470" spans="6:6">
      <c r="F3470" s="1"/>
    </row>
    <row r="3471" spans="6:6">
      <c r="F3471" s="1"/>
    </row>
    <row r="3472" spans="6:6">
      <c r="F3472" s="1"/>
    </row>
    <row r="3473" spans="6:6">
      <c r="F3473" s="1"/>
    </row>
    <row r="3474" spans="6:6">
      <c r="F3474" s="1"/>
    </row>
    <row r="3475" spans="6:6">
      <c r="F3475" s="1"/>
    </row>
    <row r="3476" spans="6:6">
      <c r="F3476" s="1"/>
    </row>
    <row r="3477" spans="6:6">
      <c r="F3477" s="1"/>
    </row>
    <row r="3478" spans="6:6">
      <c r="F3478" s="1"/>
    </row>
    <row r="3479" spans="6:6">
      <c r="F3479" s="1"/>
    </row>
    <row r="3480" spans="6:6">
      <c r="F3480" s="1"/>
    </row>
    <row r="3481" spans="6:6">
      <c r="F3481" s="1"/>
    </row>
    <row r="3482" spans="6:6">
      <c r="F3482" s="1"/>
    </row>
    <row r="3483" spans="6:6">
      <c r="F3483" s="1"/>
    </row>
    <row r="3484" spans="6:6">
      <c r="F3484" s="1"/>
    </row>
    <row r="3485" spans="6:6">
      <c r="F3485" s="1"/>
    </row>
    <row r="3486" spans="6:6">
      <c r="F3486" s="1"/>
    </row>
    <row r="3487" spans="6:6">
      <c r="F3487" s="1"/>
    </row>
    <row r="3488" spans="6:6">
      <c r="F3488" s="1"/>
    </row>
    <row r="3489" spans="6:6">
      <c r="F3489" s="1"/>
    </row>
    <row r="3490" spans="6:6">
      <c r="F3490" s="1"/>
    </row>
    <row r="3491" spans="6:6">
      <c r="F3491" s="1"/>
    </row>
    <row r="3492" spans="6:6">
      <c r="F3492" s="1"/>
    </row>
    <row r="3493" spans="6:6">
      <c r="F3493" s="1"/>
    </row>
    <row r="3494" spans="6:6">
      <c r="F3494" s="1"/>
    </row>
    <row r="3495" spans="6:6">
      <c r="F3495" s="1"/>
    </row>
    <row r="3496" spans="6:6">
      <c r="F3496" s="1"/>
    </row>
    <row r="3497" spans="6:6">
      <c r="F3497" s="1"/>
    </row>
    <row r="3498" spans="6:6">
      <c r="F3498" s="1"/>
    </row>
    <row r="3499" spans="6:6">
      <c r="F3499" s="1"/>
    </row>
    <row r="3500" spans="6:6">
      <c r="F3500" s="1"/>
    </row>
    <row r="3501" spans="6:6">
      <c r="F3501" s="1"/>
    </row>
    <row r="3502" spans="6:6">
      <c r="F3502" s="1"/>
    </row>
    <row r="3503" spans="6:6">
      <c r="F3503" s="1"/>
    </row>
    <row r="3504" spans="6:6">
      <c r="F3504" s="1"/>
    </row>
    <row r="3505" spans="6:6">
      <c r="F3505" s="1"/>
    </row>
    <row r="3506" spans="6:6">
      <c r="F3506" s="1"/>
    </row>
    <row r="3507" spans="6:6">
      <c r="F3507" s="1"/>
    </row>
    <row r="3508" spans="6:6">
      <c r="F3508" s="1"/>
    </row>
    <row r="3509" spans="6:6">
      <c r="F3509" s="1"/>
    </row>
    <row r="3510" spans="6:6">
      <c r="F3510" s="1"/>
    </row>
    <row r="3511" spans="6:6">
      <c r="F3511" s="1"/>
    </row>
    <row r="3512" spans="6:6">
      <c r="F3512" s="1"/>
    </row>
    <row r="3513" spans="6:6">
      <c r="F3513" s="1"/>
    </row>
    <row r="3514" spans="6:6">
      <c r="F3514" s="1"/>
    </row>
    <row r="3515" spans="6:6">
      <c r="F3515" s="1"/>
    </row>
    <row r="3516" spans="6:6">
      <c r="F3516" s="1"/>
    </row>
    <row r="3517" spans="6:6">
      <c r="F3517" s="1"/>
    </row>
    <row r="3518" spans="6:6">
      <c r="F3518" s="1"/>
    </row>
    <row r="3519" spans="6:6">
      <c r="F3519" s="1"/>
    </row>
    <row r="3520" spans="6:6">
      <c r="F3520" s="1"/>
    </row>
    <row r="3521" spans="6:6">
      <c r="F3521" s="1"/>
    </row>
    <row r="3522" spans="6:6">
      <c r="F3522" s="1"/>
    </row>
    <row r="3523" spans="6:6">
      <c r="F3523" s="1"/>
    </row>
    <row r="3524" spans="6:6">
      <c r="F3524" s="1"/>
    </row>
    <row r="3525" spans="6:6">
      <c r="F3525" s="1"/>
    </row>
    <row r="3526" spans="6:6">
      <c r="F3526" s="1"/>
    </row>
    <row r="3527" spans="6:6">
      <c r="F3527" s="1"/>
    </row>
    <row r="3528" spans="6:6">
      <c r="F3528" s="1"/>
    </row>
    <row r="3529" spans="6:6">
      <c r="F3529" s="1"/>
    </row>
    <row r="3530" spans="6:6">
      <c r="F3530" s="1"/>
    </row>
    <row r="3531" spans="6:6">
      <c r="F3531" s="1"/>
    </row>
    <row r="3532" spans="6:6">
      <c r="F3532" s="1"/>
    </row>
    <row r="3533" spans="6:6">
      <c r="F3533" s="1"/>
    </row>
    <row r="3534" spans="6:6">
      <c r="F3534" s="1"/>
    </row>
    <row r="3535" spans="6:6">
      <c r="F3535" s="1"/>
    </row>
    <row r="3536" spans="6:6">
      <c r="F3536" s="1"/>
    </row>
    <row r="3537" spans="6:6">
      <c r="F3537" s="1"/>
    </row>
    <row r="3538" spans="6:6">
      <c r="F3538" s="1"/>
    </row>
    <row r="3539" spans="6:6">
      <c r="F3539" s="1"/>
    </row>
    <row r="3540" spans="6:6">
      <c r="F3540" s="1"/>
    </row>
    <row r="3541" spans="6:6">
      <c r="F3541" s="1"/>
    </row>
    <row r="3542" spans="6:6">
      <c r="F3542" s="1"/>
    </row>
    <row r="3543" spans="6:6">
      <c r="F3543" s="1"/>
    </row>
    <row r="3544" spans="6:6">
      <c r="F3544" s="1"/>
    </row>
    <row r="3545" spans="6:6">
      <c r="F3545" s="1"/>
    </row>
    <row r="3546" spans="6:6">
      <c r="F3546" s="1"/>
    </row>
    <row r="3547" spans="6:6">
      <c r="F3547" s="1"/>
    </row>
    <row r="3548" spans="6:6">
      <c r="F3548" s="1"/>
    </row>
    <row r="3549" spans="6:6">
      <c r="F3549" s="1"/>
    </row>
    <row r="3550" spans="6:6">
      <c r="F3550" s="1"/>
    </row>
    <row r="3551" spans="6:6">
      <c r="F3551" s="1"/>
    </row>
    <row r="3552" spans="6:6">
      <c r="F3552" s="1"/>
    </row>
    <row r="3553" spans="6:6">
      <c r="F3553" s="1"/>
    </row>
    <row r="3554" spans="6:6">
      <c r="F3554" s="1"/>
    </row>
    <row r="3555" spans="6:6">
      <c r="F3555" s="1"/>
    </row>
    <row r="3556" spans="6:6">
      <c r="F3556" s="1"/>
    </row>
    <row r="3557" spans="6:6">
      <c r="F3557" s="1"/>
    </row>
    <row r="3558" spans="6:6">
      <c r="F3558" s="1"/>
    </row>
    <row r="3559" spans="6:6">
      <c r="F3559" s="1"/>
    </row>
    <row r="3560" spans="6:6">
      <c r="F3560" s="1"/>
    </row>
    <row r="3561" spans="6:6">
      <c r="F3561" s="1"/>
    </row>
    <row r="3562" spans="6:6">
      <c r="F3562" s="1"/>
    </row>
    <row r="3563" spans="6:6">
      <c r="F3563" s="1"/>
    </row>
    <row r="3564" spans="6:6">
      <c r="F3564" s="1"/>
    </row>
    <row r="3565" spans="6:6">
      <c r="F3565" s="1"/>
    </row>
    <row r="3566" spans="6:6">
      <c r="F3566" s="1"/>
    </row>
    <row r="3567" spans="6:6">
      <c r="F3567" s="1"/>
    </row>
    <row r="3568" spans="6:6">
      <c r="F3568" s="1"/>
    </row>
    <row r="3569" spans="6:6">
      <c r="F3569" s="1"/>
    </row>
    <row r="3570" spans="6:6">
      <c r="F3570" s="1"/>
    </row>
    <row r="3571" spans="6:6">
      <c r="F3571" s="1"/>
    </row>
    <row r="3572" spans="6:6">
      <c r="F3572" s="1"/>
    </row>
    <row r="3573" spans="6:6">
      <c r="F3573" s="1"/>
    </row>
    <row r="3574" spans="6:6">
      <c r="F3574" s="1"/>
    </row>
    <row r="3575" spans="6:6">
      <c r="F3575" s="1"/>
    </row>
    <row r="3576" spans="6:6">
      <c r="F3576" s="1"/>
    </row>
    <row r="3577" spans="6:6">
      <c r="F3577" s="1"/>
    </row>
    <row r="3578" spans="6:6">
      <c r="F3578" s="1"/>
    </row>
    <row r="3579" spans="6:6">
      <c r="F3579" s="1"/>
    </row>
    <row r="3580" spans="6:6">
      <c r="F3580" s="1"/>
    </row>
    <row r="3581" spans="6:6">
      <c r="F3581" s="1"/>
    </row>
    <row r="3582" spans="6:6">
      <c r="F3582" s="1"/>
    </row>
    <row r="3583" spans="6:6">
      <c r="F3583" s="1"/>
    </row>
    <row r="3584" spans="6:6">
      <c r="F3584" s="1"/>
    </row>
    <row r="3585" spans="6:6">
      <c r="F3585" s="1"/>
    </row>
    <row r="3586" spans="6:6">
      <c r="F3586" s="1"/>
    </row>
    <row r="3587" spans="6:6">
      <c r="F3587" s="1"/>
    </row>
    <row r="3588" spans="6:6">
      <c r="F3588" s="1"/>
    </row>
    <row r="3589" spans="6:6">
      <c r="F3589" s="1"/>
    </row>
    <row r="3590" spans="6:6">
      <c r="F3590" s="1"/>
    </row>
    <row r="3591" spans="6:6">
      <c r="F3591" s="1"/>
    </row>
    <row r="3592" spans="6:6">
      <c r="F3592" s="1"/>
    </row>
    <row r="3593" spans="6:6">
      <c r="F3593" s="1"/>
    </row>
    <row r="3594" spans="6:6">
      <c r="F3594" s="1"/>
    </row>
    <row r="3595" spans="6:6">
      <c r="F3595" s="1"/>
    </row>
    <row r="3596" spans="6:6">
      <c r="F3596" s="1"/>
    </row>
    <row r="3597" spans="6:6">
      <c r="F3597" s="1"/>
    </row>
    <row r="3598" spans="6:6">
      <c r="F3598" s="1"/>
    </row>
    <row r="3599" spans="6:6">
      <c r="F3599" s="1"/>
    </row>
    <row r="3600" spans="6:6">
      <c r="F3600" s="1"/>
    </row>
    <row r="3601" spans="6:6">
      <c r="F3601" s="1"/>
    </row>
    <row r="3602" spans="6:6">
      <c r="F3602" s="1"/>
    </row>
    <row r="3603" spans="6:6">
      <c r="F3603" s="1"/>
    </row>
    <row r="3604" spans="6:6">
      <c r="F3604" s="1"/>
    </row>
    <row r="3605" spans="6:6">
      <c r="F3605" s="1"/>
    </row>
    <row r="3606" spans="6:6">
      <c r="F3606" s="1"/>
    </row>
    <row r="3607" spans="6:6">
      <c r="F3607" s="1"/>
    </row>
    <row r="3608" spans="6:6">
      <c r="F3608" s="1"/>
    </row>
    <row r="3609" spans="6:6">
      <c r="F3609" s="1"/>
    </row>
    <row r="3610" spans="6:6">
      <c r="F3610" s="1"/>
    </row>
    <row r="3611" spans="6:6">
      <c r="F3611" s="1"/>
    </row>
    <row r="3612" spans="6:6">
      <c r="F3612" s="1"/>
    </row>
    <row r="3613" spans="6:6">
      <c r="F3613" s="1"/>
    </row>
    <row r="3614" spans="6:6">
      <c r="F3614" s="1"/>
    </row>
    <row r="3615" spans="6:6">
      <c r="F3615" s="1"/>
    </row>
    <row r="3616" spans="6:6">
      <c r="F3616" s="1"/>
    </row>
    <row r="3617" spans="6:6">
      <c r="F3617" s="1"/>
    </row>
    <row r="3618" spans="6:6">
      <c r="F3618" s="1"/>
    </row>
    <row r="3619" spans="6:6">
      <c r="F3619" s="1"/>
    </row>
    <row r="3620" spans="6:6">
      <c r="F3620" s="1"/>
    </row>
    <row r="3621" spans="6:6">
      <c r="F3621" s="1"/>
    </row>
    <row r="3622" spans="6:6">
      <c r="F3622" s="1"/>
    </row>
    <row r="3623" spans="6:6">
      <c r="F3623" s="1"/>
    </row>
    <row r="3624" spans="6:6">
      <c r="F3624" s="1"/>
    </row>
    <row r="3625" spans="6:6">
      <c r="F3625" s="1"/>
    </row>
    <row r="3626" spans="6:6">
      <c r="F3626" s="1"/>
    </row>
    <row r="3627" spans="6:6">
      <c r="F3627" s="1"/>
    </row>
    <row r="3628" spans="6:6">
      <c r="F3628" s="1"/>
    </row>
    <row r="3629" spans="6:6">
      <c r="F3629" s="1"/>
    </row>
    <row r="3630" spans="6:6">
      <c r="F3630" s="1"/>
    </row>
    <row r="3631" spans="6:6">
      <c r="F3631" s="1"/>
    </row>
    <row r="3632" spans="6:6">
      <c r="F3632" s="1"/>
    </row>
    <row r="3633" spans="6:6">
      <c r="F3633" s="1"/>
    </row>
    <row r="3634" spans="6:6">
      <c r="F3634" s="1"/>
    </row>
    <row r="3635" spans="6:6">
      <c r="F3635" s="1"/>
    </row>
    <row r="3636" spans="6:6">
      <c r="F3636" s="1"/>
    </row>
    <row r="3637" spans="6:6">
      <c r="F3637" s="1"/>
    </row>
    <row r="3638" spans="6:6">
      <c r="F3638" s="1"/>
    </row>
    <row r="3639" spans="6:6">
      <c r="F3639" s="1"/>
    </row>
    <row r="3640" spans="6:6">
      <c r="F3640" s="1"/>
    </row>
    <row r="3641" spans="6:6">
      <c r="F3641" s="1"/>
    </row>
    <row r="3642" spans="6:6">
      <c r="F3642" s="1"/>
    </row>
    <row r="3643" spans="6:6">
      <c r="F3643" s="1"/>
    </row>
    <row r="3644" spans="6:6">
      <c r="F3644" s="1"/>
    </row>
    <row r="3645" spans="6:6">
      <c r="F3645" s="1"/>
    </row>
    <row r="3646" spans="6:6">
      <c r="F3646" s="1"/>
    </row>
    <row r="3647" spans="6:6">
      <c r="F3647" s="1"/>
    </row>
    <row r="3648" spans="6:6">
      <c r="F3648" s="1"/>
    </row>
    <row r="3649" spans="6:6">
      <c r="F3649" s="1"/>
    </row>
    <row r="3650" spans="6:6">
      <c r="F3650" s="1"/>
    </row>
    <row r="3651" spans="6:6">
      <c r="F3651" s="1"/>
    </row>
    <row r="3652" spans="6:6">
      <c r="F3652" s="1"/>
    </row>
    <row r="3653" spans="6:6">
      <c r="F3653" s="1"/>
    </row>
    <row r="3654" spans="6:6">
      <c r="F3654" s="1"/>
    </row>
    <row r="3655" spans="6:6">
      <c r="F3655" s="1"/>
    </row>
    <row r="3656" spans="6:6">
      <c r="F3656" s="1"/>
    </row>
    <row r="3657" spans="6:6">
      <c r="F3657" s="1"/>
    </row>
    <row r="3658" spans="6:6">
      <c r="F3658" s="1"/>
    </row>
    <row r="3659" spans="6:6">
      <c r="F3659" s="1"/>
    </row>
    <row r="3660" spans="6:6">
      <c r="F3660" s="1"/>
    </row>
    <row r="3661" spans="6:6">
      <c r="F3661" s="1"/>
    </row>
    <row r="3662" spans="6:6">
      <c r="F3662" s="1"/>
    </row>
    <row r="3663" spans="6:6">
      <c r="F3663" s="1"/>
    </row>
    <row r="3664" spans="6:6">
      <c r="F3664" s="1"/>
    </row>
    <row r="3665" spans="6:6">
      <c r="F3665" s="1"/>
    </row>
    <row r="3666" spans="6:6">
      <c r="F3666" s="1"/>
    </row>
    <row r="3667" spans="6:6">
      <c r="F3667" s="1"/>
    </row>
    <row r="3668" spans="6:6">
      <c r="F3668" s="1"/>
    </row>
    <row r="3669" spans="6:6">
      <c r="F3669" s="1"/>
    </row>
    <row r="3670" spans="6:6">
      <c r="F3670" s="1"/>
    </row>
    <row r="3671" spans="6:6">
      <c r="F3671" s="1"/>
    </row>
    <row r="3672" spans="6:6">
      <c r="F3672" s="1"/>
    </row>
    <row r="3673" spans="6:6">
      <c r="F3673" s="1"/>
    </row>
    <row r="3674" spans="6:6">
      <c r="F3674" s="1"/>
    </row>
    <row r="3675" spans="6:6">
      <c r="F3675" s="1"/>
    </row>
    <row r="3676" spans="6:6">
      <c r="F3676" s="1"/>
    </row>
    <row r="3677" spans="6:6">
      <c r="F3677" s="1"/>
    </row>
    <row r="3678" spans="6:6">
      <c r="F3678" s="1"/>
    </row>
    <row r="3679" spans="6:6">
      <c r="F3679" s="1"/>
    </row>
    <row r="3680" spans="6:6">
      <c r="F3680" s="1"/>
    </row>
    <row r="3681" spans="6:6">
      <c r="F3681" s="1"/>
    </row>
    <row r="3682" spans="6:6">
      <c r="F3682" s="1"/>
    </row>
    <row r="3683" spans="6:6">
      <c r="F3683" s="1"/>
    </row>
    <row r="3684" spans="6:6">
      <c r="F3684" s="1"/>
    </row>
    <row r="3685" spans="6:6">
      <c r="F3685" s="1"/>
    </row>
    <row r="3686" spans="6:6">
      <c r="F3686" s="1"/>
    </row>
    <row r="3687" spans="6:6">
      <c r="F3687" s="1"/>
    </row>
    <row r="3688" spans="6:6">
      <c r="F3688" s="1"/>
    </row>
    <row r="3689" spans="6:6">
      <c r="F3689" s="1"/>
    </row>
    <row r="3690" spans="6:6">
      <c r="F3690" s="1"/>
    </row>
    <row r="3691" spans="6:6">
      <c r="F3691" s="1"/>
    </row>
    <row r="3692" spans="6:6">
      <c r="F3692" s="1"/>
    </row>
    <row r="3693" spans="6:6">
      <c r="F3693" s="1"/>
    </row>
    <row r="3694" spans="6:6">
      <c r="F3694" s="1"/>
    </row>
    <row r="3695" spans="6:6">
      <c r="F3695" s="1"/>
    </row>
    <row r="3696" spans="6:6">
      <c r="F3696" s="1"/>
    </row>
    <row r="3697" spans="6:6">
      <c r="F3697" s="1"/>
    </row>
    <row r="3698" spans="6:6">
      <c r="F3698" s="1"/>
    </row>
    <row r="3699" spans="6:6">
      <c r="F3699" s="1"/>
    </row>
    <row r="3700" spans="6:6">
      <c r="F3700" s="1"/>
    </row>
    <row r="3701" spans="6:6">
      <c r="F3701" s="1"/>
    </row>
    <row r="3702" spans="6:6">
      <c r="F3702" s="1"/>
    </row>
    <row r="3703" spans="6:6">
      <c r="F3703" s="1"/>
    </row>
    <row r="3704" spans="6:6">
      <c r="F3704" s="1"/>
    </row>
    <row r="3705" spans="6:6">
      <c r="F3705" s="1"/>
    </row>
    <row r="3706" spans="6:6">
      <c r="F3706" s="1"/>
    </row>
    <row r="3707" spans="6:6">
      <c r="F3707" s="1"/>
    </row>
    <row r="3708" spans="6:6">
      <c r="F3708" s="1"/>
    </row>
    <row r="3709" spans="6:6">
      <c r="F3709" s="1"/>
    </row>
    <row r="3710" spans="6:6">
      <c r="F3710" s="1"/>
    </row>
    <row r="3711" spans="6:6">
      <c r="F3711" s="1"/>
    </row>
    <row r="3712" spans="6:6">
      <c r="F3712" s="1"/>
    </row>
    <row r="3713" spans="6:6">
      <c r="F3713" s="1"/>
    </row>
    <row r="3714" spans="6:6">
      <c r="F3714" s="1"/>
    </row>
    <row r="3715" spans="6:6">
      <c r="F3715" s="1"/>
    </row>
    <row r="3716" spans="6:6">
      <c r="F3716" s="1"/>
    </row>
    <row r="3717" spans="6:6">
      <c r="F3717" s="1"/>
    </row>
    <row r="3718" spans="6:6">
      <c r="F3718" s="1"/>
    </row>
    <row r="3719" spans="6:6">
      <c r="F3719" s="1"/>
    </row>
    <row r="3720" spans="6:6">
      <c r="F3720" s="1"/>
    </row>
    <row r="3721" spans="6:6">
      <c r="F3721" s="1"/>
    </row>
    <row r="3722" spans="6:6">
      <c r="F3722" s="1"/>
    </row>
    <row r="3723" spans="6:6">
      <c r="F3723" s="1"/>
    </row>
    <row r="3724" spans="6:6">
      <c r="F3724" s="1"/>
    </row>
    <row r="3725" spans="6:6">
      <c r="F3725" s="1"/>
    </row>
    <row r="3726" spans="6:6">
      <c r="F3726" s="1"/>
    </row>
    <row r="3727" spans="6:6">
      <c r="F3727" s="1"/>
    </row>
    <row r="3728" spans="6:6">
      <c r="F3728" s="1"/>
    </row>
    <row r="3729" spans="6:6">
      <c r="F3729" s="1"/>
    </row>
    <row r="3730" spans="6:6">
      <c r="F3730" s="1"/>
    </row>
    <row r="3731" spans="6:6">
      <c r="F3731" s="1"/>
    </row>
    <row r="3732" spans="6:6">
      <c r="F3732" s="1"/>
    </row>
    <row r="3733" spans="6:6">
      <c r="F3733" s="1"/>
    </row>
    <row r="3734" spans="6:6">
      <c r="F3734" s="1"/>
    </row>
    <row r="3735" spans="6:6">
      <c r="F3735" s="1"/>
    </row>
    <row r="3736" spans="6:6">
      <c r="F3736" s="1"/>
    </row>
    <row r="3737" spans="6:6">
      <c r="F3737" s="1"/>
    </row>
    <row r="3738" spans="6:6">
      <c r="F3738" s="1"/>
    </row>
    <row r="3739" spans="6:6">
      <c r="F3739" s="1"/>
    </row>
    <row r="3740" spans="6:6">
      <c r="F3740" s="1"/>
    </row>
    <row r="3741" spans="6:6">
      <c r="F3741" s="1"/>
    </row>
    <row r="3742" spans="6:6">
      <c r="F3742" s="1"/>
    </row>
    <row r="3743" spans="6:6">
      <c r="F3743" s="1"/>
    </row>
    <row r="3744" spans="6:6">
      <c r="F3744" s="1"/>
    </row>
    <row r="3745" spans="6:6">
      <c r="F3745" s="1"/>
    </row>
    <row r="3746" spans="6:6">
      <c r="F3746" s="1"/>
    </row>
    <row r="3747" spans="6:6">
      <c r="F3747" s="1"/>
    </row>
    <row r="3748" spans="6:6">
      <c r="F3748" s="1"/>
    </row>
    <row r="3749" spans="6:6">
      <c r="F3749" s="1"/>
    </row>
    <row r="3750" spans="6:6">
      <c r="F3750" s="1"/>
    </row>
    <row r="3751" spans="6:6">
      <c r="F3751" s="1"/>
    </row>
    <row r="3752" spans="6:6">
      <c r="F3752" s="1"/>
    </row>
    <row r="3753" spans="6:6">
      <c r="F3753" s="1"/>
    </row>
    <row r="3754" spans="6:6">
      <c r="F3754" s="1"/>
    </row>
    <row r="3755" spans="6:6">
      <c r="F3755" s="1"/>
    </row>
    <row r="3756" spans="6:6">
      <c r="F3756" s="1"/>
    </row>
    <row r="3757" spans="6:6">
      <c r="F3757" s="1"/>
    </row>
    <row r="3758" spans="6:6">
      <c r="F3758" s="1"/>
    </row>
    <row r="3759" spans="6:6">
      <c r="F3759" s="1"/>
    </row>
    <row r="3760" spans="6:6">
      <c r="F3760" s="1"/>
    </row>
    <row r="3761" spans="6:6">
      <c r="F3761" s="1"/>
    </row>
    <row r="3762" spans="6:6">
      <c r="F3762" s="1"/>
    </row>
    <row r="3763" spans="6:6">
      <c r="F3763" s="1"/>
    </row>
    <row r="3764" spans="6:6">
      <c r="F3764" s="1"/>
    </row>
    <row r="3765" spans="6:6">
      <c r="F3765" s="1"/>
    </row>
    <row r="3766" spans="6:6">
      <c r="F3766" s="1"/>
    </row>
    <row r="3767" spans="6:6">
      <c r="F3767" s="1"/>
    </row>
    <row r="3768" spans="6:6">
      <c r="F3768" s="1"/>
    </row>
    <row r="3769" spans="6:6">
      <c r="F3769" s="1"/>
    </row>
    <row r="3770" spans="6:6">
      <c r="F3770" s="1"/>
    </row>
    <row r="3771" spans="6:6">
      <c r="F3771" s="1"/>
    </row>
    <row r="3772" spans="6:6">
      <c r="F3772" s="1"/>
    </row>
    <row r="3773" spans="6:6">
      <c r="F3773" s="1"/>
    </row>
    <row r="3774" spans="6:6">
      <c r="F3774" s="1"/>
    </row>
    <row r="3775" spans="6:6">
      <c r="F3775" s="1"/>
    </row>
    <row r="3776" spans="6:6">
      <c r="F3776" s="1"/>
    </row>
    <row r="3777" spans="6:6">
      <c r="F3777" s="1"/>
    </row>
    <row r="3778" spans="6:6">
      <c r="F3778" s="1"/>
    </row>
    <row r="3779" spans="6:6">
      <c r="F3779" s="1"/>
    </row>
    <row r="3780" spans="6:6">
      <c r="F3780" s="1"/>
    </row>
    <row r="3781" spans="6:6">
      <c r="F3781" s="1"/>
    </row>
    <row r="3782" spans="6:6">
      <c r="F3782" s="1"/>
    </row>
    <row r="3783" spans="6:6">
      <c r="F3783" s="1"/>
    </row>
    <row r="3784" spans="6:6">
      <c r="F3784" s="1"/>
    </row>
    <row r="3785" spans="6:6">
      <c r="F3785" s="1"/>
    </row>
    <row r="3786" spans="6:6">
      <c r="F3786" s="1"/>
    </row>
    <row r="3787" spans="6:6">
      <c r="F3787" s="1"/>
    </row>
    <row r="3788" spans="6:6">
      <c r="F3788" s="1"/>
    </row>
    <row r="3789" spans="6:6">
      <c r="F3789" s="1"/>
    </row>
    <row r="3790" spans="6:6">
      <c r="F3790" s="1"/>
    </row>
    <row r="3791" spans="6:6">
      <c r="F3791" s="1"/>
    </row>
    <row r="3792" spans="6:6">
      <c r="F3792" s="1"/>
    </row>
    <row r="3793" spans="6:6">
      <c r="F3793" s="1"/>
    </row>
    <row r="3794" spans="6:6">
      <c r="F3794" s="1"/>
    </row>
    <row r="3795" spans="6:6">
      <c r="F3795" s="1"/>
    </row>
    <row r="3796" spans="6:6">
      <c r="F3796" s="1"/>
    </row>
    <row r="3797" spans="6:6">
      <c r="F3797" s="1"/>
    </row>
    <row r="3798" spans="6:6">
      <c r="F3798" s="1"/>
    </row>
    <row r="3799" spans="6:6">
      <c r="F3799" s="1"/>
    </row>
    <row r="3800" spans="6:6">
      <c r="F3800" s="1"/>
    </row>
    <row r="3801" spans="6:6">
      <c r="F3801" s="1"/>
    </row>
    <row r="3802" spans="6:6">
      <c r="F3802" s="1"/>
    </row>
    <row r="3803" spans="6:6">
      <c r="F3803" s="1"/>
    </row>
    <row r="3804" spans="6:6">
      <c r="F3804" s="1"/>
    </row>
    <row r="3805" spans="6:6">
      <c r="F3805" s="1"/>
    </row>
    <row r="3806" spans="6:6">
      <c r="F3806" s="1"/>
    </row>
    <row r="3807" spans="6:6">
      <c r="F3807" s="1"/>
    </row>
    <row r="3808" spans="6:6">
      <c r="F3808" s="1"/>
    </row>
    <row r="3809" spans="6:6">
      <c r="F3809" s="1"/>
    </row>
    <row r="3810" spans="6:6">
      <c r="F3810" s="1"/>
    </row>
    <row r="3811" spans="6:6">
      <c r="F3811" s="1"/>
    </row>
    <row r="3812" spans="6:6">
      <c r="F3812" s="1"/>
    </row>
    <row r="3813" spans="6:6">
      <c r="F3813" s="1"/>
    </row>
    <row r="3814" spans="6:6">
      <c r="F3814" s="1"/>
    </row>
    <row r="3815" spans="6:6">
      <c r="F3815" s="1"/>
    </row>
    <row r="3816" spans="6:6">
      <c r="F3816" s="1"/>
    </row>
    <row r="3817" spans="6:6">
      <c r="F3817" s="1"/>
    </row>
    <row r="3818" spans="6:6">
      <c r="F3818" s="1"/>
    </row>
    <row r="3819" spans="6:6">
      <c r="F3819" s="1"/>
    </row>
    <row r="3820" spans="6:6">
      <c r="F3820" s="1"/>
    </row>
    <row r="3821" spans="6:6">
      <c r="F3821" s="1"/>
    </row>
    <row r="3822" spans="6:6">
      <c r="F3822" s="1"/>
    </row>
    <row r="3823" spans="6:6">
      <c r="F3823" s="1"/>
    </row>
    <row r="3824" spans="6:6">
      <c r="F3824" s="1"/>
    </row>
    <row r="3825" spans="6:6">
      <c r="F3825" s="1"/>
    </row>
    <row r="3826" spans="6:6">
      <c r="F3826" s="1"/>
    </row>
    <row r="3827" spans="6:6">
      <c r="F3827" s="1"/>
    </row>
    <row r="3828" spans="6:6">
      <c r="F3828" s="1"/>
    </row>
    <row r="3829" spans="6:6">
      <c r="F3829" s="1"/>
    </row>
    <row r="3830" spans="6:6">
      <c r="F3830" s="1"/>
    </row>
    <row r="3831" spans="6:6">
      <c r="F3831" s="1"/>
    </row>
    <row r="3832" spans="6:6">
      <c r="F3832" s="1"/>
    </row>
    <row r="3833" spans="6:6">
      <c r="F3833" s="1"/>
    </row>
    <row r="3834" spans="6:6">
      <c r="F3834" s="1"/>
    </row>
    <row r="3835" spans="6:6">
      <c r="F3835" s="1"/>
    </row>
    <row r="3836" spans="6:6">
      <c r="F3836" s="1"/>
    </row>
    <row r="3837" spans="6:6">
      <c r="F3837" s="1"/>
    </row>
    <row r="3838" spans="6:6">
      <c r="F3838" s="1"/>
    </row>
    <row r="3839" spans="6:6">
      <c r="F3839" s="1"/>
    </row>
    <row r="3840" spans="6:6">
      <c r="F3840" s="1"/>
    </row>
    <row r="3841" spans="6:6">
      <c r="F3841" s="1"/>
    </row>
    <row r="3842" spans="6:6">
      <c r="F3842" s="1"/>
    </row>
    <row r="3843" spans="6:6">
      <c r="F3843" s="1"/>
    </row>
    <row r="3844" spans="6:6">
      <c r="F3844" s="1"/>
    </row>
    <row r="3845" spans="6:6">
      <c r="F3845" s="1"/>
    </row>
    <row r="3846" spans="6:6">
      <c r="F3846" s="1"/>
    </row>
    <row r="3847" spans="6:6">
      <c r="F3847" s="1"/>
    </row>
    <row r="3848" spans="6:6">
      <c r="F3848" s="1"/>
    </row>
    <row r="3849" spans="6:6">
      <c r="F3849" s="1"/>
    </row>
    <row r="3850" spans="6:6">
      <c r="F3850" s="1"/>
    </row>
    <row r="3851" spans="6:6">
      <c r="F3851" s="1"/>
    </row>
    <row r="3852" spans="6:6">
      <c r="F3852" s="1"/>
    </row>
    <row r="3853" spans="6:6">
      <c r="F3853" s="1"/>
    </row>
    <row r="3854" spans="6:6">
      <c r="F3854" s="1"/>
    </row>
    <row r="3855" spans="6:6">
      <c r="F3855" s="1"/>
    </row>
    <row r="3856" spans="6:6">
      <c r="F3856" s="1"/>
    </row>
    <row r="3857" spans="6:6">
      <c r="F3857" s="1"/>
    </row>
    <row r="3858" spans="6:6">
      <c r="F3858" s="1"/>
    </row>
    <row r="3859" spans="6:6">
      <c r="F3859" s="1"/>
    </row>
    <row r="3860" spans="6:6">
      <c r="F3860" s="1"/>
    </row>
    <row r="3861" spans="6:6">
      <c r="F3861" s="1"/>
    </row>
    <row r="3862" spans="6:6">
      <c r="F3862" s="1"/>
    </row>
    <row r="3863" spans="6:6">
      <c r="F3863" s="1"/>
    </row>
    <row r="3864" spans="6:6">
      <c r="F3864" s="1"/>
    </row>
    <row r="3865" spans="6:6">
      <c r="F3865" s="1"/>
    </row>
    <row r="3866" spans="6:6">
      <c r="F3866" s="1"/>
    </row>
    <row r="3867" spans="6:6">
      <c r="F3867" s="1"/>
    </row>
    <row r="3868" spans="6:6">
      <c r="F3868" s="1"/>
    </row>
    <row r="3869" spans="6:6">
      <c r="F3869" s="1"/>
    </row>
    <row r="3870" spans="6:6">
      <c r="F3870" s="1"/>
    </row>
    <row r="3871" spans="6:6">
      <c r="F3871" s="1"/>
    </row>
    <row r="3872" spans="6:6">
      <c r="F3872" s="1"/>
    </row>
    <row r="3873" spans="6:6">
      <c r="F3873" s="1"/>
    </row>
    <row r="3874" spans="6:6">
      <c r="F3874" s="1"/>
    </row>
    <row r="3875" spans="6:6">
      <c r="F3875" s="1"/>
    </row>
    <row r="3876" spans="6:6">
      <c r="F3876" s="1"/>
    </row>
    <row r="3877" spans="6:6">
      <c r="F3877" s="1"/>
    </row>
    <row r="3878" spans="6:6">
      <c r="F3878" s="1"/>
    </row>
    <row r="3879" spans="6:6">
      <c r="F3879" s="1"/>
    </row>
    <row r="3880" spans="6:6">
      <c r="F3880" s="1"/>
    </row>
    <row r="3881" spans="6:6">
      <c r="F3881" s="1"/>
    </row>
    <row r="3882" spans="6:6">
      <c r="F3882" s="1"/>
    </row>
    <row r="3883" spans="6:6">
      <c r="F3883" s="1"/>
    </row>
    <row r="3884" spans="6:6">
      <c r="F3884" s="1"/>
    </row>
    <row r="3885" spans="6:6">
      <c r="F3885" s="1"/>
    </row>
    <row r="3886" spans="6:6">
      <c r="F3886" s="1"/>
    </row>
    <row r="3887" spans="6:6">
      <c r="F3887" s="1"/>
    </row>
    <row r="3888" spans="6:6">
      <c r="F3888" s="1"/>
    </row>
    <row r="3889" spans="6:6">
      <c r="F3889" s="1"/>
    </row>
    <row r="3890" spans="6:6">
      <c r="F3890" s="1"/>
    </row>
    <row r="3891" spans="6:6">
      <c r="F3891" s="1"/>
    </row>
    <row r="3892" spans="6:6">
      <c r="F3892" s="1"/>
    </row>
    <row r="3893" spans="6:6">
      <c r="F3893" s="1"/>
    </row>
    <row r="3894" spans="6:6">
      <c r="F3894" s="1"/>
    </row>
    <row r="3895" spans="6:6">
      <c r="F3895" s="1"/>
    </row>
    <row r="3896" spans="6:6">
      <c r="F3896" s="1"/>
    </row>
    <row r="3897" spans="6:6">
      <c r="F3897" s="1"/>
    </row>
    <row r="3898" spans="6:6">
      <c r="F3898" s="1"/>
    </row>
    <row r="3899" spans="6:6">
      <c r="F3899" s="1"/>
    </row>
    <row r="3900" spans="6:6">
      <c r="F3900" s="1"/>
    </row>
    <row r="3901" spans="6:6">
      <c r="F3901" s="1"/>
    </row>
    <row r="3902" spans="6:6">
      <c r="F3902" s="1"/>
    </row>
    <row r="3903" spans="6:6">
      <c r="F3903" s="1"/>
    </row>
    <row r="3904" spans="6:6">
      <c r="F3904" s="1"/>
    </row>
    <row r="3905" spans="6:6">
      <c r="F3905" s="1"/>
    </row>
    <row r="3906" spans="6:6">
      <c r="F3906" s="1"/>
    </row>
    <row r="3907" spans="6:6">
      <c r="F3907" s="1"/>
    </row>
    <row r="3908" spans="6:6">
      <c r="F3908" s="1"/>
    </row>
    <row r="3909" spans="6:6">
      <c r="F3909" s="1"/>
    </row>
    <row r="3910" spans="6:6">
      <c r="F3910" s="1"/>
    </row>
    <row r="3911" spans="6:6">
      <c r="F3911" s="1"/>
    </row>
    <row r="3912" spans="6:6">
      <c r="F3912" s="1"/>
    </row>
    <row r="3913" spans="6:6">
      <c r="F3913" s="1"/>
    </row>
    <row r="3914" spans="6:6">
      <c r="F3914" s="1"/>
    </row>
    <row r="3915" spans="6:6">
      <c r="F3915" s="1"/>
    </row>
    <row r="3916" spans="6:6">
      <c r="F3916" s="1"/>
    </row>
    <row r="3917" spans="6:6">
      <c r="F3917" s="1"/>
    </row>
    <row r="3918" spans="6:6">
      <c r="F3918" s="1"/>
    </row>
    <row r="3919" spans="6:6">
      <c r="F3919" s="1"/>
    </row>
    <row r="3920" spans="6:6">
      <c r="F3920" s="1"/>
    </row>
    <row r="3921" spans="6:6">
      <c r="F3921" s="1"/>
    </row>
    <row r="3922" spans="6:6">
      <c r="F3922" s="1"/>
    </row>
    <row r="3923" spans="6:6">
      <c r="F3923" s="1"/>
    </row>
    <row r="3924" spans="6:6">
      <c r="F3924" s="1"/>
    </row>
    <row r="3925" spans="6:6">
      <c r="F3925" s="1"/>
    </row>
    <row r="3926" spans="6:6">
      <c r="F3926" s="1"/>
    </row>
    <row r="3927" spans="6:6">
      <c r="F3927" s="1"/>
    </row>
    <row r="3928" spans="6:6">
      <c r="F3928" s="1"/>
    </row>
    <row r="3929" spans="6:6">
      <c r="F3929" s="1"/>
    </row>
    <row r="3930" spans="6:6">
      <c r="F3930" s="1"/>
    </row>
    <row r="3931" spans="6:6">
      <c r="F3931" s="1"/>
    </row>
    <row r="3932" spans="6:6">
      <c r="F3932" s="1"/>
    </row>
    <row r="3933" spans="6:6">
      <c r="F3933" s="1"/>
    </row>
    <row r="3934" spans="6:6">
      <c r="F3934" s="1"/>
    </row>
    <row r="3935" spans="6:6">
      <c r="F3935" s="1"/>
    </row>
    <row r="3936" spans="6:6">
      <c r="F3936" s="1"/>
    </row>
    <row r="3937" spans="6:6">
      <c r="F3937" s="1"/>
    </row>
    <row r="3938" spans="6:6">
      <c r="F3938" s="1"/>
    </row>
    <row r="3939" spans="6:6">
      <c r="F3939" s="1"/>
    </row>
    <row r="3940" spans="6:6">
      <c r="F3940" s="1"/>
    </row>
    <row r="3941" spans="6:6">
      <c r="F3941" s="1"/>
    </row>
    <row r="3942" spans="6:6">
      <c r="F3942" s="1"/>
    </row>
    <row r="3943" spans="6:6">
      <c r="F3943" s="1"/>
    </row>
    <row r="3944" spans="6:6">
      <c r="F3944" s="1"/>
    </row>
    <row r="3945" spans="6:6">
      <c r="F3945" s="1"/>
    </row>
    <row r="3946" spans="6:6">
      <c r="F3946" s="1"/>
    </row>
    <row r="3947" spans="6:6">
      <c r="F3947" s="1"/>
    </row>
    <row r="3948" spans="6:6">
      <c r="F3948" s="1"/>
    </row>
    <row r="3949" spans="6:6">
      <c r="F3949" s="1"/>
    </row>
    <row r="3950" spans="6:6">
      <c r="F3950" s="1"/>
    </row>
    <row r="3951" spans="6:6">
      <c r="F3951" s="1"/>
    </row>
    <row r="3952" spans="6:6">
      <c r="F3952" s="1"/>
    </row>
    <row r="3953" spans="6:6">
      <c r="F3953" s="1"/>
    </row>
    <row r="3954" spans="6:6">
      <c r="F3954" s="1"/>
    </row>
    <row r="3955" spans="6:6">
      <c r="F3955" s="1"/>
    </row>
    <row r="3956" spans="6:6">
      <c r="F3956" s="1"/>
    </row>
    <row r="3957" spans="6:6">
      <c r="F3957" s="1"/>
    </row>
    <row r="3958" spans="6:6">
      <c r="F3958" s="1"/>
    </row>
    <row r="3959" spans="6:6">
      <c r="F3959" s="1"/>
    </row>
    <row r="3960" spans="6:6">
      <c r="F3960" s="1"/>
    </row>
    <row r="3961" spans="6:6">
      <c r="F3961" s="1"/>
    </row>
    <row r="3962" spans="6:6">
      <c r="F3962" s="1"/>
    </row>
    <row r="3963" spans="6:6">
      <c r="F3963" s="1"/>
    </row>
    <row r="3964" spans="6:6">
      <c r="F3964" s="1"/>
    </row>
    <row r="3965" spans="6:6">
      <c r="F3965" s="1"/>
    </row>
    <row r="3966" spans="6:6">
      <c r="F3966" s="1"/>
    </row>
    <row r="3967" spans="6:6">
      <c r="F3967" s="1"/>
    </row>
    <row r="3968" spans="6:6">
      <c r="F3968" s="1"/>
    </row>
    <row r="3969" spans="6:6">
      <c r="F3969" s="1"/>
    </row>
    <row r="3970" spans="6:6">
      <c r="F3970" s="1"/>
    </row>
    <row r="3971" spans="6:6">
      <c r="F3971" s="1"/>
    </row>
    <row r="3972" spans="6:6">
      <c r="F3972" s="1"/>
    </row>
    <row r="3973" spans="6:6">
      <c r="F3973" s="1"/>
    </row>
    <row r="3974" spans="6:6">
      <c r="F3974" s="1"/>
    </row>
    <row r="3975" spans="6:6">
      <c r="F3975" s="1"/>
    </row>
    <row r="3976" spans="6:6">
      <c r="F3976" s="1"/>
    </row>
    <row r="3977" spans="6:6">
      <c r="F3977" s="1"/>
    </row>
    <row r="3978" spans="6:6">
      <c r="F3978" s="1"/>
    </row>
    <row r="3979" spans="6:6">
      <c r="F3979" s="1"/>
    </row>
    <row r="3980" spans="6:6">
      <c r="F3980" s="1"/>
    </row>
    <row r="3981" spans="6:6">
      <c r="F3981" s="1"/>
    </row>
    <row r="3982" spans="6:6">
      <c r="F3982" s="1"/>
    </row>
    <row r="3983" spans="6:6">
      <c r="F3983" s="1"/>
    </row>
    <row r="3984" spans="6:6">
      <c r="F3984" s="1"/>
    </row>
    <row r="3985" spans="6:6">
      <c r="F3985" s="1"/>
    </row>
    <row r="3986" spans="6:6">
      <c r="F3986" s="1"/>
    </row>
    <row r="3987" spans="6:6">
      <c r="F3987" s="1"/>
    </row>
    <row r="3988" spans="6:6">
      <c r="F3988" s="1"/>
    </row>
    <row r="3989" spans="6:6">
      <c r="F3989" s="1"/>
    </row>
    <row r="3990" spans="6:6">
      <c r="F3990" s="1"/>
    </row>
    <row r="3991" spans="6:6">
      <c r="F3991" s="1"/>
    </row>
    <row r="3992" spans="6:6">
      <c r="F3992" s="1"/>
    </row>
    <row r="3993" spans="6:6">
      <c r="F3993" s="1"/>
    </row>
    <row r="3994" spans="6:6">
      <c r="F3994" s="1"/>
    </row>
    <row r="3995" spans="6:6">
      <c r="F3995" s="1"/>
    </row>
    <row r="3996" spans="6:6">
      <c r="F3996" s="1"/>
    </row>
    <row r="3997" spans="6:6">
      <c r="F3997" s="1"/>
    </row>
    <row r="3998" spans="6:6">
      <c r="F3998" s="1"/>
    </row>
    <row r="3999" spans="6:6">
      <c r="F3999" s="1"/>
    </row>
    <row r="4000" spans="6:6">
      <c r="F4000" s="1"/>
    </row>
    <row r="4001" spans="6:6">
      <c r="F4001" s="1"/>
    </row>
    <row r="4002" spans="6:6">
      <c r="F4002" s="1"/>
    </row>
    <row r="4003" spans="6:6">
      <c r="F4003" s="1"/>
    </row>
    <row r="4004" spans="6:6">
      <c r="F4004" s="1"/>
    </row>
    <row r="4005" spans="6:6">
      <c r="F4005" s="1"/>
    </row>
    <row r="4006" spans="6:6">
      <c r="F4006" s="1"/>
    </row>
    <row r="4007" spans="6:6">
      <c r="F4007" s="1"/>
    </row>
    <row r="4008" spans="6:6">
      <c r="F4008" s="1"/>
    </row>
    <row r="4009" spans="6:6">
      <c r="F4009" s="1"/>
    </row>
    <row r="4010" spans="6:6">
      <c r="F4010" s="1"/>
    </row>
    <row r="4011" spans="6:6">
      <c r="F4011" s="1"/>
    </row>
    <row r="4012" spans="6:6">
      <c r="F4012" s="1"/>
    </row>
    <row r="4013" spans="6:6">
      <c r="F4013" s="1"/>
    </row>
    <row r="4014" spans="6:6">
      <c r="F4014" s="1"/>
    </row>
    <row r="4015" spans="6:6">
      <c r="F4015" s="1"/>
    </row>
    <row r="4016" spans="6:6">
      <c r="F4016" s="1"/>
    </row>
    <row r="4017" spans="6:6">
      <c r="F4017" s="1"/>
    </row>
    <row r="4018" spans="6:6">
      <c r="F4018" s="1"/>
    </row>
    <row r="4019" spans="6:6">
      <c r="F4019" s="1"/>
    </row>
    <row r="4020" spans="6:6">
      <c r="F4020" s="1"/>
    </row>
    <row r="4021" spans="6:6">
      <c r="F4021" s="1"/>
    </row>
    <row r="4022" spans="6:6">
      <c r="F4022" s="1"/>
    </row>
    <row r="4023" spans="6:6">
      <c r="F4023" s="1"/>
    </row>
    <row r="4024" spans="6:6">
      <c r="F4024" s="1"/>
    </row>
    <row r="4025" spans="6:6">
      <c r="F4025" s="1"/>
    </row>
    <row r="4026" spans="6:6">
      <c r="F4026" s="1"/>
    </row>
    <row r="4027" spans="6:6">
      <c r="F4027" s="1"/>
    </row>
    <row r="4028" spans="6:6">
      <c r="F4028" s="1"/>
    </row>
    <row r="4029" spans="6:6">
      <c r="F4029" s="1"/>
    </row>
    <row r="4030" spans="6:6">
      <c r="F4030" s="1"/>
    </row>
    <row r="4031" spans="6:6">
      <c r="F4031" s="1"/>
    </row>
    <row r="4032" spans="6:6">
      <c r="F4032" s="1"/>
    </row>
    <row r="4033" spans="6:6">
      <c r="F4033" s="1"/>
    </row>
    <row r="4034" spans="6:6">
      <c r="F4034" s="1"/>
    </row>
    <row r="4035" spans="6:6">
      <c r="F4035" s="1"/>
    </row>
    <row r="4036" spans="6:6">
      <c r="F4036" s="1"/>
    </row>
    <row r="4037" spans="6:6">
      <c r="F4037" s="1"/>
    </row>
    <row r="4038" spans="6:6">
      <c r="F4038" s="1"/>
    </row>
    <row r="4039" spans="6:6">
      <c r="F4039" s="1"/>
    </row>
    <row r="4040" spans="6:6">
      <c r="F4040" s="1"/>
    </row>
    <row r="4041" spans="6:6">
      <c r="F4041" s="1"/>
    </row>
    <row r="4042" spans="6:6">
      <c r="F4042" s="1"/>
    </row>
    <row r="4043" spans="6:6">
      <c r="F4043" s="1"/>
    </row>
    <row r="4044" spans="6:6">
      <c r="F4044" s="1"/>
    </row>
    <row r="4045" spans="6:6">
      <c r="F4045" s="1"/>
    </row>
    <row r="4046" spans="6:6">
      <c r="F4046" s="1"/>
    </row>
    <row r="4047" spans="6:6">
      <c r="F4047" s="1"/>
    </row>
    <row r="4048" spans="6:6">
      <c r="F4048" s="1"/>
    </row>
    <row r="4049" spans="6:6">
      <c r="F4049" s="1"/>
    </row>
    <row r="4050" spans="6:6">
      <c r="F4050" s="1"/>
    </row>
    <row r="4051" spans="6:6">
      <c r="F4051" s="1"/>
    </row>
    <row r="4052" spans="6:6">
      <c r="F4052" s="1"/>
    </row>
    <row r="4053" spans="6:6">
      <c r="F4053" s="1"/>
    </row>
    <row r="4054" spans="6:6">
      <c r="F4054" s="1"/>
    </row>
    <row r="4055" spans="6:6">
      <c r="F4055" s="1"/>
    </row>
    <row r="4056" spans="6:6">
      <c r="F4056" s="1"/>
    </row>
    <row r="4057" spans="6:6">
      <c r="F4057" s="1"/>
    </row>
    <row r="4058" spans="6:6">
      <c r="F4058" s="1"/>
    </row>
    <row r="4059" spans="6:6">
      <c r="F4059" s="1"/>
    </row>
    <row r="4060" spans="6:6">
      <c r="F4060" s="1"/>
    </row>
    <row r="4061" spans="6:6">
      <c r="F4061" s="1"/>
    </row>
    <row r="4062" spans="6:6">
      <c r="F4062" s="1"/>
    </row>
    <row r="4063" spans="6:6">
      <c r="F4063" s="1"/>
    </row>
    <row r="4064" spans="6:6">
      <c r="F4064" s="1"/>
    </row>
    <row r="4065" spans="6:6">
      <c r="F4065" s="1"/>
    </row>
    <row r="4066" spans="6:6">
      <c r="F4066" s="1"/>
    </row>
    <row r="4067" spans="6:6">
      <c r="F4067" s="1"/>
    </row>
    <row r="4068" spans="6:6">
      <c r="F4068" s="1"/>
    </row>
    <row r="4069" spans="6:6">
      <c r="F4069" s="1"/>
    </row>
    <row r="4070" spans="6:6">
      <c r="F4070" s="1"/>
    </row>
    <row r="4071" spans="6:6">
      <c r="F4071" s="1"/>
    </row>
    <row r="4072" spans="6:6">
      <c r="F4072" s="1"/>
    </row>
    <row r="4073" spans="6:6">
      <c r="F4073" s="1"/>
    </row>
    <row r="4074" spans="6:6">
      <c r="F4074" s="1"/>
    </row>
    <row r="4075" spans="6:6">
      <c r="F4075" s="1"/>
    </row>
    <row r="4076" spans="6:6">
      <c r="F4076" s="1"/>
    </row>
    <row r="4077" spans="6:6">
      <c r="F4077" s="1"/>
    </row>
    <row r="4078" spans="6:6">
      <c r="F4078" s="1"/>
    </row>
    <row r="4079" spans="6:6">
      <c r="F4079" s="1"/>
    </row>
    <row r="4080" spans="6:6">
      <c r="F4080" s="1"/>
    </row>
    <row r="4081" spans="6:6">
      <c r="F4081" s="1"/>
    </row>
    <row r="4082" spans="6:6">
      <c r="F4082" s="1"/>
    </row>
    <row r="4083" spans="6:6">
      <c r="F4083" s="1"/>
    </row>
    <row r="4084" spans="6:6">
      <c r="F4084" s="1"/>
    </row>
    <row r="4085" spans="6:6">
      <c r="F4085" s="1"/>
    </row>
    <row r="4086" spans="6:6">
      <c r="F4086" s="1"/>
    </row>
    <row r="4087" spans="6:6">
      <c r="F4087" s="1"/>
    </row>
    <row r="4088" spans="6:6">
      <c r="F4088" s="1"/>
    </row>
    <row r="4089" spans="6:6">
      <c r="F4089" s="1"/>
    </row>
    <row r="4090" spans="6:6">
      <c r="F4090" s="1"/>
    </row>
    <row r="4091" spans="6:6">
      <c r="F4091" s="1"/>
    </row>
    <row r="4092" spans="6:6">
      <c r="F4092" s="1"/>
    </row>
    <row r="4093" spans="6:6">
      <c r="F4093" s="1"/>
    </row>
    <row r="4094" spans="6:6">
      <c r="F4094" s="1"/>
    </row>
    <row r="4095" spans="6:6">
      <c r="F4095" s="1"/>
    </row>
    <row r="4096" spans="6:6">
      <c r="F4096" s="1"/>
    </row>
    <row r="4097" spans="6:6">
      <c r="F4097" s="1"/>
    </row>
    <row r="4098" spans="6:6">
      <c r="F4098" s="1"/>
    </row>
    <row r="4099" spans="6:6">
      <c r="F4099" s="1"/>
    </row>
    <row r="4100" spans="6:6">
      <c r="F4100" s="1"/>
    </row>
    <row r="4101" spans="6:6">
      <c r="F4101" s="1"/>
    </row>
    <row r="4102" spans="6:6">
      <c r="F4102" s="1"/>
    </row>
    <row r="4103" spans="6:6">
      <c r="F4103" s="1"/>
    </row>
    <row r="4104" spans="6:6">
      <c r="F4104" s="1"/>
    </row>
    <row r="4105" spans="6:6">
      <c r="F4105" s="1"/>
    </row>
    <row r="4106" spans="6:6">
      <c r="F4106" s="1"/>
    </row>
    <row r="4107" spans="6:6">
      <c r="F4107" s="1"/>
    </row>
    <row r="4108" spans="6:6">
      <c r="F4108" s="1"/>
    </row>
    <row r="4109" spans="6:6">
      <c r="F4109" s="1"/>
    </row>
    <row r="4110" spans="6:6">
      <c r="F4110" s="1"/>
    </row>
    <row r="4111" spans="6:6">
      <c r="F4111" s="1"/>
    </row>
    <row r="4112" spans="6:6">
      <c r="F4112" s="1"/>
    </row>
    <row r="4113" spans="6:6">
      <c r="F4113" s="1"/>
    </row>
    <row r="4114" spans="6:6">
      <c r="F4114" s="1"/>
    </row>
    <row r="4115" spans="6:6">
      <c r="F4115" s="1"/>
    </row>
    <row r="4116" spans="6:6">
      <c r="F4116" s="1"/>
    </row>
    <row r="4117" spans="6:6">
      <c r="F4117" s="1"/>
    </row>
    <row r="4118" spans="6:6">
      <c r="F4118" s="1"/>
    </row>
    <row r="4119" spans="6:6">
      <c r="F4119" s="1"/>
    </row>
    <row r="4120" spans="6:6">
      <c r="F4120" s="1"/>
    </row>
    <row r="4121" spans="6:6">
      <c r="F4121" s="1"/>
    </row>
    <row r="4122" spans="6:6">
      <c r="F4122" s="1"/>
    </row>
    <row r="4123" spans="6:6">
      <c r="F4123" s="1"/>
    </row>
    <row r="4124" spans="6:6">
      <c r="F4124" s="1"/>
    </row>
    <row r="4125" spans="6:6">
      <c r="F4125" s="1"/>
    </row>
    <row r="4126" spans="6:6">
      <c r="F4126" s="1"/>
    </row>
    <row r="4127" spans="6:6">
      <c r="F4127" s="1"/>
    </row>
    <row r="4128" spans="6:6">
      <c r="F4128" s="1"/>
    </row>
    <row r="4129" spans="6:6">
      <c r="F4129" s="1"/>
    </row>
    <row r="4130" spans="6:6">
      <c r="F4130" s="1"/>
    </row>
    <row r="4131" spans="6:6">
      <c r="F4131" s="1"/>
    </row>
    <row r="4132" spans="6:6">
      <c r="F4132" s="1"/>
    </row>
    <row r="4133" spans="6:6">
      <c r="F4133" s="1"/>
    </row>
    <row r="4134" spans="6:6">
      <c r="F4134" s="1"/>
    </row>
    <row r="4135" spans="6:6">
      <c r="F4135" s="1"/>
    </row>
    <row r="4136" spans="6:6">
      <c r="F4136" s="1"/>
    </row>
    <row r="4137" spans="6:6">
      <c r="F4137" s="1"/>
    </row>
    <row r="4138" spans="6:6">
      <c r="F4138" s="1"/>
    </row>
    <row r="4139" spans="6:6">
      <c r="F4139" s="1"/>
    </row>
    <row r="4140" spans="6:6">
      <c r="F4140" s="1"/>
    </row>
    <row r="4141" spans="6:6">
      <c r="F4141" s="1"/>
    </row>
    <row r="4142" spans="6:6">
      <c r="F4142" s="1"/>
    </row>
    <row r="4143" spans="6:6">
      <c r="F4143" s="1"/>
    </row>
    <row r="4144" spans="6:6">
      <c r="F4144" s="1"/>
    </row>
    <row r="4145" spans="6:6">
      <c r="F4145" s="1"/>
    </row>
    <row r="4146" spans="6:6">
      <c r="F4146" s="1"/>
    </row>
    <row r="4147" spans="6:6">
      <c r="F4147" s="1"/>
    </row>
    <row r="4148" spans="6:6">
      <c r="F4148" s="1"/>
    </row>
    <row r="4149" spans="6:6">
      <c r="F4149" s="1"/>
    </row>
    <row r="4150" spans="6:6">
      <c r="F4150" s="1"/>
    </row>
    <row r="4151" spans="6:6">
      <c r="F4151" s="1"/>
    </row>
    <row r="4152" spans="6:6">
      <c r="F4152" s="1"/>
    </row>
    <row r="4153" spans="6:6">
      <c r="F4153" s="1"/>
    </row>
    <row r="4154" spans="6:6">
      <c r="F4154" s="1"/>
    </row>
    <row r="4155" spans="6:6">
      <c r="F4155" s="1"/>
    </row>
    <row r="4156" spans="6:6">
      <c r="F4156" s="1"/>
    </row>
    <row r="4157" spans="6:6">
      <c r="F4157" s="1"/>
    </row>
    <row r="4158" spans="6:6">
      <c r="F4158" s="1"/>
    </row>
    <row r="4159" spans="6:6">
      <c r="F4159" s="1"/>
    </row>
    <row r="4160" spans="6:6">
      <c r="F4160" s="1"/>
    </row>
    <row r="4161" spans="6:6">
      <c r="F4161" s="1"/>
    </row>
    <row r="4162" spans="6:6">
      <c r="F4162" s="1"/>
    </row>
    <row r="4163" spans="6:6">
      <c r="F4163" s="1"/>
    </row>
    <row r="4164" spans="6:6">
      <c r="F4164" s="1"/>
    </row>
    <row r="4165" spans="6:6">
      <c r="F4165" s="1"/>
    </row>
    <row r="4166" spans="6:6">
      <c r="F4166" s="1"/>
    </row>
    <row r="4167" spans="6:6">
      <c r="F4167" s="1"/>
    </row>
    <row r="4168" spans="6:6">
      <c r="F4168" s="1"/>
    </row>
    <row r="4169" spans="6:6">
      <c r="F4169" s="1"/>
    </row>
    <row r="4170" spans="6:6">
      <c r="F4170" s="1"/>
    </row>
    <row r="4171" spans="6:6">
      <c r="F4171" s="1"/>
    </row>
    <row r="4172" spans="6:6">
      <c r="F4172" s="1"/>
    </row>
    <row r="4173" spans="6:6">
      <c r="F4173" s="1"/>
    </row>
    <row r="4174" spans="6:6">
      <c r="F4174" s="1"/>
    </row>
    <row r="4175" spans="6:6">
      <c r="F4175" s="1"/>
    </row>
    <row r="4176" spans="6:6">
      <c r="F4176" s="1"/>
    </row>
    <row r="4177" spans="6:6">
      <c r="F4177" s="1"/>
    </row>
    <row r="4178" spans="6:6">
      <c r="F4178" s="1"/>
    </row>
    <row r="4179" spans="6:6">
      <c r="F4179" s="1"/>
    </row>
    <row r="4180" spans="6:6">
      <c r="F4180" s="1"/>
    </row>
    <row r="4181" spans="6:6">
      <c r="F4181" s="1"/>
    </row>
    <row r="4182" spans="6:6">
      <c r="F4182" s="1"/>
    </row>
    <row r="4183" spans="6:6">
      <c r="F4183" s="1"/>
    </row>
    <row r="4184" spans="6:6">
      <c r="F4184" s="1"/>
    </row>
    <row r="4185" spans="6:6">
      <c r="F4185" s="1"/>
    </row>
    <row r="4186" spans="6:6">
      <c r="F4186" s="1"/>
    </row>
    <row r="4187" spans="6:6">
      <c r="F4187" s="1"/>
    </row>
    <row r="4188" spans="6:6">
      <c r="F4188" s="1"/>
    </row>
    <row r="4189" spans="6:6">
      <c r="F4189" s="1"/>
    </row>
    <row r="4190" spans="6:6">
      <c r="F4190" s="1"/>
    </row>
    <row r="4191" spans="6:6">
      <c r="F4191" s="1"/>
    </row>
    <row r="4192" spans="6:6">
      <c r="F4192" s="1"/>
    </row>
    <row r="4193" spans="6:6">
      <c r="F4193" s="1"/>
    </row>
    <row r="4194" spans="6:6">
      <c r="F4194" s="1"/>
    </row>
    <row r="4195" spans="6:6">
      <c r="F4195" s="1"/>
    </row>
    <row r="4196" spans="6:6">
      <c r="F4196" s="1"/>
    </row>
    <row r="4197" spans="6:6">
      <c r="F4197" s="1"/>
    </row>
    <row r="4198" spans="6:6">
      <c r="F4198" s="1"/>
    </row>
    <row r="4199" spans="6:6">
      <c r="F4199" s="1"/>
    </row>
    <row r="4200" spans="6:6">
      <c r="F4200" s="1"/>
    </row>
    <row r="4201" spans="6:6">
      <c r="F4201" s="1"/>
    </row>
    <row r="4202" spans="6:6">
      <c r="F4202" s="1"/>
    </row>
    <row r="4203" spans="6:6">
      <c r="F4203" s="1"/>
    </row>
    <row r="4204" spans="6:6">
      <c r="F4204" s="1"/>
    </row>
    <row r="4205" spans="6:6">
      <c r="F4205" s="1"/>
    </row>
    <row r="4206" spans="6:6">
      <c r="F4206" s="1"/>
    </row>
    <row r="4207" spans="6:6">
      <c r="F4207" s="1"/>
    </row>
    <row r="4208" spans="6:6">
      <c r="F4208" s="1"/>
    </row>
    <row r="4209" spans="6:6">
      <c r="F4209" s="1"/>
    </row>
    <row r="4210" spans="6:6">
      <c r="F4210" s="1"/>
    </row>
    <row r="4211" spans="6:6">
      <c r="F4211" s="1"/>
    </row>
    <row r="4212" spans="6:6">
      <c r="F4212" s="1"/>
    </row>
    <row r="4213" spans="6:6">
      <c r="F4213" s="1"/>
    </row>
    <row r="4214" spans="6:6">
      <c r="F4214" s="1"/>
    </row>
    <row r="4215" spans="6:6">
      <c r="F4215" s="1"/>
    </row>
    <row r="4216" spans="6:6">
      <c r="F4216" s="1"/>
    </row>
    <row r="4217" spans="6:6">
      <c r="F4217" s="1"/>
    </row>
    <row r="4218" spans="6:6">
      <c r="F4218" s="1"/>
    </row>
    <row r="4219" spans="6:6">
      <c r="F4219" s="1"/>
    </row>
    <row r="4220" spans="6:6">
      <c r="F4220" s="1"/>
    </row>
    <row r="4221" spans="6:6">
      <c r="F4221" s="1"/>
    </row>
    <row r="4222" spans="6:6">
      <c r="F4222" s="1"/>
    </row>
    <row r="4223" spans="6:6">
      <c r="F4223" s="1"/>
    </row>
    <row r="4224" spans="6:6">
      <c r="F4224" s="1"/>
    </row>
    <row r="4225" spans="6:6">
      <c r="F4225" s="1"/>
    </row>
    <row r="4226" spans="6:6">
      <c r="F4226" s="1"/>
    </row>
    <row r="4227" spans="6:6">
      <c r="F4227" s="1"/>
    </row>
    <row r="4228" spans="6:6">
      <c r="F4228" s="1"/>
    </row>
    <row r="4229" spans="6:6">
      <c r="F4229" s="1"/>
    </row>
    <row r="4230" spans="6:6">
      <c r="F4230" s="1"/>
    </row>
    <row r="4231" spans="6:6">
      <c r="F4231" s="1"/>
    </row>
    <row r="4232" spans="6:6">
      <c r="F4232" s="1"/>
    </row>
    <row r="4233" spans="6:6">
      <c r="F4233" s="1"/>
    </row>
    <row r="4234" spans="6:6">
      <c r="F4234" s="1"/>
    </row>
    <row r="4235" spans="6:6">
      <c r="F4235" s="1"/>
    </row>
    <row r="4236" spans="6:6">
      <c r="F4236" s="1"/>
    </row>
    <row r="4237" spans="6:6">
      <c r="F4237" s="1"/>
    </row>
    <row r="4238" spans="6:6">
      <c r="F4238" s="1"/>
    </row>
    <row r="4239" spans="6:6">
      <c r="F4239" s="1"/>
    </row>
    <row r="4240" spans="6:6">
      <c r="F4240" s="1"/>
    </row>
    <row r="4241" spans="6:6">
      <c r="F4241" s="1"/>
    </row>
    <row r="4242" spans="6:6">
      <c r="F4242" s="1"/>
    </row>
    <row r="4243" spans="6:6">
      <c r="F4243" s="1"/>
    </row>
    <row r="4244" spans="6:6">
      <c r="F4244" s="1"/>
    </row>
    <row r="4245" spans="6:6">
      <c r="F4245" s="1"/>
    </row>
    <row r="4246" spans="6:6">
      <c r="F4246" s="1"/>
    </row>
    <row r="4247" spans="6:6">
      <c r="F4247" s="1"/>
    </row>
    <row r="4248" spans="6:6">
      <c r="F4248" s="1"/>
    </row>
    <row r="4249" spans="6:6">
      <c r="F4249" s="1"/>
    </row>
    <row r="4250" spans="6:6">
      <c r="F4250" s="1"/>
    </row>
    <row r="4251" spans="6:6">
      <c r="F4251" s="1"/>
    </row>
    <row r="4252" spans="6:6">
      <c r="F4252" s="1"/>
    </row>
    <row r="4253" spans="6:6">
      <c r="F4253" s="1"/>
    </row>
    <row r="4254" spans="6:6">
      <c r="F4254" s="1"/>
    </row>
    <row r="4255" spans="6:6">
      <c r="F4255" s="1"/>
    </row>
    <row r="4256" spans="6:6">
      <c r="F4256" s="1"/>
    </row>
    <row r="4257" spans="6:6">
      <c r="F4257" s="1"/>
    </row>
    <row r="4258" spans="6:6">
      <c r="F4258" s="1"/>
    </row>
    <row r="4259" spans="6:6">
      <c r="F4259" s="1"/>
    </row>
    <row r="4260" spans="6:6">
      <c r="F4260" s="1"/>
    </row>
    <row r="4261" spans="6:6">
      <c r="F4261" s="1"/>
    </row>
    <row r="4262" spans="6:6">
      <c r="F4262" s="1"/>
    </row>
    <row r="4263" spans="6:6">
      <c r="F4263" s="1"/>
    </row>
    <row r="4264" spans="6:6">
      <c r="F4264" s="1"/>
    </row>
    <row r="4265" spans="6:6">
      <c r="F4265" s="1"/>
    </row>
    <row r="4266" spans="6:6">
      <c r="F4266" s="1"/>
    </row>
    <row r="4267" spans="6:6">
      <c r="F4267" s="1"/>
    </row>
    <row r="4268" spans="6:6">
      <c r="F4268" s="1"/>
    </row>
    <row r="4269" spans="6:6">
      <c r="F4269" s="1"/>
    </row>
    <row r="4270" spans="6:6">
      <c r="F4270" s="1"/>
    </row>
    <row r="4271" spans="6:6">
      <c r="F4271" s="1"/>
    </row>
    <row r="4272" spans="6:6">
      <c r="F4272" s="1"/>
    </row>
    <row r="4273" spans="6:6">
      <c r="F4273" s="1"/>
    </row>
    <row r="4274" spans="6:6">
      <c r="F4274" s="1"/>
    </row>
    <row r="4275" spans="6:6">
      <c r="F4275" s="1"/>
    </row>
    <row r="4276" spans="6:6">
      <c r="F4276" s="1"/>
    </row>
    <row r="4277" spans="6:6">
      <c r="F4277" s="1"/>
    </row>
    <row r="4278" spans="6:6">
      <c r="F4278" s="1"/>
    </row>
    <row r="4279" spans="6:6">
      <c r="F4279" s="1"/>
    </row>
    <row r="4280" spans="6:6">
      <c r="F4280" s="1"/>
    </row>
    <row r="4281" spans="6:6">
      <c r="F4281" s="1"/>
    </row>
    <row r="4282" spans="6:6">
      <c r="F4282" s="1"/>
    </row>
    <row r="4283" spans="6:6">
      <c r="F4283" s="1"/>
    </row>
    <row r="4284" spans="6:6">
      <c r="F4284" s="1"/>
    </row>
    <row r="4285" spans="6:6">
      <c r="F4285" s="1"/>
    </row>
    <row r="4286" spans="6:6">
      <c r="F4286" s="1"/>
    </row>
    <row r="4287" spans="6:6">
      <c r="F4287" s="1"/>
    </row>
    <row r="4288" spans="6:6">
      <c r="F4288" s="1"/>
    </row>
    <row r="4289" spans="6:6">
      <c r="F4289" s="1"/>
    </row>
    <row r="4290" spans="6:6">
      <c r="F4290" s="1"/>
    </row>
    <row r="4291" spans="6:6">
      <c r="F4291" s="1"/>
    </row>
    <row r="4292" spans="6:6">
      <c r="F4292" s="1"/>
    </row>
    <row r="4293" spans="6:6">
      <c r="F4293" s="1"/>
    </row>
    <row r="4294" spans="6:6">
      <c r="F4294" s="1"/>
    </row>
    <row r="4295" spans="6:6">
      <c r="F4295" s="1"/>
    </row>
    <row r="4296" spans="6:6">
      <c r="F4296" s="1"/>
    </row>
    <row r="4297" spans="6:6">
      <c r="F4297" s="1"/>
    </row>
    <row r="4298" spans="6:6">
      <c r="F4298" s="1"/>
    </row>
    <row r="4299" spans="6:6">
      <c r="F4299" s="1"/>
    </row>
    <row r="4300" spans="6:6">
      <c r="F4300" s="1"/>
    </row>
    <row r="4301" spans="6:6">
      <c r="F4301" s="1"/>
    </row>
    <row r="4302" spans="6:6">
      <c r="F4302" s="1"/>
    </row>
    <row r="4303" spans="6:6">
      <c r="F4303" s="1"/>
    </row>
    <row r="4304" spans="6:6">
      <c r="F4304" s="1"/>
    </row>
    <row r="4305" spans="6:6">
      <c r="F4305" s="1"/>
    </row>
    <row r="4306" spans="6:6">
      <c r="F4306" s="1"/>
    </row>
    <row r="4307" spans="6:6">
      <c r="F4307" s="1"/>
    </row>
    <row r="4308" spans="6:6">
      <c r="F4308" s="1"/>
    </row>
    <row r="4309" spans="6:6">
      <c r="F4309" s="1"/>
    </row>
    <row r="4310" spans="6:6">
      <c r="F4310" s="1"/>
    </row>
    <row r="4311" spans="6:6">
      <c r="F4311" s="1"/>
    </row>
    <row r="4312" spans="6:6">
      <c r="F4312" s="1"/>
    </row>
    <row r="4313" spans="6:6">
      <c r="F4313" s="1"/>
    </row>
    <row r="4314" spans="6:6">
      <c r="F4314" s="1"/>
    </row>
    <row r="4315" spans="6:6">
      <c r="F4315" s="1"/>
    </row>
    <row r="4316" spans="6:6">
      <c r="F4316" s="1"/>
    </row>
    <row r="4317" spans="6:6">
      <c r="F4317" s="1"/>
    </row>
    <row r="4318" spans="6:6">
      <c r="F4318" s="1"/>
    </row>
    <row r="4319" spans="6:6">
      <c r="F4319" s="1"/>
    </row>
    <row r="4320" spans="6:6">
      <c r="F4320" s="1"/>
    </row>
    <row r="4321" spans="6:6">
      <c r="F4321" s="1"/>
    </row>
    <row r="4322" spans="6:6">
      <c r="F4322" s="1"/>
    </row>
    <row r="4323" spans="6:6">
      <c r="F4323" s="1"/>
    </row>
    <row r="4324" spans="6:6">
      <c r="F4324" s="1"/>
    </row>
    <row r="4325" spans="6:6">
      <c r="F4325" s="1"/>
    </row>
    <row r="4326" spans="6:6">
      <c r="F4326" s="1"/>
    </row>
    <row r="4327" spans="6:6">
      <c r="F4327" s="1"/>
    </row>
    <row r="4328" spans="6:6">
      <c r="F4328" s="1"/>
    </row>
    <row r="4329" spans="6:6">
      <c r="F4329" s="1"/>
    </row>
    <row r="4330" spans="6:6">
      <c r="F4330" s="1"/>
    </row>
    <row r="4331" spans="6:6">
      <c r="F4331" s="1"/>
    </row>
    <row r="4332" spans="6:6">
      <c r="F4332" s="1"/>
    </row>
    <row r="4333" spans="6:6">
      <c r="F4333" s="1"/>
    </row>
    <row r="4334" spans="6:6">
      <c r="F4334" s="1"/>
    </row>
    <row r="4335" spans="6:6">
      <c r="F4335" s="1"/>
    </row>
    <row r="4336" spans="6:6">
      <c r="F4336" s="1"/>
    </row>
    <row r="4337" spans="6:6">
      <c r="F4337" s="1"/>
    </row>
    <row r="4338" spans="6:6">
      <c r="F4338" s="1"/>
    </row>
    <row r="4339" spans="6:6">
      <c r="F4339" s="1"/>
    </row>
    <row r="4340" spans="6:6">
      <c r="F4340" s="1"/>
    </row>
    <row r="4341" spans="6:6">
      <c r="F4341" s="1"/>
    </row>
    <row r="4342" spans="6:6">
      <c r="F4342" s="1"/>
    </row>
    <row r="4343" spans="6:6">
      <c r="F4343" s="1"/>
    </row>
    <row r="4344" spans="6:6">
      <c r="F4344" s="1"/>
    </row>
    <row r="4345" spans="6:6">
      <c r="F4345" s="1"/>
    </row>
    <row r="4346" spans="6:6">
      <c r="F4346" s="1"/>
    </row>
    <row r="4347" spans="6:6">
      <c r="F4347" s="1"/>
    </row>
    <row r="4348" spans="6:6">
      <c r="F4348" s="1"/>
    </row>
    <row r="4349" spans="6:6">
      <c r="F4349" s="1"/>
    </row>
    <row r="4350" spans="6:6">
      <c r="F4350" s="1"/>
    </row>
    <row r="4351" spans="6:6">
      <c r="F4351" s="1"/>
    </row>
    <row r="4352" spans="6:6">
      <c r="F4352" s="1"/>
    </row>
    <row r="4353" spans="6:6">
      <c r="F4353" s="1"/>
    </row>
    <row r="4354" spans="6:6">
      <c r="F4354" s="1"/>
    </row>
    <row r="4355" spans="6:6">
      <c r="F4355" s="1"/>
    </row>
    <row r="4356" spans="6:6">
      <c r="F4356" s="1"/>
    </row>
    <row r="4357" spans="6:6">
      <c r="F4357" s="1"/>
    </row>
    <row r="4358" spans="6:6">
      <c r="F4358" s="1"/>
    </row>
    <row r="4359" spans="6:6">
      <c r="F4359" s="1"/>
    </row>
    <row r="4360" spans="6:6">
      <c r="F4360" s="1"/>
    </row>
    <row r="4361" spans="6:6">
      <c r="F4361" s="1"/>
    </row>
    <row r="4362" spans="6:6">
      <c r="F4362" s="1"/>
    </row>
    <row r="4363" spans="6:6">
      <c r="F4363" s="1"/>
    </row>
    <row r="4364" spans="6:6">
      <c r="F4364" s="1"/>
    </row>
    <row r="4365" spans="6:6">
      <c r="F4365" s="1"/>
    </row>
    <row r="4366" spans="6:6">
      <c r="F4366" s="1"/>
    </row>
    <row r="4367" spans="6:6">
      <c r="F4367" s="1"/>
    </row>
    <row r="4368" spans="6:6">
      <c r="F4368" s="1"/>
    </row>
    <row r="4369" spans="6:6">
      <c r="F4369" s="1"/>
    </row>
    <row r="4370" spans="6:6">
      <c r="F4370" s="1"/>
    </row>
    <row r="4371" spans="6:6">
      <c r="F4371" s="1"/>
    </row>
    <row r="4372" spans="6:6">
      <c r="F4372" s="1"/>
    </row>
    <row r="4373" spans="6:6">
      <c r="F4373" s="1"/>
    </row>
    <row r="4374" spans="6:6">
      <c r="F4374" s="1"/>
    </row>
    <row r="4375" spans="6:6">
      <c r="F4375" s="1"/>
    </row>
    <row r="4376" spans="6:6">
      <c r="F4376" s="1"/>
    </row>
    <row r="4377" spans="6:6">
      <c r="F4377" s="1"/>
    </row>
    <row r="4378" spans="6:6">
      <c r="F4378" s="1"/>
    </row>
    <row r="4379" spans="6:6">
      <c r="F4379" s="1"/>
    </row>
    <row r="4380" spans="6:6">
      <c r="F4380" s="1"/>
    </row>
    <row r="4381" spans="6:6">
      <c r="F4381" s="1"/>
    </row>
    <row r="4382" spans="6:6">
      <c r="F4382" s="1"/>
    </row>
    <row r="4383" spans="6:6">
      <c r="F4383" s="1"/>
    </row>
    <row r="4384" spans="6:6">
      <c r="F4384" s="1"/>
    </row>
    <row r="4385" spans="6:6">
      <c r="F4385" s="1"/>
    </row>
    <row r="4386" spans="6:6">
      <c r="F4386" s="1"/>
    </row>
    <row r="4387" spans="6:6">
      <c r="F4387" s="1"/>
    </row>
    <row r="4388" spans="6:6">
      <c r="F4388" s="1"/>
    </row>
    <row r="4389" spans="6:6">
      <c r="F4389" s="1"/>
    </row>
    <row r="4390" spans="6:6">
      <c r="F4390" s="1"/>
    </row>
    <row r="4391" spans="6:6">
      <c r="F4391" s="1"/>
    </row>
    <row r="4392" spans="6:6">
      <c r="F4392" s="1"/>
    </row>
    <row r="4393" spans="6:6">
      <c r="F4393" s="1"/>
    </row>
    <row r="4394" spans="6:6">
      <c r="F4394" s="1"/>
    </row>
    <row r="4395" spans="6:6">
      <c r="F4395" s="1"/>
    </row>
    <row r="4396" spans="6:6">
      <c r="F4396" s="1"/>
    </row>
    <row r="4397" spans="6:6">
      <c r="F4397" s="1"/>
    </row>
    <row r="4398" spans="6:6">
      <c r="F4398" s="1"/>
    </row>
    <row r="4399" spans="6:6">
      <c r="F4399" s="1"/>
    </row>
    <row r="4400" spans="6:6">
      <c r="F4400" s="1"/>
    </row>
    <row r="4401" spans="6:6">
      <c r="F4401" s="1"/>
    </row>
    <row r="4402" spans="6:6">
      <c r="F4402" s="1"/>
    </row>
    <row r="4403" spans="6:6">
      <c r="F4403" s="1"/>
    </row>
    <row r="4404" spans="6:6">
      <c r="F4404" s="1"/>
    </row>
    <row r="4405" spans="6:6">
      <c r="F4405" s="1"/>
    </row>
    <row r="4406" spans="6:6">
      <c r="F4406" s="1"/>
    </row>
    <row r="4407" spans="6:6">
      <c r="F4407" s="1"/>
    </row>
    <row r="4408" spans="6:6">
      <c r="F4408" s="1"/>
    </row>
    <row r="4409" spans="6:6">
      <c r="F4409" s="1"/>
    </row>
    <row r="4410" spans="6:6">
      <c r="F4410" s="1"/>
    </row>
    <row r="4411" spans="6:6">
      <c r="F4411" s="1"/>
    </row>
    <row r="4412" spans="6:6">
      <c r="F4412" s="1"/>
    </row>
    <row r="4413" spans="6:6">
      <c r="F4413" s="1"/>
    </row>
    <row r="4414" spans="6:6">
      <c r="F4414" s="1"/>
    </row>
    <row r="4415" spans="6:6">
      <c r="F4415" s="1"/>
    </row>
    <row r="4416" spans="6:6">
      <c r="F4416" s="1"/>
    </row>
    <row r="4417" spans="6:6">
      <c r="F4417" s="1"/>
    </row>
    <row r="4418" spans="6:6">
      <c r="F4418" s="1"/>
    </row>
    <row r="4419" spans="6:6">
      <c r="F4419" s="1"/>
    </row>
    <row r="4420" spans="6:6">
      <c r="F4420" s="1"/>
    </row>
    <row r="4421" spans="6:6">
      <c r="F4421" s="1"/>
    </row>
    <row r="4422" spans="6:6">
      <c r="F4422" s="1"/>
    </row>
    <row r="4423" spans="6:6">
      <c r="F4423" s="1"/>
    </row>
    <row r="4424" spans="6:6">
      <c r="F4424" s="1"/>
    </row>
    <row r="4425" spans="6:6">
      <c r="F4425" s="1"/>
    </row>
    <row r="4426" spans="6:6">
      <c r="F4426" s="1"/>
    </row>
    <row r="4427" spans="6:6">
      <c r="F4427" s="1"/>
    </row>
    <row r="4428" spans="6:6">
      <c r="F4428" s="1"/>
    </row>
    <row r="4429" spans="6:6">
      <c r="F4429" s="1"/>
    </row>
    <row r="4430" spans="6:6">
      <c r="F4430" s="1"/>
    </row>
    <row r="4431" spans="6:6">
      <c r="F4431" s="1"/>
    </row>
    <row r="4432" spans="6:6">
      <c r="F4432" s="1"/>
    </row>
    <row r="4433" spans="6:6">
      <c r="F4433" s="1"/>
    </row>
    <row r="4434" spans="6:6">
      <c r="F4434" s="1"/>
    </row>
    <row r="4435" spans="6:6">
      <c r="F4435" s="1"/>
    </row>
    <row r="4436" spans="6:6">
      <c r="F4436" s="1"/>
    </row>
    <row r="4437" spans="6:6">
      <c r="F4437" s="1"/>
    </row>
    <row r="4438" spans="6:6">
      <c r="F4438" s="1"/>
    </row>
    <row r="4439" spans="6:6">
      <c r="F4439" s="1"/>
    </row>
    <row r="4440" spans="6:6">
      <c r="F4440" s="1"/>
    </row>
    <row r="4441" spans="6:6">
      <c r="F4441" s="1"/>
    </row>
    <row r="4442" spans="6:6">
      <c r="F4442" s="1"/>
    </row>
    <row r="4443" spans="6:6">
      <c r="F4443" s="1"/>
    </row>
    <row r="4444" spans="6:6">
      <c r="F4444" s="1"/>
    </row>
    <row r="4445" spans="6:6">
      <c r="F4445" s="1"/>
    </row>
    <row r="4446" spans="6:6">
      <c r="F4446" s="1"/>
    </row>
    <row r="4447" spans="6:6">
      <c r="F4447" s="1"/>
    </row>
    <row r="4448" spans="6:6">
      <c r="F4448" s="1"/>
    </row>
    <row r="4449" spans="6:6">
      <c r="F4449" s="1"/>
    </row>
    <row r="4450" spans="6:6">
      <c r="F4450" s="1"/>
    </row>
    <row r="4451" spans="6:6">
      <c r="F4451" s="1"/>
    </row>
    <row r="4452" spans="6:6">
      <c r="F4452" s="1"/>
    </row>
    <row r="4453" spans="6:6">
      <c r="F4453" s="1"/>
    </row>
    <row r="4454" spans="6:6">
      <c r="F4454" s="1"/>
    </row>
    <row r="4455" spans="6:6">
      <c r="F4455" s="1"/>
    </row>
    <row r="4456" spans="6:6">
      <c r="F4456" s="1"/>
    </row>
    <row r="4457" spans="6:6">
      <c r="F4457" s="1"/>
    </row>
    <row r="4458" spans="6:6">
      <c r="F4458" s="1"/>
    </row>
    <row r="4459" spans="6:6">
      <c r="F4459" s="1"/>
    </row>
    <row r="4460" spans="6:6">
      <c r="F4460" s="1"/>
    </row>
    <row r="4461" spans="6:6">
      <c r="F4461" s="1"/>
    </row>
    <row r="4462" spans="6:6">
      <c r="F4462" s="1"/>
    </row>
    <row r="4463" spans="6:6">
      <c r="F4463" s="1"/>
    </row>
    <row r="4464" spans="6:6">
      <c r="F4464" s="1"/>
    </row>
    <row r="4465" spans="6:6">
      <c r="F4465" s="1"/>
    </row>
    <row r="4466" spans="6:6">
      <c r="F4466" s="1"/>
    </row>
    <row r="4467" spans="6:6">
      <c r="F4467" s="1"/>
    </row>
    <row r="4468" spans="6:6">
      <c r="F4468" s="1"/>
    </row>
    <row r="4469" spans="6:6">
      <c r="F4469" s="1"/>
    </row>
    <row r="4470" spans="6:6">
      <c r="F4470" s="1"/>
    </row>
    <row r="4471" spans="6:6">
      <c r="F4471" s="1"/>
    </row>
    <row r="4472" spans="6:6">
      <c r="F4472" s="1"/>
    </row>
    <row r="4473" spans="6:6">
      <c r="F4473" s="1"/>
    </row>
    <row r="4474" spans="6:6">
      <c r="F4474" s="1"/>
    </row>
    <row r="4475" spans="6:6">
      <c r="F4475" s="1"/>
    </row>
    <row r="4476" spans="6:6">
      <c r="F4476" s="1"/>
    </row>
    <row r="4477" spans="6:6">
      <c r="F4477" s="1"/>
    </row>
    <row r="4478" spans="6:6">
      <c r="F4478" s="1"/>
    </row>
    <row r="4479" spans="6:6">
      <c r="F4479" s="1"/>
    </row>
    <row r="4480" spans="6:6">
      <c r="F4480" s="1"/>
    </row>
    <row r="4481" spans="6:6">
      <c r="F4481" s="1"/>
    </row>
    <row r="4482" spans="6:6">
      <c r="F4482" s="1"/>
    </row>
    <row r="4483" spans="6:6">
      <c r="F4483" s="1"/>
    </row>
    <row r="4484" spans="6:6">
      <c r="F4484" s="1"/>
    </row>
    <row r="4485" spans="6:6">
      <c r="F4485" s="1"/>
    </row>
    <row r="4486" spans="6:6">
      <c r="F4486" s="1"/>
    </row>
    <row r="4487" spans="6:6">
      <c r="F4487" s="1"/>
    </row>
    <row r="4488" spans="6:6">
      <c r="F4488" s="1"/>
    </row>
    <row r="4489" spans="6:6">
      <c r="F4489" s="1"/>
    </row>
    <row r="4490" spans="6:6">
      <c r="F4490" s="1"/>
    </row>
    <row r="4491" spans="6:6">
      <c r="F4491" s="1"/>
    </row>
    <row r="4492" spans="6:6">
      <c r="F4492" s="1"/>
    </row>
    <row r="4493" spans="6:6">
      <c r="F4493" s="1"/>
    </row>
    <row r="4494" spans="6:6">
      <c r="F4494" s="1"/>
    </row>
    <row r="4495" spans="6:6">
      <c r="F4495" s="1"/>
    </row>
    <row r="4496" spans="6:6">
      <c r="F4496" s="1"/>
    </row>
    <row r="4497" spans="6:6">
      <c r="F4497" s="1"/>
    </row>
    <row r="4498" spans="6:6">
      <c r="F4498" s="1"/>
    </row>
    <row r="4499" spans="6:6">
      <c r="F4499" s="1"/>
    </row>
    <row r="4500" spans="6:6">
      <c r="F4500" s="1"/>
    </row>
    <row r="4501" spans="6:6">
      <c r="F4501" s="1"/>
    </row>
    <row r="4502" spans="6:6">
      <c r="F4502" s="1"/>
    </row>
    <row r="4503" spans="6:6">
      <c r="F4503" s="1"/>
    </row>
    <row r="4504" spans="6:6">
      <c r="F4504" s="1"/>
    </row>
    <row r="4505" spans="6:6">
      <c r="F4505" s="1"/>
    </row>
    <row r="4506" spans="6:6">
      <c r="F4506" s="1"/>
    </row>
    <row r="4507" spans="6:6">
      <c r="F4507" s="1"/>
    </row>
    <row r="4508" spans="6:6">
      <c r="F4508" s="1"/>
    </row>
    <row r="4509" spans="6:6">
      <c r="F4509" s="1"/>
    </row>
    <row r="4510" spans="6:6">
      <c r="F4510" s="1"/>
    </row>
    <row r="4511" spans="6:6">
      <c r="F4511" s="1"/>
    </row>
    <row r="4512" spans="6:6">
      <c r="F4512" s="1"/>
    </row>
    <row r="4513" spans="6:6">
      <c r="F4513" s="1"/>
    </row>
    <row r="4514" spans="6:6">
      <c r="F4514" s="1"/>
    </row>
    <row r="4515" spans="6:6">
      <c r="F4515" s="1"/>
    </row>
    <row r="4516" spans="6:6">
      <c r="F4516" s="1"/>
    </row>
    <row r="4517" spans="6:6">
      <c r="F4517" s="1"/>
    </row>
    <row r="4518" spans="6:6">
      <c r="F4518" s="1"/>
    </row>
    <row r="4519" spans="6:6">
      <c r="F4519" s="1"/>
    </row>
    <row r="4520" spans="6:6">
      <c r="F4520" s="1"/>
    </row>
    <row r="4521" spans="6:6">
      <c r="F4521" s="1"/>
    </row>
    <row r="4522" spans="6:6">
      <c r="F4522" s="1"/>
    </row>
    <row r="4523" spans="6:6">
      <c r="F4523" s="1"/>
    </row>
    <row r="4524" spans="6:6">
      <c r="F4524" s="1"/>
    </row>
    <row r="4525" spans="6:6">
      <c r="F4525" s="1"/>
    </row>
    <row r="4526" spans="6:6">
      <c r="F4526" s="1"/>
    </row>
    <row r="4527" spans="6:6">
      <c r="F4527" s="1"/>
    </row>
    <row r="4528" spans="6:6">
      <c r="F4528" s="1"/>
    </row>
    <row r="4529" spans="6:6">
      <c r="F4529" s="1"/>
    </row>
    <row r="4530" spans="6:6">
      <c r="F4530" s="1"/>
    </row>
    <row r="4531" spans="6:6">
      <c r="F4531" s="1"/>
    </row>
    <row r="4532" spans="6:6">
      <c r="F4532" s="1"/>
    </row>
    <row r="4533" spans="6:6">
      <c r="F4533" s="1"/>
    </row>
    <row r="4534" spans="6:6">
      <c r="F4534" s="1"/>
    </row>
    <row r="4535" spans="6:6">
      <c r="F4535" s="1"/>
    </row>
    <row r="4536" spans="6:6">
      <c r="F4536" s="1"/>
    </row>
    <row r="4537" spans="6:6">
      <c r="F4537" s="1"/>
    </row>
    <row r="4538" spans="6:6">
      <c r="F4538" s="1"/>
    </row>
    <row r="4539" spans="6:6">
      <c r="F4539" s="1"/>
    </row>
    <row r="4540" spans="6:6">
      <c r="F4540" s="1"/>
    </row>
    <row r="4541" spans="6:6">
      <c r="F4541" s="1"/>
    </row>
    <row r="4542" spans="6:6">
      <c r="F4542" s="1"/>
    </row>
    <row r="4543" spans="6:6">
      <c r="F4543" s="1"/>
    </row>
    <row r="4544" spans="6:6">
      <c r="F4544" s="1"/>
    </row>
    <row r="4545" spans="6:6">
      <c r="F4545" s="1"/>
    </row>
    <row r="4546" spans="6:6">
      <c r="F4546" s="1"/>
    </row>
    <row r="4547" spans="6:6">
      <c r="F4547" s="1"/>
    </row>
    <row r="4548" spans="6:6">
      <c r="F4548" s="1"/>
    </row>
    <row r="4549" spans="6:6">
      <c r="F4549" s="1"/>
    </row>
    <row r="4550" spans="6:6">
      <c r="F4550" s="1"/>
    </row>
    <row r="4551" spans="6:6">
      <c r="F4551" s="1"/>
    </row>
    <row r="4552" spans="6:6">
      <c r="F4552" s="1"/>
    </row>
    <row r="4553" spans="6:6">
      <c r="F4553" s="1"/>
    </row>
    <row r="4554" spans="6:6">
      <c r="F4554" s="1"/>
    </row>
    <row r="4555" spans="6:6">
      <c r="F4555" s="1"/>
    </row>
    <row r="4556" spans="6:6">
      <c r="F4556" s="1"/>
    </row>
    <row r="4557" spans="6:6">
      <c r="F4557" s="1"/>
    </row>
    <row r="4558" spans="6:6">
      <c r="F4558" s="1"/>
    </row>
    <row r="4559" spans="6:6">
      <c r="F4559" s="1"/>
    </row>
    <row r="4560" spans="6:6">
      <c r="F4560" s="1"/>
    </row>
    <row r="4561" spans="6:6">
      <c r="F4561" s="1"/>
    </row>
    <row r="4562" spans="6:6">
      <c r="F4562" s="1"/>
    </row>
    <row r="4563" spans="6:6">
      <c r="F4563" s="1"/>
    </row>
    <row r="4564" spans="6:6">
      <c r="F4564" s="1"/>
    </row>
    <row r="4565" spans="6:6">
      <c r="F4565" s="1"/>
    </row>
    <row r="4566" spans="6:6">
      <c r="F4566" s="1"/>
    </row>
    <row r="4567" spans="6:6">
      <c r="F4567" s="1"/>
    </row>
    <row r="4568" spans="6:6">
      <c r="F4568" s="1"/>
    </row>
    <row r="4569" spans="6:6">
      <c r="F4569" s="1"/>
    </row>
    <row r="4570" spans="6:6">
      <c r="F4570" s="1"/>
    </row>
    <row r="4571" spans="6:6">
      <c r="F4571" s="1"/>
    </row>
    <row r="4572" spans="6:6">
      <c r="F4572" s="1"/>
    </row>
    <row r="4573" spans="6:6">
      <c r="F4573" s="1"/>
    </row>
    <row r="4574" spans="6:6">
      <c r="F4574" s="1"/>
    </row>
    <row r="4575" spans="6:6">
      <c r="F4575" s="1"/>
    </row>
    <row r="4576" spans="6:6">
      <c r="F4576" s="1"/>
    </row>
    <row r="4577" spans="6:6">
      <c r="F4577" s="1"/>
    </row>
    <row r="4578" spans="6:6">
      <c r="F4578" s="1"/>
    </row>
    <row r="4579" spans="6:6">
      <c r="F4579" s="1"/>
    </row>
    <row r="4580" spans="6:6">
      <c r="F4580" s="1"/>
    </row>
    <row r="4581" spans="6:6">
      <c r="F4581" s="1"/>
    </row>
    <row r="4582" spans="6:6">
      <c r="F4582" s="1"/>
    </row>
    <row r="4583" spans="6:6">
      <c r="F4583" s="1"/>
    </row>
    <row r="4584" spans="6:6">
      <c r="F4584" s="1"/>
    </row>
    <row r="4585" spans="6:6">
      <c r="F4585" s="1"/>
    </row>
    <row r="4586" spans="6:6">
      <c r="F4586" s="1"/>
    </row>
    <row r="4587" spans="6:6">
      <c r="F4587" s="1"/>
    </row>
    <row r="4588" spans="6:6">
      <c r="F4588" s="1"/>
    </row>
    <row r="4589" spans="6:6">
      <c r="F4589" s="1"/>
    </row>
    <row r="4590" spans="6:6">
      <c r="F4590" s="1"/>
    </row>
    <row r="4591" spans="6:6">
      <c r="F4591" s="1"/>
    </row>
    <row r="4592" spans="6:6">
      <c r="F4592" s="1"/>
    </row>
    <row r="4593" spans="6:6">
      <c r="F4593" s="1"/>
    </row>
    <row r="4594" spans="6:6">
      <c r="F4594" s="1"/>
    </row>
    <row r="4595" spans="6:6">
      <c r="F4595" s="1"/>
    </row>
    <row r="4596" spans="6:6">
      <c r="F4596" s="1"/>
    </row>
    <row r="4597" spans="6:6">
      <c r="F4597" s="1"/>
    </row>
    <row r="4598" spans="6:6">
      <c r="F4598" s="1"/>
    </row>
    <row r="4599" spans="6:6">
      <c r="F4599" s="1"/>
    </row>
    <row r="4600" spans="6:6">
      <c r="F4600" s="1"/>
    </row>
    <row r="4601" spans="6:6">
      <c r="F4601" s="1"/>
    </row>
    <row r="4602" spans="6:6">
      <c r="F4602" s="1"/>
    </row>
    <row r="4603" spans="6:6">
      <c r="F4603" s="1"/>
    </row>
    <row r="4604" spans="6:6">
      <c r="F4604" s="1"/>
    </row>
    <row r="4605" spans="6:6">
      <c r="F4605" s="1"/>
    </row>
    <row r="4606" spans="6:6">
      <c r="F4606" s="1"/>
    </row>
    <row r="4607" spans="6:6">
      <c r="F4607" s="1"/>
    </row>
    <row r="4608" spans="6:6">
      <c r="F4608" s="1"/>
    </row>
    <row r="4609" spans="6:6">
      <c r="F4609" s="1"/>
    </row>
    <row r="4610" spans="6:6">
      <c r="F4610" s="1"/>
    </row>
    <row r="4611" spans="6:6">
      <c r="F4611" s="1"/>
    </row>
    <row r="4612" spans="6:6">
      <c r="F4612" s="1"/>
    </row>
    <row r="4613" spans="6:6">
      <c r="F4613" s="1"/>
    </row>
    <row r="4614" spans="6:6">
      <c r="F4614" s="1"/>
    </row>
    <row r="4615" spans="6:6">
      <c r="F4615" s="1"/>
    </row>
    <row r="4616" spans="6:6">
      <c r="F4616" s="1"/>
    </row>
    <row r="4617" spans="6:6">
      <c r="F4617" s="1"/>
    </row>
    <row r="4618" spans="6:6">
      <c r="F4618" s="1"/>
    </row>
    <row r="4619" spans="6:6">
      <c r="F4619" s="1"/>
    </row>
    <row r="4620" spans="6:6">
      <c r="F4620" s="1"/>
    </row>
    <row r="4621" spans="6:6">
      <c r="F4621" s="1"/>
    </row>
    <row r="4622" spans="6:6">
      <c r="F4622" s="1"/>
    </row>
    <row r="4623" spans="6:6">
      <c r="F4623" s="1"/>
    </row>
    <row r="4624" spans="6:6">
      <c r="F4624" s="1"/>
    </row>
    <row r="4625" spans="6:6">
      <c r="F4625" s="1"/>
    </row>
    <row r="4626" spans="6:6">
      <c r="F4626" s="1"/>
    </row>
    <row r="4627" spans="6:6">
      <c r="F4627" s="1"/>
    </row>
    <row r="4628" spans="6:6">
      <c r="F4628" s="1"/>
    </row>
    <row r="4629" spans="6:6">
      <c r="F4629" s="1"/>
    </row>
    <row r="4630" spans="6:6">
      <c r="F4630" s="1"/>
    </row>
    <row r="4631" spans="6:6">
      <c r="F4631" s="1"/>
    </row>
    <row r="4632" spans="6:6">
      <c r="F4632" s="1"/>
    </row>
    <row r="4633" spans="6:6">
      <c r="F4633" s="1"/>
    </row>
    <row r="4634" spans="6:6">
      <c r="F4634" s="1"/>
    </row>
    <row r="4635" spans="6:6">
      <c r="F4635" s="1"/>
    </row>
    <row r="4636" spans="6:6">
      <c r="F4636" s="1"/>
    </row>
    <row r="4637" spans="6:6">
      <c r="F4637" s="1"/>
    </row>
    <row r="4638" spans="6:6">
      <c r="F4638" s="1"/>
    </row>
    <row r="4639" spans="6:6">
      <c r="F4639" s="1"/>
    </row>
    <row r="4640" spans="6:6">
      <c r="F4640" s="1"/>
    </row>
    <row r="4641" spans="6:6">
      <c r="F4641" s="1"/>
    </row>
    <row r="4642" spans="6:6">
      <c r="F4642" s="1"/>
    </row>
    <row r="4643" spans="6:6">
      <c r="F4643" s="1"/>
    </row>
    <row r="4644" spans="6:6">
      <c r="F4644" s="1"/>
    </row>
    <row r="4645" spans="6:6">
      <c r="F4645" s="1"/>
    </row>
    <row r="4646" spans="6:6">
      <c r="F4646" s="1"/>
    </row>
    <row r="4647" spans="6:6">
      <c r="F4647" s="1"/>
    </row>
    <row r="4648" spans="6:6">
      <c r="F4648" s="1"/>
    </row>
    <row r="4649" spans="6:6">
      <c r="F4649" s="1"/>
    </row>
    <row r="4650" spans="6:6">
      <c r="F4650" s="1"/>
    </row>
    <row r="4651" spans="6:6">
      <c r="F4651" s="1"/>
    </row>
    <row r="4652" spans="6:6">
      <c r="F4652" s="1"/>
    </row>
    <row r="4653" spans="6:6">
      <c r="F4653" s="1"/>
    </row>
    <row r="4654" spans="6:6">
      <c r="F4654" s="1"/>
    </row>
    <row r="4655" spans="6:6">
      <c r="F4655" s="1"/>
    </row>
    <row r="4656" spans="6:6">
      <c r="F4656" s="1"/>
    </row>
    <row r="4657" spans="6:6">
      <c r="F4657" s="1"/>
    </row>
    <row r="4658" spans="6:6">
      <c r="F4658" s="1"/>
    </row>
    <row r="4659" spans="6:6">
      <c r="F4659" s="1"/>
    </row>
    <row r="4660" spans="6:6">
      <c r="F4660" s="1"/>
    </row>
    <row r="4661" spans="6:6">
      <c r="F4661" s="1"/>
    </row>
    <row r="4662" spans="6:6">
      <c r="F4662" s="1"/>
    </row>
    <row r="4663" spans="6:6">
      <c r="F4663" s="1"/>
    </row>
    <row r="4664" spans="6:6">
      <c r="F4664" s="1"/>
    </row>
    <row r="4665" spans="6:6">
      <c r="F4665" s="1"/>
    </row>
    <row r="4666" spans="6:6">
      <c r="F4666" s="1"/>
    </row>
    <row r="4667" spans="6:6">
      <c r="F4667" s="1"/>
    </row>
    <row r="4668" spans="6:6">
      <c r="F4668" s="1"/>
    </row>
    <row r="4669" spans="6:6">
      <c r="F4669" s="1"/>
    </row>
    <row r="4670" spans="6:6">
      <c r="F4670" s="1"/>
    </row>
    <row r="4671" spans="6:6">
      <c r="F4671" s="1"/>
    </row>
    <row r="4672" spans="6:6">
      <c r="F4672" s="1"/>
    </row>
    <row r="4673" spans="6:6">
      <c r="F4673" s="1"/>
    </row>
    <row r="4674" spans="6:6">
      <c r="F4674" s="1"/>
    </row>
    <row r="4675" spans="6:6">
      <c r="F4675" s="1"/>
    </row>
    <row r="4676" spans="6:6">
      <c r="F4676" s="1"/>
    </row>
    <row r="4677" spans="6:6">
      <c r="F4677" s="1"/>
    </row>
    <row r="4678" spans="6:6">
      <c r="F4678" s="1"/>
    </row>
    <row r="4679" spans="6:6">
      <c r="F4679" s="1"/>
    </row>
    <row r="4680" spans="6:6">
      <c r="F4680" s="1"/>
    </row>
    <row r="4681" spans="6:6">
      <c r="F4681" s="1"/>
    </row>
    <row r="4682" spans="6:6">
      <c r="F4682" s="1"/>
    </row>
    <row r="4683" spans="6:6">
      <c r="F4683" s="1"/>
    </row>
    <row r="4684" spans="6:6">
      <c r="F4684" s="1"/>
    </row>
    <row r="4685" spans="6:6">
      <c r="F4685" s="1"/>
    </row>
    <row r="4686" spans="6:6">
      <c r="F4686" s="1"/>
    </row>
    <row r="4687" spans="6:6">
      <c r="F4687" s="1"/>
    </row>
    <row r="4688" spans="6:6">
      <c r="F4688" s="1"/>
    </row>
    <row r="4689" spans="6:6">
      <c r="F4689" s="1"/>
    </row>
    <row r="4690" spans="6:6">
      <c r="F4690" s="1"/>
    </row>
    <row r="4691" spans="6:6">
      <c r="F4691" s="1"/>
    </row>
    <row r="4692" spans="6:6">
      <c r="F4692" s="1"/>
    </row>
    <row r="4693" spans="6:6">
      <c r="F4693" s="1"/>
    </row>
    <row r="4694" spans="6:6">
      <c r="F4694" s="1"/>
    </row>
    <row r="4695" spans="6:6">
      <c r="F4695" s="1"/>
    </row>
    <row r="4696" spans="6:6">
      <c r="F4696" s="1"/>
    </row>
    <row r="4697" spans="6:6">
      <c r="F4697" s="1"/>
    </row>
    <row r="4698" spans="6:6">
      <c r="F4698" s="1"/>
    </row>
    <row r="4699" spans="6:6">
      <c r="F4699" s="1"/>
    </row>
    <row r="4700" spans="6:6">
      <c r="F4700" s="1"/>
    </row>
    <row r="4701" spans="6:6">
      <c r="F4701" s="1"/>
    </row>
    <row r="4702" spans="6:6">
      <c r="F4702" s="1"/>
    </row>
    <row r="4703" spans="6:6">
      <c r="F4703" s="1"/>
    </row>
    <row r="4704" spans="6:6">
      <c r="F4704" s="1"/>
    </row>
    <row r="4705" spans="6:6">
      <c r="F4705" s="1"/>
    </row>
    <row r="4706" spans="6:6">
      <c r="F4706" s="1"/>
    </row>
    <row r="4707" spans="6:6">
      <c r="F4707" s="1"/>
    </row>
    <row r="4708" spans="6:6">
      <c r="F4708" s="1"/>
    </row>
    <row r="4709" spans="6:6">
      <c r="F4709" s="1"/>
    </row>
    <row r="4710" spans="6:6">
      <c r="F4710" s="1"/>
    </row>
    <row r="4711" spans="6:6">
      <c r="F4711" s="1"/>
    </row>
    <row r="4712" spans="6:6">
      <c r="F4712" s="1"/>
    </row>
    <row r="4713" spans="6:6">
      <c r="F4713" s="1"/>
    </row>
    <row r="4714" spans="6:6">
      <c r="F4714" s="1"/>
    </row>
    <row r="4715" spans="6:6">
      <c r="F4715" s="1"/>
    </row>
    <row r="4716" spans="6:6">
      <c r="F4716" s="1"/>
    </row>
    <row r="4717" spans="6:6">
      <c r="F4717" s="1"/>
    </row>
    <row r="4718" spans="6:6">
      <c r="F4718" s="1"/>
    </row>
    <row r="4719" spans="6:6">
      <c r="F4719" s="1"/>
    </row>
    <row r="4720" spans="6:6">
      <c r="F4720" s="1"/>
    </row>
    <row r="4721" spans="6:6">
      <c r="F4721" s="1"/>
    </row>
    <row r="4722" spans="6:6">
      <c r="F4722" s="1"/>
    </row>
    <row r="4723" spans="6:6">
      <c r="F4723" s="1"/>
    </row>
    <row r="4724" spans="6:6">
      <c r="F4724" s="1"/>
    </row>
    <row r="4725" spans="6:6">
      <c r="F4725" s="1"/>
    </row>
    <row r="4726" spans="6:6">
      <c r="F4726" s="1"/>
    </row>
    <row r="4727" spans="6:6">
      <c r="F4727" s="1"/>
    </row>
    <row r="4728" spans="6:6">
      <c r="F4728" s="1"/>
    </row>
    <row r="4729" spans="6:6">
      <c r="F4729" s="1"/>
    </row>
    <row r="4730" spans="6:6">
      <c r="F4730" s="1"/>
    </row>
    <row r="4731" spans="6:6">
      <c r="F4731" s="1"/>
    </row>
    <row r="4732" spans="6:6">
      <c r="F4732" s="1"/>
    </row>
    <row r="4733" spans="6:6">
      <c r="F4733" s="1"/>
    </row>
    <row r="4734" spans="6:6">
      <c r="F4734" s="1"/>
    </row>
    <row r="4735" spans="6:6">
      <c r="F4735" s="1"/>
    </row>
    <row r="4736" spans="6:6">
      <c r="F4736" s="1"/>
    </row>
    <row r="4737" spans="6:6">
      <c r="F4737" s="1"/>
    </row>
    <row r="4738" spans="6:6">
      <c r="F4738" s="1"/>
    </row>
    <row r="4739" spans="6:6">
      <c r="F4739" s="1"/>
    </row>
    <row r="4740" spans="6:6">
      <c r="F4740" s="1"/>
    </row>
    <row r="4741" spans="6:6">
      <c r="F4741" s="1"/>
    </row>
    <row r="4742" spans="6:6">
      <c r="F4742" s="1"/>
    </row>
    <row r="4743" spans="6:6">
      <c r="F4743" s="1"/>
    </row>
    <row r="4744" spans="6:6">
      <c r="F4744" s="1"/>
    </row>
    <row r="4745" spans="6:6">
      <c r="F4745" s="1"/>
    </row>
    <row r="4746" spans="6:6">
      <c r="F4746" s="1"/>
    </row>
    <row r="4747" spans="6:6">
      <c r="F4747" s="1"/>
    </row>
    <row r="4748" spans="6:6">
      <c r="F4748" s="1"/>
    </row>
    <row r="4749" spans="6:6">
      <c r="F4749" s="1"/>
    </row>
    <row r="4750" spans="6:6">
      <c r="F4750" s="1"/>
    </row>
    <row r="4751" spans="6:6">
      <c r="F4751" s="1"/>
    </row>
    <row r="4752" spans="6:6">
      <c r="F4752" s="1"/>
    </row>
    <row r="4753" spans="6:6">
      <c r="F4753" s="1"/>
    </row>
    <row r="4754" spans="6:6">
      <c r="F4754" s="1"/>
    </row>
    <row r="4755" spans="6:6">
      <c r="F4755" s="1"/>
    </row>
    <row r="4756" spans="6:6">
      <c r="F4756" s="1"/>
    </row>
    <row r="4757" spans="6:6">
      <c r="F4757" s="1"/>
    </row>
    <row r="4758" spans="6:6">
      <c r="F4758" s="1"/>
    </row>
    <row r="4759" spans="6:6">
      <c r="F4759" s="1"/>
    </row>
    <row r="4760" spans="6:6">
      <c r="F4760" s="1"/>
    </row>
    <row r="4761" spans="6:6">
      <c r="F4761" s="1"/>
    </row>
    <row r="4762" spans="6:6">
      <c r="F4762" s="1"/>
    </row>
    <row r="4763" spans="6:6">
      <c r="F4763" s="1"/>
    </row>
    <row r="4764" spans="6:6">
      <c r="F4764" s="1"/>
    </row>
    <row r="4765" spans="6:6">
      <c r="F4765" s="1"/>
    </row>
    <row r="4766" spans="6:6">
      <c r="F4766" s="1"/>
    </row>
    <row r="4767" spans="6:6">
      <c r="F4767" s="1"/>
    </row>
    <row r="4768" spans="6:6">
      <c r="F4768" s="1"/>
    </row>
    <row r="4769" spans="6:6">
      <c r="F4769" s="1"/>
    </row>
    <row r="4770" spans="6:6">
      <c r="F4770" s="1"/>
    </row>
    <row r="4771" spans="6:6">
      <c r="F4771" s="1"/>
    </row>
    <row r="4772" spans="6:6">
      <c r="F4772" s="1"/>
    </row>
    <row r="4773" spans="6:6">
      <c r="F4773" s="1"/>
    </row>
    <row r="4774" spans="6:6">
      <c r="F4774" s="1"/>
    </row>
    <row r="4775" spans="6:6">
      <c r="F4775" s="1"/>
    </row>
    <row r="4776" spans="6:6">
      <c r="F4776" s="1"/>
    </row>
    <row r="4777" spans="6:6">
      <c r="F4777" s="1"/>
    </row>
    <row r="4778" spans="6:6">
      <c r="F4778" s="1"/>
    </row>
    <row r="4779" spans="6:6">
      <c r="F4779" s="1"/>
    </row>
    <row r="4780" spans="6:6">
      <c r="F4780" s="1"/>
    </row>
    <row r="4781" spans="6:6">
      <c r="F4781" s="1"/>
    </row>
    <row r="4782" spans="6:6">
      <c r="F4782" s="1"/>
    </row>
    <row r="4783" spans="6:6">
      <c r="F4783" s="1"/>
    </row>
    <row r="4784" spans="6:6">
      <c r="F4784" s="1"/>
    </row>
    <row r="4785" spans="6:6">
      <c r="F4785" s="1"/>
    </row>
    <row r="4786" spans="6:6">
      <c r="F4786" s="1"/>
    </row>
    <row r="4787" spans="6:6">
      <c r="F4787" s="1"/>
    </row>
    <row r="4788" spans="6:6">
      <c r="F4788" s="1"/>
    </row>
    <row r="4789" spans="6:6">
      <c r="F4789" s="1"/>
    </row>
    <row r="4790" spans="6:6">
      <c r="F4790" s="1"/>
    </row>
    <row r="4791" spans="6:6">
      <c r="F4791" s="1"/>
    </row>
    <row r="4792" spans="6:6">
      <c r="F4792" s="1"/>
    </row>
    <row r="4793" spans="6:6">
      <c r="F4793" s="1"/>
    </row>
    <row r="4794" spans="6:6">
      <c r="F4794" s="1"/>
    </row>
    <row r="4795" spans="6:6">
      <c r="F4795" s="1"/>
    </row>
    <row r="4796" spans="6:6">
      <c r="F4796" s="1"/>
    </row>
    <row r="4797" spans="6:6">
      <c r="F4797" s="1"/>
    </row>
    <row r="4798" spans="6:6">
      <c r="F4798" s="1"/>
    </row>
    <row r="4799" spans="6:6">
      <c r="F4799" s="1"/>
    </row>
    <row r="4800" spans="6:6">
      <c r="F4800" s="1"/>
    </row>
    <row r="4801" spans="6:6">
      <c r="F4801" s="1"/>
    </row>
    <row r="4802" spans="6:6">
      <c r="F4802" s="1"/>
    </row>
    <row r="4803" spans="6:6">
      <c r="F4803" s="1"/>
    </row>
    <row r="4804" spans="6:6">
      <c r="F4804" s="1"/>
    </row>
    <row r="4805" spans="6:6">
      <c r="F4805" s="1"/>
    </row>
    <row r="4806" spans="6:6">
      <c r="F4806" s="1"/>
    </row>
    <row r="4807" spans="6:6">
      <c r="F4807" s="1"/>
    </row>
    <row r="4808" spans="6:6">
      <c r="F4808" s="1"/>
    </row>
    <row r="4809" spans="6:6">
      <c r="F4809" s="1"/>
    </row>
    <row r="4810" spans="6:6">
      <c r="F4810" s="1"/>
    </row>
    <row r="4811" spans="6:6">
      <c r="F4811" s="1"/>
    </row>
    <row r="4812" spans="6:6">
      <c r="F4812" s="1"/>
    </row>
    <row r="4813" spans="6:6">
      <c r="F4813" s="1"/>
    </row>
    <row r="4814" spans="6:6">
      <c r="F4814" s="1"/>
    </row>
    <row r="4815" spans="6:6">
      <c r="F4815" s="1"/>
    </row>
    <row r="4816" spans="6:6">
      <c r="F4816" s="1"/>
    </row>
    <row r="4817" spans="6:6">
      <c r="F4817" s="1"/>
    </row>
    <row r="4818" spans="6:6">
      <c r="F4818" s="1"/>
    </row>
    <row r="4819" spans="6:6">
      <c r="F4819" s="1"/>
    </row>
    <row r="4820" spans="6:6">
      <c r="F4820" s="1"/>
    </row>
    <row r="4821" spans="6:6">
      <c r="F4821" s="1"/>
    </row>
    <row r="4822" spans="6:6">
      <c r="F4822" s="1"/>
    </row>
    <row r="4823" spans="6:6">
      <c r="F4823" s="1"/>
    </row>
    <row r="4824" spans="6:6">
      <c r="F4824" s="1"/>
    </row>
    <row r="4825" spans="6:6">
      <c r="F4825" s="1"/>
    </row>
    <row r="4826" spans="6:6">
      <c r="F4826" s="1"/>
    </row>
    <row r="4827" spans="6:6">
      <c r="F4827" s="1"/>
    </row>
    <row r="4828" spans="6:6">
      <c r="F4828" s="1"/>
    </row>
    <row r="4829" spans="6:6">
      <c r="F4829" s="1"/>
    </row>
    <row r="4830" spans="6:6">
      <c r="F4830" s="1"/>
    </row>
    <row r="4831" spans="6:6">
      <c r="F4831" s="1"/>
    </row>
    <row r="4832" spans="6:6">
      <c r="F4832" s="1"/>
    </row>
    <row r="4833" spans="6:6">
      <c r="F4833" s="1"/>
    </row>
    <row r="4834" spans="6:6">
      <c r="F4834" s="1"/>
    </row>
    <row r="4835" spans="6:6">
      <c r="F4835" s="1"/>
    </row>
    <row r="4836" spans="6:6">
      <c r="F4836" s="1"/>
    </row>
    <row r="4837" spans="6:6">
      <c r="F4837" s="1"/>
    </row>
    <row r="4838" spans="6:6">
      <c r="F4838" s="1"/>
    </row>
    <row r="4839" spans="6:6">
      <c r="F4839" s="1"/>
    </row>
    <row r="4840" spans="6:6">
      <c r="F4840" s="1"/>
    </row>
    <row r="4841" spans="6:6">
      <c r="F4841" s="1"/>
    </row>
    <row r="4842" spans="6:6">
      <c r="F4842" s="1"/>
    </row>
    <row r="4843" spans="6:6">
      <c r="F4843" s="1"/>
    </row>
    <row r="4844" spans="6:6">
      <c r="F4844" s="1"/>
    </row>
    <row r="4845" spans="6:6">
      <c r="F4845" s="1"/>
    </row>
    <row r="4846" spans="6:6">
      <c r="F4846" s="1"/>
    </row>
    <row r="4847" spans="6:6">
      <c r="F4847" s="1"/>
    </row>
    <row r="4848" spans="6:6">
      <c r="F4848" s="1"/>
    </row>
    <row r="4849" spans="6:6">
      <c r="F4849" s="1"/>
    </row>
    <row r="4850" spans="6:6">
      <c r="F4850" s="1"/>
    </row>
    <row r="4851" spans="6:6">
      <c r="F4851" s="1"/>
    </row>
    <row r="4852" spans="6:6">
      <c r="F4852" s="1"/>
    </row>
    <row r="4853" spans="6:6">
      <c r="F4853" s="1"/>
    </row>
    <row r="4854" spans="6:6">
      <c r="F4854" s="1"/>
    </row>
    <row r="4855" spans="6:6">
      <c r="F4855" s="1"/>
    </row>
    <row r="4856" spans="6:6">
      <c r="F4856" s="1"/>
    </row>
    <row r="4857" spans="6:6">
      <c r="F4857" s="1"/>
    </row>
    <row r="4858" spans="6:6">
      <c r="F4858" s="1"/>
    </row>
    <row r="4859" spans="6:6">
      <c r="F4859" s="1"/>
    </row>
    <row r="4860" spans="6:6">
      <c r="F4860" s="1"/>
    </row>
    <row r="4861" spans="6:6">
      <c r="F4861" s="1"/>
    </row>
    <row r="4862" spans="6:6">
      <c r="F4862" s="1"/>
    </row>
    <row r="4863" spans="6:6">
      <c r="F4863" s="1"/>
    </row>
    <row r="4864" spans="6:6">
      <c r="F4864" s="1"/>
    </row>
    <row r="4865" spans="6:6">
      <c r="F4865" s="1"/>
    </row>
    <row r="4866" spans="6:6">
      <c r="F4866" s="1"/>
    </row>
    <row r="4867" spans="6:6">
      <c r="F4867" s="1"/>
    </row>
    <row r="4868" spans="6:6">
      <c r="F4868" s="1"/>
    </row>
    <row r="4869" spans="6:6">
      <c r="F4869" s="1"/>
    </row>
    <row r="4870" spans="6:6">
      <c r="F4870" s="1"/>
    </row>
    <row r="4871" spans="6:6">
      <c r="F4871" s="1"/>
    </row>
    <row r="4872" spans="6:6">
      <c r="F4872" s="1"/>
    </row>
    <row r="4873" spans="6:6">
      <c r="F4873" s="1"/>
    </row>
    <row r="4874" spans="6:6">
      <c r="F4874" s="1"/>
    </row>
    <row r="4875" spans="6:6">
      <c r="F4875" s="1"/>
    </row>
    <row r="4876" spans="6:6">
      <c r="F4876" s="1"/>
    </row>
    <row r="4877" spans="6:6">
      <c r="F4877" s="1"/>
    </row>
    <row r="4878" spans="6:6">
      <c r="F4878" s="1"/>
    </row>
    <row r="4879" spans="6:6">
      <c r="F4879" s="1"/>
    </row>
    <row r="4880" spans="6:6">
      <c r="F4880" s="1"/>
    </row>
    <row r="4881" spans="6:6">
      <c r="F4881" s="1"/>
    </row>
    <row r="4882" spans="6:6">
      <c r="F4882" s="1"/>
    </row>
    <row r="4883" spans="6:6">
      <c r="F4883" s="1"/>
    </row>
    <row r="4884" spans="6:6">
      <c r="F4884" s="1"/>
    </row>
    <row r="4885" spans="6:6">
      <c r="F4885" s="1"/>
    </row>
    <row r="4886" spans="6:6">
      <c r="F4886" s="1"/>
    </row>
    <row r="4887" spans="6:6">
      <c r="F4887" s="1"/>
    </row>
    <row r="4888" spans="6:6">
      <c r="F4888" s="1"/>
    </row>
    <row r="4889" spans="6:6">
      <c r="F4889" s="1"/>
    </row>
    <row r="4890" spans="6:6">
      <c r="F4890" s="1"/>
    </row>
    <row r="4891" spans="6:6">
      <c r="F4891" s="1"/>
    </row>
    <row r="4892" spans="6:6">
      <c r="F4892" s="1"/>
    </row>
    <row r="4893" spans="6:6">
      <c r="F4893" s="1"/>
    </row>
    <row r="4894" spans="6:6">
      <c r="F4894" s="1"/>
    </row>
    <row r="4895" spans="6:6">
      <c r="F4895" s="1"/>
    </row>
    <row r="4896" spans="6:6">
      <c r="F4896" s="1"/>
    </row>
    <row r="4897" spans="6:6">
      <c r="F4897" s="1"/>
    </row>
    <row r="4898" spans="6:6">
      <c r="F4898" s="1"/>
    </row>
    <row r="4899" spans="6:6">
      <c r="F4899" s="1"/>
    </row>
    <row r="4900" spans="6:6">
      <c r="F4900" s="1"/>
    </row>
    <row r="4901" spans="6:6">
      <c r="F4901" s="1"/>
    </row>
    <row r="4902" spans="6:6">
      <c r="F4902" s="1"/>
    </row>
    <row r="4903" spans="6:6">
      <c r="F4903" s="1"/>
    </row>
    <row r="4904" spans="6:6">
      <c r="F4904" s="1"/>
    </row>
    <row r="4905" spans="6:6">
      <c r="F4905" s="1"/>
    </row>
    <row r="4906" spans="6:6">
      <c r="F4906" s="1"/>
    </row>
    <row r="4907" spans="6:6">
      <c r="F4907" s="1"/>
    </row>
    <row r="4908" spans="6:6">
      <c r="F4908" s="1"/>
    </row>
    <row r="4909" spans="6:6">
      <c r="F4909" s="1"/>
    </row>
    <row r="4910" spans="6:6">
      <c r="F4910" s="1"/>
    </row>
    <row r="4911" spans="6:6">
      <c r="F4911" s="1"/>
    </row>
    <row r="4912" spans="6:6">
      <c r="F4912" s="1"/>
    </row>
    <row r="4913" spans="6:6">
      <c r="F4913" s="1"/>
    </row>
    <row r="4914" spans="6:6">
      <c r="F4914" s="1"/>
    </row>
    <row r="4915" spans="6:6">
      <c r="F4915" s="1"/>
    </row>
    <row r="4916" spans="6:6">
      <c r="F4916" s="1"/>
    </row>
    <row r="4917" spans="6:6">
      <c r="F4917" s="1"/>
    </row>
    <row r="4918" spans="6:6">
      <c r="F4918" s="1"/>
    </row>
    <row r="4919" spans="6:6">
      <c r="F4919" s="1"/>
    </row>
    <row r="4920" spans="6:6">
      <c r="F4920" s="1"/>
    </row>
    <row r="4921" spans="6:6">
      <c r="F4921" s="1"/>
    </row>
    <row r="4922" spans="6:6">
      <c r="F4922" s="1"/>
    </row>
    <row r="4923" spans="6:6">
      <c r="F4923" s="1"/>
    </row>
    <row r="4924" spans="6:6">
      <c r="F4924" s="1"/>
    </row>
    <row r="4925" spans="6:6">
      <c r="F4925" s="1"/>
    </row>
    <row r="4926" spans="6:6">
      <c r="F4926" s="1"/>
    </row>
    <row r="4927" spans="6:6">
      <c r="F4927" s="1"/>
    </row>
    <row r="4928" spans="6:6">
      <c r="F4928" s="1"/>
    </row>
    <row r="4929" spans="6:6">
      <c r="F4929" s="1"/>
    </row>
    <row r="4930" spans="6:6">
      <c r="F4930" s="1"/>
    </row>
    <row r="4931" spans="6:6">
      <c r="F4931" s="1"/>
    </row>
    <row r="4932" spans="6:6">
      <c r="F4932" s="1"/>
    </row>
    <row r="4933" spans="6:6">
      <c r="F4933" s="1"/>
    </row>
    <row r="4934" spans="6:6">
      <c r="F4934" s="1"/>
    </row>
    <row r="4935" spans="6:6">
      <c r="F4935" s="1"/>
    </row>
    <row r="4936" spans="6:6">
      <c r="F4936" s="1"/>
    </row>
    <row r="4937" spans="6:6">
      <c r="F4937" s="1"/>
    </row>
    <row r="4938" spans="6:6">
      <c r="F4938" s="1"/>
    </row>
    <row r="4939" spans="6:6">
      <c r="F4939" s="1"/>
    </row>
    <row r="4940" spans="6:6">
      <c r="F4940" s="1"/>
    </row>
    <row r="4941" spans="6:6">
      <c r="F4941" s="1"/>
    </row>
    <row r="4942" spans="6:6">
      <c r="F4942" s="1"/>
    </row>
    <row r="4943" spans="6:6">
      <c r="F4943" s="1"/>
    </row>
    <row r="4944" spans="6:6">
      <c r="F4944" s="1"/>
    </row>
    <row r="4945" spans="6:6">
      <c r="F4945" s="1"/>
    </row>
    <row r="4946" spans="6:6">
      <c r="F4946" s="1"/>
    </row>
    <row r="4947" spans="6:6">
      <c r="F4947" s="1"/>
    </row>
    <row r="4948" spans="6:6">
      <c r="F4948" s="1"/>
    </row>
    <row r="4949" spans="6:6">
      <c r="F4949" s="1"/>
    </row>
    <row r="4950" spans="6:6">
      <c r="F4950" s="1"/>
    </row>
    <row r="4951" spans="6:6">
      <c r="F4951" s="1"/>
    </row>
    <row r="4952" spans="6:6">
      <c r="F4952" s="1"/>
    </row>
    <row r="4953" spans="6:6">
      <c r="F4953" s="1"/>
    </row>
    <row r="4954" spans="6:6">
      <c r="F4954" s="1"/>
    </row>
    <row r="4955" spans="6:6">
      <c r="F4955" s="1"/>
    </row>
    <row r="4956" spans="6:6">
      <c r="F4956" s="1"/>
    </row>
    <row r="4957" spans="6:6">
      <c r="F4957" s="1"/>
    </row>
    <row r="4958" spans="6:6">
      <c r="F4958" s="1"/>
    </row>
    <row r="4959" spans="6:6">
      <c r="F4959" s="1"/>
    </row>
    <row r="4960" spans="6:6">
      <c r="F4960" s="1"/>
    </row>
    <row r="4961" spans="6:6">
      <c r="F4961" s="1"/>
    </row>
    <row r="4962" spans="6:6">
      <c r="F4962" s="1"/>
    </row>
    <row r="4963" spans="6:6">
      <c r="F4963" s="1"/>
    </row>
    <row r="4964" spans="6:6">
      <c r="F4964" s="1"/>
    </row>
    <row r="4965" spans="6:6">
      <c r="F4965" s="1"/>
    </row>
    <row r="4966" spans="6:6">
      <c r="F4966" s="1"/>
    </row>
    <row r="4967" spans="6:6">
      <c r="F4967" s="1"/>
    </row>
    <row r="4968" spans="6:6">
      <c r="F4968" s="1"/>
    </row>
    <row r="4969" spans="6:6">
      <c r="F4969" s="1"/>
    </row>
    <row r="4970" spans="6:6">
      <c r="F4970" s="1"/>
    </row>
    <row r="4971" spans="6:6">
      <c r="F4971" s="1"/>
    </row>
    <row r="4972" spans="6:6">
      <c r="F4972" s="1"/>
    </row>
    <row r="4973" spans="6:6">
      <c r="F4973" s="1"/>
    </row>
    <row r="4974" spans="6:6">
      <c r="F4974" s="1"/>
    </row>
    <row r="4975" spans="6:6">
      <c r="F4975" s="1"/>
    </row>
    <row r="4976" spans="6:6">
      <c r="F4976" s="1"/>
    </row>
    <row r="4977" spans="6:6">
      <c r="F4977" s="1"/>
    </row>
    <row r="4978" spans="6:6">
      <c r="F4978" s="1"/>
    </row>
    <row r="4979" spans="6:6">
      <c r="F4979" s="1"/>
    </row>
    <row r="4980" spans="6:6">
      <c r="F4980" s="1"/>
    </row>
    <row r="4981" spans="6:6">
      <c r="F4981" s="1"/>
    </row>
    <row r="4982" spans="6:6">
      <c r="F4982" s="1"/>
    </row>
    <row r="4983" spans="6:6">
      <c r="F4983" s="1"/>
    </row>
    <row r="4984" spans="6:6">
      <c r="F4984" s="1"/>
    </row>
    <row r="4985" spans="6:6">
      <c r="F4985" s="1"/>
    </row>
    <row r="4986" spans="6:6">
      <c r="F4986" s="1"/>
    </row>
    <row r="4987" spans="6:6">
      <c r="F4987" s="1"/>
    </row>
    <row r="4988" spans="6:6">
      <c r="F4988" s="1"/>
    </row>
    <row r="4989" spans="6:6">
      <c r="F4989" s="1"/>
    </row>
    <row r="4990" spans="6:6">
      <c r="F4990" s="1"/>
    </row>
    <row r="4991" spans="6:6">
      <c r="F4991" s="1"/>
    </row>
    <row r="4992" spans="6:6">
      <c r="F4992" s="1"/>
    </row>
    <row r="4993" spans="6:6">
      <c r="F4993" s="1"/>
    </row>
    <row r="4994" spans="6:6">
      <c r="F4994" s="1"/>
    </row>
    <row r="4995" spans="6:6">
      <c r="F4995" s="1"/>
    </row>
    <row r="4996" spans="6:6">
      <c r="F4996" s="1"/>
    </row>
    <row r="4997" spans="6:6">
      <c r="F4997" s="1"/>
    </row>
    <row r="4998" spans="6:6">
      <c r="F4998" s="1"/>
    </row>
    <row r="4999" spans="6:6">
      <c r="F4999" s="1"/>
    </row>
    <row r="5000" spans="6:6">
      <c r="F5000" s="1"/>
    </row>
    <row r="5001" spans="6:6">
      <c r="F5001" s="1"/>
    </row>
    <row r="5002" spans="6:6">
      <c r="F5002" s="1"/>
    </row>
    <row r="5003" spans="6:6">
      <c r="F5003" s="1"/>
    </row>
    <row r="5004" spans="6:6">
      <c r="F5004" s="1"/>
    </row>
    <row r="5005" spans="6:6">
      <c r="F5005" s="1"/>
    </row>
    <row r="5006" spans="6:6">
      <c r="F5006" s="1"/>
    </row>
    <row r="5007" spans="6:6">
      <c r="F5007" s="1"/>
    </row>
    <row r="5008" spans="6:6">
      <c r="F5008" s="1"/>
    </row>
    <row r="5009" spans="6:6">
      <c r="F5009" s="1"/>
    </row>
    <row r="5010" spans="6:6">
      <c r="F5010" s="1"/>
    </row>
    <row r="5011" spans="6:6">
      <c r="F5011" s="1"/>
    </row>
    <row r="5012" spans="6:6">
      <c r="F5012" s="1"/>
    </row>
    <row r="5013" spans="6:6">
      <c r="F5013" s="1"/>
    </row>
    <row r="5014" spans="6:6">
      <c r="F5014" s="1"/>
    </row>
    <row r="5015" spans="6:6">
      <c r="F5015" s="1"/>
    </row>
    <row r="5016" spans="6:6">
      <c r="F5016" s="1"/>
    </row>
    <row r="5017" spans="6:6">
      <c r="F5017" s="1"/>
    </row>
    <row r="5018" spans="6:6">
      <c r="F5018" s="1"/>
    </row>
    <row r="5019" spans="6:6">
      <c r="F5019" s="1"/>
    </row>
    <row r="5020" spans="6:6">
      <c r="F5020" s="1"/>
    </row>
    <row r="5021" spans="6:6">
      <c r="F5021" s="1"/>
    </row>
    <row r="5022" spans="6:6">
      <c r="F5022" s="1"/>
    </row>
    <row r="5023" spans="6:6">
      <c r="F5023" s="1"/>
    </row>
    <row r="5024" spans="6:6">
      <c r="F5024" s="1"/>
    </row>
    <row r="5025" spans="6:6">
      <c r="F5025" s="1"/>
    </row>
    <row r="5026" spans="6:6">
      <c r="F5026" s="1"/>
    </row>
    <row r="5027" spans="6:6">
      <c r="F5027" s="1"/>
    </row>
    <row r="5028" spans="6:6">
      <c r="F5028" s="1"/>
    </row>
    <row r="5029" spans="6:6">
      <c r="F5029" s="1"/>
    </row>
    <row r="5030" spans="6:6">
      <c r="F5030" s="1"/>
    </row>
    <row r="5031" spans="6:6">
      <c r="F5031" s="1"/>
    </row>
    <row r="5032" spans="6:6">
      <c r="F5032" s="1"/>
    </row>
    <row r="5033" spans="6:6">
      <c r="F5033" s="1"/>
    </row>
    <row r="5034" spans="6:6">
      <c r="F5034" s="1"/>
    </row>
    <row r="5035" spans="6:6">
      <c r="F5035" s="1"/>
    </row>
    <row r="5036" spans="6:6">
      <c r="F5036" s="1"/>
    </row>
    <row r="5037" spans="6:6">
      <c r="F5037" s="1"/>
    </row>
    <row r="5038" spans="6:6">
      <c r="F5038" s="1"/>
    </row>
    <row r="5039" spans="6:6">
      <c r="F5039" s="1"/>
    </row>
    <row r="5040" spans="6:6">
      <c r="F5040" s="1"/>
    </row>
    <row r="5041" spans="6:6">
      <c r="F5041" s="1"/>
    </row>
    <row r="5042" spans="6:6">
      <c r="F5042" s="1"/>
    </row>
    <row r="5043" spans="6:6">
      <c r="F5043" s="1"/>
    </row>
    <row r="5044" spans="6:6">
      <c r="F5044" s="1"/>
    </row>
    <row r="5045" spans="6:6">
      <c r="F5045" s="1"/>
    </row>
    <row r="5046" spans="6:6">
      <c r="F5046" s="1"/>
    </row>
    <row r="5047" spans="6:6">
      <c r="F5047" s="1"/>
    </row>
    <row r="5048" spans="6:6">
      <c r="F5048" s="1"/>
    </row>
    <row r="5049" spans="6:6">
      <c r="F5049" s="1"/>
    </row>
    <row r="5050" spans="6:6">
      <c r="F5050" s="1"/>
    </row>
    <row r="5051" spans="6:6">
      <c r="F5051" s="1"/>
    </row>
    <row r="5052" spans="6:6">
      <c r="F5052" s="1"/>
    </row>
    <row r="5053" spans="6:6">
      <c r="F5053" s="1"/>
    </row>
    <row r="5054" spans="6:6">
      <c r="F5054" s="1"/>
    </row>
    <row r="5055" spans="6:6">
      <c r="F5055" s="1"/>
    </row>
    <row r="5056" spans="6:6">
      <c r="F5056" s="1"/>
    </row>
    <row r="5057" spans="6:6">
      <c r="F5057" s="1"/>
    </row>
    <row r="5058" spans="6:6">
      <c r="F5058" s="1"/>
    </row>
    <row r="5059" spans="6:6">
      <c r="F5059" s="1"/>
    </row>
    <row r="5060" spans="6:6">
      <c r="F5060" s="1"/>
    </row>
    <row r="5061" spans="6:6">
      <c r="F5061" s="1"/>
    </row>
    <row r="5062" spans="6:6">
      <c r="F5062" s="1"/>
    </row>
    <row r="5063" spans="6:6">
      <c r="F5063" s="1"/>
    </row>
    <row r="5064" spans="6:6">
      <c r="F5064" s="1"/>
    </row>
    <row r="5065" spans="6:6">
      <c r="F5065" s="1"/>
    </row>
    <row r="5066" spans="6:6">
      <c r="F5066" s="1"/>
    </row>
    <row r="5067" spans="6:6">
      <c r="F5067" s="1"/>
    </row>
    <row r="5068" spans="6:6">
      <c r="F5068" s="1"/>
    </row>
    <row r="5069" spans="6:6">
      <c r="F5069" s="1"/>
    </row>
    <row r="5070" spans="6:6">
      <c r="F5070" s="1"/>
    </row>
    <row r="5071" spans="6:6">
      <c r="F5071" s="1"/>
    </row>
    <row r="5072" spans="6:6">
      <c r="F5072" s="1"/>
    </row>
    <row r="5073" spans="6:6">
      <c r="F5073" s="1"/>
    </row>
    <row r="5074" spans="6:6">
      <c r="F5074" s="1"/>
    </row>
    <row r="5075" spans="6:6">
      <c r="F5075" s="1"/>
    </row>
    <row r="5076" spans="6:6">
      <c r="F5076" s="1"/>
    </row>
    <row r="5077" spans="6:6">
      <c r="F5077" s="1"/>
    </row>
    <row r="5078" spans="6:6">
      <c r="F5078" s="1"/>
    </row>
    <row r="5079" spans="6:6">
      <c r="F5079" s="1"/>
    </row>
    <row r="5080" spans="6:6">
      <c r="F5080" s="1"/>
    </row>
    <row r="5081" spans="6:6">
      <c r="F5081" s="1"/>
    </row>
    <row r="5082" spans="6:6">
      <c r="F5082" s="1"/>
    </row>
    <row r="5083" spans="6:6">
      <c r="F5083" s="1"/>
    </row>
    <row r="5084" spans="6:6">
      <c r="F5084" s="1"/>
    </row>
    <row r="5085" spans="6:6">
      <c r="F5085" s="1"/>
    </row>
    <row r="5086" spans="6:6">
      <c r="F5086" s="1"/>
    </row>
    <row r="5087" spans="6:6">
      <c r="F5087" s="1"/>
    </row>
    <row r="5088" spans="6:6">
      <c r="F5088" s="1"/>
    </row>
    <row r="5089" spans="6:6">
      <c r="F5089" s="1"/>
    </row>
    <row r="5090" spans="6:6">
      <c r="F5090" s="1"/>
    </row>
    <row r="5091" spans="6:6">
      <c r="F5091" s="1"/>
    </row>
    <row r="5092" spans="6:6">
      <c r="F5092" s="1"/>
    </row>
    <row r="5093" spans="6:6">
      <c r="F5093" s="1"/>
    </row>
    <row r="5094" spans="6:6">
      <c r="F5094" s="1"/>
    </row>
    <row r="5095" spans="6:6">
      <c r="F5095" s="1"/>
    </row>
    <row r="5096" spans="6:6">
      <c r="F5096" s="1"/>
    </row>
    <row r="5097" spans="6:6">
      <c r="F5097" s="1"/>
    </row>
    <row r="5098" spans="6:6">
      <c r="F5098" s="1"/>
    </row>
    <row r="5099" spans="6:6">
      <c r="F5099" s="1"/>
    </row>
    <row r="5100" spans="6:6">
      <c r="F5100" s="1"/>
    </row>
    <row r="5101" spans="6:6">
      <c r="F5101" s="1"/>
    </row>
    <row r="5102" spans="6:6">
      <c r="F5102" s="1"/>
    </row>
    <row r="5103" spans="6:6">
      <c r="F5103" s="1"/>
    </row>
    <row r="5104" spans="6:6">
      <c r="F5104" s="1"/>
    </row>
    <row r="5105" spans="6:6">
      <c r="F5105" s="1"/>
    </row>
    <row r="5106" spans="6:6">
      <c r="F5106" s="1"/>
    </row>
    <row r="5107" spans="6:6">
      <c r="F5107" s="1"/>
    </row>
    <row r="5108" spans="6:6">
      <c r="F5108" s="1"/>
    </row>
    <row r="5109" spans="6:6">
      <c r="F5109" s="1"/>
    </row>
    <row r="5110" spans="6:6">
      <c r="F5110" s="1"/>
    </row>
    <row r="5111" spans="6:6">
      <c r="F5111" s="1"/>
    </row>
    <row r="5112" spans="6:6">
      <c r="F5112" s="1"/>
    </row>
    <row r="5113" spans="6:6">
      <c r="F5113" s="1"/>
    </row>
    <row r="5114" spans="6:6">
      <c r="F5114" s="1"/>
    </row>
    <row r="5115" spans="6:6">
      <c r="F5115" s="1"/>
    </row>
    <row r="5116" spans="6:6">
      <c r="F5116" s="1"/>
    </row>
    <row r="5117" spans="6:6">
      <c r="F5117" s="1"/>
    </row>
    <row r="5118" spans="6:6">
      <c r="F5118" s="1"/>
    </row>
    <row r="5119" spans="6:6">
      <c r="F5119" s="1"/>
    </row>
    <row r="5120" spans="6:6">
      <c r="F5120" s="1"/>
    </row>
    <row r="5121" spans="6:6">
      <c r="F5121" s="1"/>
    </row>
    <row r="5122" spans="6:6">
      <c r="F5122" s="1"/>
    </row>
    <row r="5123" spans="6:6">
      <c r="F5123" s="1"/>
    </row>
    <row r="5124" spans="6:6">
      <c r="F5124" s="1"/>
    </row>
    <row r="5125" spans="6:6">
      <c r="F5125" s="1"/>
    </row>
    <row r="5126" spans="6:6">
      <c r="F5126" s="1"/>
    </row>
    <row r="5127" spans="6:6">
      <c r="F5127" s="1"/>
    </row>
    <row r="5128" spans="6:6">
      <c r="F5128" s="1"/>
    </row>
    <row r="5129" spans="6:6">
      <c r="F5129" s="1"/>
    </row>
    <row r="5130" spans="6:6">
      <c r="F5130" s="1"/>
    </row>
    <row r="5131" spans="6:6">
      <c r="F5131" s="1"/>
    </row>
    <row r="5132" spans="6:6">
      <c r="F5132" s="1"/>
    </row>
    <row r="5133" spans="6:6">
      <c r="F5133" s="1"/>
    </row>
    <row r="5134" spans="6:6">
      <c r="F5134" s="1"/>
    </row>
    <row r="5135" spans="6:6">
      <c r="F5135" s="1"/>
    </row>
    <row r="5136" spans="6:6">
      <c r="F5136" s="1"/>
    </row>
    <row r="5137" spans="6:6">
      <c r="F5137" s="1"/>
    </row>
    <row r="5138" spans="6:6">
      <c r="F5138" s="1"/>
    </row>
    <row r="5139" spans="6:6">
      <c r="F5139" s="1"/>
    </row>
    <row r="5140" spans="6:6">
      <c r="F5140" s="1"/>
    </row>
    <row r="5141" spans="6:6">
      <c r="F5141" s="1"/>
    </row>
    <row r="5142" spans="6:6">
      <c r="F5142" s="1"/>
    </row>
    <row r="5143" spans="6:6">
      <c r="F5143" s="1"/>
    </row>
    <row r="5144" spans="6:6">
      <c r="F5144" s="1"/>
    </row>
    <row r="5145" spans="6:6">
      <c r="F5145" s="1"/>
    </row>
    <row r="5146" spans="6:6">
      <c r="F5146" s="1"/>
    </row>
    <row r="5147" spans="6:6">
      <c r="F5147" s="1"/>
    </row>
    <row r="5148" spans="6:6">
      <c r="F5148" s="1"/>
    </row>
    <row r="5149" spans="6:6">
      <c r="F5149" s="1"/>
    </row>
    <row r="5150" spans="6:6">
      <c r="F5150" s="1"/>
    </row>
    <row r="5151" spans="6:6">
      <c r="F5151" s="1"/>
    </row>
    <row r="5152" spans="6:6">
      <c r="F5152" s="1"/>
    </row>
    <row r="5153" spans="6:6">
      <c r="F5153" s="1"/>
    </row>
    <row r="5154" spans="6:6">
      <c r="F5154" s="1"/>
    </row>
    <row r="5155" spans="6:6">
      <c r="F5155" s="1"/>
    </row>
    <row r="5156" spans="6:6">
      <c r="F5156" s="1"/>
    </row>
    <row r="5157" spans="6:6">
      <c r="F5157" s="1"/>
    </row>
    <row r="5158" spans="6:6">
      <c r="F5158" s="1"/>
    </row>
    <row r="5159" spans="6:6">
      <c r="F5159" s="1"/>
    </row>
    <row r="5160" spans="6:6">
      <c r="F5160" s="1"/>
    </row>
    <row r="5161" spans="6:6">
      <c r="F5161" s="1"/>
    </row>
    <row r="5162" spans="6:6">
      <c r="F5162" s="1"/>
    </row>
    <row r="5163" spans="6:6">
      <c r="F5163" s="1"/>
    </row>
    <row r="5164" spans="6:6">
      <c r="F5164" s="1"/>
    </row>
    <row r="5165" spans="6:6">
      <c r="F5165" s="1"/>
    </row>
    <row r="5166" spans="6:6">
      <c r="F5166" s="1"/>
    </row>
    <row r="5167" spans="6:6">
      <c r="F5167" s="1"/>
    </row>
    <row r="5168" spans="6:6">
      <c r="F5168" s="1"/>
    </row>
    <row r="5169" spans="6:6">
      <c r="F5169" s="1"/>
    </row>
    <row r="5170" spans="6:6">
      <c r="F5170" s="1"/>
    </row>
    <row r="5171" spans="6:6">
      <c r="F5171" s="1"/>
    </row>
    <row r="5172" spans="6:6">
      <c r="F5172" s="1"/>
    </row>
    <row r="5173" spans="6:6">
      <c r="F5173" s="1"/>
    </row>
    <row r="5174" spans="6:6">
      <c r="F5174" s="1"/>
    </row>
    <row r="5175" spans="6:6">
      <c r="F5175" s="1"/>
    </row>
    <row r="5176" spans="6:6">
      <c r="F5176" s="1"/>
    </row>
    <row r="5177" spans="6:6">
      <c r="F5177" s="1"/>
    </row>
    <row r="5178" spans="6:6">
      <c r="F5178" s="1"/>
    </row>
    <row r="5179" spans="6:6">
      <c r="F5179" s="1"/>
    </row>
    <row r="5180" spans="6:6">
      <c r="F5180" s="1"/>
    </row>
    <row r="5181" spans="6:6">
      <c r="F5181" s="1"/>
    </row>
    <row r="5182" spans="6:6">
      <c r="F5182" s="1"/>
    </row>
    <row r="5183" spans="6:6">
      <c r="F5183" s="1"/>
    </row>
    <row r="5184" spans="6:6">
      <c r="F5184" s="1"/>
    </row>
    <row r="5185" spans="6:6">
      <c r="F5185" s="1"/>
    </row>
    <row r="5186" spans="6:6">
      <c r="F5186" s="1"/>
    </row>
    <row r="5187" spans="6:6">
      <c r="F5187" s="1"/>
    </row>
    <row r="5188" spans="6:6">
      <c r="F5188" s="1"/>
    </row>
    <row r="5189" spans="6:6">
      <c r="F5189" s="1"/>
    </row>
    <row r="5190" spans="6:6">
      <c r="F5190" s="1"/>
    </row>
    <row r="5191" spans="6:6">
      <c r="F5191" s="1"/>
    </row>
    <row r="5192" spans="6:6">
      <c r="F5192" s="1"/>
    </row>
    <row r="5193" spans="6:6">
      <c r="F5193" s="1"/>
    </row>
    <row r="5194" spans="6:6">
      <c r="F5194" s="1"/>
    </row>
    <row r="5195" spans="6:6">
      <c r="F5195" s="1"/>
    </row>
    <row r="5196" spans="6:6">
      <c r="F5196" s="1"/>
    </row>
    <row r="5197" spans="6:6">
      <c r="F5197" s="1"/>
    </row>
    <row r="5198" spans="6:6">
      <c r="F5198" s="1"/>
    </row>
    <row r="5199" spans="6:6">
      <c r="F5199" s="1"/>
    </row>
    <row r="5200" spans="6:6">
      <c r="F5200" s="1"/>
    </row>
    <row r="5201" spans="6:6">
      <c r="F5201" s="1"/>
    </row>
    <row r="5202" spans="6:6">
      <c r="F5202" s="1"/>
    </row>
    <row r="5203" spans="6:6">
      <c r="F5203" s="1"/>
    </row>
    <row r="5204" spans="6:6">
      <c r="F5204" s="1"/>
    </row>
    <row r="5205" spans="6:6">
      <c r="F5205" s="1"/>
    </row>
    <row r="5206" spans="6:6">
      <c r="F5206" s="1"/>
    </row>
    <row r="5207" spans="6:6">
      <c r="F5207" s="1"/>
    </row>
    <row r="5208" spans="6:6">
      <c r="F5208" s="1"/>
    </row>
    <row r="5209" spans="6:6">
      <c r="F5209" s="1"/>
    </row>
    <row r="5210" spans="6:6">
      <c r="F5210" s="1"/>
    </row>
    <row r="5211" spans="6:6">
      <c r="F5211" s="1"/>
    </row>
    <row r="5212" spans="6:6">
      <c r="F5212" s="1"/>
    </row>
    <row r="5213" spans="6:6">
      <c r="F5213" s="1"/>
    </row>
    <row r="5214" spans="6:6">
      <c r="F5214" s="1"/>
    </row>
    <row r="5215" spans="6:6">
      <c r="F5215" s="1"/>
    </row>
    <row r="5216" spans="6:6">
      <c r="F5216" s="1"/>
    </row>
    <row r="5217" spans="6:6">
      <c r="F5217" s="1"/>
    </row>
    <row r="5218" spans="6:6">
      <c r="F5218" s="1"/>
    </row>
    <row r="5219" spans="6:6">
      <c r="F5219" s="1"/>
    </row>
    <row r="5220" spans="6:6">
      <c r="F5220" s="1"/>
    </row>
    <row r="5221" spans="6:6">
      <c r="F5221" s="1"/>
    </row>
    <row r="5222" spans="6:6">
      <c r="F5222" s="1"/>
    </row>
    <row r="5223" spans="6:6">
      <c r="F5223" s="1"/>
    </row>
    <row r="5224" spans="6:6">
      <c r="F5224" s="1"/>
    </row>
    <row r="5225" spans="6:6">
      <c r="F5225" s="1"/>
    </row>
    <row r="5226" spans="6:6">
      <c r="F5226" s="1"/>
    </row>
    <row r="5227" spans="6:6">
      <c r="F5227" s="1"/>
    </row>
    <row r="5228" spans="6:6">
      <c r="F5228" s="1"/>
    </row>
    <row r="5229" spans="6:6">
      <c r="F5229" s="1"/>
    </row>
    <row r="5230" spans="6:6">
      <c r="F5230" s="1"/>
    </row>
    <row r="5231" spans="6:6">
      <c r="F5231" s="1"/>
    </row>
    <row r="5232" spans="6:6">
      <c r="F5232" s="1"/>
    </row>
    <row r="5233" spans="6:6">
      <c r="F5233" s="1"/>
    </row>
    <row r="5234" spans="6:6">
      <c r="F5234" s="1"/>
    </row>
    <row r="5235" spans="6:6">
      <c r="F5235" s="1"/>
    </row>
    <row r="5236" spans="6:6">
      <c r="F5236" s="1"/>
    </row>
    <row r="5237" spans="6:6">
      <c r="F5237" s="1"/>
    </row>
    <row r="5238" spans="6:6">
      <c r="F5238" s="1"/>
    </row>
    <row r="5239" spans="6:6">
      <c r="F5239" s="1"/>
    </row>
    <row r="5240" spans="6:6">
      <c r="F5240" s="1"/>
    </row>
    <row r="5241" spans="6:6">
      <c r="F5241" s="1"/>
    </row>
    <row r="5242" spans="6:6">
      <c r="F5242" s="1"/>
    </row>
    <row r="5243" spans="6:6">
      <c r="F5243" s="1"/>
    </row>
    <row r="5244" spans="6:6">
      <c r="F5244" s="1"/>
    </row>
    <row r="5245" spans="6:6">
      <c r="F5245" s="1"/>
    </row>
    <row r="5246" spans="6:6">
      <c r="F5246" s="1"/>
    </row>
    <row r="5247" spans="6:6">
      <c r="F5247" s="1"/>
    </row>
    <row r="5248" spans="6:6">
      <c r="F5248" s="1"/>
    </row>
    <row r="5249" spans="6:6">
      <c r="F5249" s="1"/>
    </row>
    <row r="5250" spans="6:6">
      <c r="F5250" s="1"/>
    </row>
    <row r="5251" spans="6:6">
      <c r="F5251" s="1"/>
    </row>
    <row r="5252" spans="6:6">
      <c r="F5252" s="1"/>
    </row>
    <row r="5253" spans="6:6">
      <c r="F5253" s="1"/>
    </row>
    <row r="5254" spans="6:6">
      <c r="F5254" s="1"/>
    </row>
    <row r="5255" spans="6:6">
      <c r="F5255" s="1"/>
    </row>
    <row r="5256" spans="6:6">
      <c r="F5256" s="1"/>
    </row>
    <row r="5257" spans="6:6">
      <c r="F5257" s="1"/>
    </row>
    <row r="5258" spans="6:6">
      <c r="F5258" s="1"/>
    </row>
    <row r="5259" spans="6:6">
      <c r="F5259" s="1"/>
    </row>
    <row r="5260" spans="6:6">
      <c r="F5260" s="1"/>
    </row>
    <row r="5261" spans="6:6">
      <c r="F5261" s="1"/>
    </row>
    <row r="5262" spans="6:6">
      <c r="F5262" s="1"/>
    </row>
    <row r="5263" spans="6:6">
      <c r="F5263" s="1"/>
    </row>
    <row r="5264" spans="6:6">
      <c r="F5264" s="1"/>
    </row>
    <row r="5265" spans="6:6">
      <c r="F5265" s="1"/>
    </row>
    <row r="5266" spans="6:6">
      <c r="F5266" s="1"/>
    </row>
    <row r="5267" spans="6:6">
      <c r="F5267" s="1"/>
    </row>
    <row r="5268" spans="6:6">
      <c r="F5268" s="1"/>
    </row>
    <row r="5269" spans="6:6">
      <c r="F5269" s="1"/>
    </row>
    <row r="5270" spans="6:6">
      <c r="F5270" s="1"/>
    </row>
    <row r="5271" spans="6:6">
      <c r="F5271" s="1"/>
    </row>
    <row r="5272" spans="6:6">
      <c r="F5272" s="1"/>
    </row>
    <row r="5273" spans="6:6">
      <c r="F5273" s="1"/>
    </row>
    <row r="5274" spans="6:6">
      <c r="F5274" s="1"/>
    </row>
    <row r="5275" spans="6:6">
      <c r="F5275" s="1"/>
    </row>
    <row r="5276" spans="6:6">
      <c r="F5276" s="1"/>
    </row>
    <row r="5277" spans="6:6">
      <c r="F5277" s="1"/>
    </row>
    <row r="5278" spans="6:6">
      <c r="F5278" s="1"/>
    </row>
    <row r="5279" spans="6:6">
      <c r="F5279" s="1"/>
    </row>
    <row r="5280" spans="6:6">
      <c r="F5280" s="1"/>
    </row>
    <row r="5281" spans="6:6">
      <c r="F5281" s="1"/>
    </row>
    <row r="5282" spans="6:6">
      <c r="F5282" s="1"/>
    </row>
    <row r="5283" spans="6:6">
      <c r="F5283" s="1"/>
    </row>
    <row r="5284" spans="6:6">
      <c r="F5284" s="1"/>
    </row>
    <row r="5285" spans="6:6">
      <c r="F5285" s="1"/>
    </row>
    <row r="5286" spans="6:6">
      <c r="F5286" s="1"/>
    </row>
    <row r="5287" spans="6:6">
      <c r="F5287" s="1"/>
    </row>
    <row r="5288" spans="6:6">
      <c r="F5288" s="1"/>
    </row>
    <row r="5289" spans="6:6">
      <c r="F5289" s="1"/>
    </row>
    <row r="5290" spans="6:6">
      <c r="F5290" s="1"/>
    </row>
    <row r="5291" spans="6:6">
      <c r="F5291" s="1"/>
    </row>
    <row r="5292" spans="6:6">
      <c r="F5292" s="1"/>
    </row>
    <row r="5293" spans="6:6">
      <c r="F5293" s="1"/>
    </row>
    <row r="5294" spans="6:6">
      <c r="F5294" s="1"/>
    </row>
    <row r="5295" spans="6:6">
      <c r="F5295" s="1"/>
    </row>
    <row r="5296" spans="6:6">
      <c r="F5296" s="1"/>
    </row>
    <row r="5297" spans="6:6">
      <c r="F5297" s="1"/>
    </row>
    <row r="5298" spans="6:6">
      <c r="F5298" s="1"/>
    </row>
    <row r="5299" spans="6:6">
      <c r="F5299" s="1"/>
    </row>
    <row r="5300" spans="6:6">
      <c r="F5300" s="1"/>
    </row>
    <row r="5301" spans="6:6">
      <c r="F5301" s="1"/>
    </row>
    <row r="5302" spans="6:6">
      <c r="F5302" s="1"/>
    </row>
    <row r="5303" spans="6:6">
      <c r="F5303" s="1"/>
    </row>
    <row r="5304" spans="6:6">
      <c r="F5304" s="1"/>
    </row>
    <row r="5305" spans="6:6">
      <c r="F5305" s="1"/>
    </row>
    <row r="5306" spans="6:6">
      <c r="F5306" s="1"/>
    </row>
    <row r="5307" spans="6:6">
      <c r="F5307" s="1"/>
    </row>
    <row r="5308" spans="6:6">
      <c r="F5308" s="1"/>
    </row>
    <row r="5309" spans="6:6">
      <c r="F5309" s="1"/>
    </row>
    <row r="5310" spans="6:6">
      <c r="F5310" s="1"/>
    </row>
    <row r="5311" spans="6:6">
      <c r="F5311" s="1"/>
    </row>
    <row r="5312" spans="6:6">
      <c r="F5312" s="1"/>
    </row>
    <row r="5313" spans="6:6">
      <c r="F5313" s="1"/>
    </row>
    <row r="5314" spans="6:6">
      <c r="F5314" s="1"/>
    </row>
    <row r="5315" spans="6:6">
      <c r="F5315" s="1"/>
    </row>
    <row r="5316" spans="6:6">
      <c r="F5316" s="1"/>
    </row>
    <row r="5317" spans="6:6">
      <c r="F5317" s="1"/>
    </row>
    <row r="5318" spans="6:6">
      <c r="F5318" s="1"/>
    </row>
    <row r="5319" spans="6:6">
      <c r="F5319" s="1"/>
    </row>
    <row r="5320" spans="6:6">
      <c r="F5320" s="1"/>
    </row>
    <row r="5321" spans="6:6">
      <c r="F5321" s="1"/>
    </row>
    <row r="5322" spans="6:6">
      <c r="F5322" s="1"/>
    </row>
    <row r="5323" spans="6:6">
      <c r="F5323" s="1"/>
    </row>
    <row r="5324" spans="6:6">
      <c r="F5324" s="1"/>
    </row>
    <row r="5325" spans="6:6">
      <c r="F5325" s="1"/>
    </row>
    <row r="5326" spans="6:6">
      <c r="F5326" s="1"/>
    </row>
    <row r="5327" spans="6:6">
      <c r="F5327" s="1"/>
    </row>
    <row r="5328" spans="6:6">
      <c r="F5328" s="1"/>
    </row>
    <row r="5329" spans="6:6">
      <c r="F5329" s="1"/>
    </row>
    <row r="5330" spans="6:6">
      <c r="F5330" s="1"/>
    </row>
    <row r="5331" spans="6:6">
      <c r="F5331" s="1"/>
    </row>
    <row r="5332" spans="6:6">
      <c r="F5332" s="1"/>
    </row>
    <row r="5333" spans="6:6">
      <c r="F5333" s="1"/>
    </row>
    <row r="5334" spans="6:6">
      <c r="F5334" s="1"/>
    </row>
    <row r="5335" spans="6:6">
      <c r="F5335" s="1"/>
    </row>
    <row r="5336" spans="6:6">
      <c r="F5336" s="1"/>
    </row>
    <row r="5337" spans="6:6">
      <c r="F5337" s="1"/>
    </row>
    <row r="5338" spans="6:6">
      <c r="F5338" s="1"/>
    </row>
    <row r="5339" spans="6:6">
      <c r="F5339" s="1"/>
    </row>
    <row r="5340" spans="6:6">
      <c r="F5340" s="1"/>
    </row>
    <row r="5341" spans="6:6">
      <c r="F5341" s="1"/>
    </row>
    <row r="5342" spans="6:6">
      <c r="F5342" s="1"/>
    </row>
    <row r="5343" spans="6:6">
      <c r="F5343" s="1"/>
    </row>
    <row r="5344" spans="6:6">
      <c r="F5344" s="1"/>
    </row>
    <row r="5345" spans="6:6">
      <c r="F5345" s="1"/>
    </row>
    <row r="5346" spans="6:6">
      <c r="F5346" s="1"/>
    </row>
    <row r="5347" spans="6:6">
      <c r="F5347" s="1"/>
    </row>
    <row r="5348" spans="6:6">
      <c r="F5348" s="1"/>
    </row>
    <row r="5349" spans="6:6">
      <c r="F5349" s="1"/>
    </row>
    <row r="5350" spans="6:6">
      <c r="F5350" s="1"/>
    </row>
    <row r="5351" spans="6:6">
      <c r="F5351" s="1"/>
    </row>
    <row r="5352" spans="6:6">
      <c r="F5352" s="1"/>
    </row>
    <row r="5353" spans="6:6">
      <c r="F5353" s="1"/>
    </row>
    <row r="5354" spans="6:6">
      <c r="F5354" s="1"/>
    </row>
    <row r="5355" spans="6:6">
      <c r="F5355" s="1"/>
    </row>
    <row r="5356" spans="6:6">
      <c r="F5356" s="1"/>
    </row>
    <row r="5357" spans="6:6">
      <c r="F5357" s="1"/>
    </row>
    <row r="5358" spans="6:6">
      <c r="F5358" s="1"/>
    </row>
    <row r="5359" spans="6:6">
      <c r="F5359" s="1"/>
    </row>
    <row r="5360" spans="6:6">
      <c r="F5360" s="1"/>
    </row>
    <row r="5361" spans="6:6">
      <c r="F5361" s="1"/>
    </row>
    <row r="5362" spans="6:6">
      <c r="F5362" s="1"/>
    </row>
    <row r="5363" spans="6:6">
      <c r="F5363" s="1"/>
    </row>
    <row r="5364" spans="6:6">
      <c r="F5364" s="1"/>
    </row>
    <row r="5365" spans="6:6">
      <c r="F5365" s="1"/>
    </row>
    <row r="5366" spans="6:6">
      <c r="F5366" s="1"/>
    </row>
    <row r="5367" spans="6:6">
      <c r="F5367" s="1"/>
    </row>
    <row r="5368" spans="6:6">
      <c r="F5368" s="1"/>
    </row>
    <row r="5369" spans="6:6">
      <c r="F5369" s="1"/>
    </row>
    <row r="5370" spans="6:6">
      <c r="F5370" s="1"/>
    </row>
    <row r="5371" spans="6:6">
      <c r="F5371" s="1"/>
    </row>
    <row r="5372" spans="6:6">
      <c r="F5372" s="1"/>
    </row>
    <row r="5373" spans="6:6">
      <c r="F5373" s="1"/>
    </row>
    <row r="5374" spans="6:6">
      <c r="F5374" s="1"/>
    </row>
    <row r="5375" spans="6:6">
      <c r="F5375" s="1"/>
    </row>
    <row r="5376" spans="6:6">
      <c r="F5376" s="1"/>
    </row>
    <row r="5377" spans="6:6">
      <c r="F5377" s="1"/>
    </row>
    <row r="5378" spans="6:6">
      <c r="F5378" s="1"/>
    </row>
    <row r="5379" spans="6:6">
      <c r="F5379" s="1"/>
    </row>
    <row r="5380" spans="6:6">
      <c r="F5380" s="1"/>
    </row>
    <row r="5381" spans="6:6">
      <c r="F5381" s="1"/>
    </row>
    <row r="5382" spans="6:6">
      <c r="F5382" s="1"/>
    </row>
    <row r="5383" spans="6:6">
      <c r="F5383" s="1"/>
    </row>
    <row r="5384" spans="6:6">
      <c r="F5384" s="1"/>
    </row>
    <row r="5385" spans="6:6">
      <c r="F5385" s="1"/>
    </row>
    <row r="5386" spans="6:6">
      <c r="F5386" s="1"/>
    </row>
    <row r="5387" spans="6:6">
      <c r="F5387" s="1"/>
    </row>
    <row r="5388" spans="6:6">
      <c r="F5388" s="1"/>
    </row>
    <row r="5389" spans="6:6">
      <c r="F5389" s="1"/>
    </row>
    <row r="5390" spans="6:6">
      <c r="F5390" s="1"/>
    </row>
    <row r="5391" spans="6:6">
      <c r="F5391" s="1"/>
    </row>
    <row r="5392" spans="6:6">
      <c r="F5392" s="1"/>
    </row>
    <row r="5393" spans="6:6">
      <c r="F5393" s="1"/>
    </row>
    <row r="5394" spans="6:6">
      <c r="F5394" s="1"/>
    </row>
    <row r="5395" spans="6:6">
      <c r="F5395" s="1"/>
    </row>
    <row r="5396" spans="6:6">
      <c r="F5396" s="1"/>
    </row>
    <row r="5397" spans="6:6">
      <c r="F5397" s="1"/>
    </row>
    <row r="5398" spans="6:6">
      <c r="F5398" s="1"/>
    </row>
    <row r="5399" spans="6:6">
      <c r="F5399" s="1"/>
    </row>
    <row r="5400" spans="6:6">
      <c r="F5400" s="1"/>
    </row>
    <row r="5401" spans="6:6">
      <c r="F5401" s="1"/>
    </row>
    <row r="5402" spans="6:6">
      <c r="F5402" s="1"/>
    </row>
    <row r="5403" spans="6:6">
      <c r="F5403" s="1"/>
    </row>
    <row r="5404" spans="6:6">
      <c r="F5404" s="1"/>
    </row>
    <row r="5405" spans="6:6">
      <c r="F5405" s="1"/>
    </row>
    <row r="5406" spans="6:6">
      <c r="F5406" s="1"/>
    </row>
    <row r="5407" spans="6:6">
      <c r="F5407" s="1"/>
    </row>
    <row r="5408" spans="6:6">
      <c r="F5408" s="1"/>
    </row>
    <row r="5409" spans="6:6">
      <c r="F5409" s="1"/>
    </row>
    <row r="5410" spans="6:6">
      <c r="F5410" s="1"/>
    </row>
    <row r="5411" spans="6:6">
      <c r="F5411" s="1"/>
    </row>
    <row r="5412" spans="6:6">
      <c r="F5412" s="1"/>
    </row>
    <row r="5413" spans="6:6">
      <c r="F5413" s="1"/>
    </row>
    <row r="5414" spans="6:6">
      <c r="F5414" s="1"/>
    </row>
    <row r="5415" spans="6:6">
      <c r="F5415" s="1"/>
    </row>
    <row r="5416" spans="6:6">
      <c r="F5416" s="1"/>
    </row>
    <row r="5417" spans="6:6">
      <c r="F5417" s="1"/>
    </row>
    <row r="5418" spans="6:6">
      <c r="F5418" s="1"/>
    </row>
    <row r="5419" spans="6:6">
      <c r="F5419" s="1"/>
    </row>
    <row r="5420" spans="6:6">
      <c r="F5420" s="1"/>
    </row>
    <row r="5421" spans="6:6">
      <c r="F5421" s="1"/>
    </row>
    <row r="5422" spans="6:6">
      <c r="F5422" s="1"/>
    </row>
    <row r="5423" spans="6:6">
      <c r="F5423" s="1"/>
    </row>
    <row r="5424" spans="6:6">
      <c r="F5424" s="1"/>
    </row>
    <row r="5425" spans="6:6">
      <c r="F5425" s="1"/>
    </row>
    <row r="5426" spans="6:6">
      <c r="F5426" s="1"/>
    </row>
    <row r="5427" spans="6:6">
      <c r="F5427" s="1"/>
    </row>
    <row r="5428" spans="6:6">
      <c r="F5428" s="1"/>
    </row>
    <row r="5429" spans="6:6">
      <c r="F5429" s="1"/>
    </row>
    <row r="5430" spans="6:6">
      <c r="F5430" s="1"/>
    </row>
    <row r="5431" spans="6:6">
      <c r="F5431" s="1"/>
    </row>
    <row r="5432" spans="6:6">
      <c r="F5432" s="1"/>
    </row>
    <row r="5433" spans="6:6">
      <c r="F5433" s="1"/>
    </row>
    <row r="5434" spans="6:6">
      <c r="F5434" s="1"/>
    </row>
    <row r="5435" spans="6:6">
      <c r="F5435" s="1"/>
    </row>
    <row r="5436" spans="6:6">
      <c r="F5436" s="1"/>
    </row>
    <row r="5437" spans="6:6">
      <c r="F5437" s="1"/>
    </row>
    <row r="5438" spans="6:6">
      <c r="F5438" s="1"/>
    </row>
    <row r="5439" spans="6:6">
      <c r="F5439" s="1"/>
    </row>
    <row r="5440" spans="6:6">
      <c r="F5440" s="1"/>
    </row>
    <row r="5441" spans="6:6">
      <c r="F5441" s="1"/>
    </row>
    <row r="5442" spans="6:6">
      <c r="F5442" s="1"/>
    </row>
    <row r="5443" spans="6:6">
      <c r="F5443" s="1"/>
    </row>
    <row r="5444" spans="6:6">
      <c r="F5444" s="1"/>
    </row>
    <row r="5445" spans="6:6">
      <c r="F5445" s="1"/>
    </row>
    <row r="5446" spans="6:6">
      <c r="F5446" s="1"/>
    </row>
    <row r="5447" spans="6:6">
      <c r="F5447" s="1"/>
    </row>
    <row r="5448" spans="6:6">
      <c r="F5448" s="1"/>
    </row>
    <row r="5449" spans="6:6">
      <c r="F5449" s="1"/>
    </row>
    <row r="5450" spans="6:6">
      <c r="F5450" s="1"/>
    </row>
    <row r="5451" spans="6:6">
      <c r="F5451" s="1"/>
    </row>
    <row r="5452" spans="6:6">
      <c r="F5452" s="1"/>
    </row>
    <row r="5453" spans="6:6">
      <c r="F5453" s="1"/>
    </row>
    <row r="5454" spans="6:6">
      <c r="F5454" s="1"/>
    </row>
    <row r="5455" spans="6:6">
      <c r="F5455" s="1"/>
    </row>
    <row r="5456" spans="6:6">
      <c r="F5456" s="1"/>
    </row>
    <row r="5457" spans="6:6">
      <c r="F5457" s="1"/>
    </row>
    <row r="5458" spans="6:6">
      <c r="F5458" s="1"/>
    </row>
    <row r="5459" spans="6:6">
      <c r="F5459" s="1"/>
    </row>
    <row r="5460" spans="6:6">
      <c r="F5460" s="1"/>
    </row>
    <row r="5461" spans="6:6">
      <c r="F5461" s="1"/>
    </row>
    <row r="5462" spans="6:6">
      <c r="F5462" s="1"/>
    </row>
    <row r="5463" spans="6:6">
      <c r="F5463" s="1"/>
    </row>
    <row r="5464" spans="6:6">
      <c r="F5464" s="1"/>
    </row>
    <row r="5465" spans="6:6">
      <c r="F5465" s="1"/>
    </row>
    <row r="5466" spans="6:6">
      <c r="F5466" s="1"/>
    </row>
    <row r="5467" spans="6:6">
      <c r="F5467" s="1"/>
    </row>
    <row r="5468" spans="6:6">
      <c r="F5468" s="1"/>
    </row>
    <row r="5469" spans="6:6">
      <c r="F5469" s="1"/>
    </row>
    <row r="5470" spans="6:6">
      <c r="F5470" s="1"/>
    </row>
    <row r="5471" spans="6:6">
      <c r="F5471" s="1"/>
    </row>
    <row r="5472" spans="6:6">
      <c r="F5472" s="1"/>
    </row>
    <row r="5473" spans="6:6">
      <c r="F5473" s="1"/>
    </row>
    <row r="5474" spans="6:6">
      <c r="F5474" s="1"/>
    </row>
    <row r="5475" spans="6:6">
      <c r="F5475" s="1"/>
    </row>
    <row r="5476" spans="6:6">
      <c r="F5476" s="1"/>
    </row>
    <row r="5477" spans="6:6">
      <c r="F5477" s="1"/>
    </row>
    <row r="5478" spans="6:6">
      <c r="F5478" s="1"/>
    </row>
    <row r="5479" spans="6:6">
      <c r="F5479" s="1"/>
    </row>
    <row r="5480" spans="6:6">
      <c r="F5480" s="1"/>
    </row>
    <row r="5481" spans="6:6">
      <c r="F5481" s="1"/>
    </row>
    <row r="5482" spans="6:6">
      <c r="F5482" s="1"/>
    </row>
    <row r="5483" spans="6:6">
      <c r="F5483" s="1"/>
    </row>
    <row r="5484" spans="6:6">
      <c r="F5484" s="1"/>
    </row>
    <row r="5485" spans="6:6">
      <c r="F5485" s="1"/>
    </row>
    <row r="5486" spans="6:6">
      <c r="F5486" s="1"/>
    </row>
    <row r="5487" spans="6:6">
      <c r="F5487" s="1"/>
    </row>
    <row r="5488" spans="6:6">
      <c r="F5488" s="1"/>
    </row>
    <row r="5489" spans="6:6">
      <c r="F5489" s="1"/>
    </row>
    <row r="5490" spans="6:6">
      <c r="F5490" s="1"/>
    </row>
    <row r="5491" spans="6:6">
      <c r="F5491" s="1"/>
    </row>
    <row r="5492" spans="6:6">
      <c r="F5492" s="1"/>
    </row>
    <row r="5493" spans="6:6">
      <c r="F5493" s="1"/>
    </row>
    <row r="5494" spans="6:6">
      <c r="F5494" s="1"/>
    </row>
    <row r="5495" spans="6:6">
      <c r="F5495" s="1"/>
    </row>
    <row r="5496" spans="6:6">
      <c r="F5496" s="1"/>
    </row>
    <row r="5497" spans="6:6">
      <c r="F5497" s="1"/>
    </row>
    <row r="5498" spans="6:6">
      <c r="F5498" s="1"/>
    </row>
    <row r="5499" spans="6:6">
      <c r="F5499" s="1"/>
    </row>
    <row r="5500" spans="6:6">
      <c r="F5500" s="1"/>
    </row>
    <row r="5501" spans="6:6">
      <c r="F5501" s="1"/>
    </row>
    <row r="5502" spans="6:6">
      <c r="F5502" s="1"/>
    </row>
    <row r="5503" spans="6:6">
      <c r="F5503" s="1"/>
    </row>
    <row r="5504" spans="6:6">
      <c r="F5504" s="1"/>
    </row>
    <row r="5505" spans="6:6">
      <c r="F5505" s="1"/>
    </row>
    <row r="5506" spans="6:6">
      <c r="F5506" s="1"/>
    </row>
    <row r="5507" spans="6:6">
      <c r="F5507" s="1"/>
    </row>
    <row r="5508" spans="6:6">
      <c r="F5508" s="1"/>
    </row>
    <row r="5509" spans="6:6">
      <c r="F5509" s="1"/>
    </row>
    <row r="5510" spans="6:6">
      <c r="F5510" s="1"/>
    </row>
    <row r="5511" spans="6:6">
      <c r="F5511" s="1"/>
    </row>
    <row r="5512" spans="6:6">
      <c r="F5512" s="1"/>
    </row>
    <row r="5513" spans="6:6">
      <c r="F5513" s="1"/>
    </row>
    <row r="5514" spans="6:6">
      <c r="F5514" s="1"/>
    </row>
    <row r="5515" spans="6:6">
      <c r="F5515" s="1"/>
    </row>
    <row r="5516" spans="6:6">
      <c r="F5516" s="1"/>
    </row>
    <row r="5517" spans="6:6">
      <c r="F5517" s="1"/>
    </row>
    <row r="5518" spans="6:6">
      <c r="F5518" s="1"/>
    </row>
    <row r="5519" spans="6:6">
      <c r="F5519" s="1"/>
    </row>
    <row r="5520" spans="6:6">
      <c r="F5520" s="1"/>
    </row>
    <row r="5521" spans="6:6">
      <c r="F5521" s="1"/>
    </row>
    <row r="5522" spans="6:6">
      <c r="F5522" s="1"/>
    </row>
    <row r="5523" spans="6:6">
      <c r="F5523" s="1"/>
    </row>
    <row r="5524" spans="6:6">
      <c r="F5524" s="1"/>
    </row>
    <row r="5525" spans="6:6">
      <c r="F5525" s="1"/>
    </row>
    <row r="5526" spans="6:6">
      <c r="F5526" s="1"/>
    </row>
    <row r="5527" spans="6:6">
      <c r="F5527" s="1"/>
    </row>
    <row r="5528" spans="6:6">
      <c r="F5528" s="1"/>
    </row>
    <row r="5529" spans="6:6">
      <c r="F5529" s="1"/>
    </row>
    <row r="5530" spans="6:6">
      <c r="F5530" s="1"/>
    </row>
    <row r="5531" spans="6:6">
      <c r="F5531" s="1"/>
    </row>
    <row r="5532" spans="6:6">
      <c r="F5532" s="1"/>
    </row>
    <row r="5533" spans="6:6">
      <c r="F5533" s="1"/>
    </row>
    <row r="5534" spans="6:6">
      <c r="F5534" s="1"/>
    </row>
    <row r="5535" spans="6:6">
      <c r="F5535" s="1"/>
    </row>
    <row r="5536" spans="6:6">
      <c r="F5536" s="1"/>
    </row>
    <row r="5537" spans="6:6">
      <c r="F5537" s="1"/>
    </row>
    <row r="5538" spans="6:6">
      <c r="F5538" s="1"/>
    </row>
    <row r="5539" spans="6:6">
      <c r="F5539" s="1"/>
    </row>
    <row r="5540" spans="6:6">
      <c r="F5540" s="1"/>
    </row>
    <row r="5541" spans="6:6">
      <c r="F5541" s="1"/>
    </row>
    <row r="5542" spans="6:6">
      <c r="F5542" s="1"/>
    </row>
    <row r="5543" spans="6:6">
      <c r="F5543" s="1"/>
    </row>
    <row r="5544" spans="6:6">
      <c r="F5544" s="1"/>
    </row>
    <row r="5545" spans="6:6">
      <c r="F5545" s="1"/>
    </row>
    <row r="5546" spans="6:6">
      <c r="F5546" s="1"/>
    </row>
    <row r="5547" spans="6:6">
      <c r="F5547" s="1"/>
    </row>
    <row r="5548" spans="6:6">
      <c r="F5548" s="1"/>
    </row>
    <row r="5549" spans="6:6">
      <c r="F5549" s="1"/>
    </row>
    <row r="5550" spans="6:6">
      <c r="F5550" s="1"/>
    </row>
    <row r="5551" spans="6:6">
      <c r="F5551" s="1"/>
    </row>
    <row r="5552" spans="6:6">
      <c r="F5552" s="1"/>
    </row>
    <row r="5553" spans="6:6">
      <c r="F5553" s="1"/>
    </row>
    <row r="5554" spans="6:6">
      <c r="F5554" s="1"/>
    </row>
    <row r="5555" spans="6:6">
      <c r="F5555" s="1"/>
    </row>
    <row r="5556" spans="6:6">
      <c r="F5556" s="1"/>
    </row>
    <row r="5557" spans="6:6">
      <c r="F5557" s="1"/>
    </row>
    <row r="5558" spans="6:6">
      <c r="F5558" s="1"/>
    </row>
    <row r="5559" spans="6:6">
      <c r="F5559" s="1"/>
    </row>
    <row r="5560" spans="6:6">
      <c r="F5560" s="1"/>
    </row>
    <row r="5561" spans="6:6">
      <c r="F5561" s="1"/>
    </row>
    <row r="5562" spans="6:6">
      <c r="F5562" s="1"/>
    </row>
    <row r="5563" spans="6:6">
      <c r="F5563" s="1"/>
    </row>
    <row r="5564" spans="6:6">
      <c r="F5564" s="1"/>
    </row>
    <row r="5565" spans="6:6">
      <c r="F5565" s="1"/>
    </row>
    <row r="5566" spans="6:6">
      <c r="F5566" s="1"/>
    </row>
    <row r="5567" spans="6:6">
      <c r="F5567" s="1"/>
    </row>
    <row r="5568" spans="6:6">
      <c r="F5568" s="1"/>
    </row>
    <row r="5569" spans="6:6">
      <c r="F5569" s="1"/>
    </row>
    <row r="5570" spans="6:6">
      <c r="F5570" s="1"/>
    </row>
    <row r="5571" spans="6:6">
      <c r="F5571" s="1"/>
    </row>
    <row r="5572" spans="6:6">
      <c r="F5572" s="1"/>
    </row>
    <row r="5573" spans="6:6">
      <c r="F5573" s="1"/>
    </row>
    <row r="5574" spans="6:6">
      <c r="F5574" s="1"/>
    </row>
    <row r="5575" spans="6:6">
      <c r="F5575" s="1"/>
    </row>
    <row r="5576" spans="6:6">
      <c r="F5576" s="1"/>
    </row>
    <row r="5577" spans="6:6">
      <c r="F5577" s="1"/>
    </row>
    <row r="5578" spans="6:6">
      <c r="F5578" s="1"/>
    </row>
    <row r="5579" spans="6:6">
      <c r="F5579" s="1"/>
    </row>
    <row r="5580" spans="6:6">
      <c r="F5580" s="1"/>
    </row>
    <row r="5581" spans="6:6">
      <c r="F5581" s="1"/>
    </row>
    <row r="5582" spans="6:6">
      <c r="F5582" s="1"/>
    </row>
    <row r="5583" spans="6:6">
      <c r="F5583" s="1"/>
    </row>
    <row r="5584" spans="6:6">
      <c r="F5584" s="1"/>
    </row>
    <row r="5585" spans="6:6">
      <c r="F5585" s="1"/>
    </row>
    <row r="5586" spans="6:6">
      <c r="F5586" s="1"/>
    </row>
    <row r="5587" spans="6:6">
      <c r="F5587" s="1"/>
    </row>
    <row r="5588" spans="6:6">
      <c r="F5588" s="1"/>
    </row>
    <row r="5589" spans="6:6">
      <c r="F5589" s="1"/>
    </row>
    <row r="5590" spans="6:6">
      <c r="F5590" s="1"/>
    </row>
    <row r="5591" spans="6:6">
      <c r="F5591" s="1"/>
    </row>
    <row r="5592" spans="6:6">
      <c r="F5592" s="1"/>
    </row>
    <row r="5593" spans="6:6">
      <c r="F5593" s="1"/>
    </row>
    <row r="5594" spans="6:6">
      <c r="F5594" s="1"/>
    </row>
    <row r="5595" spans="6:6">
      <c r="F5595" s="1"/>
    </row>
    <row r="5596" spans="6:6">
      <c r="F5596" s="1"/>
    </row>
    <row r="5597" spans="6:6">
      <c r="F5597" s="1"/>
    </row>
    <row r="5598" spans="6:6">
      <c r="F5598" s="1"/>
    </row>
    <row r="5599" spans="6:6">
      <c r="F5599" s="1"/>
    </row>
    <row r="5600" spans="6:6">
      <c r="F5600" s="1"/>
    </row>
    <row r="5601" spans="6:6">
      <c r="F5601" s="1"/>
    </row>
    <row r="5602" spans="6:6">
      <c r="F5602" s="1"/>
    </row>
    <row r="5603" spans="6:6">
      <c r="F5603" s="1"/>
    </row>
    <row r="5604" spans="6:6">
      <c r="F5604" s="1"/>
    </row>
    <row r="5605" spans="6:6">
      <c r="F5605" s="1"/>
    </row>
    <row r="5606" spans="6:6">
      <c r="F5606" s="1"/>
    </row>
    <row r="5607" spans="6:6">
      <c r="F5607" s="1"/>
    </row>
    <row r="5608" spans="6:6">
      <c r="F5608" s="1"/>
    </row>
    <row r="5609" spans="6:6">
      <c r="F5609" s="1"/>
    </row>
    <row r="5610" spans="6:6">
      <c r="F5610" s="1"/>
    </row>
    <row r="5611" spans="6:6">
      <c r="F5611" s="1"/>
    </row>
    <row r="5612" spans="6:6">
      <c r="F5612" s="1"/>
    </row>
    <row r="5613" spans="6:6">
      <c r="F5613" s="1"/>
    </row>
    <row r="5614" spans="6:6">
      <c r="F5614" s="1"/>
    </row>
    <row r="5615" spans="6:6">
      <c r="F5615" s="1"/>
    </row>
    <row r="5616" spans="6:6">
      <c r="F5616" s="1"/>
    </row>
    <row r="5617" spans="6:6">
      <c r="F5617" s="1"/>
    </row>
    <row r="5618" spans="6:6">
      <c r="F5618" s="1"/>
    </row>
    <row r="5619" spans="6:6">
      <c r="F5619" s="1"/>
    </row>
    <row r="5620" spans="6:6">
      <c r="F5620" s="1"/>
    </row>
    <row r="5621" spans="6:6">
      <c r="F5621" s="1"/>
    </row>
    <row r="5622" spans="6:6">
      <c r="F5622" s="1"/>
    </row>
    <row r="5623" spans="6:6">
      <c r="F5623" s="1"/>
    </row>
    <row r="5624" spans="6:6">
      <c r="F5624" s="1"/>
    </row>
    <row r="5625" spans="6:6">
      <c r="F5625" s="1"/>
    </row>
    <row r="5626" spans="6:6">
      <c r="F5626" s="1"/>
    </row>
    <row r="5627" spans="6:6">
      <c r="F5627" s="1"/>
    </row>
    <row r="5628" spans="6:6">
      <c r="F5628" s="1"/>
    </row>
    <row r="5629" spans="6:6">
      <c r="F5629" s="1"/>
    </row>
    <row r="5630" spans="6:6">
      <c r="F5630" s="1"/>
    </row>
    <row r="5631" spans="6:6">
      <c r="F5631" s="1"/>
    </row>
    <row r="5632" spans="6:6">
      <c r="F5632" s="1"/>
    </row>
    <row r="5633" spans="6:6">
      <c r="F5633" s="1"/>
    </row>
    <row r="5634" spans="6:6">
      <c r="F5634" s="1"/>
    </row>
    <row r="5635" spans="6:6">
      <c r="F5635" s="1"/>
    </row>
    <row r="5636" spans="6:6">
      <c r="F5636" s="1"/>
    </row>
    <row r="5637" spans="6:6">
      <c r="F5637" s="1"/>
    </row>
    <row r="5638" spans="6:6">
      <c r="F5638" s="1"/>
    </row>
    <row r="5639" spans="6:6">
      <c r="F5639" s="1"/>
    </row>
    <row r="5640" spans="6:6">
      <c r="F5640" s="1"/>
    </row>
    <row r="5641" spans="6:6">
      <c r="F5641" s="1"/>
    </row>
    <row r="5642" spans="6:6">
      <c r="F5642" s="1"/>
    </row>
    <row r="5643" spans="6:6">
      <c r="F5643" s="1"/>
    </row>
    <row r="5644" spans="6:6">
      <c r="F5644" s="1"/>
    </row>
    <row r="5645" spans="6:6">
      <c r="F5645" s="1"/>
    </row>
    <row r="5646" spans="6:6">
      <c r="F5646" s="1"/>
    </row>
    <row r="5647" spans="6:6">
      <c r="F5647" s="1"/>
    </row>
    <row r="5648" spans="6:6">
      <c r="F5648" s="1"/>
    </row>
    <row r="5649" spans="6:6">
      <c r="F5649" s="1"/>
    </row>
    <row r="5650" spans="6:6">
      <c r="F5650" s="1"/>
    </row>
    <row r="5651" spans="6:6">
      <c r="F5651" s="1"/>
    </row>
    <row r="5652" spans="6:6">
      <c r="F5652" s="1"/>
    </row>
    <row r="5653" spans="6:6">
      <c r="F5653" s="1"/>
    </row>
    <row r="5654" spans="6:6">
      <c r="F5654" s="1"/>
    </row>
    <row r="5655" spans="6:6">
      <c r="F5655" s="1"/>
    </row>
    <row r="5656" spans="6:6">
      <c r="F5656" s="1"/>
    </row>
    <row r="5657" spans="6:6">
      <c r="F5657" s="1"/>
    </row>
    <row r="5658" spans="6:6">
      <c r="F5658" s="1"/>
    </row>
    <row r="5659" spans="6:6">
      <c r="F5659" s="1"/>
    </row>
    <row r="5660" spans="6:6">
      <c r="F5660" s="1"/>
    </row>
    <row r="5661" spans="6:6">
      <c r="F5661" s="1"/>
    </row>
    <row r="5662" spans="6:6">
      <c r="F5662" s="1"/>
    </row>
    <row r="5663" spans="6:6">
      <c r="F5663" s="1"/>
    </row>
    <row r="5664" spans="6:6">
      <c r="F5664" s="1"/>
    </row>
    <row r="5665" spans="6:6">
      <c r="F5665" s="1"/>
    </row>
    <row r="5666" spans="6:6">
      <c r="F5666" s="1"/>
    </row>
    <row r="5667" spans="6:6">
      <c r="F5667" s="1"/>
    </row>
    <row r="5668" spans="6:6">
      <c r="F5668" s="1"/>
    </row>
    <row r="5669" spans="6:6">
      <c r="F5669" s="1"/>
    </row>
    <row r="5670" spans="6:6">
      <c r="F5670" s="1"/>
    </row>
    <row r="5671" spans="6:6">
      <c r="F5671" s="1"/>
    </row>
    <row r="5672" spans="6:6">
      <c r="F5672" s="1"/>
    </row>
    <row r="5673" spans="6:6">
      <c r="F5673" s="1"/>
    </row>
    <row r="5674" spans="6:6">
      <c r="F5674" s="1"/>
    </row>
    <row r="5675" spans="6:6">
      <c r="F5675" s="1"/>
    </row>
    <row r="5676" spans="6:6">
      <c r="F5676" s="1"/>
    </row>
    <row r="5677" spans="6:6">
      <c r="F5677" s="1"/>
    </row>
    <row r="5678" spans="6:6">
      <c r="F5678" s="1"/>
    </row>
    <row r="5679" spans="6:6">
      <c r="F5679" s="1"/>
    </row>
    <row r="5680" spans="6:6">
      <c r="F5680" s="1"/>
    </row>
    <row r="5681" spans="6:6">
      <c r="F5681" s="1"/>
    </row>
    <row r="5682" spans="6:6">
      <c r="F5682" s="1"/>
    </row>
    <row r="5683" spans="6:6">
      <c r="F5683" s="1"/>
    </row>
    <row r="5684" spans="6:6">
      <c r="F5684" s="1"/>
    </row>
    <row r="5685" spans="6:6">
      <c r="F5685" s="1"/>
    </row>
    <row r="5686" spans="6:6">
      <c r="F5686" s="1"/>
    </row>
    <row r="5687" spans="6:6">
      <c r="F5687" s="1"/>
    </row>
    <row r="5688" spans="6:6">
      <c r="F5688" s="1"/>
    </row>
    <row r="5689" spans="6:6">
      <c r="F5689" s="1"/>
    </row>
    <row r="5690" spans="6:6">
      <c r="F5690" s="1"/>
    </row>
    <row r="5691" spans="6:6">
      <c r="F5691" s="1"/>
    </row>
    <row r="5692" spans="6:6">
      <c r="F5692" s="1"/>
    </row>
    <row r="5693" spans="6:6">
      <c r="F5693" s="1"/>
    </row>
    <row r="5694" spans="6:6">
      <c r="F5694" s="1"/>
    </row>
    <row r="5695" spans="6:6">
      <c r="F5695" s="1"/>
    </row>
    <row r="5696" spans="6:6">
      <c r="F5696" s="1"/>
    </row>
    <row r="5697" spans="6:6">
      <c r="F5697" s="1"/>
    </row>
    <row r="5698" spans="6:6">
      <c r="F5698" s="1"/>
    </row>
    <row r="5699" spans="6:6">
      <c r="F5699" s="1"/>
    </row>
    <row r="5700" spans="6:6">
      <c r="F5700" s="1"/>
    </row>
    <row r="5701" spans="6:6">
      <c r="F5701" s="1"/>
    </row>
    <row r="5702" spans="6:6">
      <c r="F5702" s="1"/>
    </row>
    <row r="5703" spans="6:6">
      <c r="F5703" s="1"/>
    </row>
    <row r="5704" spans="6:6">
      <c r="F5704" s="1"/>
    </row>
    <row r="5705" spans="6:6">
      <c r="F5705" s="1"/>
    </row>
    <row r="5706" spans="6:6">
      <c r="F5706" s="1"/>
    </row>
    <row r="5707" spans="6:6">
      <c r="F5707" s="1"/>
    </row>
    <row r="5708" spans="6:6">
      <c r="F5708" s="1"/>
    </row>
    <row r="5709" spans="6:6">
      <c r="F5709" s="1"/>
    </row>
    <row r="5710" spans="6:6">
      <c r="F5710" s="1"/>
    </row>
    <row r="5711" spans="6:6">
      <c r="F5711" s="1"/>
    </row>
    <row r="5712" spans="6:6">
      <c r="F5712" s="1"/>
    </row>
    <row r="5713" spans="6:6">
      <c r="F5713" s="1"/>
    </row>
    <row r="5714" spans="6:6">
      <c r="F5714" s="1"/>
    </row>
    <row r="5715" spans="6:6">
      <c r="F5715" s="1"/>
    </row>
    <row r="5716" spans="6:6">
      <c r="F5716" s="1"/>
    </row>
    <row r="5717" spans="6:6">
      <c r="F5717" s="1"/>
    </row>
    <row r="5718" spans="6:6">
      <c r="F5718" s="1"/>
    </row>
    <row r="5719" spans="6:6">
      <c r="F5719" s="1"/>
    </row>
    <row r="5720" spans="6:6">
      <c r="F5720" s="1"/>
    </row>
    <row r="5721" spans="6:6">
      <c r="F5721" s="1"/>
    </row>
    <row r="5722" spans="6:6">
      <c r="F5722" s="1"/>
    </row>
    <row r="5723" spans="6:6">
      <c r="F5723" s="1"/>
    </row>
    <row r="5724" spans="6:6">
      <c r="F5724" s="1"/>
    </row>
    <row r="5725" spans="6:6">
      <c r="F5725" s="1"/>
    </row>
    <row r="5726" spans="6:6">
      <c r="F5726" s="1"/>
    </row>
    <row r="5727" spans="6:6">
      <c r="F5727" s="1"/>
    </row>
    <row r="5728" spans="6:6">
      <c r="F5728" s="1"/>
    </row>
    <row r="5729" spans="6:6">
      <c r="F5729" s="1"/>
    </row>
    <row r="5730" spans="6:6">
      <c r="F5730" s="1"/>
    </row>
    <row r="5731" spans="6:6">
      <c r="F5731" s="1"/>
    </row>
    <row r="5732" spans="6:6">
      <c r="F5732" s="1"/>
    </row>
    <row r="5733" spans="6:6">
      <c r="F5733" s="1"/>
    </row>
    <row r="5734" spans="6:6">
      <c r="F5734" s="1"/>
    </row>
    <row r="5735" spans="6:6">
      <c r="F5735" s="1"/>
    </row>
    <row r="5736" spans="6:6">
      <c r="F5736" s="1"/>
    </row>
    <row r="5737" spans="6:6">
      <c r="F5737" s="1"/>
    </row>
    <row r="5738" spans="6:6">
      <c r="F5738" s="1"/>
    </row>
    <row r="5739" spans="6:6">
      <c r="F5739" s="1"/>
    </row>
    <row r="5740" spans="6:6">
      <c r="F5740" s="1"/>
    </row>
    <row r="5741" spans="6:6">
      <c r="F5741" s="1"/>
    </row>
    <row r="5742" spans="6:6">
      <c r="F5742" s="1"/>
    </row>
    <row r="5743" spans="6:6">
      <c r="F5743" s="1"/>
    </row>
    <row r="5744" spans="6:6">
      <c r="F5744" s="1"/>
    </row>
    <row r="5745" spans="6:6">
      <c r="F5745" s="1"/>
    </row>
    <row r="5746" spans="6:6">
      <c r="F5746" s="1"/>
    </row>
    <row r="5747" spans="6:6">
      <c r="F5747" s="1"/>
    </row>
    <row r="5748" spans="6:6">
      <c r="F5748" s="1"/>
    </row>
    <row r="5749" spans="6:6">
      <c r="F5749" s="1"/>
    </row>
    <row r="5750" spans="6:6">
      <c r="F5750" s="1"/>
    </row>
    <row r="5751" spans="6:6">
      <c r="F5751" s="1"/>
    </row>
    <row r="5752" spans="6:6">
      <c r="F5752" s="1"/>
    </row>
    <row r="5753" spans="6:6">
      <c r="F5753" s="1"/>
    </row>
    <row r="5754" spans="6:6">
      <c r="F5754" s="1"/>
    </row>
    <row r="5755" spans="6:6">
      <c r="F5755" s="1"/>
    </row>
    <row r="5756" spans="6:6">
      <c r="F5756" s="1"/>
    </row>
    <row r="5757" spans="6:6">
      <c r="F5757" s="1"/>
    </row>
    <row r="5758" spans="6:6">
      <c r="F5758" s="1"/>
    </row>
    <row r="5759" spans="6:6">
      <c r="F5759" s="1"/>
    </row>
    <row r="5760" spans="6:6">
      <c r="F5760" s="1"/>
    </row>
    <row r="5761" spans="6:6">
      <c r="F5761" s="1"/>
    </row>
    <row r="5762" spans="6:6">
      <c r="F5762" s="1"/>
    </row>
    <row r="5763" spans="6:6">
      <c r="F5763" s="1"/>
    </row>
    <row r="5764" spans="6:6">
      <c r="F5764" s="1"/>
    </row>
    <row r="5765" spans="6:6">
      <c r="F5765" s="1"/>
    </row>
    <row r="5766" spans="6:6">
      <c r="F5766" s="1"/>
    </row>
    <row r="5767" spans="6:6">
      <c r="F5767" s="1"/>
    </row>
    <row r="5768" spans="6:6">
      <c r="F5768" s="1"/>
    </row>
    <row r="5769" spans="6:6">
      <c r="F5769" s="1"/>
    </row>
    <row r="5770" spans="6:6">
      <c r="F5770" s="1"/>
    </row>
    <row r="5771" spans="6:6">
      <c r="F5771" s="1"/>
    </row>
    <row r="5772" spans="6:6">
      <c r="F5772" s="1"/>
    </row>
    <row r="5773" spans="6:6">
      <c r="F5773" s="1"/>
    </row>
    <row r="5774" spans="6:6">
      <c r="F5774" s="1"/>
    </row>
    <row r="5775" spans="6:6">
      <c r="F5775" s="1"/>
    </row>
    <row r="5776" spans="6:6">
      <c r="F5776" s="1"/>
    </row>
    <row r="5777" spans="6:6">
      <c r="F5777" s="1"/>
    </row>
    <row r="5778" spans="6:6">
      <c r="F5778" s="1"/>
    </row>
    <row r="5779" spans="6:6">
      <c r="F5779" s="1"/>
    </row>
    <row r="5780" spans="6:6">
      <c r="F5780" s="1"/>
    </row>
    <row r="5781" spans="6:6">
      <c r="F5781" s="1"/>
    </row>
    <row r="5782" spans="6:6">
      <c r="F5782" s="1"/>
    </row>
    <row r="5783" spans="6:6">
      <c r="F5783" s="1"/>
    </row>
    <row r="5784" spans="6:6">
      <c r="F5784" s="1"/>
    </row>
    <row r="5785" spans="6:6">
      <c r="F5785" s="1"/>
    </row>
    <row r="5786" spans="6:6">
      <c r="F5786" s="1"/>
    </row>
    <row r="5787" spans="6:6">
      <c r="F5787" s="1"/>
    </row>
    <row r="5788" spans="6:6">
      <c r="F5788" s="1"/>
    </row>
    <row r="5789" spans="6:6">
      <c r="F5789" s="1"/>
    </row>
    <row r="5790" spans="6:6">
      <c r="F5790" s="1"/>
    </row>
    <row r="5791" spans="6:6">
      <c r="F5791" s="1"/>
    </row>
    <row r="5792" spans="6:6">
      <c r="F5792" s="1"/>
    </row>
    <row r="5793" spans="6:6">
      <c r="F5793" s="1"/>
    </row>
    <row r="5794" spans="6:6">
      <c r="F5794" s="1"/>
    </row>
    <row r="5795" spans="6:6">
      <c r="F5795" s="1"/>
    </row>
    <row r="5796" spans="6:6">
      <c r="F5796" s="1"/>
    </row>
    <row r="5797" spans="6:6">
      <c r="F5797" s="1"/>
    </row>
    <row r="5798" spans="6:6">
      <c r="F5798" s="1"/>
    </row>
    <row r="5799" spans="6:6">
      <c r="F5799" s="1"/>
    </row>
    <row r="5800" spans="6:6">
      <c r="F5800" s="1"/>
    </row>
    <row r="5801" spans="6:6">
      <c r="F5801" s="1"/>
    </row>
    <row r="5802" spans="6:6">
      <c r="F5802" s="1"/>
    </row>
    <row r="5803" spans="6:6">
      <c r="F5803" s="1"/>
    </row>
    <row r="5804" spans="6:6">
      <c r="F5804" s="1"/>
    </row>
    <row r="5805" spans="6:6">
      <c r="F5805" s="1"/>
    </row>
    <row r="5806" spans="6:6">
      <c r="F5806" s="1"/>
    </row>
    <row r="5807" spans="6:6">
      <c r="F5807" s="1"/>
    </row>
    <row r="5808" spans="6:6">
      <c r="F5808" s="1"/>
    </row>
    <row r="5809" spans="6:6">
      <c r="F5809" s="1"/>
    </row>
    <row r="5810" spans="6:6">
      <c r="F5810" s="1"/>
    </row>
    <row r="5811" spans="6:6">
      <c r="F5811" s="1"/>
    </row>
    <row r="5812" spans="6:6">
      <c r="F5812" s="1"/>
    </row>
    <row r="5813" spans="6:6">
      <c r="F5813" s="1"/>
    </row>
    <row r="5814" spans="6:6">
      <c r="F5814" s="1"/>
    </row>
    <row r="5815" spans="6:6">
      <c r="F5815" s="1"/>
    </row>
    <row r="5816" spans="6:6">
      <c r="F5816" s="1"/>
    </row>
    <row r="5817" spans="6:6">
      <c r="F5817" s="1"/>
    </row>
    <row r="5818" spans="6:6">
      <c r="F5818" s="1"/>
    </row>
    <row r="5819" spans="6:6">
      <c r="F5819" s="1"/>
    </row>
    <row r="5820" spans="6:6">
      <c r="F5820" s="1"/>
    </row>
    <row r="5821" spans="6:6">
      <c r="F5821" s="1"/>
    </row>
    <row r="5822" spans="6:6">
      <c r="F5822" s="1"/>
    </row>
    <row r="5823" spans="6:6">
      <c r="F5823" s="1"/>
    </row>
    <row r="5824" spans="6:6">
      <c r="F5824" s="1"/>
    </row>
    <row r="5825" spans="6:6">
      <c r="F5825" s="1"/>
    </row>
    <row r="5826" spans="6:6">
      <c r="F5826" s="1"/>
    </row>
    <row r="5827" spans="6:6">
      <c r="F5827" s="1"/>
    </row>
    <row r="5828" spans="6:6">
      <c r="F5828" s="1"/>
    </row>
    <row r="5829" spans="6:6">
      <c r="F5829" s="1"/>
    </row>
    <row r="5830" spans="6:6">
      <c r="F5830" s="1"/>
    </row>
    <row r="5831" spans="6:6">
      <c r="F5831" s="1"/>
    </row>
    <row r="5832" spans="6:6">
      <c r="F5832" s="1"/>
    </row>
    <row r="5833" spans="6:6">
      <c r="F5833" s="1"/>
    </row>
    <row r="5834" spans="6:6">
      <c r="F5834" s="1"/>
    </row>
    <row r="5835" spans="6:6">
      <c r="F5835" s="1"/>
    </row>
    <row r="5836" spans="6:6">
      <c r="F5836" s="1"/>
    </row>
    <row r="5837" spans="6:6">
      <c r="F5837" s="1"/>
    </row>
    <row r="5838" spans="6:6">
      <c r="F5838" s="1"/>
    </row>
    <row r="5839" spans="6:6">
      <c r="F5839" s="1"/>
    </row>
    <row r="5840" spans="6:6">
      <c r="F5840" s="1"/>
    </row>
    <row r="5841" spans="6:6">
      <c r="F5841" s="1"/>
    </row>
    <row r="5842" spans="6:6">
      <c r="F5842" s="1"/>
    </row>
    <row r="5843" spans="6:6">
      <c r="F5843" s="1"/>
    </row>
    <row r="5844" spans="6:6">
      <c r="F5844" s="1"/>
    </row>
    <row r="5845" spans="6:6">
      <c r="F5845" s="1"/>
    </row>
    <row r="5846" spans="6:6">
      <c r="F5846" s="1"/>
    </row>
    <row r="5847" spans="6:6">
      <c r="F5847" s="1"/>
    </row>
    <row r="5848" spans="6:6">
      <c r="F5848" s="1"/>
    </row>
    <row r="5849" spans="6:6">
      <c r="F5849" s="1"/>
    </row>
    <row r="5850" spans="6:6">
      <c r="F5850" s="1"/>
    </row>
    <row r="5851" spans="6:6">
      <c r="F5851" s="1"/>
    </row>
    <row r="5852" spans="6:6">
      <c r="F5852" s="1"/>
    </row>
    <row r="5853" spans="6:6">
      <c r="F5853" s="1"/>
    </row>
    <row r="5854" spans="6:6">
      <c r="F5854" s="1"/>
    </row>
    <row r="5855" spans="6:6">
      <c r="F5855" s="1"/>
    </row>
    <row r="5856" spans="6:6">
      <c r="F5856" s="1"/>
    </row>
    <row r="5857" spans="6:6">
      <c r="F5857" s="1"/>
    </row>
    <row r="5858" spans="6:6">
      <c r="F5858" s="1"/>
    </row>
    <row r="5859" spans="6:6">
      <c r="F5859" s="1"/>
    </row>
    <row r="5860" spans="6:6">
      <c r="F5860" s="1"/>
    </row>
    <row r="5861" spans="6:6">
      <c r="F5861" s="1"/>
    </row>
    <row r="5862" spans="6:6">
      <c r="F5862" s="1"/>
    </row>
    <row r="5863" spans="6:6">
      <c r="F5863" s="1"/>
    </row>
    <row r="5864" spans="6:6">
      <c r="F5864" s="1"/>
    </row>
    <row r="5865" spans="6:6">
      <c r="F5865" s="1"/>
    </row>
    <row r="5866" spans="6:6">
      <c r="F5866" s="1"/>
    </row>
    <row r="5867" spans="6:6">
      <c r="F5867" s="1"/>
    </row>
    <row r="5868" spans="6:6">
      <c r="F5868" s="1"/>
    </row>
    <row r="5869" spans="6:6">
      <c r="F5869" s="1"/>
    </row>
    <row r="5870" spans="6:6">
      <c r="F5870" s="1"/>
    </row>
    <row r="5871" spans="6:6">
      <c r="F5871" s="1"/>
    </row>
    <row r="5872" spans="6:6">
      <c r="F5872" s="1"/>
    </row>
    <row r="5873" spans="6:6">
      <c r="F5873" s="1"/>
    </row>
    <row r="5874" spans="6:6">
      <c r="F5874" s="1"/>
    </row>
    <row r="5875" spans="6:6">
      <c r="F5875" s="1"/>
    </row>
    <row r="5876" spans="6:6">
      <c r="F5876" s="1"/>
    </row>
    <row r="5877" spans="6:6">
      <c r="F5877" s="1"/>
    </row>
    <row r="5878" spans="6:6">
      <c r="F5878" s="1"/>
    </row>
    <row r="5879" spans="6:6">
      <c r="F5879" s="1"/>
    </row>
    <row r="5880" spans="6:6">
      <c r="F5880" s="1"/>
    </row>
    <row r="5881" spans="6:6">
      <c r="F5881" s="1"/>
    </row>
    <row r="5882" spans="6:6">
      <c r="F5882" s="1"/>
    </row>
    <row r="5883" spans="6:6">
      <c r="F5883" s="1"/>
    </row>
    <row r="5884" spans="6:6">
      <c r="F5884" s="1"/>
    </row>
    <row r="5885" spans="6:6">
      <c r="F5885" s="1"/>
    </row>
    <row r="5886" spans="6:6">
      <c r="F5886" s="1"/>
    </row>
    <row r="5887" spans="6:6">
      <c r="F5887" s="1"/>
    </row>
    <row r="5888" spans="6:6">
      <c r="F5888" s="1"/>
    </row>
    <row r="5889" spans="6:6">
      <c r="F5889" s="1"/>
    </row>
    <row r="5890" spans="6:6">
      <c r="F5890" s="1"/>
    </row>
    <row r="5891" spans="6:6">
      <c r="F5891" s="1"/>
    </row>
    <row r="5892" spans="6:6">
      <c r="F5892" s="1"/>
    </row>
    <row r="5893" spans="6:6">
      <c r="F5893" s="1"/>
    </row>
    <row r="5894" spans="6:6">
      <c r="F5894" s="1"/>
    </row>
    <row r="5895" spans="6:6">
      <c r="F5895" s="1"/>
    </row>
    <row r="5896" spans="6:6">
      <c r="F5896" s="1"/>
    </row>
    <row r="5897" spans="6:6">
      <c r="F5897" s="1"/>
    </row>
    <row r="5898" spans="6:6">
      <c r="F5898" s="1"/>
    </row>
    <row r="5899" spans="6:6">
      <c r="F5899" s="1"/>
    </row>
    <row r="5900" spans="6:6">
      <c r="F5900" s="1"/>
    </row>
    <row r="5901" spans="6:6">
      <c r="F5901" s="1"/>
    </row>
    <row r="5902" spans="6:6">
      <c r="F5902" s="1"/>
    </row>
    <row r="5903" spans="6:6">
      <c r="F5903" s="1"/>
    </row>
    <row r="5904" spans="6:6">
      <c r="F5904" s="1"/>
    </row>
    <row r="5905" spans="6:6">
      <c r="F5905" s="1"/>
    </row>
    <row r="5906" spans="6:6">
      <c r="F5906" s="1"/>
    </row>
    <row r="5907" spans="6:6">
      <c r="F5907" s="1"/>
    </row>
    <row r="5908" spans="6:6">
      <c r="F5908" s="1"/>
    </row>
    <row r="5909" spans="6:6">
      <c r="F5909" s="1"/>
    </row>
    <row r="5910" spans="6:6">
      <c r="F5910" s="1"/>
    </row>
    <row r="5911" spans="6:6">
      <c r="F5911" s="1"/>
    </row>
    <row r="5912" spans="6:6">
      <c r="F5912" s="1"/>
    </row>
    <row r="5913" spans="6:6">
      <c r="F5913" s="1"/>
    </row>
    <row r="5914" spans="6:6">
      <c r="F5914" s="1"/>
    </row>
    <row r="5915" spans="6:6">
      <c r="F5915" s="1"/>
    </row>
    <row r="5916" spans="6:6">
      <c r="F5916" s="1"/>
    </row>
    <row r="5917" spans="6:6">
      <c r="F5917" s="1"/>
    </row>
    <row r="5918" spans="6:6">
      <c r="F5918" s="1"/>
    </row>
    <row r="5919" spans="6:6">
      <c r="F5919" s="1"/>
    </row>
    <row r="5920" spans="6:6">
      <c r="F5920" s="1"/>
    </row>
    <row r="5921" spans="6:6">
      <c r="F5921" s="1"/>
    </row>
    <row r="5922" spans="6:6">
      <c r="F5922" s="1"/>
    </row>
    <row r="5923" spans="6:6">
      <c r="F5923" s="1"/>
    </row>
    <row r="5924" spans="6:6">
      <c r="F5924" s="1"/>
    </row>
    <row r="5925" spans="6:6">
      <c r="F5925" s="1"/>
    </row>
    <row r="5926" spans="6:6">
      <c r="F5926" s="1"/>
    </row>
    <row r="5927" spans="6:6">
      <c r="F5927" s="1"/>
    </row>
    <row r="5928" spans="6:6">
      <c r="F5928" s="1"/>
    </row>
    <row r="5929" spans="6:6">
      <c r="F5929" s="1"/>
    </row>
    <row r="5930" spans="6:6">
      <c r="F5930" s="1"/>
    </row>
    <row r="5931" spans="6:6">
      <c r="F5931" s="1"/>
    </row>
    <row r="5932" spans="6:6">
      <c r="F5932" s="1"/>
    </row>
    <row r="5933" spans="6:6">
      <c r="F5933" s="1"/>
    </row>
    <row r="5934" spans="6:6">
      <c r="F5934" s="1"/>
    </row>
    <row r="5935" spans="6:6">
      <c r="F5935" s="1"/>
    </row>
    <row r="5936" spans="6:6">
      <c r="F5936" s="1"/>
    </row>
    <row r="5937" spans="6:6">
      <c r="F5937" s="1"/>
    </row>
    <row r="5938" spans="6:6">
      <c r="F5938" s="1"/>
    </row>
    <row r="5939" spans="6:6">
      <c r="F5939" s="1"/>
    </row>
    <row r="5940" spans="6:6">
      <c r="F5940" s="1"/>
    </row>
    <row r="5941" spans="6:6">
      <c r="F5941" s="1"/>
    </row>
    <row r="5942" spans="6:6">
      <c r="F5942" s="1"/>
    </row>
    <row r="5943" spans="6:6">
      <c r="F5943" s="1"/>
    </row>
    <row r="5944" spans="6:6">
      <c r="F5944" s="1"/>
    </row>
    <row r="5945" spans="6:6">
      <c r="F5945" s="1"/>
    </row>
    <row r="5946" spans="6:6">
      <c r="F5946" s="1"/>
    </row>
    <row r="5947" spans="6:6">
      <c r="F5947" s="1"/>
    </row>
    <row r="5948" spans="6:6">
      <c r="F5948" s="1"/>
    </row>
    <row r="5949" spans="6:6">
      <c r="F5949" s="1"/>
    </row>
    <row r="5950" spans="6:6">
      <c r="F5950" s="1"/>
    </row>
    <row r="5951" spans="6:6">
      <c r="F5951" s="1"/>
    </row>
    <row r="5952" spans="6:6">
      <c r="F5952" s="1"/>
    </row>
    <row r="5953" spans="6:6">
      <c r="F5953" s="1"/>
    </row>
    <row r="5954" spans="6:6">
      <c r="F5954" s="1"/>
    </row>
    <row r="5955" spans="6:6">
      <c r="F5955" s="1"/>
    </row>
    <row r="5956" spans="6:6">
      <c r="F5956" s="1"/>
    </row>
    <row r="5957" spans="6:6">
      <c r="F5957" s="1"/>
    </row>
    <row r="5958" spans="6:6">
      <c r="F5958" s="1"/>
    </row>
    <row r="5959" spans="6:6">
      <c r="F5959" s="1"/>
    </row>
    <row r="5960" spans="6:6">
      <c r="F5960" s="1"/>
    </row>
    <row r="5961" spans="6:6">
      <c r="F5961" s="1"/>
    </row>
    <row r="5962" spans="6:6">
      <c r="F5962" s="1"/>
    </row>
    <row r="5963" spans="6:6">
      <c r="F5963" s="1"/>
    </row>
    <row r="5964" spans="6:6">
      <c r="F5964" s="1"/>
    </row>
    <row r="5965" spans="6:6">
      <c r="F5965" s="1"/>
    </row>
    <row r="5966" spans="6:6">
      <c r="F5966" s="1"/>
    </row>
    <row r="5967" spans="6:6">
      <c r="F5967" s="1"/>
    </row>
    <row r="5968" spans="6:6">
      <c r="F5968" s="1"/>
    </row>
    <row r="5969" spans="6:6">
      <c r="F5969" s="1"/>
    </row>
    <row r="5970" spans="6:6">
      <c r="F5970" s="1"/>
    </row>
    <row r="5971" spans="6:6">
      <c r="F5971" s="1"/>
    </row>
    <row r="5972" spans="6:6">
      <c r="F5972" s="1"/>
    </row>
    <row r="5973" spans="6:6">
      <c r="F5973" s="1"/>
    </row>
    <row r="5974" spans="6:6">
      <c r="F5974" s="1"/>
    </row>
    <row r="5975" spans="6:6">
      <c r="F5975" s="1"/>
    </row>
    <row r="5976" spans="6:6">
      <c r="F5976" s="1"/>
    </row>
    <row r="5977" spans="6:6">
      <c r="F5977" s="1"/>
    </row>
    <row r="5978" spans="6:6">
      <c r="F5978" s="1"/>
    </row>
    <row r="5979" spans="6:6">
      <c r="F5979" s="1"/>
    </row>
    <row r="5980" spans="6:6">
      <c r="F5980" s="1"/>
    </row>
    <row r="5981" spans="6:6">
      <c r="F5981" s="1"/>
    </row>
    <row r="5982" spans="6:6">
      <c r="F5982" s="1"/>
    </row>
    <row r="5983" spans="6:6">
      <c r="F5983" s="1"/>
    </row>
    <row r="5984" spans="6:6">
      <c r="F5984" s="1"/>
    </row>
    <row r="5985" spans="6:6">
      <c r="F5985" s="1"/>
    </row>
    <row r="5986" spans="6:6">
      <c r="F5986" s="1"/>
    </row>
    <row r="5987" spans="6:6">
      <c r="F5987" s="1"/>
    </row>
    <row r="5988" spans="6:6">
      <c r="F5988" s="1"/>
    </row>
    <row r="5989" spans="6:6">
      <c r="F5989" s="1"/>
    </row>
    <row r="5990" spans="6:6">
      <c r="F5990" s="1"/>
    </row>
    <row r="5991" spans="6:6">
      <c r="F5991" s="1"/>
    </row>
    <row r="5992" spans="6:6">
      <c r="F5992" s="1"/>
    </row>
    <row r="5993" spans="6:6">
      <c r="F5993" s="1"/>
    </row>
    <row r="5994" spans="6:6">
      <c r="F5994" s="1"/>
    </row>
    <row r="5995" spans="6:6">
      <c r="F5995" s="1"/>
    </row>
    <row r="5996" spans="6:6">
      <c r="F5996" s="1"/>
    </row>
    <row r="5997" spans="6:6">
      <c r="F5997" s="1"/>
    </row>
    <row r="5998" spans="6:6">
      <c r="F5998" s="1"/>
    </row>
    <row r="5999" spans="6:6">
      <c r="F5999" s="1"/>
    </row>
    <row r="6000" spans="6:6">
      <c r="F6000" s="1"/>
    </row>
    <row r="6001" spans="6:6">
      <c r="F6001" s="1"/>
    </row>
    <row r="6002" spans="6:6">
      <c r="F6002" s="1"/>
    </row>
    <row r="6003" spans="6:6">
      <c r="F6003" s="1"/>
    </row>
    <row r="6004" spans="6:6">
      <c r="F6004" s="1"/>
    </row>
    <row r="6005" spans="6:6">
      <c r="F6005" s="1"/>
    </row>
    <row r="6006" spans="6:6">
      <c r="F6006" s="1"/>
    </row>
    <row r="6007" spans="6:6">
      <c r="F6007" s="1"/>
    </row>
    <row r="6008" spans="6:6">
      <c r="F6008" s="1"/>
    </row>
    <row r="6009" spans="6:6">
      <c r="F6009" s="1"/>
    </row>
    <row r="6010" spans="6:6">
      <c r="F6010" s="1"/>
    </row>
    <row r="6011" spans="6:6">
      <c r="F6011" s="1"/>
    </row>
    <row r="6012" spans="6:6">
      <c r="F6012" s="1"/>
    </row>
    <row r="6013" spans="6:6">
      <c r="F6013" s="1"/>
    </row>
    <row r="6014" spans="6:6">
      <c r="F6014" s="1"/>
    </row>
    <row r="6015" spans="6:6">
      <c r="F6015" s="1"/>
    </row>
    <row r="6016" spans="6:6">
      <c r="F6016" s="1"/>
    </row>
    <row r="6017" spans="6:6">
      <c r="F6017" s="1"/>
    </row>
    <row r="6018" spans="6:6">
      <c r="F6018" s="1"/>
    </row>
    <row r="6019" spans="6:6">
      <c r="F6019" s="1"/>
    </row>
    <row r="6020" spans="6:6">
      <c r="F6020" s="1"/>
    </row>
    <row r="6021" spans="6:6">
      <c r="F6021" s="1"/>
    </row>
    <row r="6022" spans="6:6">
      <c r="F6022" s="1"/>
    </row>
    <row r="6023" spans="6:6">
      <c r="F6023" s="1"/>
    </row>
    <row r="6024" spans="6:6">
      <c r="F6024" s="1"/>
    </row>
    <row r="6025" spans="6:6">
      <c r="F6025" s="1"/>
    </row>
    <row r="6026" spans="6:6">
      <c r="F6026" s="1"/>
    </row>
    <row r="6027" spans="6:6">
      <c r="F6027" s="1"/>
    </row>
    <row r="6028" spans="6:6">
      <c r="F6028" s="1"/>
    </row>
    <row r="6029" spans="6:6">
      <c r="F6029" s="1"/>
    </row>
    <row r="6030" spans="6:6">
      <c r="F6030" s="1"/>
    </row>
    <row r="6031" spans="6:6">
      <c r="F6031" s="1"/>
    </row>
    <row r="6032" spans="6:6">
      <c r="F6032" s="1"/>
    </row>
    <row r="6033" spans="6:6">
      <c r="F6033" s="1"/>
    </row>
    <row r="6034" spans="6:6">
      <c r="F6034" s="1"/>
    </row>
    <row r="6035" spans="6:6">
      <c r="F6035" s="1"/>
    </row>
    <row r="6036" spans="6:6">
      <c r="F6036" s="1"/>
    </row>
    <row r="6037" spans="6:6">
      <c r="F6037" s="1"/>
    </row>
    <row r="6038" spans="6:6">
      <c r="F6038" s="1"/>
    </row>
    <row r="6039" spans="6:6">
      <c r="F6039" s="1"/>
    </row>
    <row r="6040" spans="6:6">
      <c r="F6040" s="1"/>
    </row>
    <row r="6041" spans="6:6">
      <c r="F6041" s="1"/>
    </row>
    <row r="6042" spans="6:6">
      <c r="F6042" s="1"/>
    </row>
    <row r="6043" spans="6:6">
      <c r="F6043" s="1"/>
    </row>
    <row r="6044" spans="6:6">
      <c r="F6044" s="1"/>
    </row>
    <row r="6045" spans="6:6">
      <c r="F6045" s="1"/>
    </row>
    <row r="6046" spans="6:6">
      <c r="F6046" s="1"/>
    </row>
    <row r="6047" spans="6:6">
      <c r="F6047" s="1"/>
    </row>
    <row r="6048" spans="6:6">
      <c r="F6048" s="1"/>
    </row>
    <row r="6049" spans="6:6">
      <c r="F6049" s="1"/>
    </row>
    <row r="6050" spans="6:6">
      <c r="F6050" s="1"/>
    </row>
    <row r="6051" spans="6:6">
      <c r="F6051" s="1"/>
    </row>
    <row r="6052" spans="6:6">
      <c r="F6052" s="1"/>
    </row>
    <row r="6053" spans="6:6">
      <c r="F6053" s="1"/>
    </row>
    <row r="6054" spans="6:6">
      <c r="F6054" s="1"/>
    </row>
    <row r="6055" spans="6:6">
      <c r="F6055" s="1"/>
    </row>
    <row r="6056" spans="6:6">
      <c r="F6056" s="1"/>
    </row>
    <row r="6057" spans="6:6">
      <c r="F6057" s="1"/>
    </row>
    <row r="6058" spans="6:6">
      <c r="F6058" s="1"/>
    </row>
    <row r="6059" spans="6:6">
      <c r="F6059" s="1"/>
    </row>
    <row r="6060" spans="6:6">
      <c r="F6060" s="1"/>
    </row>
    <row r="6061" spans="6:6">
      <c r="F6061" s="1"/>
    </row>
    <row r="6062" spans="6:6">
      <c r="F6062" s="1"/>
    </row>
    <row r="6063" spans="6:6">
      <c r="F6063" s="1"/>
    </row>
    <row r="6064" spans="6:6">
      <c r="F6064" s="1"/>
    </row>
    <row r="6065" spans="6:6">
      <c r="F6065" s="1"/>
    </row>
    <row r="6066" spans="6:6">
      <c r="F6066" s="1"/>
    </row>
    <row r="6067" spans="6:6">
      <c r="F6067" s="1"/>
    </row>
    <row r="6068" spans="6:6">
      <c r="F6068" s="1"/>
    </row>
    <row r="6069" spans="6:6">
      <c r="F6069" s="1"/>
    </row>
    <row r="6070" spans="6:6">
      <c r="F6070" s="1"/>
    </row>
    <row r="6071" spans="6:6">
      <c r="F6071" s="1"/>
    </row>
    <row r="6072" spans="6:6">
      <c r="F6072" s="1"/>
    </row>
    <row r="6073" spans="6:6">
      <c r="F6073" s="1"/>
    </row>
    <row r="6074" spans="6:6">
      <c r="F6074" s="1"/>
    </row>
    <row r="6075" spans="6:6">
      <c r="F6075" s="1"/>
    </row>
    <row r="6076" spans="6:6">
      <c r="F6076" s="1"/>
    </row>
    <row r="6077" spans="6:6">
      <c r="F6077" s="1"/>
    </row>
    <row r="6078" spans="6:6">
      <c r="F6078" s="1"/>
    </row>
    <row r="6079" spans="6:6">
      <c r="F6079" s="1"/>
    </row>
    <row r="6080" spans="6:6">
      <c r="F6080" s="1"/>
    </row>
    <row r="6081" spans="6:6">
      <c r="F6081" s="1"/>
    </row>
    <row r="6082" spans="6:6">
      <c r="F6082" s="1"/>
    </row>
    <row r="6083" spans="6:6">
      <c r="F6083" s="1"/>
    </row>
    <row r="6084" spans="6:6">
      <c r="F6084" s="1"/>
    </row>
    <row r="6085" spans="6:6">
      <c r="F6085" s="1"/>
    </row>
    <row r="6086" spans="6:6">
      <c r="F6086" s="1"/>
    </row>
    <row r="6087" spans="6:6">
      <c r="F6087" s="1"/>
    </row>
    <row r="6088" spans="6:6">
      <c r="F6088" s="1"/>
    </row>
    <row r="6089" spans="6:6">
      <c r="F6089" s="1"/>
    </row>
    <row r="6090" spans="6:6">
      <c r="F6090" s="1"/>
    </row>
    <row r="6091" spans="6:6">
      <c r="F6091" s="1"/>
    </row>
    <row r="6092" spans="6:6">
      <c r="F6092" s="1"/>
    </row>
    <row r="6093" spans="6:6">
      <c r="F6093" s="1"/>
    </row>
    <row r="6094" spans="6:6">
      <c r="F6094" s="1"/>
    </row>
    <row r="6095" spans="6:6">
      <c r="F6095" s="1"/>
    </row>
    <row r="6096" spans="6:6">
      <c r="F6096" s="1"/>
    </row>
    <row r="6097" spans="6:6">
      <c r="F6097" s="1"/>
    </row>
    <row r="6098" spans="6:6">
      <c r="F6098" s="1"/>
    </row>
    <row r="6099" spans="6:6">
      <c r="F6099" s="1"/>
    </row>
    <row r="6100" spans="6:6">
      <c r="F6100" s="1"/>
    </row>
    <row r="6101" spans="6:6">
      <c r="F6101" s="1"/>
    </row>
    <row r="6102" spans="6:6">
      <c r="F6102" s="1"/>
    </row>
    <row r="6103" spans="6:6">
      <c r="F6103" s="1"/>
    </row>
    <row r="6104" spans="6:6">
      <c r="F6104" s="1"/>
    </row>
    <row r="6105" spans="6:6">
      <c r="F6105" s="1"/>
    </row>
    <row r="6106" spans="6:6">
      <c r="F6106" s="1"/>
    </row>
    <row r="6107" spans="6:6">
      <c r="F6107" s="1"/>
    </row>
    <row r="6108" spans="6:6">
      <c r="F6108" s="1"/>
    </row>
    <row r="6109" spans="6:6">
      <c r="F6109" s="1"/>
    </row>
    <row r="6110" spans="6:6">
      <c r="F6110" s="1"/>
    </row>
    <row r="6111" spans="6:6">
      <c r="F6111" s="1"/>
    </row>
    <row r="6112" spans="6:6">
      <c r="F6112" s="1"/>
    </row>
    <row r="6113" spans="6:6">
      <c r="F6113" s="1"/>
    </row>
    <row r="6114" spans="6:6">
      <c r="F6114" s="1"/>
    </row>
    <row r="6115" spans="6:6">
      <c r="F6115" s="1"/>
    </row>
    <row r="6116" spans="6:6">
      <c r="F6116" s="1"/>
    </row>
    <row r="6117" spans="6:6">
      <c r="F6117" s="1"/>
    </row>
    <row r="6118" spans="6:6">
      <c r="F6118" s="1"/>
    </row>
    <row r="6119" spans="6:6">
      <c r="F6119" s="1"/>
    </row>
    <row r="6120" spans="6:6">
      <c r="F6120" s="1"/>
    </row>
    <row r="6121" spans="6:6">
      <c r="F6121" s="1"/>
    </row>
    <row r="6122" spans="6:6">
      <c r="F6122" s="1"/>
    </row>
    <row r="6123" spans="6:6">
      <c r="F6123" s="1"/>
    </row>
    <row r="6124" spans="6:6">
      <c r="F6124" s="1"/>
    </row>
    <row r="6125" spans="6:6">
      <c r="F6125" s="1"/>
    </row>
    <row r="6126" spans="6:6">
      <c r="F6126" s="1"/>
    </row>
    <row r="6127" spans="6:6">
      <c r="F6127" s="1"/>
    </row>
    <row r="6128" spans="6:6">
      <c r="F6128" s="1"/>
    </row>
    <row r="6129" spans="6:6">
      <c r="F6129" s="1"/>
    </row>
    <row r="6130" spans="6:6">
      <c r="F6130" s="1"/>
    </row>
    <row r="6131" spans="6:6">
      <c r="F6131" s="1"/>
    </row>
    <row r="6132" spans="6:6">
      <c r="F6132" s="1"/>
    </row>
    <row r="6133" spans="6:6">
      <c r="F6133" s="1"/>
    </row>
    <row r="6134" spans="6:6">
      <c r="F6134" s="1"/>
    </row>
    <row r="6135" spans="6:6">
      <c r="F6135" s="1"/>
    </row>
    <row r="6136" spans="6:6">
      <c r="F6136" s="1"/>
    </row>
    <row r="6137" spans="6:6">
      <c r="F6137" s="1"/>
    </row>
    <row r="6138" spans="6:6">
      <c r="F6138" s="1"/>
    </row>
    <row r="6139" spans="6:6">
      <c r="F6139" s="1"/>
    </row>
    <row r="6140" spans="6:6">
      <c r="F6140" s="1"/>
    </row>
    <row r="6141" spans="6:6">
      <c r="F6141" s="1"/>
    </row>
    <row r="6142" spans="6:6">
      <c r="F6142" s="1"/>
    </row>
    <row r="6143" spans="6:6">
      <c r="F6143" s="1"/>
    </row>
    <row r="6144" spans="6:6">
      <c r="F6144" s="1"/>
    </row>
    <row r="6145" spans="6:6">
      <c r="F6145" s="1"/>
    </row>
    <row r="6146" spans="6:6">
      <c r="F6146" s="1"/>
    </row>
    <row r="6147" spans="6:6">
      <c r="F6147" s="1"/>
    </row>
    <row r="6148" spans="6:6">
      <c r="F6148" s="1"/>
    </row>
    <row r="6149" spans="6:6">
      <c r="F6149" s="1"/>
    </row>
    <row r="6150" spans="6:6">
      <c r="F6150" s="1"/>
    </row>
    <row r="6151" spans="6:6">
      <c r="F6151" s="1"/>
    </row>
    <row r="6152" spans="6:6">
      <c r="F6152" s="1"/>
    </row>
    <row r="6153" spans="6:6">
      <c r="F6153" s="1"/>
    </row>
    <row r="6154" spans="6:6">
      <c r="F6154" s="1"/>
    </row>
    <row r="6155" spans="6:6">
      <c r="F6155" s="1"/>
    </row>
    <row r="6156" spans="6:6">
      <c r="F6156" s="1"/>
    </row>
    <row r="6157" spans="6:6">
      <c r="F6157" s="1"/>
    </row>
    <row r="6158" spans="6:6">
      <c r="F6158" s="1"/>
    </row>
    <row r="6159" spans="6:6">
      <c r="F6159" s="1"/>
    </row>
    <row r="6160" spans="6:6">
      <c r="F6160" s="1"/>
    </row>
    <row r="6161" spans="6:6">
      <c r="F6161" s="1"/>
    </row>
    <row r="6162" spans="6:6">
      <c r="F6162" s="1"/>
    </row>
    <row r="6163" spans="6:6">
      <c r="F6163" s="1"/>
    </row>
    <row r="6164" spans="6:6">
      <c r="F6164" s="1"/>
    </row>
    <row r="6165" spans="6:6">
      <c r="F6165" s="1"/>
    </row>
    <row r="6166" spans="6:6">
      <c r="F6166" s="1"/>
    </row>
    <row r="6167" spans="6:6">
      <c r="F6167" s="1"/>
    </row>
    <row r="6168" spans="6:6">
      <c r="F6168" s="1"/>
    </row>
    <row r="6169" spans="6:6">
      <c r="F6169" s="1"/>
    </row>
    <row r="6170" spans="6:6">
      <c r="F6170" s="1"/>
    </row>
    <row r="6171" spans="6:6">
      <c r="F6171" s="1"/>
    </row>
    <row r="6172" spans="6:6">
      <c r="F6172" s="1"/>
    </row>
    <row r="6173" spans="6:6">
      <c r="F6173" s="1"/>
    </row>
    <row r="6174" spans="6:6">
      <c r="F6174" s="1"/>
    </row>
    <row r="6175" spans="6:6">
      <c r="F6175" s="1"/>
    </row>
    <row r="6176" spans="6:6">
      <c r="F6176" s="1"/>
    </row>
    <row r="6177" spans="6:6">
      <c r="F6177" s="1"/>
    </row>
    <row r="6178" spans="6:6">
      <c r="F6178" s="1"/>
    </row>
    <row r="6179" spans="6:6">
      <c r="F6179" s="1"/>
    </row>
    <row r="6180" spans="6:6">
      <c r="F6180" s="1"/>
    </row>
    <row r="6181" spans="6:6">
      <c r="F6181" s="1"/>
    </row>
    <row r="6182" spans="6:6">
      <c r="F6182" s="1"/>
    </row>
    <row r="6183" spans="6:6">
      <c r="F6183" s="1"/>
    </row>
    <row r="6184" spans="6:6">
      <c r="F6184" s="1"/>
    </row>
    <row r="6185" spans="6:6">
      <c r="F6185" s="1"/>
    </row>
    <row r="6186" spans="6:6">
      <c r="F6186" s="1"/>
    </row>
    <row r="6187" spans="6:6">
      <c r="F6187" s="1"/>
    </row>
    <row r="6188" spans="6:6">
      <c r="F6188" s="1"/>
    </row>
    <row r="6189" spans="6:6">
      <c r="F6189" s="1"/>
    </row>
    <row r="6190" spans="6:6">
      <c r="F6190" s="1"/>
    </row>
    <row r="6191" spans="6:6">
      <c r="F6191" s="1"/>
    </row>
    <row r="6192" spans="6:6">
      <c r="F6192" s="1"/>
    </row>
    <row r="6193" spans="6:6">
      <c r="F6193" s="1"/>
    </row>
    <row r="6194" spans="6:6">
      <c r="F6194" s="1"/>
    </row>
    <row r="6195" spans="6:6">
      <c r="F6195" s="1"/>
    </row>
    <row r="6196" spans="6:6">
      <c r="F6196" s="1"/>
    </row>
    <row r="6197" spans="6:6">
      <c r="F6197" s="1"/>
    </row>
    <row r="6198" spans="6:6">
      <c r="F6198" s="1"/>
    </row>
    <row r="6199" spans="6:6">
      <c r="F6199" s="1"/>
    </row>
    <row r="6200" spans="6:6">
      <c r="F6200" s="1"/>
    </row>
    <row r="6201" spans="6:6">
      <c r="F6201" s="1"/>
    </row>
    <row r="6202" spans="6:6">
      <c r="F6202" s="1"/>
    </row>
    <row r="6203" spans="6:6">
      <c r="F6203" s="1"/>
    </row>
    <row r="6204" spans="6:6">
      <c r="F6204" s="1"/>
    </row>
    <row r="6205" spans="6:6">
      <c r="F6205" s="1"/>
    </row>
    <row r="6206" spans="6:6">
      <c r="F6206" s="1"/>
    </row>
    <row r="6207" spans="6:6">
      <c r="F6207" s="1"/>
    </row>
    <row r="6208" spans="6:6">
      <c r="F6208" s="1"/>
    </row>
    <row r="6209" spans="6:6">
      <c r="F6209" s="1"/>
    </row>
    <row r="6210" spans="6:6">
      <c r="F6210" s="1"/>
    </row>
    <row r="6211" spans="6:6">
      <c r="F6211" s="1"/>
    </row>
    <row r="6212" spans="6:6">
      <c r="F6212" s="1"/>
    </row>
    <row r="6213" spans="6:6">
      <c r="F6213" s="1"/>
    </row>
    <row r="6214" spans="6:6">
      <c r="F6214" s="1"/>
    </row>
    <row r="6215" spans="6:6">
      <c r="F6215" s="1"/>
    </row>
    <row r="6216" spans="6:6">
      <c r="F6216" s="1"/>
    </row>
    <row r="6217" spans="6:6">
      <c r="F6217" s="1"/>
    </row>
    <row r="6218" spans="6:6">
      <c r="F6218" s="1"/>
    </row>
    <row r="6219" spans="6:6">
      <c r="F6219" s="1"/>
    </row>
    <row r="6220" spans="6:6">
      <c r="F6220" s="1"/>
    </row>
    <row r="6221" spans="6:6">
      <c r="F6221" s="1"/>
    </row>
    <row r="6222" spans="6:6">
      <c r="F6222" s="1"/>
    </row>
    <row r="6223" spans="6:6">
      <c r="F6223" s="1"/>
    </row>
    <row r="6224" spans="6:6">
      <c r="F6224" s="1"/>
    </row>
    <row r="6225" spans="6:6">
      <c r="F6225" s="1"/>
    </row>
    <row r="6226" spans="6:6">
      <c r="F6226" s="1"/>
    </row>
    <row r="6227" spans="6:6">
      <c r="F6227" s="1"/>
    </row>
    <row r="6228" spans="6:6">
      <c r="F6228" s="1"/>
    </row>
    <row r="6229" spans="6:6">
      <c r="F6229" s="1"/>
    </row>
    <row r="6230" spans="6:6">
      <c r="F6230" s="1"/>
    </row>
    <row r="6231" spans="6:6">
      <c r="F6231" s="1"/>
    </row>
    <row r="6232" spans="6:6">
      <c r="F6232" s="1"/>
    </row>
    <row r="6233" spans="6:6">
      <c r="F6233" s="1"/>
    </row>
    <row r="6234" spans="6:6">
      <c r="F6234" s="1"/>
    </row>
    <row r="6235" spans="6:6">
      <c r="F6235" s="1"/>
    </row>
    <row r="6236" spans="6:6">
      <c r="F6236" s="1"/>
    </row>
    <row r="6237" spans="6:6">
      <c r="F6237" s="1"/>
    </row>
    <row r="6238" spans="6:6">
      <c r="F6238" s="1"/>
    </row>
    <row r="6239" spans="6:6">
      <c r="F6239" s="1"/>
    </row>
    <row r="6240" spans="6:6">
      <c r="F6240" s="1"/>
    </row>
    <row r="6241" spans="6:6">
      <c r="F6241" s="1"/>
    </row>
    <row r="6242" spans="6:6">
      <c r="F6242" s="1"/>
    </row>
    <row r="6243" spans="6:6">
      <c r="F6243" s="1"/>
    </row>
    <row r="6244" spans="6:6">
      <c r="F6244" s="1"/>
    </row>
    <row r="6245" spans="6:6">
      <c r="F6245" s="1"/>
    </row>
    <row r="6246" spans="6:6">
      <c r="F6246" s="1"/>
    </row>
    <row r="6247" spans="6:6">
      <c r="F6247" s="1"/>
    </row>
    <row r="6248" spans="6:6">
      <c r="F6248" s="1"/>
    </row>
    <row r="6249" spans="6:6">
      <c r="F6249" s="1"/>
    </row>
    <row r="6250" spans="6:6">
      <c r="F6250" s="1"/>
    </row>
    <row r="6251" spans="6:6">
      <c r="F6251" s="1"/>
    </row>
    <row r="6252" spans="6:6">
      <c r="F6252" s="1"/>
    </row>
    <row r="6253" spans="6:6">
      <c r="F6253" s="1"/>
    </row>
    <row r="6254" spans="6:6">
      <c r="F6254" s="1"/>
    </row>
    <row r="6255" spans="6:6">
      <c r="F6255" s="1"/>
    </row>
    <row r="6256" spans="6:6">
      <c r="F6256" s="1"/>
    </row>
    <row r="6257" spans="6:6">
      <c r="F6257" s="1"/>
    </row>
    <row r="6258" spans="6:6">
      <c r="F6258" s="1"/>
    </row>
    <row r="6259" spans="6:6">
      <c r="F6259" s="1"/>
    </row>
    <row r="6260" spans="6:6">
      <c r="F6260" s="1"/>
    </row>
    <row r="6261" spans="6:6">
      <c r="F6261" s="1"/>
    </row>
    <row r="6262" spans="6:6">
      <c r="F6262" s="1"/>
    </row>
    <row r="6263" spans="6:6">
      <c r="F6263" s="1"/>
    </row>
    <row r="6264" spans="6:6">
      <c r="F6264" s="1"/>
    </row>
    <row r="6265" spans="6:6">
      <c r="F6265" s="1"/>
    </row>
    <row r="6266" spans="6:6">
      <c r="F6266" s="1"/>
    </row>
    <row r="6267" spans="6:6">
      <c r="F6267" s="1"/>
    </row>
    <row r="6268" spans="6:6">
      <c r="F6268" s="1"/>
    </row>
    <row r="6269" spans="6:6">
      <c r="F6269" s="1"/>
    </row>
    <row r="6270" spans="6:6">
      <c r="F6270" s="1"/>
    </row>
    <row r="6271" spans="6:6">
      <c r="F6271" s="1"/>
    </row>
    <row r="6272" spans="6:6">
      <c r="F6272" s="1"/>
    </row>
    <row r="6273" spans="6:6">
      <c r="F6273" s="1"/>
    </row>
    <row r="6274" spans="6:6">
      <c r="F6274" s="1"/>
    </row>
    <row r="6275" spans="6:6">
      <c r="F6275" s="1"/>
    </row>
    <row r="6276" spans="6:6">
      <c r="F6276" s="1"/>
    </row>
    <row r="6277" spans="6:6">
      <c r="F6277" s="1"/>
    </row>
    <row r="6278" spans="6:6">
      <c r="F6278" s="1"/>
    </row>
    <row r="6279" spans="6:6">
      <c r="F6279" s="1"/>
    </row>
    <row r="6280" spans="6:6">
      <c r="F6280" s="1"/>
    </row>
    <row r="6281" spans="6:6">
      <c r="F6281" s="1"/>
    </row>
    <row r="6282" spans="6:6">
      <c r="F6282" s="1"/>
    </row>
    <row r="6283" spans="6:6">
      <c r="F6283" s="1"/>
    </row>
    <row r="6284" spans="6:6">
      <c r="F6284" s="1"/>
    </row>
    <row r="6285" spans="6:6">
      <c r="F6285" s="1"/>
    </row>
    <row r="6286" spans="6:6">
      <c r="F6286" s="1"/>
    </row>
    <row r="6287" spans="6:6">
      <c r="F6287" s="1"/>
    </row>
    <row r="6288" spans="6:6">
      <c r="F6288" s="1"/>
    </row>
    <row r="6289" spans="6:6">
      <c r="F6289" s="1"/>
    </row>
    <row r="6290" spans="6:6">
      <c r="F6290" s="1"/>
    </row>
    <row r="6291" spans="6:6">
      <c r="F6291" s="1"/>
    </row>
    <row r="6292" spans="6:6">
      <c r="F6292" s="1"/>
    </row>
    <row r="6293" spans="6:6">
      <c r="F6293" s="1"/>
    </row>
    <row r="6294" spans="6:6">
      <c r="F6294" s="1"/>
    </row>
    <row r="6295" spans="6:6">
      <c r="F6295" s="1"/>
    </row>
    <row r="6296" spans="6:6">
      <c r="F6296" s="1"/>
    </row>
    <row r="6297" spans="6:6">
      <c r="F6297" s="1"/>
    </row>
    <row r="6298" spans="6:6">
      <c r="F6298" s="1"/>
    </row>
    <row r="6299" spans="6:6">
      <c r="F6299" s="1"/>
    </row>
    <row r="6300" spans="6:6">
      <c r="F6300" s="1"/>
    </row>
    <row r="6301" spans="6:6">
      <c r="F6301" s="1"/>
    </row>
    <row r="6302" spans="6:6">
      <c r="F6302" s="1"/>
    </row>
    <row r="6303" spans="6:6">
      <c r="F6303" s="1"/>
    </row>
    <row r="6304" spans="6:6">
      <c r="F6304" s="1"/>
    </row>
    <row r="6305" spans="6:6">
      <c r="F6305" s="1"/>
    </row>
    <row r="6306" spans="6:6">
      <c r="F6306" s="1"/>
    </row>
    <row r="6307" spans="6:6">
      <c r="F6307" s="1"/>
    </row>
    <row r="6308" spans="6:6">
      <c r="F6308" s="1"/>
    </row>
    <row r="6309" spans="6:6">
      <c r="F6309" s="1"/>
    </row>
    <row r="6310" spans="6:6">
      <c r="F6310" s="1"/>
    </row>
    <row r="6311" spans="6:6">
      <c r="F6311" s="1"/>
    </row>
    <row r="6312" spans="6:6">
      <c r="F6312" s="1"/>
    </row>
    <row r="6313" spans="6:6">
      <c r="F6313" s="1"/>
    </row>
    <row r="6314" spans="6:6">
      <c r="F6314" s="1"/>
    </row>
    <row r="6315" spans="6:6">
      <c r="F6315" s="1"/>
    </row>
    <row r="6316" spans="6:6">
      <c r="F6316" s="1"/>
    </row>
    <row r="6317" spans="6:6">
      <c r="F6317" s="1"/>
    </row>
    <row r="6318" spans="6:6">
      <c r="F6318" s="1"/>
    </row>
    <row r="6319" spans="6:6">
      <c r="F6319" s="1"/>
    </row>
    <row r="6320" spans="6:6">
      <c r="F6320" s="1"/>
    </row>
    <row r="6321" spans="6:6">
      <c r="F6321" s="1"/>
    </row>
    <row r="6322" spans="6:6">
      <c r="F6322" s="1"/>
    </row>
    <row r="6323" spans="6:6">
      <c r="F6323" s="1"/>
    </row>
    <row r="6324" spans="6:6">
      <c r="F6324" s="1"/>
    </row>
    <row r="6325" spans="6:6">
      <c r="F6325" s="1"/>
    </row>
    <row r="6326" spans="6:6">
      <c r="F6326" s="1"/>
    </row>
    <row r="6327" spans="6:6">
      <c r="F6327" s="1"/>
    </row>
    <row r="6328" spans="6:6">
      <c r="F6328" s="1"/>
    </row>
    <row r="6329" spans="6:6">
      <c r="F6329" s="1"/>
    </row>
    <row r="6330" spans="6:6">
      <c r="F6330" s="1"/>
    </row>
    <row r="6331" spans="6:6">
      <c r="F6331" s="1"/>
    </row>
    <row r="6332" spans="6:6">
      <c r="F6332" s="1"/>
    </row>
    <row r="6333" spans="6:6">
      <c r="F6333" s="1"/>
    </row>
    <row r="6334" spans="6:6">
      <c r="F6334" s="1"/>
    </row>
    <row r="6335" spans="6:6">
      <c r="F6335" s="1"/>
    </row>
    <row r="6336" spans="6:6">
      <c r="F6336" s="1"/>
    </row>
    <row r="6337" spans="6:6">
      <c r="F6337" s="1"/>
    </row>
    <row r="6338" spans="6:6">
      <c r="F6338" s="1"/>
    </row>
    <row r="6339" spans="6:6">
      <c r="F6339" s="1"/>
    </row>
    <row r="6340" spans="6:6">
      <c r="F6340" s="1"/>
    </row>
    <row r="6341" spans="6:6">
      <c r="F6341" s="1"/>
    </row>
    <row r="6342" spans="6:6">
      <c r="F6342" s="1"/>
    </row>
    <row r="6343" spans="6:6">
      <c r="F6343" s="1"/>
    </row>
    <row r="6344" spans="6:6">
      <c r="F6344" s="1"/>
    </row>
    <row r="6345" spans="6:6">
      <c r="F6345" s="1"/>
    </row>
    <row r="6346" spans="6:6">
      <c r="F6346" s="1"/>
    </row>
    <row r="6347" spans="6:6">
      <c r="F6347" s="1"/>
    </row>
    <row r="6348" spans="6:6">
      <c r="F6348" s="1"/>
    </row>
    <row r="6349" spans="6:6">
      <c r="F6349" s="1"/>
    </row>
    <row r="6350" spans="6:6">
      <c r="F6350" s="1"/>
    </row>
    <row r="6351" spans="6:6">
      <c r="F6351" s="1"/>
    </row>
    <row r="6352" spans="6:6">
      <c r="F6352" s="1"/>
    </row>
    <row r="6353" spans="6:6">
      <c r="F6353" s="1"/>
    </row>
    <row r="6354" spans="6:6">
      <c r="F6354" s="1"/>
    </row>
    <row r="6355" spans="6:6">
      <c r="F6355" s="1"/>
    </row>
    <row r="6356" spans="6:6">
      <c r="F6356" s="1"/>
    </row>
    <row r="6357" spans="6:6">
      <c r="F6357" s="1"/>
    </row>
    <row r="6358" spans="6:6">
      <c r="F6358" s="1"/>
    </row>
    <row r="6359" spans="6:6">
      <c r="F6359" s="1"/>
    </row>
    <row r="6360" spans="6:6">
      <c r="F6360" s="1"/>
    </row>
    <row r="6361" spans="6:6">
      <c r="F6361" s="1"/>
    </row>
    <row r="6362" spans="6:6">
      <c r="F6362" s="1"/>
    </row>
    <row r="6363" spans="6:6">
      <c r="F6363" s="1"/>
    </row>
    <row r="6364" spans="6:6">
      <c r="F6364" s="1"/>
    </row>
    <row r="6365" spans="6:6">
      <c r="F6365" s="1"/>
    </row>
    <row r="6366" spans="6:6">
      <c r="F6366" s="1"/>
    </row>
    <row r="6367" spans="6:6">
      <c r="F6367" s="1"/>
    </row>
    <row r="6368" spans="6:6">
      <c r="F6368" s="1"/>
    </row>
    <row r="6369" spans="6:6">
      <c r="F6369" s="1"/>
    </row>
    <row r="6370" spans="6:6">
      <c r="F6370" s="1"/>
    </row>
    <row r="6371" spans="6:6">
      <c r="F6371" s="1"/>
    </row>
    <row r="6372" spans="6:6">
      <c r="F6372" s="1"/>
    </row>
    <row r="6373" spans="6:6">
      <c r="F6373" s="1"/>
    </row>
    <row r="6374" spans="6:6">
      <c r="F6374" s="1"/>
    </row>
    <row r="6375" spans="6:6">
      <c r="F6375" s="1"/>
    </row>
    <row r="6376" spans="6:6">
      <c r="F6376" s="1"/>
    </row>
    <row r="6377" spans="6:6">
      <c r="F6377" s="1"/>
    </row>
    <row r="6378" spans="6:6">
      <c r="F6378" s="1"/>
    </row>
    <row r="6379" spans="6:6">
      <c r="F6379" s="1"/>
    </row>
    <row r="6380" spans="6:6">
      <c r="F6380" s="1"/>
    </row>
    <row r="6381" spans="6:6">
      <c r="F6381" s="1"/>
    </row>
    <row r="6382" spans="6:6">
      <c r="F6382" s="1"/>
    </row>
    <row r="6383" spans="6:6">
      <c r="F6383" s="1"/>
    </row>
    <row r="6384" spans="6:6">
      <c r="F6384" s="1"/>
    </row>
    <row r="6385" spans="6:6">
      <c r="F6385" s="1"/>
    </row>
    <row r="6386" spans="6:6">
      <c r="F6386" s="1"/>
    </row>
    <row r="6387" spans="6:6">
      <c r="F6387" s="1"/>
    </row>
    <row r="6388" spans="6:6">
      <c r="F6388" s="1"/>
    </row>
    <row r="6389" spans="6:6">
      <c r="F6389" s="1"/>
    </row>
    <row r="6390" spans="6:6">
      <c r="F6390" s="1"/>
    </row>
    <row r="6391" spans="6:6">
      <c r="F6391" s="1"/>
    </row>
    <row r="6392" spans="6:6">
      <c r="F6392" s="1"/>
    </row>
    <row r="6393" spans="6:6">
      <c r="F6393" s="1"/>
    </row>
    <row r="6394" spans="6:6">
      <c r="F6394" s="1"/>
    </row>
    <row r="6395" spans="6:6">
      <c r="F6395" s="1"/>
    </row>
    <row r="6396" spans="6:6">
      <c r="F6396" s="1"/>
    </row>
    <row r="6397" spans="6:6">
      <c r="F6397" s="1"/>
    </row>
    <row r="6398" spans="6:6">
      <c r="F6398" s="1"/>
    </row>
    <row r="6399" spans="6:6">
      <c r="F6399" s="1"/>
    </row>
    <row r="6400" spans="6:6">
      <c r="F6400" s="1"/>
    </row>
    <row r="6401" spans="6:6">
      <c r="F6401" s="1"/>
    </row>
    <row r="6402" spans="6:6">
      <c r="F6402" s="1"/>
    </row>
    <row r="6403" spans="6:6">
      <c r="F6403" s="1"/>
    </row>
    <row r="6404" spans="6:6">
      <c r="F6404" s="1"/>
    </row>
    <row r="6405" spans="6:6">
      <c r="F6405" s="1"/>
    </row>
    <row r="6406" spans="6:6">
      <c r="F6406" s="1"/>
    </row>
    <row r="6407" spans="6:6">
      <c r="F6407" s="1"/>
    </row>
    <row r="6408" spans="6:6">
      <c r="F6408" s="1"/>
    </row>
    <row r="6409" spans="6:6">
      <c r="F6409" s="1"/>
    </row>
    <row r="6410" spans="6:6">
      <c r="F6410" s="1"/>
    </row>
    <row r="6411" spans="6:6">
      <c r="F6411" s="1"/>
    </row>
    <row r="6412" spans="6:6">
      <c r="F6412" s="1"/>
    </row>
    <row r="6413" spans="6:6">
      <c r="F6413" s="1"/>
    </row>
    <row r="6414" spans="6:6">
      <c r="F6414" s="1"/>
    </row>
    <row r="6415" spans="6:6">
      <c r="F6415" s="1"/>
    </row>
    <row r="6416" spans="6:6">
      <c r="F6416" s="1"/>
    </row>
    <row r="6417" spans="6:6">
      <c r="F6417" s="1"/>
    </row>
    <row r="6418" spans="6:6">
      <c r="F6418" s="1"/>
    </row>
    <row r="6419" spans="6:6">
      <c r="F6419" s="1"/>
    </row>
    <row r="6420" spans="6:6">
      <c r="F6420" s="1"/>
    </row>
    <row r="6421" spans="6:6">
      <c r="F6421" s="1"/>
    </row>
    <row r="6422" spans="6:6">
      <c r="F6422" s="1"/>
    </row>
    <row r="6423" spans="6:6">
      <c r="F6423" s="1"/>
    </row>
    <row r="6424" spans="6:6">
      <c r="F6424" s="1"/>
    </row>
    <row r="6425" spans="6:6">
      <c r="F6425" s="1"/>
    </row>
    <row r="6426" spans="6:6">
      <c r="F6426" s="1"/>
    </row>
    <row r="6427" spans="6:6">
      <c r="F6427" s="1"/>
    </row>
    <row r="6428" spans="6:6">
      <c r="F6428" s="1"/>
    </row>
    <row r="6429" spans="6:6">
      <c r="F6429" s="1"/>
    </row>
    <row r="6430" spans="6:6">
      <c r="F6430" s="1"/>
    </row>
    <row r="6431" spans="6:6">
      <c r="F6431" s="1"/>
    </row>
    <row r="6432" spans="6:6">
      <c r="F6432" s="1"/>
    </row>
    <row r="6433" spans="6:6">
      <c r="F6433" s="1"/>
    </row>
    <row r="6434" spans="6:6">
      <c r="F6434" s="1"/>
    </row>
    <row r="6435" spans="6:6">
      <c r="F6435" s="1"/>
    </row>
    <row r="6436" spans="6:6">
      <c r="F6436" s="1"/>
    </row>
    <row r="6437" spans="6:6">
      <c r="F6437" s="1"/>
    </row>
    <row r="6438" spans="6:6">
      <c r="F6438" s="1"/>
    </row>
    <row r="6439" spans="6:6">
      <c r="F6439" s="1"/>
    </row>
    <row r="6440" spans="6:6">
      <c r="F6440" s="1"/>
    </row>
    <row r="6441" spans="6:6">
      <c r="F6441" s="1"/>
    </row>
    <row r="6442" spans="6:6">
      <c r="F6442" s="1"/>
    </row>
    <row r="6443" spans="6:6">
      <c r="F6443" s="1"/>
    </row>
    <row r="6444" spans="6:6">
      <c r="F6444" s="1"/>
    </row>
    <row r="6445" spans="6:6">
      <c r="F6445" s="1"/>
    </row>
    <row r="6446" spans="6:6">
      <c r="F6446" s="1"/>
    </row>
    <row r="6447" spans="6:6">
      <c r="F6447" s="1"/>
    </row>
    <row r="6448" spans="6:6">
      <c r="F6448" s="1"/>
    </row>
    <row r="6449" spans="6:6">
      <c r="F6449" s="1"/>
    </row>
    <row r="6450" spans="6:6">
      <c r="F6450" s="1"/>
    </row>
    <row r="6451" spans="6:6">
      <c r="F6451" s="1"/>
    </row>
    <row r="6452" spans="6:6">
      <c r="F6452" s="1"/>
    </row>
    <row r="6453" spans="6:6">
      <c r="F6453" s="1"/>
    </row>
    <row r="6454" spans="6:6">
      <c r="F6454" s="1"/>
    </row>
    <row r="6455" spans="6:6">
      <c r="F6455" s="1"/>
    </row>
    <row r="6456" spans="6:6">
      <c r="F6456" s="1"/>
    </row>
    <row r="6457" spans="6:6">
      <c r="F6457" s="1"/>
    </row>
    <row r="6458" spans="6:6">
      <c r="F6458" s="1"/>
    </row>
    <row r="6459" spans="6:6">
      <c r="F6459" s="1"/>
    </row>
    <row r="6460" spans="6:6">
      <c r="F6460" s="1"/>
    </row>
    <row r="6461" spans="6:6">
      <c r="F6461" s="1"/>
    </row>
    <row r="6462" spans="6:6">
      <c r="F6462" s="1"/>
    </row>
    <row r="6463" spans="6:6">
      <c r="F6463" s="1"/>
    </row>
    <row r="6464" spans="6:6">
      <c r="F6464" s="1"/>
    </row>
    <row r="6465" spans="6:6">
      <c r="F6465" s="1"/>
    </row>
    <row r="6466" spans="6:6">
      <c r="F6466" s="1"/>
    </row>
    <row r="6467" spans="6:6">
      <c r="F6467" s="1"/>
    </row>
    <row r="6468" spans="6:6">
      <c r="F6468" s="1"/>
    </row>
    <row r="6469" spans="6:6">
      <c r="F6469" s="1"/>
    </row>
    <row r="6470" spans="6:6">
      <c r="F6470" s="1"/>
    </row>
    <row r="6471" spans="6:6">
      <c r="F6471" s="1"/>
    </row>
    <row r="6472" spans="6:6">
      <c r="F6472" s="1"/>
    </row>
    <row r="6473" spans="6:6">
      <c r="F6473" s="1"/>
    </row>
    <row r="6474" spans="6:6">
      <c r="F6474" s="1"/>
    </row>
    <row r="6475" spans="6:6">
      <c r="F6475" s="1"/>
    </row>
    <row r="6476" spans="6:6">
      <c r="F6476" s="1"/>
    </row>
    <row r="6477" spans="6:6">
      <c r="F6477" s="1"/>
    </row>
    <row r="6478" spans="6:6">
      <c r="F6478" s="1"/>
    </row>
    <row r="6479" spans="6:6">
      <c r="F6479" s="1"/>
    </row>
    <row r="6480" spans="6:6">
      <c r="F6480" s="1"/>
    </row>
    <row r="6481" spans="6:6">
      <c r="F6481" s="1"/>
    </row>
    <row r="6482" spans="6:6">
      <c r="F6482" s="1"/>
    </row>
    <row r="6483" spans="6:6">
      <c r="F6483" s="1"/>
    </row>
    <row r="6484" spans="6:6">
      <c r="F6484" s="1"/>
    </row>
    <row r="6485" spans="6:6">
      <c r="F6485" s="1"/>
    </row>
    <row r="6486" spans="6:6">
      <c r="F6486" s="1"/>
    </row>
    <row r="6487" spans="6:6">
      <c r="F6487" s="1"/>
    </row>
    <row r="6488" spans="6:6">
      <c r="F6488" s="1"/>
    </row>
    <row r="6489" spans="6:6">
      <c r="F6489" s="1"/>
    </row>
    <row r="6490" spans="6:6">
      <c r="F6490" s="1"/>
    </row>
    <row r="6491" spans="6:6">
      <c r="F6491" s="1"/>
    </row>
    <row r="6492" spans="6:6">
      <c r="F6492" s="1"/>
    </row>
    <row r="6493" spans="6:6">
      <c r="F6493" s="1"/>
    </row>
    <row r="6494" spans="6:6">
      <c r="F6494" s="1"/>
    </row>
    <row r="6495" spans="6:6">
      <c r="F6495" s="1"/>
    </row>
    <row r="6496" spans="6:6">
      <c r="F6496" s="1"/>
    </row>
    <row r="6497" spans="6:6">
      <c r="F6497" s="1"/>
    </row>
    <row r="6498" spans="6:6">
      <c r="F6498" s="1"/>
    </row>
    <row r="6499" spans="6:6">
      <c r="F6499" s="1"/>
    </row>
    <row r="6500" spans="6:6">
      <c r="F6500" s="1"/>
    </row>
    <row r="6501" spans="6:6">
      <c r="F6501" s="1"/>
    </row>
    <row r="6502" spans="6:6">
      <c r="F6502" s="1"/>
    </row>
    <row r="6503" spans="6:6">
      <c r="F6503" s="1"/>
    </row>
    <row r="6504" spans="6:6">
      <c r="F6504" s="1"/>
    </row>
    <row r="6505" spans="6:6">
      <c r="F6505" s="1"/>
    </row>
    <row r="6506" spans="6:6">
      <c r="F6506" s="1"/>
    </row>
    <row r="6507" spans="6:6">
      <c r="F6507" s="1"/>
    </row>
    <row r="6508" spans="6:6">
      <c r="F6508" s="1"/>
    </row>
    <row r="6509" spans="6:6">
      <c r="F6509" s="1"/>
    </row>
    <row r="6510" spans="6:6">
      <c r="F6510" s="1"/>
    </row>
    <row r="6511" spans="6:6">
      <c r="F6511" s="1"/>
    </row>
    <row r="6512" spans="6:6">
      <c r="F6512" s="1"/>
    </row>
    <row r="6513" spans="6:6">
      <c r="F6513" s="1"/>
    </row>
    <row r="6514" spans="6:6">
      <c r="F6514" s="1"/>
    </row>
    <row r="6515" spans="6:6">
      <c r="F6515" s="1"/>
    </row>
    <row r="6516" spans="6:6">
      <c r="F6516" s="1"/>
    </row>
    <row r="6517" spans="6:6">
      <c r="F6517" s="1"/>
    </row>
    <row r="6518" spans="6:6">
      <c r="F6518" s="1"/>
    </row>
    <row r="6519" spans="6:6">
      <c r="F6519" s="1"/>
    </row>
    <row r="6520" spans="6:6">
      <c r="F6520" s="1"/>
    </row>
    <row r="6521" spans="6:6">
      <c r="F6521" s="1"/>
    </row>
    <row r="6522" spans="6:6">
      <c r="F6522" s="1"/>
    </row>
    <row r="6523" spans="6:6">
      <c r="F6523" s="1"/>
    </row>
    <row r="6524" spans="6:6">
      <c r="F6524" s="1"/>
    </row>
    <row r="6525" spans="6:6">
      <c r="F6525" s="1"/>
    </row>
    <row r="6526" spans="6:6">
      <c r="F6526" s="1"/>
    </row>
    <row r="6527" spans="6:6">
      <c r="F6527" s="1"/>
    </row>
    <row r="6528" spans="6:6">
      <c r="F6528" s="1"/>
    </row>
    <row r="6529" spans="6:6">
      <c r="F6529" s="1"/>
    </row>
    <row r="6530" spans="6:6">
      <c r="F6530" s="1"/>
    </row>
    <row r="6531" spans="6:6">
      <c r="F6531" s="1"/>
    </row>
    <row r="6532" spans="6:6">
      <c r="F6532" s="1"/>
    </row>
    <row r="6533" spans="6:6">
      <c r="F6533" s="1"/>
    </row>
    <row r="6534" spans="6:6">
      <c r="F6534" s="1"/>
    </row>
    <row r="6535" spans="6:6">
      <c r="F6535" s="1"/>
    </row>
    <row r="6536" spans="6:6">
      <c r="F6536" s="1"/>
    </row>
    <row r="6537" spans="6:6">
      <c r="F6537" s="1"/>
    </row>
    <row r="6538" spans="6:6">
      <c r="F6538" s="1"/>
    </row>
    <row r="6539" spans="6:6">
      <c r="F6539" s="1"/>
    </row>
    <row r="6540" spans="6:6">
      <c r="F6540" s="1"/>
    </row>
    <row r="6541" spans="6:6">
      <c r="F6541" s="1"/>
    </row>
    <row r="6542" spans="6:6">
      <c r="F6542" s="1"/>
    </row>
    <row r="6543" spans="6:6">
      <c r="F6543" s="1"/>
    </row>
    <row r="6544" spans="6:6">
      <c r="F6544" s="1"/>
    </row>
    <row r="6545" spans="6:6">
      <c r="F6545" s="1"/>
    </row>
    <row r="6546" spans="6:6">
      <c r="F6546" s="1"/>
    </row>
    <row r="6547" spans="6:6">
      <c r="F6547" s="1"/>
    </row>
    <row r="6548" spans="6:6">
      <c r="F6548" s="1"/>
    </row>
    <row r="6549" spans="6:6">
      <c r="F6549" s="1"/>
    </row>
    <row r="6550" spans="6:6">
      <c r="F6550" s="1"/>
    </row>
    <row r="6551" spans="6:6">
      <c r="F6551" s="1"/>
    </row>
    <row r="6552" spans="6:6">
      <c r="F6552" s="1"/>
    </row>
    <row r="6553" spans="6:6">
      <c r="F6553" s="1"/>
    </row>
    <row r="6554" spans="6:6">
      <c r="F6554" s="1"/>
    </row>
    <row r="6555" spans="6:6">
      <c r="F6555" s="1"/>
    </row>
    <row r="6556" spans="6:6">
      <c r="F6556" s="1"/>
    </row>
    <row r="6557" spans="6:6">
      <c r="F6557" s="1"/>
    </row>
    <row r="6558" spans="6:6">
      <c r="F6558" s="1"/>
    </row>
    <row r="6559" spans="6:6">
      <c r="F6559" s="1"/>
    </row>
    <row r="6560" spans="6:6">
      <c r="F6560" s="1"/>
    </row>
    <row r="6561" spans="6:6">
      <c r="F6561" s="1"/>
    </row>
    <row r="6562" spans="6:6">
      <c r="F6562" s="1"/>
    </row>
    <row r="6563" spans="6:6">
      <c r="F6563" s="1"/>
    </row>
    <row r="6564" spans="6:6">
      <c r="F6564" s="1"/>
    </row>
    <row r="6565" spans="6:6">
      <c r="F6565" s="1"/>
    </row>
    <row r="6566" spans="6:6">
      <c r="F6566" s="1"/>
    </row>
    <row r="6567" spans="6:6">
      <c r="F6567" s="1"/>
    </row>
    <row r="6568" spans="6:6">
      <c r="F6568" s="1"/>
    </row>
    <row r="6569" spans="6:6">
      <c r="F6569" s="1"/>
    </row>
    <row r="6570" spans="6:6">
      <c r="F6570" s="1"/>
    </row>
    <row r="6571" spans="6:6">
      <c r="F6571" s="1"/>
    </row>
    <row r="6572" spans="6:6">
      <c r="F6572" s="1"/>
    </row>
    <row r="6573" spans="6:6">
      <c r="F6573" s="1"/>
    </row>
    <row r="6574" spans="6:6">
      <c r="F6574" s="1"/>
    </row>
    <row r="6575" spans="6:6">
      <c r="F6575" s="1"/>
    </row>
    <row r="6576" spans="6:6">
      <c r="F6576" s="1"/>
    </row>
    <row r="6577" spans="6:6">
      <c r="F6577" s="1"/>
    </row>
    <row r="6578" spans="6:6">
      <c r="F6578" s="1"/>
    </row>
    <row r="6579" spans="6:6">
      <c r="F6579" s="1"/>
    </row>
    <row r="6580" spans="6:6">
      <c r="F6580" s="1"/>
    </row>
    <row r="6581" spans="6:6">
      <c r="F6581" s="1"/>
    </row>
    <row r="6582" spans="6:6">
      <c r="F6582" s="1"/>
    </row>
    <row r="6583" spans="6:6">
      <c r="F6583" s="1"/>
    </row>
    <row r="6584" spans="6:6">
      <c r="F6584" s="1"/>
    </row>
    <row r="6585" spans="6:6">
      <c r="F6585" s="1"/>
    </row>
    <row r="6586" spans="6:6">
      <c r="F6586" s="1"/>
    </row>
    <row r="6587" spans="6:6">
      <c r="F6587" s="1"/>
    </row>
    <row r="6588" spans="6:6">
      <c r="F6588" s="1"/>
    </row>
    <row r="6589" spans="6:6">
      <c r="F6589" s="1"/>
    </row>
    <row r="6590" spans="6:6">
      <c r="F6590" s="1"/>
    </row>
    <row r="6591" spans="6:6">
      <c r="F6591" s="1"/>
    </row>
    <row r="6592" spans="6:6">
      <c r="F6592" s="1"/>
    </row>
    <row r="6593" spans="6:6">
      <c r="F6593" s="1"/>
    </row>
    <row r="6594" spans="6:6">
      <c r="F6594" s="1"/>
    </row>
  </sheetData>
  <hyperlinks>
    <hyperlink ref="I2" r:id="rId1" xr:uid="{C6C8A511-9FA3-4974-A922-58ED0771D62F}"/>
    <hyperlink ref="J2" r:id="rId2" display="20" xr:uid="{0D1E0442-90B6-4F1F-8723-DA153C74002E}"/>
    <hyperlink ref="K2" r:id="rId3" display="26/06/2026" xr:uid="{59915DEB-4432-4131-8003-9A1BD001C6D0}"/>
    <hyperlink ref="L2" r:id="rId4" xr:uid="{6CD31AC8-0AFD-4129-B8E4-866357D6906F}"/>
    <hyperlink ref="I3" r:id="rId5" xr:uid="{B07AB639-8CB4-4DE8-8E20-631CA034FB54}"/>
    <hyperlink ref="J3" r:id="rId6" display="4" xr:uid="{90B60C0D-7D30-4F4D-B9AA-66422B535E99}"/>
    <hyperlink ref="K3" r:id="rId7" display="26/06/2026" xr:uid="{0D04949D-B444-40AB-98CA-B12B6190920B}"/>
    <hyperlink ref="L3" r:id="rId8" xr:uid="{DE609C3D-5BF4-4790-ABB9-01A3FFD6C77F}"/>
    <hyperlink ref="I4" r:id="rId9" xr:uid="{676AD305-C7C6-40BF-B254-C583C7DA4B36}"/>
    <hyperlink ref="J4" r:id="rId10" display="20" xr:uid="{A7373DDB-3801-4454-9FE6-049DC6385E01}"/>
    <hyperlink ref="K4" r:id="rId11" display="06/03/2026" xr:uid="{8C326CF4-413E-49B1-A0E6-98D383561128}"/>
    <hyperlink ref="L4" r:id="rId12" xr:uid="{4780C390-ED8E-42F6-9C18-376FF201B113}"/>
    <hyperlink ref="I5" r:id="rId13" xr:uid="{DD6D6ADB-94C5-43DC-9C99-55A8CAE5A5BF}"/>
    <hyperlink ref="J5" r:id="rId14" display="1" xr:uid="{922C185F-F893-41C0-9DFA-9783F134C3B2}"/>
    <hyperlink ref="K5" r:id="rId15" display="06/03/2026" xr:uid="{DFB1620B-F093-4D8D-B71C-6CC64E5B4FD4}"/>
    <hyperlink ref="L5" r:id="rId16" xr:uid="{2F19FEE6-EFD8-4E92-8215-232498497CAD}"/>
    <hyperlink ref="I6" r:id="rId17" xr:uid="{207370F1-A3A6-4954-83B1-D8130621EE1C}"/>
    <hyperlink ref="J6" r:id="rId18" display="1" xr:uid="{E49C2955-7746-4750-89B3-E6755EDBC5CD}"/>
    <hyperlink ref="K6" r:id="rId19" display="06/03/2026" xr:uid="{562A4516-A813-49FA-9A2D-B5B0084E1D06}"/>
    <hyperlink ref="L6" r:id="rId20" xr:uid="{28C2D5A2-7871-406E-AE32-64E6B2F57296}"/>
    <hyperlink ref="I7" r:id="rId21" xr:uid="{48BBE08F-65FF-4BEE-8359-7573B9594999}"/>
    <hyperlink ref="J7" r:id="rId22" display="12" xr:uid="{A597E1ED-69FA-4479-AB79-AA923E9B1BF0}"/>
    <hyperlink ref="K7" r:id="rId23" display="06/03/2026" xr:uid="{D7026A16-B96B-4972-AA91-6A945946CFA9}"/>
    <hyperlink ref="L7" r:id="rId24" xr:uid="{ACB217B9-EB18-4BFC-AFC0-4D60E4098358}"/>
    <hyperlink ref="I8" r:id="rId25" xr:uid="{762D3AA6-8B1A-49A8-B8E4-00D9073C4BFC}"/>
    <hyperlink ref="J8" r:id="rId26" display="4" xr:uid="{1708338C-0F6C-47F9-B016-B6FBBB2BE1E4}"/>
    <hyperlink ref="K8" r:id="rId27" display="06/03/2026" xr:uid="{216FA2C7-2616-467D-B4AE-89170D2A2473}"/>
    <hyperlink ref="L8" r:id="rId28" xr:uid="{7D5392A3-7EED-41A5-9448-D4EFFE19DD0F}"/>
    <hyperlink ref="I9" r:id="rId29" xr:uid="{92851250-E5FC-47C3-AEA1-3087278BC428}"/>
    <hyperlink ref="J9" r:id="rId30" display="33" xr:uid="{F8E0BEFF-887F-496B-B8A0-4C3967EBAF26}"/>
    <hyperlink ref="K9" r:id="rId31" display="23/01/2026" xr:uid="{B9E0063E-03A7-4A19-B450-CF36899EAC9C}"/>
    <hyperlink ref="L9" r:id="rId32" xr:uid="{A591BCE7-87AF-410C-89CE-7993F50DFB9B}"/>
    <hyperlink ref="I10" r:id="rId33" xr:uid="{D56E43EB-0509-452A-ADB5-3AC88C538730}"/>
    <hyperlink ref="J10" r:id="rId34" display="1" xr:uid="{E39EC035-9EB4-43FB-B243-3BBF24DC7F10}"/>
    <hyperlink ref="K10" r:id="rId35" display="01/01/2026" xr:uid="{0E3052A9-8C83-4231-836B-9C0BF7B74946}"/>
    <hyperlink ref="L10" r:id="rId36" xr:uid="{9DA32E72-D495-4478-81DD-ADA93606B13E}"/>
    <hyperlink ref="I11" r:id="rId37" xr:uid="{00CEAF63-26CA-44A0-A58E-5BBB5AD97095}"/>
    <hyperlink ref="J11" r:id="rId38" display="394" xr:uid="{1B888BEF-21B1-47E3-A142-E5FA85C64E97}"/>
    <hyperlink ref="K11" r:id="rId39" display="21/11/2025" xr:uid="{E2664279-5933-4D28-A428-8366E7800727}"/>
    <hyperlink ref="L11" r:id="rId40" xr:uid="{93C72851-4B2E-48A0-AEDD-F5155FCD6C03}"/>
    <hyperlink ref="I12" r:id="rId41" xr:uid="{2EE64C59-74F8-4E89-9433-8A8A60FA5991}"/>
    <hyperlink ref="J12" r:id="rId42" display="22" xr:uid="{2FD4FD24-5945-4DA1-AF7E-DC2A5A65D137}"/>
    <hyperlink ref="K12" r:id="rId43" display="21/11/2025" xr:uid="{F34314A4-88E7-4770-BCBE-E64169AE106E}"/>
    <hyperlink ref="L12" r:id="rId44" xr:uid="{8ED1326C-70BB-44A5-BF4B-5147F8C9C4F7}"/>
    <hyperlink ref="I13" r:id="rId45" xr:uid="{A71CD7ED-116A-4919-B26F-F74D6AC40A0D}"/>
    <hyperlink ref="J13" r:id="rId46" display="10" xr:uid="{F9F85FC8-ABC8-46BE-A821-2B12033AE383}"/>
    <hyperlink ref="K13" r:id="rId47" display="21/11/2025" xr:uid="{F6A224FF-EC28-4E0E-ACF4-F687C9F97598}"/>
    <hyperlink ref="L13" r:id="rId48" xr:uid="{3E265856-E79E-45C0-BAFA-AC00331C251F}"/>
    <hyperlink ref="I14" r:id="rId49" xr:uid="{0031D5CE-2F02-4FB6-87AE-3884A34BB7C5}"/>
    <hyperlink ref="J14" r:id="rId50" display="46" xr:uid="{64C5E33C-E359-4707-B763-911E7FEE26BD}"/>
    <hyperlink ref="K14" r:id="rId51" display="21/11/2025" xr:uid="{F1819D7B-2B8B-417D-886A-66B267386DA2}"/>
    <hyperlink ref="L14" r:id="rId52" xr:uid="{8F53A8CD-383B-4C44-950D-002EC2457244}"/>
    <hyperlink ref="I15" r:id="rId53" xr:uid="{D1149D3E-805F-49E6-834A-A87D7E6605FB}"/>
    <hyperlink ref="J15" r:id="rId54" display="317" xr:uid="{ECB5E899-9BBF-408C-B1CE-5A17778B964E}"/>
    <hyperlink ref="K15" r:id="rId55" display="21/11/2025" xr:uid="{F4923F99-5D90-4B38-837A-C93355309A4C}"/>
    <hyperlink ref="L15" r:id="rId56" xr:uid="{688B1AF3-E297-4746-90A9-6F17907DD17B}"/>
    <hyperlink ref="I16" r:id="rId57" xr:uid="{CEB9FE79-F029-4EFE-B74F-5CAF163BB060}"/>
    <hyperlink ref="J16" r:id="rId58" display="2" xr:uid="{DA358409-7442-4A36-98A7-E4E61BD9B17A}"/>
    <hyperlink ref="K16" r:id="rId59" display="21/11/2025" xr:uid="{48262D5A-72DF-4636-8538-398BAA6E659E}"/>
    <hyperlink ref="L16" r:id="rId60" xr:uid="{4DF5B409-E42A-414B-B189-83B37364C5AA}"/>
    <hyperlink ref="I17" r:id="rId61" xr:uid="{13891DEA-4A9D-417B-90AE-0670225C3FC1}"/>
    <hyperlink ref="J17" r:id="rId62" display="540" xr:uid="{494511C1-B974-4D83-AE8A-3C5D1F994038}"/>
    <hyperlink ref="K17" r:id="rId63" display="23/10/2025" xr:uid="{CEFF1B21-59CD-494C-8845-9C0413F36FC3}"/>
    <hyperlink ref="I18" r:id="rId64" xr:uid="{87EE377F-E364-4561-928C-A1D2BEA23330}"/>
    <hyperlink ref="J18" r:id="rId65" display="53" xr:uid="{57BC9AC8-F2D0-450A-A522-2D317A4F1DCB}"/>
    <hyperlink ref="K18" r:id="rId66" display="26/09/2025" xr:uid="{E1865943-1516-400C-BCA6-6D8D4F141D45}"/>
    <hyperlink ref="I19" r:id="rId67" xr:uid="{3E435093-264E-433B-B0A2-25F50014E9A1}"/>
    <hyperlink ref="J19" r:id="rId68" display="40" xr:uid="{9F1A219B-7A44-4220-8270-1F4FACFBCA0E}"/>
    <hyperlink ref="K19" r:id="rId69" display="23/09/2025" xr:uid="{8DECE3F3-919C-4FDB-9306-226389C27AA0}"/>
    <hyperlink ref="L19" r:id="rId70" xr:uid="{BD573EB1-A6B9-473E-B498-7C58A97F4C9E}"/>
    <hyperlink ref="I20" r:id="rId71" xr:uid="{8ED89875-4F96-49AC-81FC-908977CD3B45}"/>
    <hyperlink ref="J20" r:id="rId72" display="4" xr:uid="{5F8A9CCE-DDF7-43F2-8585-6C58828C61EF}"/>
    <hyperlink ref="K20" r:id="rId73" display="30/09/2025" xr:uid="{74DB3854-6448-484A-869B-B50266239377}"/>
    <hyperlink ref="L20" r:id="rId74" xr:uid="{78E5F1FC-D08C-4248-8ABB-C73562A596A3}"/>
    <hyperlink ref="I21" r:id="rId75" xr:uid="{FDE96CF8-665A-4011-AFA8-286BF144991B}"/>
    <hyperlink ref="J21" r:id="rId76" display="286" xr:uid="{ACEB8BE7-4C02-4E70-AEC8-FA31511B8400}"/>
    <hyperlink ref="K21" r:id="rId77" display="26/09/2025" xr:uid="{16EEC799-9116-4EFD-AD10-290E18079ACD}"/>
    <hyperlink ref="I22" r:id="rId78" xr:uid="{BE7EEFC7-47B8-46A2-80FA-2B9FE22A4F29}"/>
    <hyperlink ref="J22" r:id="rId79" display="68" xr:uid="{66775396-C1DA-4779-A855-E3B9E7E5730F}"/>
    <hyperlink ref="K22" r:id="rId80" display="26/09/2025" xr:uid="{A09FF216-0265-4EAC-80A3-D3CB8E79B1AC}"/>
    <hyperlink ref="L22" r:id="rId81" xr:uid="{0232AFF2-6633-4056-A526-6A61A0F3A72B}"/>
    <hyperlink ref="I23" r:id="rId82" xr:uid="{3A488690-B010-4FCE-8AC5-B4E628AC492C}"/>
    <hyperlink ref="J23" r:id="rId83" display="7" xr:uid="{3D9E5F92-7BB4-456B-8A98-8B23372D208A}"/>
    <hyperlink ref="K23" r:id="rId84" display="26/09/2025" xr:uid="{CE078A6F-2104-4D9B-8A7F-B89916F0F740}"/>
    <hyperlink ref="L23" r:id="rId85" xr:uid="{84245DB4-178E-47A3-B996-81C527310F15}"/>
    <hyperlink ref="I24" r:id="rId86" xr:uid="{0742035C-A044-47BE-AAC8-5E7EFFAA5950}"/>
    <hyperlink ref="J24" r:id="rId87" display="26" xr:uid="{C5C576B8-CF72-4EA6-A37B-8C661E8777B6}"/>
    <hyperlink ref="K24" r:id="rId88" display="26/09/2025" xr:uid="{E4492681-6F5A-4B9A-B7FF-ADA0FA2AA9A9}"/>
    <hyperlink ref="I25" r:id="rId89" xr:uid="{A190193F-0450-49C1-812E-5E913ED7E246}"/>
    <hyperlink ref="J25" r:id="rId90" display="189" xr:uid="{9140121F-36EB-48A2-BC14-79C827D80E0E}"/>
    <hyperlink ref="K25" r:id="rId91" display="23/09/2025" xr:uid="{2B977CD8-4339-4044-A37A-5763CD0CE2C9}"/>
    <hyperlink ref="L25" r:id="rId92" xr:uid="{775026BE-58E7-46BD-9833-F5AC324CC53C}"/>
    <hyperlink ref="I26" r:id="rId93" xr:uid="{53AF85A6-093D-40DA-A59A-8D410FD0D05F}"/>
    <hyperlink ref="J26" r:id="rId94" display="28" xr:uid="{AABF3D95-A7B0-4C5C-9BA6-A86F0961F1B6}"/>
    <hyperlink ref="K26" r:id="rId95" display="23/09/2025" xr:uid="{C3638F90-5440-4E56-BC3C-41D76FE85F98}"/>
    <hyperlink ref="L26" r:id="rId96" xr:uid="{195ECE9B-7EF5-406A-85FB-FE3F638DD7C8}"/>
    <hyperlink ref="I27" r:id="rId97" xr:uid="{F6C0116D-E465-4878-87C3-4EA8264453B9}"/>
    <hyperlink ref="J27" r:id="rId98" display="25" xr:uid="{794AD4D3-B1B0-49A5-8BC3-EC433F808B24}"/>
    <hyperlink ref="K27" r:id="rId99" display="23/09/2025" xr:uid="{330F2DAA-09B9-4162-9627-47FDA07598B4}"/>
    <hyperlink ref="L27" r:id="rId100" xr:uid="{20D2F545-0ABD-456F-A79D-39A12DD5BF42}"/>
    <hyperlink ref="I28" r:id="rId101" xr:uid="{BD095E18-97E7-4E32-A552-7F8FE18C336C}"/>
    <hyperlink ref="J28" r:id="rId102" display="1" xr:uid="{3516C0DA-6014-400D-AEF7-3F50A2F2BBB1}"/>
    <hyperlink ref="K28" r:id="rId103" display="24/08/2025" xr:uid="{E2D378A5-5355-4C7B-BA85-D34B0E2264DE}"/>
    <hyperlink ref="L28" r:id="rId104" xr:uid="{FEC018BF-79CA-45BC-AFA3-67E25DDA3AAD}"/>
    <hyperlink ref="I29" r:id="rId105" xr:uid="{DDF82685-D6DC-450D-A6C6-7C1616644FFE}"/>
    <hyperlink ref="J29" r:id="rId106" display="25" xr:uid="{ECBCDFAB-F52C-4798-9180-F812EEF8B7B1}"/>
    <hyperlink ref="K29" r:id="rId107" display="19/08/2025" xr:uid="{CEFF46E1-E392-46CA-8955-4DD3C394050A}"/>
    <hyperlink ref="L29" r:id="rId108" xr:uid="{347581D5-7D72-4C52-9BB4-C3DBA357D275}"/>
    <hyperlink ref="I30" r:id="rId109" xr:uid="{54B74669-9B44-4253-9573-253DD3CE197E}"/>
    <hyperlink ref="J30" r:id="rId110" display="26" xr:uid="{6A419DE6-57EF-4392-8802-C3CD830B2437}"/>
    <hyperlink ref="K30" r:id="rId111" display="19/08/2025" xr:uid="{02A7EB8B-7B1B-457E-A2FF-1946E9D583CB}"/>
    <hyperlink ref="L30" r:id="rId112" xr:uid="{16870906-6487-4351-A9DE-22E2649C9FD0}"/>
    <hyperlink ref="I31" r:id="rId113" xr:uid="{42B837A8-8CEE-44E2-BEE7-D817C3DED1A3}"/>
    <hyperlink ref="J31" r:id="rId114" display="399" xr:uid="{95B59F89-FC2A-4EAE-8701-DC6A651854B3}"/>
    <hyperlink ref="K31" r:id="rId115" display="01/08/2025" xr:uid="{7CD1858B-FE39-40FF-BEE1-61825704FA9C}"/>
    <hyperlink ref="I32" r:id="rId116" xr:uid="{9943AE99-7343-4333-B293-2DEF24249F8B}"/>
    <hyperlink ref="J32" r:id="rId117" display="180" xr:uid="{AA69E43C-BC8B-4852-96B6-7F4AE04A4D85}"/>
    <hyperlink ref="K32" r:id="rId118" display="01/08/2025" xr:uid="{9463551D-17D9-4B3E-BC4B-34305DDA9CB7}"/>
    <hyperlink ref="L32" r:id="rId119" xr:uid="{53F46809-18A3-4745-BFD8-26F306CB59D6}"/>
    <hyperlink ref="I33" r:id="rId120" xr:uid="{F99C838E-2DB3-4B46-9254-ED1297B74675}"/>
    <hyperlink ref="J33" r:id="rId121" display="160" xr:uid="{832A536A-C72A-40EB-9D65-99A4E1C5046F}"/>
    <hyperlink ref="K33" r:id="rId122" display="01/08/2025" xr:uid="{DEF67903-36BC-45DB-879A-003667D761F4}"/>
    <hyperlink ref="L33" r:id="rId123" xr:uid="{AC61903A-B374-4FEC-BD25-6A3D4627487B}"/>
    <hyperlink ref="I34" r:id="rId124" xr:uid="{B3EA6737-53C3-4ABE-B3B1-C1FE05ABFD10}"/>
    <hyperlink ref="J34" r:id="rId125" display="12" xr:uid="{826EAB02-7054-4238-82B3-D3D2D93AE6EF}"/>
    <hyperlink ref="K34" r:id="rId126" display="01/08/2025" xr:uid="{F5C34556-EB00-4303-ADD7-C435B7D18558}"/>
    <hyperlink ref="L34" r:id="rId127" xr:uid="{887AFD80-537D-4DD6-9D65-3981E293F850}"/>
    <hyperlink ref="I35" r:id="rId128" xr:uid="{9FAC4872-68D8-46CF-86BD-C5746DDFC339}"/>
    <hyperlink ref="J35" r:id="rId129" display="40" xr:uid="{74CA59CF-56DB-4B16-9177-61715D1BE8A9}"/>
    <hyperlink ref="K35" r:id="rId130" display="19/08/2025" xr:uid="{329FCA8C-2B02-4135-9E87-0879079AB83E}"/>
    <hyperlink ref="L35" r:id="rId131" xr:uid="{A6600252-4229-4F08-ABEB-9945A69744E9}"/>
    <hyperlink ref="I36" r:id="rId132" xr:uid="{32A0A4DA-5BCF-441F-BCB2-4CBA5241C0B8}"/>
    <hyperlink ref="J36" r:id="rId133" display="54" xr:uid="{2217FB38-6B3C-4720-81D9-0A3DF424EEBE}"/>
    <hyperlink ref="K36" r:id="rId134" display="01/08/2025" xr:uid="{8F7A98D9-B13A-4274-B8E5-137B786C5A78}"/>
    <hyperlink ref="L36" r:id="rId135" xr:uid="{C6ECCDD4-200C-4FFA-B920-8D0A5BE7194B}"/>
    <hyperlink ref="I37" r:id="rId136" xr:uid="{E2DAA5AE-AB8A-451C-A2CD-C0F0D1A21E6F}"/>
    <hyperlink ref="J37" r:id="rId137" display="191" xr:uid="{ECF33E61-A1C6-47B1-B962-F75116E075BC}"/>
    <hyperlink ref="K37" r:id="rId138" display="01/08/2025" xr:uid="{AF0096F3-3334-411B-9962-8C0D2973CC34}"/>
    <hyperlink ref="I38" r:id="rId139" xr:uid="{03B18DC9-950F-48F1-9002-8063133E3706}"/>
    <hyperlink ref="J38" r:id="rId140" display="16" xr:uid="{C163656F-A6C0-4CF4-AE75-9300264BC3FF}"/>
    <hyperlink ref="K38" r:id="rId141" display="01/08/2025" xr:uid="{5D37A4DE-B7F5-40EB-9161-E7F5F943DE6D}"/>
    <hyperlink ref="L38" r:id="rId142" xr:uid="{D933A494-0157-4617-A930-709F0BE28AFD}"/>
    <hyperlink ref="I39" r:id="rId143" xr:uid="{3F490490-69D7-4FD7-A7C6-6BBBA76E2CDA}"/>
    <hyperlink ref="J39" r:id="rId144" display="599" xr:uid="{6A6D0DF8-7790-43F9-A766-C05B17C41036}"/>
    <hyperlink ref="K39" r:id="rId145" display="13/06/2025" xr:uid="{74BF8264-BA83-49FC-9BD4-58284C0E4F99}"/>
    <hyperlink ref="I40" r:id="rId146" xr:uid="{3E789802-D338-4009-92AC-27A1C5D03B3B}"/>
    <hyperlink ref="J40" r:id="rId147" display="66" xr:uid="{D26F69FC-4CD2-485B-BB26-49B3517D5FBF}"/>
    <hyperlink ref="K40" r:id="rId148" display="13/06/2025" xr:uid="{077AC777-F4C9-4D3E-8BA8-DCCF073B0ECF}"/>
    <hyperlink ref="I41" r:id="rId149" xr:uid="{EF265DCF-890A-48EC-95D8-4087BC253DFA}"/>
    <hyperlink ref="J41" r:id="rId150" display="94" xr:uid="{47AD3A27-BC69-4E4C-BF83-DCCA84C7404D}"/>
    <hyperlink ref="K41" r:id="rId151" display="13/06/2025" xr:uid="{1BA95170-9656-4C00-BE81-C179B5135EAC}"/>
    <hyperlink ref="L41" r:id="rId152" xr:uid="{F60ADD27-7A5D-4D8A-9293-98EE4C5987D2}"/>
    <hyperlink ref="I42" r:id="rId153" xr:uid="{7B8B1271-EA56-46FF-A2F7-DDC70E1312BA}"/>
    <hyperlink ref="J42" r:id="rId154" display="37" xr:uid="{70FD54DE-497A-4B15-A52F-97D152D9E10F}"/>
    <hyperlink ref="K42" r:id="rId155" display="13/06/2025" xr:uid="{3C692E8D-B9CF-4D7B-A4E5-FCDEBE892FCC}"/>
    <hyperlink ref="L42" r:id="rId156" xr:uid="{23AE55BD-5ED7-41FD-8694-54B0C2639DF0}"/>
    <hyperlink ref="I43" r:id="rId157" xr:uid="{48FE2EAF-1B29-49EF-9598-4DF3AD9DBFD2}"/>
    <hyperlink ref="J43" r:id="rId158" display="2" xr:uid="{9AB30BD7-C7BC-47FA-97B9-BD5AED38D72C}"/>
    <hyperlink ref="K43" r:id="rId159" display="13/06/2025" xr:uid="{A9DE3F31-2160-44F4-9E48-EB5C9F94B021}"/>
    <hyperlink ref="L43" r:id="rId160" xr:uid="{206CF561-6C35-4002-9B78-DCA205784347}"/>
    <hyperlink ref="I44" r:id="rId161" xr:uid="{DF57B360-2734-42C4-86CF-A0383F2B6137}"/>
    <hyperlink ref="J44" r:id="rId162" display="53" xr:uid="{4150DDB6-DE47-4CFE-BC35-577FE8E86D7A}"/>
    <hyperlink ref="K44" r:id="rId163" display="13/06/2025" xr:uid="{F0A21E16-537A-479C-AD5C-3F8F3D4FE543}"/>
    <hyperlink ref="L44" r:id="rId164" xr:uid="{97A4ABDC-0698-433A-8D39-5046A43DB930}"/>
    <hyperlink ref="I45" r:id="rId165" xr:uid="{074E5951-3DC2-4ED5-A75F-4184FA227D9D}"/>
    <hyperlink ref="J45" r:id="rId166" display="486" xr:uid="{B4D5E330-66C5-4EFF-B00E-120C95B7D69D}"/>
    <hyperlink ref="K45" r:id="rId167" display="13/06/2025" xr:uid="{2ED3125B-4882-4401-ACE7-8C7B798DB6DD}"/>
    <hyperlink ref="I46" r:id="rId168" xr:uid="{C7BA7FAC-7F6B-452C-9F05-71931F6F9CDA}"/>
    <hyperlink ref="J46" r:id="rId169" display="11" xr:uid="{E0CD104E-804C-426D-901C-B22FC4DEE63D}"/>
    <hyperlink ref="K46" r:id="rId170" display="13/06/2025" xr:uid="{766EFD58-55E4-4F39-B388-E6CBA94A8E18}"/>
    <hyperlink ref="L46" r:id="rId171" xr:uid="{0F06D143-2159-410A-A577-3E0728BE93DA}"/>
    <hyperlink ref="I47" r:id="rId172" xr:uid="{B5C95B33-44E9-4DA7-A14C-F8E996BD1FD6}"/>
    <hyperlink ref="J47" r:id="rId173" display="3" xr:uid="{40D3172A-EF3B-49CE-BF50-FC915BC97C55}"/>
    <hyperlink ref="K47" r:id="rId174" display="13/06/2025" xr:uid="{85C8D391-718A-4B3D-96B9-A4B2BAE987BE}"/>
    <hyperlink ref="L47" r:id="rId175" xr:uid="{71FCCDD8-A433-4155-83A7-ACF0ABFC9DED}"/>
    <hyperlink ref="I48" r:id="rId176" xr:uid="{89F96125-F677-4B1B-ABFB-CF788B990ECA}"/>
    <hyperlink ref="J48" r:id="rId177" display="2" xr:uid="{D91A2FF6-4F71-42D6-B510-DF8FE30BA37F}"/>
    <hyperlink ref="K48" r:id="rId178" display="13/06/2025" xr:uid="{E2F795D5-EED7-4441-AC1C-A5E61B4F7E3F}"/>
    <hyperlink ref="L48" r:id="rId179" xr:uid="{D113BE39-E242-4228-B52F-DABA9FA26B1A}"/>
    <hyperlink ref="I49" r:id="rId180" xr:uid="{A2FA15C7-7984-419C-BC5C-D45B18589105}"/>
    <hyperlink ref="J49" r:id="rId181" display="11" xr:uid="{A68739CF-EC0F-4540-9896-00E4C2BBFAD3}"/>
    <hyperlink ref="K49" r:id="rId182" display="05/05/2025" xr:uid="{4A39F2ED-F9C8-421B-8887-C995C72C07B7}"/>
    <hyperlink ref="L49" r:id="rId183" xr:uid="{D8AA2944-1E52-48BD-88E2-28F9BE65065D}"/>
    <hyperlink ref="I50" r:id="rId184" xr:uid="{13ADF6FD-3884-4BC9-B45D-9DB2DF48E0A3}"/>
    <hyperlink ref="J50" r:id="rId185" display="427" xr:uid="{FE51D46A-A414-4FEC-B6B8-9B918EC20118}"/>
    <hyperlink ref="K50" r:id="rId186" display="11/04/2025" xr:uid="{48872F79-7E5C-4B95-8206-0C46136428B7}"/>
    <hyperlink ref="I51" r:id="rId187" xr:uid="{B100982F-05DA-4D91-8DED-E0F7BB8EA1C2}"/>
    <hyperlink ref="J51" r:id="rId188" display="160" xr:uid="{B675C4AC-40C2-4942-80F1-13EAE6E8F957}"/>
    <hyperlink ref="K51" r:id="rId189" display="11/04/2025" xr:uid="{83AEDA10-1A25-401A-8012-54CEFF570E50}"/>
    <hyperlink ref="L51" r:id="rId190" xr:uid="{21651070-E084-4CEB-8E4D-3185DC934429}"/>
    <hyperlink ref="I52" r:id="rId191" xr:uid="{6B533D59-4702-4426-B935-BBD1DC059BB4}"/>
    <hyperlink ref="J52" r:id="rId192" display="16" xr:uid="{CBDCC5EC-671A-4F08-8105-814767C3DE61}"/>
    <hyperlink ref="K52" r:id="rId193" display="11/04/2025" xr:uid="{7082C096-397A-472A-808C-E4A5E01EE23E}"/>
    <hyperlink ref="L52" r:id="rId194" xr:uid="{11783111-37AB-4F7B-A43F-8F1F8D30F0BF}"/>
    <hyperlink ref="I53" r:id="rId195" xr:uid="{953C66AF-4283-4271-9A2C-61B5AB6D8447}"/>
    <hyperlink ref="J53" r:id="rId196" display="30" xr:uid="{3BE7A015-4118-4E6E-90D2-156EAC780DBF}"/>
    <hyperlink ref="K53" r:id="rId197" display="29/04/2025" xr:uid="{37513511-6B94-48ED-A4B1-02640F3F6946}"/>
    <hyperlink ref="L53" r:id="rId198" xr:uid="{A894991A-B5C0-42A6-A775-B680B070FF39}"/>
    <hyperlink ref="I54" r:id="rId199" xr:uid="{C9E6E17C-231A-4C09-A42F-85C72DC1809C}"/>
    <hyperlink ref="J54" r:id="rId200" display="54" xr:uid="{097BB327-5B59-4D6A-A639-5FD425BB7911}"/>
    <hyperlink ref="K54" r:id="rId201" display="11/04/2025" xr:uid="{09982E4E-FC5F-46AE-B2EB-96C2474951D0}"/>
    <hyperlink ref="L54" r:id="rId202" xr:uid="{C027E419-7921-4D2B-8546-42578CA22EE5}"/>
    <hyperlink ref="I55" r:id="rId203" xr:uid="{93D3913A-1E02-432C-80C3-5DF98D850BB7}"/>
    <hyperlink ref="J55" r:id="rId204" display="413" xr:uid="{B1101647-BB37-4FF8-A5C4-3F6F4085E2EA}"/>
    <hyperlink ref="K55" r:id="rId205" display="11/04/2025" xr:uid="{9FFF0246-48E6-400E-88C0-FCE2FC867C08}"/>
    <hyperlink ref="I56" r:id="rId206" xr:uid="{7D845835-B060-4252-9329-FA5453482FCE}"/>
    <hyperlink ref="J56" r:id="rId207" display="34" xr:uid="{94AC5440-D199-4A94-90C1-E089F605CDBA}"/>
    <hyperlink ref="K56" r:id="rId208" display="11/04/2025" xr:uid="{E8B5191A-1026-4E10-B570-7DF430359B02}"/>
    <hyperlink ref="L56" r:id="rId209" xr:uid="{E75AC3D7-4F2E-42FA-8B27-019E97B34294}"/>
    <hyperlink ref="I58" r:id="rId210" xr:uid="{40EC4717-6FEC-460B-87A7-7D0B61628388}"/>
    <hyperlink ref="J58" r:id="rId211" display="2" xr:uid="{D0829867-83F0-49F2-BB0E-B862DA51246C}"/>
    <hyperlink ref="K58" r:id="rId212" display="26/03/2025" xr:uid="{B7431955-935D-4D99-98BA-43B9A0F4D007}"/>
    <hyperlink ref="L58" r:id="rId213" xr:uid="{609D96B0-0998-41EC-A0B0-F33B6BCB3AAB}"/>
    <hyperlink ref="I60" r:id="rId214" xr:uid="{8DB6AAC7-A495-4EA8-B1AC-C89D1A2067F3}"/>
    <hyperlink ref="J60" r:id="rId215" display="6" xr:uid="{AB4E1635-0C11-4FB9-B78E-FC34E450AD4C}"/>
    <hyperlink ref="K60" r:id="rId216" display="14/02/2025" xr:uid="{3B053E61-97FD-4A73-9D4F-DD3F883F40EB}"/>
    <hyperlink ref="L60" r:id="rId217" xr:uid="{226BD07C-C839-4B91-87BA-DD624705C9E2}"/>
    <hyperlink ref="I62" r:id="rId218" xr:uid="{87DACE5D-83BD-4D0E-AB78-42FB0239209D}"/>
    <hyperlink ref="J62" r:id="rId219" display="553" xr:uid="{2CF1782D-B759-4010-A7DF-608E5E835B11}"/>
    <hyperlink ref="K62" r:id="rId220" display="14/02/2025" xr:uid="{9B613A82-9435-4DA3-A8F0-676061935DBB}"/>
    <hyperlink ref="I64" r:id="rId221" xr:uid="{558446EF-1D35-48FC-A4C3-591DB43B9925}"/>
    <hyperlink ref="J64" r:id="rId222" display="160" xr:uid="{556530D1-6171-42F2-8454-7DBA65CC4701}"/>
    <hyperlink ref="K64" r:id="rId223" display="14/02/2025" xr:uid="{39EAC6C2-304C-4A37-BFDF-B4254A082D40}"/>
    <hyperlink ref="L64" r:id="rId224" xr:uid="{6919650C-E83D-4822-A392-CDFF5C29C4F1}"/>
    <hyperlink ref="I66" r:id="rId225" xr:uid="{BB92096D-8B94-4248-9647-6BE13507BA17}"/>
    <hyperlink ref="J66" r:id="rId226" display="14" xr:uid="{C5C9F352-3048-4258-AA39-93108B57D3B4}"/>
    <hyperlink ref="K66" r:id="rId227" display="14/02/2025" xr:uid="{49D7C655-F05D-4382-BB53-1B5158C99568}"/>
    <hyperlink ref="L66" r:id="rId228" xr:uid="{7B646EA6-EE74-4008-A452-93F4FCEF24A7}"/>
    <hyperlink ref="I68" r:id="rId229" xr:uid="{A5B2D2DD-C8ED-4876-ACB3-6137E02E2E0A}"/>
    <hyperlink ref="J68" r:id="rId230" display="30" xr:uid="{70315C17-9ABD-4110-B12B-B82675D1CBA0}"/>
    <hyperlink ref="K68" r:id="rId231" display="04/03/2025" xr:uid="{216205F6-4FD3-443A-9D69-5EE8EA683E51}"/>
    <hyperlink ref="L68" r:id="rId232" xr:uid="{D2610216-BBEF-4E84-92ED-77183E3A2C4D}"/>
    <hyperlink ref="I70" r:id="rId233" xr:uid="{0C7B3817-9C63-482E-AD17-74416895E6EC}"/>
    <hyperlink ref="J70" r:id="rId234" display="54" xr:uid="{403D2900-926B-41FB-BDE8-E317536A2797}"/>
    <hyperlink ref="K70" r:id="rId235" display="14/02/2025" xr:uid="{BDB5A59B-1FCB-4826-A6F4-A99E0D505DC0}"/>
    <hyperlink ref="L70" r:id="rId236" xr:uid="{ACEAF657-D850-492C-9367-F9DCDD6D7C95}"/>
    <hyperlink ref="I72" r:id="rId237" xr:uid="{4180B5BB-375C-4188-B515-AFCA6A7D3626}"/>
    <hyperlink ref="J72" r:id="rId238" display="184" xr:uid="{897ACB9F-CAC8-4B95-8305-5AB96EF3FB9B}"/>
    <hyperlink ref="K72" r:id="rId239" display="14/02/2025" xr:uid="{C866610D-C577-4EA2-9A51-2FF5FFAB6B6C}"/>
    <hyperlink ref="I74" r:id="rId240" xr:uid="{E067CA0E-6737-4FA3-BCCB-7ED893079392}"/>
    <hyperlink ref="J74" r:id="rId241" display="17" xr:uid="{909FBB37-7746-44A5-B082-042B5C172F39}"/>
    <hyperlink ref="K74" r:id="rId242" display="14/02/2025" xr:uid="{5771B0A1-EF0B-443A-99B0-7F7425FB6A28}"/>
    <hyperlink ref="L74" r:id="rId243" xr:uid="{5376FEC7-B5B2-4AE4-B3B3-FF7D2C0A608F}"/>
    <hyperlink ref="I76" r:id="rId244" xr:uid="{A2913CDA-3088-4E90-B3E8-1D41920EB7D6}"/>
    <hyperlink ref="J76" r:id="rId245" display="2" xr:uid="{3D4B7F5A-2AC7-417B-980C-768649FA2C0B}"/>
    <hyperlink ref="K76" r:id="rId246" display="09/02/2025" xr:uid="{0E933614-349D-4787-966B-C4D148D7D702}"/>
    <hyperlink ref="L76" r:id="rId247" xr:uid="{5BD79B2B-F63D-4909-B8BE-57B576CA9DF7}"/>
    <hyperlink ref="I78" r:id="rId248" xr:uid="{10234465-D30E-4929-9017-F7A27EBA63DD}"/>
    <hyperlink ref="J78" r:id="rId249" display="495" xr:uid="{A404C530-586D-4114-8A8B-9803F9F657C7}"/>
    <hyperlink ref="K78" r:id="rId250" display="24/01/2025" xr:uid="{FE69E12F-BC47-4C72-B483-DBFDEFE8F1D1}"/>
    <hyperlink ref="L78" r:id="rId251" xr:uid="{E70D132D-B65E-4389-8DC0-E169AF60E1F4}"/>
    <hyperlink ref="I80" r:id="rId252" xr:uid="{20ADFDFE-158A-44AD-BB79-8975F2EFDEBB}"/>
    <hyperlink ref="J80" r:id="rId253" display="27" xr:uid="{AD91D2D9-C751-4CAA-A98A-8755A07A8F64}"/>
    <hyperlink ref="K80" r:id="rId254" display="24/01/2025" xr:uid="{75AAA1F8-7085-48F3-93E6-5588EBFF189B}"/>
    <hyperlink ref="L80" r:id="rId255" xr:uid="{80A78E1B-8B10-41AE-BE3D-F3B1AC593512}"/>
    <hyperlink ref="I82" r:id="rId256" xr:uid="{9CC01EA9-F573-40FF-A3EB-F81DAB76C341}"/>
    <hyperlink ref="J82" r:id="rId257" display="25" xr:uid="{C25BE6AC-E954-4C20-9AC0-3BD5AAB9A4E9}"/>
    <hyperlink ref="K82" r:id="rId258" display="24/01/2025" xr:uid="{FD3ACFFF-F86D-45A7-AFF0-3E690D4E6BA7}"/>
    <hyperlink ref="L82" r:id="rId259" xr:uid="{B8F601A8-0063-48EC-BE8D-266497E09CC3}"/>
    <hyperlink ref="I84" r:id="rId260" xr:uid="{ACA5D9E9-70A3-4C8D-B1E2-4E093ED75C30}"/>
    <hyperlink ref="J84" r:id="rId261" display="8" xr:uid="{3DD50318-7CCF-4884-A5BB-78CF3E41B261}"/>
    <hyperlink ref="K84" r:id="rId262" display="03/01/2025" xr:uid="{11AD4E44-669D-4250-BE54-4B29AB693C7B}"/>
    <hyperlink ref="I86" r:id="rId263" xr:uid="{A07FD3ED-C90E-40B2-83A5-5E803A5171C7}"/>
    <hyperlink ref="J86" r:id="rId264" display="19" xr:uid="{E78D425A-4C98-48AD-A3C9-4D6C4D7FDAC2}"/>
    <hyperlink ref="K86" r:id="rId265" display="01/01/2025" xr:uid="{CBDB5E67-D9AC-4DB4-B381-DCAC22EDD3DC}"/>
    <hyperlink ref="I88" r:id="rId266" xr:uid="{DEA0DC4E-358C-46EF-8E89-E9AA106C5306}"/>
    <hyperlink ref="J88" r:id="rId267" display="17" xr:uid="{69829748-89CC-4828-BA88-3AAC2EBC6817}"/>
    <hyperlink ref="K88" r:id="rId268" display="01/01/2025" xr:uid="{3CEC6AD6-D39E-44E8-802A-0A742F7D4E32}"/>
    <hyperlink ref="L88" r:id="rId269" xr:uid="{3D53FE5E-404D-4C87-A426-2FDCB727E22C}"/>
    <hyperlink ref="I90" r:id="rId270" xr:uid="{29C13930-A42E-45F3-B110-B40B648A3483}"/>
    <hyperlink ref="J90" r:id="rId271" display="398" xr:uid="{26F43CC6-CBA5-4ACD-90A2-9AF001507CAC}"/>
    <hyperlink ref="K90" r:id="rId272" display="10/12/2024" xr:uid="{C2CDEA58-693B-4151-B39E-B61BF2FF9135}"/>
    <hyperlink ref="L90" r:id="rId273" xr:uid="{FEEF6D04-3ECA-49AA-AE87-A178D5427460}"/>
    <hyperlink ref="I92" r:id="rId274" xr:uid="{E78C426D-3281-4BAD-96A2-A59748BE6845}"/>
    <hyperlink ref="J92" r:id="rId275" display="730" xr:uid="{9D01AEA9-3288-402A-A130-A467D9DB806E}"/>
    <hyperlink ref="K92" r:id="rId276" display="15/11/2024" xr:uid="{9E9081CE-4EFE-44DF-A4E5-246A215341B9}"/>
    <hyperlink ref="I94" r:id="rId277" xr:uid="{9D590C9B-072F-4C35-A83A-2AD0CD2A2F1E}"/>
    <hyperlink ref="J94" r:id="rId278" display="93" xr:uid="{E9F6E1B0-6A42-4FEA-8E21-D8BF0B7304A3}"/>
    <hyperlink ref="K94" r:id="rId279" display="15/11/2024" xr:uid="{88F51DDB-9210-410D-96D2-0CB0E9CD747A}"/>
    <hyperlink ref="L94" r:id="rId280" xr:uid="{F41D1CB7-38E3-4E0B-B212-D18236AD13A9}"/>
    <hyperlink ref="I96" r:id="rId281" xr:uid="{B9824061-47B9-4933-8618-2F25142519DD}"/>
    <hyperlink ref="J96" r:id="rId282" display="33" xr:uid="{43F30C89-8163-4BF2-9272-46386BB047C6}"/>
    <hyperlink ref="K96" r:id="rId283" display="15/11/2024" xr:uid="{ED8C1D14-B0D0-4473-9350-8DB8C161F232}"/>
    <hyperlink ref="L96" r:id="rId284" xr:uid="{BF94226F-8467-475B-8FA9-127013307F07}"/>
    <hyperlink ref="I98" r:id="rId285" xr:uid="{3FAD8D26-082A-41FB-B68A-A968048D9103}"/>
    <hyperlink ref="J98" r:id="rId286" display="55" xr:uid="{E2CACD67-1ED9-4DFB-B52C-883FE1C55B6A}"/>
    <hyperlink ref="K98" r:id="rId287" display="15/11/2024" xr:uid="{673FBA12-B9EB-4357-822B-B87FD3AF98B0}"/>
    <hyperlink ref="L98" r:id="rId288" xr:uid="{E245D646-229C-4758-B3B3-C2983204737C}"/>
    <hyperlink ref="I100" r:id="rId289" xr:uid="{D218498E-7B8E-4991-8563-A72947F69C8C}"/>
    <hyperlink ref="J100" r:id="rId290" display="3" xr:uid="{23F5F693-B351-451A-948B-F7450C903387}"/>
    <hyperlink ref="K100" r:id="rId291" display="15/11/2024" xr:uid="{0677C461-FFD3-43F1-8577-F88CAF669AF3}"/>
    <hyperlink ref="L100" r:id="rId292" xr:uid="{0DA97895-241D-4FD6-A63F-20F787C7D29D}"/>
    <hyperlink ref="I102" r:id="rId293" xr:uid="{14044CF5-7C0E-43C4-9078-C74BD3208243}"/>
    <hyperlink ref="J102" r:id="rId294" display="779" xr:uid="{0ABA3B4D-87B1-4FB7-8F0D-6965FE96782B}"/>
    <hyperlink ref="K102" r:id="rId295" display="15/11/2024" xr:uid="{068E54D1-4FAD-47F1-96ED-B99526C65A03}"/>
    <hyperlink ref="I104" r:id="rId296" xr:uid="{98974C15-0732-45E3-9E3F-94FD1D679065}"/>
    <hyperlink ref="J104" r:id="rId297" display="46" xr:uid="{409050E7-6108-400D-8C95-8BB76D274574}"/>
    <hyperlink ref="K104" r:id="rId298" display="15/11/2024" xr:uid="{0466C676-EB73-42B5-900E-BF0B899FC1D1}"/>
    <hyperlink ref="L104" r:id="rId299" xr:uid="{29106BCA-7C4D-4844-8DFE-6B02C4CC628E}"/>
    <hyperlink ref="I106" r:id="rId300" xr:uid="{EFB092B8-147C-4D5B-8511-F46F76C688C3}"/>
    <hyperlink ref="J106" r:id="rId301" display="10" xr:uid="{607487EE-72C3-484C-8BDD-2B4E95A1EE30}"/>
    <hyperlink ref="K106" r:id="rId302" display="15/11/2024" xr:uid="{50D392AA-3F72-4852-8FA4-FA8954FF22B8}"/>
    <hyperlink ref="I108" r:id="rId303" xr:uid="{2F0F475A-DB92-42BF-A704-E34F0DA40FCD}"/>
    <hyperlink ref="J108" r:id="rId304" display="418" xr:uid="{AEC0F103-E2D2-4E23-9334-064D98EB339C}"/>
    <hyperlink ref="K108" r:id="rId305" display="27/09/2024" xr:uid="{9ABCEDE5-1331-4385-8493-B68DDEA726D7}"/>
    <hyperlink ref="I110" r:id="rId306" xr:uid="{507A28DB-DD3D-4285-98E0-CE90D265ADFF}"/>
    <hyperlink ref="J110" r:id="rId307" display="160" xr:uid="{A13D22C2-1F6C-42A0-A517-9EEFDE2269EE}"/>
    <hyperlink ref="K110" r:id="rId308" display="27/09/2024" xr:uid="{70187E9F-5433-4EA6-9FE6-1E793954F10B}"/>
    <hyperlink ref="L110" r:id="rId309" xr:uid="{235FBDA9-B58D-4703-922A-703A3A7F85C4}"/>
    <hyperlink ref="I112" r:id="rId310" xr:uid="{9D9C5525-CA5A-4B41-9232-FD486E79CC92}"/>
    <hyperlink ref="J112" r:id="rId311" display="19" xr:uid="{D8C1EDC6-E770-4E2C-8AB3-546E030E4240}"/>
    <hyperlink ref="K112" r:id="rId312" display="27/09/2024" xr:uid="{28CD4FCB-26D6-4E2E-8E6B-B34E0BDAC558}"/>
    <hyperlink ref="L112" r:id="rId313" xr:uid="{500FCC5C-F8BA-4CB7-9160-C8DFEEB2F42E}"/>
    <hyperlink ref="I114" r:id="rId314" xr:uid="{F77D8928-39E0-4DD3-A26E-609D444E0CE0}"/>
    <hyperlink ref="J114" r:id="rId315" display="30" xr:uid="{C74F8B5A-9BFF-40B6-858A-3CA03A8BC6F6}"/>
    <hyperlink ref="K114" r:id="rId316" display="15/10/2024" xr:uid="{F8E4CFC3-3E59-46CB-985A-B0E0C0B25D69}"/>
    <hyperlink ref="L114" r:id="rId317" xr:uid="{06044C43-6F03-4A87-9A9A-2D4784E82C87}"/>
    <hyperlink ref="I116" r:id="rId318" xr:uid="{0667C836-D0E2-4621-B2CA-002310BB9AC1}"/>
    <hyperlink ref="J116" r:id="rId319" display="373" xr:uid="{3DCC7CA7-6D9D-4709-B51F-021456CFA1CB}"/>
    <hyperlink ref="K116" r:id="rId320" display="27/09/2024" xr:uid="{2AF8AFEA-1429-4AAD-97C5-A2E585C5481D}"/>
    <hyperlink ref="I118" r:id="rId321" xr:uid="{93CCD516-BC67-4FCB-B54F-63DA4A6E1CD7}"/>
    <hyperlink ref="J118" r:id="rId322" display="23" xr:uid="{C1A731F9-1C23-4284-BE97-4180E60BFDEA}"/>
    <hyperlink ref="K118" r:id="rId323" display="27/09/2024" xr:uid="{2E0FAFD0-E228-4413-B939-1C64AFB8C3F0}"/>
    <hyperlink ref="L118" r:id="rId324" xr:uid="{179F3CE4-8BF1-4C12-8FFA-3D5E3A5D661F}"/>
    <hyperlink ref="I120" r:id="rId325" xr:uid="{F0C78F53-27C5-49CD-9FC7-7E94469B0D2D}"/>
    <hyperlink ref="J120" r:id="rId326" display="54" xr:uid="{6C3A35CB-1254-4717-B08A-39ED0D4426AF}"/>
    <hyperlink ref="K120" r:id="rId327" display="27/09/2024" xr:uid="{18649BC7-64C0-469B-A89A-389C30390CA0}"/>
    <hyperlink ref="L120" r:id="rId328" xr:uid="{16D01716-3AB7-4343-BFB1-8DDB93C23573}"/>
    <hyperlink ref="I122" r:id="rId329" xr:uid="{18D9DAFE-EB43-4D45-93D2-368E9740A3F7}"/>
    <hyperlink ref="J122" r:id="rId330" display="7" xr:uid="{57D28873-0A45-49EF-ADC9-9C0D0522DFFD}"/>
    <hyperlink ref="K122" r:id="rId331" display="06/08/2024" xr:uid="{1DA996C3-45B6-40BF-AED8-DAE46FBD8F86}"/>
    <hyperlink ref="I124" r:id="rId332" xr:uid="{C80F7462-B5E8-4509-B8C4-F68E8100E935}"/>
    <hyperlink ref="J124" r:id="rId333" display="385" xr:uid="{21E3775C-6BE1-4F5B-9C45-A6828C26A17C}"/>
    <hyperlink ref="K124" r:id="rId334" display="02/08/2024" xr:uid="{9C87012B-3E71-4828-A431-3E64BC494718}"/>
    <hyperlink ref="L124" r:id="rId335" xr:uid="{7D021192-3BA4-4CC9-8570-8E0258E8D1FD}"/>
    <hyperlink ref="I126" r:id="rId336" xr:uid="{BF1FC9DD-D44F-4A1B-A584-C1E429EF6927}"/>
    <hyperlink ref="J126" r:id="rId337" display="398" xr:uid="{A51D0210-BA80-4911-A690-75CB5DEFB544}"/>
    <hyperlink ref="K126" r:id="rId338" display="02/08/2024" xr:uid="{5E40B7D6-46F5-4E42-9DA1-8AB35C0E2A52}"/>
    <hyperlink ref="I128" r:id="rId339" xr:uid="{4FD52A7C-0DB4-4EEA-B854-D8A37951FC8B}"/>
    <hyperlink ref="J128" r:id="rId340" display="160" xr:uid="{C9062A0C-A5F7-405B-8C68-531AF4096125}"/>
    <hyperlink ref="K128" r:id="rId341" display="02/08/2024" xr:uid="{3D384FCA-2D8F-4BCE-A7B9-519586F4CECF}"/>
    <hyperlink ref="L128" r:id="rId342" xr:uid="{9ED5BA81-3E06-446F-B057-62FC10843722}"/>
    <hyperlink ref="I130" r:id="rId343" xr:uid="{EEFD6639-72FB-4229-987C-370B8E8A2ABA}"/>
    <hyperlink ref="J130" r:id="rId344" display="30" xr:uid="{726AFED4-D083-4965-892C-85BC1CFA5B27}"/>
    <hyperlink ref="K130" r:id="rId345" display="02/08/2024" xr:uid="{09B097A4-1EA2-4495-8D0E-5450CDDA74B8}"/>
    <hyperlink ref="L130" r:id="rId346" xr:uid="{990613E4-CEEA-4900-BB83-C9762DB02E9C}"/>
    <hyperlink ref="I132" r:id="rId347" xr:uid="{DE4E0D7E-11BE-4BA1-B7DD-87C3325DB1C1}"/>
    <hyperlink ref="J132" r:id="rId348" display="30" xr:uid="{4F3599DD-61AE-4A52-8BCB-B2F1BC95B9D3}"/>
    <hyperlink ref="K132" r:id="rId349" display="20/08/2024" xr:uid="{58B7AEF2-87EE-4ADC-A677-877316E98D2B}"/>
    <hyperlink ref="L132" r:id="rId350" xr:uid="{2A0EEE2A-F368-423C-8A2D-0BC46A49E3B6}"/>
    <hyperlink ref="I134" r:id="rId351" xr:uid="{E596BE68-EACF-4CF4-B206-B83034678E75}"/>
    <hyperlink ref="J134" r:id="rId352" display="54" xr:uid="{D0FC8F9F-2CC0-495A-950E-88A21730A415}"/>
    <hyperlink ref="K134" r:id="rId353" display="02/08/2024" xr:uid="{446E29FF-EE1D-4020-AAFF-9669078C800F}"/>
    <hyperlink ref="L134" r:id="rId354" xr:uid="{C3AB90FE-DA1C-4B1C-B8A4-5F558467677A}"/>
    <hyperlink ref="I136" r:id="rId355" xr:uid="{03E9F533-98C3-47FF-B582-F90711F450FF}"/>
    <hyperlink ref="J136" r:id="rId356" display="356" xr:uid="{1F59DE7A-8156-49D5-8B8E-AC4C6C5D3DF8}"/>
    <hyperlink ref="K136" r:id="rId357" display="02/08/2024" xr:uid="{E0478181-E72E-4473-8541-4B08DAED7195}"/>
    <hyperlink ref="I138" r:id="rId358" xr:uid="{E0C72565-0FD0-4A66-96C8-B4B2525E08A6}"/>
    <hyperlink ref="J138" r:id="rId359" display="41" xr:uid="{A5A7996D-ACCA-4776-80A1-E693E242A60E}"/>
    <hyperlink ref="K138" r:id="rId360" display="02/08/2024" xr:uid="{88856551-8CEC-4264-80A2-3F656EF1E71E}"/>
    <hyperlink ref="L138" r:id="rId361" xr:uid="{A1730953-6A64-449F-86E4-292C932923D2}"/>
    <hyperlink ref="I140" r:id="rId362" xr:uid="{3F2D231C-5B42-4C2C-955F-61F1D581A71D}"/>
    <hyperlink ref="J140" r:id="rId363" display="5" xr:uid="{CF0A4A6C-E01F-4148-9DD7-D2D270F66286}"/>
    <hyperlink ref="K140" r:id="rId364" display="02/08/2024" xr:uid="{D1E934D3-B2CB-4EE3-BDB7-08DAD4228EDE}"/>
    <hyperlink ref="L140" r:id="rId365" xr:uid="{2E222AA9-49BE-4978-9780-8E33C9ED39EC}"/>
    <hyperlink ref="I142" r:id="rId366" xr:uid="{43E07B32-E9A1-455D-A642-33F0B7002180}"/>
    <hyperlink ref="J142" r:id="rId367" display="309" xr:uid="{2EB7CAB3-80C3-4A0E-B307-24B85A851F67}"/>
    <hyperlink ref="K142" r:id="rId368" display="05/07/2024" xr:uid="{C1607CA1-8774-485E-BF2A-7218020202B4}"/>
    <hyperlink ref="I144" r:id="rId369" xr:uid="{95735D3C-498A-462A-AC02-1C97D5749D24}"/>
    <hyperlink ref="J144" r:id="rId370" display="8" xr:uid="{2AF674B0-EFE4-4672-838A-227D505C0827}"/>
    <hyperlink ref="K144" r:id="rId371" display="05/07/2024" xr:uid="{F9A7480A-42DD-4D55-9014-424D86EF77AE}"/>
    <hyperlink ref="L144" r:id="rId372" xr:uid="{ED3BED06-95E5-4742-B527-7CBA805C737C}"/>
    <hyperlink ref="I146" r:id="rId373" xr:uid="{992785D8-594E-4FFC-954A-084A14DA8ED7}"/>
    <hyperlink ref="J146" r:id="rId374" display="3" xr:uid="{1BFC9526-BB18-43F9-BC3A-699720E87EA5}"/>
    <hyperlink ref="K146" r:id="rId375" display="05/07/2024" xr:uid="{17B079CB-D97D-4173-9212-EF01E5F8B8C6}"/>
    <hyperlink ref="L146" r:id="rId376" xr:uid="{4F0BBDCB-F6F7-47CA-8874-E650B69BFDF2}"/>
    <hyperlink ref="I148" r:id="rId377" xr:uid="{56AF8E38-8805-4C32-AED2-C0CD0DCB8390}"/>
    <hyperlink ref="J148" r:id="rId378" display="20" xr:uid="{2C326EB7-B63E-4D65-87E7-497968F80B34}"/>
    <hyperlink ref="K148" r:id="rId379" display="05/07/2024" xr:uid="{752D1BC6-C7B6-4483-B1B7-22472F4B6A34}"/>
    <hyperlink ref="L148" r:id="rId380" xr:uid="{34CD76DA-CE86-4A71-83AA-9FA98CB6261D}"/>
    <hyperlink ref="I150" r:id="rId381" xr:uid="{E02B3D2A-E924-42A8-8B0B-C8B521296D6C}"/>
    <hyperlink ref="J150" r:id="rId382" display="528" xr:uid="{A29EDE3C-55AE-45C4-8D4C-1E697033C1A8}"/>
    <hyperlink ref="K150" r:id="rId383" display="14/06/2024" xr:uid="{5A545E1E-439A-4DA7-B3BE-114B93F1CC12}"/>
    <hyperlink ref="I152" r:id="rId384" xr:uid="{B12EBC1F-FCAF-458A-84C9-BE74228692E9}"/>
    <hyperlink ref="J152" r:id="rId385" display="85" xr:uid="{6478B9CF-4BC4-4674-A771-5FF0417E9B79}"/>
    <hyperlink ref="K152" r:id="rId386" display="14/06/2024" xr:uid="{B7C7DD38-EA24-4885-AE09-A7B8F0E4BA5A}"/>
    <hyperlink ref="L152" r:id="rId387" xr:uid="{CB15012A-A24F-4A51-8174-6B997FE69C4C}"/>
    <hyperlink ref="I154" r:id="rId388" xr:uid="{340BDDDE-056F-47BB-A8C5-99F97BF59A95}"/>
    <hyperlink ref="J154" r:id="rId389" display="43" xr:uid="{0B0B0D2C-2C38-4C3D-A912-3F7A5A90FA21}"/>
    <hyperlink ref="K154" r:id="rId390" display="14/06/2024" xr:uid="{DCA16B6F-073C-48D6-9BBF-4EF53CC61158}"/>
    <hyperlink ref="L154" r:id="rId391" xr:uid="{3AF5D620-80DF-42C2-9B27-07F65499F1A5}"/>
    <hyperlink ref="I156" r:id="rId392" xr:uid="{1C6B1869-AC6A-4AD5-8821-6284A2A6A6DF}"/>
    <hyperlink ref="J156" r:id="rId393" display="1" xr:uid="{8894F6CB-CB86-4E1A-B1B9-38DF02F7F8BA}"/>
    <hyperlink ref="K156" r:id="rId394" display="14/06/2024" xr:uid="{632D7D2D-01D4-49D7-AD62-8FAD047351ED}"/>
    <hyperlink ref="L156" r:id="rId395" xr:uid="{2AD085A3-DAFC-4BED-B3CD-5F93283310BB}"/>
    <hyperlink ref="I158" r:id="rId396" xr:uid="{276C6E6F-8D3E-4274-AA68-3E8B8BF04B57}"/>
    <hyperlink ref="J158" r:id="rId397" display="398" xr:uid="{894D9A85-254D-4572-A1AE-F7FC5D6643E4}"/>
    <hyperlink ref="K158" r:id="rId398" display="14/06/2024" xr:uid="{F9A98403-1084-4A52-A475-BBC27FCE1328}"/>
    <hyperlink ref="I160" r:id="rId399" xr:uid="{B434F104-A176-43F7-B42D-1337AABBD138}"/>
    <hyperlink ref="J160" r:id="rId400" display="28" xr:uid="{473FC027-5540-4323-B7BA-7CF157F305D5}"/>
    <hyperlink ref="K160" r:id="rId401" display="14/06/2024" xr:uid="{372A4B88-255B-4C44-86E4-6A9A3E775AFE}"/>
    <hyperlink ref="L160" r:id="rId402" xr:uid="{EDDB7236-E6F6-448C-A6AF-9F2C0E675D4C}"/>
    <hyperlink ref="I162" r:id="rId403" xr:uid="{682099E7-8A12-4D73-BE9F-70F138A0AD6C}"/>
    <hyperlink ref="J162" r:id="rId404" display="54" xr:uid="{427CA445-2C1B-4246-BAB9-502D08B5F059}"/>
    <hyperlink ref="K162" r:id="rId405" display="14/06/2024" xr:uid="{CCEC691E-CC43-4E31-81B3-64EE5B8A0AB1}"/>
    <hyperlink ref="L162" r:id="rId406" xr:uid="{EADB3B61-621B-4DCB-AF14-E08B17AFC3C8}"/>
    <hyperlink ref="I164" r:id="rId407" xr:uid="{81B643BF-EECC-492C-9A75-0D1D03BBCADC}"/>
    <hyperlink ref="J164" r:id="rId408" display="16" xr:uid="{8B02BA94-73E7-469E-A2E4-D1B37275A415}"/>
    <hyperlink ref="K164" r:id="rId409" display="07/06/2024" xr:uid="{1066B709-FF11-44D1-8B30-DF569962A8DC}"/>
    <hyperlink ref="L164" r:id="rId410" xr:uid="{F464AA69-90EC-4561-B10C-B1606EF993CD}"/>
    <hyperlink ref="I166" r:id="rId411" xr:uid="{F962A182-45B9-47EF-8192-E735D20E0807}"/>
    <hyperlink ref="J166" r:id="rId412" display="374" xr:uid="{EE42E3E2-40BE-416F-A555-926F58917816}"/>
    <hyperlink ref="K166" r:id="rId413" display="19/04/2024" xr:uid="{F00BF04F-992C-4E21-8D5F-59E8594CB753}"/>
    <hyperlink ref="I168" r:id="rId414" xr:uid="{FFD4125D-77C7-4E96-8564-A277E42FDB76}"/>
    <hyperlink ref="J168" r:id="rId415" display="80" xr:uid="{8B30AA69-097F-4C4E-A09F-CD9995FFBD2A}"/>
    <hyperlink ref="K168" r:id="rId416" display="19/04/2024" xr:uid="{7A9A0316-FE99-4A34-BE68-70A3E97BF3EC}"/>
    <hyperlink ref="I170" r:id="rId417" xr:uid="{0FED3F0F-5D69-4F60-830D-895A27452F7F}"/>
    <hyperlink ref="J170" r:id="rId418" display="5" xr:uid="{B5FE152E-915A-4B5D-ABBA-E10989243A60}"/>
    <hyperlink ref="K170" r:id="rId419" display="19/04/2024" xr:uid="{334531BC-E0FD-4F47-BA75-45726AB53DE7}"/>
    <hyperlink ref="L170" r:id="rId420" xr:uid="{D3E6718A-1C7E-4EC9-BD77-2FEC64B3E7FA}"/>
    <hyperlink ref="I172" r:id="rId421" xr:uid="{1F46E76B-1CF8-4AA0-8B05-A36316A4DEF5}"/>
    <hyperlink ref="J172" r:id="rId422" display="160" xr:uid="{D0B67C1A-30BD-4A7B-B168-F8C22B7AB1F5}"/>
    <hyperlink ref="K172" r:id="rId423" display="19/04/2024" xr:uid="{AE2A9E39-3A67-4D66-8D1D-72F1310B6FD4}"/>
    <hyperlink ref="L172" r:id="rId424" xr:uid="{9C2D0E77-9A13-44F2-9F38-D5706EAFB768}"/>
    <hyperlink ref="I174" r:id="rId425" xr:uid="{34E48BDB-0C2C-4529-9503-66382201C77F}"/>
    <hyperlink ref="J174" r:id="rId426" display="19" xr:uid="{7CB298E6-0293-49D4-B204-75203C9840AF}"/>
    <hyperlink ref="K174" r:id="rId427" display="19/04/2024" xr:uid="{0A355D75-D81D-4CCA-9131-1105C4846449}"/>
    <hyperlink ref="L174" r:id="rId428" xr:uid="{214270D6-CD47-4814-B0B3-D5FA0C68C7C7}"/>
    <hyperlink ref="I176" r:id="rId429" xr:uid="{D1418913-433C-4557-80A3-B8F7A76987E1}"/>
    <hyperlink ref="J176" r:id="rId430" display="30" xr:uid="{1946AD40-621C-4C72-9C6F-81AEA8550E25}"/>
    <hyperlink ref="K176" r:id="rId431" display="07/05/2024" xr:uid="{8DC44B1D-8CAB-4325-BC6A-048208D22704}"/>
    <hyperlink ref="L176" r:id="rId432" xr:uid="{8B0BF0AB-C6BD-4798-9FA4-3A7C13680E68}"/>
    <hyperlink ref="I178" r:id="rId433" xr:uid="{1B60A956-9F77-4B64-82B1-92EFEB2BBE25}"/>
    <hyperlink ref="J178" r:id="rId434" display="54" xr:uid="{4C427F29-5B12-4786-B775-D869ED9528E9}"/>
    <hyperlink ref="K178" r:id="rId435" display="19/04/2024" xr:uid="{EA233C9A-4942-4693-B76F-CCF9CFEE2C04}"/>
    <hyperlink ref="L178" r:id="rId436" xr:uid="{E43ADFF9-EF33-4A66-B23B-AFB845A86266}"/>
    <hyperlink ref="I180" r:id="rId437" xr:uid="{B9F69868-CFE1-41C8-A650-30F087DBEC16}"/>
    <hyperlink ref="J180" r:id="rId438" display="95" xr:uid="{A62176DE-3E44-4BD2-BCF7-70D2CFCE2886}"/>
    <hyperlink ref="K180" r:id="rId439" display="19/04/2024" xr:uid="{8C50F171-95D2-47B2-A972-CB91CF4F194D}"/>
    <hyperlink ref="I182" r:id="rId440" xr:uid="{D335DEDA-0610-435B-8DE2-8322539C7B82}"/>
    <hyperlink ref="J182" r:id="rId441" display="5" xr:uid="{1162B111-11CA-433F-8158-8BED3475C7EF}"/>
    <hyperlink ref="K182" r:id="rId442" display="01/08/2025" xr:uid="{3556581C-0307-4439-80DB-1226EEA1388B}"/>
    <hyperlink ref="L182" r:id="rId443" xr:uid="{D5907ACA-3FB4-4734-A28F-44E6446FB728}"/>
    <hyperlink ref="I184" r:id="rId444" xr:uid="{B5F5EE5E-A2A8-4320-BD18-3D106CB7C6A9}"/>
    <hyperlink ref="J184" r:id="rId445" display="7" xr:uid="{DF3B5411-74FC-4172-9D60-E3C7FDC44998}"/>
    <hyperlink ref="K184" r:id="rId446" display="19/04/2024" xr:uid="{D14917AF-7F4F-4129-86D3-91C11ABB1FA1}"/>
    <hyperlink ref="L184" r:id="rId447" xr:uid="{20179FC8-B00D-46FF-A440-297191A9719B}"/>
    <hyperlink ref="I186" r:id="rId448" xr:uid="{8766461C-982E-4015-BAF9-A98F0990D4DF}"/>
    <hyperlink ref="J186" r:id="rId449" display="342" xr:uid="{33449D6E-A7B6-4464-A193-DDE1ED5C76BD}"/>
    <hyperlink ref="K186" r:id="rId450" display="19/04/2024" xr:uid="{88909393-92E8-4520-B6F1-AEF34A54B059}"/>
    <hyperlink ref="I188" r:id="rId451" xr:uid="{CD72D8C4-618B-4E10-B98B-791078CCED61}"/>
    <hyperlink ref="J188" r:id="rId452" display="41" xr:uid="{1FAB672B-2296-486F-B09E-6537D9D4DBE2}"/>
    <hyperlink ref="K188" r:id="rId453" display="19/04/2024" xr:uid="{5144774C-BDE9-42E5-AF61-48902E4FD955}"/>
    <hyperlink ref="L188" r:id="rId454" xr:uid="{758CAF7A-6A82-4308-9FA5-143EA958D8A9}"/>
    <hyperlink ref="I190" r:id="rId455" xr:uid="{E1BFB753-CD53-4C47-BFD2-D6014D797CF3}"/>
    <hyperlink ref="J190" r:id="rId456" display="1068" xr:uid="{B3BF4ADD-D164-47CF-B264-86E9D2891F63}"/>
    <hyperlink ref="K190" r:id="rId457" display="08/03/2024" xr:uid="{88591E97-AE04-454B-A503-E1DF38B298BA}"/>
    <hyperlink ref="I192" r:id="rId458" xr:uid="{9BA40754-B3B6-41FD-BD4E-775006D2AA46}"/>
    <hyperlink ref="J192" r:id="rId459" display="22" xr:uid="{820C6363-1FC1-4DCF-B861-5E7DA87E03B3}"/>
    <hyperlink ref="K192" r:id="rId460" display="08/03/2024" xr:uid="{3A1777E5-8239-4057-92CE-F5D9A01DC9C4}"/>
    <hyperlink ref="L192" r:id="rId461" xr:uid="{E29CFE1C-67D6-474A-BF08-5AF1E394449B}"/>
    <hyperlink ref="I194" r:id="rId462" xr:uid="{02FF8E48-CA67-4E03-8AF7-62E420A74A5A}"/>
    <hyperlink ref="J194" r:id="rId463" display="451" xr:uid="{A509E016-8E98-42B1-9420-4C43CE6E069C}"/>
    <hyperlink ref="K194" r:id="rId464" display="09/02/2024" xr:uid="{1ECAFF06-18CC-4494-B662-F2D6AE1A7A20}"/>
    <hyperlink ref="I196" r:id="rId465" xr:uid="{309776B6-93B2-49BD-A1A3-F5B375F3C2E9}"/>
    <hyperlink ref="J196" r:id="rId466" display="180" xr:uid="{1CFDBBAE-9F16-46F0-959C-1A16122C1F02}"/>
    <hyperlink ref="K196" r:id="rId467" display="09/02/2024" xr:uid="{7E701464-AC21-4AF6-A5E9-0175997AB84C}"/>
    <hyperlink ref="L196" r:id="rId468" xr:uid="{72B1E1A7-6FEC-4965-B6AD-0ECE76AC728F}"/>
    <hyperlink ref="I198" r:id="rId469" xr:uid="{4B9D83D1-600F-4601-9948-D060C160A89A}"/>
    <hyperlink ref="J198" r:id="rId470" display="22" xr:uid="{0FD1B386-455A-4C3D-A05C-ACB1B0BEA340}"/>
    <hyperlink ref="K198" r:id="rId471" display="09/02/2024" xr:uid="{A27CB312-0DA2-4E76-AEBD-8503D980BCF6}"/>
    <hyperlink ref="L198" r:id="rId472" xr:uid="{45F967F1-D215-489A-96E1-199D1DA129B2}"/>
    <hyperlink ref="I200" r:id="rId473" xr:uid="{0906EFE4-D0AC-4222-8EFA-8FA9C1DC8B26}"/>
    <hyperlink ref="J200" r:id="rId474" display="30" xr:uid="{80AC6944-5E52-4A4A-A4FD-418BA9A17355}"/>
    <hyperlink ref="K200" r:id="rId475" display="05/03/2024" xr:uid="{AF337E7F-44FA-4BAB-BCB6-DEB834D8F371}"/>
    <hyperlink ref="L200" r:id="rId476" xr:uid="{7058D925-7D8E-4B5B-AF35-1BA5C9729861}"/>
    <hyperlink ref="I202" r:id="rId477" xr:uid="{569E79FB-2C57-4368-8F35-45B7F0E971F4}"/>
    <hyperlink ref="J202" r:id="rId478" display="284" xr:uid="{70D4F02A-14D2-4DD9-B88E-FAF64C5C1656}"/>
    <hyperlink ref="K202" r:id="rId479" display="23/02/2024" xr:uid="{EF38AF5E-13BD-4C1C-8D83-4758D09413EC}"/>
    <hyperlink ref="L202" r:id="rId480" xr:uid="{17FCB248-F5F0-439E-96D6-0173C687F123}"/>
    <hyperlink ref="I204" r:id="rId481" xr:uid="{61A5FD6E-435C-48F7-A715-DEFE072354D4}"/>
    <hyperlink ref="J204" r:id="rId482" display="10" xr:uid="{0E1BDA99-FEEE-45CE-B6A5-C64BE2C1584D}"/>
    <hyperlink ref="K204" r:id="rId483" display="23/02/2024" xr:uid="{3059F9EA-A553-4F8B-92E4-5C878705574C}"/>
    <hyperlink ref="L204" r:id="rId484" xr:uid="{16C30DF6-7C7F-473A-8C4B-E0F4F030ED95}"/>
    <hyperlink ref="I206" r:id="rId485" xr:uid="{5BE9133B-C169-4F46-A61F-231E6AEC8A13}"/>
    <hyperlink ref="J206" r:id="rId486" display="5" xr:uid="{24AF3650-A84B-4681-8C02-D28313D09BC9}"/>
    <hyperlink ref="K206" r:id="rId487" display="10/02/2024" xr:uid="{5871C815-2695-4DA7-A684-22E3382C88EA}"/>
    <hyperlink ref="L206" r:id="rId488" xr:uid="{83F4CF60-0470-48AA-A0E1-12C0B217DA63}"/>
    <hyperlink ref="I208" r:id="rId489" xr:uid="{CBE4E3E0-17BA-459B-A3AA-0D32D29322EE}"/>
    <hyperlink ref="J208" r:id="rId490" display="49" xr:uid="{A7475950-782E-449A-84F7-EFC61C64DD0F}"/>
    <hyperlink ref="K208" r:id="rId491" display="09/02/2024" xr:uid="{4E748A2C-89FC-4AE7-B51B-DAC2A19F2D13}"/>
    <hyperlink ref="L208" r:id="rId492" xr:uid="{52718858-8A69-42C2-B142-7C6F439A01A9}"/>
    <hyperlink ref="I210" r:id="rId493" xr:uid="{7BB07291-E270-4D84-B6EF-1AEF743C0C7F}"/>
    <hyperlink ref="J210" r:id="rId494" display="4" xr:uid="{0468D938-2B32-4DAF-B652-FFC089949B00}"/>
    <hyperlink ref="K210" r:id="rId495" display="09/02/2024" xr:uid="{73A22481-0864-4307-B579-7558B0D12095}"/>
    <hyperlink ref="L210" r:id="rId496" xr:uid="{952031E1-C8FE-47C2-9F9C-71EF67DEA96F}"/>
    <hyperlink ref="I212" r:id="rId497" xr:uid="{0772E478-8D1C-4532-AF23-B723484580C1}"/>
    <hyperlink ref="J212" r:id="rId498" display="358" xr:uid="{5E191C0D-A441-4544-86F7-F788AB4C76DD}"/>
    <hyperlink ref="K212" r:id="rId499" display="09/02/2024" xr:uid="{A00E976C-6886-4D87-8395-0C8B4506611C}"/>
    <hyperlink ref="I214" r:id="rId500" xr:uid="{7179DC7D-85C9-4D94-95DB-97B187901664}"/>
    <hyperlink ref="J214" r:id="rId501" display="31" xr:uid="{2D950751-10D5-472D-A21D-DDBA9094AEEB}"/>
    <hyperlink ref="K214" r:id="rId502" display="09/02/2024" xr:uid="{FFB7D1FE-525F-4B3C-8EB2-626280EE3E5B}"/>
    <hyperlink ref="L214" r:id="rId503" xr:uid="{DD1E0B3A-8D67-4E88-BB5B-0E5157324BB7}"/>
    <hyperlink ref="I216" r:id="rId504" xr:uid="{BD8479D4-6851-4B07-94BA-1CC3B7D55BE4}"/>
    <hyperlink ref="J216" r:id="rId505" display="7" xr:uid="{E8E387B5-DFFE-41D5-9F61-899293B85D0F}"/>
    <hyperlink ref="K216" r:id="rId506" display="08/02/2024" xr:uid="{4B0C4ABA-468F-4C51-9C82-C0EA2C217205}"/>
    <hyperlink ref="I218" r:id="rId507" xr:uid="{CECC624A-0BA9-47B3-8667-527C40B171FC}"/>
    <hyperlink ref="J218" r:id="rId508" display="531" xr:uid="{036F2F1C-4342-4296-A8B0-6DCD75CD8FCE}"/>
    <hyperlink ref="K218" r:id="rId509" display="12/01/2024" xr:uid="{D2D4AE24-8A94-4C1C-A396-B350AEE5DDA7}"/>
    <hyperlink ref="I220" r:id="rId510" xr:uid="{CCDA012C-FADE-4F01-8308-C0F1FCFD293C}"/>
    <hyperlink ref="J220" r:id="rId511" display="20" xr:uid="{AB62839C-406A-43B6-ABBA-E775979BC950}"/>
    <hyperlink ref="K220" r:id="rId512" display="12/01/2024" xr:uid="{B41E7A76-0617-4B39-ACBA-E7B6ADA3695D}"/>
    <hyperlink ref="L220" r:id="rId513" xr:uid="{F6381BF2-419C-4A87-935E-8376D49BBF1D}"/>
    <hyperlink ref="I222" r:id="rId514" xr:uid="{EA574735-04C4-4E53-BADF-2BBA60A5187A}"/>
    <hyperlink ref="J222" r:id="rId515" display="2" xr:uid="{CE1FBEA1-F36C-4655-B9D1-8B1C9311CE4F}"/>
    <hyperlink ref="K222" r:id="rId516" display="01/01/2024" xr:uid="{4EFF451B-109B-4515-B2DE-7B07733FBE22}"/>
    <hyperlink ref="L222" r:id="rId517" xr:uid="{764348B3-737A-4996-A32B-285DEDB139FB}"/>
    <hyperlink ref="I224" r:id="rId518" xr:uid="{3CE5AA12-F5F2-4FB6-97DC-3D41D047376D}"/>
    <hyperlink ref="J224" r:id="rId519" display="18" xr:uid="{C60B7F9D-DF09-47B1-9851-6E63CB67A2EA}"/>
    <hyperlink ref="K224" r:id="rId520" display="01/01/2024" xr:uid="{22C26812-059F-4F9D-9F61-31121E7B35C5}"/>
    <hyperlink ref="I226" r:id="rId521" xr:uid="{0E707645-A9EE-4596-987E-FEFB3B9E47E6}"/>
    <hyperlink ref="J226" r:id="rId522" display="134" xr:uid="{84A14879-A6F9-4514-9938-D0EDBB3FAECB}"/>
    <hyperlink ref="K226" r:id="rId523" display="17/11/2023" xr:uid="{D4B564D2-E746-4082-AB51-D0B877B70D5F}"/>
    <hyperlink ref="L226" r:id="rId524" xr:uid="{FC20F443-F7BC-4B90-9C70-958EC9CEDD74}"/>
    <hyperlink ref="I228" r:id="rId525" xr:uid="{7D4B8022-5E53-4908-8AA7-58E70F34FC71}"/>
    <hyperlink ref="J228" r:id="rId526" display="416" xr:uid="{23A9D5CC-35B4-47B1-9110-D35E348338EF}"/>
    <hyperlink ref="K228" r:id="rId527" display="17/11/2023" xr:uid="{C5A70E15-22A1-4C6F-9CD8-FD82A126AA83}"/>
    <hyperlink ref="I230" r:id="rId528" xr:uid="{4B414C06-61B0-48DF-BFB8-F0062A76FA5E}"/>
    <hyperlink ref="J230" r:id="rId529" display="136" xr:uid="{A9CCEAAB-2337-4136-8095-1B2AD8059AFD}"/>
    <hyperlink ref="K230" r:id="rId530" display="17/11/2023" xr:uid="{AEA61B15-3DCB-488C-A98B-53EE8FFEE46D}"/>
    <hyperlink ref="L230" r:id="rId531" xr:uid="{5D1DB286-8DD7-4057-96B4-B9824EB47A92}"/>
    <hyperlink ref="I232" r:id="rId532" xr:uid="{F8EFA555-9CFD-4624-8C4C-40A0A25F4B21}"/>
    <hyperlink ref="J232" r:id="rId533" display="19" xr:uid="{D909C762-DFF2-4AA7-A2C8-F2362C1977D7}"/>
    <hyperlink ref="K232" r:id="rId534" display="17/11/2023" xr:uid="{AB0509A7-2097-4ADF-B84C-B2FA4B582609}"/>
    <hyperlink ref="L232" r:id="rId535" xr:uid="{E9C7C157-1AE4-4ACE-BC7B-6C20192CC45C}"/>
    <hyperlink ref="I234" r:id="rId536" xr:uid="{F364982F-E4DE-4D0D-BC13-58CB656820E4}"/>
    <hyperlink ref="J234" r:id="rId537" display="30" xr:uid="{CBB49369-112C-4EC1-A6DA-B2BC0732D873}"/>
    <hyperlink ref="K234" r:id="rId538" display="05/12/2023" xr:uid="{7558558D-702C-4035-8679-B34C2BAB1B7E}"/>
    <hyperlink ref="L234" r:id="rId539" xr:uid="{40753D50-106E-4C1D-A501-D60A6ED6C4FA}"/>
    <hyperlink ref="I236" r:id="rId540" xr:uid="{C77EE1F8-9327-440A-BE28-EB333A353E97}"/>
    <hyperlink ref="J236" r:id="rId541" display="81" xr:uid="{97C40476-5417-4981-9165-E23168E8A268}"/>
    <hyperlink ref="K236" r:id="rId542" display="17/11/2023" xr:uid="{DEEE4215-9E6D-4E66-8F65-AA86F0461229}"/>
    <hyperlink ref="L236" r:id="rId543" xr:uid="{7ED0777D-D53E-4A4A-87BD-CE56A95B4DF7}"/>
    <hyperlink ref="I238" r:id="rId544" xr:uid="{3BDC1871-7763-4C95-B8F4-DB5EC8A685A1}"/>
    <hyperlink ref="J238" r:id="rId545" display="1" xr:uid="{B55ACF02-4E0B-42D6-8AEC-F24A26E26398}"/>
    <hyperlink ref="K238" r:id="rId546" display="17/11/2023" xr:uid="{C73DF269-4421-411E-9D54-B71152F1EE99}"/>
    <hyperlink ref="L238" r:id="rId547" xr:uid="{82F55A73-8446-410F-A180-A3ECA29B7E71}"/>
    <hyperlink ref="I240" r:id="rId548" xr:uid="{97169D9F-07DA-49AA-ACB1-0DCEFDE7721C}"/>
    <hyperlink ref="J240" r:id="rId549" display="45" xr:uid="{8709A9F3-2DAF-446A-9B3E-D40066DAADBE}"/>
    <hyperlink ref="K240" r:id="rId550" display="17/11/2023" xr:uid="{8FC2E6B7-4E1E-4AE5-8AE9-B9ADF881D0A2}"/>
    <hyperlink ref="I242" r:id="rId551" xr:uid="{743D227B-C579-4B78-B3FB-37FE90EF26F6}"/>
    <hyperlink ref="J242" r:id="rId552" display="2" xr:uid="{4E49E566-4047-4984-9BF7-9B9282AB0013}"/>
    <hyperlink ref="K242" r:id="rId553" display="17/11/2023" xr:uid="{05EE0CB1-31DE-4E42-B1D7-465B04013F13}"/>
    <hyperlink ref="L242" r:id="rId554" xr:uid="{F2863AFF-5B7E-4341-9C9D-EF86D296B86E}"/>
    <hyperlink ref="I244" r:id="rId555" xr:uid="{FDE36C24-005F-4400-A642-836FC181D185}"/>
    <hyperlink ref="J244" r:id="rId556" display="370" xr:uid="{6FDD5968-5971-49E4-BB7D-97F6D787E6CA}"/>
    <hyperlink ref="K244" r:id="rId557" display="17/11/2023" xr:uid="{A6E7830F-5BEE-4E83-BC4D-8273DF3688AB}"/>
    <hyperlink ref="I246" r:id="rId558" xr:uid="{BAF5A82F-ABBE-4160-AECC-7F3310ACB314}"/>
    <hyperlink ref="J246" r:id="rId559" display="18" xr:uid="{5142809A-D35F-42F2-95DC-37F4BF422CEE}"/>
    <hyperlink ref="K246" r:id="rId560" display="17/11/2023" xr:uid="{BBBDDBEC-748C-4DB3-9981-95E01995301F}"/>
    <hyperlink ref="L246" r:id="rId561" xr:uid="{396DF39D-7B7D-465D-9FB4-BC1A9DBE2E89}"/>
    <hyperlink ref="I248" r:id="rId562" xr:uid="{EED9E61B-F853-4C3A-AEE8-4B086A8AE4FC}"/>
    <hyperlink ref="J248" r:id="rId563" display="1178" xr:uid="{9EDC73AC-02EA-4F4B-A262-7684F67B8250}"/>
    <hyperlink ref="K248" r:id="rId564" display="13/10/2023" xr:uid="{0D9DF9BB-CFC0-462C-BC3B-86B51FA2BB48}"/>
    <hyperlink ref="I250" r:id="rId565" xr:uid="{E830814A-C063-4549-B1D5-1CC4EEDA3AD5}"/>
    <hyperlink ref="J250" r:id="rId566" display="64" xr:uid="{B900762F-CF01-44B7-A70E-B365799285F9}"/>
    <hyperlink ref="K250" r:id="rId567" display="13/10/2023" xr:uid="{592407A5-AB22-4F5C-948F-4F9686452B8F}"/>
    <hyperlink ref="L250" r:id="rId568" xr:uid="{BDD29704-8187-4B56-BCFD-3BD71EE505F8}"/>
    <hyperlink ref="I252" r:id="rId569" xr:uid="{380D4FD5-1566-4E57-9A0B-3669373F9696}"/>
    <hyperlink ref="J252" r:id="rId570" display="4" xr:uid="{9E759E65-C992-4E10-BE18-8EA97DFDC0AD}"/>
    <hyperlink ref="K252" r:id="rId571" display="08/09/2023" xr:uid="{7FD56757-32D8-4749-9FCC-547A78A35125}"/>
    <hyperlink ref="L252" r:id="rId572" xr:uid="{D21E1CE0-B2A3-49B3-957B-DB094ECE3D38}"/>
    <hyperlink ref="I254" r:id="rId573" xr:uid="{CAB63AE8-A4E6-4EE7-82BC-C436E3D5ACBC}"/>
    <hyperlink ref="J254" r:id="rId574" display="381" xr:uid="{28054CFE-2E04-4F08-AD9E-B926D8497BE4}"/>
    <hyperlink ref="K254" r:id="rId575" display="08/09/2023" xr:uid="{85792CE8-838D-4CC4-BD7F-2D68E0DDCB89}"/>
    <hyperlink ref="I256" r:id="rId576" xr:uid="{23C66309-6CA1-4F55-B1EE-DDC4D290D32E}"/>
    <hyperlink ref="J256" r:id="rId577" display="103" xr:uid="{346AC58D-3830-463D-ABBB-F566A7018727}"/>
    <hyperlink ref="K256" r:id="rId578" display="08/09/2023" xr:uid="{3E11D77C-8B48-45F9-A1E6-1DA632A9D45E}"/>
    <hyperlink ref="I258" r:id="rId579" xr:uid="{C4A10C10-9AC1-4E4B-AFD5-95B49C9413D4}"/>
    <hyperlink ref="J258" r:id="rId580" display="160" xr:uid="{95505CCE-ACB6-414C-8B86-F2E9223D5161}"/>
    <hyperlink ref="K258" r:id="rId581" display="08/09/2023" xr:uid="{38192EF9-B1D4-4C41-A8E3-7AB3545A3B10}"/>
    <hyperlink ref="L258" r:id="rId582" xr:uid="{CE163C0F-FDAC-4F09-8F17-A267EBAA2A90}"/>
    <hyperlink ref="I260" r:id="rId583" xr:uid="{AB74DB87-D8C7-482A-8C74-AD4972C65931}"/>
    <hyperlink ref="J260" r:id="rId584" display="18" xr:uid="{9CB8AB7A-D988-4045-B96D-0E3F96D4F9C5}"/>
    <hyperlink ref="K260" r:id="rId585" display="08/09/2023" xr:uid="{5E0900A2-6CE6-4AC2-96F2-11C692635EEF}"/>
    <hyperlink ref="L260" r:id="rId586" xr:uid="{C23F9268-A15B-4B2C-8F47-4F0F4664CB3A}"/>
    <hyperlink ref="I262" r:id="rId587" xr:uid="{DC7194F4-04D8-40DE-8C31-28DA36D6A667}"/>
    <hyperlink ref="J262" r:id="rId588" display="30" xr:uid="{DF82ED10-DE9C-4F7D-B031-D57A33310762}"/>
    <hyperlink ref="K262" r:id="rId589" display="10/10/2023" xr:uid="{281B3E96-4D1B-458D-9E09-C4831693A7CA}"/>
    <hyperlink ref="L262" r:id="rId590" xr:uid="{177C2D73-7E5D-45AF-83D4-375F9656CCE0}"/>
    <hyperlink ref="I264" r:id="rId591" xr:uid="{41C5FF2D-83EE-424C-8984-EB902A721E2C}"/>
    <hyperlink ref="J264" r:id="rId592" display="173" xr:uid="{FB29E5C1-4FEE-49E0-8882-131CD27DD957}"/>
    <hyperlink ref="K264" r:id="rId593" display="08/09/2023" xr:uid="{5D623E8A-CB6E-4E88-980A-82870E8D5AB9}"/>
    <hyperlink ref="I266" r:id="rId594" xr:uid="{1F2C7659-D0EA-4C38-8DA3-26A841550DC9}"/>
    <hyperlink ref="J266" r:id="rId595" display="10" xr:uid="{93122FDE-9D6E-41F3-A866-D22B6085078B}"/>
    <hyperlink ref="K266" r:id="rId596" display="08/09/2023" xr:uid="{543D0088-7051-45A4-B987-9EF9D48B6C4D}"/>
    <hyperlink ref="L266" r:id="rId597" xr:uid="{19064C90-8C7F-4F74-B9C0-9D88E981DD99}"/>
    <hyperlink ref="I268" r:id="rId598" xr:uid="{F89B1199-F47E-40E4-93E0-5CC134A21917}"/>
    <hyperlink ref="J268" r:id="rId599" display="6" xr:uid="{D4203C5C-0114-4950-9283-2BF5F095F80A}"/>
    <hyperlink ref="K268" r:id="rId600" display="08/09/2023" xr:uid="{2961D876-FD1D-476C-A882-31A0251760B5}"/>
    <hyperlink ref="L268" r:id="rId601" xr:uid="{530CF1E8-5712-4640-B8A6-46C0D7E353F0}"/>
    <hyperlink ref="I270" r:id="rId602" xr:uid="{7E92B26A-8B72-4B56-B2CF-3E53BC44CA23}"/>
    <hyperlink ref="J270" r:id="rId603" display="81" xr:uid="{F5E795AD-1E20-4EF4-B170-1CA035966FF5}"/>
    <hyperlink ref="K270" r:id="rId604" display="08/09/2023" xr:uid="{E961D7AF-D275-4E94-B600-75C7CF187CC4}"/>
    <hyperlink ref="L270" r:id="rId605" xr:uid="{523B9943-D00E-448A-BB21-B1F4FE1A4A19}"/>
    <hyperlink ref="I272" r:id="rId606" xr:uid="{39718EA8-C845-4A59-B49A-27762BA3BCD2}"/>
    <hyperlink ref="J272" r:id="rId607" display="1067" xr:uid="{F73F9783-AFFC-4B99-AA68-F02CD3338999}"/>
    <hyperlink ref="K272" r:id="rId608" display="04/08/2023" xr:uid="{97B3E646-72FB-4930-BAB9-224DA956B2C2}"/>
    <hyperlink ref="I274" r:id="rId609" xr:uid="{94FAEB3D-97DC-4AC1-89BC-32E5A9C27DF4}"/>
    <hyperlink ref="J274" r:id="rId610" display="81" xr:uid="{A2224BAA-B6E3-4FCD-BD32-2CAEAD1CCB15}"/>
    <hyperlink ref="K274" r:id="rId611" display="04/08/2023" xr:uid="{3CA04845-45E9-4361-B5D4-87C141EAFC6F}"/>
    <hyperlink ref="L274" r:id="rId612" xr:uid="{8CFE88D1-0EAB-406D-AC63-266EAB4D4E31}"/>
    <hyperlink ref="I276" r:id="rId613" xr:uid="{2950CA85-6B5C-4557-8321-FCBCD0A7C035}"/>
    <hyperlink ref="J276" r:id="rId614" display="81" xr:uid="{CC0620C7-B320-4E93-99E7-F8AED5A23952}"/>
    <hyperlink ref="K276" r:id="rId615" display="04/08/2023" xr:uid="{A1128324-6238-4209-9477-56939ECA4372}"/>
    <hyperlink ref="L276" r:id="rId616" xr:uid="{77C8D5E4-EE5C-429D-A647-980D647891A5}"/>
    <hyperlink ref="I278" r:id="rId617" xr:uid="{D09D0503-5C8E-4DB7-A3E2-1CCA187A296B}"/>
    <hyperlink ref="J278" r:id="rId618" display="5" xr:uid="{0B4269ED-FDE3-4745-8AB7-927338073754}"/>
    <hyperlink ref="K278" r:id="rId619" display="01/08/2023" xr:uid="{8B84B0E1-3B6B-49B0-8E01-FE50F291BA7B}"/>
    <hyperlink ref="L278" r:id="rId620" xr:uid="{1F74F9B6-EA07-4E2E-846E-971F1AE1D87F}"/>
    <hyperlink ref="I280" r:id="rId621" xr:uid="{3622054F-1100-4E15-9178-2379A16AC9FF}"/>
    <hyperlink ref="J280" r:id="rId622" display="25" xr:uid="{F8734125-143E-480F-8450-53724F9F03A7}"/>
    <hyperlink ref="K280" r:id="rId623" display="18/07/2023" xr:uid="{06FC1F9F-B6CA-4951-9238-F1C5C8208AD9}"/>
    <hyperlink ref="L280" r:id="rId624" xr:uid="{382E4610-2B82-4B7D-9904-0D37A072BA53}"/>
    <hyperlink ref="I282" r:id="rId625" xr:uid="{D1130903-CB1A-4B9F-B8F7-D75969CCF4D0}"/>
    <hyperlink ref="J282" r:id="rId626" display="25" xr:uid="{FD0E8642-A5D7-497D-9D07-625325CFADE1}"/>
    <hyperlink ref="K282" r:id="rId627" display="18/07/2023" xr:uid="{E832D450-83E1-4C8C-86D4-D7CA8D58FFBF}"/>
    <hyperlink ref="L282" r:id="rId628" xr:uid="{BC5D14B7-0109-4750-9228-4F6E17A80B4E}"/>
    <hyperlink ref="I284" r:id="rId629" xr:uid="{4A216DC9-E83F-4BDC-9DB2-466C6647D3A0}"/>
    <hyperlink ref="J284" r:id="rId630" display="4" xr:uid="{78725004-2A52-4BE6-BF62-97913B63C547}"/>
    <hyperlink ref="K284" r:id="rId631" display="01/07/2023" xr:uid="{DEB60439-A2E2-4C05-A308-E514F8F0AD08}"/>
    <hyperlink ref="L284" r:id="rId632" xr:uid="{30A6834C-CFB7-46CD-8054-789C0F2C9610}"/>
    <hyperlink ref="I286" r:id="rId633" xr:uid="{960971EA-EE48-4435-98EF-A8325F7E9866}"/>
    <hyperlink ref="J286" r:id="rId634" display="856" xr:uid="{0F1476F8-85B5-4F4A-AEB5-EE5941540B86}"/>
    <hyperlink ref="K286" r:id="rId635" display="23/06/2023" xr:uid="{7687F92D-F2A7-45A3-BBD7-0D6B1182ECC1}"/>
    <hyperlink ref="I288" r:id="rId636" xr:uid="{78D8C6CA-767F-4F94-A93C-0EE31475C985}"/>
    <hyperlink ref="J288" r:id="rId637" display="86" xr:uid="{72306D9D-DA4B-4515-BEC8-40845E1466B3}"/>
    <hyperlink ref="K288" r:id="rId638" display="23/06/2023" xr:uid="{44A22F4C-474C-4858-9B97-EA559CA60C47}"/>
    <hyperlink ref="L288" r:id="rId639" xr:uid="{CDD3D80F-692C-416A-8C5E-EF1829DEDB6D}"/>
    <hyperlink ref="I290" r:id="rId640" xr:uid="{185DA74D-73A2-48C0-AD28-661FC6874165}"/>
    <hyperlink ref="J290" r:id="rId641" display="25" xr:uid="{F4A21A80-AB2E-4766-98E6-BC2169CC0199}"/>
    <hyperlink ref="K290" r:id="rId642" display="23/06/2023" xr:uid="{AC1DDBEA-CBCB-473E-9F6D-D0132A0208DC}"/>
    <hyperlink ref="L290" r:id="rId643" xr:uid="{2DC49E91-BC59-4B94-AC52-EB43B44F58EA}"/>
    <hyperlink ref="I292" r:id="rId644" xr:uid="{34C1FAF8-C603-41B2-A52E-488DE2A4768F}"/>
    <hyperlink ref="J292" r:id="rId645" display="4" xr:uid="{4FE5A20D-1BE5-475E-976B-26CA0D7F9468}"/>
    <hyperlink ref="K292" r:id="rId646" display="16/10/2024" xr:uid="{4B13A164-54EB-4225-9653-C67D84571332}"/>
    <hyperlink ref="L292" r:id="rId647" xr:uid="{551037B3-09CF-498D-AB78-643BAFC7DB7E}"/>
    <hyperlink ref="I294" r:id="rId648" xr:uid="{B1B9108D-83DD-4DBE-902E-FBB754EE274B}"/>
    <hyperlink ref="J294" r:id="rId649" display="591" xr:uid="{7A1F1D70-85B1-44FD-8928-8FDFF2F2AB04}"/>
    <hyperlink ref="K294" r:id="rId650" display="23/06/2023" xr:uid="{D1F3A225-CD57-46A1-BB69-29484C7AE452}"/>
    <hyperlink ref="I296" r:id="rId651" xr:uid="{1712B343-8123-46C4-AAEC-292615DA5EE5}"/>
    <hyperlink ref="J296" r:id="rId652" display="15" xr:uid="{6DE4B0E8-E2F3-4744-BA79-E7D8E1E7802B}"/>
    <hyperlink ref="K296" r:id="rId653" display="23/06/2023" xr:uid="{518CC3C1-C40C-413F-8566-3354FB7B1147}"/>
    <hyperlink ref="L296" r:id="rId654" xr:uid="{435E9019-2225-4D49-96F0-95591C3098ED}"/>
    <hyperlink ref="I298" r:id="rId655" xr:uid="{4F1722B8-AD50-4E92-A29B-A19C3ACEE340}"/>
    <hyperlink ref="J298" r:id="rId656" display="24" xr:uid="{32E3697A-6444-494A-A802-B2CC67CA7F03}"/>
    <hyperlink ref="K298" r:id="rId657" display="04/11/2023" xr:uid="{F3E6CC5F-8BA3-4ED2-AE70-0AB12B8E3A47}"/>
    <hyperlink ref="L298" r:id="rId658" xr:uid="{7254C457-2548-4AEB-9FE2-03BAD6D73DA2}"/>
    <hyperlink ref="I300" r:id="rId659" xr:uid="{110E1A08-ED2D-4B74-94C0-4F44A958A3E7}"/>
    <hyperlink ref="J300" r:id="rId660" display="81" xr:uid="{134D72EE-BB4C-497F-A77E-09E4DB483016}"/>
    <hyperlink ref="K300" r:id="rId661" display="23/06/2023" xr:uid="{9E971894-B14B-47D7-8373-47A40EE7F746}"/>
    <hyperlink ref="L300" r:id="rId662" xr:uid="{D44995E9-8A45-488D-B4A4-19F5EA57853E}"/>
    <hyperlink ref="I302" r:id="rId663" xr:uid="{82F1F108-05AF-40D9-9710-F9B2E5308A4F}"/>
    <hyperlink ref="J302" r:id="rId664" display="10" xr:uid="{B9984472-A92E-43F8-A2F7-FE9A9BDAA6A4}"/>
    <hyperlink ref="K302" r:id="rId665" display="23/06/2023" xr:uid="{3C63F2DC-EA99-4188-9601-587EB2FE79E1}"/>
    <hyperlink ref="L302" r:id="rId666" xr:uid="{526CE06F-4E1B-4635-8B30-626F26E73913}"/>
    <hyperlink ref="I304" r:id="rId667" xr:uid="{79B978BC-92FC-46D3-B89F-45D46D2198AA}"/>
    <hyperlink ref="J304" r:id="rId668" display="1" xr:uid="{12665D8E-32A0-4D36-90A5-730E6B4388AD}"/>
    <hyperlink ref="K304" r:id="rId669" display="23/06/2023" xr:uid="{92354F7B-12F7-47E8-860A-C4E9B7A3F307}"/>
    <hyperlink ref="L304" r:id="rId670" xr:uid="{64D03F4C-CB8F-416E-9703-E26F824620FC}"/>
    <hyperlink ref="I306" r:id="rId671" xr:uid="{7BC23081-DAD6-440C-B133-D878957B356D}"/>
    <hyperlink ref="J306" r:id="rId672" display="230" xr:uid="{F89EA83F-38BD-43F0-A061-8B6ACC755CA8}"/>
    <hyperlink ref="K306" r:id="rId673" display="12/05/2023" xr:uid="{41E78A10-AA37-4C28-B124-EE1E29284A62}"/>
    <hyperlink ref="I308" r:id="rId674" xr:uid="{4C3D4685-9A51-4EEA-88D7-DECC4FE456A3}"/>
    <hyperlink ref="J308" r:id="rId675" display="8" xr:uid="{C627D978-CB15-4411-A67B-EBF46E6F9544}"/>
    <hyperlink ref="K308" r:id="rId676" display="17/11/2023" xr:uid="{F9E29A74-B780-46EB-8B5A-3619CA93CE31}"/>
    <hyperlink ref="L308" r:id="rId677" xr:uid="{8401E591-8FD3-419C-A01A-F6B53938088E}"/>
    <hyperlink ref="I310" r:id="rId678" xr:uid="{466DB4A1-0F29-453F-A66D-E9FD9A50ADCC}"/>
    <hyperlink ref="J310" r:id="rId679" display="387" xr:uid="{50A48A31-7CE0-4926-AB67-9FE0363E7417}"/>
    <hyperlink ref="K310" r:id="rId680" display="21/04/2023" xr:uid="{99709D65-FA52-4039-AB92-97D205EF7011}"/>
    <hyperlink ref="I312" r:id="rId681" xr:uid="{3B4B17CA-D2B1-46BF-8C25-9772CBD0AB2B}"/>
    <hyperlink ref="J312" r:id="rId682" display="261" xr:uid="{8FCEE724-9AB2-4CA0-80B9-945283959995}"/>
    <hyperlink ref="K312" r:id="rId683" display="21/04/2023" xr:uid="{8F5D37E6-D434-4987-8BBA-43EC78D554C3}"/>
    <hyperlink ref="I314" r:id="rId684" xr:uid="{9F1DFC09-E5F6-4EA6-85D9-2A7AA254E50C}"/>
    <hyperlink ref="J314" r:id="rId685" display="2" xr:uid="{A73C198B-11FF-4DA2-8F82-6379FB7B0B99}"/>
    <hyperlink ref="K314" r:id="rId686" display="21/04/2023" xr:uid="{35485686-9E18-47D4-BC94-3B4DBF6F2F17}"/>
    <hyperlink ref="L314" r:id="rId687" xr:uid="{A331F18B-D86C-4AC8-9471-B3321814C56D}"/>
    <hyperlink ref="I316" r:id="rId688" xr:uid="{D00A5B46-51FE-49AF-AA6C-BA018F7B653D}"/>
    <hyperlink ref="J316" r:id="rId689" display="134" xr:uid="{226AD1E4-1F6F-4D75-A6AD-151DF79B5226}"/>
    <hyperlink ref="K316" r:id="rId690" display="21/04/2023" xr:uid="{80EA4D8E-9341-4D81-B2A0-DF2752B699BC}"/>
    <hyperlink ref="L316" r:id="rId691" xr:uid="{5C588F67-0179-44D5-ABBA-972516E11140}"/>
    <hyperlink ref="I318" r:id="rId692" xr:uid="{8D9B5690-E2C2-432A-86F1-F29B928ECDAF}"/>
    <hyperlink ref="J318" r:id="rId693" display="23" xr:uid="{8BB77BE1-9D3B-44E2-8F72-6EA307662E37}"/>
    <hyperlink ref="K318" r:id="rId694" display="21/04/2023" xr:uid="{7DC72C0D-A8EE-4F2A-B05E-0F00C1329013}"/>
    <hyperlink ref="L318" r:id="rId695" xr:uid="{E5E999D4-C2BF-47E2-95BF-E2D65002F256}"/>
    <hyperlink ref="I320" r:id="rId696" xr:uid="{750E456B-EBEC-4359-924F-430DDAD17FBD}"/>
    <hyperlink ref="J320" r:id="rId697" display="5" xr:uid="{3CB6E7A3-ADD7-40F5-B0D4-030060AAD9EE}"/>
    <hyperlink ref="K320" r:id="rId698" display="21/04/2023" xr:uid="{6EC12D5A-2020-462B-A568-17CAE30FDD0C}"/>
    <hyperlink ref="L320" r:id="rId699" xr:uid="{6E88BEB7-6F1B-41AD-ACAC-1C6C13A2D9BC}"/>
    <hyperlink ref="I322" r:id="rId700" xr:uid="{6D4A9FF3-3D4A-4212-B77D-23832FF4A520}"/>
    <hyperlink ref="J322" r:id="rId701" display="450" xr:uid="{031F785B-46A6-482C-B1DC-7AC5459967CF}"/>
    <hyperlink ref="K322" r:id="rId702" display="21/04/2023" xr:uid="{15862F9F-B290-48CD-B690-762A7286AE15}"/>
    <hyperlink ref="I324" r:id="rId703" xr:uid="{73CB954D-5412-4DD2-9AE9-BACF3D891AD0}"/>
    <hyperlink ref="J324" r:id="rId704" display="46" xr:uid="{5EAE9DE2-ED16-43A6-B528-CB1CA66BD2A5}"/>
    <hyperlink ref="K324" r:id="rId705" display="21/04/2023" xr:uid="{2740B377-5848-4FF7-93EB-BA9E3E54C2C5}"/>
    <hyperlink ref="L324" r:id="rId706" xr:uid="{DAD7B783-8E89-4466-AA91-EA7A5A56D50D}"/>
    <hyperlink ref="I326" r:id="rId707" xr:uid="{F6181C9E-933B-4F36-9FFA-C7C4FF19E55C}"/>
    <hyperlink ref="J326" r:id="rId708" display="12" xr:uid="{40EA245B-AFBB-45B5-82F9-49A9967EA6D8}"/>
    <hyperlink ref="K326" r:id="rId709" display="21/04/2023" xr:uid="{6C70D40D-6453-43BF-B47F-6DFA342B8B1D}"/>
    <hyperlink ref="L326" r:id="rId710" xr:uid="{C2C81F13-8043-4B84-9955-09E55E3407C6}"/>
    <hyperlink ref="I328" r:id="rId711" xr:uid="{73D51DA6-1ECB-4911-B94F-89ED1C2935CE}"/>
    <hyperlink ref="J328" r:id="rId712" display="81" xr:uid="{13DECB0B-0547-41BB-B5EC-87433DB89C28}"/>
    <hyperlink ref="K328" r:id="rId713" display="21/04/2023" xr:uid="{C1B79404-F467-48BE-A5C9-AB19E2AA8329}"/>
    <hyperlink ref="L328" r:id="rId714" xr:uid="{B4EB9409-8226-440A-AC73-2BF6F6BDA0FD}"/>
    <hyperlink ref="I330" r:id="rId715" xr:uid="{0FC68064-DE1F-4222-9C4C-118AFA1CDA2D}"/>
    <hyperlink ref="J330" r:id="rId716" display="1" xr:uid="{39D524A3-66EF-461F-A08A-1422E4499B74}"/>
    <hyperlink ref="K330" r:id="rId717" display="21/04/2023" xr:uid="{78818595-3F9D-4C06-90F7-8393596C2155}"/>
    <hyperlink ref="L330" r:id="rId718" xr:uid="{F5B0FB40-F564-42B9-B747-E79703E214EB}"/>
    <hyperlink ref="I332" r:id="rId719" xr:uid="{7E38FD10-8AE2-49BC-8739-C1325CA33FBB}"/>
    <hyperlink ref="J332" r:id="rId720" display="294" xr:uid="{8EFB81C2-0416-42BC-A11F-CC5E11D30C33}"/>
    <hyperlink ref="K332" r:id="rId721" display="21/03/2023" xr:uid="{41109F3E-87BD-4CA9-AABF-4607AAAAD09A}"/>
    <hyperlink ref="L332" r:id="rId722" xr:uid="{DE95551A-3A23-407A-AFA0-164E51D225AF}"/>
    <hyperlink ref="I334" r:id="rId723" xr:uid="{96CBE758-92A1-4526-958D-46A4DA19B33F}"/>
    <hyperlink ref="J334" r:id="rId724" display="76" xr:uid="{B52F43BC-CBB8-4CB5-86EB-DF7B2BBD7C2B}"/>
    <hyperlink ref="K334" r:id="rId725" display="21/03/2023" xr:uid="{C2570C00-6A31-42F0-932A-0D6E20AAAA1E}"/>
    <hyperlink ref="L334" r:id="rId726" xr:uid="{EF3A7895-005E-47F7-AB06-174E0679F6C2}"/>
    <hyperlink ref="I336" r:id="rId727" xr:uid="{CD45041F-AEA3-477E-935B-F7DC74F80E35}"/>
    <hyperlink ref="J336" r:id="rId728" display="471" xr:uid="{FDD5BEE8-6B4E-442C-9438-0BE9A408759B}"/>
    <hyperlink ref="K336" r:id="rId729" display="15/02/2023" xr:uid="{CDABA439-740D-450B-B916-AC41848AACD8}"/>
    <hyperlink ref="L336" r:id="rId730" xr:uid="{0799CB4B-57A8-4198-8DBE-896A92FBA1FA}"/>
    <hyperlink ref="I338" r:id="rId731" xr:uid="{48B6DC93-7531-4029-B2F8-165A561EF174}"/>
    <hyperlink ref="J338" r:id="rId732" display="52" xr:uid="{E7B78B2F-5C2A-4068-B737-D556B73C4651}"/>
    <hyperlink ref="K338" r:id="rId733" display="24/02/2024" xr:uid="{D7AD7AA9-33A5-44D9-9122-902DFBF2F9F7}"/>
    <hyperlink ref="L338" r:id="rId734" xr:uid="{C7215BE2-F3C6-48FB-BDEB-E04947C38817}"/>
    <hyperlink ref="I340" r:id="rId735" xr:uid="{0E22DDCC-D70D-457E-B8E2-FC1E0AD041D6}"/>
    <hyperlink ref="J340" r:id="rId736" display="6" xr:uid="{1280AE1C-F704-4402-BE3E-CEF5E5C145BB}"/>
    <hyperlink ref="K340" r:id="rId737" display="10/02/2023" xr:uid="{9A982681-060F-4948-B9AF-D503B9EF1E19}"/>
    <hyperlink ref="I342" r:id="rId738" xr:uid="{E77AFE94-0B65-4D6D-A375-6E167C2305EB}"/>
    <hyperlink ref="J342" r:id="rId739" display="479" xr:uid="{35E0C639-2C61-4B7C-8110-BD3C038B443B}"/>
    <hyperlink ref="K342" r:id="rId740" display="10/02/2023" xr:uid="{01B345F4-EA96-4439-A295-AF8CAE088BD5}"/>
    <hyperlink ref="I344" r:id="rId741" xr:uid="{E9F322F8-C079-4F4D-A4AC-1A0F03060AA4}"/>
    <hyperlink ref="J344" r:id="rId742" display="160" xr:uid="{2EFE75B5-8F8B-4A33-BD2D-290FEB064EB6}"/>
    <hyperlink ref="K344" r:id="rId743" display="10/02/2023" xr:uid="{39FB1ED6-FD72-4AE9-A7E0-86E3F900BD9F}"/>
    <hyperlink ref="L344" r:id="rId744" xr:uid="{44888B4D-C531-413C-B019-ADD9FFFF4611}"/>
    <hyperlink ref="I346" r:id="rId745" xr:uid="{44AFC594-7808-4921-B00C-5D00EE74D7BD}"/>
    <hyperlink ref="J346" r:id="rId746" display="14" xr:uid="{1F895D6A-028A-46BC-BBB9-D0000D322056}"/>
    <hyperlink ref="K346" r:id="rId747" display="03/02/2023" xr:uid="{275C2E49-FFCC-428F-BC52-E71EEF850FB8}"/>
    <hyperlink ref="L346" r:id="rId748" xr:uid="{25EBB29E-06C4-4E7F-A1EB-7EEA112BDBFD}"/>
    <hyperlink ref="I348" r:id="rId749" xr:uid="{A992956E-57E2-4694-B7FD-3ECD2EE1C3FA}"/>
    <hyperlink ref="J348" r:id="rId750" display="30" xr:uid="{76783943-8D75-48EE-968F-59AB3A41B932}"/>
    <hyperlink ref="K348" r:id="rId751" display="28/02/2023" xr:uid="{2E2D63BE-DA7B-415C-BE95-4E99086D8F25}"/>
    <hyperlink ref="L348" r:id="rId752" xr:uid="{29252CF9-6B29-4D8C-92FF-77A6871A7EE6}"/>
    <hyperlink ref="I350" r:id="rId753" xr:uid="{2E5A74AA-39EC-402F-A00F-D122D2DB76B0}"/>
    <hyperlink ref="J350" r:id="rId754" display="174" xr:uid="{739390D3-5D5C-4731-8B45-080324B5C7D8}"/>
    <hyperlink ref="K350" r:id="rId755" display="10/02/2023" xr:uid="{F5880CF4-2280-47F8-9A60-261DCA36BDBD}"/>
    <hyperlink ref="I352" r:id="rId756" xr:uid="{50B5BF18-8D29-402E-A131-5041109FFF18}"/>
    <hyperlink ref="J352" r:id="rId757" display="23" xr:uid="{187AF53A-0E82-469B-8FA5-6B98A4680D8D}"/>
    <hyperlink ref="K352" r:id="rId758" display="03/02/2023" xr:uid="{84760458-F14D-4223-A79D-7A2D277B4E91}"/>
    <hyperlink ref="L352" r:id="rId759" xr:uid="{FFBFE7B7-6AD1-41DF-84C9-6C94A4ACED0E}"/>
    <hyperlink ref="I354" r:id="rId760" xr:uid="{CFBB6796-5F2A-4EA8-A7EF-CC462640497F}"/>
    <hyperlink ref="J354" r:id="rId761" display="5" xr:uid="{D89134C4-60FD-4292-8DD9-6D5BE4FD1142}"/>
    <hyperlink ref="K354" r:id="rId762" display="03/02/2023" xr:uid="{737AD52E-F1D8-4970-8F55-6DEF9F643C7A}"/>
    <hyperlink ref="L354" r:id="rId763" xr:uid="{A4B4D784-0726-4E1B-AAFF-92F9FC19313F}"/>
    <hyperlink ref="I356" r:id="rId764" xr:uid="{60262BD5-6157-4A31-9DF7-CDB3A0EBB2B6}"/>
    <hyperlink ref="J356" r:id="rId765" display="81" xr:uid="{00A5C19C-F6FA-46D6-B5FC-1406A2EC9D56}"/>
    <hyperlink ref="K356" r:id="rId766" display="03/02/2023" xr:uid="{B771B715-4172-467D-A3F7-3F8ABA68527C}"/>
    <hyperlink ref="L356" r:id="rId767" xr:uid="{1470A2DD-0076-406E-B54D-53E954A6EC41}"/>
    <hyperlink ref="I358" r:id="rId768" xr:uid="{A2D43B2A-6FF1-4002-8182-4D51786E20AD}"/>
    <hyperlink ref="J358" r:id="rId769" display="5" xr:uid="{BF929C03-0470-4B01-9017-91A668646077}"/>
    <hyperlink ref="K358" r:id="rId770" display="03/02/2023" xr:uid="{A9D8444B-18E1-470D-B409-EB8E5B596758}"/>
    <hyperlink ref="L358" r:id="rId771" xr:uid="{607B90AB-EBEB-4C3F-A6D1-D3742D244E2C}"/>
    <hyperlink ref="I360" r:id="rId772" xr:uid="{6EEBA790-5198-4E72-A4F3-50BEA3BAC138}"/>
    <hyperlink ref="J360" r:id="rId773" display="6" xr:uid="{65752892-17FB-40A3-9905-71E4AD35FD8E}"/>
    <hyperlink ref="K360" r:id="rId774" display="27/01/2023" xr:uid="{526B47C2-9B3F-4DCE-B2EF-02C7EBDBAD8C}"/>
    <hyperlink ref="L360" r:id="rId775" xr:uid="{23C4AC0C-0997-4B77-8967-7579D7215A29}"/>
    <hyperlink ref="I362" r:id="rId776" xr:uid="{0336E04E-FEDD-457B-AE7F-7A5C2BA314FC}"/>
    <hyperlink ref="J362" r:id="rId777" display="457" xr:uid="{00137EEE-C79F-4673-98BB-15C2CF22BB65}"/>
    <hyperlink ref="K362" r:id="rId778" display="13/01/2023" xr:uid="{AA87960D-558F-4794-8886-2B898F95C5D0}"/>
    <hyperlink ref="I364" r:id="rId779" xr:uid="{14547793-0A35-4BF4-BD85-EC5309956738}"/>
    <hyperlink ref="J364" r:id="rId780" display="14" xr:uid="{A04BC843-8978-4EC2-A25B-783440B1815E}"/>
    <hyperlink ref="K364" r:id="rId781" display="13/01/2023" xr:uid="{1DBE6EED-A762-4413-98CB-DD33092EEA00}"/>
    <hyperlink ref="L364" r:id="rId782" xr:uid="{1C8DE9EF-89DC-4DE7-973E-7847E82EEC60}"/>
    <hyperlink ref="I366" r:id="rId783" xr:uid="{7FE0EA94-7CB9-4B7F-917B-3B03F9FED5FC}"/>
    <hyperlink ref="J366" r:id="rId784" display="3" xr:uid="{BFB7D2AF-1DF4-45C5-8014-946FE679BDEC}"/>
    <hyperlink ref="K366" r:id="rId785" display="07/01/2023" xr:uid="{0E2C0866-85A7-429C-9DA0-C99C5A5DEB7A}"/>
    <hyperlink ref="L366" r:id="rId786" xr:uid="{4ED954E6-6DF6-4030-9CD0-F6026DFE86F4}"/>
    <hyperlink ref="I368" r:id="rId787" xr:uid="{ACC6DF2F-3356-4D37-A58E-6AC3DED440A0}"/>
    <hyperlink ref="J368" r:id="rId788" display="11" xr:uid="{8238F0F4-37E3-499A-99A7-9E1BCCF465D2}"/>
    <hyperlink ref="K368" r:id="rId789" display="01/01/2023" xr:uid="{049BC4FA-6A16-4855-9BEF-6CC3BA49BBE1}"/>
    <hyperlink ref="I370" r:id="rId790" xr:uid="{DF3ACF99-C781-4F6F-A80E-AE0F0821D90D}"/>
    <hyperlink ref="J370" r:id="rId791" display="10" xr:uid="{9746EE04-868F-4C6A-8046-621A7052872A}"/>
    <hyperlink ref="K370" r:id="rId792" display="01/01/2023" xr:uid="{82B494FC-A151-4FE5-AB55-2B6EB613D116}"/>
    <hyperlink ref="L370" r:id="rId793" xr:uid="{B6522E29-48B9-4997-B0CB-31612DCD85E3}"/>
    <hyperlink ref="I372" r:id="rId794" xr:uid="{DE70B3A5-A22A-43B0-AC92-7CCEB328D210}"/>
    <hyperlink ref="J372" r:id="rId795" display="25" xr:uid="{D211BBBD-0058-4672-9BA8-0733AB08FF31}"/>
    <hyperlink ref="K372" r:id="rId796" display="13/12/2022" xr:uid="{83B76E95-584E-4135-AF84-545F62F3E6D3}"/>
    <hyperlink ref="L372" r:id="rId797" xr:uid="{49936EA5-A12D-4569-A136-EA50BAF2A965}"/>
    <hyperlink ref="I374" r:id="rId798" xr:uid="{AC067B90-292B-49B3-91AE-387F1CC9EA1D}"/>
    <hyperlink ref="J374" r:id="rId799" display="352" xr:uid="{F0908168-E1F2-4DB2-B4F6-D80CEBEFAB2E}"/>
    <hyperlink ref="K374" r:id="rId800" display="02/12/2022" xr:uid="{FB5B5E21-DEE2-44B0-BD05-3E6A292FAFD5}"/>
    <hyperlink ref="L374" r:id="rId801" xr:uid="{375E4189-5035-497D-857A-A9AE9C179D65}"/>
    <hyperlink ref="I376" r:id="rId802" xr:uid="{F4824931-AAA4-4341-AC84-54BE05FC37C8}"/>
    <hyperlink ref="J376" r:id="rId803" display="27" xr:uid="{582F246F-1BA8-4359-AF51-9A32C41190CE}"/>
    <hyperlink ref="K376" r:id="rId804" display="02/12/2022" xr:uid="{BCACAE90-48EF-4D45-A136-9EF4AAA28EA6}"/>
    <hyperlink ref="L376" r:id="rId805" xr:uid="{2F9C4269-7E64-44BC-90B8-17FC297008DB}"/>
    <hyperlink ref="I378" r:id="rId806" xr:uid="{2A7655F7-AC1C-459E-BEF8-189BA812DC7E}"/>
    <hyperlink ref="J378" r:id="rId807" display="835" xr:uid="{A5F0CC99-0D51-45A8-85DB-FF60D0EB7C06}"/>
    <hyperlink ref="K378" r:id="rId808" display="02/12/2022" xr:uid="{32769902-EADC-4901-894F-D2479AC71C5C}"/>
    <hyperlink ref="I380" r:id="rId809" xr:uid="{0A27C03C-A9E2-4E13-B152-245CE4D76C6B}"/>
    <hyperlink ref="J380" r:id="rId810" display="46" xr:uid="{F801D4D1-3B52-49C3-BAD5-AD5111361EC4}"/>
    <hyperlink ref="K380" r:id="rId811" display="02/12/2022" xr:uid="{37EFEC8A-6AF1-452D-9BE5-B28AE7A64EA3}"/>
    <hyperlink ref="L380" r:id="rId812" xr:uid="{AE516C99-DC91-4C71-9101-0FF5E707BD92}"/>
    <hyperlink ref="I382" r:id="rId813" xr:uid="{433C18B3-BCA0-428B-823F-08378F715342}"/>
    <hyperlink ref="J382" r:id="rId814" display="594" xr:uid="{5B63DEFA-D749-4B33-9249-FAD14FF55F92}"/>
    <hyperlink ref="K382" r:id="rId815" display="28/11/2022" xr:uid="{7ED8745A-D6E3-4751-B3EA-4FD3A74C49F5}"/>
    <hyperlink ref="L382" r:id="rId816" xr:uid="{2D4B9FDE-5847-4DF0-A3B5-458258B812A2}"/>
    <hyperlink ref="I384" r:id="rId817" xr:uid="{D16CC86B-C8C7-4D47-A8DE-A8453FCCEC04}"/>
    <hyperlink ref="J384" r:id="rId818" display="30" xr:uid="{D11D8F6D-46A2-4E65-B9F1-4C4AB24AA74D}"/>
    <hyperlink ref="K384" r:id="rId819" display="02/09/2022" xr:uid="{6F4323E8-1DFD-45DA-9800-324A73153035}"/>
    <hyperlink ref="I386" r:id="rId820" xr:uid="{18B4A9ED-9EA6-46D6-A8BE-4EC75C89604F}"/>
    <hyperlink ref="J386" r:id="rId821" display="16" xr:uid="{A273D803-8F03-47A6-8EC2-F6C7BEC498D1}"/>
    <hyperlink ref="K386" r:id="rId822" display="28/11/2022" xr:uid="{8BB2E24F-0491-454A-865E-DE6CC196ECE0}"/>
    <hyperlink ref="L386" r:id="rId823" xr:uid="{C8E36FD7-BCF0-4852-A619-9D608C1C7824}"/>
    <hyperlink ref="I388" r:id="rId824" xr:uid="{86B3AA61-830D-4196-813D-EF694BDD8077}"/>
    <hyperlink ref="J388" r:id="rId825" display="2" xr:uid="{C025DD67-EBFC-4515-95BE-25EAF30468C5}"/>
    <hyperlink ref="K388" r:id="rId826" display="01/09/2023" xr:uid="{56CF6312-DA7E-4D61-BD31-D813160DB44D}"/>
    <hyperlink ref="L388" r:id="rId827" xr:uid="{5DDCFC80-6688-453A-871E-DCC1A0602563}"/>
    <hyperlink ref="I390" r:id="rId828" xr:uid="{727D6797-A549-4A76-9936-EF0B074996EF}"/>
    <hyperlink ref="J390" r:id="rId829" display="10" xr:uid="{80E3E409-2215-4144-BF3F-257CA75395C3}"/>
    <hyperlink ref="K390" r:id="rId830" display="09/09/2022" xr:uid="{1D104A9D-C8B8-4747-ADBE-8BB998E97C43}"/>
    <hyperlink ref="I392" r:id="rId831" xr:uid="{854CA0DB-99F7-4910-8EB5-57363C6A803D}"/>
    <hyperlink ref="J392" r:id="rId832" display="5" xr:uid="{14F6BAC9-F483-4A03-96C5-C279ACE3F5F7}"/>
    <hyperlink ref="K392" r:id="rId833" display="02/09/2022" xr:uid="{0B63062E-143D-49C8-8263-7D3183DAD0F8}"/>
    <hyperlink ref="L392" r:id="rId834" xr:uid="{1B172F23-83D3-4908-8AC9-2D15924BACE8}"/>
    <hyperlink ref="I394" r:id="rId835" xr:uid="{9098C57F-CF24-44FA-9934-A81CCB9DCC94}"/>
    <hyperlink ref="J394" r:id="rId836" display="8" xr:uid="{FF5337CC-AC84-4BAB-A79D-719A80983B20}"/>
    <hyperlink ref="K394" r:id="rId837" display="26/11/2022" xr:uid="{F5409EFA-B173-449F-B63C-D6B9005A5E76}"/>
    <hyperlink ref="L394" r:id="rId838" xr:uid="{BBAA1338-B475-461F-AB0F-81D82B423AA4}"/>
    <hyperlink ref="I396" r:id="rId839" xr:uid="{F87FC2FE-B0FE-4341-8DBB-CCD938C3AAAB}"/>
    <hyperlink ref="J396" r:id="rId840" display="399" xr:uid="{AE86A558-CE55-4DD8-9D86-A6BD2AD1E8CA}"/>
    <hyperlink ref="K396" r:id="rId841" display="18/11/2022" xr:uid="{37FA6D64-2A70-4916-8C2F-3CD21CA5BD0C}"/>
    <hyperlink ref="I398" r:id="rId842" xr:uid="{D14AA820-D62E-4C0F-B67F-FE80C1E09826}"/>
    <hyperlink ref="J398" r:id="rId843" display="189" xr:uid="{ED7BB9E3-4048-4252-AF4C-E51DB3BD880E}"/>
    <hyperlink ref="K398" r:id="rId844" display="18/11/2022" xr:uid="{9088B986-E2F5-41D1-AF10-D53CA80B711C}"/>
    <hyperlink ref="I400" r:id="rId845" xr:uid="{74567B6D-2D78-4447-88A1-DD9E10E2CC3F}"/>
    <hyperlink ref="J400" r:id="rId846" display="171" xr:uid="{5169E1B8-E51E-407C-BAD1-3F01BACC831E}"/>
    <hyperlink ref="K400" r:id="rId847" display="18/11/2022" xr:uid="{0E8E8510-7D2F-4410-AA80-3B76086CCD03}"/>
    <hyperlink ref="L400" r:id="rId848" xr:uid="{B93CEEF0-CED2-4023-81D7-C740E808A64C}"/>
    <hyperlink ref="I402" r:id="rId849" xr:uid="{EC65F7BE-BF3E-44C2-BD95-733BD5D0357D}"/>
    <hyperlink ref="J402" r:id="rId850" display="12" xr:uid="{8C4B36C5-930F-4B25-9BD5-2061C4E8DA02}"/>
    <hyperlink ref="K402" r:id="rId851" display="18/11/2022" xr:uid="{6A1E4A9D-F01F-4D95-AF49-79385040C4F7}"/>
    <hyperlink ref="L402" r:id="rId852" xr:uid="{4F57238F-3475-4D3E-ABCB-5C82A74ED189}"/>
    <hyperlink ref="I404" r:id="rId853" xr:uid="{6A07BF8B-DC51-4335-910D-3B47789C3D36}"/>
    <hyperlink ref="J404" r:id="rId854" display="31" xr:uid="{8B6C10BC-BD81-49D5-9B9A-3FDBC02C8B16}"/>
    <hyperlink ref="K404" r:id="rId855" display="13/12/2022" xr:uid="{E230C554-721C-49F3-B943-8E4106ECE483}"/>
    <hyperlink ref="L404" r:id="rId856" xr:uid="{CE848A7C-291B-4E0D-808B-9139A735AC48}"/>
    <hyperlink ref="I406" r:id="rId857" xr:uid="{2378AB3F-05D4-4EB9-8B49-369236A0D81B}"/>
    <hyperlink ref="J406" r:id="rId858" display="209" xr:uid="{B4186DD6-B258-4D54-9D0A-202342531806}"/>
    <hyperlink ref="K406" r:id="rId859" display="18/11/2022" xr:uid="{507C8647-CFB4-4C19-B72E-89AE4626F748}"/>
    <hyperlink ref="I408" r:id="rId860" xr:uid="{689F5331-9EC6-4AE8-A654-889C2D5A2DEB}"/>
    <hyperlink ref="J408" r:id="rId861" display="14" xr:uid="{5792FBDE-702D-445C-B145-B62025CD8563}"/>
    <hyperlink ref="K408" r:id="rId862" display="18/11/2022" xr:uid="{1B1969F8-40FB-43D0-BE92-D5B3792749D6}"/>
    <hyperlink ref="L408" r:id="rId863" xr:uid="{8DC22A8C-1EDF-4BAA-B225-84A54452E8EC}"/>
    <hyperlink ref="I410" r:id="rId864" xr:uid="{64D0F816-5144-4CFA-8E7E-D7A3F091851D}"/>
    <hyperlink ref="J410" r:id="rId865" display="29" xr:uid="{8AD3B835-0796-4E40-93D9-26ABB30B4502}"/>
    <hyperlink ref="K410" r:id="rId866" display="18/11/2022" xr:uid="{DEB1795D-6CC3-4997-90A5-D5E50BBD40B1}"/>
    <hyperlink ref="L410" r:id="rId867" xr:uid="{B205D7F2-B946-4F90-ACED-84DF69C4CF63}"/>
    <hyperlink ref="I412" r:id="rId868" xr:uid="{4F7EA6ED-2091-49D8-9EC5-519F579BB83D}"/>
    <hyperlink ref="J412" r:id="rId869" display="2" xr:uid="{BB4838F9-85F1-41A9-ACB6-52894AD30606}"/>
    <hyperlink ref="K412" r:id="rId870" display="18/11/2022" xr:uid="{07D52D45-1FBA-4425-9DC6-8E72F366F581}"/>
    <hyperlink ref="L412" r:id="rId871" xr:uid="{4DC50423-0269-49AB-BB0D-95842D18ECB1}"/>
    <hyperlink ref="I414" r:id="rId872" xr:uid="{791B7085-609A-4761-9667-336D3D1FBB12}"/>
    <hyperlink ref="J414" r:id="rId873" display="3" xr:uid="{F506A326-0B1D-437F-A8D5-40E02526D529}"/>
    <hyperlink ref="K414" r:id="rId874" display="18/11/2022" xr:uid="{A697DB52-F5A3-48E5-86D4-B5D45AF5F22C}"/>
    <hyperlink ref="L414" r:id="rId875" xr:uid="{2D54DB5B-AE8E-4996-9B44-75BD503379E5}"/>
    <hyperlink ref="I416" r:id="rId876" xr:uid="{A68A2861-33EE-486B-8447-69C3794F8E94}"/>
    <hyperlink ref="J416" r:id="rId877" display="1" xr:uid="{F7F93154-43E8-4B78-9FAA-59EC795490AA}"/>
    <hyperlink ref="K416" r:id="rId878" display="18/11/2022" xr:uid="{E06BAD4C-A915-4AF8-B0DB-5EC6498A7AE6}"/>
    <hyperlink ref="L416" r:id="rId879" xr:uid="{2FEA1BF6-DCFB-473E-9FB3-A5D90B465AB7}"/>
    <hyperlink ref="I418" r:id="rId880" xr:uid="{C4515F31-CF5B-40CA-8931-04C60E6D4027}"/>
    <hyperlink ref="J418" r:id="rId881" display="81" xr:uid="{1F3A7532-040D-45CA-BD23-55E1E4B44C3B}"/>
    <hyperlink ref="K418" r:id="rId882" display="18/11/2022" xr:uid="{1965EDF5-2997-464E-A498-D1B9B5D0C50F}"/>
    <hyperlink ref="L418" r:id="rId883" xr:uid="{85421D5F-7B04-41F6-A192-7FBE19B004CB}"/>
    <hyperlink ref="I420" r:id="rId884" xr:uid="{9C553C00-AB8C-40A9-B64B-55F679F81056}"/>
    <hyperlink ref="J420" r:id="rId885" display="3" xr:uid="{5883C883-9407-424A-BD83-D503DB386291}"/>
    <hyperlink ref="K420" r:id="rId886" display="18/11/2022" xr:uid="{E3472742-6F41-4E5C-89DA-2A41AA1E640E}"/>
    <hyperlink ref="L420" r:id="rId887" xr:uid="{F40D9954-F103-407C-91D2-382388B67A3B}"/>
    <hyperlink ref="I422" r:id="rId888" xr:uid="{333FF105-8147-4D71-A436-20A17B0BD67E}"/>
    <hyperlink ref="J422" r:id="rId889" display="5" xr:uid="{2E0CDA54-BBF5-421D-89F2-C8E38EDAC75D}"/>
    <hyperlink ref="K422" r:id="rId890" display="18/11/2022" xr:uid="{11DB7BAE-315E-472A-A74A-30ED22339F62}"/>
    <hyperlink ref="L422" r:id="rId891" xr:uid="{F5099F2C-D829-46D6-AE09-CC79459BA3E1}"/>
    <hyperlink ref="I424" r:id="rId892" xr:uid="{FA1F3C1E-605D-4AB4-91E6-1E036CC18E7C}"/>
    <hyperlink ref="J424" r:id="rId893" display="135" xr:uid="{970E0E17-5008-4E95-BE2A-BFFC7F396F4B}"/>
    <hyperlink ref="K424" r:id="rId894" display="14/10/2022" xr:uid="{06964388-E366-4D68-9AAB-D7BF8C7B9ECE}"/>
    <hyperlink ref="I426" r:id="rId895" xr:uid="{F687566F-88A2-4465-A88A-75CD1C91900D}"/>
    <hyperlink ref="J426" r:id="rId896" display="10" xr:uid="{12E811FE-347D-4ECE-81F9-C059431D2C06}"/>
    <hyperlink ref="K426" r:id="rId897" display="14/10/2022" xr:uid="{36316867-53EF-416E-826A-05C290AAD4D1}"/>
    <hyperlink ref="L426" r:id="rId898" xr:uid="{599817A0-9002-4A48-AD1A-FB2E691934EB}"/>
    <hyperlink ref="I428" r:id="rId899" xr:uid="{D97A8773-EF20-463B-AEFA-19E6A844072A}"/>
    <hyperlink ref="J428" r:id="rId900" display="639" xr:uid="{67AB5205-D09B-44CD-87D8-C27113F21E48}"/>
    <hyperlink ref="K428" r:id="rId901" display="07/10/2022" xr:uid="{55F4A0D9-B520-4F4D-9FD3-3893499689E6}"/>
    <hyperlink ref="L428" r:id="rId902" xr:uid="{13922356-BB8C-438B-B33E-CEB6FFEDDC43}"/>
    <hyperlink ref="I430" r:id="rId903" xr:uid="{B6AF75BC-B188-4D68-9E9E-A7432E363D53}"/>
    <hyperlink ref="J430" r:id="rId904" display="14" xr:uid="{0CADAD71-845C-4998-9281-7CFB9F02645F}"/>
    <hyperlink ref="K430" r:id="rId905" display="07/10/2022" xr:uid="{DFF61FD1-6FBD-489A-BB6A-A80B0CCDA681}"/>
    <hyperlink ref="L430" r:id="rId906" xr:uid="{A634619B-5E86-4151-9CE4-8341E33EE980}"/>
    <hyperlink ref="I432" r:id="rId907" xr:uid="{8EDB237F-3EB2-4056-B2CA-28BEE7C82D82}"/>
    <hyperlink ref="J432" r:id="rId908" display="48" xr:uid="{71FC9633-774B-4B0E-8A8F-2F412AC6D303}"/>
    <hyperlink ref="K432" r:id="rId909" display="07/10/2022" xr:uid="{D54D6BCA-3635-4E5A-9ABA-831A9C485C38}"/>
    <hyperlink ref="L432" r:id="rId910" xr:uid="{2020128C-5794-4C95-9463-928A83C6D461}"/>
    <hyperlink ref="I434" r:id="rId911" xr:uid="{54C217BC-1AB7-48CB-B629-7C3BB2ACDD4E}"/>
    <hyperlink ref="J434" r:id="rId912" display="617" xr:uid="{157987A6-152E-4DC3-8E3E-5F08A248D538}"/>
    <hyperlink ref="K434" r:id="rId913" display="07/10/2022" xr:uid="{A75EC9B4-9000-4768-8A90-4B0B09355573}"/>
    <hyperlink ref="I436" r:id="rId914" xr:uid="{69637309-0026-4FD6-86F5-99E937490756}"/>
    <hyperlink ref="J436" r:id="rId915" display="31" xr:uid="{4D75A1D0-F8EC-439D-AC39-46082D17DD04}"/>
    <hyperlink ref="K436" r:id="rId916" display="07/10/2022" xr:uid="{1D5541A4-5967-4D54-83CC-B430AE66FA67}"/>
    <hyperlink ref="L436" r:id="rId917" xr:uid="{C023CC12-583D-4AFF-A94F-4D9DD756D626}"/>
    <hyperlink ref="I438" r:id="rId918" xr:uid="{DFE004A5-C12E-469D-8520-F654C1CAF18F}"/>
    <hyperlink ref="J438" r:id="rId919" display="3" xr:uid="{A6B6300C-A8FE-4689-B4ED-C0C2E52EBA5D}"/>
    <hyperlink ref="K438" r:id="rId920" display="01/10/2022" xr:uid="{567EE4DB-9437-4E0B-BED0-780F313A10C0}"/>
    <hyperlink ref="L438" r:id="rId921" xr:uid="{81017A14-2BF9-422A-880D-5774300E66AB}"/>
    <hyperlink ref="I440" r:id="rId922" xr:uid="{3AD59CFE-1619-44E5-87B8-BDF2AC8785E0}"/>
    <hyperlink ref="J440" r:id="rId923" display="453" xr:uid="{F6598EE0-A198-4BB6-889C-7E1267912EB3}"/>
    <hyperlink ref="K440" r:id="rId924" display="09/09/2022" xr:uid="{023CD4EE-8E96-4C78-835F-61A0965EE056}"/>
    <hyperlink ref="I442" r:id="rId925" xr:uid="{AEEACB93-CE76-4327-A80A-68F929C220A8}"/>
    <hyperlink ref="J442" r:id="rId926" display="161" xr:uid="{554EBFD6-2305-4238-BF97-94747522952F}"/>
    <hyperlink ref="K442" r:id="rId927" display="09/09/2022" xr:uid="{DC51AC20-DBCC-4703-AE43-5B539F06EB99}"/>
    <hyperlink ref="L442" r:id="rId928" xr:uid="{02FFE40B-6173-49E5-B13D-CC2D54C82437}"/>
    <hyperlink ref="I444" r:id="rId929" xr:uid="{11BAEB5A-3F2A-4745-A287-A16E27397B77}"/>
    <hyperlink ref="J444" r:id="rId930" display="26" xr:uid="{126FEFB2-A5C0-4E38-9A35-5E9B46661C6D}"/>
    <hyperlink ref="K444" r:id="rId931" display="09/09/2022" xr:uid="{88D391D2-F046-48CC-9C99-02D7FEBD3BB4}"/>
    <hyperlink ref="L444" r:id="rId932" xr:uid="{B0BA99A3-ABB4-4E88-AD95-24430DECC208}"/>
    <hyperlink ref="I446" r:id="rId933" xr:uid="{88DAB1C5-C153-4222-ABD0-3E88B2349295}"/>
    <hyperlink ref="J446" r:id="rId934" display="39" xr:uid="{FB1EB184-DC5B-4606-BF13-FB852B9656D7}"/>
    <hyperlink ref="K446" r:id="rId935" display="05/10/2022" xr:uid="{BE3BF41B-DFC3-4A6D-9923-89C4E8A67102}"/>
    <hyperlink ref="L446" r:id="rId936" xr:uid="{29CAAA06-9C38-4EF9-A009-7EA9393810FB}"/>
    <hyperlink ref="I448" r:id="rId937" xr:uid="{434D5560-A16D-4C59-90CC-E59732C74201}"/>
    <hyperlink ref="J448" r:id="rId938" display="3" xr:uid="{C606A020-0EF1-40D8-B194-A7816BDC9593}"/>
    <hyperlink ref="K448" r:id="rId939" display="09/09/2022" xr:uid="{311AE18B-7421-4B2E-86AC-17ED1219AD28}"/>
    <hyperlink ref="L448" r:id="rId940" xr:uid="{A551098B-731B-4DC6-B8C8-605187C1AAFC}"/>
    <hyperlink ref="I450" r:id="rId941" xr:uid="{A1E6CE02-A17B-486A-82BC-7BF9A8AFE756}"/>
    <hyperlink ref="J450" r:id="rId942" display="10" xr:uid="{6F6523AE-7FAD-4B2A-9B42-F30B9C4961D8}"/>
    <hyperlink ref="K450" r:id="rId943" display="09/09/2022" xr:uid="{7FB0B8E3-725A-423A-8844-8BED04441306}"/>
    <hyperlink ref="L450" r:id="rId944" xr:uid="{2CFDDDF1-B013-4151-976A-8F1F74D77697}"/>
    <hyperlink ref="I452" r:id="rId945" xr:uid="{6504E69D-95A1-4D38-9A9A-F82A02C1E7A5}"/>
    <hyperlink ref="J452" r:id="rId946" display="5" xr:uid="{56C95564-AED0-4AA5-B2E7-B099A9149D11}"/>
    <hyperlink ref="K452" r:id="rId947" display="09/09/2022" xr:uid="{97C01FB3-E700-4BD3-879D-884193BFF922}"/>
    <hyperlink ref="L452" r:id="rId948" xr:uid="{1F9741DB-A548-42C6-8783-1CA54F928694}"/>
    <hyperlink ref="I454" r:id="rId949" xr:uid="{27029A2A-5101-440C-A89F-21F86801CF16}"/>
    <hyperlink ref="J454" r:id="rId950" display="81" xr:uid="{72FE0590-9902-4059-830C-74F79F4F5410}"/>
    <hyperlink ref="K454" r:id="rId951" display="09/09/2022" xr:uid="{62FB1941-FFF4-4E0F-83F2-A3E2394B0B86}"/>
    <hyperlink ref="L454" r:id="rId952" xr:uid="{EC2E603B-D6D6-40AB-A499-3F8169B1D532}"/>
    <hyperlink ref="I456" r:id="rId953" xr:uid="{7E1A4251-C455-4C5E-9ABA-7AEC5BA1DA1B}"/>
    <hyperlink ref="J456" r:id="rId954" display="240" xr:uid="{9A250C6D-132F-4753-9470-A1B4610834A9}"/>
    <hyperlink ref="K456" r:id="rId955" display="09/09/2022" xr:uid="{61A8464F-0D20-4B1B-A5F7-9E25CF1E4177}"/>
    <hyperlink ref="I458" r:id="rId956" xr:uid="{6ED2FD7D-4544-4F15-B3BE-9DEC2B562A53}"/>
    <hyperlink ref="J458" r:id="rId957" display="12" xr:uid="{7F3427D0-EDB7-40F8-8EE6-7A52F158F9A9}"/>
    <hyperlink ref="K458" r:id="rId958" display="09/09/2022" xr:uid="{1BA3C8A8-1001-4BEB-8641-E09811E19AC0}"/>
    <hyperlink ref="L458" r:id="rId959" xr:uid="{003FE013-7ADE-469F-A39F-234EEBF42A40}"/>
    <hyperlink ref="I460" r:id="rId960" xr:uid="{EF0995E1-7FF9-4F8E-8B90-627E2741B44E}"/>
    <hyperlink ref="J460" r:id="rId961" display="3" xr:uid="{3944072D-F07D-40EA-BE05-8CB7455A2D72}"/>
    <hyperlink ref="K460" r:id="rId962" display="09/09/2022" xr:uid="{979B5A68-9D11-430A-9A8D-93DE7FD2C61E}"/>
    <hyperlink ref="L460" r:id="rId963" xr:uid="{9174EA5B-97BA-4239-8036-CF5F0D63BEAD}"/>
    <hyperlink ref="I462" r:id="rId964" xr:uid="{0FD65150-5225-4841-8397-4E5B43CCF6F1}"/>
    <hyperlink ref="J462" r:id="rId965" display="3" xr:uid="{52E3DE46-EA26-4858-981E-26E775207E0C}"/>
    <hyperlink ref="K462" r:id="rId966" display="01/08/2022" xr:uid="{7391C581-5CDF-413D-B109-1AEBCA981E83}"/>
    <hyperlink ref="L462" r:id="rId967" xr:uid="{22851C13-C69D-4BC3-8E97-E5DF11950740}"/>
    <hyperlink ref="I464" r:id="rId968" xr:uid="{CB0E9634-637A-4683-929C-BDC1CEFCA11F}"/>
    <hyperlink ref="J464" r:id="rId969" display="4" xr:uid="{6B71B682-B2ED-499D-B0A9-678EFC8C71E5}"/>
    <hyperlink ref="K464" r:id="rId970" display="01/08/2022" xr:uid="{06AA422B-66F4-4D83-AF9B-2DF14F7061B4}"/>
    <hyperlink ref="L464" r:id="rId971" xr:uid="{5ED5E6E4-68F3-4EBF-B0B2-AE5F44BBB951}"/>
    <hyperlink ref="I466" r:id="rId972" xr:uid="{AAE7205F-EC31-4704-A693-B815D0D09030}"/>
    <hyperlink ref="J466" r:id="rId973" display="20" xr:uid="{95B288CF-73E2-46CD-80F7-8BFFFFEE7C83}"/>
    <hyperlink ref="K466" r:id="rId974" display="28/07/2022" xr:uid="{806E882B-DCC1-441E-946D-56703A075AB1}"/>
    <hyperlink ref="L466" r:id="rId975" xr:uid="{0CFB9048-4F3E-4D8F-B7C4-827C99E41029}"/>
    <hyperlink ref="I468" r:id="rId976" xr:uid="{04DB9216-6E11-415C-BFCF-EB511950BE8B}"/>
    <hyperlink ref="J468" r:id="rId977" display="20" xr:uid="{AFCD92D5-4EFC-40CA-B915-4FA413C22AF6}"/>
    <hyperlink ref="K468" r:id="rId978" display="28/07/2022" xr:uid="{C1A04D93-BE33-490B-8E68-AC5A905CF5CC}"/>
    <hyperlink ref="L468" r:id="rId979" xr:uid="{8513C222-3868-4D52-9F8F-37336271A46B}"/>
    <hyperlink ref="I470" r:id="rId980" xr:uid="{4013630B-D273-4EB0-9226-3BD77C043951}"/>
    <hyperlink ref="J470" r:id="rId981" display="44" xr:uid="{69205091-5965-4057-866C-EFB18DF63887}"/>
    <hyperlink ref="K470" r:id="rId982" display="09/07/2022" xr:uid="{C3C9ECC5-06C7-4081-B938-AE701BE3A271}"/>
    <hyperlink ref="L470" r:id="rId983" xr:uid="{8A0D4AA5-0DD0-4BE7-8519-105A26FD6D57}"/>
    <hyperlink ref="I472" r:id="rId984" xr:uid="{6730F1CB-77F5-45A9-A868-B4AED6A6829D}"/>
    <hyperlink ref="J472" r:id="rId985" display="579" xr:uid="{63620B3D-545D-4AC9-9EEC-C1257AE14E0F}"/>
    <hyperlink ref="K472" r:id="rId986" display="08/07/2022" xr:uid="{614DEEE8-5F11-4133-829F-36AC4475BECD}"/>
    <hyperlink ref="I474" r:id="rId987" xr:uid="{72D3C49E-E165-43A3-B8B3-8024C6578F77}"/>
    <hyperlink ref="J474" r:id="rId988" display="24" xr:uid="{805B4A35-B32F-4BC9-8DE5-888D3E7BCDEF}"/>
    <hyperlink ref="K474" r:id="rId989" display="08/07/2022" xr:uid="{F1EE1949-6F71-47C0-80F6-4350D632EE5E}"/>
    <hyperlink ref="L474" r:id="rId990" xr:uid="{231A4B65-2D8D-46FC-BDB4-DC1B3EAD2082}"/>
    <hyperlink ref="I476" r:id="rId991" xr:uid="{9B35D7E3-3345-4454-A70A-E23C430BDE66}"/>
    <hyperlink ref="J476" r:id="rId992" display="436" xr:uid="{41BC7645-2D03-4021-A091-3E954D617D41}"/>
    <hyperlink ref="K476" r:id="rId993" display="07/07/2022" xr:uid="{B48D9DC4-EB28-48CD-9E2A-9C10281904B6}"/>
    <hyperlink ref="L476" r:id="rId994" xr:uid="{A2F074D6-2F00-4B45-BD8B-64F93FC90E55}"/>
    <hyperlink ref="I478" r:id="rId995" xr:uid="{736D2C07-E6A0-4F94-8A36-79CACBDAD141}"/>
    <hyperlink ref="J478" r:id="rId996" display="2" xr:uid="{248572A6-9011-4E04-8D5A-44DC4B382A94}"/>
    <hyperlink ref="K478" r:id="rId997" display="01/07/2022" xr:uid="{9D6C3399-DE4B-43E3-BB79-17B783B50108}"/>
    <hyperlink ref="L478" r:id="rId998" xr:uid="{4689A50B-E598-4191-9A55-B4DE32E35A5D}"/>
    <hyperlink ref="I480" r:id="rId999" xr:uid="{70B34660-16D2-4161-8C09-9ECF7D7C93F1}"/>
    <hyperlink ref="J480" r:id="rId1000" display="936" xr:uid="{0CB1B9AF-506C-4B20-9F5D-3A4237387444}"/>
    <hyperlink ref="K480" r:id="rId1001" display="10/06/2022" xr:uid="{03DFF14D-7FAF-4F28-A4E3-AB8A4EF42652}"/>
    <hyperlink ref="I482" r:id="rId1002" xr:uid="{4B207BB8-86E6-42A6-87B9-6732552FBF79}"/>
    <hyperlink ref="J482" r:id="rId1003" display="104" xr:uid="{D5365900-5902-4AD0-A80F-976E1B6446A6}"/>
    <hyperlink ref="K482" r:id="rId1004" display="10/06/2022" xr:uid="{16F5636C-D2C0-4382-A6DE-BA85C38986F3}"/>
    <hyperlink ref="L482" r:id="rId1005" xr:uid="{4F6670BF-9D85-4697-9B79-BB91F307B2B9}"/>
    <hyperlink ref="I484" r:id="rId1006" xr:uid="{01C9D279-4406-4F6A-8E75-98AEEEE4DC83}"/>
    <hyperlink ref="J484" r:id="rId1007" display="51" xr:uid="{B0ADD522-6035-49AB-97E0-749085553C22}"/>
    <hyperlink ref="K484" r:id="rId1008" display="10/06/2022" xr:uid="{5674A764-CC44-4F97-B907-3606C685180D}"/>
    <hyperlink ref="L484" r:id="rId1009" xr:uid="{BC683320-9E8C-4137-B055-FD069B1712D3}"/>
    <hyperlink ref="I486" r:id="rId1010" xr:uid="{1A55BAAB-AD57-448C-8C2D-15F7E9EF11CE}"/>
    <hyperlink ref="J486" r:id="rId1011" display="3" xr:uid="{6AD5187A-6864-439D-AE23-89B50C622089}"/>
    <hyperlink ref="K486" r:id="rId1012" display="10/06/2022" xr:uid="{661B2B9B-72FF-47D3-8CC8-D410DA90FCEC}"/>
    <hyperlink ref="L486" r:id="rId1013" xr:uid="{95281858-D829-47E5-B457-189E127FB7A7}"/>
    <hyperlink ref="I488" r:id="rId1014" xr:uid="{42D4BD63-222E-4DBF-9789-4C331DBC6129}"/>
    <hyperlink ref="J488" r:id="rId1015" display="1" xr:uid="{90DC2DA1-2FE9-4A56-9C69-19B7ED041749}"/>
    <hyperlink ref="K488" r:id="rId1016" display="10/06/2022" xr:uid="{427E4CAD-7D98-4B80-AA02-C8F7D0A82A6A}"/>
    <hyperlink ref="L488" r:id="rId1017" xr:uid="{BA89FB6B-78E0-451B-A1F7-E551F91CD156}"/>
    <hyperlink ref="I490" r:id="rId1018" xr:uid="{A0B7D7CB-626E-41A4-ACDF-090A93CDA68E}"/>
    <hyperlink ref="J490" r:id="rId1019" display="81" xr:uid="{EF056C0C-9376-4D40-B397-7C4E081372AC}"/>
    <hyperlink ref="K490" r:id="rId1020" display="10/06/2022" xr:uid="{F4F10FA1-0133-4981-AA3B-366E1047A471}"/>
    <hyperlink ref="L490" r:id="rId1021" xr:uid="{95845C79-73C6-4EBB-A2D7-3111FA8295F8}"/>
    <hyperlink ref="I492" r:id="rId1022" xr:uid="{2AEECC0D-0A9A-4090-9B70-3D2D2ADFA9D2}"/>
    <hyperlink ref="J492" r:id="rId1023" display="513" xr:uid="{D800D5A0-8988-4538-BBA0-1B64EBD90A66}"/>
    <hyperlink ref="K492" r:id="rId1024" display="29/04/2022" xr:uid="{2B4E7A3E-1C65-4FE0-ADF7-D6DE160FD258}"/>
    <hyperlink ref="I494" r:id="rId1025" xr:uid="{EFE56BEC-3451-4C56-A385-81FC9919E3D5}"/>
    <hyperlink ref="J494" r:id="rId1026" display="161" xr:uid="{2387AD9B-06BA-4ABE-9AAF-178AEB86EA62}"/>
    <hyperlink ref="K494" r:id="rId1027" display="29/04/2022" xr:uid="{5B5382B6-B71A-4C7B-A562-952A9D094517}"/>
    <hyperlink ref="L494" r:id="rId1028" xr:uid="{0B7BFDC7-AD48-47E1-8833-E5865922B899}"/>
    <hyperlink ref="I496" r:id="rId1029" xr:uid="{9923094F-F9A3-4AD5-B857-46C46712289D}"/>
    <hyperlink ref="J496" r:id="rId1030" display="6" xr:uid="{28F95F86-98C5-4257-8EA9-33FE17EB58A8}"/>
    <hyperlink ref="K496" r:id="rId1031" display="30/04/2022" xr:uid="{51D4D1BB-E79D-41F5-8B15-BD2549725376}"/>
    <hyperlink ref="L496" r:id="rId1032" xr:uid="{3A3A6109-426E-47B4-9FE4-27748E67E0A1}"/>
    <hyperlink ref="I498" r:id="rId1033" xr:uid="{DE02EC0F-44FD-4EA4-ADB7-EEBDC03C4585}"/>
    <hyperlink ref="J498" r:id="rId1034" display="19" xr:uid="{D20FE469-7DEF-4797-85F9-5B4B56ECCF6B}"/>
    <hyperlink ref="K498" r:id="rId1035" display="29/04/2022" xr:uid="{A07D8A7B-7E72-4BC2-A1BF-917217C6DC0B}"/>
    <hyperlink ref="L498" r:id="rId1036" xr:uid="{C66CDA82-6C59-479F-844C-9092BF531057}"/>
    <hyperlink ref="I500" r:id="rId1037" xr:uid="{93D1A3B0-AEF0-41B1-85E4-3AFED0D1B528}"/>
    <hyperlink ref="J500" r:id="rId1038" display="30" xr:uid="{023ECBF3-E626-441C-A696-237D8B04DA30}"/>
    <hyperlink ref="K500" r:id="rId1039" display="02/06/2022" xr:uid="{7E9A7313-F2CA-4FC8-B03E-467D6B95EEF4}"/>
    <hyperlink ref="L500" r:id="rId1040" xr:uid="{D321CD3B-C3C0-4C2B-842F-A2207F2700F1}"/>
    <hyperlink ref="I502" r:id="rId1041" xr:uid="{1F5AA431-9FD5-470A-99F0-16400B5CA958}"/>
    <hyperlink ref="J502" r:id="rId1042" display="447" xr:uid="{AA0A58B3-A73D-4DB9-B97E-C76434B84B0E}"/>
    <hyperlink ref="K502" r:id="rId1043" display="29/04/2022" xr:uid="{0419346A-51A4-4220-A835-4D0110A520C9}"/>
    <hyperlink ref="I504" r:id="rId1044" xr:uid="{2CEA7F01-9823-4B98-BD66-54BE8636CB40}"/>
    <hyperlink ref="J504" r:id="rId1045" display="75" xr:uid="{9B6F2E02-47F6-4D14-9857-ABDEF353CCAA}"/>
    <hyperlink ref="K504" r:id="rId1046" display="29/04/2022" xr:uid="{E35692D5-088D-477B-957F-FE6DCBF56E01}"/>
    <hyperlink ref="L504" r:id="rId1047" xr:uid="{810E3A50-6C14-4592-BAA0-623CA4CEB881}"/>
    <hyperlink ref="I506" r:id="rId1048" xr:uid="{4CCED7AB-296F-4ED7-8E4E-9574F046E897}"/>
    <hyperlink ref="J506" r:id="rId1049" display="36" xr:uid="{7DC3A54E-6973-49BA-8C89-95B2CDC10571}"/>
    <hyperlink ref="K506" r:id="rId1050" display="29/04/2022" xr:uid="{E44A51E4-1685-426E-9985-F2BC8538A9D0}"/>
    <hyperlink ref="L506" r:id="rId1051" xr:uid="{3E3199FA-6317-416B-98EF-F90727F86A8B}"/>
    <hyperlink ref="I508" r:id="rId1052" xr:uid="{7E70E71A-CDAE-4F1B-8D49-7FC58B241F51}"/>
    <hyperlink ref="J508" r:id="rId1053" display="3" xr:uid="{9C674050-E242-4411-A631-609A0DEB6464}"/>
    <hyperlink ref="K508" r:id="rId1054" display="29/04/2022" xr:uid="{B14293A4-B88F-4AC4-803D-1474972F0D53}"/>
    <hyperlink ref="L508" r:id="rId1055" xr:uid="{1F23CF8A-E5F2-4D35-A1F2-A396C0EF9734}"/>
    <hyperlink ref="I510" r:id="rId1056" xr:uid="{4CCB8193-AE2B-408B-AE20-DEF14EF93A32}"/>
    <hyperlink ref="J510" r:id="rId1057" display="81" xr:uid="{A2F85997-48B2-4E63-B152-B8F062C36F98}"/>
    <hyperlink ref="K510" r:id="rId1058" display="29/04/2022" xr:uid="{0174447D-DA38-4C80-AEF3-AF1442BFBC75}"/>
    <hyperlink ref="L510" r:id="rId1059" xr:uid="{6C0D1F75-4C46-4F08-BE34-E702E7026F1C}"/>
    <hyperlink ref="I512" r:id="rId1060" xr:uid="{5E3D4847-FB60-4DEB-99E9-798D0B1AC22E}"/>
    <hyperlink ref="J512" r:id="rId1061" display="9" xr:uid="{2E3AA726-F06B-4361-AD77-43EF3FC29A64}"/>
    <hyperlink ref="K512" r:id="rId1062" display="08/04/2022" xr:uid="{363C54CF-9352-4123-8F69-5A6AB96C89AB}"/>
    <hyperlink ref="L512" r:id="rId1063" xr:uid="{F594190A-D7F4-4298-84F2-947494B493B5}"/>
    <hyperlink ref="I514" r:id="rId1064" xr:uid="{3911CCF7-A416-4BE4-AD24-5BC2377F7F00}"/>
    <hyperlink ref="J514" r:id="rId1065" display="1" xr:uid="{3961816B-7EBC-4B12-9B9F-995209474701}"/>
    <hyperlink ref="K514" r:id="rId1066" display="01/04/2022" xr:uid="{2E4BB5A0-1B49-459F-8E72-CF51EA538F68}"/>
    <hyperlink ref="L514" r:id="rId1067" xr:uid="{0973D21E-F124-4EF0-98BA-EEE09E765B00}"/>
    <hyperlink ref="I516" r:id="rId1068" xr:uid="{EA11EF51-C23A-4774-B146-9ED7AFF4EF9E}"/>
    <hyperlink ref="J516" r:id="rId1069" display="6" xr:uid="{79121789-2E02-404D-82F2-2F8F97CB13F7}"/>
    <hyperlink ref="K516" r:id="rId1070" display="05/03/2022" xr:uid="{B2A9E251-0524-4B80-9476-F51A4C3DFEF4}"/>
    <hyperlink ref="L516" r:id="rId1071" xr:uid="{1BFD1E0A-8B88-438E-B632-DD4A2CB3623D}"/>
    <hyperlink ref="I518" r:id="rId1072" xr:uid="{ABBB8CD6-1C71-4CED-9D30-AF2862C5E437}"/>
    <hyperlink ref="J518" r:id="rId1073" display="5" xr:uid="{FF899B20-A62C-494C-BC4D-54656FA22966}"/>
    <hyperlink ref="K518" r:id="rId1074" display="25/02/2022" xr:uid="{0C52D5AA-C77C-41E6-84B1-6E0AC7D4B2B1}"/>
    <hyperlink ref="I520" r:id="rId1075" xr:uid="{04AA870C-F09A-4E2E-AFB8-30F2EA602184}"/>
    <hyperlink ref="J520" r:id="rId1076" display="531" xr:uid="{A5228612-19B9-4978-836D-7AA00D3ACA5E}"/>
    <hyperlink ref="K520" r:id="rId1077" display="18/02/2022" xr:uid="{72B0EA50-CFD9-439F-9714-0B20CBDF63DC}"/>
    <hyperlink ref="I522" r:id="rId1078" xr:uid="{764E1DE5-1A89-4137-82DF-C8FC146C18D0}"/>
    <hyperlink ref="J522" r:id="rId1079" display="148" xr:uid="{65ADF8AF-8872-4C53-9A85-5D580C22C782}"/>
    <hyperlink ref="K522" r:id="rId1080" display="18/02/2022" xr:uid="{5AD4379D-F0E9-40D8-BD9D-C794454C7CE9}"/>
    <hyperlink ref="L522" r:id="rId1081" xr:uid="{6D642298-2AA4-476C-BFDB-FD793AF54261}"/>
    <hyperlink ref="I524" r:id="rId1082" xr:uid="{03A498E2-AA27-4E38-BBE9-7185FF00C008}"/>
    <hyperlink ref="J524" r:id="rId1083" display="19" xr:uid="{0C9D8E37-E68C-4158-8DB6-5187E58A8EA2}"/>
    <hyperlink ref="K524" r:id="rId1084" display="18/02/2022" xr:uid="{9035BEB5-0805-4344-B4CD-3908E0854AA2}"/>
    <hyperlink ref="L524" r:id="rId1085" xr:uid="{B58B2C39-2045-402C-8D62-F9E264752F2E}"/>
    <hyperlink ref="I526" r:id="rId1086" xr:uid="{C3D27B41-46DC-4005-9A06-8BADCC0CBCCE}"/>
    <hyperlink ref="J526" r:id="rId1087" display="30" xr:uid="{FA5DD2C8-3913-465C-A363-86E9E4130CBA}"/>
    <hyperlink ref="K526" r:id="rId1088" display="17/03/2022" xr:uid="{A96BE82E-07E8-4E0F-A67F-8ED0A1F4649F}"/>
    <hyperlink ref="L526" r:id="rId1089" xr:uid="{F660AA20-48B4-42F0-9580-A5259C306976}"/>
    <hyperlink ref="I528" r:id="rId1090" xr:uid="{EC1AFD39-75F4-4296-A6EB-EBC00ABEE2FA}"/>
    <hyperlink ref="J528" r:id="rId1091" display="3" xr:uid="{F6A336C6-59C8-4203-8004-D80CE5823691}"/>
    <hyperlink ref="K528" r:id="rId1092" display="18/02/2022" xr:uid="{0AB4A4D7-B957-4DB2-A483-066C9734D0CF}"/>
    <hyperlink ref="L528" r:id="rId1093" xr:uid="{66FEBDC2-25A0-42EE-B724-A220325631A7}"/>
    <hyperlink ref="I530" r:id="rId1094" xr:uid="{B5A4274F-0D2F-40F5-9533-744667AEA988}"/>
    <hyperlink ref="J530" r:id="rId1095" display="9" xr:uid="{268BC608-1BF0-4852-B051-4C005ACD0721}"/>
    <hyperlink ref="K530" r:id="rId1096" display="18/02/2022" xr:uid="{FC8E0794-285B-42C9-8AB9-99D59E87BC8B}"/>
    <hyperlink ref="L530" r:id="rId1097" xr:uid="{40538311-C96A-4B21-AE04-ACE53AF06C83}"/>
    <hyperlink ref="I532" r:id="rId1098" xr:uid="{107ED12C-18D8-4455-81EF-5798D646BD5E}"/>
    <hyperlink ref="J532" r:id="rId1099" display="179" xr:uid="{38A44541-061D-433A-8458-4E12E134BEC1}"/>
    <hyperlink ref="K532" r:id="rId1100" display="18/02/2022" xr:uid="{0E63535D-BF26-4378-AFD9-2C8CBAAE60AA}"/>
    <hyperlink ref="I534" r:id="rId1101" xr:uid="{7F995A2D-1E4E-4A06-84DB-AE7D4B25ACA4}"/>
    <hyperlink ref="J534" r:id="rId1102" display="12" xr:uid="{ADE1F528-4857-4BA6-B5BF-D10B9C5072E6}"/>
    <hyperlink ref="K534" r:id="rId1103" display="18/02/2022" xr:uid="{CFFA5D27-241B-4223-ABE4-9EC82FB515B3}"/>
    <hyperlink ref="L534" r:id="rId1104" xr:uid="{BC42AC65-B0CF-44A0-A847-B534EA5A42E6}"/>
    <hyperlink ref="I536" r:id="rId1105" xr:uid="{51E38FBE-25F8-4CBF-BD1D-191F87CEF415}"/>
    <hyperlink ref="J536" r:id="rId1106" display="81" xr:uid="{CECD6BAD-D079-4592-BD6E-6336E704C75E}"/>
    <hyperlink ref="K536" r:id="rId1107" display="18/02/2022" xr:uid="{DB072E5E-0B64-4285-BD40-4916B3CA6F8B}"/>
    <hyperlink ref="L536" r:id="rId1108" xr:uid="{ECF21AFF-40DC-41CF-904C-7E436D0AD7DB}"/>
    <hyperlink ref="I538" r:id="rId1109" xr:uid="{C60D20EA-86C3-4D6F-A1C9-19B47A65A5D4}"/>
    <hyperlink ref="J538" r:id="rId1110" display="9" xr:uid="{B004039E-C00A-48A5-BE03-04FDE0290B22}"/>
    <hyperlink ref="K538" r:id="rId1111" display="28/01/2022" xr:uid="{817FAD95-B5BC-4E50-B2AC-B4D0585D707F}"/>
    <hyperlink ref="L538" r:id="rId1112" xr:uid="{977A528C-8740-4081-90E0-CA2ACD5AE9FD}"/>
    <hyperlink ref="I540" r:id="rId1113" xr:uid="{D69DE896-0A20-4623-ADF4-85ACA7821D68}"/>
    <hyperlink ref="J540" r:id="rId1114" display="535" xr:uid="{8ACB0BC2-41AE-4438-92C9-CFA74A8880E9}"/>
    <hyperlink ref="K540" r:id="rId1115" display="28/01/2022" xr:uid="{8269840C-B8F4-4B16-80EC-BECB708F4C11}"/>
    <hyperlink ref="L540" r:id="rId1116" xr:uid="{C55F7B61-2FC8-40B5-B61D-3A2A6C0DA611}"/>
    <hyperlink ref="I542" r:id="rId1117" xr:uid="{E46CBEB9-215A-4B63-AA10-E0A698F8F4C2}"/>
    <hyperlink ref="J542" r:id="rId1118" display="10" xr:uid="{29BAF092-82B2-484B-8A69-093D9EF970CD}"/>
    <hyperlink ref="K542" r:id="rId1119" display="01/01/2022" xr:uid="{42A55560-80A7-4A7C-8C18-EE0B92EDA9CA}"/>
    <hyperlink ref="L542" r:id="rId1120" xr:uid="{1B4F54BC-7882-4802-87C7-E6C7AAD6CA3D}"/>
    <hyperlink ref="I544" r:id="rId1121" xr:uid="{D7BC1B93-07FF-44BA-A50A-07FC1ECE999D}"/>
    <hyperlink ref="J544" r:id="rId1122" display="63" xr:uid="{67CF9179-8415-40AA-B6EC-D629CC8452A1}"/>
    <hyperlink ref="K544" r:id="rId1123" display="09/12/2021" xr:uid="{A08D2B3A-84E2-4D34-9403-651EE36D2D02}"/>
    <hyperlink ref="L544" r:id="rId1124" xr:uid="{20A7B016-729C-4DA8-8E4D-97D744111431}"/>
    <hyperlink ref="I546" r:id="rId1125" xr:uid="{A148FB65-2397-4C5C-B1D0-E6297C4AD5FE}"/>
    <hyperlink ref="J546" r:id="rId1126" display="423" xr:uid="{F9B90D04-9134-46BC-8C52-481EFE3A41D5}"/>
    <hyperlink ref="K546" r:id="rId1127" display="19/11/2021" xr:uid="{19404B38-6CAE-4A3F-A6A1-385C15F0317B}"/>
    <hyperlink ref="I548" r:id="rId1128" xr:uid="{663AB7F6-DEE0-41E8-A77A-109A92067616}"/>
    <hyperlink ref="J548" r:id="rId1129" display="121" xr:uid="{72D40909-D0D8-434D-BA50-9A30F15BB861}"/>
    <hyperlink ref="K548" r:id="rId1130" display="19/11/2021" xr:uid="{81620C8C-31DF-4288-A7E7-D0BB38752C12}"/>
    <hyperlink ref="L548" r:id="rId1131" xr:uid="{F4753FF8-BBB0-4037-8BDF-7A723D4BB080}"/>
    <hyperlink ref="I550" r:id="rId1132" xr:uid="{74F8D1B2-4E2C-4218-B20D-5BC574219897}"/>
    <hyperlink ref="J550" r:id="rId1133" display="21" xr:uid="{FF07F6D5-6FB0-472A-A074-7FF562F7E4E0}"/>
    <hyperlink ref="K550" r:id="rId1134" display="19/11/2021" xr:uid="{9A7DAA59-0515-4C07-91AF-5E0396A72C88}"/>
    <hyperlink ref="L550" r:id="rId1135" xr:uid="{A0E7726C-B945-40C7-9B6F-FC3038FE4723}"/>
    <hyperlink ref="I552" r:id="rId1136" xr:uid="{9F4DFED4-CD66-427D-9DE0-F30A9C1DD10A}"/>
    <hyperlink ref="J552" r:id="rId1137" display="3" xr:uid="{25129D12-BA76-4DBE-80CD-4FBE26638595}"/>
    <hyperlink ref="K552" r:id="rId1138" display="19/11/2021" xr:uid="{27ECE9E4-FCF2-46E1-835A-F806F2F60FBE}"/>
    <hyperlink ref="L552" r:id="rId1139" xr:uid="{4630A9F6-0B02-4989-9F60-C999EB945873}"/>
    <hyperlink ref="I554" r:id="rId1140" xr:uid="{F4EA02DB-8E6F-4A46-B17E-C60B106D5C14}"/>
    <hyperlink ref="J554" r:id="rId1141" display="9" xr:uid="{6D7B24B3-3E4C-4619-8BEF-51A5383F8411}"/>
    <hyperlink ref="K554" r:id="rId1142" display="19/11/2021" xr:uid="{00AC1A4C-67E4-4E9E-92EA-47DF781565CD}"/>
    <hyperlink ref="L554" r:id="rId1143" xr:uid="{BEB1A723-E742-4466-9C52-BD8A561A0129}"/>
    <hyperlink ref="I556" r:id="rId1144" xr:uid="{9C61A7D6-7323-4385-949E-BB4D04D8A590}"/>
    <hyperlink ref="J556" r:id="rId1145" display="81" xr:uid="{EE2BA630-81E9-4C0A-84BC-01E6E4AC0B2D}"/>
    <hyperlink ref="K556" r:id="rId1146" display="19/11/2021" xr:uid="{5051CF59-E9EC-4473-A07F-5A4B02520E10}"/>
    <hyperlink ref="L556" r:id="rId1147" xr:uid="{ECA93825-1C8B-4A64-AE04-8D1B154F61D7}"/>
    <hyperlink ref="I558" r:id="rId1148" xr:uid="{AA3E29EF-3371-48A5-96DF-D5CB915F6688}"/>
    <hyperlink ref="J558" r:id="rId1149" display="188" xr:uid="{46708FD8-B786-4C2F-9978-05D40FAF2FBA}"/>
    <hyperlink ref="K558" r:id="rId1150" display="19/11/2021" xr:uid="{3C080482-93E5-4CDD-8285-E2EC0D4252D1}"/>
    <hyperlink ref="I560" r:id="rId1151" xr:uid="{928E45D3-C967-4CDA-9D72-94FDE1CAB28E}"/>
    <hyperlink ref="J560" r:id="rId1152" display="6" xr:uid="{F9C53705-FC3F-4E7B-B10E-56CC518291CD}"/>
    <hyperlink ref="K560" r:id="rId1153" display="19/11/2021" xr:uid="{276498DC-45FC-4AD5-A461-FF761F4A8481}"/>
    <hyperlink ref="L560" r:id="rId1154" xr:uid="{2DD1FD28-BE90-4125-844B-BC018E32BE74}"/>
    <hyperlink ref="I562" r:id="rId1155" xr:uid="{F30C8851-B1A9-40FD-B8A2-600D64D4F4E5}"/>
    <hyperlink ref="J562" r:id="rId1156" display="2" xr:uid="{3A5956A8-7C6F-43FA-AE73-D238E1663B5B}"/>
    <hyperlink ref="K562" r:id="rId1157" display="19/11/2021" xr:uid="{5CA50C1E-EE7B-47DE-A3D4-59287D5B7957}"/>
    <hyperlink ref="L562" r:id="rId1158" xr:uid="{EE17DDA9-B659-4C82-8928-1EC04F8A5483}"/>
    <hyperlink ref="I564" r:id="rId1159" xr:uid="{AE948E4F-DE39-4019-A805-E8F56909D239}"/>
    <hyperlink ref="J564" r:id="rId1160" display="10" xr:uid="{F688AF8C-FA2E-4C74-B14D-87DBFDEDA6A6}"/>
    <hyperlink ref="K564" r:id="rId1161" display="15/10/2021" xr:uid="{8E87A662-2C7A-42B4-AE8A-FA059ACC3F38}"/>
    <hyperlink ref="L564" r:id="rId1162" xr:uid="{A80BEF4B-62BD-412E-B330-E7A3038E3A56}"/>
    <hyperlink ref="I566" r:id="rId1163" xr:uid="{0CEA187C-8675-473D-9CE9-609BEA25D43D}"/>
    <hyperlink ref="J566" r:id="rId1164" display="399" xr:uid="{D2B330AE-D31B-469E-BE8E-4691EEA2B17F}"/>
    <hyperlink ref="K566" r:id="rId1165" display="24/09/2021" xr:uid="{C54D0982-A5DC-4940-B176-CEA5A119904F}"/>
    <hyperlink ref="I568" r:id="rId1166" xr:uid="{5B8AFFC5-C4F1-4E7F-B955-BBE942658B93}"/>
    <hyperlink ref="J568" r:id="rId1167" display="155" xr:uid="{6A50C31C-1418-4C19-93A9-393D65FB4DEC}"/>
    <hyperlink ref="K568" r:id="rId1168" display="24/09/2021" xr:uid="{5B478804-9577-46C7-B2C7-FD5E954C1E1F}"/>
    <hyperlink ref="L568" r:id="rId1169" xr:uid="{FCC377E3-8248-48B2-89B4-6ACEC9F7EF1D}"/>
    <hyperlink ref="I570" r:id="rId1170" xr:uid="{68B64573-14D8-421F-B4C9-51D2C5525222}"/>
    <hyperlink ref="J570" r:id="rId1171" display="19" xr:uid="{9E5B1A9E-5D87-495A-AD27-8806EB6CBA55}"/>
    <hyperlink ref="K570" r:id="rId1172" display="24/09/2021" xr:uid="{9FFF88CB-BB9D-4B71-8114-98E4F82AF309}"/>
    <hyperlink ref="L570" r:id="rId1173" xr:uid="{041B8320-2B24-4A4A-BC36-37E2994E0F26}"/>
    <hyperlink ref="I572" r:id="rId1174" xr:uid="{BFCB6103-9BD2-4453-8C6E-17E6549A2374}"/>
    <hyperlink ref="J572" r:id="rId1175" display="9" xr:uid="{F12358D0-786B-4392-BE87-15B0F803967B}"/>
    <hyperlink ref="K572" r:id="rId1176" display="24/09/2021" xr:uid="{E867C02E-0C1C-43FA-9BA7-C25E8959624F}"/>
    <hyperlink ref="L572" r:id="rId1177" xr:uid="{7C581DD2-020F-42DA-BA58-4E9E55412059}"/>
    <hyperlink ref="I574" r:id="rId1178" xr:uid="{B60882F9-7262-4964-B90B-EEEA8842A9CD}"/>
    <hyperlink ref="J574" r:id="rId1179" display="187" xr:uid="{0E603D94-5189-4372-B048-70271DEBC98D}"/>
    <hyperlink ref="K574" r:id="rId1180" display="24/09/2021" xr:uid="{0326F9D9-AD0C-4A69-BD54-3F43694D1356}"/>
    <hyperlink ref="I576" r:id="rId1181" xr:uid="{84E2A1FC-4423-4161-9082-D30274454A85}"/>
    <hyperlink ref="J576" r:id="rId1182" display="11" xr:uid="{A89D2F03-6605-4BC0-A3A7-625919FD675B}"/>
    <hyperlink ref="K576" r:id="rId1183" display="24/09/2021" xr:uid="{0BEE6A7A-BEC5-4AB1-94EE-10142C4708B2}"/>
    <hyperlink ref="L576" r:id="rId1184" xr:uid="{0973F5D2-2336-4FDF-B339-1E6470CCF47F}"/>
    <hyperlink ref="I578" r:id="rId1185" xr:uid="{44407F68-A9B4-4D76-9D6F-19619D14424C}"/>
    <hyperlink ref="J578" r:id="rId1186" display="2" xr:uid="{653A79A9-A802-4D01-9B93-D166041AD6AA}"/>
    <hyperlink ref="K578" r:id="rId1187" display="24/09/2021" xr:uid="{657F8700-704E-4388-978E-943210D62120}"/>
    <hyperlink ref="L578" r:id="rId1188" xr:uid="{4DCCE958-206B-4B6D-8FAA-50002C8A8432}"/>
    <hyperlink ref="I580" r:id="rId1189" xr:uid="{06ADFDD2-7319-4DDC-9E55-B1F6F69AC1FB}"/>
    <hyperlink ref="J580" r:id="rId1190" display="81" xr:uid="{CE9B9D50-FCA3-4FE2-A73B-4944B1D1066B}"/>
    <hyperlink ref="K580" r:id="rId1191" display="24/09/2021" xr:uid="{2CAAAAD5-FA86-4670-B397-D01DFFF721D4}"/>
    <hyperlink ref="L580" r:id="rId1192" xr:uid="{33EC627B-71BD-4BF6-8332-A86488ABABCE}"/>
    <hyperlink ref="I582" r:id="rId1193" xr:uid="{84F18466-7ED4-442A-8679-33003212BA04}"/>
    <hyperlink ref="J582" r:id="rId1194" display="3" xr:uid="{A85F6D1B-C063-48DE-B4E6-E8B9C2FBA92F}"/>
    <hyperlink ref="K582" r:id="rId1195" display="24/09/2021" xr:uid="{991E1A43-1BD6-4204-9DE8-105E4C2B30B4}"/>
    <hyperlink ref="L582" r:id="rId1196" xr:uid="{753345B6-A8DA-4D73-B0D7-3E5430F215ED}"/>
    <hyperlink ref="I584" r:id="rId1197" xr:uid="{AEB3AF06-FFAE-43B7-9929-93A685FD1E86}"/>
    <hyperlink ref="J584" r:id="rId1198" display="389" xr:uid="{2113FEA1-06A4-47EE-BCE7-58F5296D297E}"/>
    <hyperlink ref="K584" r:id="rId1199" display="26/08/2021" xr:uid="{5560F8EB-CDE3-4D51-A7AE-9164DBB807C5}"/>
    <hyperlink ref="L584" r:id="rId1200" xr:uid="{B237F5C8-AE9D-4F3E-B55A-8569280BC2DF}"/>
    <hyperlink ref="I586" r:id="rId1201" xr:uid="{4ACFEA36-989D-42F1-A48C-CBD8C6CBD419}"/>
    <hyperlink ref="J586" r:id="rId1202" display="121" xr:uid="{C489518F-1AB1-4BC3-933B-A2837CA32F27}"/>
    <hyperlink ref="K586" r:id="rId1203" display="20/08/2021" xr:uid="{21FA05F7-9515-43E1-A20E-60F2DE7E71B6}"/>
    <hyperlink ref="L586" r:id="rId1204" xr:uid="{D75E2761-6C3C-47A1-A665-58ECEBBBE1C1}"/>
    <hyperlink ref="I588" r:id="rId1205" xr:uid="{CD14B66E-982A-44C0-BB0B-DA599330E0D4}"/>
    <hyperlink ref="J588" r:id="rId1206" display="3" xr:uid="{70CD18B4-684F-4854-9514-766C1B550DB2}"/>
    <hyperlink ref="K588" r:id="rId1207" display="01/08/2021" xr:uid="{1FBFADBD-9267-436B-9E28-B33995AC5362}"/>
    <hyperlink ref="L588" r:id="rId1208" xr:uid="{41A14C3D-1B48-4855-8D76-104EB12B4D0C}"/>
    <hyperlink ref="I590" r:id="rId1209" xr:uid="{D6B7AE9F-6B15-42FE-8687-3B8950BD747B}"/>
    <hyperlink ref="J590" r:id="rId1210" display="424" xr:uid="{F4D18BA1-A864-409E-B2B3-D35178CC8827}"/>
    <hyperlink ref="K590" r:id="rId1211" display="23/07/2021" xr:uid="{30DB1BD9-3076-40A9-94D4-69A7FF26CAA7}"/>
    <hyperlink ref="I592" r:id="rId1212" xr:uid="{74447CAD-A6B9-476F-BD3F-A421B4FE6B41}"/>
    <hyperlink ref="J592" r:id="rId1213" display="241" xr:uid="{174B148E-B144-42AD-AB15-2879A5714F3A}"/>
    <hyperlink ref="K592" r:id="rId1214" display="23/07/2021" xr:uid="{7AFE7AA0-69DD-47F3-A378-9201C4292445}"/>
    <hyperlink ref="L592" r:id="rId1215" xr:uid="{9288A9B1-EB73-4FB4-B151-AD1927686670}"/>
    <hyperlink ref="I594" r:id="rId1216" xr:uid="{7051C9FB-1457-4888-9175-AA581D54716D}"/>
    <hyperlink ref="J594" r:id="rId1217" display="22" xr:uid="{ED7181CE-0547-4402-A18A-D48D911ACE61}"/>
    <hyperlink ref="K594" r:id="rId1218" display="23/07/2021" xr:uid="{E9D3CD02-715C-4F69-8981-52EEC1E93EED}"/>
    <hyperlink ref="L594" r:id="rId1219" xr:uid="{2B30B185-2BC3-489F-A6EA-B7E6861710AA}"/>
    <hyperlink ref="I596" r:id="rId1220" xr:uid="{AA58CD1F-5C31-4603-9AAB-2EDA998950FC}"/>
    <hyperlink ref="J596" r:id="rId1221" display="3" xr:uid="{EF5CD740-ACF1-44D0-9F21-37DDCCDCECA2}"/>
    <hyperlink ref="K596" r:id="rId1222" display="23/07/2021" xr:uid="{E8FF8D44-22EF-4C7E-B18B-DE0160A1D477}"/>
    <hyperlink ref="L596" r:id="rId1223" xr:uid="{A1639A62-9F20-4A17-B33A-9DECEFFF13C8}"/>
    <hyperlink ref="I598" r:id="rId1224" xr:uid="{23FDEB8F-86EC-4ABD-8025-94FDF315021C}"/>
    <hyperlink ref="J598" r:id="rId1225" display="81" xr:uid="{71AC8462-ECCA-45E9-9D8C-A495D653B49A}"/>
    <hyperlink ref="K598" r:id="rId1226" display="23/07/2021" xr:uid="{51810A4A-EB7E-4F30-BFED-09895CDE8D1A}"/>
    <hyperlink ref="L598" r:id="rId1227" xr:uid="{29BA2ADB-E2F5-4DFE-A2C3-54559AF31ED9}"/>
    <hyperlink ref="I600" r:id="rId1228" xr:uid="{E36811C7-B39E-462D-86C8-9845A7D262B1}"/>
    <hyperlink ref="J600" r:id="rId1229" display="331" xr:uid="{35DA42A8-A739-4974-831C-8705F113F016}"/>
    <hyperlink ref="K600" r:id="rId1230" display="23/07/2021" xr:uid="{C1A6BB60-C121-4A75-90A9-B86C126CD020}"/>
    <hyperlink ref="I602" r:id="rId1231" xr:uid="{E39A467D-0DDA-41AD-B0A2-DAD5012C6505}"/>
    <hyperlink ref="J602" r:id="rId1232" display="13" xr:uid="{DC21451F-62D9-478C-8FD1-53AEA9E748C0}"/>
    <hyperlink ref="K602" r:id="rId1233" display="23/07/2021" xr:uid="{BE68815E-2A31-4FF0-BACC-7E79256278BB}"/>
    <hyperlink ref="L602" r:id="rId1234" xr:uid="{0C23C29D-BAB9-4EDE-8A28-144B5848C700}"/>
    <hyperlink ref="I604" r:id="rId1235" xr:uid="{9FD85F21-D5B6-432C-91BE-634A90A11207}"/>
    <hyperlink ref="J604" r:id="rId1236" display="4" xr:uid="{AF091395-3B7E-4547-80EA-FCD75568D3CC}"/>
    <hyperlink ref="K604" r:id="rId1237" display="23/07/2021" xr:uid="{26718849-FAC9-4BA7-9EFF-35BE9E2BFD99}"/>
    <hyperlink ref="L604" r:id="rId1238" xr:uid="{5A6868BF-509D-4EC2-BDF9-2C775EF8A506}"/>
    <hyperlink ref="I606" r:id="rId1239" xr:uid="{27FF0A3C-58C1-496A-A9C3-9666161C64FA}"/>
    <hyperlink ref="J606" r:id="rId1240" display="5" xr:uid="{03F3E4CD-D41D-48F3-8A7D-4EF8C6995B5D}"/>
    <hyperlink ref="K606" r:id="rId1241" display="23/07/2021" xr:uid="{2FB970D8-E6AE-43FD-953A-B696183C8861}"/>
    <hyperlink ref="L606" r:id="rId1242" xr:uid="{E2A66F08-4CD9-4FD8-BF69-DF2326ADA8EA}"/>
    <hyperlink ref="I608" r:id="rId1243" xr:uid="{F6B79814-0D1E-4FCE-8F49-2C6A618C0CDC}"/>
    <hyperlink ref="J608" r:id="rId1244" display="540" xr:uid="{9B89F1E9-6D4F-474B-9D81-E08BC1495B27}"/>
    <hyperlink ref="K608" r:id="rId1245" display="25/06/2021" xr:uid="{DA040E53-DE0C-42DC-9299-5464829510B3}"/>
    <hyperlink ref="I610" r:id="rId1246" xr:uid="{29B6E3C7-B8B0-45C8-B3E1-7BF928F75BDE}"/>
    <hyperlink ref="J610" r:id="rId1247" display="11" xr:uid="{6AC24999-9381-4D16-B682-78DC0E5F21A5}"/>
    <hyperlink ref="K610" r:id="rId1248" display="22/06/2021" xr:uid="{41363E8A-824F-479D-9AB7-74D9CBB2F83B}"/>
    <hyperlink ref="I612" r:id="rId1249" xr:uid="{2718F59A-7329-4EB8-A3CC-4FE84513F39A}"/>
    <hyperlink ref="J612" r:id="rId1250" display="6" xr:uid="{477B8DAA-19FA-41D6-A89E-06D395C07AA1}"/>
    <hyperlink ref="K612" r:id="rId1251" display="18/06/2021" xr:uid="{D4EAAC5B-1682-421E-8AF9-EBAF626B523B}"/>
    <hyperlink ref="L612" r:id="rId1252" xr:uid="{01BD0F1E-275B-4683-B402-9AC5A107ADBF}"/>
    <hyperlink ref="I614" r:id="rId1253" xr:uid="{2F814ADD-9644-4A8D-8A26-02971514D17D}"/>
    <hyperlink ref="J614" r:id="rId1254" display="494" xr:uid="{D4CA399D-76BF-4398-A0D5-B762D62798C3}"/>
    <hyperlink ref="K614" r:id="rId1255" display="18/06/2021" xr:uid="{BA3F6827-8A67-4B84-A6DD-9C38F6B5B1ED}"/>
    <hyperlink ref="I616" r:id="rId1256" xr:uid="{4F109A25-69B3-40BA-AF21-88ADF564AF57}"/>
    <hyperlink ref="J616" r:id="rId1257" display="86" xr:uid="{E8F2A847-02AD-4241-921E-DE29E8043C38}"/>
    <hyperlink ref="K616" r:id="rId1258" display="18/06/2021" xr:uid="{106AAF2B-A3CF-4D81-88C1-CCD5F6079F43}"/>
    <hyperlink ref="L616" r:id="rId1259" xr:uid="{BA2E86EA-CCC8-48E9-B522-C17717F5F069}"/>
    <hyperlink ref="I618" r:id="rId1260" xr:uid="{DD570B91-12BA-4CDC-B865-6D3562CACCB4}"/>
    <hyperlink ref="J618" r:id="rId1261" display="21" xr:uid="{05ADE83B-FFA3-4ECC-BD75-574E4DC8F3A0}"/>
    <hyperlink ref="K618" r:id="rId1262" display="18/06/2021" xr:uid="{9B98E07D-37F9-4A38-AE4B-74A327085456}"/>
    <hyperlink ref="L618" r:id="rId1263" xr:uid="{DD51A5ED-AFF0-46C2-B0F4-30FD4E94CCA7}"/>
    <hyperlink ref="I620" r:id="rId1264" xr:uid="{ABD6F7E7-7AF3-4F45-8754-3674AE1CCE80}"/>
    <hyperlink ref="J620" r:id="rId1265" display="162" xr:uid="{74880917-CF34-4C96-935D-23D73A314391}"/>
    <hyperlink ref="K620" r:id="rId1266" display="18/06/2021" xr:uid="{FB530DCB-0F7E-4732-A662-B486651CA9BC}"/>
    <hyperlink ref="L620" r:id="rId1267" xr:uid="{2C662AAC-0BDB-46A8-8868-FD102CFBF3BF}"/>
    <hyperlink ref="I622" r:id="rId1268" xr:uid="{E370BB9D-3978-4EC5-8F9A-993072CB3AA5}"/>
    <hyperlink ref="J622" r:id="rId1269" display="5" xr:uid="{43DCDF75-0AC5-4CB3-8BDC-6C590E26F56F}"/>
    <hyperlink ref="K622" r:id="rId1270" display="18/06/2021" xr:uid="{CF620030-239F-41B1-96EC-65E9780BBC98}"/>
    <hyperlink ref="L622" r:id="rId1271" xr:uid="{568E0EA7-F5FB-48D4-90CF-56FDBECBE232}"/>
    <hyperlink ref="I624" r:id="rId1272" xr:uid="{117D42EE-D7A7-486C-8B8A-1AD38CC24F03}"/>
    <hyperlink ref="J624" r:id="rId1273" display="40" xr:uid="{3E8633A4-55B4-4C9B-9C62-9C3657FC99A5}"/>
    <hyperlink ref="K624" r:id="rId1274" display="18/06/2021" xr:uid="{02404E4A-0CCF-4774-9E21-A1135F458440}"/>
    <hyperlink ref="L624" r:id="rId1275" xr:uid="{EE9177CF-C15B-4F19-8219-8781E40CBDEB}"/>
    <hyperlink ref="I626" r:id="rId1276" xr:uid="{655A250D-BC94-4112-BC1E-A7570DE588FD}"/>
    <hyperlink ref="J626" r:id="rId1277" display="25" xr:uid="{7ACEFAA3-64BB-4EEB-8A82-50A7B5ADED72}"/>
    <hyperlink ref="K626" r:id="rId1278" display="27/05/2021" xr:uid="{8EC97F7A-725B-48DB-B5A1-377FD3D4A806}"/>
    <hyperlink ref="L626" r:id="rId1279" xr:uid="{51E076A9-794C-4DB3-A638-9C9DDD9DEF03}"/>
    <hyperlink ref="I628" r:id="rId1280" xr:uid="{FE820838-885E-45F1-84F1-6320BA86E7DA}"/>
    <hyperlink ref="J628" r:id="rId1281" display="393" xr:uid="{47820925-6D01-46FD-A5AF-50D65414A402}"/>
    <hyperlink ref="K628" r:id="rId1282" display="23/04/2021" xr:uid="{03DD6E5A-D7F5-4A33-A765-D2199E189331}"/>
    <hyperlink ref="I630" r:id="rId1283" xr:uid="{B6676E6D-CA4D-4D3F-A793-7C2D53A1908E}"/>
    <hyperlink ref="J630" r:id="rId1284" display="126" xr:uid="{F91695AE-2D80-43C6-BE1C-65DF4A3B4DE1}"/>
    <hyperlink ref="K630" r:id="rId1285" display="23/04/2021" xr:uid="{D3CC3ECA-2134-4382-9E43-212987017D9E}"/>
    <hyperlink ref="I632" r:id="rId1286" xr:uid="{58B98AC7-2B43-42A2-BFC0-C9D9717DA0C8}"/>
    <hyperlink ref="J632" r:id="rId1287" display="164" xr:uid="{D42BD641-8081-4A28-ABF3-EE2A743A2070}"/>
    <hyperlink ref="K632" r:id="rId1288" display="23/04/2021" xr:uid="{0D6CC572-DC04-430D-8DCD-F5C9BEFF3FE0}"/>
    <hyperlink ref="L632" r:id="rId1289" xr:uid="{A7B82A0C-07EF-4D5C-A76F-B4C040787A4A}"/>
    <hyperlink ref="I634" r:id="rId1290" xr:uid="{0CC09638-556F-409E-B8A4-6FAF3294D645}"/>
    <hyperlink ref="J634" r:id="rId1291" display="9" xr:uid="{B72ACF39-51A9-462D-8CAD-64004CF1AB73}"/>
    <hyperlink ref="K634" r:id="rId1292" display="23/04/2021" xr:uid="{67168078-0B3B-459A-9348-96A5150C359C}"/>
    <hyperlink ref="L634" r:id="rId1293" xr:uid="{8CC20C6A-555D-41E2-8342-DCFF62B67EA8}"/>
    <hyperlink ref="I636" r:id="rId1294" xr:uid="{BFF3E00B-4AF4-48EE-A651-AE5994F2575E}"/>
    <hyperlink ref="J636" r:id="rId1295" display="9" xr:uid="{4C0A055E-090B-4748-8D6C-58224ADDAF4D}"/>
    <hyperlink ref="K636" r:id="rId1296" display="23/04/2021" xr:uid="{A8765763-4115-4347-99CF-4562087011E4}"/>
    <hyperlink ref="L636" r:id="rId1297" xr:uid="{967DB7D9-D587-4E06-AAAD-A7EA510D03EE}"/>
    <hyperlink ref="I638" r:id="rId1298" xr:uid="{303BFEB1-D5B6-41EC-A5B3-860381023494}"/>
    <hyperlink ref="J638" r:id="rId1299" display="5" xr:uid="{F2F62E22-13E9-4E47-A624-11543A6F51AE}"/>
    <hyperlink ref="K638" r:id="rId1300" display="23/04/2021" xr:uid="{F673DD31-78DB-49E3-B1C0-89D03186A3A5}"/>
    <hyperlink ref="L638" r:id="rId1301" xr:uid="{7DC9422F-F1C5-4032-8F58-917FAA1EBE91}"/>
    <hyperlink ref="I640" r:id="rId1302" xr:uid="{525F97CD-C378-4656-8A59-A3CA2EA77E0D}"/>
    <hyperlink ref="J640" r:id="rId1303" display="162" xr:uid="{7258E36D-5743-4C43-973C-B566D3264003}"/>
    <hyperlink ref="K640" r:id="rId1304" display="23/04/2021" xr:uid="{336809A2-42C3-4ED2-9B9A-570A1C0347F0}"/>
    <hyperlink ref="L640" r:id="rId1305" xr:uid="{580BA00F-26C0-44D8-940C-C55CDCE2A986}"/>
    <hyperlink ref="I642" r:id="rId1306" xr:uid="{6839D574-3491-4C03-BB71-D571B518C0BD}"/>
    <hyperlink ref="J642" r:id="rId1307" display="409" xr:uid="{AE4D47A9-6829-4A89-8A4D-1789B7011319}"/>
    <hyperlink ref="K642" r:id="rId1308" display="23/04/2021" xr:uid="{6B0116CF-8929-488D-9EDB-43EDA475CB50}"/>
    <hyperlink ref="I644" r:id="rId1309" xr:uid="{7AF96035-EAA3-4BF0-874F-92AB16C44F97}"/>
    <hyperlink ref="J644" r:id="rId1310" display="30" xr:uid="{82715AED-37A4-450A-B593-B270C104D840}"/>
    <hyperlink ref="K644" r:id="rId1311" display="23/04/2021" xr:uid="{3FA06499-1AF7-4A27-9FD3-29CFD12CFC13}"/>
    <hyperlink ref="L644" r:id="rId1312" xr:uid="{247328AB-E626-48CB-9154-0A869766DF2F}"/>
    <hyperlink ref="I646" r:id="rId1313" xr:uid="{EEB6E295-26A6-45FC-B3BB-1164A61673F3}"/>
    <hyperlink ref="J646" r:id="rId1314" display="5" xr:uid="{20C2CD4F-EE98-4256-B130-43B7E5AB1CEC}"/>
    <hyperlink ref="K646" r:id="rId1315" display="23/04/2021" xr:uid="{DDC6A622-0FA1-4131-8EB9-E20D52936DFA}"/>
    <hyperlink ref="L646" r:id="rId1316" xr:uid="{D257138C-0C59-4237-8003-61D3EEAD31DC}"/>
    <hyperlink ref="I648" r:id="rId1317" xr:uid="{D79C1A0D-E2D2-4035-8D02-EAB9EFB91A7F}"/>
    <hyperlink ref="J648" r:id="rId1318" display="411" xr:uid="{9D33DBE4-4662-4E44-8A8A-0AA27EB9574C}"/>
    <hyperlink ref="K648" r:id="rId1319" display="19/03/2021" xr:uid="{5EF1EC17-59C1-4FC7-87CE-78A4C5894438}"/>
    <hyperlink ref="I650" r:id="rId1320" xr:uid="{6930F216-6880-4D10-B4AE-C6A230274FFB}"/>
    <hyperlink ref="J650" r:id="rId1321" display="3" xr:uid="{27B60793-95E5-4174-BF69-F145A682BF1F}"/>
    <hyperlink ref="K650" r:id="rId1322" display="08/09/2023" xr:uid="{7A642BCA-20D5-4203-9A71-4469E111B854}"/>
    <hyperlink ref="L650" r:id="rId1323" xr:uid="{1DFAB984-B675-424A-827E-49C28705F92E}"/>
    <hyperlink ref="I652" r:id="rId1324" xr:uid="{A9D67519-0B10-4342-B882-6AD176A89F7D}"/>
    <hyperlink ref="J652" r:id="rId1325" display="15" xr:uid="{14B3BF9A-C10A-4F9E-ADC4-504F561547F7}"/>
    <hyperlink ref="K652" r:id="rId1326" display="19/03/2021" xr:uid="{76BA535A-3AC3-454D-9ABF-C896B6E86642}"/>
    <hyperlink ref="L652" r:id="rId1327" xr:uid="{0D0D1B9A-657A-4034-BAA8-8C948D6C434E}"/>
    <hyperlink ref="I654" r:id="rId1328" xr:uid="{CABAE093-8FFE-4033-84D5-2FFC8EA4BA54}"/>
    <hyperlink ref="J654" r:id="rId1329" display="25" xr:uid="{FD86F75D-82C6-4F93-98DF-3791D6FB9591}"/>
    <hyperlink ref="K654" r:id="rId1330" display="11/03/2021" xr:uid="{DAC3E998-79E4-4E9B-AA7A-ADE4CEF532DB}"/>
    <hyperlink ref="L654" r:id="rId1331" xr:uid="{BC0230E6-CDCA-435C-82B4-1D208CF6F8D1}"/>
    <hyperlink ref="I656" r:id="rId1332" xr:uid="{2AAEBDE5-3DBC-4BC0-9055-B782A6271A26}"/>
    <hyperlink ref="J656" r:id="rId1333" display="426" xr:uid="{8B065E16-51C3-4F28-86C4-976D18274583}"/>
    <hyperlink ref="K656" r:id="rId1334" display="05/02/2021" xr:uid="{ADFB13F8-4F49-4C09-9E9B-45C5FD23B9EA}"/>
    <hyperlink ref="I658" r:id="rId1335" xr:uid="{6352585A-3313-44B1-BA77-49254E45A982}"/>
    <hyperlink ref="J658" r:id="rId1336" display="158" xr:uid="{75B5C642-8B5E-4984-BFCF-5C591B693C93}"/>
    <hyperlink ref="K658" r:id="rId1337" display="05/02/2021" xr:uid="{39042070-4549-42E4-B2E1-3C507B7B2489}"/>
    <hyperlink ref="I660" r:id="rId1338" xr:uid="{72D7F3D5-A5BB-4980-902E-E024F4878796}"/>
    <hyperlink ref="J660" r:id="rId1339" display="23" xr:uid="{9627CF2F-DA53-400D-91CF-A3F7771D03B4}"/>
    <hyperlink ref="K660" r:id="rId1340" display="05/02/2021" xr:uid="{B20D8737-B38D-497B-BE3B-F293D8B7EE25}"/>
    <hyperlink ref="L660" r:id="rId1341" xr:uid="{E3C0BC9C-5895-431D-BBDD-34DCB44BD019}"/>
    <hyperlink ref="I662" r:id="rId1342" xr:uid="{3DC6A8EA-9834-441A-9E58-F3B9B91CD406}"/>
    <hyperlink ref="J662" r:id="rId1343" display="5" xr:uid="{A5AF8CE1-79BD-436A-8041-603219B717A7}"/>
    <hyperlink ref="K662" r:id="rId1344" display="05/02/2021" xr:uid="{A0A9A5C8-7468-4D67-A9EC-60F3B2C4BB48}"/>
    <hyperlink ref="L662" r:id="rId1345" xr:uid="{1AFE0C0B-8278-4A74-8838-08757F3A11CE}"/>
    <hyperlink ref="I664" r:id="rId1346" xr:uid="{C071520B-07AB-4C36-8CD4-3D3E6BA15F20}"/>
    <hyperlink ref="J664" r:id="rId1347" display="9" xr:uid="{3C870242-2790-4EDF-88F8-2EDC898EF9B8}"/>
    <hyperlink ref="K664" r:id="rId1348" display="05/02/2021" xr:uid="{F6B2FE34-C735-4FA0-B1CC-F648DE789838}"/>
    <hyperlink ref="L664" r:id="rId1349" xr:uid="{F03D082B-6D5E-45F2-AA81-CB3F1F7794DF}"/>
    <hyperlink ref="I666" r:id="rId1350" xr:uid="{BCFB2B59-7990-4EED-ACE9-7BB048FDBD97}"/>
    <hyperlink ref="J666" r:id="rId1351" display="119" xr:uid="{AB35C363-984E-47D4-8A54-1491BA4B0EC7}"/>
    <hyperlink ref="K666" r:id="rId1352" display="05/02/2021" xr:uid="{BBABB61B-DF74-47C9-AA74-97474A72479F}"/>
    <hyperlink ref="I668" r:id="rId1353" xr:uid="{BEC01B77-58CB-4B17-8A6E-9D6D965E091D}"/>
    <hyperlink ref="J668" r:id="rId1354" display="8" xr:uid="{80A52E5C-B690-4DFD-B88D-7291578440ED}"/>
    <hyperlink ref="K668" r:id="rId1355" display="05/02/2021" xr:uid="{0C830E82-2CC4-4CA4-9138-7F3C07E4DFE2}"/>
    <hyperlink ref="L668" r:id="rId1356" xr:uid="{4107F444-D2F6-4710-8BAF-4689D4222497}"/>
    <hyperlink ref="I670" r:id="rId1357" xr:uid="{7BD22439-056A-43EF-A1BD-84CCEB9102B8}"/>
    <hyperlink ref="J670" r:id="rId1358" display="81" xr:uid="{CA7621BD-5333-42D4-A1D5-B9B5732EA935}"/>
    <hyperlink ref="K670" r:id="rId1359" display="05/02/2021" xr:uid="{F81FAD81-804C-41C6-A14B-6309D067956D}"/>
    <hyperlink ref="L670" r:id="rId1360" xr:uid="{34EEDABE-09A2-48BB-8C2D-302CB6D31FF0}"/>
    <hyperlink ref="I672" r:id="rId1361" xr:uid="{9CF0D8F4-12D3-4BC0-B95B-94CCDB0119F1}"/>
    <hyperlink ref="J672" r:id="rId1362" display="6" xr:uid="{67D5991F-B413-44C5-AB47-D3AF6C45B2F8}"/>
    <hyperlink ref="K672" r:id="rId1363" display="25/01/2021" xr:uid="{7E551B79-6114-4523-B9BB-DB48412444E4}"/>
    <hyperlink ref="I674" r:id="rId1364" xr:uid="{2ECA7EBE-70EE-4811-9368-AA206158B606}"/>
    <hyperlink ref="J674" r:id="rId1365" display="10" xr:uid="{6D02DF39-1128-4E2E-BEBA-255CE56846FD}"/>
    <hyperlink ref="K674" r:id="rId1366" display="01/01/2021" xr:uid="{57CF0B3A-E251-410B-8E7D-76C09621B4C2}"/>
    <hyperlink ref="L674" r:id="rId1367" xr:uid="{D8736500-4B24-4E0D-A39C-2C89DB9EA552}"/>
    <hyperlink ref="I676" r:id="rId1368" xr:uid="{74024372-C558-4373-A145-FE16706A8D68}"/>
    <hyperlink ref="J676" r:id="rId1369" display="8" xr:uid="{5CF1410C-0030-49FB-A459-07A8BCF56EA5}"/>
    <hyperlink ref="K676" r:id="rId1370" display="04/12/2020" xr:uid="{AD06B294-9E8F-4593-9F9A-21C3D0CD7107}"/>
    <hyperlink ref="L676" r:id="rId1371" xr:uid="{852A6ECA-7050-42B2-8F01-ACF1B64AD398}"/>
    <hyperlink ref="I678" r:id="rId1372" xr:uid="{41DD8CC4-9D4F-4D3C-9E38-D423EB676DBA}"/>
    <hyperlink ref="J678" r:id="rId1373" display="718" xr:uid="{6F482719-691B-42FE-921A-C4D2B9D2DD29}"/>
    <hyperlink ref="K678" r:id="rId1374" display="20/11/2020" xr:uid="{A59AF8C7-159E-4894-BE2E-70D6F3E36A1C}"/>
    <hyperlink ref="I680" r:id="rId1375" xr:uid="{14B811EA-737D-4D6E-9D92-F93AB0F2A638}"/>
    <hyperlink ref="J680" r:id="rId1376" display="6" xr:uid="{1F04F1E1-EB87-4989-AE79-0F2FE6C10F69}"/>
    <hyperlink ref="K680" r:id="rId1377" display="20/11/2020" xr:uid="{B4E03CDC-AC89-4A18-B0FF-538086811960}"/>
    <hyperlink ref="L680" r:id="rId1378" xr:uid="{B30729EC-1A05-40E1-827A-F5EEC9D34140}"/>
    <hyperlink ref="I682" r:id="rId1379" xr:uid="{0B29F345-54DE-41E0-AA43-A7417930E7AB}"/>
    <hyperlink ref="J682" r:id="rId1380" display="23" xr:uid="{E2531F56-1BDD-470C-8993-9F4049779C4F}"/>
    <hyperlink ref="K682" r:id="rId1381" display="20/11/2020" xr:uid="{59457EFF-6595-4292-855D-846283BDED1E}"/>
    <hyperlink ref="L682" r:id="rId1382" xr:uid="{826483FF-116E-43AC-AB5C-F2C310657938}"/>
    <hyperlink ref="I684" r:id="rId1383" xr:uid="{13D31967-1794-4D81-AC10-9667C82F46C8}"/>
    <hyperlink ref="J684" r:id="rId1384" display="302" xr:uid="{2AF52AF7-0A86-4DDB-A644-0408F8B28577}"/>
    <hyperlink ref="K684" r:id="rId1385" display="12/11/2020" xr:uid="{B549EB31-5FF2-4FF7-85F0-C5D261702733}"/>
    <hyperlink ref="L684" r:id="rId1386" xr:uid="{DCDBBE88-D619-4CB1-8A96-BA1526E2E70A}"/>
    <hyperlink ref="I686" r:id="rId1387" xr:uid="{80DDCA12-F00F-4FA0-974B-EC78A601541B}"/>
    <hyperlink ref="J686" r:id="rId1388" display="5050" xr:uid="{CA63F6D2-3300-47B7-AE87-78A7C1221272}"/>
    <hyperlink ref="K686" r:id="rId1389" display="26/09/2020" xr:uid="{A9DB8DFC-D9D4-4ABA-91F8-09EA79801CEF}"/>
    <hyperlink ref="I688" r:id="rId1390" xr:uid="{4362B1C5-5265-45A1-8740-9626262DC856}"/>
    <hyperlink ref="J688" r:id="rId1391" display="62" xr:uid="{2A72A77B-0FAF-49EB-B9C6-09FA356E4119}"/>
    <hyperlink ref="K688" r:id="rId1392" display="07/10/2022" xr:uid="{E74E38F5-5E46-42E6-9B19-8C6A3E539D51}"/>
    <hyperlink ref="L688" r:id="rId1393" xr:uid="{DA599847-95EB-4C7B-AF47-89E9C02B160F}"/>
    <hyperlink ref="I690" r:id="rId1394" xr:uid="{13DB5719-00D9-4CEA-8E88-5890574A2F1A}"/>
    <hyperlink ref="J690" r:id="rId1395" display="408" xr:uid="{8B4CC384-22D9-462A-B31F-F15BFE234E5B}"/>
    <hyperlink ref="K690" r:id="rId1396" display="25/09/2020" xr:uid="{754DAE02-0A86-4D39-9B9B-D3CD582611CF}"/>
    <hyperlink ref="I692" r:id="rId1397" xr:uid="{13363BE7-AEE7-4561-800D-940EEE10FBD3}"/>
    <hyperlink ref="J692" r:id="rId1398" display="30" xr:uid="{4BB9BD23-DD92-4E2E-B6E0-525493207223}"/>
    <hyperlink ref="K692" r:id="rId1399" display="25/09/2020" xr:uid="{D8997741-6003-47F0-B5E6-A1A1682B9AA9}"/>
    <hyperlink ref="I694" r:id="rId1400" xr:uid="{5849CE6B-0FBE-4E85-A99B-23A675D0A7D5}"/>
    <hyperlink ref="J694" r:id="rId1401" display="153" xr:uid="{03E885C1-A1D2-4247-B173-BE198A528CA5}"/>
    <hyperlink ref="K694" r:id="rId1402" display="25/09/2020" xr:uid="{C8A6A110-4427-4296-AA24-2823F9E53FF5}"/>
    <hyperlink ref="L694" r:id="rId1403" xr:uid="{DFB57EDE-3E03-4232-8185-2080B44D9577}"/>
    <hyperlink ref="I696" r:id="rId1404" xr:uid="{D877E86F-131D-4F09-B0D6-A16F186B8DB2}"/>
    <hyperlink ref="J696" r:id="rId1405" display="12" xr:uid="{63579C42-EC76-415C-B66E-81D2B4353FBA}"/>
    <hyperlink ref="K696" r:id="rId1406" display="25/09/2020" xr:uid="{C0CD9AB0-9C73-48E9-804C-8C22D167EC06}"/>
    <hyperlink ref="L696" r:id="rId1407" xr:uid="{DCA18E97-1447-449C-8441-E11833094AF6}"/>
    <hyperlink ref="I698" r:id="rId1408" xr:uid="{AD4BF705-85C3-489C-9AB3-CEF3B8964A8A}"/>
    <hyperlink ref="J698" r:id="rId1409" display="81" xr:uid="{D2FB1F20-1886-47B1-AEBB-B2151099ECDD}"/>
    <hyperlink ref="K698" r:id="rId1410" display="25/09/2020" xr:uid="{22994A5B-9A82-4BE1-B1CA-6B861C2AFB15}"/>
    <hyperlink ref="L698" r:id="rId1411" xr:uid="{B5EA0BBA-05D6-4297-A2C2-07D17D7C3026}"/>
    <hyperlink ref="I700" r:id="rId1412" xr:uid="{CEA47811-C20B-494B-A139-6828FB159104}"/>
    <hyperlink ref="J700" r:id="rId1413" display="5" xr:uid="{8FAD4832-3F19-4E47-B2D1-D227B94860D7}"/>
    <hyperlink ref="K700" r:id="rId1414" display="25/09/2020" xr:uid="{C41C7ADC-0B17-47CC-903F-3C461CFC3133}"/>
    <hyperlink ref="L700" r:id="rId1415" xr:uid="{F437EF1B-B5DF-4F21-ABD3-69E119738FEC}"/>
    <hyperlink ref="I702" r:id="rId1416" xr:uid="{8206C5CC-C921-4DCE-B1EA-53D9A666370A}"/>
    <hyperlink ref="J702" r:id="rId1417" display="142" xr:uid="{822438FF-0548-4034-8DA8-7954C10C7A88}"/>
    <hyperlink ref="K702" r:id="rId1418" display="25/09/2020" xr:uid="{A99D3402-B9FD-4E72-8C76-CDFF1C1D142E}"/>
    <hyperlink ref="I704" r:id="rId1419" xr:uid="{6DC53EED-3541-422E-8EE2-1B57ECD55F90}"/>
    <hyperlink ref="J704" r:id="rId1420" display="11" xr:uid="{CA52C58A-A60B-4322-916F-4D0843D0CB2A}"/>
    <hyperlink ref="K704" r:id="rId1421" display="25/09/2020" xr:uid="{9F38B5E5-197F-4207-9ABC-0F7A40F71D08}"/>
    <hyperlink ref="L704" r:id="rId1422" xr:uid="{4FE36F4F-0696-41D7-975E-07AE05D8A7ED}"/>
    <hyperlink ref="I706" r:id="rId1423" xr:uid="{8566639A-4765-4124-901A-CACEDCD89F18}"/>
    <hyperlink ref="J706" r:id="rId1424" display="9" xr:uid="{4FF1A712-CFA3-4EA1-A0D0-05748BB57249}"/>
    <hyperlink ref="K706" r:id="rId1425" display="25/09/2020" xr:uid="{01D49EB5-CF1D-491B-A0ED-82CC225C502E}"/>
    <hyperlink ref="L706" r:id="rId1426" xr:uid="{4036FDA5-D957-49D8-95C6-5B7223A4BD82}"/>
    <hyperlink ref="I708" r:id="rId1427" xr:uid="{8C7A1E6C-CB1F-4C54-A5D3-83B1DB417F6C}"/>
    <hyperlink ref="J708" r:id="rId1428" display="540" xr:uid="{857FD200-E489-434C-89F2-E655D49179E1}"/>
    <hyperlink ref="K708" r:id="rId1429" display="09/09/2020" xr:uid="{E51FF61A-313C-4EDF-A9AA-5E1A6A935407}"/>
    <hyperlink ref="I710" r:id="rId1430" xr:uid="{CBB5EFA1-77AF-4FCD-AE65-8EB7AAC6C4F5}"/>
    <hyperlink ref="J710" r:id="rId1431" display="540" xr:uid="{42872322-0F14-4105-9192-36FCAC1D7B4D}"/>
    <hyperlink ref="K710" r:id="rId1432" display="03/09/2020" xr:uid="{FCC146FC-1731-484F-A288-2A676260850C}"/>
    <hyperlink ref="I712" r:id="rId1433" xr:uid="{1A9E6EFF-8E7A-4AD5-952D-D61422A7EEC0}"/>
    <hyperlink ref="J712" r:id="rId1434" display="339" xr:uid="{98CF457D-3839-4361-9EA8-02348EA3BF9A}"/>
    <hyperlink ref="K712" r:id="rId1435" display="13/08/2020" xr:uid="{441CDF64-21C2-429A-9080-CFAAE1E2158F}"/>
    <hyperlink ref="L712" r:id="rId1436" xr:uid="{D1CFED37-1CF7-4F4C-836B-7CD9A503B9AD}"/>
    <hyperlink ref="I714" r:id="rId1437" xr:uid="{D061F9EB-6F1F-4ED2-879B-B8DBB07ED664}"/>
    <hyperlink ref="J714" r:id="rId1438" display="120" xr:uid="{96E8455B-FFA4-41FA-BFA0-208CF47EF251}"/>
    <hyperlink ref="K714" r:id="rId1439" display="13/08/2020" xr:uid="{C4B1F406-54E6-4996-B5E8-CBFC3C7EF908}"/>
    <hyperlink ref="L714" r:id="rId1440" xr:uid="{7290BD35-8825-4D7D-8F02-F39A121E7A19}"/>
    <hyperlink ref="I716" r:id="rId1441" xr:uid="{84B0D78B-613A-4E2A-AC3B-A430F0E33472}"/>
    <hyperlink ref="J716" r:id="rId1442" display="384" xr:uid="{070BB44D-C60D-422E-9BC0-4B4E6BA41A3D}"/>
    <hyperlink ref="K716" r:id="rId1443" display="07/08/2020" xr:uid="{8076B690-2A42-49F5-93DC-C4E2F9EDF030}"/>
    <hyperlink ref="I718" r:id="rId1444" xr:uid="{478B7C4B-75E0-4E17-9E0D-1685FFE38863}"/>
    <hyperlink ref="J718" r:id="rId1445" display="31" xr:uid="{B64E5604-CC20-4D9F-B59D-3D61380A7006}"/>
    <hyperlink ref="K718" r:id="rId1446" display="07/08/2020" xr:uid="{0A922B22-7D2B-4CCB-A7B3-2E79ED1808FC}"/>
    <hyperlink ref="L718" r:id="rId1447" xr:uid="{3027574E-3BE9-4579-A144-480CDFB7A669}"/>
    <hyperlink ref="I720" r:id="rId1448" xr:uid="{7790425D-BC00-433D-8C93-4CD2AD4124A2}"/>
    <hyperlink ref="J720" r:id="rId1449" display="7" xr:uid="{A81F092D-04A2-43CA-AF41-59683997173B}"/>
    <hyperlink ref="K720" r:id="rId1450" display="01/08/2020" xr:uid="{1612CDA9-5F82-4126-8512-B162772A8E2E}"/>
    <hyperlink ref="L720" r:id="rId1451" xr:uid="{4A04DD3F-9EA3-465C-BBC0-ACC2D9249146}"/>
    <hyperlink ref="I722" r:id="rId1452" xr:uid="{86B0789C-DA6D-45C2-AEFC-AD5BB4A75519}"/>
    <hyperlink ref="J722" r:id="rId1453" display="497" xr:uid="{63B651C6-9A45-4751-862F-88C05104E843}"/>
    <hyperlink ref="K722" r:id="rId1454" display="17/07/2020" xr:uid="{2260500B-3D91-4009-8D3C-94C84D1E4431}"/>
    <hyperlink ref="L722" r:id="rId1455" xr:uid="{8C158858-CBF9-4FC6-9480-031AD796E6C0}"/>
    <hyperlink ref="I724" r:id="rId1456" xr:uid="{BFF31834-606F-46FE-A94A-A2AD70745323}"/>
    <hyperlink ref="J724" r:id="rId1457" display="18" xr:uid="{BB4E1522-292D-4FBA-8E5B-63BA1A4B374E}"/>
    <hyperlink ref="K724" r:id="rId1458" display="17/07/2020" xr:uid="{043E4A46-30E5-4942-8F23-3C273C5C4CCB}"/>
    <hyperlink ref="L724" r:id="rId1459" xr:uid="{5B334419-11F5-4A24-927C-F89A283DE6F1}"/>
    <hyperlink ref="I726" r:id="rId1460" xr:uid="{38CCFAF1-4E0B-4E70-BE66-04F7D9CC5BE6}"/>
    <hyperlink ref="J726" r:id="rId1461" display="46" xr:uid="{DF8416E9-B3FE-4A52-90B1-D61AC15772A8}"/>
    <hyperlink ref="K726" r:id="rId1462" display="18/06/2020" xr:uid="{A0317C4E-8E9F-49E2-9D93-269551CE8BB5}"/>
    <hyperlink ref="L726" r:id="rId1463" xr:uid="{66424C35-2071-4ECD-9F5B-2C801A457048}"/>
    <hyperlink ref="I728" r:id="rId1464" xr:uid="{FEEE19CA-BA85-4528-B80C-CD468E3A1048}"/>
    <hyperlink ref="J728" r:id="rId1465" display="397" xr:uid="{7D6D8A45-4B6B-46A8-96C2-CD2977436303}"/>
    <hyperlink ref="K728" r:id="rId1466" display="03/07/2020" xr:uid="{DA585ACB-A10D-4C50-B108-C2202D25B92C}"/>
    <hyperlink ref="I730" r:id="rId1467" xr:uid="{CFC9B074-7D76-4317-A170-B361C883B7D0}"/>
    <hyperlink ref="J730" r:id="rId1468" display="137" xr:uid="{EF6E6991-50B8-4085-843C-761DFB616C1E}"/>
    <hyperlink ref="K730" r:id="rId1469" display="03/07/2020" xr:uid="{D4C07751-16BA-4726-9CD5-79E13722F472}"/>
    <hyperlink ref="L730" r:id="rId1470" xr:uid="{D2B16E83-85C3-4C44-9A17-57187656F538}"/>
    <hyperlink ref="I732" r:id="rId1471" xr:uid="{9CD1AED2-7A55-4514-BA1C-D32F4F0D3CED}"/>
    <hyperlink ref="J732" r:id="rId1472" display="20" xr:uid="{E9DF5737-197D-406E-818D-EA8A35995612}"/>
    <hyperlink ref="K732" r:id="rId1473" display="03/07/2020" xr:uid="{93AB6528-F72C-4DFC-8CC9-1F86871CC78D}"/>
    <hyperlink ref="L732" r:id="rId1474" xr:uid="{461484A6-2911-4F11-A511-8620821B48BF}"/>
    <hyperlink ref="I734" r:id="rId1475" xr:uid="{9287CD03-6355-4B33-B742-4B863DACF6BA}"/>
    <hyperlink ref="J734" r:id="rId1476" display="8" xr:uid="{CBD629BB-9D9C-4647-975B-FB5C0095A17C}"/>
    <hyperlink ref="K734" r:id="rId1477" display="26/06/2020" xr:uid="{E96DED5F-798E-41AF-A266-D112A8920551}"/>
    <hyperlink ref="L734" r:id="rId1478" xr:uid="{6FF1E54A-BEBB-4E82-92F9-0FFED1789447}"/>
    <hyperlink ref="I736" r:id="rId1479" xr:uid="{F86F1605-2321-4408-87A5-F693EB60C093}"/>
    <hyperlink ref="J736" r:id="rId1480" display="550" xr:uid="{8D0518C3-A396-49FC-A684-39F3E69325B0}"/>
    <hyperlink ref="K736" r:id="rId1481" display="10/06/2020" xr:uid="{A36DD23A-1FF5-4BBB-979B-5FA2D13D2B15}"/>
    <hyperlink ref="I738" r:id="rId1482" xr:uid="{E24D80B2-5695-4F09-8F75-F38B6084E4AB}"/>
    <hyperlink ref="J738" r:id="rId1483" display="27" xr:uid="{09089C19-97A4-42ED-8991-428E66F37D58}"/>
    <hyperlink ref="K738" r:id="rId1484" display="21/05/2020" xr:uid="{00AC8B43-2D0A-405D-8A74-2463A598DB66}"/>
    <hyperlink ref="L738" r:id="rId1485" xr:uid="{B8C2DD31-9874-451C-BA32-0CF785B49AAB}"/>
    <hyperlink ref="I740" r:id="rId1486" xr:uid="{E48CD03B-17FC-4EB7-9CCA-60238C08821B}"/>
    <hyperlink ref="J740" r:id="rId1487" display="2" xr:uid="{C8B15DCD-4A88-4542-9973-7CC62C5A5F9D}"/>
    <hyperlink ref="K740" r:id="rId1488" display="18/05/2020" xr:uid="{7738812C-0929-4256-9813-7ED81BC3BF94}"/>
    <hyperlink ref="L740" r:id="rId1489" xr:uid="{60934397-909D-4D06-88BC-D0AFA6EEE18E}"/>
    <hyperlink ref="I742" r:id="rId1490" xr:uid="{17EFF89F-C6D9-481C-A965-83AC9EF8A402}"/>
    <hyperlink ref="J742" r:id="rId1491" display="390" xr:uid="{9E72D538-833F-41C2-9D15-F41965488E74}"/>
    <hyperlink ref="K742" r:id="rId1492" display="24/04/2020" xr:uid="{446D2BBB-5419-4230-ADF5-BC9F8FC40128}"/>
    <hyperlink ref="I744" r:id="rId1493" xr:uid="{81DCDE78-70BA-4ADA-9060-0BADC08F673F}"/>
    <hyperlink ref="J744" r:id="rId1494" display="137" xr:uid="{9A356F62-2581-46D0-8DD7-7F868BCCB78A}"/>
    <hyperlink ref="K744" r:id="rId1495" display="24/04/2020" xr:uid="{AF3B4B34-5EA3-4689-9CD3-EC0D3A9D8DD2}"/>
    <hyperlink ref="L744" r:id="rId1496" xr:uid="{19F867AE-855A-4068-8CFA-DCD51B0F4733}"/>
    <hyperlink ref="I746" r:id="rId1497" xr:uid="{A5A38685-EF0B-43A1-84C9-DBAB7254CDF6}"/>
    <hyperlink ref="J746" r:id="rId1498" display="14" xr:uid="{99BBA259-6103-425F-BC10-3A738D789197}"/>
    <hyperlink ref="K746" r:id="rId1499" display="24/04/2020" xr:uid="{5BB7C174-0C46-481A-BCF0-917F2F4B40AC}"/>
    <hyperlink ref="L746" r:id="rId1500" xr:uid="{169BD070-3AB9-478B-86FF-7FECE2388CD8}"/>
    <hyperlink ref="I748" r:id="rId1501" xr:uid="{07EBB5FD-4359-4AA0-9235-EAFF44CDFC6A}"/>
    <hyperlink ref="J748" r:id="rId1502" display="322" xr:uid="{A1FFF381-2267-4968-BEC5-BB669186093B}"/>
    <hyperlink ref="K748" r:id="rId1503" display="17/04/2020" xr:uid="{FCB06F24-3012-4548-ABDC-4F942881903E}"/>
    <hyperlink ref="I750" r:id="rId1504" xr:uid="{4DFF7EAD-583B-4B1B-9DCC-500F4D1A8939}"/>
    <hyperlink ref="J750" r:id="rId1505" display="20" xr:uid="{EB9E6F0E-3377-427C-8712-21684A13BEED}"/>
    <hyperlink ref="K750" r:id="rId1506" display="17/04/2020" xr:uid="{BC25F29A-1CE0-404B-86FC-551A9BC31CD5}"/>
    <hyperlink ref="L750" r:id="rId1507" xr:uid="{E099069F-99C9-4F57-92CB-459D7C2FAD62}"/>
    <hyperlink ref="I752" r:id="rId1508" xr:uid="{95EB125B-7258-4E9F-9E69-C6E48D2D32EE}"/>
    <hyperlink ref="J752" r:id="rId1509" display="5" xr:uid="{5AC35F3B-EABC-4878-A0E4-6AA39941052F}"/>
    <hyperlink ref="K752" r:id="rId1510" display="17/04/2020" xr:uid="{9ADFE54D-DB43-422F-93FA-989642030E5F}"/>
    <hyperlink ref="L752" r:id="rId1511" xr:uid="{FA6486A8-CA8A-44DF-A102-1101DDF4B2CB}"/>
    <hyperlink ref="I754" r:id="rId1512" xr:uid="{47C04656-BA7F-492B-BD7E-B088C3D120F2}"/>
    <hyperlink ref="J754" r:id="rId1513" display="25" xr:uid="{B343827C-517A-4B47-89B7-2910C118007E}"/>
    <hyperlink ref="K754" r:id="rId1514" display="12/03/2020" xr:uid="{930A7370-DC4B-4530-B5D8-6500FC1E5383}"/>
    <hyperlink ref="L754" r:id="rId1515" xr:uid="{67DC701A-0879-45AC-8687-28FA6E2E6835}"/>
    <hyperlink ref="I756" r:id="rId1516" xr:uid="{F4717304-0B03-4785-B8AB-A5F373142DF4}"/>
    <hyperlink ref="J756" r:id="rId1517" display="96" xr:uid="{4AEB30AF-950C-4E33-B19B-68DD25FFBEAC}"/>
    <hyperlink ref="K756" r:id="rId1518" display="29/02/2020" xr:uid="{60A9C890-6A96-46C7-ADD8-542AA91EE587}"/>
    <hyperlink ref="L756" r:id="rId1519" xr:uid="{7FC14349-6A6A-4A1D-8FAB-F3C274CD6F00}"/>
    <hyperlink ref="I758" r:id="rId1520" xr:uid="{8F82EC08-FEE6-43CE-9EAF-41B90FFF40E2}"/>
    <hyperlink ref="J758" r:id="rId1521" display="6" xr:uid="{27B769FC-8625-46B1-A712-34BE7ADE76A8}"/>
    <hyperlink ref="K758" r:id="rId1522" display="29/02/2020" xr:uid="{F8606A23-3B06-4B8A-A6F0-01529E01BA0C}"/>
    <hyperlink ref="L758" r:id="rId1523" xr:uid="{203D2D34-0E2F-46DE-BC58-449C99B5EFFB}"/>
    <hyperlink ref="I760" r:id="rId1524" xr:uid="{D5765876-56D8-4AFB-9D5B-202D12E00844}"/>
    <hyperlink ref="J760" r:id="rId1525" display="358" xr:uid="{CBE368F1-DB9A-4994-AE9A-80173AA473CF}"/>
    <hyperlink ref="K760" r:id="rId1526" display="24/01/2020" xr:uid="{1C09E157-E438-4314-B900-ADEC1A33DD99}"/>
    <hyperlink ref="I762" r:id="rId1527" xr:uid="{E4AD4730-9DF1-4487-BA4C-830110F5BE54}"/>
    <hyperlink ref="J762" r:id="rId1528" display="137" xr:uid="{2E3C06E7-FD90-4FFA-9E8F-64B6FDFFCFD7}"/>
    <hyperlink ref="K762" r:id="rId1529" display="24/01/2020" xr:uid="{65BE97E6-835A-4FCA-90AB-826049D01D4E}"/>
    <hyperlink ref="L762" r:id="rId1530" xr:uid="{BC0D6D9D-C4BD-49E4-8847-F2111DF6000B}"/>
    <hyperlink ref="I764" r:id="rId1531" xr:uid="{85FE695B-9261-4CA8-BAF4-078E79808845}"/>
    <hyperlink ref="J764" r:id="rId1532" display="14" xr:uid="{E645BFC6-AAAD-4349-8A6B-124988A02E3B}"/>
    <hyperlink ref="K764" r:id="rId1533" display="24/01/2020" xr:uid="{6FE94259-CF58-4DE5-8053-E4BEAC275AFB}"/>
    <hyperlink ref="L764" r:id="rId1534" xr:uid="{6E23E484-EA00-4A70-B6BB-306D33B9B3DD}"/>
    <hyperlink ref="I766" r:id="rId1535" xr:uid="{7E2AF38F-83CB-4544-97A0-D4CCD1125EA5}"/>
    <hyperlink ref="J766" r:id="rId1536" display="6" xr:uid="{82D2EF91-1C08-405C-960C-31B0B4BA4740}"/>
    <hyperlink ref="K766" r:id="rId1537" display="01/01/2020" xr:uid="{DB04F494-B705-4C08-8A15-5864325B8288}"/>
    <hyperlink ref="L766" r:id="rId1538" xr:uid="{B2CBA0A8-8252-4AB7-8F91-31D3361CE722}"/>
    <hyperlink ref="I768" r:id="rId1539" xr:uid="{ACDEB405-AD2A-4965-8E47-5F8164D3A218}"/>
    <hyperlink ref="J768" r:id="rId1540" display="10" xr:uid="{5635EEA0-3DCD-45E4-9307-6D8F69314D3B}"/>
    <hyperlink ref="K768" r:id="rId1541" display="01/01/2020" xr:uid="{A06CE0D4-AE2B-4E35-A9DD-0D44C9507239}"/>
    <hyperlink ref="L768" r:id="rId1542" xr:uid="{859C9185-4EEB-4DB8-BF07-2DD87C763776}"/>
    <hyperlink ref="I770" r:id="rId1543" xr:uid="{54283B83-D8BD-412B-8C21-007B08B45E1B}"/>
    <hyperlink ref="J770" r:id="rId1544" display="2302" xr:uid="{77B49BFB-9743-4594-BDCB-0E3854FB7AB2}"/>
    <hyperlink ref="K770" r:id="rId1545" display="02/12/2019" xr:uid="{CFCDC805-D459-44B5-99CB-C7D23029A40A}"/>
    <hyperlink ref="I772" r:id="rId1546" xr:uid="{5231DA80-719C-4F78-B1BB-93CD12FF67CB}"/>
    <hyperlink ref="J772" r:id="rId1547" display="10" xr:uid="{4AA57E27-B94A-4F78-B58B-383DB44F7866}"/>
    <hyperlink ref="K772" r:id="rId1548" display="21/02/2025" xr:uid="{90DB6D80-F33D-42A8-9D5C-2DDB3BE6762B}"/>
    <hyperlink ref="L772" r:id="rId1549" xr:uid="{AF68C1E2-FC51-43C6-B3B9-9E82340C1268}"/>
    <hyperlink ref="I774" r:id="rId1550" xr:uid="{75B8B0B6-FF38-418A-93D2-EAE72EF895AE}"/>
    <hyperlink ref="J774" r:id="rId1551" display="47" xr:uid="{16D0634F-008A-42E3-9CC8-66573CA5DA5F}"/>
    <hyperlink ref="K774" r:id="rId1552" display="17/02/2023" xr:uid="{55B56467-9A98-40EA-A305-5905A1244F0A}"/>
    <hyperlink ref="L774" r:id="rId1553" xr:uid="{691F465C-31E4-47DB-B200-2A78E782850F}"/>
    <hyperlink ref="I776" r:id="rId1554" xr:uid="{8BBD2B8B-9C37-40D8-B4A1-D1C4EACE38A8}"/>
    <hyperlink ref="J776" r:id="rId1555" display="84" xr:uid="{DFE1BED5-15A8-4C94-A818-B1AEB0FC01FE}"/>
    <hyperlink ref="K776" r:id="rId1556" display="01/11/2022" xr:uid="{95928B0E-2043-4D84-B505-B08BE2F6EBE3}"/>
    <hyperlink ref="L776" r:id="rId1557" xr:uid="{E6EF8643-8D67-46D8-BA7B-291CBC85D4BE}"/>
    <hyperlink ref="I778" r:id="rId1558" xr:uid="{E487C26A-4E4A-450D-9E9F-6D4104027148}"/>
    <hyperlink ref="J778" r:id="rId1559" display="30" xr:uid="{C090E67F-4CCB-47F0-827C-45850B41B24C}"/>
    <hyperlink ref="K778" r:id="rId1560" display="03/03/2022" xr:uid="{274E606A-50D5-4241-8A05-BA60A1081A53}"/>
    <hyperlink ref="L778" r:id="rId1561" xr:uid="{49347CF9-B0F8-41BB-8EE1-4299C0A90AB7}"/>
    <hyperlink ref="I780" r:id="rId1562" xr:uid="{95ED82C0-E788-4DC9-87E3-1BC6DD884E4D}"/>
    <hyperlink ref="J780" r:id="rId1563" display="16" xr:uid="{DAFC9A2C-4E6C-4B62-8585-E8468EA70AEF}"/>
    <hyperlink ref="K780" r:id="rId1564" display="29/05/2020" xr:uid="{AFCDDC42-1933-4B74-9E92-1C48264344FA}"/>
    <hyperlink ref="L780" r:id="rId1565" xr:uid="{4605F764-F25A-40CE-B65B-C404E8B87CD6}"/>
    <hyperlink ref="I782" r:id="rId1566" xr:uid="{91DD190C-58CE-44C0-A9BB-0BC80BEF5123}"/>
    <hyperlink ref="J782" r:id="rId1567" display="20" xr:uid="{775CDC6A-6F7B-405E-8A69-B9A9F8CF6E56}"/>
    <hyperlink ref="K782" r:id="rId1568" display="21/11/2019" xr:uid="{79F37157-A63A-45E3-A689-8E0DCCF9313C}"/>
    <hyperlink ref="L782" r:id="rId1569" xr:uid="{89F87F65-2F83-419F-BA83-61A8C5AA04AF}"/>
    <hyperlink ref="I784" r:id="rId1570" xr:uid="{B9E2F8A1-F30D-418C-B21C-83382FEBADA0}"/>
    <hyperlink ref="J784" r:id="rId1571" display="64" xr:uid="{93E0C290-FA0B-4C6B-AC45-3C50937A9471}"/>
    <hyperlink ref="K784" r:id="rId1572" display="15/11/2019" xr:uid="{1FA4C582-4F2D-4610-B609-C18B4FF65530}"/>
    <hyperlink ref="L784" r:id="rId1573" xr:uid="{240EAB24-309B-4C47-9B41-DC400BEC9BF8}"/>
    <hyperlink ref="I786" r:id="rId1574" xr:uid="{2F1939B0-577B-4F81-BC16-C878F9871CFC}"/>
    <hyperlink ref="J786" r:id="rId1575" display="3" xr:uid="{9DA6A039-8C7B-4871-A82B-59C5CAC44970}"/>
    <hyperlink ref="K786" r:id="rId1576" display="15/11/2019" xr:uid="{AA7E5E60-28FA-4870-8DF8-7CFD282AB58B}"/>
    <hyperlink ref="L786" r:id="rId1577" xr:uid="{F2A753FC-9ED2-4F55-ABAF-7C692727837A}"/>
    <hyperlink ref="I788" r:id="rId1578" xr:uid="{E2B5F58C-F5DC-476A-824D-809CB0B4FED3}"/>
    <hyperlink ref="J788" r:id="rId1579" display="121" xr:uid="{E413DB2B-B437-4C35-B6CA-9F48C11FD70A}"/>
    <hyperlink ref="K788" r:id="rId1580" display="07/11/2019" xr:uid="{ED83B41E-3664-4DBE-9246-0F421CF66039}"/>
    <hyperlink ref="L788" r:id="rId1581" xr:uid="{7D166417-43D3-47B5-A18A-BF5574108D41}"/>
    <hyperlink ref="I790" r:id="rId1582" xr:uid="{D1C067A5-EFF0-4D22-9AA5-7451183E9709}"/>
    <hyperlink ref="J790" r:id="rId1583" display="3" xr:uid="{84DA2D70-5699-4732-BD85-6D4739AD3038}"/>
    <hyperlink ref="K790" r:id="rId1584" display="22/10/2019" xr:uid="{17C97C9F-F493-471C-B17C-AA94EBDDF124}"/>
    <hyperlink ref="L790" r:id="rId1585" xr:uid="{8E0BD02F-F4E0-46D1-ADAE-2C4173972219}"/>
    <hyperlink ref="I792" r:id="rId1586" xr:uid="{BFA8CF27-48D6-4E8D-B999-00D04F0234AF}"/>
    <hyperlink ref="J792" r:id="rId1587" display="398" xr:uid="{8B606B6C-CB7C-4327-A0DF-506841D3E1D1}"/>
    <hyperlink ref="K792" r:id="rId1588" display="04/10/2019" xr:uid="{43693C17-9841-4C90-A87C-940EF50D7023}"/>
    <hyperlink ref="I794" r:id="rId1589" xr:uid="{2B022260-0015-47B4-A9DE-0EBAA7263865}"/>
    <hyperlink ref="J794" r:id="rId1590" display="138" xr:uid="{7C1CEE5F-BF5A-4691-9113-671BD9797399}"/>
    <hyperlink ref="K794" r:id="rId1591" display="04/10/2019" xr:uid="{F5DD43C3-431E-4F00-9089-549551960623}"/>
    <hyperlink ref="L794" r:id="rId1592" xr:uid="{93D27E2E-7EEE-4F8F-A6F7-EA9246F3AFA2}"/>
    <hyperlink ref="I796" r:id="rId1593" xr:uid="{98178FA9-0E80-469F-A12D-508734368EB6}"/>
    <hyperlink ref="J796" r:id="rId1594" display="20" xr:uid="{9C2AA6C5-7B07-459D-8EFF-7112430A10EF}"/>
    <hyperlink ref="K796" r:id="rId1595" display="04/10/2019" xr:uid="{67BFA9D8-F3B7-4D3E-B066-A1554506BDAE}"/>
    <hyperlink ref="L796" r:id="rId1596" xr:uid="{2AAEF5F7-7026-4333-85F7-309468E61948}"/>
    <hyperlink ref="I798" r:id="rId1597" xr:uid="{EC940198-BA02-4B4E-AC45-5D8116468469}"/>
    <hyperlink ref="J798" r:id="rId1598" display="42" xr:uid="{BB7E1574-ED35-46D3-B732-466EDAC57495}"/>
    <hyperlink ref="K798" r:id="rId1599" display="01/10/2019" xr:uid="{7E0F7ECE-C60C-4332-823C-25E78935DD14}"/>
    <hyperlink ref="L798" r:id="rId1600" xr:uid="{5BA9DEE0-1467-423C-AF43-F1940DD0558F}"/>
    <hyperlink ref="I800" r:id="rId1601" xr:uid="{F9285CD1-A500-467E-B180-6D6ABD113A3A}"/>
    <hyperlink ref="J800" r:id="rId1602" display="540" xr:uid="{09EBFF18-960B-4A1E-9E21-4B7E33CB5FD8}"/>
    <hyperlink ref="K800" r:id="rId1603" display="28/08/2019" xr:uid="{F828D6A4-9410-4119-9B4C-43F66D858775}"/>
    <hyperlink ref="I802" r:id="rId1604" xr:uid="{D3DD2ED1-8D67-49FF-AAC5-42D7E38CB20E}"/>
    <hyperlink ref="J802" r:id="rId1605" display="302" xr:uid="{F701E95B-A249-4C33-9802-A1D25EB0343D}"/>
    <hyperlink ref="K802" r:id="rId1606" display="23/08/2019" xr:uid="{8C63CE44-DF89-4D5C-BF2E-26039C03D5DD}"/>
    <hyperlink ref="I804" r:id="rId1607" xr:uid="{07795B50-8755-41C3-AC97-6B3624C3B18E}"/>
    <hyperlink ref="J804" r:id="rId1608" display="29" xr:uid="{50016E69-876F-4F71-9473-9BEEC3D5F809}"/>
    <hyperlink ref="K804" r:id="rId1609" display="01/08/2019" xr:uid="{6720FCD1-41D3-421D-B87B-17131B8EF974}"/>
    <hyperlink ref="L804" r:id="rId1610" xr:uid="{6B8D5871-7AA0-4B7F-87A4-537F662A7C75}"/>
    <hyperlink ref="I806" r:id="rId1611" xr:uid="{34E91167-D25F-40C6-A93D-D3881736F58A}"/>
    <hyperlink ref="J806" r:id="rId1612" display="4" xr:uid="{39510AD3-264A-4789-97CB-548AFCD10F1D}"/>
    <hyperlink ref="K806" r:id="rId1613" display="31/08/2019" xr:uid="{2881A075-049D-4723-B82A-7D58054EAF68}"/>
    <hyperlink ref="L806" r:id="rId1614" xr:uid="{51778F63-F079-4A19-B0F5-DE4ADEC82270}"/>
    <hyperlink ref="I808" r:id="rId1615" xr:uid="{4F8F185C-46A7-45FC-99CF-DEBB63C7DB0D}"/>
    <hyperlink ref="J808" r:id="rId1616" display="5" xr:uid="{A65A2416-D5BC-4D92-B79A-DEC14BAF5494}"/>
    <hyperlink ref="K808" r:id="rId1617" display="01/08/2019" xr:uid="{CDEDEE47-911A-4D7C-84EB-E9F3D70FA6EB}"/>
    <hyperlink ref="L808" r:id="rId1618" xr:uid="{150C15DE-FA33-44F5-A56D-D430B3315942}"/>
    <hyperlink ref="I810" r:id="rId1619" xr:uid="{FFFDD44E-72D2-4878-B59E-9DC9913E4EB5}"/>
    <hyperlink ref="J810" r:id="rId1620" display="5" xr:uid="{3AB5DB1D-2940-4ABA-BE5C-517AFE278B77}"/>
    <hyperlink ref="K810" r:id="rId1621" display="18/07/2019" xr:uid="{68576A3F-FDAA-4AE6-B7DC-5D771F637197}"/>
    <hyperlink ref="L810" r:id="rId1622" xr:uid="{678AB2AA-731D-4AD3-AB69-00A1FE156C09}"/>
    <hyperlink ref="I812" r:id="rId1623" xr:uid="{48035F54-30F6-456F-A3A7-30F7D1DFE635}"/>
    <hyperlink ref="J812" r:id="rId1624" display="346" xr:uid="{AE28B5E0-FFA4-4AE7-BBAC-A44C02EE7B47}"/>
    <hyperlink ref="K812" r:id="rId1625" display="12/07/2019" xr:uid="{9B479AD9-742F-463C-9E8A-4E0845726CE7}"/>
    <hyperlink ref="I814" r:id="rId1626" xr:uid="{6ABE1813-B0E8-44EB-9A64-6A7BE963E3ED}"/>
    <hyperlink ref="J814" r:id="rId1627" display="144" xr:uid="{37A9FECE-B95D-4CD8-B81B-7FA93D23AD3F}"/>
    <hyperlink ref="K814" r:id="rId1628" display="12/07/2019" xr:uid="{E551C2DC-289F-4497-B8D1-C475A084E816}"/>
    <hyperlink ref="L814" r:id="rId1629" xr:uid="{5CD00E62-AB7A-45C1-B17E-01DD12E1858E}"/>
    <hyperlink ref="I816" r:id="rId1630" xr:uid="{5E6DA7A0-DA7D-4CE3-BB6E-6BE46C089059}"/>
    <hyperlink ref="J816" r:id="rId1631" display="12" xr:uid="{777D0FD0-F759-441B-8143-1C14514466BA}"/>
    <hyperlink ref="K816" r:id="rId1632" display="12/07/2019" xr:uid="{3309F5C5-4818-499A-882D-8129F70561D5}"/>
    <hyperlink ref="L816" r:id="rId1633" xr:uid="{B2DAC88F-C74E-49FF-A163-AD3EBC858BB1}"/>
    <hyperlink ref="I818" r:id="rId1634" xr:uid="{4ABEC0FE-C8FA-4475-81B8-94CB0536F541}"/>
    <hyperlink ref="J818" r:id="rId1635" display="5" xr:uid="{39E3EB9C-3FCE-4307-B066-E001E0FDA54E}"/>
    <hyperlink ref="K818" r:id="rId1636" display="12/07/2019" xr:uid="{22AE3842-3EE6-4220-BCA5-E22C2B829C89}"/>
    <hyperlink ref="L818" r:id="rId1637" xr:uid="{AE9B6F19-B9BB-487B-B5DA-149478DDBD06}"/>
    <hyperlink ref="I820" r:id="rId1638" xr:uid="{4D9E1FBD-16A5-4453-9099-F987657F27FC}"/>
    <hyperlink ref="J820" r:id="rId1639" display="8" xr:uid="{CE258C82-624C-4C13-922D-A6C7E266349E}"/>
    <hyperlink ref="K820" r:id="rId1640" display="28/06/2019" xr:uid="{0DFA0123-7A98-415A-B5DD-EE9BD3506683}"/>
    <hyperlink ref="L820" r:id="rId1641" xr:uid="{11222A1E-23D7-45BC-8947-6689972C617D}"/>
    <hyperlink ref="I822" r:id="rId1642" xr:uid="{E7770799-15CB-40A0-BAFE-9D10C4AF7DDD}"/>
    <hyperlink ref="J822" r:id="rId1643" display="255" xr:uid="{97347AA9-BF75-4045-8463-FD624D292F79}"/>
    <hyperlink ref="K822" r:id="rId1644" display="14/06/2019" xr:uid="{A10D989A-0019-4B6B-B72A-E97D151E87C5}"/>
    <hyperlink ref="I824" r:id="rId1645" xr:uid="{594E2811-F7CF-43D0-87FF-A6660A86339F}"/>
    <hyperlink ref="J824" r:id="rId1646" display="2" xr:uid="{5A4C04C0-BFAC-496A-ACB2-A9E5408F36B9}"/>
    <hyperlink ref="K824" r:id="rId1647" display="14/06/2019" xr:uid="{3994D13E-7AA6-4222-8CED-C2A050451FD8}"/>
    <hyperlink ref="L824" r:id="rId1648" xr:uid="{14D05036-8B9E-4280-A35C-005A994E9591}"/>
    <hyperlink ref="I826" r:id="rId1649" xr:uid="{BC0F5719-12CD-4394-8338-BFC08788200F}"/>
    <hyperlink ref="J826" r:id="rId1650" display="21" xr:uid="{F96131FD-0423-49E6-81F0-3F12A0AA673C}"/>
    <hyperlink ref="K826" r:id="rId1651" display="30/05/2019" xr:uid="{412AB95E-D111-456D-907D-DA7F5A4C4D8C}"/>
    <hyperlink ref="L826" r:id="rId1652" xr:uid="{BF95A80C-303C-47FE-A4E0-0ECE8473A94B}"/>
    <hyperlink ref="I828" r:id="rId1653" xr:uid="{9609C190-EB99-4F40-BEFE-F75CF44883F4}"/>
    <hyperlink ref="J828" r:id="rId1654" display="54" xr:uid="{770F599C-94E6-4892-9797-243E52740439}"/>
    <hyperlink ref="K828" r:id="rId1655" display="05/06/2019" xr:uid="{2541C82B-0A65-40E3-BA30-CE39620E7DDB}"/>
    <hyperlink ref="L828" r:id="rId1656" xr:uid="{30E5FA04-6B85-4D83-8A62-65C711896290}"/>
    <hyperlink ref="I830" r:id="rId1657" xr:uid="{41C8A16D-8356-4706-9ACC-C219A4CEC573}"/>
    <hyperlink ref="J830" r:id="rId1658" display="312" xr:uid="{7F491C09-D94B-4A02-87CB-A9E28ABC06BF}"/>
    <hyperlink ref="K830" r:id="rId1659" display="03/05/2019" xr:uid="{D9816AE2-A0AC-4634-92B6-9B81A44729FA}"/>
    <hyperlink ref="I832" r:id="rId1660" xr:uid="{EF789942-4B60-4CD8-98E9-45D04273B159}"/>
    <hyperlink ref="J832" r:id="rId1661" display="176" xr:uid="{6CA03A1E-A975-42CE-8421-668EFC438641}"/>
    <hyperlink ref="K832" r:id="rId1662" display="03/05/2019" xr:uid="{B12212DA-1443-4CF7-9BC9-0A2104C43539}"/>
    <hyperlink ref="I834" r:id="rId1663" xr:uid="{4C304E70-068B-4493-86C3-FDCEB45C9145}"/>
    <hyperlink ref="J834" r:id="rId1664" display="19" xr:uid="{20C0062E-CD69-49D8-957E-07966361D424}"/>
    <hyperlink ref="K834" r:id="rId1665" display="03/05/2019" xr:uid="{9B92445D-3743-4E62-B05D-9C296D1D1BB7}"/>
    <hyperlink ref="L834" r:id="rId1666" xr:uid="{4F6BF531-9106-4D0A-B23C-8B93D969F998}"/>
    <hyperlink ref="I836" r:id="rId1667" xr:uid="{B109EB98-4D92-42D7-9864-29709AD75B23}"/>
    <hyperlink ref="J836" r:id="rId1668" display="8" xr:uid="{61F02AF2-6C6B-4A05-9E3B-54F4E4017F89}"/>
    <hyperlink ref="K836" r:id="rId1669" display="10/04/2019" xr:uid="{62D5FCC9-BB4D-45B5-B0C9-4A5E720A7847}"/>
    <hyperlink ref="L836" r:id="rId1670" xr:uid="{0B6A0C1A-7FCE-4F9B-801F-8D6358BDF5CE}"/>
    <hyperlink ref="I838" r:id="rId1671" xr:uid="{C0E1EC40-ABF4-4FA3-8CDF-9A76EEF62E80}"/>
    <hyperlink ref="J838" r:id="rId1672" display="133" xr:uid="{1BAEC15E-482B-4F46-B7AF-6ACDD151CAC0}"/>
    <hyperlink ref="K838" r:id="rId1673" display="15/02/2019" xr:uid="{F96B5E51-DEF6-4FC4-9F7C-220F54F1B164}"/>
    <hyperlink ref="I840" r:id="rId1674" xr:uid="{0D72222E-7178-436C-8A2E-90BB941FF584}"/>
    <hyperlink ref="J840" r:id="rId1675" display="9" xr:uid="{77D646AA-3D1E-4F13-A3E7-23E190E82222}"/>
    <hyperlink ref="K840" r:id="rId1676" display="15/02/2019" xr:uid="{D1FB33D9-C924-4B70-ADD9-345D1314F6FF}"/>
    <hyperlink ref="L840" r:id="rId1677" xr:uid="{52AE7167-2B2D-429B-B3C6-B99FA1478750}"/>
    <hyperlink ref="I842" r:id="rId1678" xr:uid="{BBF57B8B-0EA9-40A7-A5A4-F86B80C873A5}"/>
    <hyperlink ref="J842" r:id="rId1679" display="273" xr:uid="{7AFB6DAF-852A-4DCB-AF3E-32C0E7750C90}"/>
    <hyperlink ref="K842" r:id="rId1680" display="25/01/2019" xr:uid="{888A9402-0FA8-45C4-A88E-C3F9F95BF1FC}"/>
    <hyperlink ref="I844" r:id="rId1681" xr:uid="{BF951FAF-044F-418F-850D-730E0A38DC83}"/>
    <hyperlink ref="J844" r:id="rId1682" display="81" xr:uid="{E86EC428-39F5-485F-8D05-560CAD3813BC}"/>
    <hyperlink ref="K844" r:id="rId1683" display="25/01/2019" xr:uid="{A7A7073E-17A3-44FA-86BE-87D459DAA2F3}"/>
    <hyperlink ref="L844" r:id="rId1684" xr:uid="{AFD03EDF-AE2C-478A-B3ED-470A639BE655}"/>
    <hyperlink ref="I846" r:id="rId1685" xr:uid="{4281BEAE-6D59-400D-B42E-A27429C8D99D}"/>
    <hyperlink ref="J846" r:id="rId1686" display="13" xr:uid="{42065F27-17D9-45F3-AF5E-23F4316312E9}"/>
    <hyperlink ref="K846" r:id="rId1687" display="25/01/2019" xr:uid="{6A9E79F5-9A2C-4ECD-A3C2-C3456083FE4C}"/>
    <hyperlink ref="L846" r:id="rId1688" xr:uid="{909D412F-C33E-4AF1-AB04-D0AD08531337}"/>
    <hyperlink ref="I848" r:id="rId1689" xr:uid="{D39A88B9-F159-4BEE-A6BB-5F5BD0B03937}"/>
    <hyperlink ref="J848" r:id="rId1690" display="10" xr:uid="{7F0D2371-5606-4C3E-BDB7-D631FE0E14AC}"/>
    <hyperlink ref="K848" r:id="rId1691" display="16/02/2019" xr:uid="{1F4AC461-8121-4C18-9E12-B3F04B462F06}"/>
    <hyperlink ref="L848" r:id="rId1692" xr:uid="{58FBB060-B081-41B2-9540-CA1C1BE70419}"/>
    <hyperlink ref="I850" r:id="rId1693" xr:uid="{CA9C421E-1750-42F6-8F6C-96A572FE9EE2}"/>
    <hyperlink ref="J850" r:id="rId1694" display="7" xr:uid="{E02CF0A0-C1A3-4AE2-A3C5-F4BED221BC60}"/>
    <hyperlink ref="K850" r:id="rId1695" display="01/01/2019" xr:uid="{E3F92864-DD47-43BF-9281-90DEA0A59A95}"/>
    <hyperlink ref="L850" r:id="rId1696" xr:uid="{38EF5D7D-36C4-402B-A96D-A9D12A4FCF8B}"/>
    <hyperlink ref="I852" r:id="rId1697" xr:uid="{8D72F91B-454E-4EF9-98C1-D684A1BA60C4}"/>
    <hyperlink ref="J852" r:id="rId1698" display="254" xr:uid="{E9A9CF57-0093-44FF-8282-D402FB029FCD}"/>
    <hyperlink ref="K852" r:id="rId1699" display="07/12/2018" xr:uid="{3A6AEAF7-C3E1-4D0C-950D-23FB135DECFA}"/>
    <hyperlink ref="I854" r:id="rId1700" xr:uid="{441FAE50-621D-4916-B48E-9260263CFB53}"/>
    <hyperlink ref="J854" r:id="rId1701" display="40" xr:uid="{13FAD2D9-2C32-456F-84A7-A5D933098D9F}"/>
    <hyperlink ref="K854" r:id="rId1702" display="07/12/2018" xr:uid="{B536EC40-405B-46F0-8BF2-BE38937EDAE2}"/>
    <hyperlink ref="L854" r:id="rId1703" xr:uid="{C19D1924-7626-4B49-A1B7-C00ADDA205F9}"/>
    <hyperlink ref="I856" r:id="rId1704" xr:uid="{41D9D11B-FE8D-4BEB-B9CD-695E3E64DEFF}"/>
    <hyperlink ref="J856" r:id="rId1705" display="16" xr:uid="{AFADDF5D-6A64-4735-BF7B-3274FA99071F}"/>
    <hyperlink ref="K856" r:id="rId1706" display="07/12/2018" xr:uid="{1AB4F8FE-877B-4AC1-A38E-4F7B248DEA1A}"/>
    <hyperlink ref="L856" r:id="rId1707" xr:uid="{9249A51B-49FC-42C8-B12D-AD4152CADD26}"/>
    <hyperlink ref="I858" r:id="rId1708" xr:uid="{8F92E58F-C65F-44FF-8C0C-4FCD197F5B36}"/>
    <hyperlink ref="J858" r:id="rId1709" display="68" xr:uid="{75C23B25-E059-448E-B617-A96D7098801E}"/>
    <hyperlink ref="K858" r:id="rId1710" display="16/11/2018" xr:uid="{77A3EA17-3618-41D1-87BE-F82ED011BC83}"/>
    <hyperlink ref="L858" r:id="rId1711" xr:uid="{ECF4048E-2C9D-4734-BC83-A45033B8917E}"/>
    <hyperlink ref="I860" r:id="rId1712" xr:uid="{AC99347A-6546-451D-ABF7-BE6D98D26A96}"/>
    <hyperlink ref="J860" r:id="rId1713" display="127" xr:uid="{7FBA9A5C-FD88-4AB8-948B-960F4B1F0BD1}"/>
    <hyperlink ref="K860" r:id="rId1714" display="02/11/2018" xr:uid="{334C2112-974A-4EBB-9F0E-F4DE9422F411}"/>
    <hyperlink ref="I862" r:id="rId1715" xr:uid="{A4003D6E-048B-46A3-956E-29F445EDF759}"/>
    <hyperlink ref="J862" r:id="rId1716" display="10" xr:uid="{E72FDA87-44A3-4F30-BC37-F9A72A6F23F8}"/>
    <hyperlink ref="K862" r:id="rId1717" display="02/11/2018" xr:uid="{ED248DD7-61C1-4E03-9466-D048F3C1B2B4}"/>
    <hyperlink ref="L862" r:id="rId1718" xr:uid="{ED809F54-C792-40D1-A026-99BBE83FC220}"/>
    <hyperlink ref="I864" r:id="rId1719" xr:uid="{CBE4E28C-14B0-4FE5-85E8-EF4AD050A813}"/>
    <hyperlink ref="J864" r:id="rId1720" display="273" xr:uid="{DC54009D-D865-46AE-9A61-43CA6477955B}"/>
    <hyperlink ref="K864" r:id="rId1721" display="05/10/2018" xr:uid="{BBBF8B5B-B179-4C56-A932-3F81F75A2E61}"/>
    <hyperlink ref="I866" r:id="rId1722" xr:uid="{1B558B25-CE71-4879-AA83-B39C3B7851C2}"/>
    <hyperlink ref="J866" r:id="rId1723" display="84" xr:uid="{35577E8B-B7A7-4C2B-A716-AB15227D8449}"/>
    <hyperlink ref="K866" r:id="rId1724" display="05/10/2018" xr:uid="{77F3EF7D-6CE2-4C41-BE57-2809F9D2AB74}"/>
    <hyperlink ref="I868" r:id="rId1725" xr:uid="{81B42DE8-DA90-49DE-9D0E-DF99FD6B4B38}"/>
    <hyperlink ref="J868" r:id="rId1726" display="8" xr:uid="{B7EC4306-72BB-440F-9F70-F7D19EE19DF0}"/>
    <hyperlink ref="K868" r:id="rId1727" display="05/10/2018" xr:uid="{B3677DFF-6F93-4A09-9C67-CAB8074C8C40}"/>
    <hyperlink ref="L868" r:id="rId1728" xr:uid="{A9C8C581-F368-4979-821E-EC7A400A47AD}"/>
    <hyperlink ref="I870" r:id="rId1729" xr:uid="{BF8C36E1-A5C9-4B52-94AC-FE1964A3D0B5}"/>
    <hyperlink ref="J870" r:id="rId1730" display="10" xr:uid="{9D2133BE-438A-49FB-9B06-ABB1CC16BF81}"/>
    <hyperlink ref="K870" r:id="rId1731" display="09/11/2018" xr:uid="{4BB9A506-8463-46A9-94E5-80E24947EEED}"/>
    <hyperlink ref="L870" r:id="rId1732" xr:uid="{E8D54063-0710-41AB-92B5-89F20A52D6BE}"/>
    <hyperlink ref="I872" r:id="rId1733" xr:uid="{BEE2BD18-59BB-43E0-8F55-9EE3C6E87C5C}"/>
    <hyperlink ref="J872" r:id="rId1734" display="24" xr:uid="{E69F7CC1-1A8E-4A04-83B4-CB0EA8D464CE}"/>
    <hyperlink ref="K872" r:id="rId1735" display="05/10/2018" xr:uid="{4A53892F-9A56-4751-ACAC-E60DE02699C9}"/>
    <hyperlink ref="L872" r:id="rId1736" xr:uid="{E04000F7-CC74-46B3-B31D-85C1241B99F3}"/>
    <hyperlink ref="I874" r:id="rId1737" xr:uid="{56547EF4-2E63-41AC-85E9-AD23A211F62A}"/>
    <hyperlink ref="J874" r:id="rId1738" display="16" xr:uid="{508C6D22-8578-44B9-8091-B58D46E86E39}"/>
    <hyperlink ref="K874" r:id="rId1739" display="05/10/2018" xr:uid="{48801FF1-033F-423D-91DE-779B9F01E66A}"/>
    <hyperlink ref="L874" r:id="rId1740" xr:uid="{DFEBF310-FFD5-4336-890B-6F7A508C04FF}"/>
    <hyperlink ref="I876" r:id="rId1741" xr:uid="{E3AE8939-9995-41E6-95FF-A65FAF9C6050}"/>
    <hyperlink ref="J876" r:id="rId1742" display="307" xr:uid="{A5D3853A-9C25-4875-93A0-3CE0469FBD5A}"/>
    <hyperlink ref="K876" r:id="rId1743" display="10/08/2018" xr:uid="{FC264817-8251-47BB-9E77-D089934AC91E}"/>
    <hyperlink ref="I878" r:id="rId1744" xr:uid="{B13B9866-8253-4AC9-8065-9D9E6AEA9061}"/>
    <hyperlink ref="J878" r:id="rId1745" display="26" xr:uid="{E20D4B82-B934-477D-9320-7E15A88E4F7C}"/>
    <hyperlink ref="K878" r:id="rId1746" display="09/08/2018" xr:uid="{AD665F7C-8844-4E54-B0EB-B330D5502A71}"/>
    <hyperlink ref="L878" r:id="rId1747" xr:uid="{4DCA5DF0-A06B-4BC9-843A-3E23BC77004A}"/>
    <hyperlink ref="I880" r:id="rId1748" xr:uid="{CFD75974-A797-4D78-9E90-5A25F26471F8}"/>
    <hyperlink ref="J880" r:id="rId1749" display="4" xr:uid="{659B5E25-2BB5-4C73-93E0-50AFD6C5F292}"/>
    <hyperlink ref="K880" r:id="rId1750" display="09/08/2018" xr:uid="{EFA044FC-04D8-4D4D-8164-549E1840BF44}"/>
    <hyperlink ref="L880" r:id="rId1751" xr:uid="{8CBABC30-7D33-430F-930A-D1775A9C6796}"/>
    <hyperlink ref="I882" r:id="rId1752" xr:uid="{BDD4A8CC-6018-438E-BF16-75E5D95E2322}"/>
    <hyperlink ref="J882" r:id="rId1753" display="540" xr:uid="{612AFB9F-BB3E-40C7-B217-2884DBEEABA8}"/>
    <hyperlink ref="K882" r:id="rId1754" display="08/08/2018" xr:uid="{08B2A956-2CD4-49CC-A630-CDD5B84210D0}"/>
    <hyperlink ref="I884" r:id="rId1755" xr:uid="{E8669E8E-A0BD-483F-9A9F-D6268C03D58C}"/>
    <hyperlink ref="J884" r:id="rId1756" display="3" xr:uid="{C23A86FF-D5C6-4E35-BFF4-90CE769E781A}"/>
    <hyperlink ref="K884" r:id="rId1757" display="01/08/2018" xr:uid="{7858789C-A940-4486-A4E9-325155041CA3}"/>
    <hyperlink ref="L884" r:id="rId1758" xr:uid="{E2665205-D958-4BA2-BD15-1A209D89038D}"/>
    <hyperlink ref="I886" r:id="rId1759" xr:uid="{A662B852-8CEB-438E-AAEB-F6FB12726176}"/>
    <hyperlink ref="J886" r:id="rId1760" display="5" xr:uid="{0152200D-A905-4B0C-ABDB-ED7CCB41EA56}"/>
    <hyperlink ref="K886" r:id="rId1761" display="19/07/2018" xr:uid="{397C112C-A423-4250-986E-C3794A312AE8}"/>
    <hyperlink ref="L886" r:id="rId1762" xr:uid="{11372D50-8082-41E6-B9F6-3981CBE50B17}"/>
    <hyperlink ref="I888" r:id="rId1763" xr:uid="{166BF09D-093B-422B-B2B7-A067F63D87A2}"/>
    <hyperlink ref="J888" r:id="rId1764" display="46" xr:uid="{A5C3EA42-9944-4B7F-BF4C-5DAC09FA5B43}"/>
    <hyperlink ref="K888" r:id="rId1765" display="14/07/2018" xr:uid="{C1488817-09AD-4FA1-872D-ECD523E7FFB9}"/>
    <hyperlink ref="L888" r:id="rId1766" xr:uid="{1D1CD7B2-467D-41C9-B3F6-256ED91CEC01}"/>
    <hyperlink ref="I890" r:id="rId1767" xr:uid="{93F27A99-DCA8-4134-AB72-CD0C234D0B36}"/>
    <hyperlink ref="J890" r:id="rId1768" display="20" xr:uid="{6800EAEE-6E4F-4B40-A926-EC2D395B73D2}"/>
    <hyperlink ref="K890" r:id="rId1769" display="14/07/2018" xr:uid="{13045AF8-38F9-473E-B6E6-3351592C32CC}"/>
    <hyperlink ref="L890" r:id="rId1770" xr:uid="{2B6C9044-DD0A-4DB8-A70A-C2C8DD8E0623}"/>
    <hyperlink ref="I892" r:id="rId1771" xr:uid="{741A0EEE-00F5-44CC-8E1E-2733D64B6688}"/>
    <hyperlink ref="J892" r:id="rId1772" display="14" xr:uid="{D803E993-527C-47C8-8F3E-C11139619194}"/>
    <hyperlink ref="K892" r:id="rId1773" display="14/07/2018" xr:uid="{CDDEC86E-4081-4129-B675-4E9DE514CB7E}"/>
    <hyperlink ref="L892" r:id="rId1774" xr:uid="{B2903230-2D73-4A06-8950-0925EC2C637B}"/>
    <hyperlink ref="I894" r:id="rId1775" xr:uid="{A61D0265-B1FF-4D77-BCC1-14190CAEA0B9}"/>
    <hyperlink ref="J894" r:id="rId1776" display="78" xr:uid="{48F2D93D-E3D4-4F82-9BB2-5792EB4F469E}"/>
    <hyperlink ref="K894" r:id="rId1777" display="14/07/2018" xr:uid="{88A9D537-E0FC-4D9C-9450-83590FC8A3DE}"/>
    <hyperlink ref="L894" r:id="rId1778" xr:uid="{4EE333BE-8EB7-4C7C-AFD1-CBE28E79D093}"/>
    <hyperlink ref="I896" r:id="rId1779" xr:uid="{A11F103D-AA4A-4579-A2EA-D3D45A141DAB}"/>
    <hyperlink ref="J896" r:id="rId1780" display="314" xr:uid="{D72D4087-1BC8-4E87-AF80-7FEF8B0349DB}"/>
    <hyperlink ref="K896" r:id="rId1781" display="13/07/2018" xr:uid="{47420155-D65D-482D-9642-00F775F3141F}"/>
    <hyperlink ref="I898" r:id="rId1782" xr:uid="{002A1FFA-70A2-4E2C-887F-16CC821EA715}"/>
    <hyperlink ref="J898" r:id="rId1783" display="95" xr:uid="{3AA43B04-F624-4642-82CC-1C4F11D14641}"/>
    <hyperlink ref="K898" r:id="rId1784" display="13/07/2018" xr:uid="{C75C030D-CB58-4E6D-A235-29AF864022C4}"/>
    <hyperlink ref="L898" r:id="rId1785" xr:uid="{39DF0E91-23CA-4222-BB11-AD633A7F0EEB}"/>
    <hyperlink ref="I900" r:id="rId1786" xr:uid="{DB6F62D9-EAA4-47DA-8CED-4F7771BB52FE}"/>
    <hyperlink ref="J900" r:id="rId1787" display="18" xr:uid="{D37A20DC-AD3E-4A39-BC13-B84A8D674AB2}"/>
    <hyperlink ref="K900" r:id="rId1788" display="13/07/2018" xr:uid="{F0A3F3A6-A7D5-489C-BD4A-4A2412910CE4}"/>
    <hyperlink ref="L900" r:id="rId1789" xr:uid="{F102CC76-133E-494D-94D3-3049800988BD}"/>
    <hyperlink ref="I902" r:id="rId1790" xr:uid="{A7C814DA-E291-4FAE-81C6-5274FD3A08BF}"/>
    <hyperlink ref="J902" r:id="rId1791" display="5" xr:uid="{0663E44E-99E0-437E-99FB-4DADEEEBF047}"/>
    <hyperlink ref="K902" r:id="rId1792" display="16/11/2018" xr:uid="{BB79C6E1-0965-442A-A0E2-BFB9A1B20D5E}"/>
    <hyperlink ref="L902" r:id="rId1793" xr:uid="{6541905B-3E26-494B-8271-E15D8B707168}"/>
    <hyperlink ref="I904" r:id="rId1794" xr:uid="{7DA1B34E-8C76-4C38-B6F4-B79140C847CE}"/>
    <hyperlink ref="J904" r:id="rId1795" display="5" xr:uid="{4004E9B3-90ED-4C5A-8103-4E942F3FA577}"/>
    <hyperlink ref="K904" r:id="rId1796" display="13/07/2018" xr:uid="{DD3B75E4-C6BC-4DBB-8314-C071EBFD42FF}"/>
    <hyperlink ref="L904" r:id="rId1797" xr:uid="{E183613D-4C28-41C3-9A26-8ED346465C9E}"/>
    <hyperlink ref="I906" r:id="rId1798" xr:uid="{E13B32AF-2270-4E2E-A40B-3A3E4CFDC3D6}"/>
    <hyperlink ref="J906" r:id="rId1799" display="41" xr:uid="{604BAC7B-4AB6-4A83-A12D-9999857B410B}"/>
    <hyperlink ref="K906" r:id="rId1800" display="22/06/2018" xr:uid="{5700FA4C-71CB-428C-9269-59C98ECFD994}"/>
    <hyperlink ref="I908" r:id="rId1801" xr:uid="{55E29D2B-4A55-4DCE-97E5-553DEBB6543B}"/>
    <hyperlink ref="J908" r:id="rId1802" display="8" xr:uid="{9B9A5BE7-F9FF-4459-BCBA-F4B6DAA18E18}"/>
    <hyperlink ref="K908" r:id="rId1803" display="15/06/2018" xr:uid="{BAFD8715-9983-4C1F-B1F0-8A40C5B0CB11}"/>
    <hyperlink ref="L908" r:id="rId1804" xr:uid="{64D79499-C58D-48E8-A971-28B130538982}"/>
    <hyperlink ref="I910" r:id="rId1805" xr:uid="{A0D28D3F-BFEC-4ED2-BDDE-EE9209AB126C}"/>
    <hyperlink ref="J910" r:id="rId1806" display="540" xr:uid="{F59541E9-F9B4-4DA0-A220-26ACAB36C004}"/>
    <hyperlink ref="K910" r:id="rId1807" display="13/06/2018" xr:uid="{A0A4BD96-98C5-41F0-BD0C-EED59BB2352A}"/>
    <hyperlink ref="I912" r:id="rId1808" xr:uid="{C24720AE-952C-4F87-9395-4BF135F019AE}"/>
    <hyperlink ref="J912" r:id="rId1809" display="312" xr:uid="{37F5722D-D40C-4531-8354-6783CE49A76A}"/>
    <hyperlink ref="K912" r:id="rId1810" display="08/06/2018" xr:uid="{E2151C20-983C-445A-A39E-11CC6839C41C}"/>
    <hyperlink ref="L912" r:id="rId1811" xr:uid="{83557EA1-C61C-4DB9-9BD0-6C37B47C7CBC}"/>
    <hyperlink ref="I914" r:id="rId1812" xr:uid="{D98DD050-6C97-42F5-9613-D5A75DD1C80F}"/>
    <hyperlink ref="J914" r:id="rId1813" display="19" xr:uid="{6F1248CD-B523-4DF0-BC6B-3BFBD122773C}"/>
    <hyperlink ref="K914" r:id="rId1814" display="08/06/2018" xr:uid="{23984E11-E972-464D-80BC-C1E4FC8D7D48}"/>
    <hyperlink ref="L914" r:id="rId1815" xr:uid="{B32DA989-C625-4A88-A0C8-7FA73392F0EA}"/>
    <hyperlink ref="I916" r:id="rId1816" xr:uid="{E1AFF329-0C51-4C02-83F6-F6955965A96F}"/>
    <hyperlink ref="J916" r:id="rId1817" display="256" xr:uid="{EDC0AF63-5433-4008-B31B-33FBAED43B4D}"/>
    <hyperlink ref="K916" r:id="rId1818" display="08/06/2018" xr:uid="{FAC266F2-2736-437A-B392-61CED3B675C6}"/>
    <hyperlink ref="I918" r:id="rId1819" xr:uid="{A055660E-55FA-46AD-8A83-E8894DAFCCE6}"/>
    <hyperlink ref="J918" r:id="rId1820" display="22" xr:uid="{10E7D1D9-F024-41AF-BF62-1DC7CCA9434A}"/>
    <hyperlink ref="K918" r:id="rId1821" display="08/06/2018" xr:uid="{86C6FCF6-BCDA-490F-99DD-3C8140051EFA}"/>
    <hyperlink ref="L918" r:id="rId1822" xr:uid="{9F0BDD60-B6E8-4CD3-8608-37E0EB2A0A4E}"/>
    <hyperlink ref="I920" r:id="rId1823" xr:uid="{5BEBE6A7-4DFB-4E7D-B79C-42578A60D753}"/>
    <hyperlink ref="J920" r:id="rId1824" display="8" xr:uid="{D447731C-879C-4F44-A542-BA34216AE0F2}"/>
    <hyperlink ref="K920" r:id="rId1825" display="08/06/2018" xr:uid="{F0BF9E48-F2BE-4DC1-990C-4822FB3BE960}"/>
    <hyperlink ref="L920" r:id="rId1826" xr:uid="{AE7E97AE-3B49-4D26-9E24-C9BFB062D805}"/>
    <hyperlink ref="I922" r:id="rId1827" xr:uid="{A4DA0A3D-5DF7-4186-B371-4F6002E1E976}"/>
    <hyperlink ref="J922" r:id="rId1828" display="600" xr:uid="{86C59358-BE62-4843-9A4D-61D5FFBF8E88}"/>
    <hyperlink ref="K922" r:id="rId1829" display="23/05/2018" xr:uid="{95ECF0BD-7394-43F1-87B4-3A68D3FADA65}"/>
    <hyperlink ref="I924" r:id="rId1830" xr:uid="{1AC607FB-8B47-42BF-8D75-FAFCE7428075}"/>
    <hyperlink ref="J924" r:id="rId1831" display="280" xr:uid="{519DDA29-24E7-4F32-BC82-FCB30461F668}"/>
    <hyperlink ref="K924" r:id="rId1832" display="27/04/2018" xr:uid="{2B3832D3-5051-4A8D-BACF-969BB5B416DB}"/>
    <hyperlink ref="I926" r:id="rId1833" xr:uid="{8220C973-55CB-4DDD-9D0E-653556808AFE}"/>
    <hyperlink ref="J926" r:id="rId1834" display="118" xr:uid="{FC24AC9F-B53C-48BD-90CA-26843CB8F7FA}"/>
    <hyperlink ref="K926" r:id="rId1835" display="27/04/2018" xr:uid="{D4370099-D34E-4F8C-B2A0-7E231063AD60}"/>
    <hyperlink ref="I928" r:id="rId1836" xr:uid="{21DC877B-36DB-4FCE-8240-C7573163520A}"/>
    <hyperlink ref="J928" r:id="rId1837" display="16" xr:uid="{A46A04BD-98CA-4C90-84B8-F452E6A96B05}"/>
    <hyperlink ref="K928" r:id="rId1838" display="27/04/2018" xr:uid="{09A579A9-74A7-427F-A3C6-B417E32C45B5}"/>
    <hyperlink ref="L928" r:id="rId1839" xr:uid="{87FD6381-4A3D-4DCD-85DC-B1416EA8C47D}"/>
    <hyperlink ref="I930" r:id="rId1840" xr:uid="{0F4B8089-50FD-458B-A904-6C86D78DCD93}"/>
    <hyperlink ref="J930" r:id="rId1841" display="76" xr:uid="{19B8CB55-3B5B-4940-A640-659115761C58}"/>
    <hyperlink ref="K930" r:id="rId1842" display="06/04/2018" xr:uid="{A9FC207A-3CBC-47DE-8801-3FC86DC1EE30}"/>
    <hyperlink ref="I932" r:id="rId1843" xr:uid="{C5E1C884-3204-4173-BC9B-0D168D0A9159}"/>
    <hyperlink ref="J932" r:id="rId1844" display="4" xr:uid="{3F076D68-7532-47D0-AEE8-5BCCAEDB55E9}"/>
    <hyperlink ref="K932" r:id="rId1845" display="06/04/2018" xr:uid="{1E8F97C0-AD07-4603-8C9B-0A99C57F5F8B}"/>
    <hyperlink ref="L932" r:id="rId1846" xr:uid="{9DFEDBBC-6817-4102-9476-0D6C1F4AB256}"/>
    <hyperlink ref="I934" r:id="rId1847" xr:uid="{4A47935C-8A3F-41CC-A3B2-4934245C615E}"/>
    <hyperlink ref="J934" r:id="rId1848" display="249" xr:uid="{9FE359B6-6903-485D-8528-E3A0FED20553}"/>
    <hyperlink ref="K934" r:id="rId1849" display="16/03/2018" xr:uid="{7857E6F0-D10C-4B59-B866-B3943C8F07EB}"/>
    <hyperlink ref="I936" r:id="rId1850" xr:uid="{FF38A54E-26F7-4849-9EBF-B397412F0317}"/>
    <hyperlink ref="J936" r:id="rId1851" display="16" xr:uid="{83BFB34A-6509-4655-9DC4-A27C462F56C5}"/>
    <hyperlink ref="K936" r:id="rId1852" display="16/03/2018" xr:uid="{CFEBA7FB-3CFE-4FE9-A900-8C6102C21CAC}"/>
    <hyperlink ref="L936" r:id="rId1853" xr:uid="{CE8E8B8E-F704-4096-A9F0-FDBBA912A8D6}"/>
    <hyperlink ref="I938" r:id="rId1854" xr:uid="{5193CE2F-B22F-4C45-8502-CCFF8EDC7435}"/>
    <hyperlink ref="J938" r:id="rId1855" display="1" xr:uid="{AD4F5C51-C2BD-42E4-AABB-AAB2BC9FD090}"/>
    <hyperlink ref="K938" r:id="rId1856" display="16/02/2018" xr:uid="{F8862789-F944-49E4-81C4-8833DD314D20}"/>
    <hyperlink ref="L938" r:id="rId1857" xr:uid="{4F0A0887-BFE1-4D36-BE3C-2CC10337E16F}"/>
    <hyperlink ref="I940" r:id="rId1858" xr:uid="{BB41F386-9170-4AB9-86C2-3D3FADD59D03}"/>
    <hyperlink ref="J940" r:id="rId1859" display="1" xr:uid="{BF5EE2FD-41A8-49EF-BFA5-6BFBFCAF9D5E}"/>
    <hyperlink ref="K940" r:id="rId1860" display="25/01/2018" xr:uid="{E0C9CB37-D8E2-4F6B-94F2-C7A84822C3AB}"/>
    <hyperlink ref="L940" r:id="rId1861" xr:uid="{69F0F7AC-A99F-424C-B70F-A63B0E80DAB3}"/>
    <hyperlink ref="I942" r:id="rId1862" xr:uid="{EBEC8AF0-F0F1-42C3-8453-D2CF1715339D}"/>
    <hyperlink ref="J942" r:id="rId1863" display="205" xr:uid="{7A0E5DA5-4F00-46DC-9E8B-9159516950BB}"/>
    <hyperlink ref="K942" r:id="rId1864" display="19/01/2018" xr:uid="{515369BF-CCF0-42E8-8CED-B31F93E4C781}"/>
    <hyperlink ref="I944" r:id="rId1865" xr:uid="{FB957730-C2D5-4E0E-A4F4-7F85A48C406C}"/>
    <hyperlink ref="J944" r:id="rId1866" display="98" xr:uid="{94DD4A28-0469-4B94-B0EB-5F5FBD1EC936}"/>
    <hyperlink ref="K944" r:id="rId1867" display="19/01/2018" xr:uid="{1A210157-438B-4AC5-8A3D-F6BB5197E656}"/>
    <hyperlink ref="L944" r:id="rId1868" xr:uid="{5A73243D-2229-46E3-A89B-0AEB58CB8CB1}"/>
    <hyperlink ref="I946" r:id="rId1869" xr:uid="{1D604153-AF2E-4EEA-83AE-60706CDF0B3C}"/>
    <hyperlink ref="J946" r:id="rId1870" display="7" xr:uid="{6E023AA9-B78C-46BD-8ECE-1B3DC10E9E65}"/>
    <hyperlink ref="K946" r:id="rId1871" display="19/01/2018" xr:uid="{5F5F788C-DCB9-4DC8-8B52-ED6940308D73}"/>
    <hyperlink ref="L946" r:id="rId1872" xr:uid="{C6889C8A-72A1-4A2D-AA20-9CD4EB4B3B23}"/>
    <hyperlink ref="I948" r:id="rId1873" xr:uid="{F9417AC7-B27A-4DA5-8A2E-D6CFDBBEA38C}"/>
    <hyperlink ref="J948" r:id="rId1874" display="8" xr:uid="{831D4726-C209-4A51-B426-A952C6139D9C}"/>
    <hyperlink ref="K948" r:id="rId1875" display="01/01/2018" xr:uid="{D0DE1465-F073-4459-AC2D-F61E21F762E2}"/>
    <hyperlink ref="L948" r:id="rId1876" xr:uid="{10F9B602-4D56-4A1C-A894-E28ABC395BB7}"/>
    <hyperlink ref="I950" r:id="rId1877" xr:uid="{343E2076-C6F0-4222-8570-4D2C38F41B44}"/>
    <hyperlink ref="J950" r:id="rId1878" display="3" xr:uid="{2FAF7C20-6299-4CE3-B8EB-062A7A250447}"/>
    <hyperlink ref="K950" r:id="rId1879" display="27/12/2017" xr:uid="{7AA8D4FD-F724-4811-9E92-2268E7CD8D2E}"/>
    <hyperlink ref="L950" r:id="rId1880" xr:uid="{C41ECC6C-CD98-4D16-A488-0E7EDE7C22C6}"/>
    <hyperlink ref="I952" r:id="rId1881" xr:uid="{58522C19-2AEB-4095-A91E-1DD991C84EBC}"/>
    <hyperlink ref="J952" r:id="rId1882" display="268" xr:uid="{CF8BE9A7-0814-4499-B030-E8B53F087239}"/>
    <hyperlink ref="K952" r:id="rId1883" display="08/12/2017" xr:uid="{D609F0F0-A3F2-46EB-A86F-7D20771381E4}"/>
    <hyperlink ref="L952" r:id="rId1884" xr:uid="{FDCEABA5-8D7D-485E-ADDF-A33B088316F4}"/>
    <hyperlink ref="I954" r:id="rId1885" xr:uid="{55D4E150-20CB-4353-8722-B185C5B53BC5}"/>
    <hyperlink ref="J954" r:id="rId1886" display="1" xr:uid="{69EAD743-ACB6-4826-92CE-E3CAB9154D14}"/>
    <hyperlink ref="K954" r:id="rId1887" display="08/12/2017" xr:uid="{FF0EB5C7-387D-47D8-BC2B-F2D5E37F89D8}"/>
    <hyperlink ref="L954" r:id="rId1888" xr:uid="{02214D80-EF7D-492D-8686-C65F04B88654}"/>
    <hyperlink ref="I956" r:id="rId1889" xr:uid="{42373E84-62D2-41CD-93A3-9BF15F9A8EC9}"/>
    <hyperlink ref="J956" r:id="rId1890" display="20" xr:uid="{ECB50133-607C-46A9-A9B7-56347F386F48}"/>
    <hyperlink ref="K956" r:id="rId1891" display="08/12/2017" xr:uid="{39726130-8F81-4875-AC52-B501CE3B6571}"/>
    <hyperlink ref="L956" r:id="rId1892" xr:uid="{3D1EDB7F-9A56-492C-91F7-F36E82D5605B}"/>
    <hyperlink ref="I958" r:id="rId1893" xr:uid="{390DD636-9E18-40BA-A536-F2D2FE4D6FD1}"/>
    <hyperlink ref="J958" r:id="rId1894" display="16" xr:uid="{15F77E61-85C2-4694-8F72-0ED5E8226059}"/>
    <hyperlink ref="K958" r:id="rId1895" display="24/11/2017" xr:uid="{EECF5AB9-BA15-4DA1-8318-9CAA2B908706}"/>
    <hyperlink ref="L958" r:id="rId1896" xr:uid="{D91D2268-CB2A-412B-9346-64D64EE09BFF}"/>
    <hyperlink ref="I960" r:id="rId1897" xr:uid="{3AF03BE3-EFAD-4AEE-BF5F-328D04665E54}"/>
    <hyperlink ref="J960" r:id="rId1898" display="48" xr:uid="{E60A5FA2-5F8C-46C8-ADC7-7BFF85C92C34}"/>
    <hyperlink ref="K960" r:id="rId1899" display="24/11/2017" xr:uid="{DF602E9D-EC0E-4793-9516-D1F2438CAF6D}"/>
    <hyperlink ref="L960" r:id="rId1900" xr:uid="{7AD19241-482E-4935-ABE9-2FAFAB105AED}"/>
    <hyperlink ref="I962" r:id="rId1901" xr:uid="{988D050C-5E6B-4F31-9D5A-519ED0671F8A}"/>
    <hyperlink ref="J962" r:id="rId1902" display="249" xr:uid="{1B2B4BE7-F2A9-40ED-ABBF-8A712C1C4D5C}"/>
    <hyperlink ref="K962" r:id="rId1903" display="17/11/2017" xr:uid="{540BDF5D-6560-42B4-AE06-18959CDD62C9}"/>
    <hyperlink ref="I964" r:id="rId1904" xr:uid="{8ED77BFD-4483-4905-B44E-F35607692E33}"/>
    <hyperlink ref="J964" r:id="rId1905" display="7" xr:uid="{838618D7-021C-4A51-8D69-05E4DED88750}"/>
    <hyperlink ref="K964" r:id="rId1906" display="29/11/2017" xr:uid="{1E1BF787-67EC-4081-9230-BCCFDC588295}"/>
    <hyperlink ref="L964" r:id="rId1907" xr:uid="{5185A60C-E122-4A3E-9C1C-3F90FB05904B}"/>
    <hyperlink ref="I966" r:id="rId1908" xr:uid="{3EB7D7CA-4A80-4776-B731-4C8F441AB0B2}"/>
    <hyperlink ref="J966" r:id="rId1909" display="63" xr:uid="{1ABF56A7-F48C-4E21-AD02-4AB68BAB1367}"/>
    <hyperlink ref="K966" r:id="rId1910" display="24/10/2017" xr:uid="{78844882-8DA2-409D-9A12-D18F6F36E061}"/>
    <hyperlink ref="I968" r:id="rId1911" xr:uid="{83B92FB8-92F8-45C3-BEFB-508B3BF446B9}"/>
    <hyperlink ref="J968" r:id="rId1912" display="3" xr:uid="{BC46B39D-92A7-4E77-BFEA-E63EBD24372A}"/>
    <hyperlink ref="K968" r:id="rId1913" display="24/10/2017" xr:uid="{2EFC00B9-6589-4205-99C8-14FB8EF3810F}"/>
    <hyperlink ref="L968" r:id="rId1914" xr:uid="{E8CB36F5-32CD-40F4-93C8-13AA784D7060}"/>
    <hyperlink ref="I970" r:id="rId1915" xr:uid="{1A5CA1BD-1A58-4E8A-9C86-56EA7560EBE9}"/>
    <hyperlink ref="J970" r:id="rId1916" display="5" xr:uid="{EEF686F2-98CF-4978-8297-B0520A50C8A8}"/>
    <hyperlink ref="K970" r:id="rId1917" display="20/10/2017" xr:uid="{107CDCED-142E-498C-AEEA-4AF99333E1E0}"/>
    <hyperlink ref="L970" r:id="rId1918" xr:uid="{785F4CE7-0DA4-49CC-BDF5-C3D8407012BE}"/>
    <hyperlink ref="I972" r:id="rId1919" xr:uid="{6B851B4A-2918-484F-A767-9E9722BCDBEE}"/>
    <hyperlink ref="J972" r:id="rId1920" display="289" xr:uid="{F7175BAD-AA86-4476-9C9E-BDA504EC2EA7}"/>
    <hyperlink ref="K972" r:id="rId1921" display="29/09/2017" xr:uid="{B3746F50-16B0-40AB-8D82-83026E203525}"/>
    <hyperlink ref="I974" r:id="rId1922" xr:uid="{E94F304D-F1C3-4FC5-AA81-D8D62BE5D7EE}"/>
    <hyperlink ref="J974" r:id="rId1923" display="120" xr:uid="{7D46C08D-A412-46DF-9514-81C3DE1D0F2C}"/>
    <hyperlink ref="K974" r:id="rId1924" display="29/09/2017" xr:uid="{C2BF7CEB-51EA-4F6F-84BB-99CDAB2DC00F}"/>
    <hyperlink ref="L974" r:id="rId1925" xr:uid="{ED9BF064-CB13-44B9-95CF-0EF1598DA265}"/>
    <hyperlink ref="I976" r:id="rId1926" xr:uid="{8B9D49D0-2491-4A36-9F1D-FBF2E8DFE846}"/>
    <hyperlink ref="J976" r:id="rId1927" display="11" xr:uid="{6319D5C6-3CC1-40A0-9FCF-7A6C55F814C1}"/>
    <hyperlink ref="K976" r:id="rId1928" display="29/09/2017" xr:uid="{745CADF1-BE91-443E-833D-BBDFBAA5BD33}"/>
    <hyperlink ref="L976" r:id="rId1929" xr:uid="{5BF0B7D7-00BD-4F33-A32A-56E07CD908A3}"/>
    <hyperlink ref="I978" r:id="rId1930" xr:uid="{FBC20F1C-32B5-45EC-A341-2BA9DA4CE865}"/>
    <hyperlink ref="J978" r:id="rId1931" display="10" xr:uid="{FBCCD43F-C2DB-4A04-9933-6A3611A8D949}"/>
    <hyperlink ref="K978" r:id="rId1932" display="24/11/2017" xr:uid="{D5715BAE-45AF-4710-B228-F60B3C12581F}"/>
    <hyperlink ref="L978" r:id="rId1933" xr:uid="{8B5864B4-C494-4FBD-AFC1-6153C3C5ACA1}"/>
    <hyperlink ref="I980" r:id="rId1934" xr:uid="{87A057FA-997C-4408-BFC2-B198353C205E}"/>
    <hyperlink ref="J980" r:id="rId1935" display="5" xr:uid="{40DCBCEB-F176-4C9E-903A-735014CA16E5}"/>
    <hyperlink ref="K980" r:id="rId1936" display="29/09/2017" xr:uid="{D9513858-821F-4613-B7FA-F3BA8777F3AB}"/>
    <hyperlink ref="L980" r:id="rId1937" xr:uid="{5D25BF2E-893D-4EF6-B69A-45B19092FC76}"/>
    <hyperlink ref="I982" r:id="rId1938" xr:uid="{15520EC0-EFA4-413B-9984-77451F9DBFAF}"/>
    <hyperlink ref="J982" r:id="rId1939" display="4" xr:uid="{4F3AD5D4-4292-43FC-80CA-F1898E795E2F}"/>
    <hyperlink ref="K982" r:id="rId1940" display="20/09/2017" xr:uid="{57772B3E-90C2-4AAD-A5BA-DEA9D0CEDC72}"/>
    <hyperlink ref="L982" r:id="rId1941" xr:uid="{965C1036-1B26-4ED4-AC86-802530A29648}"/>
    <hyperlink ref="I984" r:id="rId1942" xr:uid="{BA257A32-42C5-400E-A2B7-66423815D0B7}"/>
    <hyperlink ref="J984" r:id="rId1943" display="3" xr:uid="{55CC99C8-EA59-4C17-9060-5EEA8B80520F}"/>
    <hyperlink ref="K984" r:id="rId1944" display="20/09/2017" xr:uid="{4A7F90AE-0816-48BE-A17D-01455629D7EE}"/>
    <hyperlink ref="L984" r:id="rId1945" xr:uid="{28912A5E-FDA3-4BFE-87F2-E65C8AF2C143}"/>
    <hyperlink ref="I986" r:id="rId1946" xr:uid="{1CB09A33-D729-418E-9296-30D7A225FF41}"/>
    <hyperlink ref="J986" r:id="rId1947" display="540" xr:uid="{815ADC1D-A03C-42C3-98E9-40BB4587DF4D}"/>
    <hyperlink ref="K986" r:id="rId1948" display="06/09/2017" xr:uid="{9D533AA3-BAD1-48F3-B628-DB8A14732025}"/>
    <hyperlink ref="I988" r:id="rId1949" xr:uid="{9C46CD54-20E1-4AC3-A219-C528BCF1AA39}"/>
    <hyperlink ref="J988" r:id="rId1950" display="309" xr:uid="{E2F790E6-E27F-456B-9263-AA63445472E5}"/>
    <hyperlink ref="K988" r:id="rId1951" display="25/08/2017" xr:uid="{222D72CD-EDF3-4D6F-99B8-99902E4EAD72}"/>
    <hyperlink ref="I990" r:id="rId1952" xr:uid="{7ED088DD-874F-4524-9AB1-67DC37F65367}"/>
    <hyperlink ref="J990" r:id="rId1953" display="11" xr:uid="{F7133634-E637-4658-9275-54CC482DD187}"/>
    <hyperlink ref="K990" r:id="rId1954" display="25/08/2017" xr:uid="{9A7C40BF-BA97-4F12-9F67-29AF241988F0}"/>
    <hyperlink ref="L990" r:id="rId1955" xr:uid="{6265470D-D0C1-42E2-A259-62FA440D9E91}"/>
    <hyperlink ref="I992" r:id="rId1956" xr:uid="{21C30DFB-4EF8-4005-90ED-516D18BEC032}"/>
    <hyperlink ref="J992" r:id="rId1957" display="4" xr:uid="{9E5EA515-D29C-4140-9C8F-314A4FDC9623}"/>
    <hyperlink ref="K992" r:id="rId1958" display="25/08/2017" xr:uid="{CDC25467-1595-432E-A5A6-5B005BEA8A55}"/>
    <hyperlink ref="L992" r:id="rId1959" xr:uid="{431E9287-78FF-4BB0-969E-4D5F64B2C1A7}"/>
    <hyperlink ref="I994" r:id="rId1960" xr:uid="{E3B34871-77CE-4B22-9718-2DE30A4BFA98}"/>
    <hyperlink ref="J994" r:id="rId1961" display="6" xr:uid="{DAEA2329-826B-4F83-866F-147DB66EBC94}"/>
    <hyperlink ref="K994" r:id="rId1962" display="20/07/2017" xr:uid="{EDADB342-00EF-4463-A580-4497C4D05A40}"/>
    <hyperlink ref="L994" r:id="rId1963" xr:uid="{7DB67340-A78C-4B41-8851-536F14F88AD0}"/>
    <hyperlink ref="I996" r:id="rId1964" xr:uid="{6FD7DFF6-C1F1-4837-BAC9-817A8893C1AB}"/>
    <hyperlink ref="J996" r:id="rId1965" display="209" xr:uid="{F6313422-A0E5-4B51-9DD9-F7ADE3904FC5}"/>
    <hyperlink ref="K996" r:id="rId1966" display="14/07/2017" xr:uid="{FFDCB060-6A76-4D95-827E-9DEA00BA33A5}"/>
    <hyperlink ref="I998" r:id="rId1967" xr:uid="{7B0BF550-3566-47B2-9808-8C950FCE3DB7}"/>
    <hyperlink ref="J998" r:id="rId1968" display="62" xr:uid="{3B09AA90-B801-44C4-A9AC-054601D3CF9B}"/>
    <hyperlink ref="K998" r:id="rId1969" display="14/07/2017" xr:uid="{63B1FBDA-2729-4145-B4DE-EACAFDF8CAAF}"/>
    <hyperlink ref="L998" r:id="rId1970" xr:uid="{EC895D84-8F1F-4B96-A304-6A49C3FA91A6}"/>
    <hyperlink ref="I1000" r:id="rId1971" xr:uid="{36DC28DF-E198-42E2-BFF9-E22BDC10B132}"/>
    <hyperlink ref="J1000" r:id="rId1972" display="13" xr:uid="{F85FA589-B5ED-4FE2-8BD3-D68B1B2E5C9B}"/>
    <hyperlink ref="K1000" r:id="rId1973" display="14/07/2017" xr:uid="{D12D5E5A-9BF7-423A-A63D-7906FD3E84BA}"/>
    <hyperlink ref="L1000" r:id="rId1974" xr:uid="{80EAE1D7-91EC-4ECA-917E-8F4C51CFE5A3}"/>
    <hyperlink ref="I1002" r:id="rId1975" xr:uid="{7EFF1E18-69CF-4570-B9F3-11FB9A46E3E9}"/>
    <hyperlink ref="J1002" r:id="rId1976" display="106" xr:uid="{1B80D750-9E6C-417A-A6A6-5DE1E689B917}"/>
    <hyperlink ref="K1002" r:id="rId1977" display="16/06/2017" xr:uid="{BF3AC50A-C232-45A1-9B97-4D13144C2173}"/>
    <hyperlink ref="L1002" r:id="rId1978" xr:uid="{03C90A81-2EF6-4A54-B76F-6676F8850926}"/>
    <hyperlink ref="I1004" r:id="rId1979" xr:uid="{DF44F0B8-FE88-442B-AEA4-F816AD16C0DD}"/>
    <hyperlink ref="J1004" r:id="rId1980" display="5" xr:uid="{EA6D727F-D233-4DAA-B1A4-AF023970BBE7}"/>
    <hyperlink ref="K1004" r:id="rId1981" display="08/09/2017" xr:uid="{F225A6CC-ED56-4D5F-93F8-CF58EEAD8C2A}"/>
    <hyperlink ref="L1004" r:id="rId1982" xr:uid="{1DA3BC30-ABBE-4303-BB93-5BC5B6A35657}"/>
    <hyperlink ref="I1006" r:id="rId1983" xr:uid="{93D54490-DE4F-44A5-9098-EF66A2699EE5}"/>
    <hyperlink ref="J1006" r:id="rId1984" display="20" xr:uid="{9DF2656E-BC24-4859-AF58-6CF1AC087267}"/>
    <hyperlink ref="K1006" r:id="rId1985" display="16/06/2017" xr:uid="{7C4D229F-0190-48A6-8687-AF2EE28438A1}"/>
    <hyperlink ref="L1006" r:id="rId1986" xr:uid="{289B5DFA-ABF9-4B19-A1B0-DA4C92A4B592}"/>
    <hyperlink ref="I1008" r:id="rId1987" xr:uid="{458F9B7C-6995-4095-9326-7DC40232E98A}"/>
    <hyperlink ref="J1008" r:id="rId1988" display="320" xr:uid="{208AA551-93E5-4DC8-9372-CA52026B98D1}"/>
    <hyperlink ref="K1008" r:id="rId1989" display="09/06/2017" xr:uid="{F2B5B0D3-ACEB-4CDA-AA01-6B681541A735}"/>
    <hyperlink ref="L1008" r:id="rId1990" xr:uid="{84788966-CB4C-4353-BB45-CEBD75D6064F}"/>
    <hyperlink ref="I1010" r:id="rId1991" xr:uid="{E7D03CDC-36ED-4234-9AB4-E61360851CA1}"/>
    <hyperlink ref="J1010" r:id="rId1992" display="20" xr:uid="{D6B2EF75-3897-431C-BF82-0E0A4A8E42F9}"/>
    <hyperlink ref="K1010" r:id="rId1993" display="09/06/2017" xr:uid="{A67FC7F3-58C0-4B0F-BF22-308FE8BD897A}"/>
    <hyperlink ref="L1010" r:id="rId1994" xr:uid="{27FC523E-1FB5-4D2A-881A-256463F8EA9D}"/>
    <hyperlink ref="I1012" r:id="rId1995" xr:uid="{67977679-4132-45F6-BE7B-670D37EA0F08}"/>
    <hyperlink ref="J1012" r:id="rId1996" display="287" xr:uid="{46D38C5B-4C2A-41B0-984C-0AE91F9FE443}"/>
    <hyperlink ref="K1012" r:id="rId1997" display="28/04/2017" xr:uid="{0B5E850F-2E68-4474-BE13-EC48A2A5BB55}"/>
    <hyperlink ref="I1014" r:id="rId1998" xr:uid="{5397895D-D06C-4F18-A75F-88125A0301F0}"/>
    <hyperlink ref="J1014" r:id="rId1999" display="54" xr:uid="{F18DE459-FFA3-491B-A641-42FEF1A5FDEA}"/>
    <hyperlink ref="K1014" r:id="rId2000" display="28/04/2017" xr:uid="{B0D3A5A0-4B06-4564-AF91-9408701E5F67}"/>
    <hyperlink ref="L1014" r:id="rId2001" xr:uid="{A0CBCFA5-549B-4A45-AFBD-778F291E8B7A}"/>
    <hyperlink ref="I1016" r:id="rId2002" xr:uid="{29A356DA-D27E-49C3-8C40-48891EA9B9A9}"/>
    <hyperlink ref="J1016" r:id="rId2003" display="77" xr:uid="{0059C247-8B1E-4CD7-BF04-693008638178}"/>
    <hyperlink ref="K1016" r:id="rId2004" display="28/04/2017" xr:uid="{A49C1978-3CB3-4E4C-B00D-C4AA642B23CB}"/>
    <hyperlink ref="L1016" r:id="rId2005" xr:uid="{C93CDA57-1846-4A82-8429-4241E482E176}"/>
    <hyperlink ref="I1018" r:id="rId2006" xr:uid="{2F996131-3F2F-42F6-8AE4-2C20593045CC}"/>
    <hyperlink ref="J1018" r:id="rId2007" display="26" xr:uid="{74AEFCE6-FEC2-4854-AE55-E228513F0390}"/>
    <hyperlink ref="K1018" r:id="rId2008" display="28/04/2017" xr:uid="{5A3803D6-7B4D-40E0-BBC8-7A9D6F327C8F}"/>
    <hyperlink ref="L1018" r:id="rId2009" xr:uid="{16617CF3-6531-4097-A018-5B5ABB0410E8}"/>
    <hyperlink ref="I1020" r:id="rId2010" xr:uid="{C3540EA1-2EEE-4B20-B6D2-E6A2CF0C5022}"/>
    <hyperlink ref="J1020" r:id="rId2011" display="30" xr:uid="{D0C9F5BD-9F67-4D95-9F71-757F9AECA7F8}"/>
    <hyperlink ref="K1020" r:id="rId2012" display="15/04/2017" xr:uid="{D77EBC57-9ECB-445A-98CA-9ED2016E8398}"/>
    <hyperlink ref="I1022" r:id="rId2013" xr:uid="{CA55087E-8BA1-46DA-8F4B-A45C97F047CB}"/>
    <hyperlink ref="J1022" r:id="rId2014" display="600" xr:uid="{544B6467-1268-4DDB-A2BF-A313F42C66D6}"/>
    <hyperlink ref="K1022" r:id="rId2015" display="05/04/2017" xr:uid="{61203647-D335-4D02-81D0-63E922E5F317}"/>
    <hyperlink ref="I1024" r:id="rId2016" xr:uid="{6605FDE6-25D9-4F91-964D-E0A05097FE12}"/>
    <hyperlink ref="J1024" r:id="rId2017" display="65" xr:uid="{90C030B6-D109-4259-9DC0-12456A152EE9}"/>
    <hyperlink ref="K1024" r:id="rId2018" display="31/03/2017" xr:uid="{8B8EBB8F-C9A1-4F94-A5AA-048E9821BAA5}"/>
    <hyperlink ref="I1026" r:id="rId2019" xr:uid="{76D42D11-A8E7-4F7B-AC40-4428A2309E26}"/>
    <hyperlink ref="J1026" r:id="rId2020" display="7" xr:uid="{65EDC95C-6188-4CEA-9C44-B79109F59F7F}"/>
    <hyperlink ref="K1026" r:id="rId2021" display="31/03/2017" xr:uid="{3ABF8DA3-A93A-4FF9-BD0E-545A6C4155AB}"/>
    <hyperlink ref="L1026" r:id="rId2022" xr:uid="{3F4BE583-F7D3-4621-AF50-B856BF059F04}"/>
    <hyperlink ref="I1028" r:id="rId2023" xr:uid="{2951FAEC-9B51-4687-A4C7-9EDBB63AF085}"/>
    <hyperlink ref="J1028" r:id="rId2024" display="249" xr:uid="{8342DF57-5CAF-4FF0-9535-1AFA8FCFF821}"/>
    <hyperlink ref="K1028" r:id="rId2025" display="17/03/2017" xr:uid="{88BBD9BE-53A4-416F-AD31-619CDCDBEBB4}"/>
    <hyperlink ref="I1030" r:id="rId2026" xr:uid="{1E0968C5-BDB5-4760-8311-35E9FD065102}"/>
    <hyperlink ref="J1030" r:id="rId2027" display="21" xr:uid="{04646E63-9234-444E-9CCD-EF963E94F10C}"/>
    <hyperlink ref="K1030" r:id="rId2028" display="17/03/2017" xr:uid="{4EEC3722-EAD0-4788-A698-6F77691A93AF}"/>
    <hyperlink ref="L1030" r:id="rId2029" xr:uid="{8C668ECC-B168-4473-96D7-5B9C49E98270}"/>
    <hyperlink ref="I1032" r:id="rId2030" xr:uid="{833EFD84-56A1-4A2F-840F-3F76992D3F84}"/>
    <hyperlink ref="J1032" r:id="rId2031" display="197" xr:uid="{551FEE93-BEDE-4541-8426-DBE7281F83BA}"/>
    <hyperlink ref="K1032" r:id="rId2032" display="20/01/2017" xr:uid="{B86B5760-2A0F-4C78-B4F8-792ABC731625}"/>
    <hyperlink ref="I1034" r:id="rId2033" xr:uid="{BC93F214-5979-4DC3-89BE-B17A2093887C}"/>
    <hyperlink ref="J1034" r:id="rId2034" display="65" xr:uid="{F0226CF4-3F55-4C62-A5F3-3C2F505837F7}"/>
    <hyperlink ref="K1034" r:id="rId2035" display="20/01/2017" xr:uid="{59C8FE54-CA82-492A-95C6-329F1E74C984}"/>
    <hyperlink ref="L1034" r:id="rId2036" xr:uid="{3A4EAA68-72E9-4CA1-B9FD-0520831F2DD7}"/>
    <hyperlink ref="I1036" r:id="rId2037" xr:uid="{15474A27-BCE1-4DF2-B919-6C3E6642DC22}"/>
    <hyperlink ref="J1036" r:id="rId2038" display="4" xr:uid="{F050B883-441D-4720-ACFC-A0E1AEB9ED60}"/>
    <hyperlink ref="K1036" r:id="rId2039" display="20/01/2017" xr:uid="{283C6032-8E54-4E60-944C-48B70CA42B76}"/>
    <hyperlink ref="L1036" r:id="rId2040" xr:uid="{D4BAE724-C0AB-45C5-98F9-84AB7D7BF822}"/>
    <hyperlink ref="I1038" r:id="rId2041" xr:uid="{DA0DD69E-9D99-465B-93FC-E0EF8469AD65}"/>
    <hyperlink ref="J1038" r:id="rId2042" display="1" xr:uid="{B106EB64-5301-47AC-A129-D968A546C5C5}"/>
    <hyperlink ref="K1038" r:id="rId2043" display="01/01/2017" xr:uid="{ECD2C665-C138-43F2-8CA5-4C1438E01742}"/>
    <hyperlink ref="L1038" r:id="rId2044" xr:uid="{0DD003E0-1A3C-4667-BBC1-0465351082CC}"/>
    <hyperlink ref="I1040" r:id="rId2045" xr:uid="{C24CA1A9-6E01-4D3D-A436-8AFF8DD0AE6A}"/>
    <hyperlink ref="J1040" r:id="rId2046" display="12" xr:uid="{78B95917-33BB-4644-9A1F-6C2CC9F7A492}"/>
    <hyperlink ref="K1040" r:id="rId2047" display="01/01/2017" xr:uid="{16F73D5B-031E-461B-9A7D-D2A509785575}"/>
    <hyperlink ref="L1040" r:id="rId2048" xr:uid="{6310DF91-A1FA-4B16-91CF-21400C5A32E7}"/>
    <hyperlink ref="I1042" r:id="rId2049" xr:uid="{8309D687-BFDC-46C0-AF8D-5D2C6C7531F3}"/>
    <hyperlink ref="J1042" r:id="rId2050" display="9" xr:uid="{DF3F36F2-BB9E-469F-B707-65801F85FAC3}"/>
    <hyperlink ref="K1042" r:id="rId2051" display="01/01/2017" xr:uid="{E1EF567C-3D6B-4C65-B74D-826D50034E37}"/>
    <hyperlink ref="L1042" r:id="rId2052" xr:uid="{7FC661FA-8217-4B09-A0C1-13CA20E46136}"/>
    <hyperlink ref="I1044" r:id="rId2053" xr:uid="{123783F0-1793-4BBE-8317-3B7C523F6F13}"/>
    <hyperlink ref="J1044" r:id="rId2054" display="156" xr:uid="{F4721C8A-7F7F-4561-A42A-16DBE3AC39C5}"/>
    <hyperlink ref="K1044" r:id="rId2055" display="25/11/2016" xr:uid="{153D2695-50C8-4811-9A72-89E95C34F58C}"/>
    <hyperlink ref="L1044" r:id="rId2056" xr:uid="{421CE84D-1156-45DD-BD40-6BB57954B1FA}"/>
    <hyperlink ref="I1046" r:id="rId2057" xr:uid="{D247D25F-BC86-4B21-BC34-6467AEF253EF}"/>
    <hyperlink ref="J1046" r:id="rId2058" display="19" xr:uid="{992A4F5D-E117-43A7-AEA3-E1A5BC9C7362}"/>
    <hyperlink ref="K1046" r:id="rId2059" display="25/11/2016" xr:uid="{BC8B200C-8013-4D07-B497-82AD6AD5FD74}"/>
    <hyperlink ref="L1046" r:id="rId2060" xr:uid="{27D90684-7094-4512-8E0A-7F41D63FB62C}"/>
    <hyperlink ref="I1048" r:id="rId2061" xr:uid="{487C598B-EE6F-4882-8E6C-6D383BB8F8F7}"/>
    <hyperlink ref="J1048" r:id="rId2062" display="86" xr:uid="{680AF8A9-9975-4FFF-A13B-0C7B3EC617F5}"/>
    <hyperlink ref="K1048" r:id="rId2063" display="25/11/2016" xr:uid="{9E175FF4-78C2-4514-B7A0-A4EA6054F0A4}"/>
    <hyperlink ref="L1048" r:id="rId2064" xr:uid="{4E7C98F0-AF1F-4C21-B083-422157ADBA3B}"/>
    <hyperlink ref="I1050" r:id="rId2065" xr:uid="{07C0F13D-4922-4233-A968-24A6CAF9A51C}"/>
    <hyperlink ref="J1050" r:id="rId2066" display="282" xr:uid="{4EFDB8A6-866C-4114-80C1-60255E8EE905}"/>
    <hyperlink ref="K1050" r:id="rId2067" display="16/11/2016" xr:uid="{63BB5EAD-BF5F-41AC-BC32-18E750795348}"/>
    <hyperlink ref="L1050" r:id="rId2068" xr:uid="{13B1E562-DCAD-4800-9785-B8FC5DE4090D}"/>
    <hyperlink ref="I1052" r:id="rId2069" xr:uid="{44FF950A-B178-45AD-BC0D-F50C2BFBA4E4}"/>
    <hyperlink ref="J1052" r:id="rId2070" display="538" xr:uid="{D21189D1-CB4A-4FFA-B550-9FB1E0CA874A}"/>
    <hyperlink ref="K1052" r:id="rId2071" display="16/11/2016" xr:uid="{583B4E45-D6C4-4019-B394-D0CB2622F085}"/>
    <hyperlink ref="I1054" r:id="rId2072" xr:uid="{524DFFD1-DF26-4946-BF97-F657053A3C4C}"/>
    <hyperlink ref="J1054" r:id="rId2073" display="351" xr:uid="{FF39FA81-04EC-4E43-9D25-2C5909223F32}"/>
    <hyperlink ref="K1054" r:id="rId2074" display="11/11/2016" xr:uid="{57DDBAC3-8B85-462C-A5B0-4F0CE17F364C}"/>
    <hyperlink ref="I1056" r:id="rId2075" xr:uid="{E12C4560-419A-45B1-A532-DFC835F92F89}"/>
    <hyperlink ref="J1056" r:id="rId2076" display="21" xr:uid="{7F42C73D-D442-4061-A042-17680C03A696}"/>
    <hyperlink ref="K1056" r:id="rId2077" display="11/11/2016" xr:uid="{4103C16D-6051-4282-9F7C-547A43A29F57}"/>
    <hyperlink ref="L1056" r:id="rId2078" xr:uid="{FD2CE736-81B8-4ABD-B667-D1FD4A05C09A}"/>
    <hyperlink ref="I1058" r:id="rId2079" xr:uid="{92A2C447-C6B2-499E-B4F4-9C8140955B1A}"/>
    <hyperlink ref="J1058" r:id="rId2080" display="5" xr:uid="{8A768D93-C1CF-45C2-9A1C-359DD56F26F4}"/>
    <hyperlink ref="K1058" r:id="rId2081" display="11/11/2016" xr:uid="{DE059431-04DA-4E85-B091-992967E330C4}"/>
    <hyperlink ref="L1058" r:id="rId2082" xr:uid="{BE758027-C23A-4179-8B26-42E14738CDBB}"/>
    <hyperlink ref="I1060" r:id="rId2083" xr:uid="{D8838242-5F31-404A-BFA7-87390B21CFB1}"/>
    <hyperlink ref="J1060" r:id="rId2084" display="5" xr:uid="{DD0EEA45-43A3-4824-828C-40FEA7A78EB7}"/>
    <hyperlink ref="K1060" r:id="rId2085" display="01/10/2016" xr:uid="{653CCE73-72B1-489D-BFEB-6ECDB052C65A}"/>
    <hyperlink ref="L1060" r:id="rId2086" xr:uid="{E07B7F98-D27D-4890-91D6-53BFBA970154}"/>
    <hyperlink ref="I1062" r:id="rId2087" xr:uid="{113FB7B1-226E-45A3-86B3-7E6CD2BC6F61}"/>
    <hyperlink ref="J1062" r:id="rId2088" display="278" xr:uid="{93DB3F29-D59F-4686-82EE-DCDAACE10F2F}"/>
    <hyperlink ref="K1062" r:id="rId2089" display="30/09/2016" xr:uid="{B699C785-13D8-400B-9AEC-F756AFC96F15}"/>
    <hyperlink ref="I1064" r:id="rId2090" xr:uid="{BE7C325A-B606-4541-960B-3BEDECD3DB3B}"/>
    <hyperlink ref="J1064" r:id="rId2091" display="54" xr:uid="{5B653ECF-E515-4CD2-B28F-505A7ACEE198}"/>
    <hyperlink ref="K1064" r:id="rId2092" display="30/09/2016" xr:uid="{7F503865-980E-4771-A141-9A73A101789B}"/>
    <hyperlink ref="L1064" r:id="rId2093" xr:uid="{74A4EFC5-96EB-4AA9-81B1-4B28413D2D6B}"/>
    <hyperlink ref="I1066" r:id="rId2094" xr:uid="{EAFA7086-4974-4AA0-B8FF-DC3A57625921}"/>
    <hyperlink ref="J1066" r:id="rId2095" display="83" xr:uid="{D33570DF-4351-4610-AA14-0E6ACD1610A0}"/>
    <hyperlink ref="K1066" r:id="rId2096" display="30/09/2016" xr:uid="{2A84A236-FC02-43D4-B5B9-EF547977F5FA}"/>
    <hyperlink ref="L1066" r:id="rId2097" xr:uid="{13707A1D-4262-446F-9BEC-2471194066ED}"/>
    <hyperlink ref="I1068" r:id="rId2098" xr:uid="{907A1C73-3ED0-4A7A-BCB3-4C88F5FC7675}"/>
    <hyperlink ref="J1068" r:id="rId2099" display="13" xr:uid="{12CCE2E7-EE29-48F5-86EF-EF96D1423ED6}"/>
    <hyperlink ref="K1068" r:id="rId2100" display="30/09/2016" xr:uid="{B2F8FAEC-2A86-4651-9A89-D838F852DBD8}"/>
    <hyperlink ref="L1068" r:id="rId2101" xr:uid="{A0F8ECC1-B3C7-4F3F-87A2-3819E82043F4}"/>
    <hyperlink ref="I1070" r:id="rId2102" xr:uid="{3763CA55-8238-4C51-AE2D-3228BE996250}"/>
    <hyperlink ref="J1070" r:id="rId2103" display="76" xr:uid="{E82D2ADC-2AEC-451F-9645-BA820EDFA34C}"/>
    <hyperlink ref="K1070" r:id="rId2104" display="02/09/2016" xr:uid="{DEFE64A5-BE6B-45E8-9089-FE0ECF8F36F2}"/>
    <hyperlink ref="I1072" r:id="rId2105" xr:uid="{08950B0D-D444-4AFD-8B11-CEF5B6B6E1DA}"/>
    <hyperlink ref="J1072" r:id="rId2106" display="222" xr:uid="{F511A313-99F4-4024-9981-8B30CB5870C5}"/>
    <hyperlink ref="K1072" r:id="rId2107" display="26/08/2016" xr:uid="{87EF66BB-F38F-4716-A140-62C82B00DBE6}"/>
    <hyperlink ref="I1074" r:id="rId2108" xr:uid="{8671FEF0-1AD3-46A5-942A-89EB80173372}"/>
    <hyperlink ref="J1074" r:id="rId2109" display="12" xr:uid="{BF3CED53-6FEC-4884-B894-183110154B06}"/>
    <hyperlink ref="K1074" r:id="rId2110" display="26/08/2016" xr:uid="{34EAA05B-9928-4989-ABAE-A088269BA90C}"/>
    <hyperlink ref="L1074" r:id="rId2111" xr:uid="{60E3D210-7D57-4C99-AFFF-B6CC616EEC3B}"/>
    <hyperlink ref="I1076" r:id="rId2112" xr:uid="{D468DFE2-E0BB-4E81-B63E-D0334D6682E1}"/>
    <hyperlink ref="J1076" r:id="rId2113" display="16" xr:uid="{EE9EA83B-F6A5-4DC7-8159-07CB0AFC65D8}"/>
    <hyperlink ref="K1076" r:id="rId2114" display="19/08/2016" xr:uid="{231B01D5-6200-4B9C-9167-9C56CF9737E1}"/>
    <hyperlink ref="L1076" r:id="rId2115" xr:uid="{E753A61E-1D8C-4E6A-8D43-429F807A3F77}"/>
    <hyperlink ref="I1078" r:id="rId2116" xr:uid="{27599FE7-2854-41DD-81EF-88B9123AA28A}"/>
    <hyperlink ref="J1078" r:id="rId2117" display="208" xr:uid="{E134103D-3C3E-4BD0-B2FE-DD852D754B16}"/>
    <hyperlink ref="K1078" r:id="rId2118" display="22/07/2016" xr:uid="{45C4C768-367C-46B0-B99B-5C94777D3D11}"/>
    <hyperlink ref="I1080" r:id="rId2119" xr:uid="{A47FD8C2-280D-4C41-BBE9-A761AC02A3E3}"/>
    <hyperlink ref="J1080" r:id="rId2120" display="77" xr:uid="{C8502297-3B86-4229-A56F-35ECED6723F4}"/>
    <hyperlink ref="K1080" r:id="rId2121" display="22/07/2016" xr:uid="{D2E59895-2F8F-46F2-94C3-A1B28C834679}"/>
    <hyperlink ref="L1080" r:id="rId2122" xr:uid="{4CA47074-E28B-41A7-9153-39B5E6F85A3C}"/>
    <hyperlink ref="I1082" r:id="rId2123" xr:uid="{7F215921-B5E1-4FF7-83F8-5813799198B4}"/>
    <hyperlink ref="J1082" r:id="rId2124" display="11" xr:uid="{077EEC79-0F6D-4524-95D2-D4EF6A3AE67B}"/>
    <hyperlink ref="K1082" r:id="rId2125" display="22/07/2016" xr:uid="{295FD87F-BD29-4011-9B78-A06D79E3DD09}"/>
    <hyperlink ref="L1082" r:id="rId2126" xr:uid="{15DF45BC-A615-476E-AA58-F085E6966F5F}"/>
    <hyperlink ref="I1084" r:id="rId2127" xr:uid="{E1159A40-0233-4A38-814D-02EE1D98D2B7}"/>
    <hyperlink ref="J1084" r:id="rId2128" display="249" xr:uid="{078AA4CC-C8A1-419B-AA6A-564F2D3D386B}"/>
    <hyperlink ref="K1084" r:id="rId2129" display="10/06/2016" xr:uid="{70DCF56E-903F-4114-8655-43843A73B854}"/>
    <hyperlink ref="I1086" r:id="rId2130" xr:uid="{58EE89B7-1A90-4A05-87F6-076A307F2CE9}"/>
    <hyperlink ref="J1086" r:id="rId2131" display="16" xr:uid="{78DFD833-87E8-46AF-B3D4-2F051F07CF63}"/>
    <hyperlink ref="K1086" r:id="rId2132" display="10/06/2016" xr:uid="{91F9E76E-85A7-4432-8987-CA7BD0D7CD77}"/>
    <hyperlink ref="L1086" r:id="rId2133" xr:uid="{F28C508C-CDAC-4894-82CC-05B30894517D}"/>
    <hyperlink ref="I1088" r:id="rId2134" xr:uid="{69B79CFC-FB69-4510-8916-2D68F9E30C6F}"/>
    <hyperlink ref="J1088" r:id="rId2135" display="302" xr:uid="{F62D380A-8DBD-4A76-94B1-ED6349FDABFB}"/>
    <hyperlink ref="K1088" r:id="rId2136" display="08/04/2016" xr:uid="{1A50B0D3-089F-469D-8BA4-21399E771981}"/>
    <hyperlink ref="I1090" r:id="rId2137" xr:uid="{5DC5BC04-FEC7-4301-8C7C-769FE81B90C2}"/>
    <hyperlink ref="J1090" r:id="rId2138" display="90" xr:uid="{08B52151-1175-4501-98A2-76AB6CCA5E15}"/>
    <hyperlink ref="K1090" r:id="rId2139" display="08/04/2016" xr:uid="{82EA9580-1A22-489D-BF28-D9EBBB05EB4C}"/>
    <hyperlink ref="L1090" r:id="rId2140" xr:uid="{A2E53CCF-61DB-49F7-9E16-6B134A919CA5}"/>
    <hyperlink ref="I1092" r:id="rId2141" xr:uid="{D498C9CB-E49F-4401-9B65-6D0472E7727A}"/>
    <hyperlink ref="J1092" r:id="rId2142" display="20" xr:uid="{0FF84D71-AAEB-4502-B595-DB4358315537}"/>
    <hyperlink ref="K1092" r:id="rId2143" display="08/04/2016" xr:uid="{01943521-7659-40D4-A29B-5AE745FC6CA9}"/>
    <hyperlink ref="L1092" r:id="rId2144" xr:uid="{0C507842-D2D6-4486-AC18-67C51F8F5457}"/>
    <hyperlink ref="I1094" r:id="rId2145" xr:uid="{EF2B4440-010A-4FC4-9857-C435A91E91D1}"/>
    <hyperlink ref="J1094" r:id="rId2146" display="16" xr:uid="{385702C9-4CCB-495E-97EA-87D4D0E70229}"/>
    <hyperlink ref="K1094" r:id="rId2147" display="08/04/2016" xr:uid="{10D72D35-4717-4419-8405-033E81AFC2ED}"/>
    <hyperlink ref="I1096" r:id="rId2148" xr:uid="{D41F9DB6-9276-4C56-9A72-F851B8645213}"/>
    <hyperlink ref="J1096" r:id="rId2149" display="80" xr:uid="{25F0BF37-F9CC-4066-AB66-52B58282643D}"/>
    <hyperlink ref="K1096" r:id="rId2150" display="26/02/2016" xr:uid="{3F86E776-3472-4DFD-B319-D54A4E2049B6}"/>
    <hyperlink ref="I1098" r:id="rId2151" xr:uid="{239E2C14-A50F-44EB-9A4B-0CC50B0FFE7E}"/>
    <hyperlink ref="J1098" r:id="rId2152" display="187" xr:uid="{AF220AEE-923E-41EF-9073-F1D8D8BD973B}"/>
    <hyperlink ref="K1098" r:id="rId2153" display="22/01/2016" xr:uid="{6C5D093E-42A2-47EC-A98A-3341D74316B7}"/>
    <hyperlink ref="I1100" r:id="rId2154" xr:uid="{EDFB7E19-3128-483B-BDC3-EAD12A7DFB88}"/>
    <hyperlink ref="J1100" r:id="rId2155" display="65" xr:uid="{BF888D03-55DA-45F3-A389-73E7DD20619A}"/>
    <hyperlink ref="K1100" r:id="rId2156" display="22/01/2016" xr:uid="{97BC50C5-F017-4FAA-9F47-DAC1E1BCE116}"/>
    <hyperlink ref="L1100" r:id="rId2157" xr:uid="{6615D838-09FF-4B4E-9CE9-75CD6922F756}"/>
    <hyperlink ref="I1102" r:id="rId2158" xr:uid="{8429EE6E-857B-41E3-864F-1E4EA8BD0FB7}"/>
    <hyperlink ref="J1102" r:id="rId2159" display="11" xr:uid="{9DB72D95-0B1D-4552-92FA-17203C2888A4}"/>
    <hyperlink ref="K1102" r:id="rId2160" display="22/01/2016" xr:uid="{DF59CC15-B834-4FD6-B326-5A2484C3C288}"/>
    <hyperlink ref="L1102" r:id="rId2161" xr:uid="{AED7E8CD-085E-4694-BA69-FC204D1705AA}"/>
    <hyperlink ref="I1104" r:id="rId2162" xr:uid="{4BC957DF-0E00-4690-AD64-31FC01A45CA4}"/>
    <hyperlink ref="J1104" r:id="rId2163" display="1" xr:uid="{6F2B5891-9CD2-4755-8A45-F67AEACE3D48}"/>
    <hyperlink ref="K1104" r:id="rId2164" display="01/01/2016" xr:uid="{18459F62-40AC-43F8-B3C8-24F33FD804BC}"/>
    <hyperlink ref="L1104" r:id="rId2165" xr:uid="{F84F8103-05E3-4BFC-A909-615C01A4EE8C}"/>
    <hyperlink ref="I1106" r:id="rId2166" xr:uid="{C68B2041-4F44-4C10-BD23-BA596773E3FB}"/>
    <hyperlink ref="J1106" r:id="rId2167" display="8" xr:uid="{9650D538-7393-4CE4-9F86-EEC94F244AD2}"/>
    <hyperlink ref="K1106" r:id="rId2168" display="01/01/2016" xr:uid="{F1EFAA2D-164F-4C54-951D-25B7E87F3CD3}"/>
    <hyperlink ref="L1106" r:id="rId2169" xr:uid="{56546A81-73A6-4618-AF6C-165D050C4D00}"/>
    <hyperlink ref="I1108" r:id="rId2170" xr:uid="{248C4C45-5871-41E7-8A44-938C8F5A76AB}"/>
    <hyperlink ref="J1108" r:id="rId2171" display="12" xr:uid="{15702A20-957C-48CA-BDAE-65A86F4E33D3}"/>
    <hyperlink ref="K1108" r:id="rId2172" display="01/01/2016" xr:uid="{8335841A-0264-4096-9733-14D02C2EAA71}"/>
    <hyperlink ref="L1108" r:id="rId2173" xr:uid="{A233229A-3128-45C4-8C00-0C6DA7F8F3DE}"/>
    <hyperlink ref="I1110" r:id="rId2174" xr:uid="{98C1170C-9014-4DD1-B714-692C764DD8A6}"/>
    <hyperlink ref="J1110" r:id="rId2175" display="149" xr:uid="{89226450-7CF8-499F-A439-1BADDEDF0CB0}"/>
    <hyperlink ref="K1110" r:id="rId2176" display="18/11/2015" xr:uid="{C8ED9424-CA36-4D89-B729-424C56885337}"/>
    <hyperlink ref="L1110" r:id="rId2177" xr:uid="{9E600EB6-251F-4264-9914-51F21A924171}"/>
    <hyperlink ref="I1112" r:id="rId2178" xr:uid="{5008101E-24EF-465A-A622-0B9561F7ED9A}"/>
    <hyperlink ref="J1112" r:id="rId2179" display="342" xr:uid="{55D10B6C-D08A-48A0-A8A5-3B12E63E9B39}"/>
    <hyperlink ref="K1112" r:id="rId2180" display="13/11/2015" xr:uid="{9B0BB6BE-23EE-42D7-9F58-81EF42B56BFE}"/>
    <hyperlink ref="I1114" r:id="rId2181" xr:uid="{C627CE1C-721D-4A68-9D3B-EEC3EAE13C7E}"/>
    <hyperlink ref="J1114" r:id="rId2182" display="25" xr:uid="{39031E57-0101-4E3B-A344-66B1E512DDE1}"/>
    <hyperlink ref="K1114" r:id="rId2183" display="13/11/2015" xr:uid="{D05CF13E-AAF4-498A-9209-F94DF0512309}"/>
    <hyperlink ref="L1114" r:id="rId2184" xr:uid="{9EB17C6D-7A22-4418-810E-1F9712DC6E0B}"/>
    <hyperlink ref="I1116" r:id="rId2185" xr:uid="{13261164-37EA-4B5C-89AC-57D3157F3408}"/>
    <hyperlink ref="J1116" r:id="rId2186" display="5" xr:uid="{E1FA4441-5053-497B-A79E-1DC5FD085DD4}"/>
    <hyperlink ref="K1116" r:id="rId2187" display="13/11/2015" xr:uid="{76723E67-FB1A-4496-9337-641BBC29CD63}"/>
    <hyperlink ref="L1116" r:id="rId2188" xr:uid="{0F81703F-93C2-41D7-9AA8-FD8970EE5226}"/>
    <hyperlink ref="I1118" r:id="rId2189" xr:uid="{CBE30118-00C6-4875-92A3-540948FAC4AD}"/>
    <hyperlink ref="J1118" r:id="rId2190" display="299" xr:uid="{FDAB43BB-BB2E-40DA-A168-634FBCD36616}"/>
    <hyperlink ref="K1118" r:id="rId2191" display="02/10/2015" xr:uid="{D741D018-F390-46F1-A4D6-2EFFE654DE43}"/>
    <hyperlink ref="I1120" r:id="rId2192" xr:uid="{1F36A53E-14B6-4859-AEFF-70D18DEFE202}"/>
    <hyperlink ref="J1120" r:id="rId2193" display="45" xr:uid="{81D8E840-EA51-4FAD-B788-B3C5AF187F40}"/>
    <hyperlink ref="K1120" r:id="rId2194" display="02/10/2015" xr:uid="{38C1739F-72C5-4664-A3D2-D667AB7D39F5}"/>
    <hyperlink ref="L1120" r:id="rId2195" xr:uid="{DCB7AA73-5588-4733-8920-2C246C9D4A4C}"/>
    <hyperlink ref="I1122" r:id="rId2196" xr:uid="{5B8BD110-0676-4E3C-B70E-3A33E04398DD}"/>
    <hyperlink ref="J1122" r:id="rId2197" display="90" xr:uid="{4C32D55E-CEC1-42B9-9BFB-8EB405057CF0}"/>
    <hyperlink ref="K1122" r:id="rId2198" display="02/10/2015" xr:uid="{E59D2687-00B1-4340-AA49-F8720E1C5D5C}"/>
    <hyperlink ref="L1122" r:id="rId2199" xr:uid="{97368DF8-B1BD-405E-9248-87559944EBE9}"/>
    <hyperlink ref="I1124" r:id="rId2200" xr:uid="{D7ED20AE-84F8-4CBF-9382-7F4061976848}"/>
    <hyperlink ref="J1124" r:id="rId2201" display="14" xr:uid="{CAB696F7-3A98-4142-AA70-F52EED1F30D2}"/>
    <hyperlink ref="K1124" r:id="rId2202" display="02/10/2015" xr:uid="{4C6AC84F-FB19-4215-9871-8C7FF82A9604}"/>
    <hyperlink ref="L1124" r:id="rId2203" xr:uid="{E3A4F0CD-45FE-47C3-8710-A1E9039D4305}"/>
    <hyperlink ref="I1126" r:id="rId2204" xr:uid="{4A43DFAC-213B-48A2-86DE-D9202C2959F3}"/>
    <hyperlink ref="J1126" r:id="rId2205" display="5" xr:uid="{57B538F5-5DFE-428A-9952-EA528B8C95D3}"/>
    <hyperlink ref="K1126" r:id="rId2206" display="02/10/2015" xr:uid="{32BEED6A-7A25-4E80-AF00-5293C787784B}"/>
    <hyperlink ref="L1126" r:id="rId2207" xr:uid="{1AE09E0D-1E93-4F8D-8476-62E33B009092}"/>
    <hyperlink ref="I1128" r:id="rId2208" xr:uid="{DA6ED374-B4BD-4634-8D95-28A235EE59B3}"/>
    <hyperlink ref="J1128" r:id="rId2209" display="80" xr:uid="{6E310749-B90E-4904-9C3C-1899C2355AC1}"/>
    <hyperlink ref="K1128" r:id="rId2210" display="28/08/2015" xr:uid="{678B66F4-4715-4FA5-A549-8DAE4002DFA2}"/>
    <hyperlink ref="I1130" r:id="rId2211" xr:uid="{813C54CE-209F-4FF7-9675-E84DF820CBA9}"/>
    <hyperlink ref="J1130" r:id="rId2212" display="15" xr:uid="{EA33327C-34C8-40A4-8736-061FAB943961}"/>
    <hyperlink ref="K1130" r:id="rId2213" display="21/08/2015" xr:uid="{43BCEFD0-CA5B-469F-8FE0-5711D5C3A02E}"/>
    <hyperlink ref="L1130" r:id="rId2214" xr:uid="{99887B33-5EFF-4338-9650-53FAA44E5799}"/>
    <hyperlink ref="I1132" r:id="rId2215" xr:uid="{31B5D8C0-A0B2-47E3-9F9E-E38E0E93FA90}"/>
    <hyperlink ref="J1132" r:id="rId2216" display="288" xr:uid="{BAEB2E06-2DD6-4454-8600-A364B14D011B}"/>
    <hyperlink ref="K1132" r:id="rId2217" display="17/07/2015" xr:uid="{0B53F520-D168-40C7-AF47-A4F4C4A3F6CC}"/>
    <hyperlink ref="I1134" r:id="rId2218" xr:uid="{B9D1273C-A0C2-4A2E-BAF0-FD52E50AF7A2}"/>
    <hyperlink ref="J1134" r:id="rId2219" display="54" xr:uid="{0BC286DA-01C8-4DF9-8894-FCE8FFEC18C3}"/>
    <hyperlink ref="K1134" r:id="rId2220" display="17/07/2015" xr:uid="{ECA99FDD-AB13-4391-8B9F-7300EB6F6FEC}"/>
    <hyperlink ref="L1134" r:id="rId2221" xr:uid="{F2A25B33-A741-47A1-9785-90843B0FB931}"/>
    <hyperlink ref="I1136" r:id="rId2222" xr:uid="{06952C27-89FE-4F96-8AD2-C98FDB705AE4}"/>
    <hyperlink ref="J1136" r:id="rId2223" display="15" xr:uid="{797058C7-EA3C-4900-ABE5-D120862E50BA}"/>
    <hyperlink ref="K1136" r:id="rId2224" display="17/07/2015" xr:uid="{CC14DA38-91C7-4C4B-B06A-CBFA8186DDE1}"/>
    <hyperlink ref="L1136" r:id="rId2225" xr:uid="{A310777A-57FF-4459-8301-B6166D41139E}"/>
    <hyperlink ref="I1138" r:id="rId2226" xr:uid="{E0290D8B-3631-4F60-AFF5-3ABCB9045D14}"/>
    <hyperlink ref="J1138" r:id="rId2227" display="6" xr:uid="{DCD8FDF5-B370-487A-A6C8-45F6270E9CB8}"/>
    <hyperlink ref="K1138" r:id="rId2228" display="17/07/2015" xr:uid="{76FB3D6B-3BB1-42E0-9941-0A108D3E7A94}"/>
    <hyperlink ref="L1138" r:id="rId2229" xr:uid="{A18481AD-8983-4D0D-95B9-C220AD9AB784}"/>
    <hyperlink ref="I1140" r:id="rId2230" xr:uid="{C19C60C2-1CF3-487A-AB12-C0E354084BCF}"/>
    <hyperlink ref="J1140" r:id="rId2231" display="5" xr:uid="{540D44C3-DE69-459A-8DE5-4705A71AC687}"/>
    <hyperlink ref="K1140" r:id="rId2232" display="09/07/2015" xr:uid="{2F89FE3F-ABA9-4039-B8D4-14A99996F6AC}"/>
    <hyperlink ref="L1140" r:id="rId2233" xr:uid="{D9276916-A1B8-4E0D-8F54-8E8C09E70247}"/>
    <hyperlink ref="I1142" r:id="rId2234" xr:uid="{A3DF1CE8-AE3A-4797-9AC6-145D9F367E85}"/>
    <hyperlink ref="J1142" r:id="rId2235" display="249" xr:uid="{B694796C-312F-4A01-8F5C-66AE9100824D}"/>
    <hyperlink ref="K1142" r:id="rId2236" display="22/05/2015" xr:uid="{88AB0008-54E9-454E-A719-766B2C389B39}"/>
    <hyperlink ref="I1144" r:id="rId2237" xr:uid="{C028A868-7A5A-465D-A049-18E106AF120B}"/>
    <hyperlink ref="J1144" r:id="rId2238" display="16" xr:uid="{F5D9AEF3-5E82-478D-89FD-54EEF85418AD}"/>
    <hyperlink ref="K1144" r:id="rId2239" display="22/05/2015" xr:uid="{2C106BD1-B04F-45DF-834F-DB625C0867D7}"/>
    <hyperlink ref="L1144" r:id="rId2240" xr:uid="{AFF350DB-C934-4C88-BE4A-E0D8C7300180}"/>
    <hyperlink ref="I1146" r:id="rId2241" xr:uid="{1EFF2A8B-3B9A-43D3-94E5-66A7EC1BF0EB}"/>
    <hyperlink ref="J1146" r:id="rId2242" display="269" xr:uid="{485BDFB1-8A76-49F0-A80D-090807D9C1E3}"/>
    <hyperlink ref="K1146" r:id="rId2243" display="06/05/2015" xr:uid="{99DAB7C7-185C-436B-ACE7-A87A6921CB6C}"/>
    <hyperlink ref="L1146" r:id="rId2244" xr:uid="{6235C0B6-D5F8-45AC-99A4-3750B345F1D3}"/>
    <hyperlink ref="I1148" r:id="rId2245" xr:uid="{14ED9CDF-CAD9-41F9-B610-0365D9FF70CB}"/>
    <hyperlink ref="J1148" r:id="rId2246" display="264" xr:uid="{D25B5E8C-A647-41B5-9CA5-9BBEE882FB8E}"/>
    <hyperlink ref="K1148" r:id="rId2247" display="27/03/2015" xr:uid="{07A074B8-98FE-41D8-9A28-4875D2233EBE}"/>
    <hyperlink ref="I1150" r:id="rId2248" xr:uid="{B4F9F72D-1806-4966-AA4F-2B79B3C7CF55}"/>
    <hyperlink ref="J1150" r:id="rId2249" display="51" xr:uid="{6AB359A5-15BC-48E5-B03F-688CCBFFB32D}"/>
    <hyperlink ref="K1150" r:id="rId2250" display="27/03/2015" xr:uid="{F462B2EB-944F-4C3D-BE11-04E066D48311}"/>
    <hyperlink ref="L1150" r:id="rId2251" xr:uid="{D612B2D9-51AC-4EF8-8259-7E9915D973BC}"/>
    <hyperlink ref="I1152" r:id="rId2252" xr:uid="{88910A12-0B2D-48B1-8B36-AA4715CA6878}"/>
    <hyperlink ref="J1152" r:id="rId2253" display="8" xr:uid="{775D085C-3374-408B-BD33-325012F96BFF}"/>
    <hyperlink ref="K1152" r:id="rId2254" display="27/03/2015" xr:uid="{C5D310EF-BB67-4BCF-A669-96975507EE69}"/>
    <hyperlink ref="L1152" r:id="rId2255" xr:uid="{84753A5B-121D-40F8-B7D2-FF46CA4CC460}"/>
    <hyperlink ref="I1154" r:id="rId2256" xr:uid="{4C0E127A-F8FF-4963-A2C2-FB7A58B495AC}"/>
    <hyperlink ref="J1154" r:id="rId2257" display="4" xr:uid="{87D25651-A100-4E5B-AF79-C27DD1719069}"/>
    <hyperlink ref="K1154" r:id="rId2258" display="03/04/2015" xr:uid="{94C91360-8F59-47DC-AB11-EF24AB0D6FDA}"/>
    <hyperlink ref="L1154" r:id="rId2259" xr:uid="{3FBA3D38-9C5E-4817-ACD5-1F288C3C58A0}"/>
    <hyperlink ref="I1156" r:id="rId2260" xr:uid="{EDD63C77-5B48-40D6-80D1-7DB282E528D5}"/>
    <hyperlink ref="J1156" r:id="rId2261" display="67" xr:uid="{E5EB0D4F-3940-4D92-BCF6-5250D750EDF4}"/>
    <hyperlink ref="K1156" r:id="rId2262" display="27/02/2015" xr:uid="{5508DEB1-1BBB-4C53-8242-DA45050DF05B}"/>
    <hyperlink ref="I1158" r:id="rId2263" xr:uid="{0A1C413A-6CFC-46D9-83B4-13DC664A6FDA}"/>
    <hyperlink ref="J1158" r:id="rId2264" display="191" xr:uid="{102FC992-DCD9-4870-99E5-9CA8395E2CD5}"/>
    <hyperlink ref="K1158" r:id="rId2265" display="23/01/2015" xr:uid="{9AD2F7DE-69BD-46DC-AE6D-C38B13B012BA}"/>
    <hyperlink ref="I1160" r:id="rId2266" xr:uid="{F3ECD149-AB14-45E7-AFFD-6946079EFD71}"/>
    <hyperlink ref="J1160" r:id="rId2267" display="43" xr:uid="{78EC6DCB-3E88-4526-A318-CE81B28A78BD}"/>
    <hyperlink ref="K1160" r:id="rId2268" display="23/01/2015" xr:uid="{8D08F752-8072-40C5-8EF2-0A419C54BE6A}"/>
    <hyperlink ref="L1160" r:id="rId2269" xr:uid="{A5EE2D30-F81C-42F3-8399-9FACB062AA16}"/>
    <hyperlink ref="I1162" r:id="rId2270" xr:uid="{EC1B3D7A-877A-4D1C-8A62-ACE20FEBF578}"/>
    <hyperlink ref="J1162" r:id="rId2271" display="4" xr:uid="{14C4B063-9DD1-4913-9C04-01BD5D197D15}"/>
    <hyperlink ref="K1162" r:id="rId2272" display="23/01/2015" xr:uid="{AE7D6E9E-E7C1-497C-BB61-7E585D3D9645}"/>
    <hyperlink ref="L1162" r:id="rId2273" xr:uid="{7BC7DEC7-8EBD-4C22-8D3F-958C721B5BD5}"/>
    <hyperlink ref="I1164" r:id="rId2274" xr:uid="{F1806713-34F5-4E85-8FAA-63601F2167B6}"/>
    <hyperlink ref="J1164" r:id="rId2275" display="6" xr:uid="{1D11E074-9AB3-4C2B-BF33-B7391B69D00F}"/>
    <hyperlink ref="K1164" r:id="rId2276" display="23/01/2015" xr:uid="{EFFAF584-3865-4638-9FB0-6123F08AE098}"/>
    <hyperlink ref="L1164" r:id="rId2277" xr:uid="{22EC06FB-0EE7-44A9-9668-9DEB313D41A1}"/>
    <hyperlink ref="I1166" r:id="rId2278" xr:uid="{9210DAD3-9D73-4040-8F12-07EFE13954B6}"/>
    <hyperlink ref="J1166" r:id="rId2279" display="26" xr:uid="{94BC7E2C-F0D9-4D53-AE16-ECECE35E79DA}"/>
    <hyperlink ref="K1166" r:id="rId2280" display="17/01/2015" xr:uid="{82D2896C-A217-4B22-8009-9A782C104024}"/>
    <hyperlink ref="I1168" r:id="rId2281" xr:uid="{435F3F5B-9AD1-4FD6-ABF8-D9934AFA322D}"/>
    <hyperlink ref="J1168" r:id="rId2282" display="1" xr:uid="{A331025B-5CF3-4C23-9CF4-129C26A311D4}"/>
    <hyperlink ref="K1168" r:id="rId2283" display="01/01/2015" xr:uid="{DB38C211-67A8-432B-A088-22A8F097FDDD}"/>
    <hyperlink ref="L1168" r:id="rId2284" xr:uid="{33DBE5B1-F178-4A9B-8164-0F8D5302E0E8}"/>
    <hyperlink ref="I1170" r:id="rId2285" xr:uid="{012EF916-AEDD-4FB9-9C14-0608A71B42D9}"/>
    <hyperlink ref="J1170" r:id="rId2286" display="12" xr:uid="{B0D38C82-A399-4900-A188-FEE2B99D39CA}"/>
    <hyperlink ref="K1170" r:id="rId2287" display="01/01/2015" xr:uid="{D54CE48C-49E2-4686-8DFE-AC92446B7EC9}"/>
    <hyperlink ref="L1170" r:id="rId2288" xr:uid="{171E96DA-AC95-4E3F-BDF4-1AC800A4CD8C}"/>
    <hyperlink ref="I1172" r:id="rId2289" xr:uid="{C8F485FF-1919-42E9-8926-4EEC951C0579}"/>
    <hyperlink ref="J1172" r:id="rId2290" display="8" xr:uid="{4E2391B2-5189-4F01-9C33-CB6185AC8D56}"/>
    <hyperlink ref="K1172" r:id="rId2291" display="01/01/2015" xr:uid="{2A3073AA-CB39-4E7F-AF3F-6406D296E722}"/>
    <hyperlink ref="L1172" r:id="rId2292" xr:uid="{418BA94C-1C84-4AF5-B9C8-C9A0391BF7E6}"/>
    <hyperlink ref="I1174" r:id="rId2293" xr:uid="{148CAC2A-7934-4832-9607-08BC9612AB8A}"/>
    <hyperlink ref="J1174" r:id="rId2294" display="62" xr:uid="{6556CF98-523F-4C95-854C-6F7DFB90A5A3}"/>
    <hyperlink ref="K1174" r:id="rId2295" display="05/12/2014" xr:uid="{6CCB4D6C-CCF0-4DDA-AAEC-FFA14F506F3B}"/>
    <hyperlink ref="L1174" r:id="rId2296" xr:uid="{D46374BD-93AA-4894-9471-E6F0715F0BED}"/>
    <hyperlink ref="I1176" r:id="rId2297" xr:uid="{C09C8BA0-A5A9-4DFC-8C81-9340724BC8F7}"/>
    <hyperlink ref="J1176" r:id="rId2298" display="3" xr:uid="{998766B1-1194-41D0-841B-CB1DCA790419}"/>
    <hyperlink ref="K1176" r:id="rId2299" display="05/12/2014" xr:uid="{8D1D6167-BB17-4903-AA60-BE615D256919}"/>
    <hyperlink ref="L1176" r:id="rId2300" xr:uid="{BFF1B26F-0772-42B2-929A-7C0AE52F451F}"/>
    <hyperlink ref="I1178" r:id="rId2301" xr:uid="{D571135A-9EEE-4E4C-8B62-2A7FD4300371}"/>
    <hyperlink ref="J1178" r:id="rId2302" display="63" xr:uid="{F269724A-2647-467D-9D6E-F4C8310D9802}"/>
    <hyperlink ref="K1178" r:id="rId2303" display="05/12/2014" xr:uid="{F83E7019-39AA-425E-A55E-CA7C1426158F}"/>
    <hyperlink ref="L1178" r:id="rId2304" xr:uid="{17AC0606-FD20-4C88-BA04-BC2199462237}"/>
    <hyperlink ref="I1180" r:id="rId2305" xr:uid="{CB5C3191-2E09-438A-8315-A18C0FD77F15}"/>
    <hyperlink ref="J1180" r:id="rId2306" display="4" xr:uid="{31B09CEE-E12A-4018-9607-B185A16CC363}"/>
    <hyperlink ref="K1180" r:id="rId2307" display="05/12/2014" xr:uid="{2F7D83DA-0BBA-4125-AC89-7EDAAA34F9DB}"/>
    <hyperlink ref="L1180" r:id="rId2308" xr:uid="{CB2FB180-4896-400C-AF77-A257D66D1403}"/>
    <hyperlink ref="I1182" r:id="rId2309" xr:uid="{D3D508BC-639F-44C2-AE41-7993B9E7BA3C}"/>
    <hyperlink ref="J1182" r:id="rId2310" display="62" xr:uid="{6C689B19-E522-42C5-B406-56E53AF0D392}"/>
    <hyperlink ref="K1182" r:id="rId2311" display="05/12/2014" xr:uid="{CD18DD1D-A632-4F57-91D3-836C45FE4A4F}"/>
    <hyperlink ref="L1182" r:id="rId2312" xr:uid="{4D45B22A-53E1-43CD-8367-908AF46F7FAF}"/>
    <hyperlink ref="I1184" r:id="rId2313" xr:uid="{E9D66ED6-5F26-4B5B-8D63-BCD4E465CA5E}"/>
    <hyperlink ref="J1184" r:id="rId2314" display="1" xr:uid="{7504E2C8-5A63-49BF-BC58-59CBF70B62BF}"/>
    <hyperlink ref="K1184" r:id="rId2315" display="05/12/2014" xr:uid="{C6DD774C-BB66-40CE-8872-3DDF0C14C482}"/>
    <hyperlink ref="L1184" r:id="rId2316" xr:uid="{9AF3E481-5860-4960-8890-EB948AD9D459}"/>
    <hyperlink ref="I1186" r:id="rId2317" xr:uid="{E0BD4C8E-641F-4510-BC8D-261CFC11995A}"/>
    <hyperlink ref="J1186" r:id="rId2318" display="62" xr:uid="{A9AEBCCD-2F1C-40E2-8FE0-B61C27B87577}"/>
    <hyperlink ref="K1186" r:id="rId2319" display="05/12/2014" xr:uid="{3A2B7643-284D-4589-AB3A-4FFB55E41E5C}"/>
    <hyperlink ref="L1186" r:id="rId2320" xr:uid="{74438952-918E-40D8-A636-D94999398E01}"/>
    <hyperlink ref="I1188" r:id="rId2321" xr:uid="{C63D1EB1-3C6D-4D92-83A6-A575EAC18160}"/>
    <hyperlink ref="J1188" r:id="rId2322" display="3" xr:uid="{8B179E50-394E-49EC-9544-03E77CA9F313}"/>
    <hyperlink ref="K1188" r:id="rId2323" display="05/12/2014" xr:uid="{145A90DE-01A2-4F91-B8BF-0FCB8F0C07C4}"/>
    <hyperlink ref="L1188" r:id="rId2324" xr:uid="{9DDFF464-0759-4CD8-B1AE-6A446D378C4E}"/>
    <hyperlink ref="I1190" r:id="rId2325" xr:uid="{8B7B3B24-4209-4130-92F3-68287A12F09A}"/>
    <hyperlink ref="J1190" r:id="rId2326" display="337" xr:uid="{7BB8C2F7-EE58-4307-8456-5B1B8C8F15B8}"/>
    <hyperlink ref="K1190" r:id="rId2327" display="07/11/2014" xr:uid="{3BC69E79-7689-4AF2-8B47-3A7CD1B1010C}"/>
    <hyperlink ref="I1192" r:id="rId2328" xr:uid="{477CC7F8-7EEB-49CF-986B-23DAEE7B4A08}"/>
    <hyperlink ref="J1192" r:id="rId2329" display="36" xr:uid="{A1B0965F-8DBE-4611-9F1A-8FE88D177EE6}"/>
    <hyperlink ref="K1192" r:id="rId2330" display="07/11/2014" xr:uid="{FEBEE919-78C6-41CD-B558-EE803C63D119}"/>
    <hyperlink ref="L1192" r:id="rId2331" xr:uid="{B6283D20-D07C-42E0-98E5-D101EF4EA2A6}"/>
    <hyperlink ref="I1194" r:id="rId2332" xr:uid="{74986EF1-E286-41AA-ACD9-87A112C09A95}"/>
    <hyperlink ref="J1194" r:id="rId2333" display="5" xr:uid="{20E57963-4833-4B85-9F8C-9956B79FB37B}"/>
    <hyperlink ref="K1194" r:id="rId2334" display="07/11/2014" xr:uid="{19B52EF6-7664-4CAD-BCE6-25905BB521F7}"/>
    <hyperlink ref="L1194" r:id="rId2335" xr:uid="{83C73F00-7F44-446C-BE8F-F9B5BFFCE620}"/>
    <hyperlink ref="I1196" r:id="rId2336" xr:uid="{70DF944E-63F7-4845-9564-C69C5FD124C0}"/>
    <hyperlink ref="J1196" r:id="rId2337" display="293" xr:uid="{8C2199C9-57B4-48CE-ADA4-0BC0507CE148}"/>
    <hyperlink ref="K1196" r:id="rId2338" display="26/09/2014" xr:uid="{6B21BF3E-919E-489E-B673-68D2D6C0187E}"/>
    <hyperlink ref="I1198" r:id="rId2339" xr:uid="{CC2F5F35-9E21-488F-B831-74F478750C5B}"/>
    <hyperlink ref="J1198" r:id="rId2340" display="56" xr:uid="{A32783F9-4CEB-4A58-857B-2ED85365E944}"/>
    <hyperlink ref="K1198" r:id="rId2341" display="26/09/2014" xr:uid="{419B9A1E-45BE-4553-BE3B-B46D3D150B31}"/>
    <hyperlink ref="L1198" r:id="rId2342" xr:uid="{DB0754A5-4462-4519-951A-33D3E4F7ADB9}"/>
    <hyperlink ref="I1200" r:id="rId2343" xr:uid="{772DF0C3-AEEA-400B-A468-8536D568234B}"/>
    <hyperlink ref="J1200" r:id="rId2344" display="13" xr:uid="{779EB0B6-5433-4205-B3BF-FD3121502E65}"/>
    <hyperlink ref="K1200" r:id="rId2345" display="26/09/2014" xr:uid="{C3581045-2D58-4E51-B929-29788003018C}"/>
    <hyperlink ref="L1200" r:id="rId2346" xr:uid="{7C2D9F48-E18F-412D-8BF0-71A1A43BB976}"/>
    <hyperlink ref="I1202" r:id="rId2347" xr:uid="{3F501972-A6B4-4F28-ADA0-1499451AB48D}"/>
    <hyperlink ref="J1202" r:id="rId2348" display="82" xr:uid="{9AC07EC0-C585-45C1-B152-021465849786}"/>
    <hyperlink ref="K1202" r:id="rId2349" display="05/09/2014" xr:uid="{7225398E-4C41-463E-9841-5781DE08A3D3}"/>
    <hyperlink ref="I1204" r:id="rId2350" xr:uid="{891AD69D-D3B4-449E-9CD7-D66EFE21B105}"/>
    <hyperlink ref="J1204" r:id="rId2351" display="15" xr:uid="{C08D5141-213D-4766-9190-25F178E71FD5}"/>
    <hyperlink ref="K1204" r:id="rId2352" display="22/08/2014" xr:uid="{867FBC2B-EFAF-4C1A-84C8-5D78BCEA29E1}"/>
    <hyperlink ref="L1204" r:id="rId2353" xr:uid="{206A3BC9-3D62-4A2B-908D-DD51E94AA3E8}"/>
    <hyperlink ref="I1206" r:id="rId2354" xr:uid="{378286E4-CBC4-4FBF-9D7A-33E063E088DC}"/>
    <hyperlink ref="J1206" r:id="rId2355" display="284" xr:uid="{1288F4A9-F3D9-4DA7-A3EC-94A063786493}"/>
    <hyperlink ref="K1206" r:id="rId2356" display="18/07/2014" xr:uid="{40CA87BA-276F-4A5D-9720-3DDDCF052F6B}"/>
    <hyperlink ref="I1208" r:id="rId2357" xr:uid="{52BBA32F-00C6-412B-937D-A67D38CF596B}"/>
    <hyperlink ref="J1208" r:id="rId2358" display="14" xr:uid="{01AD6200-906F-48E8-A96D-812D73322229}"/>
    <hyperlink ref="K1208" r:id="rId2359" display="17/07/2014" xr:uid="{C98E7AC6-FD0D-47FC-BE88-9430675A3E8A}"/>
    <hyperlink ref="L1208" r:id="rId2360" xr:uid="{28FE4DE4-EB88-4744-B0A7-572A3F235EAC}"/>
    <hyperlink ref="I1210" r:id="rId2361" xr:uid="{C6486DF3-061B-4C30-8C68-7D7CB34B1BCE}"/>
    <hyperlink ref="J1210" r:id="rId2362" display="14" xr:uid="{C6CE7ED0-88E8-4F32-9B0B-3A75D96D3C3A}"/>
    <hyperlink ref="K1210" r:id="rId2363" display="18/07/2014" xr:uid="{AF5E6B7B-9952-4622-8230-62022ABD1328}"/>
    <hyperlink ref="L1210" r:id="rId2364" xr:uid="{EB8EDA52-1343-4809-93A8-9AB2705595E5}"/>
    <hyperlink ref="I1212" r:id="rId2365" xr:uid="{A649C2AE-3854-4F9F-944D-5DD1FFA8045B}"/>
    <hyperlink ref="J1212" r:id="rId2366" display="6" xr:uid="{B91307C9-A5A9-4224-AA0C-AB10588AF3B8}"/>
    <hyperlink ref="K1212" r:id="rId2367" display="18/07/2014" xr:uid="{35F53756-0C57-490F-957B-9813845641BC}"/>
    <hyperlink ref="L1212" r:id="rId2368" xr:uid="{45C2FB40-0BF3-40BB-981F-DEA700D19437}"/>
    <hyperlink ref="I1214" r:id="rId2369" xr:uid="{0AF6C8C7-A5C1-4A5B-9D6A-894D525CCA7F}"/>
    <hyperlink ref="J1214" r:id="rId2370" display="2" xr:uid="{43052059-E63F-4BE4-B59E-B0CFBBCBD529}"/>
    <hyperlink ref="K1214" r:id="rId2371" display="12/07/2014" xr:uid="{F9DC74DA-8AE8-483A-952D-E45897DE0946}"/>
    <hyperlink ref="L1214" r:id="rId2372" xr:uid="{DEEC4F0B-592D-41ED-8F9D-D3EFFE6C5CC2}"/>
    <hyperlink ref="I1216" r:id="rId2373" xr:uid="{0DFA7556-09AA-4401-9401-08BB2BA2D3AC}"/>
    <hyperlink ref="J1216" r:id="rId2374" display="2" xr:uid="{6E6C752D-A7FC-4B8A-BABA-83D826CFF713}"/>
    <hyperlink ref="K1216" r:id="rId2375" display="09/07/2014" xr:uid="{407F9E39-2150-4F29-B213-7EB4EEAD55BA}"/>
    <hyperlink ref="L1216" r:id="rId2376" xr:uid="{D1B78EA2-1D21-48A0-B2C5-362E0A669017}"/>
    <hyperlink ref="I1218" r:id="rId2377" xr:uid="{F112E694-A115-4BCD-86B3-98667A00F0F5}"/>
    <hyperlink ref="J1218" r:id="rId2378" display="6" xr:uid="{01F69D73-9476-4D6E-9E16-F0D252B5480F}"/>
    <hyperlink ref="K1218" r:id="rId2379" display="08/07/2014" xr:uid="{66D78422-1EF5-4B9A-BD91-A7A7DC0168B7}"/>
    <hyperlink ref="L1218" r:id="rId2380" xr:uid="{83FBDFC2-FD93-4396-8BD9-48F67CAB88DE}"/>
    <hyperlink ref="I1220" r:id="rId2381" xr:uid="{665B5258-3CDE-48F4-A32A-E9EB573BDEF8}"/>
    <hyperlink ref="J1220" r:id="rId2382" display="325" xr:uid="{6217A9CA-936B-4929-B175-29D365EF8345}"/>
    <hyperlink ref="K1220" r:id="rId2383" display="16/06/2014" xr:uid="{8F3D2758-3062-4B39-8B1A-97157BE4D530}"/>
    <hyperlink ref="L1220" r:id="rId2384" xr:uid="{3665274A-D051-40A9-9677-86574050B514}"/>
    <hyperlink ref="I1222" r:id="rId2385" xr:uid="{6C2E1A62-423B-49BB-BCC7-A3C1147A966F}"/>
    <hyperlink ref="J1222" r:id="rId2386" display="210" xr:uid="{083EADD8-206D-4C51-9444-AB86A896DBE8}"/>
    <hyperlink ref="K1222" r:id="rId2387" display="06/06/2014" xr:uid="{78F839D9-4162-4A39-8A6E-7C4F277B4DD5}"/>
    <hyperlink ref="I1224" r:id="rId2388" xr:uid="{B7DE260B-B141-4041-959C-2CAAEB235CC4}"/>
    <hyperlink ref="J1224" r:id="rId2389" display="1" xr:uid="{59804AD1-932D-4CB0-A7B2-68FEC27F8184}"/>
    <hyperlink ref="K1224" r:id="rId2390" display="06/06/2014" xr:uid="{9B1DC6D2-1FCA-4F93-B336-D3D7E54FFE71}"/>
    <hyperlink ref="L1224" r:id="rId2391" xr:uid="{7AC7CDBD-8F4C-4F9F-B51F-B70EEBF27340}"/>
    <hyperlink ref="I1226" r:id="rId2392" xr:uid="{70B70C4C-C2BE-478E-8787-C3D01BCC6EC8}"/>
    <hyperlink ref="J1226" r:id="rId2393" display="9" xr:uid="{C9A5F0E0-2B77-4EB2-99ED-FAFDFFBEF47E}"/>
    <hyperlink ref="K1226" r:id="rId2394" display="06/06/2014" xr:uid="{8399EF22-4572-471D-91EF-7DECD4062522}"/>
    <hyperlink ref="L1226" r:id="rId2395" xr:uid="{31BDB713-71E1-4679-B64C-61A37358D8C4}"/>
    <hyperlink ref="I1228" r:id="rId2396" xr:uid="{DD558030-9223-46AD-AE77-D0A163B7197E}"/>
    <hyperlink ref="J1228" r:id="rId2397" display="26" xr:uid="{68D33B8E-9817-4C43-ADDF-91E174D88558}"/>
    <hyperlink ref="K1228" r:id="rId2398" display="30/05/2014" xr:uid="{104710BC-FCBD-43CF-93AE-A425709AFC60}"/>
    <hyperlink ref="L1228" r:id="rId2399" xr:uid="{11417D32-E615-4E09-8952-967AF4645FD5}"/>
    <hyperlink ref="I1230" r:id="rId2400" xr:uid="{0214D0D9-F686-4DC3-86F3-1C6A12E77C95}"/>
    <hyperlink ref="J1230" r:id="rId2401" display="4" xr:uid="{3BAA9E3B-376E-4087-8737-661C29B951D0}"/>
    <hyperlink ref="K1230" r:id="rId2402" display="30/05/2014" xr:uid="{5D2175E0-4E38-4E38-9D1F-49B0538F4D9D}"/>
    <hyperlink ref="L1230" r:id="rId2403" xr:uid="{0748E578-FE35-4803-B4B1-D0FE36910109}"/>
    <hyperlink ref="I1232" r:id="rId2404" xr:uid="{86751D7C-48D5-46B4-8175-ED21C796B838}"/>
    <hyperlink ref="J1232" r:id="rId2405" display="165" xr:uid="{B3AABE48-5F22-455A-8E9A-F849905875A3}"/>
    <hyperlink ref="K1232" r:id="rId2406" display="02/05/2014" xr:uid="{BF9A4EFC-B234-4995-ABC4-4447CB31553D}"/>
    <hyperlink ref="I1234" r:id="rId2407" xr:uid="{511AFBED-34BA-4FB6-AAC5-12B871B11B07}"/>
    <hyperlink ref="J1234" r:id="rId2408" display="10" xr:uid="{D9B1B522-EF09-4D7E-A56F-EF036C518E8C}"/>
    <hyperlink ref="K1234" r:id="rId2409" display="26/04/2014" xr:uid="{F9804455-CDE4-4AA0-9E91-860B3C1367DA}"/>
    <hyperlink ref="L1234" r:id="rId2410" xr:uid="{11478A23-9419-4D6C-A572-816389EAF2C5}"/>
    <hyperlink ref="I1236" r:id="rId2411" xr:uid="{D5E88D1C-F50F-46F5-95E4-BBF83AAD58B6}"/>
    <hyperlink ref="J1236" r:id="rId2412" display="6" xr:uid="{8DDAA6D6-72A9-4900-9EAB-C374A103DFC6}"/>
    <hyperlink ref="K1236" r:id="rId2413" display="02/05/2014" xr:uid="{EAD34536-C021-4442-B622-BEB637DA9C76}"/>
    <hyperlink ref="L1236" r:id="rId2414" xr:uid="{86190CE5-A044-4A66-8BAC-D4F59BE657F3}"/>
    <hyperlink ref="I1238" r:id="rId2415" xr:uid="{433308FC-6EB5-41F5-B0E5-6275E6E68C4C}"/>
    <hyperlink ref="J1238" r:id="rId2416" display="15" xr:uid="{83A787B7-E91E-435C-8D0A-DDE0B17B407B}"/>
    <hyperlink ref="K1238" r:id="rId2417" display="25/05/2014" xr:uid="{CB53D371-1AD0-46AA-A00C-C9EACF71040E}"/>
    <hyperlink ref="L1238" r:id="rId2418" xr:uid="{FE626214-F4FF-4612-B976-65A57A2E49E1}"/>
    <hyperlink ref="I1240" r:id="rId2419" xr:uid="{5974FBC4-01CD-4992-B729-FC47C216A5F0}"/>
    <hyperlink ref="J1240" r:id="rId2420" display="8" xr:uid="{72B2756D-D986-4AE9-8E87-356D4DD71A2D}"/>
    <hyperlink ref="K1240" r:id="rId2421" display="02/05/2014" xr:uid="{E0F28686-10BC-4606-A3F3-F0E5CF49EF52}"/>
    <hyperlink ref="L1240" r:id="rId2422" xr:uid="{7EA927C7-5BDB-46FF-BE06-A76AC4BCA9C2}"/>
    <hyperlink ref="I1242" r:id="rId2423" xr:uid="{03650F9E-4A3C-41C3-AD62-B7C9A34C7DB5}"/>
    <hyperlink ref="J1242" r:id="rId2424" display="88" xr:uid="{B54AA1AA-7AB7-4877-8F47-134A5CF84B46}"/>
    <hyperlink ref="K1242" r:id="rId2425" display="14/03/2014" xr:uid="{2B706515-C69D-4933-AA59-1A6CB81E0EF6}"/>
    <hyperlink ref="I1244" r:id="rId2426" xr:uid="{F363B4CA-0FD7-4D7F-B8AB-AF6E4CAED310}"/>
    <hyperlink ref="J1244" r:id="rId2427" display="1" xr:uid="{A0D92DA2-2343-4F43-A0C0-B19164E6530C}"/>
    <hyperlink ref="K1244" r:id="rId2428" display="14/03/2014" xr:uid="{63E0BC43-7606-4622-80DA-BF7CB42C803B}"/>
    <hyperlink ref="L1244" r:id="rId2429" xr:uid="{128B3B3E-67C4-4EB2-895E-057DACE9647D}"/>
    <hyperlink ref="I1246" r:id="rId2430" xr:uid="{177416F7-42FC-4184-B9BB-BEF0D3D128EA}"/>
    <hyperlink ref="J1246" r:id="rId2431" display="165" xr:uid="{4C8AF18C-1D8F-40D3-9876-3833BC75B222}"/>
    <hyperlink ref="K1246" r:id="rId2432" display="07/02/2014" xr:uid="{EF182B3D-ADD8-404B-A156-00EC65DCB178}"/>
    <hyperlink ref="I1248" r:id="rId2433" xr:uid="{56F65932-C190-44E4-8A21-460E4E319A5D}"/>
    <hyperlink ref="J1248" r:id="rId2434" display="9" xr:uid="{6E98A047-5B51-4DCF-9C53-9F05D2C20D19}"/>
    <hyperlink ref="K1248" r:id="rId2435" display="01/02/2014" xr:uid="{F2DD24C9-1FED-440F-B7CB-EA58AC8CBF36}"/>
    <hyperlink ref="L1248" r:id="rId2436" xr:uid="{B8296D26-010D-472A-8092-BAA84D465178}"/>
    <hyperlink ref="I1250" r:id="rId2437" xr:uid="{DAB2FBE4-7166-4516-9B16-BCCA054909F5}"/>
    <hyperlink ref="J1250" r:id="rId2438" display="11" xr:uid="{F1E12720-136D-4238-AD32-1CF9566B01F8}"/>
    <hyperlink ref="K1250" r:id="rId2439" display="07/02/2014" xr:uid="{4A11572D-ADF9-4E71-9F18-826563F543DF}"/>
    <hyperlink ref="L1250" r:id="rId2440" xr:uid="{95AC25C8-4BC9-4A93-8C45-387857F5A1D0}"/>
    <hyperlink ref="I1252" r:id="rId2441" xr:uid="{03CA7CED-B9E3-4E8E-856E-FA77731DED2A}"/>
    <hyperlink ref="J1252" r:id="rId2442" display="15" xr:uid="{52CA52AF-77C9-4BA8-AED0-61F647854E41}"/>
    <hyperlink ref="K1252" r:id="rId2443" display="01/03/2014" xr:uid="{E96366E6-0703-4EAB-88E2-436E9158E07E}"/>
    <hyperlink ref="L1252" r:id="rId2444" xr:uid="{6209DE12-580B-4E93-9277-466BF9BF245D}"/>
    <hyperlink ref="I1254" r:id="rId2445" xr:uid="{040D5F10-E2C2-46AE-B31B-9399D6C24CE6}"/>
    <hyperlink ref="J1254" r:id="rId2446" display="7" xr:uid="{01597801-4325-487F-B32E-F3039E907EC3}"/>
    <hyperlink ref="K1254" r:id="rId2447" display="07/02/2014" xr:uid="{63910715-B31F-4EDE-8740-E3A1A70C81FE}"/>
    <hyperlink ref="L1254" r:id="rId2448" xr:uid="{DE22C092-F895-4AF8-A59B-D3DC5316AF96}"/>
    <hyperlink ref="I1256" r:id="rId2449" xr:uid="{5FC63FDD-6474-4120-B796-8E27374C10E2}"/>
    <hyperlink ref="J1256" r:id="rId2450" display="4" xr:uid="{0589C09E-0C6F-4FA4-8726-DC85415280C3}"/>
    <hyperlink ref="K1256" r:id="rId2451" display="01/01/2014" xr:uid="{294BE704-1889-4BB4-80F8-7217D9B4E02C}"/>
    <hyperlink ref="L1256" r:id="rId2452" xr:uid="{6D651CC8-5C64-4CF7-AAEB-06D48BD929FE}"/>
    <hyperlink ref="I1258" r:id="rId2453" xr:uid="{74605C6A-DCBB-4F89-BC48-F8045F09D3A1}"/>
    <hyperlink ref="J1258" r:id="rId2454" display="14" xr:uid="{3D761996-475F-4584-81C5-A3272D4BCBCA}"/>
    <hyperlink ref="K1258" r:id="rId2455" display="01/01/2014" xr:uid="{72AF693B-0934-4E90-915D-48C4EF7C003F}"/>
    <hyperlink ref="L1258" r:id="rId2456" xr:uid="{066B6A13-122B-4418-A71B-6740DE12EC3A}"/>
    <hyperlink ref="I1260" r:id="rId2457" xr:uid="{2D614E8F-FE21-429B-AB9C-1AB53DBD77F5}"/>
    <hyperlink ref="J1260" r:id="rId2458" display="12" xr:uid="{56A7F228-9509-43F9-B8D4-F6D86F3FE0EA}"/>
    <hyperlink ref="K1260" r:id="rId2459" display="01/01/2014" xr:uid="{14B98880-8CA6-4DBA-A3B1-9583E58A4ECE}"/>
    <hyperlink ref="L1260" r:id="rId2460" xr:uid="{639EBDBB-32EC-4B87-97F3-419978FF9CC4}"/>
    <hyperlink ref="I1262" r:id="rId2461" xr:uid="{512A0EF9-FDAE-4962-AD03-D6E87EE3887A}"/>
    <hyperlink ref="J1262" r:id="rId2462" display="356" xr:uid="{07E62F3E-86D9-4E49-BBB5-308F3304756A}"/>
    <hyperlink ref="K1262" r:id="rId2463" display="01/11/2013" xr:uid="{6A0C9565-AD4F-482B-9B15-13DEBF3CBC8E}"/>
    <hyperlink ref="I1264" r:id="rId2464" xr:uid="{53BE93B3-2665-4B21-8A5E-27AFA92474EF}"/>
    <hyperlink ref="J1264" r:id="rId2465" display="15" xr:uid="{137369B1-9918-41EC-8619-F9F9F74F06C6}"/>
    <hyperlink ref="K1264" r:id="rId2466" display="01/11/2013" xr:uid="{852AB8ED-8D34-43DD-A7A2-CEBCE754F364}"/>
    <hyperlink ref="L1264" r:id="rId2467" xr:uid="{E3025697-82D4-4581-A3F0-12C718BA9A33}"/>
    <hyperlink ref="I1266" r:id="rId2468" xr:uid="{00E5B5C1-6921-4819-A5FF-C11F431258DF}"/>
    <hyperlink ref="J1266" r:id="rId2469" display="249" xr:uid="{F627C99B-5578-42D0-A7D6-EF851EE9C27C}"/>
    <hyperlink ref="K1266" r:id="rId2470" display="27/09/2013" xr:uid="{FB120446-2D58-4F58-BA6C-0276093327A3}"/>
    <hyperlink ref="I1268" r:id="rId2471" xr:uid="{C55CB70A-CED6-414F-AC77-FB8934ED60CD}"/>
    <hyperlink ref="J1268" r:id="rId2472" display="10" xr:uid="{62A6AA00-7A78-4C8C-9382-DDCBCA24E3A8}"/>
    <hyperlink ref="K1268" r:id="rId2473" display="21/09/2013" xr:uid="{38182A23-1F7A-4763-8C78-8F64CF8988C1}"/>
    <hyperlink ref="L1268" r:id="rId2474" xr:uid="{75099974-2BE5-41E7-86D1-E551271BB36B}"/>
    <hyperlink ref="I1270" r:id="rId2475" xr:uid="{DABD2F3A-925E-4D6F-8EE7-20301F629C6E}"/>
    <hyperlink ref="J1270" r:id="rId2476" display="11" xr:uid="{22776E61-F7C9-4E00-BF0A-25083D34F590}"/>
    <hyperlink ref="K1270" r:id="rId2477" display="27/09/2013" xr:uid="{7DE42E9E-EE56-40F4-A908-3F6CBB9A80D4}"/>
    <hyperlink ref="L1270" r:id="rId2478" xr:uid="{2951D4DD-C377-43DE-B961-7C72F483CC9C}"/>
    <hyperlink ref="I1272" r:id="rId2479" xr:uid="{0216C149-1335-48C3-8C44-E16371F4F384}"/>
    <hyperlink ref="J1272" r:id="rId2480" display="15" xr:uid="{F3DE0433-5324-4B85-8A94-7441573BFEF5}"/>
    <hyperlink ref="K1272" r:id="rId2481" display="19/10/2013" xr:uid="{E5D1ED7A-BA7B-4785-9C1C-02D184BB244D}"/>
    <hyperlink ref="L1272" r:id="rId2482" xr:uid="{78CBE287-6BAA-470C-B8E9-9D04C69B49DF}"/>
    <hyperlink ref="I1274" r:id="rId2483" xr:uid="{6A38DF94-72E1-4909-8E88-344C0D599D38}"/>
    <hyperlink ref="J1274" r:id="rId2484" display="7" xr:uid="{438182EF-CD89-4D5C-9FEF-435501F4D672}"/>
    <hyperlink ref="K1274" r:id="rId2485" display="27/09/2013" xr:uid="{7ACE6C3C-7099-457F-BACF-3079CBA3F983}"/>
    <hyperlink ref="L1274" r:id="rId2486" xr:uid="{B6F62885-58C4-4EAD-AEF4-B73332B1CEF2}"/>
    <hyperlink ref="I1276" r:id="rId2487" xr:uid="{55ABD6B8-5597-4381-ADF6-FBC57B64DC22}"/>
    <hyperlink ref="J1276" r:id="rId2488" display="81" xr:uid="{224722BC-4FB5-41F1-90F4-A657BE8514B7}"/>
    <hyperlink ref="K1276" r:id="rId2489" display="06/09/2013" xr:uid="{13E2F7CA-4347-4A15-91FE-DDF61E2BD7DD}"/>
    <hyperlink ref="I1278" r:id="rId2490" xr:uid="{9E611973-4C0D-42D7-9D19-9D810AA4C8EC}"/>
    <hyperlink ref="J1278" r:id="rId2491" display="2" xr:uid="{E11A9C62-DF47-4E44-9519-5DF8EEB05F08}"/>
    <hyperlink ref="K1278" r:id="rId2492" display="06/09/2013" xr:uid="{223D4777-D8B9-41F4-9629-304655D6675D}"/>
    <hyperlink ref="L1278" r:id="rId2493" xr:uid="{1AEDD2EC-00CE-402E-A65A-033E6276CD2B}"/>
    <hyperlink ref="I1280" r:id="rId2494" xr:uid="{DF75515D-087E-4026-8A72-D4A89F1C6D8C}"/>
    <hyperlink ref="J1280" r:id="rId2495" display="20" xr:uid="{62D83CC0-6692-4E04-B24D-F37DE79301D6}"/>
    <hyperlink ref="K1280" r:id="rId2496" display="23/08/2013" xr:uid="{FA507795-8987-49C2-9347-C1EAA29AA6B3}"/>
    <hyperlink ref="L1280" r:id="rId2497" xr:uid="{41B1EDF6-59A1-4D51-914F-FDFDE60E6A38}"/>
    <hyperlink ref="I1282" r:id="rId2498" xr:uid="{DD92464F-39EF-4B41-9DAA-B92BA641026E}"/>
    <hyperlink ref="J1282" r:id="rId2499" display="249" xr:uid="{09A129AF-3E22-4982-8854-671AFBC8987B}"/>
    <hyperlink ref="K1282" r:id="rId2500" display="19/07/2013" xr:uid="{8BD78BC8-9283-4527-98FA-85C042B89D5C}"/>
    <hyperlink ref="I1284" r:id="rId2501" xr:uid="{BF89EC8C-9945-42C8-A480-76F613A4355F}"/>
    <hyperlink ref="J1284" r:id="rId2502" display="6" xr:uid="{C2898439-7F81-44FE-A1D0-C83C88EE3992}"/>
    <hyperlink ref="K1284" r:id="rId2503" display="18/07/2013" xr:uid="{38344FB3-D949-415B-B212-EED87995D652}"/>
    <hyperlink ref="L1284" r:id="rId2504" xr:uid="{69E0317D-DC0F-4688-8774-13E8A568ACC0}"/>
    <hyperlink ref="I1286" r:id="rId2505" xr:uid="{18221BA0-7297-4368-A2C8-2E4F5541516A}"/>
    <hyperlink ref="J1286" r:id="rId2506" display="13" xr:uid="{43F5B96C-6420-4C2B-89BC-918EA8C986CF}"/>
    <hyperlink ref="K1286" r:id="rId2507" display="19/07/2013" xr:uid="{88B7772F-5C56-4675-8F7D-E58183976791}"/>
    <hyperlink ref="L1286" r:id="rId2508" xr:uid="{174F910B-9C84-49EF-8520-B7F69B6863A7}"/>
    <hyperlink ref="I1288" r:id="rId2509" xr:uid="{23141283-3BB0-4376-9866-E8507BE521F2}"/>
    <hyperlink ref="J1288" r:id="rId2510" display="5" xr:uid="{02B088E5-812E-491F-96AF-896A101B4198}"/>
    <hyperlink ref="K1288" r:id="rId2511" display="18/07/2013" xr:uid="{7C4B6B3C-7410-41B7-9490-8AFFAA3BEEE6}"/>
    <hyperlink ref="L1288" r:id="rId2512" xr:uid="{DF642166-6A82-4CDD-85C6-DCB13570584E}"/>
    <hyperlink ref="I1290" r:id="rId2513" xr:uid="{B40241AF-A673-4351-8DAC-896D94D9CF36}"/>
    <hyperlink ref="J1290" r:id="rId2514" display="229" xr:uid="{099BD74C-C36B-4B2D-AA10-9D7DDCBBC39D}"/>
    <hyperlink ref="K1290" r:id="rId2515" display="07/06/2013" xr:uid="{A49DFAF0-EC2C-4348-98BC-69F9B66EB9E0}"/>
    <hyperlink ref="L1290" r:id="rId2516" xr:uid="{1CD096C8-8ED3-4741-BE8F-C477BFB1238E}"/>
    <hyperlink ref="I1292" r:id="rId2517" xr:uid="{CEABFEB2-46A6-4132-8CFF-8607BC508EFF}"/>
    <hyperlink ref="J1292" r:id="rId2518" display="16" xr:uid="{EDF269D9-73F4-48FE-AF6D-A07F4B9BD8AA}"/>
    <hyperlink ref="K1292" r:id="rId2519" display="07/06/2013" xr:uid="{5F7F9908-F65E-4518-91E2-D5668CB98C0E}"/>
    <hyperlink ref="L1292" r:id="rId2520" xr:uid="{82E63594-2899-4E42-BC7C-EA7364C59D9D}"/>
    <hyperlink ref="I1294" r:id="rId2521" xr:uid="{DF9C5A3D-F85D-4983-9E73-6EE0D91ED312}"/>
    <hyperlink ref="J1294" r:id="rId2522" display="156" xr:uid="{EF219FC9-D1A0-4BF3-865B-822ABD48D3AE}"/>
    <hyperlink ref="K1294" r:id="rId2523" display="03/05/2013" xr:uid="{03DAAF51-3FE6-44A4-85F4-03D5D0D53FC4}"/>
    <hyperlink ref="I1296" r:id="rId2524" xr:uid="{A22AAD2C-FE86-4FBD-85BE-92BCC3B524D2}"/>
    <hyperlink ref="J1296" r:id="rId2525" display="6" xr:uid="{F9917B2A-27EE-42A3-8876-AE4A6F585347}"/>
    <hyperlink ref="K1296" r:id="rId2526" display="27/04/2013" xr:uid="{90DECAB6-191A-486A-8CEA-090E99178D9D}"/>
    <hyperlink ref="L1296" r:id="rId2527" xr:uid="{0400DAC5-2902-4E8D-AB9E-792468E71225}"/>
    <hyperlink ref="I1298" r:id="rId2528" xr:uid="{72A6B720-44DC-493C-8C4B-411EDF17F22A}"/>
    <hyperlink ref="J1298" r:id="rId2529" display="1" xr:uid="{3A6B93CD-73A9-45FA-B71B-5CFE6F37866D}"/>
    <hyperlink ref="K1298" r:id="rId2530" display="03/05/2013" xr:uid="{4888A573-5AB7-4251-B309-FBB27CD405F1}"/>
    <hyperlink ref="L1298" r:id="rId2531" xr:uid="{D3A76FC3-2EB9-43E7-B558-497F05C5DF8A}"/>
    <hyperlink ref="I1300" r:id="rId2532" xr:uid="{A48908EC-C8CC-4D9D-B98A-662569C4222A}"/>
    <hyperlink ref="J1300" r:id="rId2533" display="5" xr:uid="{98624530-ED01-40E4-B1E9-0454828EBD65}"/>
    <hyperlink ref="K1300" r:id="rId2534" display="06/04/2013" xr:uid="{3EA0C93F-8E7F-471B-B190-0C299A806A26}"/>
    <hyperlink ref="L1300" r:id="rId2535" xr:uid="{19AC8639-15C0-49DE-9637-08635B886356}"/>
    <hyperlink ref="I1302" r:id="rId2536" xr:uid="{FE999F19-31BC-41DD-B390-3975C11BA935}"/>
    <hyperlink ref="J1302" r:id="rId2537" display="80" xr:uid="{47C2A8C5-A222-4E92-A5EA-28FA05D6CF85}"/>
    <hyperlink ref="K1302" r:id="rId2538" display="15/03/2013" xr:uid="{7B21EFB6-600E-44B5-8996-1AE3272660FF}"/>
    <hyperlink ref="I1304" r:id="rId2539" xr:uid="{1E8707F4-4BEA-46AB-AA69-94A55EF546D3}"/>
    <hyperlink ref="J1304" r:id="rId2540" display="1" xr:uid="{E251EC49-135C-405D-AA51-49B5B8A62C95}"/>
    <hyperlink ref="K1304" r:id="rId2541" display="15/03/2013" xr:uid="{677FB184-57FE-4A02-BEEE-36DAE4A5DDE5}"/>
    <hyperlink ref="L1304" r:id="rId2542" xr:uid="{0C712566-7536-4141-83B8-683C5FFB682B}"/>
    <hyperlink ref="I1306" r:id="rId2543" xr:uid="{F6F4CDEC-B4DF-4467-A252-4E337A5486B5}"/>
    <hyperlink ref="J1306" r:id="rId2544" display="249" xr:uid="{3C27208B-9E1C-4F4B-A876-C25233F784C0}"/>
    <hyperlink ref="K1306" r:id="rId2545" display="01/02/2013" xr:uid="{8DCE58B9-3E32-40D8-909A-5E5AA85C6555}"/>
    <hyperlink ref="I1308" r:id="rId2546" xr:uid="{041D9777-AD76-4215-BD62-F9F537D91EA1}"/>
    <hyperlink ref="J1308" r:id="rId2547" display="10" xr:uid="{C80B50C9-57F4-40C4-8385-1FA0629B8747}"/>
    <hyperlink ref="K1308" r:id="rId2548" display="26/01/2013" xr:uid="{7736D401-7BBF-4499-BE0E-16A30A3315B0}"/>
    <hyperlink ref="L1308" r:id="rId2549" xr:uid="{7AD13C73-6E13-4408-A5FD-82DE76E50ADC}"/>
    <hyperlink ref="I1310" r:id="rId2550" xr:uid="{639D42B2-015F-43F4-BC16-EE3B2097F2EE}"/>
    <hyperlink ref="J1310" r:id="rId2551" display="8" xr:uid="{289D6CD0-7E68-4392-994E-A05B8DCC1176}"/>
    <hyperlink ref="K1310" r:id="rId2552" display="01/02/2013" xr:uid="{7B6FEECE-09D8-41F4-A848-518DCEB5D844}"/>
    <hyperlink ref="L1310" r:id="rId2553" xr:uid="{13DD9EC1-11DD-4237-A822-5588912248FD}"/>
    <hyperlink ref="I1312" r:id="rId2554" xr:uid="{9016B78E-2E3A-40D8-8DCA-35AAB42230AE}"/>
    <hyperlink ref="J1312" r:id="rId2555" display="3" xr:uid="{80070EDA-199F-4C79-8243-4C9E943B2254}"/>
    <hyperlink ref="K1312" r:id="rId2556" display="01/01/2013" xr:uid="{9A775FEA-329F-4CB5-B5F0-35F5BF4B97B3}"/>
    <hyperlink ref="L1312" r:id="rId2557" xr:uid="{5B5C68C1-605E-4890-897C-A966553E5A4A}"/>
    <hyperlink ref="I1314" r:id="rId2558" xr:uid="{26C85101-87BB-4647-85C4-AE656D594B16}"/>
    <hyperlink ref="J1314" r:id="rId2559" display="4" xr:uid="{C84A9CCC-4634-4E64-9DA6-37E86C8AA1F1}"/>
    <hyperlink ref="K1314" r:id="rId2560" display="01/01/2013" xr:uid="{7D1639AF-0CC6-44A9-834E-6202FCF79814}"/>
    <hyperlink ref="L1314" r:id="rId2561" xr:uid="{4CFADC68-9B57-4CAC-B90A-CCBA434FF62B}"/>
    <hyperlink ref="I1316" r:id="rId2562" xr:uid="{2B1E68D9-1565-439D-B580-5A004E25B15D}"/>
    <hyperlink ref="J1316" r:id="rId2563" display="9" xr:uid="{94A5069C-B006-4A16-9907-58355D6C071F}"/>
    <hyperlink ref="K1316" r:id="rId2564" display="01/01/2013" xr:uid="{2ACC64A0-5881-4E7A-AC65-5C5E74C0FA34}"/>
    <hyperlink ref="L1316" r:id="rId2565" xr:uid="{E5C1DCC7-42A7-4FDB-A1DA-1B618A05C187}"/>
    <hyperlink ref="I1318" r:id="rId2566" xr:uid="{A173C14E-93BC-4B75-8784-66EB8DEAF351}"/>
    <hyperlink ref="J1318" r:id="rId2567" display="12" xr:uid="{C9D6FD99-7781-4EDE-B7B3-E9504AA70BAF}"/>
    <hyperlink ref="K1318" r:id="rId2568" display="01/01/2013" xr:uid="{1D82703F-AB22-4E6B-8C9D-60602D79A2F1}"/>
    <hyperlink ref="L1318" r:id="rId2569" xr:uid="{059D41A9-670A-40D0-A340-EF89469FDBAF}"/>
    <hyperlink ref="I1320" r:id="rId2570" xr:uid="{BAEADE72-2EC7-4250-A4E4-A2E79EF1A8C0}"/>
    <hyperlink ref="J1320" r:id="rId2571" display="18" xr:uid="{B7622104-3465-4393-8E68-6465242BCF2D}"/>
    <hyperlink ref="K1320" r:id="rId2572" display="02/11/2012" xr:uid="{CB565D65-B285-4014-9261-429908E82192}"/>
    <hyperlink ref="L1320" r:id="rId2573" xr:uid="{68344479-C3E8-48F8-926D-36227ACB65CB}"/>
    <hyperlink ref="I1322" r:id="rId2574" xr:uid="{45F5A33A-5239-4CAA-8245-1F81E78AAD2E}"/>
    <hyperlink ref="J1322" r:id="rId2575" display="10" xr:uid="{C282B053-D585-42F6-8335-664CBE65CA64}"/>
    <hyperlink ref="K1322" r:id="rId2576" display="02/11/2012" xr:uid="{F4FDA7D0-6519-4E8C-9CFD-FCF1C2CB72C6}"/>
    <hyperlink ref="L1322" r:id="rId2577" xr:uid="{849C5215-A2E1-4698-A2FF-87E79F2EE48D}"/>
    <hyperlink ref="I1324" r:id="rId2578" xr:uid="{1DAD572B-F2AB-4837-9E12-B6AF5BFE2B7C}"/>
    <hyperlink ref="J1324" r:id="rId2579" display="274" xr:uid="{5BD7CA9F-42E5-488B-B477-B9F60102E133}"/>
    <hyperlink ref="K1324" r:id="rId2580" display="05/10/2012" xr:uid="{9608CC76-9863-43E4-A7D9-D4E4672B41ED}"/>
    <hyperlink ref="I1326" r:id="rId2581" xr:uid="{23650FD1-5AC7-4FF7-A782-E6D6F3616BC0}"/>
    <hyperlink ref="J1326" r:id="rId2582" display="10" xr:uid="{2F30CA31-7200-420C-8334-CAF2DE17A550}"/>
    <hyperlink ref="K1326" r:id="rId2583" display="05/10/2012" xr:uid="{1F003C50-005F-44F0-A135-FA7BF746AE98}"/>
    <hyperlink ref="L1326" r:id="rId2584" xr:uid="{B4F8D4F4-F21D-44E0-9EE4-88A1E5FD82F5}"/>
    <hyperlink ref="I1328" r:id="rId2585" xr:uid="{62676C81-A672-4110-A513-D50164CE6966}"/>
    <hyperlink ref="J1328" r:id="rId2586" display="12" xr:uid="{92C8D2DC-4CE2-41CD-B7AA-41E7B775B318}"/>
    <hyperlink ref="K1328" r:id="rId2587" display="05/10/2012" xr:uid="{71A4D17E-CB0C-42F1-9A53-D3D2488843D0}"/>
    <hyperlink ref="L1328" r:id="rId2588" xr:uid="{0809FD1D-0A9B-4C95-ACFD-9EA43313EB53}"/>
    <hyperlink ref="I1330" r:id="rId2589" xr:uid="{288EEA72-CEAA-495B-9C45-C2CB0B7F4503}"/>
    <hyperlink ref="J1330" r:id="rId2590" display="90" xr:uid="{1BAA6C84-13BB-4CBC-8CA1-0D8418CB1CA6}"/>
    <hyperlink ref="K1330" r:id="rId2591" display="07/09/2012" xr:uid="{C472DDE1-FD0D-43F5-969F-EBAC4864FED3}"/>
    <hyperlink ref="I1332" r:id="rId2592" xr:uid="{55E7DC50-15A2-4891-8121-A34486B9BFB8}"/>
    <hyperlink ref="J1332" r:id="rId2593" display="1" xr:uid="{DCE19BF4-572C-4D17-9BD7-26A5DFCB460E}"/>
    <hyperlink ref="K1332" r:id="rId2594" display="07/09/2012" xr:uid="{8F0E0ABA-2704-40C8-8388-4CBBE83CD6D9}"/>
    <hyperlink ref="L1332" r:id="rId2595" xr:uid="{858CBC3F-32C4-4373-9FF6-F7303C758769}"/>
    <hyperlink ref="I1334" r:id="rId2596" xr:uid="{35948B74-10E6-4AA6-984A-A41FFC3E56AB}"/>
    <hyperlink ref="J1334" r:id="rId2597" display="15" xr:uid="{3DD6ADAF-B1CD-442E-AC9F-59C33821D010}"/>
    <hyperlink ref="K1334" r:id="rId2598" display="31/08/2012" xr:uid="{368BB5B7-163A-4DA3-8DC4-A4982FB8E738}"/>
    <hyperlink ref="L1334" r:id="rId2599" xr:uid="{A5228449-1FE5-4715-9F8B-395B347221E3}"/>
    <hyperlink ref="I1336" r:id="rId2600" xr:uid="{87B696F7-2B82-47D1-BE0F-450EEE728E05}"/>
    <hyperlink ref="J1336" r:id="rId2601" display="249" xr:uid="{A64AB3CD-1969-480B-B827-996944E0643F}"/>
    <hyperlink ref="K1336" r:id="rId2602" display="13/07/2012" xr:uid="{09818A65-C1F1-4FED-B135-03A8A5358C1F}"/>
    <hyperlink ref="I1338" r:id="rId2603" xr:uid="{05BFBAC5-4966-4888-A9E9-F8E16A8008E7}"/>
    <hyperlink ref="J1338" r:id="rId2604" display="6" xr:uid="{75D0D3E2-E7D0-4E88-AADE-79A303D5A3D6}"/>
    <hyperlink ref="K1338" r:id="rId2605" display="12/07/2012" xr:uid="{38C13086-20BF-41D1-A606-12A728D98F12}"/>
    <hyperlink ref="L1338" r:id="rId2606" xr:uid="{85750A74-CA4A-4E4C-8677-D7B65BE6602C}"/>
    <hyperlink ref="I1340" r:id="rId2607" xr:uid="{122D5655-411A-4767-B68E-EE5A9EDA1FC1}"/>
    <hyperlink ref="J1340" r:id="rId2608" display="11" xr:uid="{9BADED67-9C46-443A-BDF7-EA5157082CD3}"/>
    <hyperlink ref="K1340" r:id="rId2609" display="13/07/2012" xr:uid="{3117B224-5665-4337-BC2F-A0AB1F5471D6}"/>
    <hyperlink ref="L1340" r:id="rId2610" xr:uid="{EAC38B6A-3D8A-40E4-A79E-7CCB3F8F13BC}"/>
    <hyperlink ref="I1342" r:id="rId2611" xr:uid="{2452E559-7506-40C3-959C-78A39799611F}"/>
    <hyperlink ref="J1342" r:id="rId2612" display="156" xr:uid="{F915B00F-2716-4E47-91F2-74AB2A9169E7}"/>
    <hyperlink ref="K1342" r:id="rId2613" display="01/06/2012" xr:uid="{D3FFCBEB-5FD5-4CFA-940D-487F6E3D14A7}"/>
    <hyperlink ref="I1344" r:id="rId2614" xr:uid="{65709C3D-75A8-42B6-A616-677D5EB5CBDA}"/>
    <hyperlink ref="J1344" r:id="rId2615" display="40" xr:uid="{F2D3D222-5F53-4A02-86E2-1C1DB0DC7523}"/>
    <hyperlink ref="K1344" r:id="rId2616" display="01/06/2012" xr:uid="{A1EE86F5-5D3E-4CE1-84DB-CA67B44869AD}"/>
    <hyperlink ref="I1346" r:id="rId2617" xr:uid="{75FE39CA-9DA1-4924-900F-0E46A7B0BF7B}"/>
    <hyperlink ref="J1346" r:id="rId2618" display="244" xr:uid="{0643C95C-82D9-45C0-9585-B48DD4756C18}"/>
    <hyperlink ref="K1346" r:id="rId2619" display="04/05/2012" xr:uid="{AF8A2721-D77E-405A-9F2C-68D8723B2881}"/>
    <hyperlink ref="I1348" r:id="rId2620" xr:uid="{0B33FAF9-9B06-4A94-AB02-AB45F7DA480C}"/>
    <hyperlink ref="J1348" r:id="rId2621" display="6" xr:uid="{026AA8E4-B8D5-42AE-8CB7-2D86439B327F}"/>
    <hyperlink ref="K1348" r:id="rId2622" display="28/04/2012" xr:uid="{6A4F47A2-9AE3-4AF2-8ED3-A76EC078EEB4}"/>
    <hyperlink ref="L1348" r:id="rId2623" xr:uid="{C8DE005D-B7C4-47A4-9BD3-F94EA81538C3}"/>
    <hyperlink ref="I1350" r:id="rId2624" xr:uid="{51F1F193-DFC2-4524-836D-0918BA5B02B0}"/>
    <hyperlink ref="J1350" r:id="rId2625" display="8" xr:uid="{BC905024-B3B8-4B16-BA28-9515ADFD9169}"/>
    <hyperlink ref="K1350" r:id="rId2626" display="04/05/2012" xr:uid="{1530D114-F8B2-44FF-A55B-78F3EC86B7F6}"/>
    <hyperlink ref="L1350" r:id="rId2627" xr:uid="{9D67EED5-B30A-45AD-A11C-F5E1B7AB9087}"/>
    <hyperlink ref="I1352" r:id="rId2628" xr:uid="{9D3E61EE-9C5B-4595-B412-5B58CD3EDF46}"/>
    <hyperlink ref="J1352" r:id="rId2629" display="6" xr:uid="{6E309224-0FF2-4825-B0C7-7D63C59F6CF7}"/>
    <hyperlink ref="K1352" r:id="rId2630" display="28/04/2012" xr:uid="{E913C719-6A1E-4C6A-8A62-D9A2B1A821A9}"/>
    <hyperlink ref="L1352" r:id="rId2631" xr:uid="{E1BCD948-FE52-4D42-9816-BCE548899128}"/>
    <hyperlink ref="I1354" r:id="rId2632" xr:uid="{56307C44-0AE7-4012-B51C-1CEDFA878BD3}"/>
    <hyperlink ref="J1354" r:id="rId2633" display="77" xr:uid="{7437BE5B-3D8B-46C0-9957-82AB8685D468}"/>
    <hyperlink ref="K1354" r:id="rId2634" display="30/03/2012" xr:uid="{702F53AF-2E73-4163-9C3C-9A95D8FCCAE1}"/>
    <hyperlink ref="I1356" r:id="rId2635" xr:uid="{D6D32435-E3D8-430F-8FFE-82B8FE5C2AEE}"/>
    <hyperlink ref="J1356" r:id="rId2636" display="2" xr:uid="{19D95DD1-9B33-41D7-9C8E-915589917D80}"/>
    <hyperlink ref="K1356" r:id="rId2637" display="30/03/2012" xr:uid="{E560DCDD-73EC-49C7-94CE-4874678DF414}"/>
    <hyperlink ref="L1356" r:id="rId2638" xr:uid="{F7F36E66-2884-43C7-81BC-73E1931E322D}"/>
    <hyperlink ref="I1358" r:id="rId2639" xr:uid="{6BF69147-6354-488F-9FF8-ACB86B7E3329}"/>
    <hyperlink ref="J1358" r:id="rId2640" display="158" xr:uid="{7B308433-049F-4A79-A8F0-569D8665D6B3}"/>
    <hyperlink ref="K1358" r:id="rId2641" display="03/02/2012" xr:uid="{8DDE5BFA-1C29-4258-B38B-D91073835E65}"/>
    <hyperlink ref="I1360" r:id="rId2642" xr:uid="{648ED48B-9C34-401D-BD2E-055090429EB6}"/>
    <hyperlink ref="J1360" r:id="rId2643" display="5" xr:uid="{ECD60B91-036B-4A43-A41A-874B19730096}"/>
    <hyperlink ref="K1360" r:id="rId2644" display="28/01/2012" xr:uid="{66AD9186-F38B-46C1-A5FF-D8DD359CBE5D}"/>
    <hyperlink ref="L1360" r:id="rId2645" xr:uid="{7D48495A-FE79-4422-9E59-957DEB24FDD0}"/>
    <hyperlink ref="I1362" r:id="rId2646" xr:uid="{69F6A0C4-1225-48BF-94AD-892C7CBFE429}"/>
    <hyperlink ref="J1362" r:id="rId2647" display="4" xr:uid="{1AD55AC5-AD55-4A06-8703-C58DCE383A28}"/>
    <hyperlink ref="K1362" r:id="rId2648" display="03/02/2012" xr:uid="{344486D8-5E36-4D4E-A044-89646A0EA992}"/>
    <hyperlink ref="L1362" r:id="rId2649" xr:uid="{15C198E8-23AA-47B7-B8EC-C7604798D4D7}"/>
    <hyperlink ref="I1364" r:id="rId2650" xr:uid="{582209D9-C29A-48EB-9364-2839ECB4E6B2}"/>
    <hyperlink ref="J1364" r:id="rId2651" display="3" xr:uid="{7426747C-5F7B-4B9F-BF7F-D928DFE7EF62}"/>
    <hyperlink ref="K1364" r:id="rId2652" display="01/01/2012" xr:uid="{020BDA04-8A2F-4E4D-BF55-4BBBF37BB7CC}"/>
    <hyperlink ref="L1364" r:id="rId2653" xr:uid="{D7C9D2B0-8A91-4020-96D1-8EB83E5BBCD8}"/>
    <hyperlink ref="I1366" r:id="rId2654" xr:uid="{163D6330-5B6C-4DB4-8BFA-6E8D7185C4A4}"/>
    <hyperlink ref="J1366" r:id="rId2655" display="3" xr:uid="{8A40C4FD-716A-44E2-AB57-41861AB83EAC}"/>
    <hyperlink ref="K1366" r:id="rId2656" display="01/01/2012" xr:uid="{48FA8265-AF5F-45EB-914E-187080F1053D}"/>
    <hyperlink ref="L1366" r:id="rId2657" xr:uid="{F86DA76F-0DC8-4040-A6BD-51527E4A1054}"/>
    <hyperlink ref="I1368" r:id="rId2658" xr:uid="{7F415657-B6CB-410E-B863-EA43AFFB1D58}"/>
    <hyperlink ref="J1368" r:id="rId2659" display="17" xr:uid="{E401BBB3-D0C9-43D7-8B3E-8C1BB91F520A}"/>
    <hyperlink ref="K1368" r:id="rId2660" display="01/01/2012" xr:uid="{4C7601DE-4225-4B78-82A5-46E7B2F7548F}"/>
    <hyperlink ref="L1368" r:id="rId2661" xr:uid="{E3233807-45C3-4F5C-B8CE-D5D176CBE4EE}"/>
    <hyperlink ref="I1370" r:id="rId2662" xr:uid="{79DCD3B2-6B63-426B-86F6-2E0119D1511B}"/>
    <hyperlink ref="J1370" r:id="rId2663" display="2" xr:uid="{74D3E093-B1B1-4DBA-A133-47A5E2E17E98}"/>
    <hyperlink ref="K1370" r:id="rId2664" display="01/01/2012" xr:uid="{CFF3AE45-06D7-408B-B369-9A223C3F75E1}"/>
    <hyperlink ref="L1370" r:id="rId2665" xr:uid="{64154112-E757-4D6F-96BA-064C3B54FB2F}"/>
    <hyperlink ref="I1372" r:id="rId2666" xr:uid="{FEF05A0E-1319-4AE6-ACAE-3EAFE770E6FE}"/>
    <hyperlink ref="J1372" r:id="rId2667" display="9" xr:uid="{C64C914E-ED0A-4A4B-AAE8-DFC63A985AF3}"/>
    <hyperlink ref="K1372" r:id="rId2668" display="01/01/2012" xr:uid="{10ABE1FB-D2C5-4BA3-80D0-1B65AF9B1E1D}"/>
    <hyperlink ref="L1372" r:id="rId2669" xr:uid="{89523370-6C8B-4B67-929B-B3BEB3FAF2AF}"/>
    <hyperlink ref="I1374" r:id="rId2670" xr:uid="{68FF7951-DEFB-4840-B28E-10AEA84D8BA7}"/>
    <hyperlink ref="J1374" r:id="rId2671" display="13" xr:uid="{7765BA9F-2640-4716-90A8-5A311E09BD0C}"/>
    <hyperlink ref="K1374" r:id="rId2672" display="01/01/2012" xr:uid="{14ABB714-EBA5-4CB3-AF57-CD084E66CEBE}"/>
    <hyperlink ref="L1374" r:id="rId2673" xr:uid="{2F20E7DE-F4B0-4BFD-BB76-DC0618050405}"/>
    <hyperlink ref="I1376" r:id="rId2674" xr:uid="{FB52C6E7-DD0E-4B43-BD0D-3233960C0BC1}"/>
    <hyperlink ref="J1376" r:id="rId2675" display="30" xr:uid="{C59D83A5-ED3E-4462-9920-E91BE782BA49}"/>
    <hyperlink ref="K1376" r:id="rId2676" display="18/11/2011" xr:uid="{3960DF4D-C9C9-4948-B8E2-C6474F8D26A8}"/>
    <hyperlink ref="L1376" r:id="rId2677" xr:uid="{F78A8CBB-36D5-45C4-9684-B91FB8366820}"/>
    <hyperlink ref="I1378" r:id="rId2678" xr:uid="{7ED6DF01-378D-4083-AE53-FDC1CC102AD1}"/>
    <hyperlink ref="J1378" r:id="rId2679" display="264" xr:uid="{3291AAAC-37E4-4053-B23B-73BB9C2AA50F}"/>
    <hyperlink ref="K1378" r:id="rId2680" display="30/09/2011" xr:uid="{E5E69B6E-6265-4344-81F5-060A44E7DDBA}"/>
    <hyperlink ref="I1380" r:id="rId2681" xr:uid="{83FF1023-FC3C-47BA-AD8F-1451572AC291}"/>
    <hyperlink ref="J1380" r:id="rId2682" display="5" xr:uid="{E0581D2A-F030-4352-A2BD-5A525A4C4173}"/>
    <hyperlink ref="K1380" r:id="rId2683" display="24/09/2011" xr:uid="{B88D5C73-6B0B-40DE-AC9B-9738BD51D8FA}"/>
    <hyperlink ref="L1380" r:id="rId2684" xr:uid="{3BA9EE1B-33B9-424C-9ECE-62722D6E09A0}"/>
    <hyperlink ref="I1382" r:id="rId2685" xr:uid="{F0D0F344-C1CF-4B17-B30D-5BD2B7281A78}"/>
    <hyperlink ref="J1382" r:id="rId2686" display="13" xr:uid="{E20F5242-996B-4819-81E0-21B12478EEF4}"/>
    <hyperlink ref="K1382" r:id="rId2687" display="30/09/2011" xr:uid="{A6FC0301-222B-4FD3-A997-75A3146DA430}"/>
    <hyperlink ref="L1382" r:id="rId2688" xr:uid="{53A1C867-6B99-44B2-B691-8B5DB51879A6}"/>
    <hyperlink ref="I1384" r:id="rId2689" xr:uid="{7B3E1237-7447-4014-8DB1-F3944D8B434C}"/>
    <hyperlink ref="J1384" r:id="rId2690" display="80" xr:uid="{F0B66E38-3BB8-4DDA-BBCC-D672937F1B4E}"/>
    <hyperlink ref="K1384" r:id="rId2691" display="02/09/2011" xr:uid="{FE72C5F0-EA4D-48C2-8688-46D5CB82A966}"/>
    <hyperlink ref="I1386" r:id="rId2692" xr:uid="{E7C4F15A-3C11-42E3-8E04-8BD84E4481E1}"/>
    <hyperlink ref="J1386" r:id="rId2693" display="2" xr:uid="{D93D942C-A4C3-45A2-AF6B-7E5200497654}"/>
    <hyperlink ref="K1386" r:id="rId2694" display="02/09/2011" xr:uid="{01E2A4A7-1E43-4628-B79E-23E2BD94CF7A}"/>
    <hyperlink ref="L1386" r:id="rId2695" xr:uid="{12D7697E-3715-4C27-B9D9-8CB1CA4DCF25}"/>
    <hyperlink ref="I1388" r:id="rId2696" xr:uid="{EE0A1B3F-7CF2-4407-B17B-9D39B29F971E}"/>
    <hyperlink ref="J1388" r:id="rId2697" display="15" xr:uid="{5B2AE942-B38B-48B4-8A35-9D18B18B441C}"/>
    <hyperlink ref="K1388" r:id="rId2698" display="26/08/2011" xr:uid="{F5F1CCA7-6263-4B4A-9578-79AB720A754C}"/>
    <hyperlink ref="L1388" r:id="rId2699" xr:uid="{0EA400E9-56C7-45F8-8108-B4A67286F17D}"/>
    <hyperlink ref="I1390" r:id="rId2700" xr:uid="{C17D0265-0577-4825-AD84-19E6D8CB7136}"/>
    <hyperlink ref="J1390" r:id="rId2701" display="249" xr:uid="{D0CAA31D-7940-46E9-A396-CB5091B6596C}"/>
    <hyperlink ref="K1390" r:id="rId2702" display="15/07/2011" xr:uid="{A784DAEF-E806-4365-BB72-45C77BA6BD5F}"/>
    <hyperlink ref="I1392" r:id="rId2703" xr:uid="{5A2CFCD6-77DC-4241-ABE5-ADEB11C29E65}"/>
    <hyperlink ref="J1392" r:id="rId2704" display="3" xr:uid="{1B8693AB-FDE4-4357-BB12-C19637EADD7C}"/>
    <hyperlink ref="K1392" r:id="rId2705" display="14/07/2011" xr:uid="{A5140D03-9E7C-4F58-BF97-48DED32F5B58}"/>
    <hyperlink ref="L1392" r:id="rId2706" xr:uid="{BBB7B171-8378-4A45-B327-9A4C3720E48E}"/>
    <hyperlink ref="I1394" r:id="rId2707" xr:uid="{3A38A06C-6513-4902-BC79-D3263A1BFDF5}"/>
    <hyperlink ref="J1394" r:id="rId2708" display="7" xr:uid="{EB6D2717-FE50-4F9F-A607-2D104F12D346}"/>
    <hyperlink ref="K1394" r:id="rId2709" display="15/07/2011" xr:uid="{0CA4E3B8-19B4-4903-A23F-EF3FBD095C45}"/>
    <hyperlink ref="L1394" r:id="rId2710" xr:uid="{D5462EE3-C2B5-47C1-B8F4-2E7654D20B00}"/>
    <hyperlink ref="I1396" r:id="rId2711" xr:uid="{0A5956FB-DF80-49AB-A4F4-EE635B95C9F9}"/>
    <hyperlink ref="J1396" r:id="rId2712" display="318" xr:uid="{D6441AE3-0A22-4905-9D42-DAFB69D18706}"/>
    <hyperlink ref="K1396" r:id="rId2713" display="17/06/2011" xr:uid="{90CE74A3-3B86-4D1F-8733-571CC0B26D27}"/>
    <hyperlink ref="I1398" r:id="rId2714" xr:uid="{63B95675-3C1B-4E6E-948E-4DBBB036C2C1}"/>
    <hyperlink ref="J1398" r:id="rId2715" display="5" xr:uid="{8F16DCBE-F91D-4CE9-A44F-6D3E08B44704}"/>
    <hyperlink ref="K1398" r:id="rId2716" display="17/06/2011" xr:uid="{A18B6E9B-8E46-4F77-8A7A-B1ACB312F01B}"/>
    <hyperlink ref="L1398" r:id="rId2717" xr:uid="{2EBCB983-254C-4299-82BD-F2B7C3E7CA7C}"/>
    <hyperlink ref="I1400" r:id="rId2718" xr:uid="{3C1C0C45-A004-4B87-B03D-13F2AD4D72CC}"/>
    <hyperlink ref="J1400" r:id="rId2719" display="15" xr:uid="{DE0FA230-36D5-4D11-AC9B-68C25EF3F904}"/>
    <hyperlink ref="K1400" r:id="rId2720" display="17/06/2011" xr:uid="{CF8CB415-7F1D-4CF4-B6EA-DCAF4F39EB8B}"/>
    <hyperlink ref="L1400" r:id="rId2721" xr:uid="{5C74E63F-6856-4345-AFF8-2186E1F590AD}"/>
    <hyperlink ref="I1402" r:id="rId2722" xr:uid="{329CE56C-7C76-455F-9A86-9CB36FC8ECA5}"/>
    <hyperlink ref="J1402" r:id="rId2723" display="88" xr:uid="{BE8FCD50-A376-4327-9C74-CD3142ED8859}"/>
    <hyperlink ref="K1402" r:id="rId2724" display="14/05/2011" xr:uid="{79031062-604A-4A3A-A9D3-A6BCCF6B281E}"/>
    <hyperlink ref="L1402" r:id="rId2725" xr:uid="{FF06C0F8-84FD-4F0F-88D1-C267D06813DE}"/>
    <hyperlink ref="I1404" r:id="rId2726" xr:uid="{86F32E90-F46F-4935-A306-64661A29AB70}"/>
    <hyperlink ref="J1404" r:id="rId2727" display="175" xr:uid="{C1DB00DA-7343-4D84-94FE-714CEDE8FAFC}"/>
    <hyperlink ref="K1404" r:id="rId2728" display="13/05/2011" xr:uid="{2E843730-5EEB-415E-8AA3-88D1C9ECD23B}"/>
    <hyperlink ref="I1406" r:id="rId2729" xr:uid="{4C91B681-F156-4201-933C-912144A1615E}"/>
    <hyperlink ref="J1406" r:id="rId2730" display="4" xr:uid="{0A2CE0EF-207F-47B5-9DD7-2CF16F9D4D8A}"/>
    <hyperlink ref="K1406" r:id="rId2731" display="12/05/2011" xr:uid="{68F2FCDF-4983-46A5-9487-1A5447A3CDAE}"/>
    <hyperlink ref="L1406" r:id="rId2732" xr:uid="{F024D5FE-C8A5-42E3-90A3-D2D6604B3B0D}"/>
    <hyperlink ref="I1408" r:id="rId2733" xr:uid="{A2754A61-5406-4F09-9C4C-D69D1A48F94C}"/>
    <hyperlink ref="J1408" r:id="rId2734" display="5" xr:uid="{464C4961-B711-40C2-9663-B5C369F41FD0}"/>
    <hyperlink ref="K1408" r:id="rId2735" display="13/05/2011" xr:uid="{639D4048-6088-4B1E-B106-AF93803D0DC6}"/>
    <hyperlink ref="L1408" r:id="rId2736" xr:uid="{6A5BDC16-1B13-4D8C-A938-1271BC6D20CE}"/>
    <hyperlink ref="I1410" r:id="rId2737" xr:uid="{B317A5A5-612C-4EFD-9676-1B718AB3AE9E}"/>
    <hyperlink ref="J1410" r:id="rId2738" display="81" xr:uid="{D60082D7-9B3E-4527-A4F4-8D79C2BB261E}"/>
    <hyperlink ref="K1410" r:id="rId2739" display="01/04/2011" xr:uid="{F9878D9B-8273-49B6-8E19-F135EBBBE9CA}"/>
    <hyperlink ref="I1412" r:id="rId2740" xr:uid="{01F6550F-33AC-4089-AC63-80C901829586}"/>
    <hyperlink ref="J1412" r:id="rId2741" display="1" xr:uid="{5DECCA86-8AF3-42C5-AB3B-11F3ECA4B1DF}"/>
    <hyperlink ref="K1412" r:id="rId2742" display="01/04/2011" xr:uid="{5EC3A877-3BEB-474F-BB26-A1E66E8141E6}"/>
    <hyperlink ref="L1412" r:id="rId2743" xr:uid="{03D9CE52-48B8-4816-A3DA-680968CBA682}"/>
    <hyperlink ref="I1414" r:id="rId2744" xr:uid="{6CA60B41-3CCB-4721-9A06-CA0A5C1D34DE}"/>
    <hyperlink ref="J1414" r:id="rId2745" display="155" xr:uid="{F0AF6A6F-FFB1-4006-88BD-47160D17BF24}"/>
    <hyperlink ref="K1414" r:id="rId2746" display="04/02/2011" xr:uid="{F3CEC203-3DF0-4726-99E4-9E14E91E8397}"/>
    <hyperlink ref="I1416" r:id="rId2747" xr:uid="{BDA1A142-89CC-4DEF-BB64-524973386FDA}"/>
    <hyperlink ref="J1416" r:id="rId2748" display="4" xr:uid="{22F8E6EE-1333-429D-988E-AC42E2FC9CB9}"/>
    <hyperlink ref="K1416" r:id="rId2749" display="03/02/2011" xr:uid="{8D04BC27-D4C0-4C00-AA54-5445D1DE8BF7}"/>
    <hyperlink ref="L1416" r:id="rId2750" xr:uid="{AE11F165-3B5A-4267-920C-1CEE3FFAD42F}"/>
    <hyperlink ref="I1418" r:id="rId2751" xr:uid="{991041FC-D871-44C6-99AF-134285400E20}"/>
    <hyperlink ref="J1418" r:id="rId2752" display="6" xr:uid="{3CA69C7C-D074-4265-A746-115F7F888B6F}"/>
    <hyperlink ref="K1418" r:id="rId2753" display="04/02/2011" xr:uid="{192B41A1-8907-4B1A-A585-AA91CE77D7FE}"/>
    <hyperlink ref="L1418" r:id="rId2754" xr:uid="{240C6318-27E4-4840-BB46-3C2F4FCE8EF3}"/>
    <hyperlink ref="I1420" r:id="rId2755" xr:uid="{C0E6CE2D-0494-4B91-95D5-4558C8A94277}"/>
    <hyperlink ref="J1420" r:id="rId2756" display="269" xr:uid="{4E0F9EE0-1C4D-44CE-9414-059FD06AF41A}"/>
    <hyperlink ref="K1420" r:id="rId2757" display="10/01/2011" xr:uid="{13AD98EA-660A-4EB5-A12F-333178C679BD}"/>
    <hyperlink ref="L1420" r:id="rId2758" xr:uid="{D0F9D99B-F304-4167-87B8-DA0CFC1610C5}"/>
    <hyperlink ref="I1422" r:id="rId2759" xr:uid="{3DADFC32-8BCD-4DA0-AC78-2BCB9F943DA5}"/>
    <hyperlink ref="J1422" r:id="rId2760" display="5" xr:uid="{0B40B653-28F0-4ED5-99A3-4F6742C06185}"/>
    <hyperlink ref="K1422" r:id="rId2761" display="01/01/2011" xr:uid="{40FB88AE-9517-404D-9097-470F8DF20B78}"/>
    <hyperlink ref="L1422" r:id="rId2762" xr:uid="{DDA33C77-A5E0-4B5E-8F2A-2CDF3A6F0673}"/>
    <hyperlink ref="I1424" r:id="rId2763" xr:uid="{549A493B-369A-4CA2-90B5-7E18CC03834F}"/>
    <hyperlink ref="J1424" r:id="rId2764" display="3" xr:uid="{2B6C0FA1-DDE8-4969-8AE7-5EEAC3D8DFB5}"/>
    <hyperlink ref="K1424" r:id="rId2765" display="01/01/2011" xr:uid="{F1A1552C-CB6B-4205-98BB-F873649918FE}"/>
    <hyperlink ref="L1424" r:id="rId2766" xr:uid="{DC38AF87-B483-4991-8751-48B2CA1F93B7}"/>
    <hyperlink ref="I1426" r:id="rId2767" xr:uid="{84F318B0-46BA-4BAA-AF60-764AE7473D56}"/>
    <hyperlink ref="J1426" r:id="rId2768" display="3" xr:uid="{46FBDA20-B056-4054-ADA5-FACC11C8B3B9}"/>
    <hyperlink ref="K1426" r:id="rId2769" display="01/01/2011" xr:uid="{0F142D13-AD32-47B2-B24D-2BC3FECE6C62}"/>
    <hyperlink ref="L1426" r:id="rId2770" xr:uid="{21845C8E-06ED-41E9-B16A-BDC2604AA4A0}"/>
    <hyperlink ref="I1428" r:id="rId2771" xr:uid="{62C69894-039A-4667-A197-16E991F2E9C7}"/>
    <hyperlink ref="J1428" r:id="rId2772" display="224" xr:uid="{8319684C-BAE8-4546-85FA-5172A02F140A}"/>
    <hyperlink ref="K1428" r:id="rId2773" display="01/01/2011" xr:uid="{D8946A0D-DFCB-4F1A-87EA-208C27EF746E}"/>
    <hyperlink ref="L1428" r:id="rId2774" xr:uid="{0A819559-A252-430C-9BAD-AB7474BC4AD6}"/>
    <hyperlink ref="I1430" r:id="rId2775" xr:uid="{609D8D04-4B89-4E1D-ACC3-9C7F1A610D94}"/>
    <hyperlink ref="J1430" r:id="rId2776" display="27" xr:uid="{E27BEDCC-A838-4EAD-B5D6-9CB5F494B8FF}"/>
    <hyperlink ref="K1430" r:id="rId2777" display="01/01/2011" xr:uid="{B8812257-CE1A-44B1-A76F-33C1B6F471B5}"/>
    <hyperlink ref="L1430" r:id="rId2778" xr:uid="{2CC2D380-A0CD-4BD1-AB7D-32CB1A16269C}"/>
    <hyperlink ref="I1432" r:id="rId2779" xr:uid="{09BCF34A-DAD9-4250-A225-F1CD9F628633}"/>
    <hyperlink ref="J1432" r:id="rId2780" display="8" xr:uid="{9751BB82-0723-4EFF-9819-E38E17500284}"/>
    <hyperlink ref="K1432" r:id="rId2781" display="01/01/2011" xr:uid="{7A384E77-E5B9-4810-8B05-8A14B50B3C6D}"/>
    <hyperlink ref="L1432" r:id="rId2782" xr:uid="{B6774855-4305-43F1-A450-2205AC1D9BA0}"/>
    <hyperlink ref="I1434" r:id="rId2783" xr:uid="{0800313F-01CF-43DD-8D91-3C3336A3C29E}"/>
    <hyperlink ref="J1434" r:id="rId2784" display="7" xr:uid="{4F30A5A5-BED1-49FF-AE83-F099A0832232}"/>
    <hyperlink ref="K1434" r:id="rId2785" display="01/01/2011" xr:uid="{F9A3DA09-7D97-4EAD-9BB8-3FBC8CE3983B}"/>
    <hyperlink ref="L1434" r:id="rId2786" xr:uid="{1DEDD15E-75AA-4A83-AED2-7DD97EE1AA10}"/>
    <hyperlink ref="I1436" r:id="rId2787" xr:uid="{37000FB4-92A6-4AA2-A753-B7F8CEAF115C}"/>
    <hyperlink ref="J1436" r:id="rId2788" display="12" xr:uid="{2300FEAB-AEBD-416C-B77F-0D5B67A9D5E0}"/>
    <hyperlink ref="K1436" r:id="rId2789" display="01/01/2011" xr:uid="{EB5CD2D7-2903-420A-8226-7DAF0611EB24}"/>
    <hyperlink ref="L1436" r:id="rId2790" xr:uid="{00C322FC-81F4-45EC-8CC6-1E56DDC3FBA6}"/>
    <hyperlink ref="I1438" r:id="rId2791" xr:uid="{630CAA39-5CB9-4755-A6DC-73C37A964071}"/>
    <hyperlink ref="J1438" r:id="rId2792" display="34" xr:uid="{14096188-B003-40EA-86D6-DE6D96BD157F}"/>
    <hyperlink ref="K1438" r:id="rId2793" display="19/11/2010" xr:uid="{19FA3962-C0D7-46AA-AAE1-0F74F55B70DC}"/>
    <hyperlink ref="L1438" r:id="rId2794" xr:uid="{3C583F72-D3FA-434A-8D01-A8C4E4EE544F}"/>
    <hyperlink ref="I1440" r:id="rId2795" xr:uid="{3E8D3D09-C631-4213-8381-B36724BF496B}"/>
    <hyperlink ref="J1440" r:id="rId2796" display="197" xr:uid="{68B3DD3C-851B-4470-9153-1E51B4E7D136}"/>
    <hyperlink ref="K1440" r:id="rId2797" display="08/11/2010" xr:uid="{512D17C6-6078-4910-8CE5-DD666ED61E68}"/>
    <hyperlink ref="L1440" r:id="rId2798" xr:uid="{0A5501B1-803C-4044-9C83-58E77C0A9B2E}"/>
    <hyperlink ref="I1442" r:id="rId2799" xr:uid="{13B470A6-5A19-49B1-9C11-F4543E4C10FC}"/>
    <hyperlink ref="J1442" r:id="rId2800" display="249" xr:uid="{EBB22350-E834-445C-8C77-6A253D11E1EA}"/>
    <hyperlink ref="K1442" r:id="rId2801" display="01/10/2010" xr:uid="{98D14F9A-2813-468A-98FB-53CFF2922F72}"/>
    <hyperlink ref="I1444" r:id="rId2802" xr:uid="{0B3E31C0-DA35-4295-879D-DA36176E6A72}"/>
    <hyperlink ref="J1444" r:id="rId2803" display="4" xr:uid="{0F8D5821-CCA5-4569-8648-FE49AA498579}"/>
    <hyperlink ref="K1444" r:id="rId2804" display="30/09/2010" xr:uid="{D84CCE6C-3858-4947-A26D-0F6AC565783B}"/>
    <hyperlink ref="L1444" r:id="rId2805" xr:uid="{922788C5-E283-4554-8B3C-922C87D84970}"/>
    <hyperlink ref="I1446" r:id="rId2806" xr:uid="{CCE7553F-2527-4D44-A62F-A401B0D35B73}"/>
    <hyperlink ref="J1446" r:id="rId2807" display="10" xr:uid="{31F2CD09-7752-4E80-99B6-3B9ED094DAA3}"/>
    <hyperlink ref="K1446" r:id="rId2808" display="01/10/2010" xr:uid="{199259F3-FBC2-4A05-8A29-326FA6A2B2F2}"/>
    <hyperlink ref="L1446" r:id="rId2809" xr:uid="{BF4D0F51-9C61-4AC7-9F67-0876EE2D512D}"/>
    <hyperlink ref="I1448" r:id="rId2810" xr:uid="{0C813EC4-A77C-4B3A-96AA-53E75447D29F}"/>
    <hyperlink ref="J1448" r:id="rId2811" display="79" xr:uid="{DC75995A-702E-4C01-B498-7753E168A1D9}"/>
    <hyperlink ref="K1448" r:id="rId2812" display="03/09/2010" xr:uid="{C4EE563B-6799-4C28-A5FD-68B4F1055DA2}"/>
    <hyperlink ref="I1450" r:id="rId2813" xr:uid="{93171D38-E8C2-42B9-9443-2483C1BFEB1A}"/>
    <hyperlink ref="J1450" r:id="rId2814" display="1" xr:uid="{FC3BE283-25B1-44E2-A171-F7785DEC4331}"/>
    <hyperlink ref="K1450" r:id="rId2815" display="03/09/2010" xr:uid="{4D255684-F750-474F-902C-303245A4D74F}"/>
    <hyperlink ref="L1450" r:id="rId2816" xr:uid="{3EA7DB6F-A2AA-42E6-962C-3A0301B022C1}"/>
    <hyperlink ref="I1452" r:id="rId2817" xr:uid="{3F9331A1-95EA-41E1-A49D-045736632B8E}"/>
    <hyperlink ref="J1452" r:id="rId2818" display="15" xr:uid="{7E92F0F6-65F6-4FA5-B224-2B85425EE87E}"/>
    <hyperlink ref="K1452" r:id="rId2819" display="27/08/2010" xr:uid="{ECC0E43D-746A-41DD-A6F0-A4A05BEBE6DB}"/>
    <hyperlink ref="L1452" r:id="rId2820" xr:uid="{85F3633B-BEBE-4340-8109-FA05F333B305}"/>
    <hyperlink ref="I1454" r:id="rId2821" xr:uid="{636B2734-CBE3-4D2E-B7A0-10DA6B731AAE}"/>
    <hyperlink ref="J1454" r:id="rId2822" display="249" xr:uid="{79A4EE87-46C7-4B1B-B34F-90ABB0FDF684}"/>
    <hyperlink ref="K1454" r:id="rId2823" display="16/07/2010" xr:uid="{CA72E445-6072-4ABE-BA77-ACE969B2666C}"/>
    <hyperlink ref="I1456" r:id="rId2824" xr:uid="{19C14DED-EB04-41AA-B4AD-AB4C31F1F77E}"/>
    <hyperlink ref="J1456" r:id="rId2825" display="6" xr:uid="{8CA3DFDA-CBC5-4D30-A6A8-2FEEE4C9FB0B}"/>
    <hyperlink ref="K1456" r:id="rId2826" display="15/07/2010" xr:uid="{DE1309E1-083C-4CAF-AB99-957A7294F7BB}"/>
    <hyperlink ref="I1458" r:id="rId2827" xr:uid="{C6A5ADD9-905F-4BF8-8089-6E675657EF18}"/>
    <hyperlink ref="J1458" r:id="rId2828" display="6" xr:uid="{7B7F6E79-AAB4-47CA-B041-47D9F42C2284}"/>
    <hyperlink ref="K1458" r:id="rId2829" display="16/07/2010" xr:uid="{681D409A-BB7E-464A-8BFC-6615371B3B6D}"/>
    <hyperlink ref="L1458" r:id="rId2830" xr:uid="{E3CDE7D9-5C0C-4628-B5C6-62A1856784E3}"/>
    <hyperlink ref="I1460" r:id="rId2831" xr:uid="{7AD48CF1-2DBA-4D0E-99E0-79025E30FA13}"/>
    <hyperlink ref="J1460" r:id="rId2832" display="150" xr:uid="{926327A6-C6C4-4BAB-89E4-EF0EB449B8C6}"/>
    <hyperlink ref="K1460" r:id="rId2833" display="18/06/2010" xr:uid="{078BC3D3-D5AD-4F90-A46B-565EDC7F6223}"/>
    <hyperlink ref="L1460" r:id="rId2834" xr:uid="{CB09E89A-6143-45C3-821A-70666A7024DD}"/>
    <hyperlink ref="I1462" r:id="rId2835" xr:uid="{7D79E89E-9E19-4EAF-ABAE-015CC15F5C0A}"/>
    <hyperlink ref="J1462" r:id="rId2836" display="45" xr:uid="{A79FF144-1F9B-4499-A5FF-B0AB7E0B973E}"/>
    <hyperlink ref="K1462" r:id="rId2837" display="18/06/2010" xr:uid="{BE71055C-8FE7-4D04-A3FD-45F9B29C805D}"/>
    <hyperlink ref="L1462" r:id="rId2838" xr:uid="{CC036293-F4FA-4574-AC4D-481A84659A5E}"/>
    <hyperlink ref="I1464" r:id="rId2839" xr:uid="{47CEFA83-CC37-4D1F-B57C-2B367D5AD1FB}"/>
    <hyperlink ref="J1464" r:id="rId2840" display="113" xr:uid="{90D60AAB-0404-4F9A-964F-C567CADD6C57}"/>
    <hyperlink ref="K1464" r:id="rId2841" display="04/06/2010" xr:uid="{F2685760-7640-478F-9776-CC11941B95D9}"/>
    <hyperlink ref="L1464" r:id="rId2842" xr:uid="{C7C8AB64-905A-4752-ABD9-09E02E6B91A4}"/>
    <hyperlink ref="I1466" r:id="rId2843" xr:uid="{06B78AE4-DF4A-4906-A046-7C68C69012E3}"/>
    <hyperlink ref="J1466" r:id="rId2844" display="248" xr:uid="{2769CBDD-371D-4988-8021-AF5EDCDC9CAC}"/>
    <hyperlink ref="K1466" r:id="rId2845" display="23/04/2010" xr:uid="{B895834C-92E4-4696-B0E3-5B956218C7F5}"/>
    <hyperlink ref="I1468" r:id="rId2846" xr:uid="{F9895EB9-30A3-45C7-9CA3-74964D8386D2}"/>
    <hyperlink ref="J1468" r:id="rId2847" display="4" xr:uid="{C5FE9521-2320-407E-B820-1F2C9BDC0F73}"/>
    <hyperlink ref="K1468" r:id="rId2848" display="23/04/2010" xr:uid="{CEFE9792-250A-48F3-BD6A-77D487A7656F}"/>
    <hyperlink ref="I1470" r:id="rId2849" xr:uid="{F8F4DA8C-36E6-4637-A7F1-5CC4EEE220B5}"/>
    <hyperlink ref="J1470" r:id="rId2850" display="7" xr:uid="{F3F75E52-5226-4CC1-95B4-DAF930C1AA70}"/>
    <hyperlink ref="K1470" r:id="rId2851" display="23/04/2010" xr:uid="{533A3833-E43B-461B-B31D-276728616E86}"/>
    <hyperlink ref="L1470" r:id="rId2852" xr:uid="{5D10DA29-3591-4B5A-A201-BA86F0602CCA}"/>
    <hyperlink ref="I1472" r:id="rId2853" xr:uid="{2F2B5244-1603-4875-B5EF-E09DFF711058}"/>
    <hyperlink ref="J1472" r:id="rId2854" display="71" xr:uid="{42CE5DA8-AB5B-4796-8077-8FBA98DBA0B9}"/>
    <hyperlink ref="K1472" r:id="rId2855" display="19/03/2010" xr:uid="{AA695D92-2284-4989-90B0-3BFF37B67808}"/>
    <hyperlink ref="I1474" r:id="rId2856" xr:uid="{92BACD4D-00CB-4066-8F2C-7371DFF28677}"/>
    <hyperlink ref="J1474" r:id="rId2857" display="3" xr:uid="{E5780FC5-22D1-4718-9BDC-3043773684B6}"/>
    <hyperlink ref="K1474" r:id="rId2858" display="19/03/2010" xr:uid="{5114C681-7B4A-45CA-817C-57B2C65CF0BB}"/>
    <hyperlink ref="L1474" r:id="rId2859" xr:uid="{40D3A4AE-06CC-432F-B289-E08B199646CA}"/>
    <hyperlink ref="I1476" r:id="rId2860" xr:uid="{2A4DDA11-33A9-47A0-A2F7-8527FAEAC2A1}"/>
    <hyperlink ref="J1476" r:id="rId2861" display="145" xr:uid="{E8D765AB-EEA5-4967-81A0-79E75A3E4308}"/>
    <hyperlink ref="K1476" r:id="rId2862" display="05/02/2010" xr:uid="{0F3B28CF-8A19-421B-8AFE-718E2C8926E7}"/>
    <hyperlink ref="I1478" r:id="rId2863" xr:uid="{CF44EDDD-D88F-4946-A1C3-5D4499CF8B1F}"/>
    <hyperlink ref="J1478" r:id="rId2864" display="6" xr:uid="{22E257A3-EB60-49B9-B1E7-B85B37307E45}"/>
    <hyperlink ref="K1478" r:id="rId2865" display="05/02/2010" xr:uid="{AA96E735-6299-4A74-9978-75BD1095B0E6}"/>
    <hyperlink ref="I1480" r:id="rId2866" xr:uid="{527B0955-FBA3-4E6B-8EAB-B62E7EE0C5F8}"/>
    <hyperlink ref="J1480" r:id="rId2867" display="6" xr:uid="{5BC44F79-087F-4508-9C58-CE3A74A68F62}"/>
    <hyperlink ref="K1480" r:id="rId2868" display="05/02/2010" xr:uid="{0FD80949-BB16-471B-8E87-2CF4DDAF784C}"/>
    <hyperlink ref="L1480" r:id="rId2869" xr:uid="{3B7FD1E7-5F85-438B-B664-A87510C31EBE}"/>
    <hyperlink ref="I1482" r:id="rId2870" xr:uid="{38C12A11-EC59-4DA1-867F-39BC3E2D6100}"/>
    <hyperlink ref="J1482" r:id="rId2871" display="2" xr:uid="{35C2D8BA-9E70-4CDA-A6FD-77D0166B2008}"/>
    <hyperlink ref="K1482" r:id="rId2872" display="01/01/2010" xr:uid="{08A85263-E661-4807-BC72-9E72ED356021}"/>
    <hyperlink ref="L1482" r:id="rId2873" xr:uid="{F3772AE9-986D-44B4-ACD4-AAD105BA669A}"/>
    <hyperlink ref="I1484" r:id="rId2874" xr:uid="{47BD0EC6-5DA0-4C11-BE90-C2D9972FF84B}"/>
    <hyperlink ref="J1484" r:id="rId2875" display="5" xr:uid="{F551C645-3CB9-419F-9BD7-1DF10C9FDA6B}"/>
    <hyperlink ref="K1484" r:id="rId2876" display="01/01/2010" xr:uid="{43EC0CBB-6836-4A91-9FE5-BB26BE11BF10}"/>
    <hyperlink ref="L1484" r:id="rId2877" xr:uid="{02346E8F-BB13-4FF0-B097-65A34EDE6358}"/>
    <hyperlink ref="I1486" r:id="rId2878" xr:uid="{C59631FF-3D9D-4E94-8937-29522EBED2A0}"/>
    <hyperlink ref="J1486" r:id="rId2879" display="13" xr:uid="{58D44C31-C81E-486C-9004-C20E97F85AF4}"/>
    <hyperlink ref="K1486" r:id="rId2880" display="01/01/2010" xr:uid="{BECCFCD7-7CE0-4F09-BB31-DCA1909B46AD}"/>
    <hyperlink ref="L1486" r:id="rId2881" xr:uid="{5BBC0D73-D5FF-4442-82C7-A2339F07B235}"/>
    <hyperlink ref="I1488" r:id="rId2882" xr:uid="{5A441806-C32C-461A-93ED-DB65DF8EC277}"/>
    <hyperlink ref="J1488" r:id="rId2883" display="8" xr:uid="{36A36F17-FD1C-410B-9FDB-195D24501F76}"/>
    <hyperlink ref="K1488" r:id="rId2884" display="01/01/2010" xr:uid="{5D54DE30-FF3B-49EF-AA8A-03BF9FE2056F}"/>
    <hyperlink ref="L1488" r:id="rId2885" xr:uid="{348A265B-7422-4DBB-8DA4-EB67D5D68224}"/>
    <hyperlink ref="I1490" r:id="rId2886" xr:uid="{472E3626-DB71-471E-AD76-E415BEDB7558}"/>
    <hyperlink ref="J1490" r:id="rId2887" display="12" xr:uid="{6F695D46-6B32-4D1E-BB03-DE4D5D9173C4}"/>
    <hyperlink ref="K1490" r:id="rId2888" display="01/01/2010" xr:uid="{16F98276-2068-4467-BC81-9CACA1283BCD}"/>
    <hyperlink ref="L1490" r:id="rId2889" xr:uid="{415B55A9-6506-48B1-86FA-791A8A2C9EA8}"/>
    <hyperlink ref="I1492" r:id="rId2890" xr:uid="{0ACF25EB-5E59-4C97-9702-76F96D310A0A}"/>
    <hyperlink ref="J1492" r:id="rId2891" display="41" xr:uid="{68D4B2BB-460E-4124-B67A-27855DF91A61}"/>
    <hyperlink ref="K1492" r:id="rId2892" display="20/11/2009" xr:uid="{9982C50A-AD4B-4EE4-9951-5E951D11540F}"/>
    <hyperlink ref="L1492" r:id="rId2893" xr:uid="{A53D8630-B87D-4B5F-9A52-A2C9D8FCC6B6}"/>
    <hyperlink ref="I1494" r:id="rId2894" xr:uid="{BB193312-8F1E-4537-AB1A-A279D9EFA4DD}"/>
    <hyperlink ref="J1494" r:id="rId2895" display="63" xr:uid="{A067F0D4-A382-4BA4-AFDD-CF7F56DED8D8}"/>
    <hyperlink ref="K1494" r:id="rId2896" display="30/10/2009" xr:uid="{5D584E12-6B61-4E13-960A-5D35D55E8C6F}"/>
    <hyperlink ref="L1494" r:id="rId2897" xr:uid="{FE792EE6-ADE3-4C28-957F-2DDB375A9D06}"/>
    <hyperlink ref="I1496" r:id="rId2898" xr:uid="{E1B2EA7C-27F3-4D0F-9217-2BA25A586C37}"/>
    <hyperlink ref="J1496" r:id="rId2899" display="3" xr:uid="{5A8910B8-EC40-4CD6-82C5-A2C1AC2353DA}"/>
    <hyperlink ref="K1496" r:id="rId2900" display="30/10/2009" xr:uid="{7B86DC50-0987-450D-AF78-7D1ECDC5F8F7}"/>
    <hyperlink ref="L1496" r:id="rId2901" xr:uid="{F5DFA783-72C6-47D5-A9EB-9430060CD02B}"/>
    <hyperlink ref="I1498" r:id="rId2902" xr:uid="{4B96E8FC-58BB-485D-8185-752777F4ACD6}"/>
    <hyperlink ref="J1498" r:id="rId2903" display="269" xr:uid="{0343EE58-54CC-4B3F-9F9D-9B96059452C1}"/>
    <hyperlink ref="K1498" r:id="rId2904" display="02/10/2009" xr:uid="{C96CB11F-F05A-44A6-8102-45F21B9DD693}"/>
    <hyperlink ref="I1500" r:id="rId2905" xr:uid="{8DFB7A03-C129-427B-9191-6A46EC92A903}"/>
    <hyperlink ref="J1500" r:id="rId2906" display="5" xr:uid="{095A7E1F-F385-459A-8EC7-C91B01A89EE3}"/>
    <hyperlink ref="K1500" r:id="rId2907" display="02/10/2009" xr:uid="{9BBE20E1-FC31-4898-8423-CD31699AB947}"/>
    <hyperlink ref="I1502" r:id="rId2908" xr:uid="{8CCD81B1-142F-40D3-A21A-2B39B95EEA08}"/>
    <hyperlink ref="J1502" r:id="rId2909" display="11" xr:uid="{728D839B-F3D2-43D5-B244-68BF06123E37}"/>
    <hyperlink ref="K1502" r:id="rId2910" display="02/10/2009" xr:uid="{7964B737-777D-4F66-A868-623CF4BD8168}"/>
    <hyperlink ref="L1502" r:id="rId2911" xr:uid="{0798A08C-1802-4EB8-9288-B8E483E22CD0}"/>
    <hyperlink ref="I1504" r:id="rId2912" xr:uid="{030F68BF-1382-4717-86EC-C1F0F43BB547}"/>
    <hyperlink ref="J1504" r:id="rId2913" display="230" xr:uid="{F128FEF8-36E5-4F04-B876-CEF22B0E6485}"/>
    <hyperlink ref="K1504" r:id="rId2914" display="07/09/2009" xr:uid="{DF1C81E0-5273-4375-AF5F-034F238B524B}"/>
    <hyperlink ref="L1504" r:id="rId2915" xr:uid="{23E90D27-0C4C-47C4-94E8-8A49EBAB01EC}"/>
    <hyperlink ref="I1506" r:id="rId2916" xr:uid="{748582D9-3814-4EB1-921B-B8688073E1A7}"/>
    <hyperlink ref="J1506" r:id="rId2917" display="169" xr:uid="{E1EDB7CD-FEB8-4816-B198-A7BBA1211B76}"/>
    <hyperlink ref="K1506" r:id="rId2918" display="04/09/2009" xr:uid="{15BCF526-28A4-4842-BA93-6DA2D32238F2}"/>
    <hyperlink ref="L1506" r:id="rId2919" xr:uid="{E7DC1177-13DC-4447-A3FB-B5CABB612ECC}"/>
    <hyperlink ref="I1508" r:id="rId2920" xr:uid="{3DED2E08-F3A3-45C1-AC5C-E23E63490D4D}"/>
    <hyperlink ref="J1508" r:id="rId2921" display="1" xr:uid="{63582433-C2E7-4E3A-835B-7B1E1E170DFA}"/>
    <hyperlink ref="K1508" r:id="rId2922" display="04/09/2009" xr:uid="{2BB26BC9-B983-4418-A207-EA841EC0967F}"/>
    <hyperlink ref="L1508" r:id="rId2923" xr:uid="{F5CBD982-EE3C-430F-80CE-8797E2053DDB}"/>
    <hyperlink ref="I1510" r:id="rId2924" xr:uid="{4760032A-B89E-49FA-876A-6B7EC9FC9DC2}"/>
    <hyperlink ref="J1510" r:id="rId2925" display="40" xr:uid="{7A16A25D-A277-40F1-AEA9-65D4E7022C67}"/>
    <hyperlink ref="K1510" r:id="rId2926" display="04/09/2009" xr:uid="{64181229-DBF2-4BDF-A3B4-2AC3EBF4AD17}"/>
    <hyperlink ref="I1512" r:id="rId2927" xr:uid="{1DBABB97-4EE1-4AB1-9FB7-4552A0E93A36}"/>
    <hyperlink ref="J1512" r:id="rId2928" display="15" xr:uid="{D35A48A1-E2E5-4AE6-98A6-C08788DB8552}"/>
    <hyperlink ref="K1512" r:id="rId2929" display="28/08/2009" xr:uid="{C264CBC0-F25B-4B63-B543-CAC04968AC95}"/>
    <hyperlink ref="L1512" r:id="rId2930" xr:uid="{2F2C2FD5-8A2C-4795-B488-914B0B7C504D}"/>
    <hyperlink ref="I1514" r:id="rId2931" xr:uid="{E3811045-4ED8-4DD9-B951-74B5591A6BA6}"/>
    <hyperlink ref="J1514" r:id="rId2932" display="249" xr:uid="{DA75EFDC-70CD-4D88-A1F8-A6B3E658CC70}"/>
    <hyperlink ref="K1514" r:id="rId2933" display="17/07/2009" xr:uid="{B6276C16-9FDD-4EDF-8D83-6B801C8580A8}"/>
    <hyperlink ref="I1516" r:id="rId2934" xr:uid="{E1390E47-DD7B-458E-AAFB-984C2451D840}"/>
    <hyperlink ref="J1516" r:id="rId2935" display="3" xr:uid="{5092FA56-D312-4747-8823-48541FCC65F5}"/>
    <hyperlink ref="K1516" r:id="rId2936" display="16/07/2009" xr:uid="{14532BDA-CAAA-4CE0-9D73-0DDF7F29E623}"/>
    <hyperlink ref="L1516" r:id="rId2937" xr:uid="{F9F2716D-811E-42BF-A318-35061B90C21E}"/>
    <hyperlink ref="I1518" r:id="rId2938" xr:uid="{6A126F1F-53D5-4DE6-8435-1D6CBC84EE7B}"/>
    <hyperlink ref="J1518" r:id="rId2939" display="8" xr:uid="{7479929F-B110-4B1E-B623-736906A217F4}"/>
    <hyperlink ref="K1518" r:id="rId2940" display="17/07/2009" xr:uid="{CF7338FC-F34E-4E54-BEB7-93B2D1B36869}"/>
    <hyperlink ref="L1518" r:id="rId2941" xr:uid="{8067DB31-FA99-4C3F-B9A6-511BDCAC3C1A}"/>
    <hyperlink ref="I1520" r:id="rId2942" xr:uid="{73C3C6A8-21A0-41A5-BD9E-9231B70702E1}"/>
    <hyperlink ref="J1520" r:id="rId2943" display="145" xr:uid="{D61CD7B9-01FF-412D-8D1F-3B8C8CF2EE3A}"/>
    <hyperlink ref="K1520" r:id="rId2944" display="30/04/2009" xr:uid="{D230A492-B04B-42DF-B6E9-68B3FC7BF84B}"/>
    <hyperlink ref="I1522" r:id="rId2945" xr:uid="{B84E78DB-5BFE-4CF9-BBE9-0EFE0046E058}"/>
    <hyperlink ref="J1522" r:id="rId2946" display="3" xr:uid="{A3E15A7F-E1EC-4E25-BB47-F0477543DF71}"/>
    <hyperlink ref="K1522" r:id="rId2947" display="30/04/2009" xr:uid="{73ABBAA3-AAE8-44DE-9D6A-5EFBDC7E80CC}"/>
    <hyperlink ref="L1522" r:id="rId2948" xr:uid="{9A289EC3-C06D-4743-A997-C92E45347842}"/>
    <hyperlink ref="I1524" r:id="rId2949" xr:uid="{B5769AD9-896B-4DAE-842D-7D50A64EAE82}"/>
    <hyperlink ref="J1524" r:id="rId2950" display="4" xr:uid="{09662872-BD6E-4CC8-88C6-A27D72FE4BEC}"/>
    <hyperlink ref="K1524" r:id="rId2951" display="30/04/2009" xr:uid="{174CC562-1414-4DE3-B79C-28A862E050D6}"/>
    <hyperlink ref="L1524" r:id="rId2952" xr:uid="{24DF71AE-CF06-4C8E-BF09-852EEFDA9FD9}"/>
    <hyperlink ref="I1526" r:id="rId2953" xr:uid="{3FF9C44E-58D1-4B58-A5DA-C83EA191456B}"/>
    <hyperlink ref="J1526" r:id="rId2954" display="62" xr:uid="{09C0450B-58A1-464C-8A0F-6C9557818FA0}"/>
    <hyperlink ref="K1526" r:id="rId2955" display="10/04/2009" xr:uid="{0CB5711D-9141-40FA-9A26-758CB95B4965}"/>
    <hyperlink ref="L1526" r:id="rId2956" xr:uid="{0F01ED77-DFD0-4C67-9817-84D4739575C8}"/>
    <hyperlink ref="I1528" r:id="rId2957" xr:uid="{FF80F6F1-E67F-455B-ADE7-5DB998F1D19B}"/>
    <hyperlink ref="J1528" r:id="rId2958" display="3" xr:uid="{41D553E8-6069-4E3A-AF71-8EB4B49ED9E0}"/>
    <hyperlink ref="K1528" r:id="rId2959" display="10/04/2009" xr:uid="{177112C5-85D6-42F4-B983-9D3A446B0477}"/>
    <hyperlink ref="L1528" r:id="rId2960" xr:uid="{0D4ED70B-A689-430F-9EA4-9F50954F9A30}"/>
    <hyperlink ref="I1530" r:id="rId2961" xr:uid="{10D50987-60A6-444B-A689-F44A3FDE7DA7}"/>
    <hyperlink ref="J1530" r:id="rId2962" display="15" xr:uid="{3586AE0B-3D95-422D-B80C-1416B15A7B33}"/>
    <hyperlink ref="K1530" r:id="rId2963" display="08/02/2009" xr:uid="{8F17AA29-7D94-4EE9-881F-5CC3476CE7C6}"/>
    <hyperlink ref="I1532" r:id="rId2964" xr:uid="{CA56FA24-347A-4604-AB1B-CF5F622A7A1F}"/>
    <hyperlink ref="J1532" r:id="rId2965" display="145" xr:uid="{4D5BC02E-07B6-4093-8AF7-3CF01BB4B7AB}"/>
    <hyperlink ref="K1532" r:id="rId2966" display="06/02/2009" xr:uid="{C2BE032C-EDB5-4630-9343-CD0513068140}"/>
    <hyperlink ref="I1534" r:id="rId2967" xr:uid="{E1C30B4E-38CD-4601-B703-FCCD543401FC}"/>
    <hyperlink ref="J1534" r:id="rId2968" display="2" xr:uid="{017A6876-8C6B-4147-A194-FA029C550AAD}"/>
    <hyperlink ref="K1534" r:id="rId2969" display="06/02/2009" xr:uid="{6DA80CF8-E92E-45C4-9415-67785D6E7B27}"/>
    <hyperlink ref="L1534" r:id="rId2970" xr:uid="{F16DB993-EBF9-43F6-9D6C-B475B70E4234}"/>
    <hyperlink ref="I1536" r:id="rId2971" xr:uid="{A02079CF-4404-4BAB-898F-E836C3B60DA4}"/>
    <hyperlink ref="J1536" r:id="rId2972" display="2" xr:uid="{E56C7059-D791-4A52-B67D-1FE2CE6FB69B}"/>
    <hyperlink ref="K1536" r:id="rId2973" display="06/02/2009" xr:uid="{47B83CDB-D9C3-4D48-B86A-4DF2768C600A}"/>
    <hyperlink ref="L1536" r:id="rId2974" xr:uid="{F1A952AE-36FF-4648-87CC-1338D66B842F}"/>
    <hyperlink ref="I1538" r:id="rId2975" xr:uid="{55CE096B-9825-4DCB-A58F-F7412605027C}"/>
    <hyperlink ref="J1538" r:id="rId2976" display="1" xr:uid="{DAAF06AA-645F-4D31-93C0-8EFFD99744C0}"/>
    <hyperlink ref="K1538" r:id="rId2977" display="01/01/2009" xr:uid="{FD3DFE48-02EA-4625-A3E4-F22FF0FC64F2}"/>
    <hyperlink ref="L1538" r:id="rId2978" xr:uid="{545F5A39-C16E-4D3E-8EC9-EE45FFB795B9}"/>
    <hyperlink ref="I1540" r:id="rId2979" xr:uid="{5FCA04BC-E6E5-4673-AADE-85DA98144C38}"/>
    <hyperlink ref="J1540" r:id="rId2980" display="5" xr:uid="{6F5691AB-40A3-44DF-B3DE-4155590B29FD}"/>
    <hyperlink ref="K1540" r:id="rId2981" display="01/01/2009" xr:uid="{6F4F5310-6FF0-47BD-8223-51D0B3D74DDA}"/>
    <hyperlink ref="L1540" r:id="rId2982" xr:uid="{4AE3545E-7EB6-483E-B63A-11AF88E4547F}"/>
    <hyperlink ref="I1542" r:id="rId2983" xr:uid="{66129F84-ADB8-4E25-8D16-8C5ECD73E4E4}"/>
    <hyperlink ref="J1542" r:id="rId2984" display="12" xr:uid="{2051F564-0AA5-473F-8C21-2A7605C8A42E}"/>
    <hyperlink ref="K1542" r:id="rId2985" display="01/01/2009" xr:uid="{9F386B8D-E769-4067-A33C-FB66A909200A}"/>
    <hyperlink ref="L1542" r:id="rId2986" xr:uid="{85F022C9-D40E-4324-848C-1203C00A3868}"/>
    <hyperlink ref="I1544" r:id="rId2987" xr:uid="{19920BFB-1D5D-411B-A43F-2BCA35A22D3A}"/>
    <hyperlink ref="J1544" r:id="rId2988" display="13" xr:uid="{60B3BBC7-0121-41FC-9E85-3930807A31A8}"/>
    <hyperlink ref="K1544" r:id="rId2989" display="01/01/2009" xr:uid="{34AA0A1F-647F-4A2A-8265-06D29CBEBE8F}"/>
    <hyperlink ref="L1544" r:id="rId2990" xr:uid="{8A38B1F5-A22D-4E2E-B167-BFC277DFC924}"/>
    <hyperlink ref="I1546" r:id="rId2991" xr:uid="{0E685CAA-9545-4D25-8E3E-13223AC10B22}"/>
    <hyperlink ref="J1546" r:id="rId2992" display="10" xr:uid="{A9AA7FAF-9DA4-424E-8A91-D750A67DE6A4}"/>
    <hyperlink ref="K1546" r:id="rId2993" display="01/01/2009" xr:uid="{558EFE52-AE8A-4AFB-9491-F8132F2F0FF1}"/>
    <hyperlink ref="L1546" r:id="rId2994" xr:uid="{8C6FA4F8-C6DC-4EC7-B8B6-32BAA6387617}"/>
    <hyperlink ref="I1548" r:id="rId2995" xr:uid="{CD32B442-6DAD-4346-A780-45B79D2D233D}"/>
    <hyperlink ref="J1548" r:id="rId2996" display="64" xr:uid="{32D5108E-CCA1-4828-B4A5-7AEA64162899}"/>
    <hyperlink ref="K1548" r:id="rId2997" display="07/11/2008" xr:uid="{9BE26F8F-C119-433A-B888-25CE757E981C}"/>
    <hyperlink ref="I1550" r:id="rId2998" xr:uid="{8931CAFC-0F9F-4488-8188-FE18FDD0023E}"/>
    <hyperlink ref="J1550" r:id="rId2999" display="1" xr:uid="{38EAA982-3BA6-4629-89D9-659B31310A33}"/>
    <hyperlink ref="K1550" r:id="rId3000" display="07/11/2008" xr:uid="{DF32AA3A-F6E6-43C3-B11A-0650AEA9E496}"/>
    <hyperlink ref="L1550" r:id="rId3001" xr:uid="{3DB6BA27-AB4C-45FB-A639-1E460FFEBC4E}"/>
    <hyperlink ref="I1552" r:id="rId3002" xr:uid="{9716F464-1AF4-4D68-A3DD-283A504143AC}"/>
    <hyperlink ref="J1552" r:id="rId3003" display="250" xr:uid="{0944E534-29AA-4CC8-BD16-89EEAED5A9D7}"/>
    <hyperlink ref="K1552" r:id="rId3004" display="03/10/2008" xr:uid="{C5D793B7-8A7B-4646-BDED-37D4F1E5E6BA}"/>
    <hyperlink ref="I1554" r:id="rId3005" xr:uid="{26123215-AD6E-4F19-A523-0967822672E3}"/>
    <hyperlink ref="J1554" r:id="rId3006" display="2" xr:uid="{2A060C79-9263-4719-841A-D721DB26D020}"/>
    <hyperlink ref="K1554" r:id="rId3007" display="03/10/2008" xr:uid="{BC8425D9-E32D-49FD-B676-F8901F6F9D18}"/>
    <hyperlink ref="L1554" r:id="rId3008" xr:uid="{FFFD3296-7776-4689-8048-ECAC8C28E11E}"/>
    <hyperlink ref="I1556" r:id="rId3009" xr:uid="{F8483901-4B41-458D-A3B8-80212FBE2E34}"/>
    <hyperlink ref="J1556" r:id="rId3010" display="10" xr:uid="{785B1D76-2EB0-44E4-B181-5AE04AFBA090}"/>
    <hyperlink ref="K1556" r:id="rId3011" display="03/10/2008" xr:uid="{BBA72B3D-572C-4E2E-BDF3-C816AA5CF7DE}"/>
    <hyperlink ref="L1556" r:id="rId3012" xr:uid="{86289027-25F8-41FD-9539-5D33376E4DBC}"/>
    <hyperlink ref="I1558" r:id="rId3013" xr:uid="{90284426-21DB-4970-A052-24FD9EF8EBDB}"/>
    <hyperlink ref="J1558" r:id="rId3014" display="245" xr:uid="{7CD90C3F-487A-4F33-B772-1EFAFB2853CD}"/>
    <hyperlink ref="K1558" r:id="rId3015" display="22/09/2008" xr:uid="{C4655500-1B83-4BAA-8DED-1BD974D435B6}"/>
    <hyperlink ref="L1558" r:id="rId3016" xr:uid="{82629743-320E-4246-B7E7-DA56BCA76209}"/>
    <hyperlink ref="I1560" r:id="rId3017" xr:uid="{AAEBF271-5130-4DFE-824E-CD36D8266F90}"/>
    <hyperlink ref="J1560" r:id="rId3018" display="15" xr:uid="{08C6115E-DBC8-45A3-97CA-267FD3508FA8}"/>
    <hyperlink ref="K1560" r:id="rId3019" display="29/08/2008" xr:uid="{7EDC9466-AA23-45B6-B890-E306D5D74A58}"/>
    <hyperlink ref="L1560" r:id="rId3020" xr:uid="{8C8205BE-DE7D-4EEB-8902-D148ADBBDEAD}"/>
    <hyperlink ref="I1562" r:id="rId3021" xr:uid="{16D4AAC6-CA32-420E-A951-2A5345A13D77}"/>
    <hyperlink ref="J1562" r:id="rId3022" display="180" xr:uid="{7A4F655C-0B67-4E64-BC24-5FFDEC2FD26D}"/>
    <hyperlink ref="K1562" r:id="rId3023" display="25/07/2008" xr:uid="{FF77CB1B-50F0-4AF3-A7EA-BBBED56E0CE6}"/>
    <hyperlink ref="I1564" r:id="rId3024" xr:uid="{F1B57F3E-D1BD-4EA1-B344-6E8150858B1A}"/>
    <hyperlink ref="J1564" r:id="rId3025" display="2" xr:uid="{7A97999B-1D2D-472C-97CF-62A0FF06F031}"/>
    <hyperlink ref="K1564" r:id="rId3026" display="25/07/2008" xr:uid="{57FE2BC9-F9B7-4431-8AE3-26342DA07F92}"/>
    <hyperlink ref="L1564" r:id="rId3027" xr:uid="{AF11A9AB-973F-4DBD-9D51-C901EC7B5C3F}"/>
    <hyperlink ref="I1566" r:id="rId3028" xr:uid="{3ABACC4D-35C0-47E1-807D-D2E3223733D0}"/>
    <hyperlink ref="J1566" r:id="rId3029" display="7" xr:uid="{CEDB5892-02E4-49D8-951A-C201F4B2C6C0}"/>
    <hyperlink ref="K1566" r:id="rId3030" display="25/07/2008" xr:uid="{958E48D9-2F7C-4497-BD6A-7CCFE39FEE26}"/>
    <hyperlink ref="L1566" r:id="rId3031" xr:uid="{6D1EC695-1A8E-4E49-86FE-74CBB32B9948}"/>
    <hyperlink ref="I1568" r:id="rId3032" xr:uid="{1C60D547-CE36-400A-85B7-35E86D5B53DD}"/>
    <hyperlink ref="J1568" r:id="rId3033" display="302" xr:uid="{DC6EDAB5-8704-4119-95F8-560FFC0F748F}"/>
    <hyperlink ref="K1568" r:id="rId3034" display="02/05/2008" xr:uid="{614CB5D9-17DA-410A-B477-A527479A2C66}"/>
    <hyperlink ref="I1570" r:id="rId3035" xr:uid="{D097F31E-C7D5-4408-8D37-2452033CA0F6}"/>
    <hyperlink ref="J1570" r:id="rId3036" display="2" xr:uid="{B9C0742D-E2A1-45F7-A85B-3E5E65CB7D0E}"/>
    <hyperlink ref="K1570" r:id="rId3037" display="02/05/2008" xr:uid="{F106F24D-0254-4C10-8844-E12E32F4C361}"/>
    <hyperlink ref="L1570" r:id="rId3038" xr:uid="{5A57DF31-398A-4CD7-8663-68ACCF2155FD}"/>
    <hyperlink ref="I1572" r:id="rId3039" xr:uid="{2669BFF4-4EFE-4D26-972D-9C97428D684A}"/>
    <hyperlink ref="J1572" r:id="rId3040" display="12" xr:uid="{BB0DE19B-7E14-42C6-9A92-084B6FB130A5}"/>
    <hyperlink ref="K1572" r:id="rId3041" display="02/05/2008" xr:uid="{D449908C-51AF-4263-810E-DF2952EF890F}"/>
    <hyperlink ref="L1572" r:id="rId3042" xr:uid="{CD474804-6E18-445E-B7F8-DB2DC652E86B}"/>
    <hyperlink ref="I1574" r:id="rId3043" xr:uid="{0FB2B8F2-7B6B-4A2A-B156-4CBBDA8CB252}"/>
    <hyperlink ref="J1574" r:id="rId3044" display="2" xr:uid="{7666A252-C1EB-4714-B16F-EA5A8D3E02F4}"/>
    <hyperlink ref="K1574" r:id="rId3045" display="01/04/2008" xr:uid="{BA2DC3DA-3938-48C7-95D0-E9A2CEE82B24}"/>
    <hyperlink ref="L1574" r:id="rId3046" xr:uid="{90AF31FB-E362-4350-A7D1-21EE956700E6}"/>
    <hyperlink ref="I1576" r:id="rId3047" xr:uid="{6E9CFA12-8D35-4143-9F91-0352B9A0D9AC}"/>
    <hyperlink ref="J1576" r:id="rId3048" display="150" xr:uid="{6A631499-862D-4290-886B-8A75694F1AB8}"/>
    <hyperlink ref="K1576" r:id="rId3049" display="01/02/2008" xr:uid="{E767F2B6-6F73-4FB6-ABCB-AC8558B5910A}"/>
    <hyperlink ref="I1578" r:id="rId3050" xr:uid="{01E6B5CB-461B-43EB-A9D1-1AC13A4EBEED}"/>
    <hyperlink ref="J1578" r:id="rId3051" display="2" xr:uid="{FE4AFB78-F9CC-41F1-99F1-04EE3FEB5805}"/>
    <hyperlink ref="K1578" r:id="rId3052" display="01/02/2008" xr:uid="{758C6E0A-399A-4555-9B1B-991E69901C2E}"/>
    <hyperlink ref="L1578" r:id="rId3053" xr:uid="{4AA24B56-3EED-4B52-9690-C02623181EF6}"/>
    <hyperlink ref="I1580" r:id="rId3054" xr:uid="{E5BA84C1-4D29-4EAE-ACE2-5C64F02E11D4}"/>
    <hyperlink ref="J1580" r:id="rId3055" display="3" xr:uid="{A6D781E2-7DCB-44A2-9D0D-DD9D65AD63E1}"/>
    <hyperlink ref="K1580" r:id="rId3056" display="01/02/2008" xr:uid="{DDB3F3FA-231D-49EC-BF73-45E505F1A0BB}"/>
    <hyperlink ref="L1580" r:id="rId3057" xr:uid="{5B053813-9168-44D4-8199-1C02DC369D04}"/>
    <hyperlink ref="I1582" r:id="rId3058" xr:uid="{184B4418-2B11-4FEC-AE29-58C6339B18BC}"/>
    <hyperlink ref="J1582" r:id="rId3059" display="6" xr:uid="{1DCC7EA2-9870-4A32-B371-080CE1CC02BE}"/>
    <hyperlink ref="K1582" r:id="rId3060" display="01/01/2008" xr:uid="{3421A0AE-D65B-4303-9BE4-98B3EE57CDE0}"/>
    <hyperlink ref="L1582" r:id="rId3061" xr:uid="{296BC168-042B-40AF-AB88-FF2E6756B5BC}"/>
    <hyperlink ref="I1584" r:id="rId3062" xr:uid="{A6CAF106-C504-4330-83C5-EDC9759249AF}"/>
    <hyperlink ref="J1584" r:id="rId3063" display="7" xr:uid="{915B74DB-7E5F-485E-B9BA-89A566844E32}"/>
    <hyperlink ref="K1584" r:id="rId3064" display="01/01/2008" xr:uid="{7B224653-35A5-410C-8A68-446195619235}"/>
    <hyperlink ref="L1584" r:id="rId3065" xr:uid="{E6F15507-FE58-497D-A965-41B3185C79E5}"/>
    <hyperlink ref="I1586" r:id="rId3066" xr:uid="{377C8EBD-33A3-4928-AA1F-B134B719C582}"/>
    <hyperlink ref="J1586" r:id="rId3067" display="12" xr:uid="{0C3E5862-1DA3-4C49-B3D3-0C8929675770}"/>
    <hyperlink ref="K1586" r:id="rId3068" display="01/01/2008" xr:uid="{F35547DB-FA5F-4EFA-9E52-A8060FB15664}"/>
    <hyperlink ref="L1586" r:id="rId3069" xr:uid="{691B12B1-84D6-4DEA-98CD-61E510F00A20}"/>
    <hyperlink ref="I1588" r:id="rId3070" xr:uid="{DF09089B-1926-4C5F-A053-41A1CEE3291D}"/>
    <hyperlink ref="J1588" r:id="rId3071" display="5" xr:uid="{50780E19-3EF2-4407-83B5-43033DECAD74}"/>
    <hyperlink ref="K1588" r:id="rId3072" display="01/01/2008" xr:uid="{5BCEF704-6494-4CDE-8210-08976AA594F0}"/>
    <hyperlink ref="L1588" r:id="rId3073" xr:uid="{4E0FBE0E-AE43-4A76-800F-401855A96F7F}"/>
    <hyperlink ref="I1590" r:id="rId3074" xr:uid="{55F3D353-23A7-4728-AAE4-192941720940}"/>
    <hyperlink ref="J1590" r:id="rId3075" display="62" xr:uid="{F4B45416-2FA0-41F2-B33C-9A3E34200F85}"/>
    <hyperlink ref="K1590" r:id="rId3076" display="16/11/2007" xr:uid="{800C9AB6-8943-4E59-8AC2-31FBEEC0465F}"/>
    <hyperlink ref="L1590" r:id="rId3077" xr:uid="{AEC0679E-98BB-4B9D-A640-07279642F74F}"/>
    <hyperlink ref="I1592" r:id="rId3078" xr:uid="{6EAC0CA9-80D5-4CC5-9468-E4F3076C6A36}"/>
    <hyperlink ref="J1592" r:id="rId3079" display="3" xr:uid="{2367FCF8-2F03-4E2D-A146-E0E5F670BB2E}"/>
    <hyperlink ref="K1592" r:id="rId3080" display="16/11/2007" xr:uid="{31AE7E4C-1E6E-42A0-AC2C-E0E4592FC21E}"/>
    <hyperlink ref="L1592" r:id="rId3081" xr:uid="{069638E4-9706-488C-A737-D62AF7E8C4B4}"/>
    <hyperlink ref="I1594" r:id="rId3082" xr:uid="{EC49E8F4-5E41-47D7-8A51-22CAFB987714}"/>
    <hyperlink ref="J1594" r:id="rId3083" display="301" xr:uid="{15B2C966-DBDA-49C8-8158-6BEA35283CF9}"/>
    <hyperlink ref="K1594" r:id="rId3084" display="12/10/2007" xr:uid="{511FD0A2-F4BF-4DE1-A4A6-E3A8370F1602}"/>
    <hyperlink ref="I1596" r:id="rId3085" xr:uid="{A12CBE81-35C9-4A07-ABE9-FFD1E90AD3D7}"/>
    <hyperlink ref="J1596" r:id="rId3086" display="3" xr:uid="{0CE41434-9F51-4516-9CAB-C6E95E8275BA}"/>
    <hyperlink ref="K1596" r:id="rId3087" display="12/10/2007" xr:uid="{20FCAB55-0E62-4D18-9EF8-FD5A46125088}"/>
    <hyperlink ref="L1596" r:id="rId3088" xr:uid="{E6F055CF-07B7-4D16-85EE-DE5CD3BEE2A2}"/>
    <hyperlink ref="I1598" r:id="rId3089" xr:uid="{DCAB2726-0717-479B-AC43-1D5101120EA1}"/>
    <hyperlink ref="J1598" r:id="rId3090" display="11" xr:uid="{7A39A052-4A6E-4FBE-8FD7-5ACAC29BDA10}"/>
    <hyperlink ref="K1598" r:id="rId3091" display="12/10/2007" xr:uid="{245B0EE3-DC3B-4DDF-AD43-6C56E1885730}"/>
    <hyperlink ref="L1598" r:id="rId3092" xr:uid="{42513233-1A33-472A-A930-9B3E5510507D}"/>
    <hyperlink ref="I1600" r:id="rId3093" xr:uid="{05D677BF-A3FE-4F39-A9F5-EA28F8F360DC}"/>
    <hyperlink ref="J1600" r:id="rId3094" display="195" xr:uid="{401C4702-FA78-4F56-9B0B-6DF56D694E98}"/>
    <hyperlink ref="K1600" r:id="rId3095" display="10/09/2007" xr:uid="{C174F44C-80E6-4CCE-A329-DD9B9B603E67}"/>
    <hyperlink ref="L1600" r:id="rId3096" xr:uid="{5CB7E1D1-F16F-4CE0-AEB6-2979510E43BF}"/>
    <hyperlink ref="I1602" r:id="rId3097" xr:uid="{AE576690-2ADA-44B3-BA0D-69FE54C39E31}"/>
    <hyperlink ref="J1602" r:id="rId3098" display="510" xr:uid="{3420D2B9-4F63-4B7B-B041-431764F887D5}"/>
    <hyperlink ref="K1602" r:id="rId3099" display="13/07/2007" xr:uid="{76020B87-A91D-4195-8B6E-B792FB12EB5C}"/>
    <hyperlink ref="I1604" r:id="rId3100" xr:uid="{5D53EDD3-30A9-4A55-A374-8DBD4C3D6658}"/>
    <hyperlink ref="J1604" r:id="rId3101" display="3" xr:uid="{7064C40C-3C96-4848-A0AC-7618B5C0612D}"/>
    <hyperlink ref="K1604" r:id="rId3102" display="13/07/2007" xr:uid="{83CE1A58-1055-4430-B6D0-7D028FEEEB4B}"/>
    <hyperlink ref="L1604" r:id="rId3103" xr:uid="{23B387C1-BD56-4A29-A261-7EDD8F409B9A}"/>
    <hyperlink ref="I1606" r:id="rId3104" xr:uid="{C7F93C2C-004A-4399-BD18-8D24E11D62E4}"/>
    <hyperlink ref="J1606" r:id="rId3105" display="6" xr:uid="{901F4D60-F93E-4582-B362-1598F2A7ED3D}"/>
    <hyperlink ref="K1606" r:id="rId3106" display="13/07/2007" xr:uid="{BC361659-E84B-4BAF-B790-8C4A6C4099A0}"/>
    <hyperlink ref="L1606" r:id="rId3107" xr:uid="{364A473C-104D-4906-9492-2974F11D2499}"/>
    <hyperlink ref="I1608" r:id="rId3108" xr:uid="{A84B5386-D6DF-4CC5-B1E5-6687BBDC7B9A}"/>
    <hyperlink ref="J1608" r:id="rId3109" display="180" xr:uid="{4ECA6F24-C16B-42A5-9DF6-2EDC909D30E5}"/>
    <hyperlink ref="K1608" r:id="rId3110" display="04/05/2007" xr:uid="{9759DAB3-46DB-432D-B21D-49713143F82A}"/>
    <hyperlink ref="I1610" r:id="rId3111" xr:uid="{2924BE78-90FF-4459-A64E-B076B1C91B83}"/>
    <hyperlink ref="J1610" r:id="rId3112" display="2" xr:uid="{0195A7CE-95DE-4283-83BB-5AB0604AB371}"/>
    <hyperlink ref="K1610" r:id="rId3113" display="04/05/2007" xr:uid="{2EBB3862-585F-469C-97BE-B29D05A81F24}"/>
    <hyperlink ref="L1610" r:id="rId3114" xr:uid="{0B627FC6-3E33-4369-8EDE-9CCBD0D42992}"/>
    <hyperlink ref="I1612" r:id="rId3115" xr:uid="{22C2316A-F626-4975-8F39-F16670DDDCCE}"/>
    <hyperlink ref="J1612" r:id="rId3116" display="20" xr:uid="{3BD80F8C-F027-4AFA-A2AC-586D70986218}"/>
    <hyperlink ref="K1612" r:id="rId3117" display="24/02/2007" xr:uid="{BF314E4E-AE89-43F4-8257-B0AD13007A96}"/>
    <hyperlink ref="L1612" r:id="rId3118" xr:uid="{B6DAF323-7AD4-4808-85C9-22E01C3331EE}"/>
    <hyperlink ref="I1614" r:id="rId3119" xr:uid="{05DBB7AB-7443-44EA-90D1-9F695BE2B292}"/>
    <hyperlink ref="J1614" r:id="rId3120" display="17" xr:uid="{95172D6B-363B-41BA-8012-C5AB891005E6}"/>
    <hyperlink ref="K1614" r:id="rId3121" display="09/02/2007" xr:uid="{694B75E9-B8EE-40AF-B3D4-3516370BC018}"/>
    <hyperlink ref="L1614" r:id="rId3122" xr:uid="{14830FE2-0762-4C73-B2E2-EF66198ABAE2}"/>
    <hyperlink ref="I1616" r:id="rId3123" xr:uid="{20244BE6-59D5-401E-8EDE-C57B0F43985C}"/>
    <hyperlink ref="J1616" r:id="rId3124" display="165" xr:uid="{003B984B-38B3-44AD-808D-F9E73B0DC050}"/>
    <hyperlink ref="K1616" r:id="rId3125" display="02/02/2007" xr:uid="{50F1438F-0198-4B4C-BDF7-345217C1281E}"/>
    <hyperlink ref="I1618" r:id="rId3126" xr:uid="{0DD94BF7-CD1D-4967-8CAF-5E9DB11EAC37}"/>
    <hyperlink ref="J1618" r:id="rId3127" display="2" xr:uid="{E6B6F51F-EAA8-449E-AEF1-D12DB2120CC5}"/>
    <hyperlink ref="K1618" r:id="rId3128" display="02/02/2007" xr:uid="{6CE7E52A-5F7A-455C-9DB1-0CDF9BC6955A}"/>
    <hyperlink ref="L1618" r:id="rId3129" xr:uid="{3D73090C-3D88-4E9A-BA81-0DC2778EE877}"/>
    <hyperlink ref="I1620" r:id="rId3130" xr:uid="{7E790B96-8BD1-4FBA-AAC6-F8B6AB287093}"/>
    <hyperlink ref="J1620" r:id="rId3131" display="5" xr:uid="{0F02F7AC-1B78-4DBA-BF1C-ED4F50BA3A48}"/>
    <hyperlink ref="K1620" r:id="rId3132" display="01/01/2007" xr:uid="{57D07CDF-B288-47C3-8C33-5799CB90BC0A}"/>
    <hyperlink ref="L1620" r:id="rId3133" xr:uid="{B0E40F46-3C30-4BAB-9BF7-6DC320D7FEEC}"/>
    <hyperlink ref="I1622" r:id="rId3134" xr:uid="{A8F166B5-C806-4BDB-AC9F-0797E673F422}"/>
    <hyperlink ref="J1622" r:id="rId3135" display="5" xr:uid="{AA6E2212-0E59-42F8-8EB9-A01A4E4A0E39}"/>
    <hyperlink ref="K1622" r:id="rId3136" display="01/01/2007" xr:uid="{504C2AED-3980-460C-A137-3484C5FCB1A0}"/>
    <hyperlink ref="L1622" r:id="rId3137" xr:uid="{4B68E3BA-3852-45F5-B273-64451493E3C8}"/>
    <hyperlink ref="I1624" r:id="rId3138" xr:uid="{030C204C-B038-40A0-9750-46E857E0C698}"/>
    <hyperlink ref="J1624" r:id="rId3139" display="7" xr:uid="{A5AD784E-1D85-4D43-8253-376DBBCFB07D}"/>
    <hyperlink ref="K1624" r:id="rId3140" display="01/01/2007" xr:uid="{DB004CA5-D8A2-4305-A85B-7C6EC46FA9E9}"/>
    <hyperlink ref="L1624" r:id="rId3141" xr:uid="{AD889C70-F24E-42AC-BAB8-03CADF7B98B5}"/>
    <hyperlink ref="I1626" r:id="rId3142" xr:uid="{13E2CCF9-A2AE-4740-8CC1-B3E6964A1F0B}"/>
    <hyperlink ref="J1626" r:id="rId3143" display="12" xr:uid="{D60C14AE-7D85-49E9-8B0A-951EFF60ECCD}"/>
    <hyperlink ref="K1626" r:id="rId3144" display="01/01/2007" xr:uid="{0F2B8CB5-5F76-476C-83C4-814D650766D0}"/>
    <hyperlink ref="L1626" r:id="rId3145" xr:uid="{53055EB2-CB90-451C-B385-2783858D190F}"/>
    <hyperlink ref="I1628" r:id="rId3146" xr:uid="{96921CDF-96D9-45D9-B8DF-02C7D29699CF}"/>
    <hyperlink ref="J1628" r:id="rId3147" display="23" xr:uid="{40859682-42CF-47A7-BD60-D55C8F601C07}"/>
    <hyperlink ref="K1628" r:id="rId3148" display="31/12/2006" xr:uid="{0D36BC89-B8EC-40B9-B1E7-47D63114AD0C}"/>
    <hyperlink ref="L1628" r:id="rId3149" xr:uid="{5020FB53-4EC6-42D4-8E93-7394AA9D4CAB}"/>
    <hyperlink ref="I1630" r:id="rId3150" xr:uid="{69826686-6450-4603-90B5-DEB0F83B4D37}"/>
    <hyperlink ref="J1630" r:id="rId3151" display="301" xr:uid="{07D16F9D-2F42-4686-B323-68665A011CAF}"/>
    <hyperlink ref="K1630" r:id="rId3152" display="06/10/2006" xr:uid="{E5C9D1E4-ED45-4CCA-BC38-1FA619F3C340}"/>
    <hyperlink ref="I1632" r:id="rId3153" xr:uid="{0E4568D3-6274-4952-8C0C-80E522FCDC62}"/>
    <hyperlink ref="J1632" r:id="rId3154" display="3" xr:uid="{D2EB6083-4FA4-4CFE-AC0C-E64E0DE5EBF5}"/>
    <hyperlink ref="K1632" r:id="rId3155" display="06/10/2006" xr:uid="{4431C93F-DF54-4B24-A429-3D0F9607A993}"/>
    <hyperlink ref="L1632" r:id="rId3156" xr:uid="{2C2C1C16-F893-4A29-8187-42593EE849E3}"/>
    <hyperlink ref="I1634" r:id="rId3157" xr:uid="{053CDEA8-BB75-4C29-98D0-4900889B7957}"/>
    <hyperlink ref="J1634" r:id="rId3158" display="121" xr:uid="{4123B84F-128B-47C6-BA46-2819B8732707}"/>
    <hyperlink ref="K1634" r:id="rId3159" display="06/10/2006" xr:uid="{4AE789A7-D2BD-4B99-B75E-18565E03C1A9}"/>
    <hyperlink ref="I1636" r:id="rId3160" xr:uid="{A0340789-3795-4C5A-B3D4-2E2BA92AE612}"/>
    <hyperlink ref="J1636" r:id="rId3161" display="155" xr:uid="{5CC4E876-8EED-46E1-903B-3EA26DF17299}"/>
    <hyperlink ref="K1636" r:id="rId3162" display="21/07/2006" xr:uid="{D583DB11-9525-43C7-8AC4-9C4C3F783481}"/>
    <hyperlink ref="I1638" r:id="rId3163" xr:uid="{1C7B9C43-57EF-4C7C-9BEF-4FA841719602}"/>
    <hyperlink ref="J1638" r:id="rId3164" display="2" xr:uid="{42CE5F70-FD8C-4FD4-8183-C125034D8785}"/>
    <hyperlink ref="K1638" r:id="rId3165" display="21/07/2006" xr:uid="{674E3C73-AF0D-4675-8AA3-341F5804CAB5}"/>
    <hyperlink ref="L1638" r:id="rId3166" xr:uid="{697C4DEB-E3C4-4F73-9345-D48ADD27AC7F}"/>
    <hyperlink ref="I1640" r:id="rId3167" xr:uid="{2C178DFC-5C86-413E-9AC4-B73278A99AC5}"/>
    <hyperlink ref="J1640" r:id="rId3168" display="62" xr:uid="{2FE299B1-F5B7-4D5F-A414-CCA3EB1F241B}"/>
    <hyperlink ref="K1640" r:id="rId3169" display="21/07/2006" xr:uid="{CB9658EF-A20F-468D-93AA-0FF4C1BB7401}"/>
    <hyperlink ref="I1642" r:id="rId3170" xr:uid="{14EF29AB-8A45-4725-BDC0-1EBB9ED74E11}"/>
    <hyperlink ref="J1642" r:id="rId3171" display="180" xr:uid="{8FC1CE0F-DD6B-42BA-ACE8-25FE50F174BE}"/>
    <hyperlink ref="K1642" r:id="rId3172" display="05/05/2006" xr:uid="{42BE528A-CE5A-4DBF-8472-4D59C285C769}"/>
    <hyperlink ref="I1644" r:id="rId3173" xr:uid="{25E8B4F5-5D5E-42E5-963B-D4608B054387}"/>
    <hyperlink ref="J1644" r:id="rId3174" display="2" xr:uid="{227294EB-C22E-4160-B4FE-08F104DB4C74}"/>
    <hyperlink ref="K1644" r:id="rId3175" display="05/05/2006" xr:uid="{E44D72E7-6A68-490D-BE69-87804A2C7D69}"/>
    <hyperlink ref="L1644" r:id="rId3176" xr:uid="{CBF40742-EDC0-428E-B8B6-81F176391681}"/>
    <hyperlink ref="I1646" r:id="rId3177" xr:uid="{332BA786-F12B-45BE-AA30-6D49B1ED9748}"/>
    <hyperlink ref="J1646" r:id="rId3178" display="12" xr:uid="{D210CD45-465B-43EE-A573-ACBB0FA39668}"/>
    <hyperlink ref="K1646" r:id="rId3179" display="18/03/2006" xr:uid="{1FF4BA0D-383B-47D0-AE39-80543336DEDB}"/>
    <hyperlink ref="L1646" r:id="rId3180" xr:uid="{CAEFF9B6-0665-48A1-9A4F-2EFA74B5BD7C}"/>
    <hyperlink ref="I1648" r:id="rId3181" xr:uid="{5276449D-5762-4912-AE6F-6CE143B04E64}"/>
    <hyperlink ref="J1648" r:id="rId3182" display="167" xr:uid="{F93044DC-1CAB-4AE0-B712-F03F7346F986}"/>
    <hyperlink ref="K1648" r:id="rId3183" display="03/02/2006" xr:uid="{262B0E46-F1ED-4DC1-B4E1-7BE4EDF8A512}"/>
    <hyperlink ref="I1650" r:id="rId3184" xr:uid="{F167907D-6AF5-4B79-9D1D-2F89DBF70F7C}"/>
    <hyperlink ref="J1650" r:id="rId3185" display="2" xr:uid="{4CDC7864-6981-42A6-99BB-7DBA31A8ABBB}"/>
    <hyperlink ref="K1650" r:id="rId3186" display="03/02/2006" xr:uid="{5D9E2093-BA8C-4001-B96F-33A90CEF7D02}"/>
    <hyperlink ref="L1650" r:id="rId3187" xr:uid="{0E381D3B-11AF-4B1E-B8C3-C6284FA808AB}"/>
    <hyperlink ref="I1652" r:id="rId3188" xr:uid="{EB706A1E-8D2E-4D84-A3D2-FB913DE82C4E}"/>
    <hyperlink ref="J1652" r:id="rId3189" display="5" xr:uid="{2EA25F52-B3F3-4241-880B-90F92AAE941A}"/>
    <hyperlink ref="K1652" r:id="rId3190" display="01/01/2006" xr:uid="{9EBF701F-160D-463E-A83A-773A4B8E3853}"/>
    <hyperlink ref="L1652" r:id="rId3191" xr:uid="{E8500104-D383-468B-8365-707FC82E9AF6}"/>
    <hyperlink ref="I1654" r:id="rId3192" xr:uid="{87202A01-6FB6-47BE-A653-039AD72D5B70}"/>
    <hyperlink ref="J1654" r:id="rId3193" display="9" xr:uid="{D8DD7034-5FFC-42DB-AD29-EE5748F75D20}"/>
    <hyperlink ref="K1654" r:id="rId3194" display="01/01/2006" xr:uid="{B6F4C608-7C70-434C-9C39-08C7158D2B58}"/>
    <hyperlink ref="L1654" r:id="rId3195" xr:uid="{9B720DDA-DCB1-4D8A-A730-10593936F646}"/>
    <hyperlink ref="I1656" r:id="rId3196" xr:uid="{A97F62AA-B171-49D8-A72C-B6BEBA84CCC9}"/>
    <hyperlink ref="J1656" r:id="rId3197" display="6" xr:uid="{53B4F3A4-B312-447B-A8C4-B4A855464C08}"/>
    <hyperlink ref="K1656" r:id="rId3198" display="01/01/2006" xr:uid="{7F0A438B-3E20-4365-88A1-87862A564D7D}"/>
    <hyperlink ref="L1656" r:id="rId3199" xr:uid="{4355CFD6-644B-4AC8-AC4B-340EF9C960F5}"/>
    <hyperlink ref="I1658" r:id="rId3200" xr:uid="{7B68260C-6A00-4C88-8D79-97A1C7C160F6}"/>
    <hyperlink ref="J1658" r:id="rId3201" display="12" xr:uid="{960263B9-A3B6-43E5-A21C-2604D47C7386}"/>
    <hyperlink ref="K1658" r:id="rId3202" display="01/01/2006" xr:uid="{C3D697CB-DF42-489C-A56B-737F3AE6FA38}"/>
    <hyperlink ref="L1658" r:id="rId3203" xr:uid="{C3F46090-0D96-4620-AB42-601979027CA6}"/>
    <hyperlink ref="I1660" r:id="rId3204" xr:uid="{AD780D22-F727-4177-B2D4-BF3453C2585D}"/>
    <hyperlink ref="J1660" r:id="rId3205" display="60" xr:uid="{A1A3F9D5-0114-437A-ACAD-13CCE2F6C509}"/>
    <hyperlink ref="K1660" r:id="rId3206" display="01/01/2006" xr:uid="{69E17918-AD1D-4DC4-A49D-9410946C4EC2}"/>
    <hyperlink ref="L1660" r:id="rId3207" xr:uid="{DC5D0FC7-AD51-4611-AACC-2A60D5F0DEF6}"/>
    <hyperlink ref="I1662" r:id="rId3208" xr:uid="{FC91D18D-292F-4BAF-B1BD-EAA48B419BFE}"/>
    <hyperlink ref="J1662" r:id="rId3209" display="4" xr:uid="{7BE70991-8D7D-46EF-8F7A-D52CFC9A9D43}"/>
    <hyperlink ref="K1662" r:id="rId3210" display="01/01/2006" xr:uid="{43559D6B-F9C5-48EB-B7C5-6A5CCABFF088}"/>
    <hyperlink ref="L1662" r:id="rId3211" xr:uid="{8ABBB744-FCA8-4DD9-9835-9AC2424B11C9}"/>
    <hyperlink ref="I1664" r:id="rId3212" xr:uid="{590236F4-73C7-4F4D-B605-DCAAA549AA02}"/>
    <hyperlink ref="J1664" r:id="rId3213" display="80" xr:uid="{E10B18BC-C8E5-4D77-A2D6-26E8D4751D25}"/>
    <hyperlink ref="K1664" r:id="rId3214" display="01/01/2006" xr:uid="{1D2AC722-32F9-42B5-8EC0-95B25039DB97}"/>
    <hyperlink ref="I1666" r:id="rId3215" xr:uid="{023FD85E-9640-433C-9145-4C8EF15C97FF}"/>
    <hyperlink ref="J1666" r:id="rId3216" display="7" xr:uid="{BB317446-0B26-4FC6-B79C-AA5A20B0E048}"/>
    <hyperlink ref="K1666" r:id="rId3217" display="01/01/2006" xr:uid="{15685A8F-AAC7-4EFA-ABFA-3B44353B7872}"/>
    <hyperlink ref="L1666" r:id="rId3218" xr:uid="{DD05544F-2AC8-43EF-BBED-FDF9DAE8F118}"/>
    <hyperlink ref="I1668" r:id="rId3219" xr:uid="{7E347A39-EF30-4FC9-9753-74F5BD497AF6}"/>
    <hyperlink ref="J1668" r:id="rId3220" display="1" xr:uid="{9D0E59D1-C82A-4176-B70D-1A79BFF4508E}"/>
    <hyperlink ref="K1668" r:id="rId3221" display="09/12/2005" xr:uid="{F751138F-BED7-4310-8940-40D27B127D28}"/>
    <hyperlink ref="L1668" r:id="rId3222" xr:uid="{98B0F32F-030A-4AE1-8A76-C326A7E6064F}"/>
    <hyperlink ref="I1670" r:id="rId3223" xr:uid="{66CC684A-8D72-49A4-835F-81A2886252AE}"/>
    <hyperlink ref="J1670" r:id="rId3224" display="20" xr:uid="{738C8C55-FE87-4932-8081-AE1655A518F5}"/>
    <hyperlink ref="K1670" r:id="rId3225" display="07/10/2005" xr:uid="{8782AD42-ECA8-4BE3-A130-530241D24C0B}"/>
    <hyperlink ref="L1670" r:id="rId3226" xr:uid="{B24CC0C2-53F8-4928-A378-7BAD89C90034}"/>
    <hyperlink ref="I1672" r:id="rId3227" xr:uid="{63E50500-580C-4D72-9714-24EEF51887DB}"/>
    <hyperlink ref="J1672" r:id="rId3228" display="306" xr:uid="{AF8F91DF-5786-4C3B-AAA1-87BDBB900E47}"/>
    <hyperlink ref="K1672" r:id="rId3229" display="07/10/2005" xr:uid="{F01D32D9-B48A-4F6F-A8A2-22DF8BB47022}"/>
    <hyperlink ref="I1674" r:id="rId3230" xr:uid="{B0186FF9-C0A5-40C3-8859-A1BF3E74D7B4}"/>
    <hyperlink ref="J1674" r:id="rId3231" display="2" xr:uid="{F3F87E00-8720-49E1-8254-7710AA7EA81D}"/>
    <hyperlink ref="K1674" r:id="rId3232" display="07/10/2005" xr:uid="{9179F339-CA78-4F7D-9644-BBF1CB75E4D4}"/>
    <hyperlink ref="L1674" r:id="rId3233" xr:uid="{E489D56A-95D8-4520-8736-68EF2D70563A}"/>
    <hyperlink ref="I1676" r:id="rId3234" xr:uid="{D746E25D-06F4-471A-A8B3-E75E42E5D708}"/>
    <hyperlink ref="J1676" r:id="rId3235" display="720" xr:uid="{AC3AA6E7-AC08-42BB-A400-217864D2CF1D}"/>
    <hyperlink ref="K1676" r:id="rId3236" display="22/08/2005" xr:uid="{5FF59076-4B76-4120-ACC3-19D0B7175D9D}"/>
    <hyperlink ref="I1678" r:id="rId3237" xr:uid="{48AF460D-2217-410C-9F1F-95590E7A5CA5}"/>
    <hyperlink ref="J1678" r:id="rId3238" display="710" xr:uid="{66E8DE4A-9205-4852-9E11-10BE920BDCD6}"/>
    <hyperlink ref="K1678" r:id="rId3239" display="29/07/2005" xr:uid="{9DAFEC3E-1833-4C67-B8C1-4FFBCE2AE52A}"/>
    <hyperlink ref="I1680" r:id="rId3240" xr:uid="{CDE522F6-A224-4806-9F68-3EEEEEB4AAD5}"/>
    <hyperlink ref="J1680" r:id="rId3241" display="2" xr:uid="{3608C575-302A-46B7-A8E4-95C5BE855124}"/>
    <hyperlink ref="K1680" r:id="rId3242" display="29/07/2005" xr:uid="{2DD3479F-A96C-4127-83BD-F714931C6390}"/>
    <hyperlink ref="I1682" r:id="rId3243" xr:uid="{0475A2AB-F9B9-417F-9F0E-907DF6755218}"/>
    <hyperlink ref="J1682" r:id="rId3244" display="165" xr:uid="{E92230E0-55FD-4FA2-BE34-06C7521DDC71}"/>
    <hyperlink ref="K1682" r:id="rId3245" display="03/06/2005" xr:uid="{80CFF64D-23B4-410A-ADE9-036E39723D4E}"/>
    <hyperlink ref="I1684" r:id="rId3246" xr:uid="{1F055F72-AA28-4E1E-9027-ED624FC29033}"/>
    <hyperlink ref="J1684" r:id="rId3247" display="2" xr:uid="{A65166B0-3A7D-477D-A2CE-655C22C9827F}"/>
    <hyperlink ref="K1684" r:id="rId3248" display="03/06/2005" xr:uid="{970D2054-6F79-4429-AEF4-FD7E34CA708D}"/>
    <hyperlink ref="L1684" r:id="rId3249" xr:uid="{978355D1-EA43-4EF3-A3E8-09F32C62C4A5}"/>
    <hyperlink ref="I1686" r:id="rId3250" xr:uid="{CD857EC8-15A0-45AA-99E6-744FA3E0A7DA}"/>
    <hyperlink ref="J1686" r:id="rId3251" display="165" xr:uid="{376D5555-465E-43A9-A430-FAB676BB6558}"/>
    <hyperlink ref="K1686" r:id="rId3252" display="04/02/2005" xr:uid="{9060D8D1-0D36-4E09-BDD8-A713F0A7D043}"/>
    <hyperlink ref="I1688" r:id="rId3253" xr:uid="{DCFCFE74-C629-4EA4-87CC-640BB28C12C5}"/>
    <hyperlink ref="J1688" r:id="rId3254" display="2" xr:uid="{A085FBAC-629E-42B1-B20C-908FCADE679D}"/>
    <hyperlink ref="K1688" r:id="rId3255" display="04/02/2005" xr:uid="{98D423BA-99C2-4677-97BA-B7ECAA4F21B1}"/>
    <hyperlink ref="L1688" r:id="rId3256" xr:uid="{3B31B903-3F1C-4A1A-A0ED-3FEA83395F84}"/>
    <hyperlink ref="I1690" r:id="rId3257" xr:uid="{71E1FCB4-EE2C-4FED-AD1C-AB7BBC87535A}"/>
    <hyperlink ref="J1690" r:id="rId3258" display="8" xr:uid="{C8422F3E-413D-45FF-AB36-C3053A5E9A04}"/>
    <hyperlink ref="K1690" r:id="rId3259" display="01/01/2005" xr:uid="{FCB5DD04-2FE0-4946-B637-B21EC08153A4}"/>
    <hyperlink ref="L1690" r:id="rId3260" xr:uid="{0271EDCF-3669-466E-82D8-E5A366224267}"/>
    <hyperlink ref="I1692" r:id="rId3261" xr:uid="{E9641B6B-F21E-420D-9F69-6D74E6D77CC7}"/>
    <hyperlink ref="J1692" r:id="rId3262" display="8" xr:uid="{23A1A5D9-4098-43CA-8466-A9BCB2E852E9}"/>
    <hyperlink ref="K1692" r:id="rId3263" display="01/01/2005" xr:uid="{6FFBA603-83CC-467D-9984-4868320FA381}"/>
    <hyperlink ref="L1692" r:id="rId3264" xr:uid="{5F2075FD-B618-4875-902D-5E6BFA9088AA}"/>
    <hyperlink ref="I1694" r:id="rId3265" xr:uid="{88391950-95A3-4162-901F-BB8826BF4ADD}"/>
    <hyperlink ref="J1694" r:id="rId3266" display="12" xr:uid="{135843B9-304D-4C9F-B26A-CA83E16E9576}"/>
    <hyperlink ref="K1694" r:id="rId3267" display="01/01/2005" xr:uid="{AB2384FB-F9C5-4663-BEC7-8A1348187228}"/>
    <hyperlink ref="L1694" r:id="rId3268" xr:uid="{076AE81B-83C4-4E1A-9121-B6509CC15715}"/>
    <hyperlink ref="I1696" r:id="rId3269" xr:uid="{4FDE78F4-383B-4718-9A5D-C30A4AE0357D}"/>
    <hyperlink ref="J1696" r:id="rId3270" display="6" xr:uid="{F51F5BB3-D211-4EB7-A045-4DDB921DBBF2}"/>
    <hyperlink ref="K1696" r:id="rId3271" display="01/01/2005" xr:uid="{EB3AC622-8DE4-42AD-BC52-0AA40D78F3C1}"/>
    <hyperlink ref="L1696" r:id="rId3272" xr:uid="{A8370D32-88EB-45F3-9D6A-5161BC18A42F}"/>
    <hyperlink ref="I1698" r:id="rId3273" xr:uid="{2DDE1AC5-4295-4DFD-B6A3-6E6B6B48F5C8}"/>
    <hyperlink ref="J1698" r:id="rId3274" display="4" xr:uid="{441B1E85-8959-4575-8BCD-517310CFE8B2}"/>
    <hyperlink ref="K1698" r:id="rId3275" display="01/01/2005" xr:uid="{7E395313-883E-4B7B-A23E-750073CD0FE0}"/>
    <hyperlink ref="L1698" r:id="rId3276" xr:uid="{9590735E-C62A-495A-8F84-872BF843D9C5}"/>
    <hyperlink ref="I1700" r:id="rId3277" xr:uid="{6FABFA6E-DBB3-4E07-9FCE-E75314A547CF}"/>
    <hyperlink ref="J1700" r:id="rId3278" display="168" xr:uid="{B2AC45C8-EC66-4E22-A9D0-AD913269CBDC}"/>
    <hyperlink ref="K1700" r:id="rId3279" display="19/11/2004" xr:uid="{CBD186EB-6415-41D1-BC1F-43BCCFDED48A}"/>
    <hyperlink ref="L1700" r:id="rId3280" xr:uid="{A3030DCB-E604-446B-9651-ADAA7D66404E}"/>
    <hyperlink ref="I1702" r:id="rId3281" xr:uid="{5F5F011A-035A-4A65-A384-14360FF8A54C}"/>
    <hyperlink ref="J1702" r:id="rId3282" display="1" xr:uid="{86195AF9-C370-47FC-A6C4-B71777797A6E}"/>
    <hyperlink ref="K1702" r:id="rId3283" display="19/11/2004" xr:uid="{F66852CF-A405-46B4-BB12-E911851E4147}"/>
    <hyperlink ref="L1702" r:id="rId3284" xr:uid="{2006FA9A-C10D-4C66-B8E0-1713484BEA7E}"/>
    <hyperlink ref="I1704" r:id="rId3285" xr:uid="{D55E75BC-484C-4DD5-A0D4-6797C20CF1E6}"/>
    <hyperlink ref="J1704" r:id="rId3286" display="307" xr:uid="{9059C304-93FB-473E-A19F-E0C42D6FBFD7}"/>
    <hyperlink ref="K1704" r:id="rId3287" display="01/10/2004" xr:uid="{E986CD2D-8DB6-42AD-945D-54F969BA07E4}"/>
    <hyperlink ref="I1706" r:id="rId3288" xr:uid="{DB28CDAE-FE3D-495C-99F0-5DEA6E5C5340}"/>
    <hyperlink ref="J1706" r:id="rId3289" display="1" xr:uid="{D3654D59-741A-4D04-A6C8-B4B8C9FA70B3}"/>
    <hyperlink ref="K1706" r:id="rId3290" display="01/10/2004" xr:uid="{3B53DF1D-901A-4CBD-86B9-A8519C243B3B}"/>
    <hyperlink ref="L1706" r:id="rId3291" xr:uid="{7DBFB4E1-FB22-4E4F-B80E-3005513B6959}"/>
    <hyperlink ref="I1708" r:id="rId3292" xr:uid="{3DE5DAC2-7498-4EA8-A303-94D21E1FC1F1}"/>
    <hyperlink ref="J1708" r:id="rId3293" display="103" xr:uid="{5F73B044-573C-4679-9F8C-C79B52ED2D1E}"/>
    <hyperlink ref="K1708" r:id="rId3294" display="01/09/2004" xr:uid="{28B28EA2-27F4-4A0A-A159-61B409894F28}"/>
    <hyperlink ref="L1708" r:id="rId3295" xr:uid="{530C1A8E-6B82-4D5F-B523-A69A6BB2E637}"/>
    <hyperlink ref="I1710" r:id="rId3296" xr:uid="{3483D2DA-44F4-4D73-BBF8-6F80AE9BA118}"/>
    <hyperlink ref="J1710" r:id="rId3297" display="165" xr:uid="{B8305BD4-21AC-4249-AAC0-A1F6BF0198EA}"/>
    <hyperlink ref="K1710" r:id="rId3298" display="04/06/2004" xr:uid="{94410C3D-BB69-4990-98E3-28207035F6BC}"/>
    <hyperlink ref="I1712" r:id="rId3299" xr:uid="{1612A091-0B0F-43BB-B9AE-83B000AAF912}"/>
    <hyperlink ref="J1712" r:id="rId3300" display="1" xr:uid="{01C5FF05-F004-4C92-971F-7AB61AE85AC7}"/>
    <hyperlink ref="K1712" r:id="rId3301" display="04/06/2004" xr:uid="{19D86EC5-55AA-47A7-97CE-53E52EE288B6}"/>
    <hyperlink ref="L1712" r:id="rId3302" xr:uid="{5A71F3CE-26A8-475F-AA7D-93C8621A6ACA}"/>
    <hyperlink ref="I1714" r:id="rId3303" xr:uid="{EC171E62-49BD-4343-AA12-799679AA8418}"/>
    <hyperlink ref="J1714" r:id="rId3304" display="165" xr:uid="{0454F4E7-D694-4059-9C95-6B2784F1AF18}"/>
    <hyperlink ref="K1714" r:id="rId3305" display="06/02/2004" xr:uid="{291D222E-A060-45A9-80A7-60004871FE72}"/>
    <hyperlink ref="I1716" r:id="rId3306" xr:uid="{1BDB94D2-6348-40DD-914D-C71AE1CEEE3E}"/>
    <hyperlink ref="J1716" r:id="rId3307" display="1" xr:uid="{C7EC53EF-A0C9-4CF0-8DBA-665F5E7CD091}"/>
    <hyperlink ref="K1716" r:id="rId3308" display="06/02/2004" xr:uid="{49F76A87-4135-43DB-B6D1-71A063203F25}"/>
    <hyperlink ref="L1716" r:id="rId3309" xr:uid="{56EA317C-388C-4E98-AE35-311AEDABB770}"/>
    <hyperlink ref="I1718" r:id="rId3310" xr:uid="{A66C9236-61BE-4BB3-B3E2-C8924323BB07}"/>
    <hyperlink ref="J1718" r:id="rId3311" display="14" xr:uid="{7C7D5401-C673-4DB1-A16B-6E45763F52DF}"/>
    <hyperlink ref="K1718" r:id="rId3312" display="01/01/2004" xr:uid="{AB4DF372-2CE9-4700-913A-BE21DB8677E4}"/>
    <hyperlink ref="L1718" r:id="rId3313" xr:uid="{F7F40042-1672-4BA0-96D4-79962AA925E0}"/>
    <hyperlink ref="I1720" r:id="rId3314" xr:uid="{E3E17E6C-40AD-4417-BDB9-31312B366869}"/>
    <hyperlink ref="J1720" r:id="rId3315" display="6" xr:uid="{1347EA98-6C7E-40A5-990D-BE7412559976}"/>
    <hyperlink ref="K1720" r:id="rId3316" display="01/01/2004" xr:uid="{39351F3D-5DF6-473C-815C-BFD93223D75A}"/>
    <hyperlink ref="L1720" r:id="rId3317" xr:uid="{90795D6B-72CE-4F69-8F41-054BA1EC18A7}"/>
    <hyperlink ref="I1722" r:id="rId3318" xr:uid="{D4129350-E2F1-42F4-9E7D-EF15E7A60123}"/>
    <hyperlink ref="J1722" r:id="rId3319" display="6" xr:uid="{47759AA3-DE38-4C7C-BA24-39F5D55D2C27}"/>
    <hyperlink ref="K1722" r:id="rId3320" display="01/01/2004" xr:uid="{33BF1B35-8B30-4EA7-B888-CC8FB69EEB45}"/>
    <hyperlink ref="L1722" r:id="rId3321" xr:uid="{9DF2CF7D-95B6-4997-9365-EA1C06751AB9}"/>
    <hyperlink ref="I1724" r:id="rId3322" xr:uid="{FD959107-1B6E-4A80-8C49-6CC011D6703E}"/>
    <hyperlink ref="J1724" r:id="rId3323" display="12" xr:uid="{8636C8E7-EB9C-4748-A3B3-82284B7FD601}"/>
    <hyperlink ref="K1724" r:id="rId3324" display="01/01/2004" xr:uid="{9AB444C0-EA8A-463C-9B01-488B8A23F5E9}"/>
    <hyperlink ref="L1724" r:id="rId3325" xr:uid="{48354B6F-7D07-4C44-8494-342041C7091C}"/>
    <hyperlink ref="I1726" r:id="rId3326" xr:uid="{2CC58702-5BF1-4561-A583-F5DC5A9C91FB}"/>
    <hyperlink ref="J1726" r:id="rId3327" display="306" xr:uid="{0491E29F-CBBD-44B7-9470-DE7466F3941B}"/>
    <hyperlink ref="K1726" r:id="rId3328" display="02/10/2003" xr:uid="{3929B777-CA59-42D4-8EF1-BE3EDB6DE8A2}"/>
    <hyperlink ref="I1728" r:id="rId3329" xr:uid="{5CA36B66-E58A-409F-AFAC-6A2530CCEA99}"/>
    <hyperlink ref="J1728" r:id="rId3330" display="1" xr:uid="{C2908118-FCAC-4EA4-B0BA-89E90FB06AA9}"/>
    <hyperlink ref="K1728" r:id="rId3331" display="04/06/2004" xr:uid="{8934C15D-4CFE-4557-9D22-5D9FCFD58457}"/>
    <hyperlink ref="L1728" r:id="rId3332" xr:uid="{CD8C253B-9A2F-4B0D-B02B-5DA3DEDB0E00}"/>
    <hyperlink ref="I1730" r:id="rId3333" xr:uid="{9D912D83-4E5E-43CA-A041-FB25520BDFC7}"/>
    <hyperlink ref="J1730" r:id="rId3334" display="142" xr:uid="{02E1AA78-962F-42C1-8676-A80E8A4F0C0B}"/>
    <hyperlink ref="K1730" r:id="rId3335" display="06/08/2003" xr:uid="{F4EB70F0-2592-4DDA-9D52-EB72B5B23BEE}"/>
    <hyperlink ref="L1730" r:id="rId3336" xr:uid="{9CE8D235-227B-4CE9-B2B6-DE07CFF098E8}"/>
    <hyperlink ref="I1732" r:id="rId3337" xr:uid="{BB2E990A-AE22-471F-9D79-057F99C9D406}"/>
    <hyperlink ref="J1732" r:id="rId3338" display="711" xr:uid="{8512CF35-8297-4ADF-860E-B7960842D63C}"/>
    <hyperlink ref="K1732" r:id="rId3339" display="28/07/2003" xr:uid="{CDD3C82E-2778-488F-BC43-C2973F3853A5}"/>
    <hyperlink ref="I1734" r:id="rId3340" xr:uid="{123B5A90-0C76-44B4-8515-8412472B8D51}"/>
    <hyperlink ref="J1734" r:id="rId3341" display="1" xr:uid="{04F7ED35-46CF-458F-9778-F75FAD51B74E}"/>
    <hyperlink ref="K1734" r:id="rId3342" display="28/07/2003" xr:uid="{FC31955F-FD37-4689-9E85-0FE6825BB903}"/>
    <hyperlink ref="L1734" r:id="rId3343" xr:uid="{E7887269-D86E-4CAC-814E-3893D4B5E04A}"/>
    <hyperlink ref="I1736" r:id="rId3344" xr:uid="{76802B55-6119-4706-B740-747BE18A1EE0}"/>
    <hyperlink ref="J1736" r:id="rId3345" display="143" xr:uid="{9C9236A0-D8BF-48C0-AB50-D4F533257436}"/>
    <hyperlink ref="K1736" r:id="rId3346" display="26/05/2003" xr:uid="{58B5F930-3CA9-45A3-B230-DE26CB1BA890}"/>
    <hyperlink ref="I1738" r:id="rId3347" xr:uid="{C7065F51-0088-4238-9325-ABB822EE20E4}"/>
    <hyperlink ref="J1738" r:id="rId3348" display="1" xr:uid="{C09A2376-5E3B-4B4B-A319-8AB9EBBB2814}"/>
    <hyperlink ref="K1738" r:id="rId3349" display="26/05/2003" xr:uid="{018B1F71-9095-49F2-88A9-90F5C794BBD3}"/>
    <hyperlink ref="L1738" r:id="rId3350" xr:uid="{1BD0BF3F-773F-4105-8C40-C5FD87C47852}"/>
    <hyperlink ref="I1740" r:id="rId3351" xr:uid="{87970C3E-1940-498E-BEDA-A258BDA273E3}"/>
    <hyperlink ref="J1740" r:id="rId3352" display="145" xr:uid="{A9FB5DA9-7956-475A-AD9A-86126203B13C}"/>
    <hyperlink ref="K1740" r:id="rId3353" display="03/02/2003" xr:uid="{172848CD-74C7-49D5-A09E-C3BDE56B8B87}"/>
    <hyperlink ref="I1742" r:id="rId3354" xr:uid="{14AF518B-E65D-458B-956A-8EC4337867C3}"/>
    <hyperlink ref="J1742" r:id="rId3355" display="1" xr:uid="{35134B19-02D4-4854-A00E-1479CAD49D72}"/>
    <hyperlink ref="K1742" r:id="rId3356" display="03/02/2003" xr:uid="{D267DD4C-C244-4AF8-89C3-894ED8881853}"/>
    <hyperlink ref="L1742" r:id="rId3357" xr:uid="{1E48502E-8C5B-420F-9E41-9EA010481428}"/>
    <hyperlink ref="I1744" r:id="rId3358" xr:uid="{50BC947D-7B66-4522-A221-74AFFA28A053}"/>
    <hyperlink ref="J1744" r:id="rId3359" display="85" xr:uid="{63A0F638-92E4-4427-BA4E-0DCACA36A3DD}"/>
    <hyperlink ref="K1744" r:id="rId3360" display="01/01/2003" xr:uid="{A450989C-8F20-4F20-9481-E36176FA80E8}"/>
    <hyperlink ref="L1744" r:id="rId3361" xr:uid="{1C86E547-7343-4E1D-AA78-F1B6A06B0DDE}"/>
    <hyperlink ref="I1746" r:id="rId3362" xr:uid="{2AE11EE4-2322-413B-B384-2DF841BE88EB}"/>
    <hyperlink ref="J1746" r:id="rId3363" display="12" xr:uid="{74AEDFF1-02DE-434A-9B54-B99F994DE7BC}"/>
    <hyperlink ref="K1746" r:id="rId3364" display="01/01/2003" xr:uid="{358835DE-8EDF-4515-8E0A-EA689D536016}"/>
    <hyperlink ref="L1746" r:id="rId3365" xr:uid="{5DCB5AAE-CB62-408D-A5B0-B53113552DF5}"/>
    <hyperlink ref="I1748" r:id="rId3366" xr:uid="{F3655D58-7111-428F-9C2B-3C9ED9310B14}"/>
    <hyperlink ref="J1748" r:id="rId3367" display="8" xr:uid="{7FBD6F29-1FC7-4DFC-97F7-0EBC74908A75}"/>
    <hyperlink ref="K1748" r:id="rId3368" display="01/01/2003" xr:uid="{AFE97DE0-228E-4EF5-815E-963747109F0C}"/>
    <hyperlink ref="L1748" r:id="rId3369" xr:uid="{1F90C324-750F-444C-9C1F-7DF09FC98C54}"/>
    <hyperlink ref="I1750" r:id="rId3370" xr:uid="{A4F6DF9A-0DE1-4613-8025-2B4B4B89768D}"/>
    <hyperlink ref="J1750" r:id="rId3371" display="3" xr:uid="{8469D38D-A77C-42BA-BDBE-27D489BEF25B}"/>
    <hyperlink ref="K1750" r:id="rId3372" display="01/01/2003" xr:uid="{D263F43A-3553-494C-9D01-FF873BB34500}"/>
    <hyperlink ref="L1750" r:id="rId3373" xr:uid="{CA49925D-7EBE-4458-96B4-362652196DFB}"/>
    <hyperlink ref="I1752" r:id="rId3374" xr:uid="{89BD8AA1-7F95-4805-ADD2-BFC2F0BE046D}"/>
    <hyperlink ref="J1752" r:id="rId3375" display="7" xr:uid="{AB507A00-4543-4BFD-BC97-449EF8B1CABE}"/>
    <hyperlink ref="K1752" r:id="rId3376" display="01/01/2003" xr:uid="{5153310D-B8D5-40CF-8142-5448A403150F}"/>
    <hyperlink ref="L1752" r:id="rId3377" xr:uid="{B87BAF51-7D28-4B17-9E78-15CB1FF79110}"/>
    <hyperlink ref="I1754" r:id="rId3378" xr:uid="{6305AC4D-7033-452C-8790-70172B49BF4D}"/>
    <hyperlink ref="J1754" r:id="rId3379" display="13" xr:uid="{7F4625CD-3DE3-4B66-8C44-D05A66D8B212}"/>
    <hyperlink ref="K1754" r:id="rId3380" display="01/01/2003" xr:uid="{AEC682BF-927F-43AA-A307-9ECCCF63AD89}"/>
    <hyperlink ref="L1754" r:id="rId3381" xr:uid="{0D6B81CF-CD00-4BD5-A0A9-4A9726AC18F1}"/>
    <hyperlink ref="I1756" r:id="rId3382" xr:uid="{D4817850-DDAE-426B-A6B4-5AFA7D05415A}"/>
    <hyperlink ref="J1756" r:id="rId3383" display="35" xr:uid="{08FA468C-7A1B-4ED5-B266-07095E346AAF}"/>
    <hyperlink ref="K1756" r:id="rId3384" display="01/01/2003" xr:uid="{9FEB0418-A5F8-47CF-8ECD-685F166CB603}"/>
    <hyperlink ref="L1756" r:id="rId3385" xr:uid="{2536AF85-2451-4974-8AC9-371A45292448}"/>
    <hyperlink ref="I1758" r:id="rId3386" xr:uid="{F600603C-ED32-4B94-B38D-FDA74E327B06}"/>
    <hyperlink ref="J1758" r:id="rId3387" display="153" xr:uid="{DB4BD0D8-457B-47BB-9892-95D9CC45DDE5}"/>
    <hyperlink ref="K1758" r:id="rId3388" display="01/12/2002" xr:uid="{D98027CD-7FD8-467E-900B-78454C99E8EC}"/>
    <hyperlink ref="L1758" r:id="rId3389" xr:uid="{F6FC65EB-C7F4-4093-B622-D49972ED3215}"/>
    <hyperlink ref="I1760" r:id="rId3390" xr:uid="{144A833C-B0D2-4294-BA42-02065F5C0E2D}"/>
    <hyperlink ref="J1760" r:id="rId3391" display="351" xr:uid="{89DADE25-BA39-400F-A38E-FE6E7BC42EB4}"/>
    <hyperlink ref="K1760" r:id="rId3392" display="07/10/2002" xr:uid="{0666CCA3-775C-467F-914F-66E22F936C1C}"/>
    <hyperlink ref="I1762" r:id="rId3393" xr:uid="{6DB78319-43A7-4B32-9F98-63C77801370E}"/>
    <hyperlink ref="J1762" r:id="rId3394" display="1" xr:uid="{F7382AF2-6FA8-4AF5-B775-0F4DEFAE8A08}"/>
    <hyperlink ref="K1762" r:id="rId3395" display="28/09/2002" xr:uid="{25D5F1DF-D7F0-424D-8613-81451210E6F0}"/>
    <hyperlink ref="L1762" r:id="rId3396" xr:uid="{8AE7FA3D-7E1A-422A-B091-33B9F7FB3806}"/>
    <hyperlink ref="I1764" r:id="rId3397" xr:uid="{E2AA423E-1A30-48DA-80A0-D205B1792657}"/>
    <hyperlink ref="J1764" r:id="rId3398" display="5" xr:uid="{7B94E485-8398-4D06-8C7F-40084F0AF884}"/>
    <hyperlink ref="K1764" r:id="rId3399" display="01/07/2002" xr:uid="{CE96B71D-ECEA-4430-9300-367A50DE270E}"/>
    <hyperlink ref="L1764" r:id="rId3400" xr:uid="{DA1025C4-FA26-4BCF-9672-0E0AA5D9A07E}"/>
    <hyperlink ref="I1766" r:id="rId3401" xr:uid="{BBC619DD-AC6E-468E-9C41-9758E7DEB5DF}"/>
    <hyperlink ref="J1766" r:id="rId3402" display="3110" xr:uid="{671E7898-CC15-4CE3-81E7-67B94CC85535}"/>
    <hyperlink ref="K1766" r:id="rId3403" display="24/06/2002" xr:uid="{59400D63-B42C-41F9-BDDE-984D4281F16E}"/>
    <hyperlink ref="L1766" r:id="rId3404" xr:uid="{E8CEA865-0374-4B6D-946A-25326D0AB165}"/>
    <hyperlink ref="I1768" r:id="rId3405" xr:uid="{17AB4FD4-982A-479F-B4B9-63F220F9F04D}"/>
    <hyperlink ref="J1768" r:id="rId3406" display="143" xr:uid="{1453389C-E2E0-4A7C-B9CB-BB2202211994}"/>
    <hyperlink ref="K1768" r:id="rId3407" display="27/05/2002" xr:uid="{1E231599-3FEA-4645-8725-2282B11F0085}"/>
    <hyperlink ref="I1770" r:id="rId3408" xr:uid="{DA236FD8-41B1-4D49-AC75-CC2505181D2D}"/>
    <hyperlink ref="J1770" r:id="rId3409" display="1" xr:uid="{3AC5B76D-CCAD-44D4-84BD-AE320B13E1F4}"/>
    <hyperlink ref="K1770" r:id="rId3410" display="27/05/2002" xr:uid="{568D851D-477E-449E-9BE6-7C22CA3764E8}"/>
    <hyperlink ref="I1772" r:id="rId3411" xr:uid="{F28BC2C3-2769-4573-BA64-6B4A2A3D9E7D}"/>
    <hyperlink ref="J1772" r:id="rId3412" display="143" xr:uid="{43FD1501-D465-4DAB-8227-2EBC89B2EFA3}"/>
    <hyperlink ref="K1772" r:id="rId3413" display="04/02/2002" xr:uid="{ACE1DA1C-0BBB-4270-96D8-4212E0EE90E9}"/>
    <hyperlink ref="I1774" r:id="rId3414" xr:uid="{8BCC1D9D-1486-4D7D-97BF-81206C572791}"/>
    <hyperlink ref="J1774" r:id="rId3415" display="3" xr:uid="{B1746B77-F647-4C31-B245-9360D1DCE15F}"/>
    <hyperlink ref="K1774" r:id="rId3416" display="04/02/2002" xr:uid="{6E3BE469-D285-4011-B786-9596D9DBDBE6}"/>
    <hyperlink ref="L1774" r:id="rId3417" xr:uid="{04158629-6F23-431A-958E-0BE9FE9E9A86}"/>
    <hyperlink ref="I1776" r:id="rId3418" xr:uid="{0BB939EC-2C03-44FB-924E-A474C0210D59}"/>
    <hyperlink ref="J1776" r:id="rId3419" display="5" xr:uid="{5BF4B758-6D0B-4E0E-810D-D26A27FCA61E}"/>
    <hyperlink ref="K1776" r:id="rId3420" display="01/01/2002" xr:uid="{32B77DC2-0E8F-4051-8024-BE226BC01620}"/>
    <hyperlink ref="L1776" r:id="rId3421" xr:uid="{98B2064A-788A-4107-B110-E5B68A79D839}"/>
    <hyperlink ref="I1778" r:id="rId3422" xr:uid="{7EFB35DD-552F-49FB-A510-B0F5EFD0EBAB}"/>
    <hyperlink ref="J1778" r:id="rId3423" display="6" xr:uid="{DA19F493-86BE-410C-AB86-A7B3E6B1E6FA}"/>
    <hyperlink ref="K1778" r:id="rId3424" display="01/01/2002" xr:uid="{375F0F69-9755-4578-BD18-7DFB41844B32}"/>
    <hyperlink ref="L1778" r:id="rId3425" xr:uid="{5563D74F-B2BA-4781-9EEF-45395FE4366A}"/>
    <hyperlink ref="I1780" r:id="rId3426" xr:uid="{BA19504C-51A0-4DF2-A099-D0785BDB4C88}"/>
    <hyperlink ref="J1780" r:id="rId3427" display="2" xr:uid="{C95F9D69-9622-40BC-B41A-3B71ADAB1343}"/>
    <hyperlink ref="K1780" r:id="rId3428" display="01/01/2002" xr:uid="{4EB1BDD5-5B5F-4FD3-B810-FF26A1C04F7F}"/>
    <hyperlink ref="L1780" r:id="rId3429" xr:uid="{DC614C34-38C2-495D-A514-B7D53CDACF49}"/>
    <hyperlink ref="I1782" r:id="rId3430" xr:uid="{0C4E1E4E-8C20-4CDD-AE56-CE7EA104D63B}"/>
    <hyperlink ref="J1782" r:id="rId3431" display="12" xr:uid="{8DE88F65-38A4-4AAD-9665-5592001F2A89}"/>
    <hyperlink ref="K1782" r:id="rId3432" display="01/01/2002" xr:uid="{8427C76B-6982-4DE7-A43D-ED9BBB4ABCA5}"/>
    <hyperlink ref="L1782" r:id="rId3433" xr:uid="{9272C427-2B75-432F-95CD-41D9125620D0}"/>
    <hyperlink ref="I1784" r:id="rId3434" xr:uid="{CDF62443-0665-4EAE-BD2F-E95DE555168D}"/>
    <hyperlink ref="J1784" r:id="rId3435" display="58" xr:uid="{F06D2BF2-B5F8-4888-94F0-1E3C97A35A74}"/>
    <hyperlink ref="K1784" r:id="rId3436" display="01/12/2001" xr:uid="{2358C7A4-C665-48D0-AEDE-9B2D1AAD96BB}"/>
    <hyperlink ref="L1784" r:id="rId3437" xr:uid="{70553F89-9758-403F-BB8F-1E5B9125B38D}"/>
    <hyperlink ref="I1786" r:id="rId3438" xr:uid="{BD087ADA-A76C-4FAE-8771-C64C47952142}"/>
    <hyperlink ref="J1786" r:id="rId3439" display="353" xr:uid="{0BA5EDB7-56BB-4A4A-A5CC-634FB0C09A05}"/>
    <hyperlink ref="K1786" r:id="rId3440" display="01/10/2001" xr:uid="{E485FC0B-4F71-4D3F-B217-68C992342147}"/>
    <hyperlink ref="I1788" r:id="rId3441" xr:uid="{B6CE98C7-B249-4090-B80E-9C6DEBC6C1B1}"/>
    <hyperlink ref="J1788" r:id="rId3442" display="1" xr:uid="{2E4837B3-AB94-4F39-8E2B-BA4989E02637}"/>
    <hyperlink ref="K1788" r:id="rId3443" display="01/10/2001" xr:uid="{840C7C25-230F-4EBF-B058-991B8B51AE5A}"/>
    <hyperlink ref="I1790" r:id="rId3444" xr:uid="{F9557ADD-E4EA-4D4F-8D7F-92FD032B8679}"/>
    <hyperlink ref="J1790" r:id="rId3445" display="138" xr:uid="{52794DEC-C200-4CD0-B0AB-95952A7C631B}"/>
    <hyperlink ref="K1790" r:id="rId3446" display="08/08/2001" xr:uid="{03B3C1D0-E83D-4A9E-B7D3-80C64A5D246C}"/>
    <hyperlink ref="L1790" r:id="rId3447" xr:uid="{4B4F8D43-A574-4A44-A3C4-978257EDD95F}"/>
    <hyperlink ref="I1792" r:id="rId3448" xr:uid="{E55C61EE-2AF4-4CDF-8B55-456997705B5F}"/>
    <hyperlink ref="J1792" r:id="rId3449" display="10" xr:uid="{BB4582CF-7445-4357-A0FA-87D8ACDAECFB}"/>
    <hyperlink ref="K1792" r:id="rId3450" display="28/06/2001" xr:uid="{02844D57-3905-4ACE-91C7-14A6DCBDB21C}"/>
    <hyperlink ref="L1792" r:id="rId3451" xr:uid="{4BD52AAD-5D97-4116-A791-3C2ECCA95D56}"/>
    <hyperlink ref="I1794" r:id="rId3452" xr:uid="{FE46CBDA-B779-4DF2-B9D2-42A5FBD7A0E2}"/>
    <hyperlink ref="J1794" r:id="rId3453" display="143" xr:uid="{E9725CC0-7A36-454B-87C6-8D26E4794707}"/>
    <hyperlink ref="K1794" r:id="rId3454" display="04/06/2001" xr:uid="{D5D40CEF-069A-4AF6-9855-6DF92704F1D2}"/>
    <hyperlink ref="I1796" r:id="rId3455" xr:uid="{D209FC3A-3DCD-48C5-8B6D-6B71BE056326}"/>
    <hyperlink ref="J1796" r:id="rId3456" display="1" xr:uid="{BD18B749-5D19-474C-9D6F-E90D9117EA73}"/>
    <hyperlink ref="K1796" r:id="rId3457" display="04/06/2001" xr:uid="{1CA7F84A-5F65-454B-B9CB-CCA0EA20BA05}"/>
    <hyperlink ref="I1798" r:id="rId3458" xr:uid="{8145C6A1-576B-483D-8019-CB5FD38CF97E}"/>
    <hyperlink ref="J1798" r:id="rId3459" display="708" xr:uid="{5B61DA42-1A10-4E5D-AD1C-1A3BAA5E50AD}"/>
    <hyperlink ref="K1798" r:id="rId3460" display="11/04/2001" xr:uid="{830BE1B8-B3B9-47DF-80AB-84C62755FD5C}"/>
    <hyperlink ref="I1800" r:id="rId3461" xr:uid="{77D5EC89-BEC0-443C-B548-DF798BE13257}"/>
    <hyperlink ref="J1800" r:id="rId3462" display="146" xr:uid="{2DE61E55-70AF-4BD7-9D83-39A81B6BB120}"/>
    <hyperlink ref="K1800" r:id="rId3463" display="05/02/2001" xr:uid="{167B3E9C-F80F-4938-B760-CAFFC0D51A82}"/>
    <hyperlink ref="I1802" r:id="rId3464" xr:uid="{855C049E-FF77-4661-928F-99F270395D75}"/>
    <hyperlink ref="J1802" r:id="rId3465" display="1" xr:uid="{BC170B11-B103-42E6-BBB0-0E23DC80EB44}"/>
    <hyperlink ref="K1802" r:id="rId3466" display="05/02/2001" xr:uid="{3EDAE56A-FB31-4351-AB5C-578699CE20C0}"/>
    <hyperlink ref="I1804" r:id="rId3467" xr:uid="{D3DCDF01-58E3-4B60-BD4E-BAB5795FD9B3}"/>
    <hyperlink ref="J1804" r:id="rId3468" display="12" xr:uid="{817FDBB6-6072-4351-95FB-FA295A95E64B}"/>
    <hyperlink ref="K1804" r:id="rId3469" display="01/01/2001" xr:uid="{8204B2D2-BF59-4251-8BEF-7A21A29FDD49}"/>
    <hyperlink ref="L1804" r:id="rId3470" xr:uid="{F3619459-757A-456D-91FE-CE9735CAF6BB}"/>
    <hyperlink ref="I1806" r:id="rId3471" xr:uid="{5B9F5227-D5BE-465C-9453-FFE963D13F1E}"/>
    <hyperlink ref="J1806" r:id="rId3472" display="8" xr:uid="{F38FF696-A662-4FA6-9D73-D8783F27EFEB}"/>
    <hyperlink ref="K1806" r:id="rId3473" display="01/01/2001" xr:uid="{BC92836A-1B21-46F2-81A8-EE2DA23381F3}"/>
    <hyperlink ref="L1806" r:id="rId3474" xr:uid="{B59450F2-DE3A-4BB0-A9BE-0183CB8DE013}"/>
    <hyperlink ref="I1808" r:id="rId3475" xr:uid="{54FE8B47-FDCA-470F-B343-7E51BD6B64B9}"/>
    <hyperlink ref="J1808" r:id="rId3476" display="2" xr:uid="{EE805243-70E0-4482-BF9F-A38E5A492CBC}"/>
    <hyperlink ref="K1808" r:id="rId3477" display="01/01/2001" xr:uid="{AA89BC63-9290-4161-A1F3-A4F732D7B76A}"/>
    <hyperlink ref="L1808" r:id="rId3478" xr:uid="{6DA233D3-DF8E-4548-A600-D417F177FE14}"/>
    <hyperlink ref="I1810" r:id="rId3479" xr:uid="{9DE24736-3E0B-48C9-83D1-0C43D3064084}"/>
    <hyperlink ref="J1810" r:id="rId3480" display="7" xr:uid="{7AB476B4-BB07-4F2B-8185-142D664B9BFA}"/>
    <hyperlink ref="K1810" r:id="rId3481" display="01/01/2001" xr:uid="{7A08AC28-AFBA-4153-9B0C-06AE29B61113}"/>
    <hyperlink ref="L1810" r:id="rId3482" xr:uid="{58798405-3DC2-409A-95B8-102292285D6B}"/>
    <hyperlink ref="I1812" r:id="rId3483" xr:uid="{81BB0C54-4A19-4565-91F2-946EC3E4C8DE}"/>
    <hyperlink ref="J1812" r:id="rId3484" display="354" xr:uid="{BC559DA4-F37F-482D-B4C4-C0E2706EB8F8}"/>
    <hyperlink ref="K1812" r:id="rId3485" display="02/10/2000" xr:uid="{5D41D843-08BE-4EEA-9FE7-7D3291B88949}"/>
    <hyperlink ref="I1814" r:id="rId3486" xr:uid="{875004F4-CC75-4F90-9908-86BD23CFF1BA}"/>
    <hyperlink ref="J1814" r:id="rId3487" display="1" xr:uid="{CED7417E-70BE-4188-9618-43E5F3B521D8}"/>
    <hyperlink ref="K1814" r:id="rId3488" display="02/10/2000" xr:uid="{F10FA0F4-8FAD-4EA3-8816-B8FE01F07EDD}"/>
    <hyperlink ref="I1816" r:id="rId3489" xr:uid="{1C319DA0-6E88-4558-8F81-E231A52EB6E2}"/>
    <hyperlink ref="J1816" r:id="rId3490" display="90" xr:uid="{E063BA57-5F09-4C6B-AAA8-FA1E7C7B8E48}"/>
    <hyperlink ref="K1816" r:id="rId3491" display="01/10/2000" xr:uid="{D95F999D-2B57-4E6E-BED1-CBB55FFCEF98}"/>
    <hyperlink ref="L1816" r:id="rId3492" xr:uid="{1393AA09-4E6A-41CF-9530-E310BA4A6CBC}"/>
    <hyperlink ref="I1818" r:id="rId3493" xr:uid="{C28249B1-5DC4-41C4-8C36-47AD5852FAD5}"/>
    <hyperlink ref="J1818" r:id="rId3494" display="117" xr:uid="{82204941-B588-4F44-B241-2788070D5074}"/>
    <hyperlink ref="K1818" r:id="rId3495" display="02/08/2000" xr:uid="{270C15A7-5EBA-4D3F-BCDD-E6BD7B790AFA}"/>
    <hyperlink ref="L1818" r:id="rId3496" xr:uid="{A15B8016-12AA-4687-B3A2-28A68C2FB634}"/>
    <hyperlink ref="I1820" r:id="rId3497" xr:uid="{C3967C12-3538-461F-BE45-07FB07952AEF}"/>
    <hyperlink ref="J1820" r:id="rId3498" display="144" xr:uid="{4284DB12-ACF2-41AE-9836-0A1A2568741A}"/>
    <hyperlink ref="K1820" r:id="rId3499" display="05/06/2000" xr:uid="{62E03E7C-8016-4215-A0A5-A3E082F1DC2A}"/>
    <hyperlink ref="I1822" r:id="rId3500" xr:uid="{B2B48DB0-38BB-45A4-BA6B-7A128D2D184F}"/>
    <hyperlink ref="J1822" r:id="rId3501" display="1" xr:uid="{3EF9FDE1-6CA0-4E30-BC1A-A70EB42FE4BC}"/>
    <hyperlink ref="K1822" r:id="rId3502" display="05/06/2000" xr:uid="{1CB3B621-1B15-4562-977E-2A1757706D7D}"/>
    <hyperlink ref="L1822" r:id="rId3503" xr:uid="{D5F08EA0-DF17-41C7-9845-6D2FCC1606F0}"/>
    <hyperlink ref="I1824" r:id="rId3504" xr:uid="{902AB09D-E76F-449C-993A-07D39FF153D0}"/>
    <hyperlink ref="J1824" r:id="rId3505" display="20" xr:uid="{A826E2FA-9A80-4F3E-B422-EC27FE65639B}"/>
    <hyperlink ref="K1824" r:id="rId3506" display="01/04/2000" xr:uid="{6B655F2F-228C-4B1E-BF4B-83770541DC5F}"/>
    <hyperlink ref="I1826" r:id="rId3507" xr:uid="{908F4C99-76C5-4284-AEF2-F6256B65E151}"/>
    <hyperlink ref="J1826" r:id="rId3508" display="143" xr:uid="{4B3D7C45-6A1F-4588-AF9E-84A06152F1D2}"/>
    <hyperlink ref="K1826" r:id="rId3509" display="14/02/2000" xr:uid="{D979D744-6AE6-44B1-BEEA-289F6C6FA707}"/>
    <hyperlink ref="I1828" r:id="rId3510" xr:uid="{014FCD9D-5729-4340-8013-F3FDE4BCE81F}"/>
    <hyperlink ref="J1828" r:id="rId3511" display="1" xr:uid="{3CBBF309-ED5B-492E-AE1A-04694CAAEA33}"/>
    <hyperlink ref="K1828" r:id="rId3512" display="14/02/2000" xr:uid="{573F9DAF-1413-44DE-8959-BB0784EBDE3F}"/>
    <hyperlink ref="L1828" r:id="rId3513" xr:uid="{E66E74C8-7A36-46F5-A116-CED241FA1FD8}"/>
    <hyperlink ref="I1830" r:id="rId3514" xr:uid="{C434282D-B31F-4909-965D-4F9B713E8C56}"/>
    <hyperlink ref="J1830" r:id="rId3515" display="15" xr:uid="{A127560F-7487-4461-ABD3-88471DE403D8}"/>
    <hyperlink ref="K1830" r:id="rId3516" display="05/02/2000" xr:uid="{D7E6D6A8-8E41-4452-BF82-A4EA3829377D}"/>
    <hyperlink ref="L1830" r:id="rId3517" xr:uid="{DB20B37C-6E9F-4A0B-89C3-E4DD3916AA94}"/>
    <hyperlink ref="I1832" r:id="rId3518" xr:uid="{07C09C4B-D88A-4E93-8462-6E598F89AA96}"/>
    <hyperlink ref="J1832" r:id="rId3519" display="11" xr:uid="{FEB1043E-D332-4C18-8FE8-699E39630090}"/>
    <hyperlink ref="K1832" r:id="rId3520" display="01/01/2000" xr:uid="{B720CE28-6A72-442F-A2DF-D2296B663488}"/>
    <hyperlink ref="L1832" r:id="rId3521" xr:uid="{056323B5-AB74-4ADB-82E9-292441197630}"/>
    <hyperlink ref="I1834" r:id="rId3522" xr:uid="{13C7B8C0-3C62-477F-89BB-DC9A704329A0}"/>
    <hyperlink ref="J1834" r:id="rId3523" display="2" xr:uid="{4C507B4C-CE1E-494A-A850-2B0087F3E224}"/>
    <hyperlink ref="K1834" r:id="rId3524" display="01/01/2000" xr:uid="{DDB2CB69-4F42-427D-B4DE-BB4CAD2A7B90}"/>
    <hyperlink ref="L1834" r:id="rId3525" xr:uid="{EB2D3307-4647-4D66-8916-BD0FB7715A33}"/>
    <hyperlink ref="I1836" r:id="rId3526" xr:uid="{62ADA4AC-3301-4774-B33D-9547C549E871}"/>
    <hyperlink ref="J1836" r:id="rId3527" display="11" xr:uid="{AA75F036-BA4B-428C-A56A-B75BAE396DEE}"/>
    <hyperlink ref="K1836" r:id="rId3528" display="01/01/2000" xr:uid="{DECA75E1-A3CD-4C9E-A71B-6D2DF2259B04}"/>
    <hyperlink ref="L1836" r:id="rId3529" xr:uid="{E7B2AFE4-BB67-42C7-BBE0-399B9543E6EA}"/>
    <hyperlink ref="I1838" r:id="rId3530" xr:uid="{4B7C1721-D287-44F7-8748-AC77AE127174}"/>
    <hyperlink ref="J1838" r:id="rId3531" display="18" xr:uid="{B99836FB-BE63-490F-8055-7BD457C5B1EA}"/>
    <hyperlink ref="K1838" r:id="rId3532" display="01/12/1999" xr:uid="{61C271DC-81C2-476F-A35E-72CDF3F8761C}"/>
    <hyperlink ref="L1838" r:id="rId3533" xr:uid="{A717FFD0-485E-4C52-B92B-57A6F762689A}"/>
    <hyperlink ref="I1840" r:id="rId3534" xr:uid="{2BA69E0A-CCEF-4CE2-A6B9-0D3B918CBE55}"/>
    <hyperlink ref="J1840" r:id="rId3535" display="136" xr:uid="{6EAD4656-7CF4-444F-8ECC-CE837A2A7D47}"/>
    <hyperlink ref="K1840" r:id="rId3536" display="12/11/1999" xr:uid="{E1D15A65-C197-48E8-8CF7-B05689640B34}"/>
    <hyperlink ref="L1840" r:id="rId3537" xr:uid="{8A782B37-9086-4B2B-AAA2-0F02F6829444}"/>
    <hyperlink ref="I1842" r:id="rId3538" xr:uid="{1728D3BB-5AE3-4C72-AB5C-445EBF2F1052}"/>
    <hyperlink ref="J1842" r:id="rId3539" display="350" xr:uid="{894DCFF4-C54F-40FD-84C6-FA86A4AA7285}"/>
    <hyperlink ref="K1842" r:id="rId3540" display="04/10/1999" xr:uid="{538FDF2D-C95B-42E3-90DD-C6B0D6737B65}"/>
    <hyperlink ref="I1844" r:id="rId3541" xr:uid="{69D2AE01-750F-48CC-A4FA-752586C84164}"/>
    <hyperlink ref="J1844" r:id="rId3542" display="1" xr:uid="{9E19A7CA-10AB-49F8-84DC-FE1DEFFA72B6}"/>
    <hyperlink ref="K1844" r:id="rId3543" display="04/10/1999" xr:uid="{7F63208D-4278-4C40-835D-074828446937}"/>
    <hyperlink ref="L1844" r:id="rId3544" xr:uid="{9503485B-0EA7-48A7-B358-BA8CDA6CA861}"/>
    <hyperlink ref="I1846" r:id="rId3545" xr:uid="{2511AB84-D97B-43BA-82B2-53F2256BE38D}"/>
    <hyperlink ref="J1846" r:id="rId3546" display="1" xr:uid="{8AF1D790-5E33-42D9-A58E-6C9EF137B181}"/>
    <hyperlink ref="K1846" r:id="rId3547" display="04/09/1999" xr:uid="{DE2A5A8B-AD23-4468-8667-4490982A2660}"/>
    <hyperlink ref="L1846" r:id="rId3548" xr:uid="{E74BCEA9-46CF-4483-BF9F-444FB6D01F76}"/>
    <hyperlink ref="I1848" r:id="rId3549" xr:uid="{F38A02CE-37ED-4661-AA22-F298E2D1DFBC}"/>
    <hyperlink ref="J1848" r:id="rId3550" display="111" xr:uid="{AA4EF896-87E5-48AE-803B-C385667880A5}"/>
    <hyperlink ref="K1848" r:id="rId3551" display="04/08/1999" xr:uid="{8ACE2F44-9352-4C25-9E79-95D89D1A8707}"/>
    <hyperlink ref="L1848" r:id="rId3552" xr:uid="{DCED9CEC-5A17-404E-8942-DA9F70A46A19}"/>
    <hyperlink ref="I1850" r:id="rId3553" xr:uid="{EC47654F-B282-48AC-A926-80CFE565CBE0}"/>
    <hyperlink ref="J1850" r:id="rId3554" display="2" xr:uid="{F2944E6A-135C-45F7-8006-25DABFDAC041}"/>
    <hyperlink ref="K1850" r:id="rId3555" display="04/08/1999" xr:uid="{90273350-D125-45B3-9D70-3F9E580CEDE4}"/>
    <hyperlink ref="L1850" r:id="rId3556" xr:uid="{073620FC-0A9F-4CB6-B0C8-C2E64A729DA9}"/>
    <hyperlink ref="I1852" r:id="rId3557" xr:uid="{139B4EA2-DBC6-43B1-B8FF-3BD662463CAC}"/>
    <hyperlink ref="J1852" r:id="rId3558" display="5" xr:uid="{70049058-76C6-49FB-B1B6-8F3E1D795139}"/>
    <hyperlink ref="K1852" r:id="rId3559" display="12/07/1999" xr:uid="{8A67DC39-A5F6-4729-9A95-95219A309C0E}"/>
    <hyperlink ref="L1852" r:id="rId3560" xr:uid="{465DD193-2C1B-4610-B56A-DFE0A475A3FE}"/>
    <hyperlink ref="I1854" r:id="rId3561" xr:uid="{AC9AF5DD-9690-406A-A16B-9F2B95EB04B9}"/>
    <hyperlink ref="J1854" r:id="rId3562" display="173" xr:uid="{713895E6-D073-423E-8181-CE5197A252B0}"/>
    <hyperlink ref="K1854" r:id="rId3563" display="01/07/1999" xr:uid="{036AA4A7-F918-4285-BDE9-A91973777123}"/>
    <hyperlink ref="L1854" r:id="rId3564" xr:uid="{14E1209F-207E-493E-AEFC-6D9B3EB70A95}"/>
    <hyperlink ref="I1856" r:id="rId3565" xr:uid="{6E9C5FE9-2CC9-46E3-A24D-1594BC484F15}"/>
    <hyperlink ref="J1856" r:id="rId3566" display="143" xr:uid="{72B7454B-2AB3-424B-A0E4-3FD70B819B7F}"/>
    <hyperlink ref="K1856" r:id="rId3567" display="07/06/1999" xr:uid="{FF593290-C356-4FBB-B7D7-7B04242C77DF}"/>
    <hyperlink ref="I1858" r:id="rId3568" xr:uid="{85D7E74E-41FE-440A-AFCA-B6A8E57BD901}"/>
    <hyperlink ref="J1858" r:id="rId3569" display="1" xr:uid="{E5730983-6EC2-4663-8BB6-8640882DCEDF}"/>
    <hyperlink ref="K1858" r:id="rId3570" display="07/06/1999" xr:uid="{3FD607E1-DAB3-4A50-9971-5C1AE03248FA}"/>
    <hyperlink ref="L1858" r:id="rId3571" xr:uid="{A60597CA-3346-4642-BD9A-A78F6F0EAE81}"/>
    <hyperlink ref="I1860" r:id="rId3572" xr:uid="{C5922725-1AAE-414C-9147-79D6F3D7F60B}"/>
    <hyperlink ref="J1860" r:id="rId3573" display="180" xr:uid="{43422B42-75CF-432C-A745-1948132FE90B}"/>
    <hyperlink ref="K1860" r:id="rId3574" display="01/05/1999" xr:uid="{EDEEB9ED-0040-47CA-ADCF-3C53F5B79A50}"/>
    <hyperlink ref="I1862" r:id="rId3575" xr:uid="{372AEC0E-4C36-4AF8-AD79-EF942AC3673B}"/>
    <hyperlink ref="J1862" r:id="rId3576" display="2" xr:uid="{1F96EC1C-D6C5-4651-B18E-BE3E93742203}"/>
    <hyperlink ref="K1862" r:id="rId3577" display="01/05/1999" xr:uid="{32A513A1-5B31-4060-9D7A-EBBE6ADC0851}"/>
    <hyperlink ref="L1862" r:id="rId3578" xr:uid="{A095B303-976E-4084-A210-8505B7F928FE}"/>
    <hyperlink ref="I1864" r:id="rId3579" xr:uid="{DACAAB6E-46F0-4269-8988-9766A8198C87}"/>
    <hyperlink ref="J1864" r:id="rId3580" display="351" xr:uid="{ED086238-AA85-416A-A42C-6CB008A68B67}"/>
    <hyperlink ref="K1864" r:id="rId3581" display="21/04/1999" xr:uid="{CAE74A2D-AEEF-4F5F-A426-D3618F211D51}"/>
    <hyperlink ref="I1866" r:id="rId3582" xr:uid="{C6D09078-567A-475A-8944-1D749F44CAAE}"/>
    <hyperlink ref="J1866" r:id="rId3583" display="143" xr:uid="{DB1D4292-237C-401E-B379-4729DE299C19}"/>
    <hyperlink ref="K1866" r:id="rId3584" display="15/02/1999" xr:uid="{3C7F6FF7-5162-4F65-89A4-A3F46516B373}"/>
    <hyperlink ref="I1868" r:id="rId3585" xr:uid="{2949ED70-9973-4110-9FD9-D6498480791F}"/>
    <hyperlink ref="J1868" r:id="rId3586" display="2" xr:uid="{74BC32ED-7DCA-4683-ADDA-D0D7178D7307}"/>
    <hyperlink ref="K1868" r:id="rId3587" display="15/02/1999" xr:uid="{DE40CBAB-A310-4370-BB5D-AFE28DB48A16}"/>
    <hyperlink ref="L1868" r:id="rId3588" xr:uid="{39647078-344D-4E0B-8C70-9F59CEAFAABF}"/>
    <hyperlink ref="I1870" r:id="rId3589" xr:uid="{9CF5B48F-D3FD-4D99-9616-CCF68DF6FAA0}"/>
    <hyperlink ref="J1870" r:id="rId3590" display="10" xr:uid="{0B84C412-60DB-429E-BF78-1400DC83D961}"/>
    <hyperlink ref="K1870" r:id="rId3591" display="01/01/1999" xr:uid="{5C6447D8-9E60-48B9-BE9F-F089832BEBC4}"/>
    <hyperlink ref="L1870" r:id="rId3592" xr:uid="{239F3E25-E813-4839-BD8E-002A55B88110}"/>
    <hyperlink ref="I1872" r:id="rId3593" xr:uid="{05E7259D-2846-4485-BE4A-12A42D7D40D1}"/>
    <hyperlink ref="J1872" r:id="rId3594" display="1" xr:uid="{DFFD61D7-218D-40CB-A943-384A6B5ADB23}"/>
    <hyperlink ref="K1872" r:id="rId3595" display="01/01/1999" xr:uid="{6C5F092F-8C56-4890-B01D-C60846D1ADC4}"/>
    <hyperlink ref="L1872" r:id="rId3596" xr:uid="{83ABAE77-DEA1-41FE-A4A5-0E6A5062A508}"/>
    <hyperlink ref="I1874" r:id="rId3597" xr:uid="{A3055586-CF06-497F-8A8F-DE350D55354B}"/>
    <hyperlink ref="J1874" r:id="rId3598" display="85" xr:uid="{7AFE3EFD-C9F7-44C9-B8D9-80317123F647}"/>
    <hyperlink ref="K1874" r:id="rId3599" display="01/11/1998" xr:uid="{22C5548A-C471-4BB0-AB0C-BF4D017E6108}"/>
    <hyperlink ref="L1874" r:id="rId3600" xr:uid="{8E40CD7D-FC0B-4007-BD68-21F8DAC4C63F}"/>
    <hyperlink ref="I1876" r:id="rId3601" xr:uid="{E95EC676-C104-46C7-AB9E-8CB41E6EEEB9}"/>
    <hyperlink ref="J1876" r:id="rId3602" display="357" xr:uid="{08EBFF77-CC1E-43F7-8260-BE0BBFE1C858}"/>
    <hyperlink ref="K1876" r:id="rId3603" display="12/10/1998" xr:uid="{8C51A040-154A-4C02-9EF3-EF0AD60DE52B}"/>
    <hyperlink ref="I1878" r:id="rId3604" xr:uid="{B1CA2089-F1DC-45AD-9D69-7EC401AB21E8}"/>
    <hyperlink ref="J1878" r:id="rId3605" display="1" xr:uid="{345410AB-20DC-4A3D-9EF2-4FBEC5428F0C}"/>
    <hyperlink ref="K1878" r:id="rId3606" display="12/10/1998" xr:uid="{6141D183-FAF8-46D1-94DC-671E19A054F5}"/>
    <hyperlink ref="L1878" r:id="rId3607" xr:uid="{050B51A7-0C0F-46CC-B4A5-B28F1DA032E4}"/>
    <hyperlink ref="I1880" r:id="rId3608" xr:uid="{51AEC261-1974-4EBB-B00C-0F5660BA0CE2}"/>
    <hyperlink ref="J1880" r:id="rId3609" display="15" xr:uid="{22BF5818-02C3-4C72-8547-DEA953E0433F}"/>
    <hyperlink ref="K1880" r:id="rId3610" display="01/09/1998" xr:uid="{EFC3A85F-EABB-48A1-9E63-B68D7064F780}"/>
    <hyperlink ref="L1880" r:id="rId3611" xr:uid="{85EE3254-D957-4D04-86B8-980618C42121}"/>
    <hyperlink ref="I1882" r:id="rId3612" xr:uid="{05462D54-8776-4761-B71E-01797BFDFC7F}"/>
    <hyperlink ref="J1882" r:id="rId3613" display="117" xr:uid="{34C2C6F5-16BE-41F6-95A6-8EA990C06E71}"/>
    <hyperlink ref="K1882" r:id="rId3614" display="12/08/1998" xr:uid="{6A57EE68-C602-4D77-B0E1-9C392DDF2CBA}"/>
    <hyperlink ref="L1882" r:id="rId3615" xr:uid="{1B5F524E-817C-4733-8520-D328A7F9AEF1}"/>
    <hyperlink ref="I1884" r:id="rId3616" xr:uid="{F714BFD6-F5C6-42BB-B1F7-5E41DD8F644D}"/>
    <hyperlink ref="J1884" r:id="rId3617" display="88" xr:uid="{54587344-AC0C-4433-AA8A-19963C4C3F6B}"/>
    <hyperlink ref="K1884" r:id="rId3618" display="11/08/1998" xr:uid="{2DC7B1B0-4B76-4C2E-B5F3-57C091CB5220}"/>
    <hyperlink ref="L1884" r:id="rId3619" xr:uid="{6C1F060C-4816-475A-BC1B-7653AF0ADC3D}"/>
    <hyperlink ref="I1886" r:id="rId3620" xr:uid="{DAF6F1F5-1EA8-49DE-B55A-AB836759C50E}"/>
    <hyperlink ref="J1886" r:id="rId3621" display="6" xr:uid="{09119E80-4F34-4765-9A15-6CE5FB80A33A}"/>
    <hyperlink ref="K1886" r:id="rId3622" display="11/08/1998" xr:uid="{29E032B6-36B5-4959-B70F-DD0F481F3DBF}"/>
    <hyperlink ref="L1886" r:id="rId3623" xr:uid="{DC99726A-ADFE-4C46-88F4-FB83EE5ED980}"/>
    <hyperlink ref="I1888" r:id="rId3624" xr:uid="{109037B4-9104-4C1F-A807-DF1941D7CFE9}"/>
    <hyperlink ref="J1888" r:id="rId3625" display="165" xr:uid="{79951EF7-AD60-4663-BEB6-BB6DE9FB085D}"/>
    <hyperlink ref="K1888" r:id="rId3626" display="24/06/1998" xr:uid="{279C5928-E9EA-43E2-A110-664413609843}"/>
    <hyperlink ref="I1890" r:id="rId3627" xr:uid="{15864C42-4C88-4EF2-B5D6-8D39C533C4E7}"/>
    <hyperlink ref="J1890" r:id="rId3628" display="143" xr:uid="{873761F9-B9D1-4113-9EF2-6BE6DCD4A953}"/>
    <hyperlink ref="K1890" r:id="rId3629" display="15/06/1998" xr:uid="{7B2B485F-286E-48AA-AA7C-52AB39D87F57}"/>
    <hyperlink ref="I1892" r:id="rId3630" xr:uid="{F4A783B7-DA2A-424C-9846-7FA235DD61D9}"/>
    <hyperlink ref="J1892" r:id="rId3631" display="1" xr:uid="{7A9E19EA-5E4E-486D-82A6-F8BCB6445071}"/>
    <hyperlink ref="K1892" r:id="rId3632" display="15/06/1998" xr:uid="{CFA71DE7-54B7-4DFF-8299-08FE988C2EE4}"/>
    <hyperlink ref="L1892" r:id="rId3633" xr:uid="{C5A8C907-E7D5-4DB2-92F8-FAFE875C96B3}"/>
    <hyperlink ref="I1894" r:id="rId3634" xr:uid="{12D700C7-3B37-432D-A733-9B48F2B5D533}"/>
    <hyperlink ref="J1894" r:id="rId3635" display="143" xr:uid="{EF744D9C-6BBB-4F0D-B9D1-2B8A1F9017F7}"/>
    <hyperlink ref="K1894" r:id="rId3636" display="02/03/1998" xr:uid="{B5C521A1-D8B6-48DA-B2EC-B393D45716D7}"/>
    <hyperlink ref="I1896" r:id="rId3637" xr:uid="{956C44A8-EF67-49B0-9440-515532287A26}"/>
    <hyperlink ref="J1896" r:id="rId3638" display="1" xr:uid="{7F15D3E6-B9B4-47DF-827B-F98CF9C8C168}"/>
    <hyperlink ref="K1896" r:id="rId3639" display="02/03/1998" xr:uid="{B38B4AD1-DE4F-4933-ADF2-133E4FC6FC7B}"/>
    <hyperlink ref="L1896" r:id="rId3640" xr:uid="{D0633436-920E-4C57-A4C8-2FF728061FFB}"/>
    <hyperlink ref="I1898" r:id="rId3641" xr:uid="{1AEDC19E-943B-4F9D-9B98-CE3389353A72}"/>
    <hyperlink ref="J1898" r:id="rId3642" display="3" xr:uid="{562DCFC0-1F91-4C90-96BF-796DAAA640D9}"/>
    <hyperlink ref="K1898" r:id="rId3643" display="01/01/1998" xr:uid="{28025F77-84E6-49F6-9C2B-FEBC730A7170}"/>
    <hyperlink ref="L1898" r:id="rId3644" xr:uid="{3D511461-874F-4FDD-9A7A-B3526D51CECA}"/>
    <hyperlink ref="I1900" r:id="rId3645" xr:uid="{4D07EA23-BEEB-4233-91A6-0918EF040B16}"/>
    <hyperlink ref="J1900" r:id="rId3646" display="350" xr:uid="{DEE79D0A-495D-4080-8BD8-C947160D198D}"/>
    <hyperlink ref="K1900" r:id="rId3647" display="14/10/1997" xr:uid="{92E38D7D-431D-4510-AA1E-E3176F55EC72}"/>
    <hyperlink ref="I1902" r:id="rId3648" xr:uid="{D185FAF2-E12D-47DE-BB2E-B6B83AE68B31}"/>
    <hyperlink ref="J1902" r:id="rId3649" display="1" xr:uid="{257DA2F3-AD20-45D8-82A3-D21A5B28E130}"/>
    <hyperlink ref="K1902" r:id="rId3650" display="14/10/1997" xr:uid="{2C9CDAC9-819B-41E3-BA46-F6A370291D0D}"/>
    <hyperlink ref="L1902" r:id="rId3651" xr:uid="{132E6ABB-12E0-406F-9663-FA7DA717ABB7}"/>
    <hyperlink ref="I1904" r:id="rId3652" xr:uid="{7C63C6FC-2A78-4EF0-8CCF-6573E9C71ABD}"/>
    <hyperlink ref="J1904" r:id="rId3653" display="131" xr:uid="{84BFF7E0-B5F9-4120-8088-C2310B59CC5F}"/>
    <hyperlink ref="K1904" r:id="rId3654" display="13/08/1997" xr:uid="{E9F49521-543F-4ABF-8352-70055AE36FFF}"/>
    <hyperlink ref="L1904" r:id="rId3655" xr:uid="{F6E4EAB9-45A9-4E8C-9474-1269591DE3AA}"/>
    <hyperlink ref="I1906" r:id="rId3656" xr:uid="{794D5CEC-71BA-4E9D-930B-F08D0A938FF4}"/>
    <hyperlink ref="J1906" r:id="rId3657" display="167" xr:uid="{73858649-C0FB-4A08-A9F0-470137B31124}"/>
    <hyperlink ref="K1906" r:id="rId3658" display="09/06/1997" xr:uid="{05A5B64E-0DDD-414D-A9EB-31B9A7E6B984}"/>
    <hyperlink ref="I1908" r:id="rId3659" xr:uid="{A9AA7347-6D17-4526-A2F9-DFC542DF6D34}"/>
    <hyperlink ref="J1908" r:id="rId3660" display="83" xr:uid="{F3D8C021-837A-4BAD-B865-6DC7D501E47F}"/>
    <hyperlink ref="K1908" r:id="rId3661" display="30/05/1997" xr:uid="{186C6E49-4A50-4D95-9A5D-829341639618}"/>
    <hyperlink ref="L1908" r:id="rId3662" xr:uid="{93EC5DA8-4BB1-487A-AD59-6377BE881509}"/>
    <hyperlink ref="I1910" r:id="rId3663" xr:uid="{36D45134-3176-4B24-9ADF-3EAC47699996}"/>
    <hyperlink ref="J1910" r:id="rId3664" display="32" xr:uid="{0F33159D-6CAD-404A-9B9B-546949B20433}"/>
    <hyperlink ref="K1910" r:id="rId3665" display="01/05/1997" xr:uid="{4111DB2F-3066-4E33-8085-78D4AAD86466}"/>
    <hyperlink ref="L1910" r:id="rId3666" xr:uid="{810DFC24-5CE9-408E-B0AB-2EE176595518}"/>
    <hyperlink ref="I1912" r:id="rId3667" xr:uid="{7B415F25-1EDA-4A2C-B18D-3CA1246AAB42}"/>
    <hyperlink ref="J1912" r:id="rId3668" display="257" xr:uid="{D22E3E31-C92A-44F0-994D-6CE9029E74D5}"/>
    <hyperlink ref="K1912" r:id="rId3669" display="01/05/1997" xr:uid="{4B9C5316-1CCD-469C-A23A-C4C68EBD0D82}"/>
    <hyperlink ref="I1914" r:id="rId3670" xr:uid="{8BDB50F4-85E7-4AA2-B14A-E771F4219235}"/>
    <hyperlink ref="J1914" r:id="rId3671" display="12" xr:uid="{58476029-DEE0-4925-86B4-89929096BCC5}"/>
    <hyperlink ref="K1914" r:id="rId3672" display="01/04/1997" xr:uid="{39191E29-FC68-41CA-948D-C8E722A5C836}"/>
    <hyperlink ref="L1914" r:id="rId3673" xr:uid="{9C87D799-30ED-4799-95A0-30EAC7829CFA}"/>
    <hyperlink ref="I1916" r:id="rId3674" xr:uid="{DC17C5E8-20AD-4A15-98E3-5A9D44CE4007}"/>
    <hyperlink ref="J1916" r:id="rId3675" display="1" xr:uid="{FF3920A5-1102-4149-BB7B-59CE84D79205}"/>
    <hyperlink ref="K1916" r:id="rId3676" display="01/04/1997" xr:uid="{8434920D-44B4-4D29-B12C-338FA3B0DD53}"/>
    <hyperlink ref="L1916" r:id="rId3677" xr:uid="{2A103B6B-A16A-4A0B-9118-7141FEB8149C}"/>
    <hyperlink ref="I1918" r:id="rId3678" xr:uid="{AE8B5A4A-D41E-472C-B4A3-39B5D9136F83}"/>
    <hyperlink ref="J1918" r:id="rId3679" display="460" xr:uid="{BA795210-56D3-4C41-BF56-1E797BC8D5BC}"/>
    <hyperlink ref="K1918" r:id="rId3680" display="24/03/1997" xr:uid="{01E12ED3-3E39-4C0B-B451-190E0DAB9C31}"/>
    <hyperlink ref="I1920" r:id="rId3681" xr:uid="{905CE25E-09A8-43C4-9BD3-3FF5AA37CD9A}"/>
    <hyperlink ref="J1920" r:id="rId3682" display="167" xr:uid="{18A90575-9CE1-4211-8AC5-D6489B1D9CB3}"/>
    <hyperlink ref="K1920" r:id="rId3683" display="03/02/1997" xr:uid="{52AC8D5F-E4EE-4061-BAB5-B2568C5DCBA9}"/>
    <hyperlink ref="I1922" r:id="rId3684" xr:uid="{D18A51DB-3C18-4C67-A45A-AA67CBC5CDAC}"/>
    <hyperlink ref="J1922" r:id="rId3685" display="10" xr:uid="{2C87032B-50C1-4087-8D1D-ABCBCB25FE3D}"/>
    <hyperlink ref="K1922" r:id="rId3686" display="01/11/1996" xr:uid="{ECECB691-9D5F-4120-9560-0626FCD27A4F}"/>
    <hyperlink ref="L1922" r:id="rId3687" xr:uid="{F9AE1E93-EAA4-4D18-AF06-93C82C30D0C0}"/>
    <hyperlink ref="I1924" r:id="rId3688" xr:uid="{089CF0A7-A359-4C46-9A53-E5923105C4B6}"/>
    <hyperlink ref="J1924" r:id="rId3689" display="67" xr:uid="{5C196B45-3D1D-47B2-A3E4-06E0F1F2888E}"/>
    <hyperlink ref="K1924" r:id="rId3690" display="31/12/1996" xr:uid="{19892852-A95C-4717-B537-CDBC5BD74ABD}"/>
    <hyperlink ref="I1926" r:id="rId3691" xr:uid="{AFBBAF2A-35C5-405A-B87D-1C99A11986A5}"/>
    <hyperlink ref="J1926" r:id="rId3692" display="353" xr:uid="{7568525F-7AF3-420A-A1FB-D858F102AC17}"/>
    <hyperlink ref="K1926" r:id="rId3693" display="08/10/1996" xr:uid="{5B01B9A2-1EED-44ED-AFE1-8B2B03394540}"/>
    <hyperlink ref="I1928" r:id="rId3694" xr:uid="{5D41B4DC-E484-4A05-A3A8-DAAD7DB0C78B}"/>
    <hyperlink ref="J1928" r:id="rId3695" display="1" xr:uid="{7755BE1F-85B1-4963-A1DD-FC625E116A0C}"/>
    <hyperlink ref="K1928" r:id="rId3696" display="01/10/1996" xr:uid="{EF5DC2B3-AD17-4816-B801-5CD77C0E4CCD}"/>
    <hyperlink ref="L1928" r:id="rId3697" xr:uid="{BC74785D-DC72-402F-9D93-5C88C2C0CC7F}"/>
    <hyperlink ref="I1930" r:id="rId3698" xr:uid="{C4BA69EE-57B9-45D6-B765-0806CC766BF0}"/>
    <hyperlink ref="J1930" r:id="rId3699" display="9" xr:uid="{B424F64F-48FB-4F8C-A41D-12A47412475B}"/>
    <hyperlink ref="K1930" r:id="rId3700" display="14/08/1996" xr:uid="{103F19AE-FD83-4D24-A24A-CD2FB9187A62}"/>
    <hyperlink ref="L1930" r:id="rId3701" xr:uid="{7392F9A4-5DF8-4572-B115-432D942B65B2}"/>
    <hyperlink ref="I1932" r:id="rId3702" xr:uid="{C700EC95-590C-4CC6-B4DC-BEA4456787BB}"/>
    <hyperlink ref="J1932" r:id="rId3703" display="7" xr:uid="{D6E705BC-DF29-4F39-B361-D59A82184DB6}"/>
    <hyperlink ref="K1932" r:id="rId3704" display="02/08/1996" xr:uid="{557ADD5F-8CE5-40F6-821B-185B8B8CD327}"/>
    <hyperlink ref="L1932" r:id="rId3705" xr:uid="{F9CE366C-F2C1-4CDE-8151-552B945B4294}"/>
    <hyperlink ref="I1934" r:id="rId3706" xr:uid="{7F1F14C1-6887-465B-8A2A-90FFBEF698BB}"/>
    <hyperlink ref="J1934" r:id="rId3707" display="2" xr:uid="{8B66430F-F47F-41D8-9F86-289AF06D25FD}"/>
    <hyperlink ref="K1934" r:id="rId3708" display="01/07/1996" xr:uid="{12BC78EA-3468-47BD-AC9B-194BDCDC3A38}"/>
    <hyperlink ref="L1934" r:id="rId3709" xr:uid="{8ACF9EB7-C0AC-4D5B-BADF-6C0ED4E21914}"/>
    <hyperlink ref="I1936" r:id="rId3710" xr:uid="{7947E044-E776-45DC-9479-39D5580649EE}"/>
    <hyperlink ref="J1936" r:id="rId3711" display="65" xr:uid="{020532E6-D579-4FEE-84C0-EC99F3958900}"/>
    <hyperlink ref="K1936" r:id="rId3712" display="01/07/1996" xr:uid="{567519F3-837A-4A5E-AB03-F56333F91F08}"/>
    <hyperlink ref="L1936" r:id="rId3713" xr:uid="{EC262909-A868-48F8-91F2-2356B667EC70}"/>
    <hyperlink ref="I1938" r:id="rId3714" xr:uid="{3FCF116A-B1DF-4681-B318-E753D163B450}"/>
    <hyperlink ref="J1938" r:id="rId3715" display="199" xr:uid="{25160CD1-614D-40CE-A0D0-BAE473854418}"/>
    <hyperlink ref="K1938" r:id="rId3716" display="10/06/1996" xr:uid="{8FE520D7-F61C-4E41-A354-A850D0F2EB74}"/>
    <hyperlink ref="I1940" r:id="rId3717" xr:uid="{A1F30187-CA2E-496A-9614-E10CE0AC8717}"/>
    <hyperlink ref="J1940" r:id="rId3718" display="308" xr:uid="{855FC831-6DE0-4487-A4C0-87090CA867F3}"/>
    <hyperlink ref="K1940" r:id="rId3719" display="01/05/1996" xr:uid="{36D0CD85-2A69-4D8C-92D8-D62C53571687}"/>
    <hyperlink ref="L1940" r:id="rId3720" xr:uid="{D0B957BD-05EB-497F-9DED-A47F50091EDD}"/>
    <hyperlink ref="I1942" r:id="rId3721" xr:uid="{096B3051-325F-4E86-AF30-B10083B0F3A1}"/>
    <hyperlink ref="J1942" r:id="rId3722" display="10" xr:uid="{8D5A80B1-318F-4008-9101-BF39CF243CA8}"/>
    <hyperlink ref="K1942" r:id="rId3723" display="01/04/1996" xr:uid="{37B13F4A-CC9A-4080-8F27-09DDC7EFFCE2}"/>
    <hyperlink ref="L1942" r:id="rId3724" xr:uid="{4C5C8574-F677-4B99-AD27-1885C340A055}"/>
    <hyperlink ref="I1944" r:id="rId3725" xr:uid="{71414DBB-9A73-43CD-A7F3-F57014CCB3A6}"/>
    <hyperlink ref="J1944" r:id="rId3726" display="140" xr:uid="{E87F31B1-F3E0-4751-A14E-DF469BDD6DFE}"/>
    <hyperlink ref="K1944" r:id="rId3727" display="01/10/1995" xr:uid="{6048CAD8-4BF4-4FD8-BA1F-CB55F948AA6F}"/>
    <hyperlink ref="I1946" r:id="rId3728" xr:uid="{44184C82-D0E4-45D7-936B-2D2020EB81FD}"/>
    <hyperlink ref="J1946" r:id="rId3729" display="122" xr:uid="{DD9DA700-583E-4188-8A07-5A684C6D35EB}"/>
    <hyperlink ref="K1946" r:id="rId3730" display="01/08/1995" xr:uid="{46AB6097-A114-4353-8E86-96C42E3783A0}"/>
    <hyperlink ref="I1948" r:id="rId3731" xr:uid="{75FAE3A8-51AC-4C73-AAB0-A73348E91F0B}"/>
    <hyperlink ref="J1948" r:id="rId3732" display="69" xr:uid="{9F2D8399-2297-4E05-A69C-DEFC247B7050}"/>
    <hyperlink ref="K1948" r:id="rId3733" display="01/08/1995" xr:uid="{6E4F4295-2272-4633-84BB-E0392DB973B7}"/>
    <hyperlink ref="L1948" r:id="rId3734" xr:uid="{F6E27BB2-713D-40CC-8112-AD29F021B04A}"/>
    <hyperlink ref="I1950" r:id="rId3735" xr:uid="{BADE0EF3-CA88-4516-A36A-A4F1B6385FDD}"/>
    <hyperlink ref="J1950" r:id="rId3736" display="125" xr:uid="{FC3D5782-4B69-4D3B-9F6B-0DFCB9E4BC4B}"/>
    <hyperlink ref="K1950" r:id="rId3737" display="01/07/1995" xr:uid="{04C7406A-F43F-4BDC-BDAA-4D5CD53FF838}"/>
    <hyperlink ref="L1950" r:id="rId3738" xr:uid="{B47178E1-2D8D-4E79-BEDA-091072B3B8B1}"/>
    <hyperlink ref="I1952" r:id="rId3739" xr:uid="{9B19970B-BD01-4CE9-B896-DE725060C972}"/>
    <hyperlink ref="J1952" r:id="rId3740" display="125" xr:uid="{15F3C3E4-2577-48DF-97D5-5728FF3D2A49}"/>
    <hyperlink ref="K1952" r:id="rId3741" display="01/07/1995" xr:uid="{5522C717-6895-43F1-88ED-192F5AD0CF54}"/>
    <hyperlink ref="L1952" r:id="rId3742" xr:uid="{78C71A4F-8ED3-4512-AAB3-6C0F5266FDC6}"/>
    <hyperlink ref="I1954" r:id="rId3743" xr:uid="{932C7BBC-4FE3-470B-B6B0-12BE0906DD52}"/>
    <hyperlink ref="J1954" r:id="rId3744" display="383" xr:uid="{7A1F97BC-109F-4852-8922-A6A76755473B}"/>
    <hyperlink ref="K1954" r:id="rId3745" display="03/06/1995" xr:uid="{2016091B-C1D4-4EF3-95E6-4F9898405621}"/>
    <hyperlink ref="I1956" r:id="rId3746" xr:uid="{CBF32582-25A7-4072-A20F-87A77716C238}"/>
    <hyperlink ref="J1956" r:id="rId3747" display="380" xr:uid="{4DE4FBF7-C340-4CF6-8692-6E80AD2C39DA}"/>
    <hyperlink ref="K1956" r:id="rId3748" display="01/04/1995" xr:uid="{8D76DE76-0B14-4145-85E9-7E4639E6EFD3}"/>
    <hyperlink ref="I1958" r:id="rId3749" xr:uid="{77EE4CDF-CBDF-4660-B360-1ADD972269E3}"/>
    <hyperlink ref="J1958" r:id="rId3750" display="378" xr:uid="{5D966D5F-14B7-4AAA-9196-F047CAA2137F}"/>
    <hyperlink ref="K1958" r:id="rId3751" display="01/04/1995" xr:uid="{8506F217-AF89-4EE8-B081-7F6870FD3B9D}"/>
    <hyperlink ref="I1960" r:id="rId3752" xr:uid="{A85CFD7E-047E-4B88-9487-10EE3ABC6783}"/>
    <hyperlink ref="J1960" r:id="rId3753" display="82" xr:uid="{0D769DAF-4793-4E13-8C6C-F05D74EBF311}"/>
    <hyperlink ref="K1960" r:id="rId3754" display="01/01/1995" xr:uid="{818F5B53-71D7-4B21-BE7E-92D5DDACC352}"/>
    <hyperlink ref="I1962" r:id="rId3755" xr:uid="{04BB5460-46CD-4BCB-9639-B7F3E685CF55}"/>
    <hyperlink ref="J1962" r:id="rId3756" display="187" xr:uid="{C833F09A-5607-4083-9E55-442180813DB5}"/>
    <hyperlink ref="K1962" r:id="rId3757" display="01/11/1994" xr:uid="{1396D13B-F1AC-4CA2-B3C5-81EF8C77204F}"/>
    <hyperlink ref="L1962" r:id="rId3758" xr:uid="{7999DEDF-29E9-4BC0-9F04-B0D3095BE091}"/>
    <hyperlink ref="I1964" r:id="rId3759" xr:uid="{EE08255B-A870-4728-B621-CFEF30AE5A0E}"/>
    <hyperlink ref="J1964" r:id="rId3760" display="5" xr:uid="{5363EFDF-C83D-4030-A4B6-E073ADE2CC11}"/>
    <hyperlink ref="K1964" r:id="rId3761" display="01/09/1994" xr:uid="{1D5AC3F1-B360-4180-BA43-294FB92D5E0B}"/>
    <hyperlink ref="I1966" r:id="rId3762" xr:uid="{D8ABFE76-3DD8-4E29-9BB3-2C2648A7308C}"/>
    <hyperlink ref="J1966" r:id="rId3763" display="122" xr:uid="{A7BE7263-EB49-4CF5-BD54-BC36B1679525}"/>
    <hyperlink ref="K1966" r:id="rId3764" display="01/08/1994" xr:uid="{2A69752E-E30F-446E-AE20-59853CA4BACA}"/>
    <hyperlink ref="I1968" r:id="rId3765" xr:uid="{EBA70FAF-E7D2-43F5-A70E-D5443570DDB9}"/>
    <hyperlink ref="J1968" r:id="rId3766" display="1" xr:uid="{B467235B-9375-4B98-A02C-64532B3341C9}"/>
    <hyperlink ref="K1968" r:id="rId3767" display="15/07/1994" xr:uid="{9ABCB1E2-04C0-4097-930E-35BA26315F55}"/>
    <hyperlink ref="L1968" r:id="rId3768" xr:uid="{DC1C090F-6096-476B-9CAE-95D64DFC11DF}"/>
    <hyperlink ref="I1970" r:id="rId3769" xr:uid="{3D0D1481-6342-4671-81E6-24B0769D77F0}"/>
    <hyperlink ref="J1970" r:id="rId3770" display="306" xr:uid="{CEB84F3E-326B-450C-B6FF-5EEBCB5C8854}"/>
    <hyperlink ref="K1970" r:id="rId3771" display="21/06/1994" xr:uid="{D69E8DEF-C31B-4B2A-9F8B-57E22B3E529E}"/>
    <hyperlink ref="L1970" r:id="rId3772" xr:uid="{D82FB548-ABB2-46AF-8094-B35FDBE9DE24}"/>
    <hyperlink ref="I1972" r:id="rId3773" xr:uid="{373067BD-4E7C-46F6-956C-EB9C93C3EAE6}"/>
    <hyperlink ref="J1972" r:id="rId3774" display="310" xr:uid="{36162C27-70AA-4B41-A84D-828FDA806AEE}"/>
    <hyperlink ref="K1972" r:id="rId3775" display="01/06/1994" xr:uid="{00240ADD-24AF-44BD-B6A2-E8634366C5ED}"/>
    <hyperlink ref="I1974" r:id="rId3776" xr:uid="{80E61BD4-D980-4D0D-976B-1CDA928F7BA9}"/>
    <hyperlink ref="J1974" r:id="rId3777" display="306" xr:uid="{50B0093B-5B7D-4234-8F62-C24649AB9D8C}"/>
    <hyperlink ref="K1974" r:id="rId3778" display="11/04/1994" xr:uid="{9D912A4F-059A-43C6-A9B9-A4A79269911C}"/>
    <hyperlink ref="I1976" r:id="rId3779" xr:uid="{F5DCDBF9-2AE6-42AB-865E-0946E7F3A501}"/>
    <hyperlink ref="J1976" r:id="rId3780" display="307" xr:uid="{5075546E-FAB4-4B97-A159-FF42BF4E84AA}"/>
    <hyperlink ref="K1976" r:id="rId3781" display="11/04/1994" xr:uid="{661370B4-036A-4DBA-AD10-ECB1760A352A}"/>
    <hyperlink ref="I1978" r:id="rId3782" xr:uid="{83F73FA2-71E4-40A7-AB2A-7B4CA8F2DFD0}"/>
    <hyperlink ref="J1978" r:id="rId3783" display="102" xr:uid="{38E3A9B8-BD97-40D7-A7B7-87DBEA1D4394}"/>
    <hyperlink ref="K1978" r:id="rId3784" display="04/03/1994" xr:uid="{4C4F17E0-F87A-439D-9D87-4A02F7F0C8F4}"/>
    <hyperlink ref="L1978" r:id="rId3785" xr:uid="{66A3E985-61C4-491A-949A-251C73761670}"/>
    <hyperlink ref="I1980" r:id="rId3786" xr:uid="{74E0856E-12AB-478B-8009-3A96405148B7}"/>
    <hyperlink ref="J1980" r:id="rId3787" display="92" xr:uid="{7853FDD8-13CB-446E-8CAC-268E3BB7D472}"/>
    <hyperlink ref="K1980" r:id="rId3788" display="17/12/1993" xr:uid="{39A2AA52-C077-49F0-8681-D840A667E752}"/>
    <hyperlink ref="L1980" r:id="rId3789" xr:uid="{DAF77F69-0E6A-4318-96BB-363E1C6AB5C1}"/>
    <hyperlink ref="I1982" r:id="rId3790" xr:uid="{A55D4B58-7E55-40DA-B23D-C35C0526A8B6}"/>
    <hyperlink ref="J1982" r:id="rId3791" display="302" xr:uid="{FF25CB15-0FDA-4E62-8D7A-FEF0A5F89C04}"/>
    <hyperlink ref="K1982" r:id="rId3792" display="10/12/1993" xr:uid="{C3166C2B-7FA4-4D9F-93BB-04A4B948855F}"/>
    <hyperlink ref="L1982" r:id="rId3793" xr:uid="{57856962-4C35-4AD3-BD29-76EF0C5E0039}"/>
    <hyperlink ref="I1984" r:id="rId3794" xr:uid="{FC109318-6022-453C-92E8-662965B24027}"/>
    <hyperlink ref="J1984" r:id="rId3795" display="302" xr:uid="{4F44E5F6-523B-4614-B958-E8C650CAE8B2}"/>
    <hyperlink ref="K1984" r:id="rId3796" display="10/12/1993" xr:uid="{EAA66CB7-BFF0-42B5-B217-4062F8954290}"/>
    <hyperlink ref="L1984" r:id="rId3797" xr:uid="{05ADF245-CE67-4B1D-8B1C-E964D02730D7}"/>
    <hyperlink ref="I1986" r:id="rId3798" xr:uid="{1D7568CD-E4BE-4C98-AFFD-4C5EE997DC33}"/>
    <hyperlink ref="J1986" r:id="rId3799" display="302" xr:uid="{4FA28F63-9658-435C-B2A4-C775B2456F21}"/>
    <hyperlink ref="K1986" r:id="rId3800" display="01/12/1993" xr:uid="{0F96937D-284E-479E-980C-820DA128DC6F}"/>
    <hyperlink ref="L1986" r:id="rId3801" xr:uid="{7F7123D1-4BA5-401D-95F9-A17732A98CBF}"/>
    <hyperlink ref="I1988" r:id="rId3802" xr:uid="{AAE14804-2B86-4522-BD1C-17D1C75FF54D}"/>
    <hyperlink ref="J1988" r:id="rId3803" display="302" xr:uid="{74DA03B2-7466-4FB8-AF00-0C959EC51036}"/>
    <hyperlink ref="K1988" r:id="rId3804" display="04/10/1993" xr:uid="{7B647DE5-AFAF-488A-A2FD-040BB463DC5C}"/>
    <hyperlink ref="L1988" r:id="rId3805" xr:uid="{48D4789A-40F6-49CD-B58F-404C48E20717}"/>
    <hyperlink ref="I1990" r:id="rId3806" xr:uid="{18A2DBA2-FF45-4DD8-94B0-A76965A1C3DC}"/>
    <hyperlink ref="J1990" r:id="rId3807" display="295" xr:uid="{A9E1C966-7E0F-40B5-96A5-641EC92A4BF0}"/>
    <hyperlink ref="K1990" r:id="rId3808" display="05/08/1993" xr:uid="{A398511C-41BF-4C8D-997D-5521E6AEDDC3}"/>
    <hyperlink ref="L1990" r:id="rId3809" xr:uid="{9CCBD2FF-A223-432E-B2A9-BFD9F055B18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F4A14-CF3F-0842-B3DE-33C054759D13}">
  <dimension ref="A1:AA9"/>
  <sheetViews>
    <sheetView zoomScaleNormal="150" zoomScaleSheetLayoutView="100" workbookViewId="0">
      <selection activeCell="C3" sqref="C3"/>
    </sheetView>
  </sheetViews>
  <sheetFormatPr defaultRowHeight="15"/>
  <cols>
    <col min="1" max="1" width="10.85546875" bestFit="1" customWidth="1"/>
    <col min="2" max="2" width="10.85546875" customWidth="1"/>
    <col min="3" max="3" width="22.28515625" bestFit="1" customWidth="1"/>
    <col min="4" max="7" width="14" customWidth="1"/>
    <col min="8" max="8" width="22.42578125" bestFit="1" customWidth="1"/>
    <col min="9" max="11" width="8.5703125" customWidth="1"/>
    <col min="12" max="12" width="33.140625" bestFit="1" customWidth="1"/>
    <col min="13" max="14" width="8.5703125" customWidth="1"/>
    <col min="17" max="17" width="13.85546875" bestFit="1" customWidth="1"/>
    <col min="18" max="18" width="33.28515625" bestFit="1" customWidth="1"/>
    <col min="23" max="23" width="11.7109375" bestFit="1" customWidth="1"/>
    <col min="24" max="24" width="13.140625" bestFit="1" customWidth="1"/>
    <col min="25" max="25" width="14.28515625" bestFit="1" customWidth="1"/>
    <col min="26" max="26" width="13" bestFit="1" customWidth="1"/>
    <col min="27" max="27" width="17.5703125" bestFit="1" customWidth="1"/>
  </cols>
  <sheetData>
    <row r="1" spans="1:27" ht="68.25">
      <c r="A1" t="s">
        <v>38</v>
      </c>
      <c r="B1" t="s">
        <v>39</v>
      </c>
      <c r="C1" t="s">
        <v>40</v>
      </c>
      <c r="D1" t="s">
        <v>41</v>
      </c>
      <c r="E1" t="s">
        <v>42</v>
      </c>
      <c r="F1" t="s">
        <v>43</v>
      </c>
      <c r="G1" t="s">
        <v>44</v>
      </c>
      <c r="H1" t="s">
        <v>45</v>
      </c>
      <c r="I1" s="1" t="s">
        <v>46</v>
      </c>
      <c r="J1" s="1" t="s">
        <v>47</v>
      </c>
      <c r="K1" s="1" t="s">
        <v>48</v>
      </c>
      <c r="L1" t="s">
        <v>49</v>
      </c>
      <c r="M1" s="1" t="s">
        <v>50</v>
      </c>
      <c r="N1" s="1" t="s">
        <v>51</v>
      </c>
      <c r="Q1" t="s">
        <v>52</v>
      </c>
      <c r="R1" t="s">
        <v>53</v>
      </c>
      <c r="W1" t="s">
        <v>54</v>
      </c>
      <c r="X1" t="s">
        <v>55</v>
      </c>
      <c r="Y1" t="s">
        <v>56</v>
      </c>
      <c r="Z1" t="s">
        <v>57</v>
      </c>
      <c r="AA1" t="s">
        <v>58</v>
      </c>
    </row>
    <row r="2" spans="1:27">
      <c r="A2">
        <v>1</v>
      </c>
      <c r="B2" t="s">
        <v>59</v>
      </c>
      <c r="C2" s="5" t="s">
        <v>60</v>
      </c>
      <c r="D2" t="s">
        <v>61</v>
      </c>
      <c r="E2" s="5" t="s">
        <v>62</v>
      </c>
      <c r="F2" s="5" t="s">
        <v>60</v>
      </c>
      <c r="G2" s="5" t="s">
        <v>63</v>
      </c>
      <c r="H2" s="6" t="s">
        <v>64</v>
      </c>
      <c r="I2" s="6">
        <v>18</v>
      </c>
      <c r="J2" s="6">
        <v>24</v>
      </c>
      <c r="K2" s="6" cm="1">
        <f t="array" ref="K2">_xlfn.NUMBERVALUE(INDEX(_xlfn.TEXTSPLIT(tbl_MTG_Set_Type[[#This Row],[Heavy Printing Months]], "-"), 1), ".", ",")</f>
        <v>1</v>
      </c>
      <c r="L2" s="6" cm="1">
        <f t="array" ref="L2">_xlfn.NUMBERVALUE(INDEX(_xlfn.TEXTSPLIT(tbl_MTG_Set_Type[[#This Row],[Heavy Printing Months]], "-"), COLUMNS(_xlfn.TEXTSPLIT(tbl_MTG_Set_Type[[#This Row],[Heavy Printing Months]], "-"))), ".", ",")</f>
        <v>18</v>
      </c>
      <c r="M2" s="6">
        <v>36</v>
      </c>
      <c r="N2" s="6">
        <v>48</v>
      </c>
      <c r="Q2" t="s">
        <v>59</v>
      </c>
      <c r="R2" t="s">
        <v>65</v>
      </c>
    </row>
    <row r="3" spans="1:27">
      <c r="A3">
        <v>2</v>
      </c>
      <c r="B3" t="s">
        <v>66</v>
      </c>
      <c r="C3" s="5" t="s">
        <v>67</v>
      </c>
      <c r="D3" t="s">
        <v>68</v>
      </c>
      <c r="E3" s="5" t="s">
        <v>69</v>
      </c>
      <c r="F3" s="5"/>
      <c r="G3" s="5"/>
      <c r="H3" s="5" t="s">
        <v>70</v>
      </c>
      <c r="I3" s="6">
        <v>3</v>
      </c>
      <c r="J3" s="6">
        <v>6</v>
      </c>
      <c r="K3" s="6" cm="1">
        <f t="array" ref="K3">_xlfn.NUMBERVALUE(INDEX(_xlfn.TEXTSPLIT(tbl_MTG_Set_Type[[#This Row],[Heavy Printing Months]], "-"), 1), ".", ",")</f>
        <v>6</v>
      </c>
      <c r="L3" s="6" cm="1">
        <f t="array" ref="L3">_xlfn.NUMBERVALUE(INDEX(_xlfn.TEXTSPLIT(tbl_MTG_Set_Type[[#This Row],[Heavy Printing Months]], "-"), COLUMNS(_xlfn.TEXTSPLIT(tbl_MTG_Set_Type[[#This Row],[Heavy Printing Months]], "-"))), ".", ",")</f>
        <v>12</v>
      </c>
      <c r="M3" s="6">
        <v>18</v>
      </c>
      <c r="N3" s="6">
        <v>36</v>
      </c>
      <c r="Q3" t="s">
        <v>66</v>
      </c>
      <c r="R3" t="s">
        <v>71</v>
      </c>
    </row>
    <row r="4" spans="1:27">
      <c r="A4">
        <v>3</v>
      </c>
      <c r="B4" t="s">
        <v>72</v>
      </c>
      <c r="C4" s="5" t="s">
        <v>73</v>
      </c>
      <c r="D4" t="s">
        <v>74</v>
      </c>
      <c r="E4" s="5" t="s">
        <v>69</v>
      </c>
      <c r="F4" s="5"/>
      <c r="G4" s="5"/>
      <c r="H4" s="5" t="s">
        <v>75</v>
      </c>
      <c r="I4" s="6"/>
      <c r="J4" s="6"/>
      <c r="K4" s="6" cm="1">
        <f t="array" ref="K4">_xlfn.NUMBERVALUE(INDEX(_xlfn.TEXTSPLIT(tbl_MTG_Set_Type[[#This Row],[Heavy Printing Months]], "-"), 1), ".", ",")</f>
        <v>6</v>
      </c>
      <c r="L4" s="6" cm="1">
        <f t="array" ref="L4">_xlfn.NUMBERVALUE(INDEX(_xlfn.TEXTSPLIT(tbl_MTG_Set_Type[[#This Row],[Heavy Printing Months]], "-"), COLUMNS(_xlfn.TEXTSPLIT(tbl_MTG_Set_Type[[#This Row],[Heavy Printing Months]], "-"))), ".", ",")</f>
        <v>12</v>
      </c>
      <c r="M4" s="6">
        <v>24</v>
      </c>
      <c r="N4" s="6">
        <v>60</v>
      </c>
      <c r="Q4" t="s">
        <v>72</v>
      </c>
      <c r="R4" t="s">
        <v>71</v>
      </c>
    </row>
    <row r="5" spans="1:27">
      <c r="A5">
        <v>4</v>
      </c>
      <c r="B5" t="s">
        <v>76</v>
      </c>
      <c r="C5" s="5" t="s">
        <v>69</v>
      </c>
      <c r="D5" t="s">
        <v>77</v>
      </c>
      <c r="E5" s="5" t="s">
        <v>69</v>
      </c>
      <c r="F5" s="5"/>
      <c r="G5" s="5"/>
      <c r="H5" s="5" t="s">
        <v>78</v>
      </c>
      <c r="I5" s="6">
        <v>6</v>
      </c>
      <c r="J5" s="6">
        <v>12</v>
      </c>
      <c r="K5" s="6" cm="1">
        <f t="array" ref="K5">_xlfn.NUMBERVALUE(INDEX(_xlfn.TEXTSPLIT(tbl_MTG_Set_Type[[#This Row],[Heavy Printing Months]], "-"), 1), ".", ",")</f>
        <v>6</v>
      </c>
      <c r="L5" s="6" cm="1">
        <f t="array" ref="L5">_xlfn.NUMBERVALUE(INDEX(_xlfn.TEXTSPLIT(tbl_MTG_Set_Type[[#This Row],[Heavy Printing Months]], "-"), COLUMNS(_xlfn.TEXTSPLIT(tbl_MTG_Set_Type[[#This Row],[Heavy Printing Months]], "-"))), ".", ",")</f>
        <v>12</v>
      </c>
      <c r="M5" s="6">
        <v>24</v>
      </c>
      <c r="N5" s="6">
        <v>48</v>
      </c>
      <c r="Q5" t="s">
        <v>76</v>
      </c>
      <c r="R5" t="s">
        <v>79</v>
      </c>
    </row>
    <row r="6" spans="1:27">
      <c r="A6">
        <v>5</v>
      </c>
      <c r="B6" t="s">
        <v>80</v>
      </c>
      <c r="C6" s="5" t="s">
        <v>81</v>
      </c>
      <c r="D6" t="s">
        <v>82</v>
      </c>
      <c r="E6" s="5" t="s">
        <v>83</v>
      </c>
      <c r="F6" s="5"/>
      <c r="G6" s="5"/>
      <c r="H6" s="5" t="s">
        <v>84</v>
      </c>
      <c r="I6" s="6">
        <v>3</v>
      </c>
      <c r="J6" s="6">
        <v>12</v>
      </c>
      <c r="K6" s="6" cm="1">
        <f t="array" ref="K6">_xlfn.NUMBERVALUE(INDEX(_xlfn.TEXTSPLIT(tbl_MTG_Set_Type[[#This Row],[Heavy Printing Months]], "-"), 1), ".", ",")</f>
        <v>12</v>
      </c>
      <c r="L6" s="6" cm="1">
        <f t="array" ref="L6">_xlfn.NUMBERVALUE(INDEX(_xlfn.TEXTSPLIT(tbl_MTG_Set_Type[[#This Row],[Heavy Printing Months]], "-"), COLUMNS(_xlfn.TEXTSPLIT(tbl_MTG_Set_Type[[#This Row],[Heavy Printing Months]], "-"))), ".", ",")</f>
        <v>18</v>
      </c>
      <c r="M6" s="6">
        <v>24</v>
      </c>
      <c r="N6" s="6">
        <v>24</v>
      </c>
      <c r="Q6" t="s">
        <v>80</v>
      </c>
      <c r="R6" t="s">
        <v>85</v>
      </c>
    </row>
    <row r="7" spans="1:27">
      <c r="A7">
        <v>6</v>
      </c>
      <c r="B7" t="s">
        <v>86</v>
      </c>
      <c r="C7" s="5" t="s">
        <v>67</v>
      </c>
      <c r="D7" t="s">
        <v>87</v>
      </c>
      <c r="E7" s="5" t="s">
        <v>88</v>
      </c>
      <c r="F7" s="5"/>
      <c r="G7" s="5"/>
      <c r="H7" s="5" t="s">
        <v>88</v>
      </c>
      <c r="I7" s="6">
        <v>3</v>
      </c>
      <c r="J7" s="6">
        <v>6</v>
      </c>
      <c r="K7" s="6"/>
      <c r="L7" s="6"/>
      <c r="M7" s="6"/>
      <c r="N7" s="6"/>
      <c r="Q7" t="s">
        <v>86</v>
      </c>
      <c r="R7" t="s">
        <v>89</v>
      </c>
    </row>
    <row r="8" spans="1:27">
      <c r="A8">
        <v>7</v>
      </c>
      <c r="B8" t="s">
        <v>90</v>
      </c>
      <c r="C8" s="5" t="s">
        <v>91</v>
      </c>
      <c r="D8" t="s">
        <v>92</v>
      </c>
      <c r="E8" s="5" t="s">
        <v>67</v>
      </c>
      <c r="F8" s="5"/>
      <c r="G8" s="5"/>
      <c r="H8" s="5" t="s">
        <v>93</v>
      </c>
      <c r="I8" s="6"/>
      <c r="J8" s="6"/>
      <c r="K8" s="6">
        <v>3</v>
      </c>
      <c r="L8" s="6" cm="1">
        <f t="array" ref="L8">_xlfn.NUMBERVALUE(INDEX(_xlfn.TEXTSPLIT(tbl_MTG_Set_Type[[#This Row],[Heavy Printing Months]], "-"), COLUMNS(_xlfn.TEXTSPLIT(tbl_MTG_Set_Type[[#This Row],[Heavy Printing Months]], "-"))), ".", ",")</f>
        <v>6</v>
      </c>
      <c r="M8" s="6"/>
      <c r="N8" s="6"/>
      <c r="Q8" t="s">
        <v>90</v>
      </c>
      <c r="R8" t="s">
        <v>94</v>
      </c>
    </row>
    <row r="9" spans="1:27">
      <c r="A9">
        <v>8</v>
      </c>
      <c r="B9" t="s">
        <v>95</v>
      </c>
      <c r="C9" s="5" t="s">
        <v>93</v>
      </c>
      <c r="D9" t="s">
        <v>96</v>
      </c>
      <c r="E9" s="6" t="s">
        <v>60</v>
      </c>
      <c r="F9" s="6"/>
      <c r="G9" s="5"/>
      <c r="H9" s="6"/>
      <c r="I9" s="6"/>
      <c r="J9" s="6"/>
      <c r="K9" s="6">
        <v>18</v>
      </c>
      <c r="L9" s="6" cm="1">
        <f t="array" ref="L9">_xlfn.NUMBERVALUE(INDEX(_xlfn.TEXTSPLIT(tbl_MTG_Set_Type[[#This Row],[Heavy Printing Months]], "-"), COLUMNS(_xlfn.TEXTSPLIT(tbl_MTG_Set_Type[[#This Row],[Heavy Printing Months]], "-"))), ".", ",")</f>
        <v>24</v>
      </c>
      <c r="M9" s="6"/>
      <c r="N9" s="6"/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D7C9-C4A0-4D58-96DA-58F15BB134BE}">
  <dimension ref="A1:CH1024"/>
  <sheetViews>
    <sheetView workbookViewId="0">
      <pane xSplit="2" topLeftCell="S1" activePane="topRight" state="frozen"/>
      <selection pane="topRight" activeCell="AN1009" sqref="AN1009"/>
      <selection activeCell="AK10" sqref="AK10"/>
    </sheetView>
  </sheetViews>
  <sheetFormatPr defaultColWidth="9.140625" defaultRowHeight="15"/>
  <cols>
    <col min="1" max="1" width="8.140625" customWidth="1"/>
    <col min="2" max="2" width="29.7109375" customWidth="1"/>
    <col min="3" max="3" width="13.140625" bestFit="1" customWidth="1"/>
    <col min="4" max="4" width="14.28515625" bestFit="1" customWidth="1"/>
    <col min="5" max="5" width="17.85546875" bestFit="1" customWidth="1"/>
    <col min="6" max="6" width="29" hidden="1" customWidth="1"/>
    <col min="7" max="7" width="14.28515625" hidden="1" customWidth="1"/>
    <col min="8" max="8" width="11.7109375" customWidth="1"/>
    <col min="9" max="9" width="11.7109375" hidden="1" customWidth="1"/>
    <col min="10" max="10" width="14.42578125" hidden="1" customWidth="1"/>
    <col min="11" max="11" width="14.42578125" customWidth="1"/>
    <col min="12" max="12" width="13" hidden="1" customWidth="1"/>
    <col min="13" max="14" width="13" customWidth="1"/>
    <col min="15" max="15" width="14" hidden="1" customWidth="1"/>
    <col min="16" max="16" width="14" customWidth="1"/>
    <col min="17" max="17" width="14" hidden="1" customWidth="1"/>
    <col min="18" max="19" width="14" customWidth="1"/>
    <col min="20" max="20" width="13.28515625" hidden="1" customWidth="1"/>
    <col min="21" max="21" width="13.28515625" customWidth="1"/>
    <col min="22" max="22" width="12.7109375" hidden="1" customWidth="1"/>
    <col min="23" max="23" width="17.85546875" bestFit="1" customWidth="1"/>
    <col min="24" max="24" width="9.140625" customWidth="1"/>
    <col min="25" max="30" width="10.140625" style="10" hidden="1" customWidth="1"/>
    <col min="31" max="32" width="9.140625" style="10" hidden="1" customWidth="1"/>
    <col min="33" max="34" width="9.140625" hidden="1" customWidth="1"/>
    <col min="35" max="38" width="9.140625" style="4" customWidth="1"/>
    <col min="39" max="39" width="14.42578125" customWidth="1"/>
    <col min="40" max="40" width="12.28515625" customWidth="1"/>
    <col min="41" max="41" width="12.28515625" style="4" customWidth="1"/>
    <col min="42" max="42" width="12.28515625" customWidth="1"/>
    <col min="45" max="45" width="12.5703125" customWidth="1"/>
    <col min="46" max="46" width="17.28515625" style="17" customWidth="1"/>
    <col min="47" max="48" width="17.28515625" customWidth="1"/>
    <col min="49" max="49" width="17.28515625" style="4" customWidth="1"/>
    <col min="50" max="53" width="17.28515625" customWidth="1"/>
    <col min="54" max="54" width="17.28515625" style="17" customWidth="1"/>
    <col min="55" max="55" width="10.85546875" customWidth="1"/>
    <col min="56" max="59" width="11.140625" style="11" customWidth="1"/>
    <col min="60" max="60" width="11.140625" style="19" customWidth="1"/>
    <col min="61" max="64" width="11.140625" style="11" customWidth="1"/>
    <col min="65" max="66" width="11.28515625" customWidth="1"/>
    <col min="67" max="67" width="11.28515625" style="17" customWidth="1"/>
    <col min="74" max="74" width="10.28515625" style="19" bestFit="1" customWidth="1"/>
    <col min="78" max="78" width="9.85546875" customWidth="1"/>
    <col min="79" max="79" width="10.7109375" customWidth="1"/>
    <col min="80" max="80" width="10.7109375" style="17" customWidth="1"/>
    <col min="83" max="83" width="13.5703125" customWidth="1"/>
    <col min="85" max="85" width="12.7109375" customWidth="1"/>
    <col min="86" max="86" width="9.140625" style="19"/>
  </cols>
  <sheetData>
    <row r="1" spans="1:86">
      <c r="Y1" s="10" t="s">
        <v>97</v>
      </c>
      <c r="AD1" s="10" t="s">
        <v>98</v>
      </c>
    </row>
    <row r="2" spans="1:86" s="1" customFormat="1" ht="81">
      <c r="A2" s="1" t="s">
        <v>38</v>
      </c>
      <c r="B2" s="1" t="s">
        <v>54</v>
      </c>
      <c r="C2" s="1" t="s">
        <v>55</v>
      </c>
      <c r="D2" s="1" t="s">
        <v>56</v>
      </c>
      <c r="E2" s="1" t="s">
        <v>57</v>
      </c>
      <c r="F2" s="1" t="s">
        <v>58</v>
      </c>
      <c r="G2" s="1" t="s">
        <v>99</v>
      </c>
      <c r="H2" s="1" t="s">
        <v>100</v>
      </c>
      <c r="I2" s="1" t="s">
        <v>101</v>
      </c>
      <c r="J2" s="1" t="s">
        <v>46</v>
      </c>
      <c r="K2" s="1" t="s">
        <v>102</v>
      </c>
      <c r="L2" s="1" t="s">
        <v>47</v>
      </c>
      <c r="M2" s="1" t="s">
        <v>103</v>
      </c>
      <c r="N2" s="1" t="s">
        <v>104</v>
      </c>
      <c r="O2" s="1" t="s">
        <v>48</v>
      </c>
      <c r="P2" s="1" t="s">
        <v>105</v>
      </c>
      <c r="Q2" s="1" t="s">
        <v>49</v>
      </c>
      <c r="R2" s="1" t="s">
        <v>106</v>
      </c>
      <c r="S2" s="1" t="s">
        <v>107</v>
      </c>
      <c r="T2" s="1" t="s">
        <v>50</v>
      </c>
      <c r="U2" s="1" t="s">
        <v>108</v>
      </c>
      <c r="V2" s="1" t="s">
        <v>51</v>
      </c>
      <c r="W2" s="1" t="s">
        <v>109</v>
      </c>
      <c r="X2" s="1" t="s">
        <v>110</v>
      </c>
      <c r="Y2" s="12" t="s">
        <v>111</v>
      </c>
      <c r="Z2" s="12" t="s">
        <v>112</v>
      </c>
      <c r="AA2" s="12" t="s">
        <v>113</v>
      </c>
      <c r="AB2" s="12" t="s">
        <v>114</v>
      </c>
      <c r="AC2" s="12" t="s">
        <v>115</v>
      </c>
      <c r="AD2" s="12" t="s">
        <v>116</v>
      </c>
      <c r="AE2" s="12" t="s">
        <v>117</v>
      </c>
      <c r="AF2" s="12" t="s">
        <v>118</v>
      </c>
      <c r="AG2" s="12" t="s">
        <v>119</v>
      </c>
      <c r="AH2" s="12" t="s">
        <v>120</v>
      </c>
      <c r="AI2" s="13" t="s">
        <v>121</v>
      </c>
      <c r="AJ2" s="13" t="s">
        <v>122</v>
      </c>
      <c r="AK2" s="13" t="s">
        <v>123</v>
      </c>
      <c r="AL2" s="13" t="s">
        <v>124</v>
      </c>
      <c r="AM2" s="12" t="s">
        <v>125</v>
      </c>
      <c r="AN2" s="12" t="s">
        <v>126</v>
      </c>
      <c r="AO2" s="13" t="s">
        <v>127</v>
      </c>
      <c r="AP2" s="12" t="s">
        <v>128</v>
      </c>
      <c r="AQ2" s="12" t="s">
        <v>129</v>
      </c>
      <c r="AR2" s="12" t="s">
        <v>130</v>
      </c>
      <c r="AS2" s="1" t="s">
        <v>131</v>
      </c>
      <c r="AT2" s="18" t="s">
        <v>132</v>
      </c>
      <c r="AU2" s="1" t="s">
        <v>133</v>
      </c>
      <c r="AV2" s="1" t="s">
        <v>134</v>
      </c>
      <c r="AW2" s="13" t="s">
        <v>135</v>
      </c>
      <c r="AX2" s="1" t="s">
        <v>136</v>
      </c>
      <c r="AY2" s="1" t="s">
        <v>137</v>
      </c>
      <c r="AZ2" s="1" t="s">
        <v>138</v>
      </c>
      <c r="BA2" s="1" t="s">
        <v>139</v>
      </c>
      <c r="BB2" s="18" t="s">
        <v>140</v>
      </c>
      <c r="BC2" s="1" t="s">
        <v>141</v>
      </c>
      <c r="BD2" s="16" t="s">
        <v>142</v>
      </c>
      <c r="BE2" s="16" t="s">
        <v>143</v>
      </c>
      <c r="BF2" s="16" t="s">
        <v>144</v>
      </c>
      <c r="BG2" s="16" t="s">
        <v>145</v>
      </c>
      <c r="BH2" s="20" t="s">
        <v>146</v>
      </c>
      <c r="BI2" s="16" t="s">
        <v>147</v>
      </c>
      <c r="BJ2" s="16" t="s">
        <v>148</v>
      </c>
      <c r="BK2" s="16" t="s">
        <v>149</v>
      </c>
      <c r="BL2" s="16" t="s">
        <v>150</v>
      </c>
      <c r="BM2" s="1" t="s">
        <v>151</v>
      </c>
      <c r="BN2" s="1" t="s">
        <v>152</v>
      </c>
      <c r="BO2" s="18" t="s">
        <v>153</v>
      </c>
      <c r="BP2" s="1" t="s">
        <v>154</v>
      </c>
      <c r="BQ2" s="1" t="s">
        <v>155</v>
      </c>
      <c r="BR2" s="16" t="s">
        <v>156</v>
      </c>
      <c r="BS2" s="16" t="s">
        <v>157</v>
      </c>
      <c r="BT2" s="16" t="s">
        <v>158</v>
      </c>
      <c r="BU2" s="16" t="s">
        <v>159</v>
      </c>
      <c r="BV2" s="20" t="s">
        <v>160</v>
      </c>
      <c r="BW2" s="16" t="s">
        <v>161</v>
      </c>
      <c r="BX2" s="16" t="s">
        <v>162</v>
      </c>
      <c r="BY2" s="16" t="s">
        <v>163</v>
      </c>
      <c r="BZ2" s="1" t="s">
        <v>164</v>
      </c>
      <c r="CA2" s="1" t="s">
        <v>165</v>
      </c>
      <c r="CB2" s="18" t="s">
        <v>166</v>
      </c>
      <c r="CC2" s="1" t="s">
        <v>167</v>
      </c>
      <c r="CD2" s="1" t="s">
        <v>168</v>
      </c>
      <c r="CE2" s="1" t="s">
        <v>169</v>
      </c>
      <c r="CF2" s="1" t="s">
        <v>170</v>
      </c>
      <c r="CG2" s="1" t="s">
        <v>171</v>
      </c>
      <c r="CH2" s="20" t="s">
        <v>172</v>
      </c>
    </row>
    <row r="3" spans="1:86">
      <c r="A3">
        <v>489</v>
      </c>
      <c r="B3" t="s">
        <v>173</v>
      </c>
      <c r="C3">
        <v>280</v>
      </c>
      <c r="D3" s="3">
        <v>43217</v>
      </c>
      <c r="F3" t="s">
        <v>174</v>
      </c>
      <c r="G3">
        <v>924</v>
      </c>
      <c r="H3">
        <f ca="1">MONTH(NOW())+12*YEAR(NOW())-MONTH(tbl_MTG_Set[[#This Row],[Released On]])-12*YEAR(tbl_MTG_Set[[#This Row],[Released On]])</f>
        <v>95</v>
      </c>
      <c r="I3" t="str">
        <f>_xlfn.XLOOKUP(tbl_MTG_Set[[#This Row],[Type Name]], tbl_MTG_Set_Type[Set Type], tbl_MTG_Set_Type[Index], "(Set Type not found)")</f>
        <v>(Set Type not found)</v>
      </c>
      <c r="J3" t="str">
        <f>_xlfn.XLOOKUP(tbl_MTG_Set[[#This Row],[Type Name]], tbl_MTG_Set_Type[Set Type], tbl_MTG_Set_Type[Buy Window Month Start], "(Set Type not found)")</f>
        <v>(Set Type not found)</v>
      </c>
      <c r="K3" s="3" t="e">
        <f>tbl_MTG_Set[[#This Row],[Released On]]+tbl_MTG_Set[[#This Row],[Buy Window Month Start]]*365.25/12</f>
        <v>#VALUE!</v>
      </c>
      <c r="L3" t="str">
        <f>_xlfn.XLOOKUP(tbl_MTG_Set[[#This Row],[Type Name]], tbl_MTG_Set_Type[Set Type], tbl_MTG_Set_Type[Buy Window Month End], "(Set Type not found)", 0, 1)</f>
        <v>(Set Type not found)</v>
      </c>
      <c r="M3" s="3" t="e">
        <f>tbl_MTG_Set[[#This Row],[Released On]]+tbl_MTG_Set[[#This Row],[Buy Window Month End]]*365.25/12</f>
        <v>#VALUE!</v>
      </c>
      <c r="N3" s="3" t="e">
        <f ca="1">AND(NOW()&gt;=tbl_MTG_Set[[#This Row],[Buy Window Start]], NOW()&lt;=tbl_MTG_Set[[#This Row],[Buy Window End]])</f>
        <v>#VALUE!</v>
      </c>
      <c r="O3" t="str">
        <f>_xlfn.XLOOKUP(tbl_MTG_Set[[#This Row],[Type Name]], tbl_MTG_Set_Type[Set Type], tbl_MTG_Set_Type[Heavy Printing Window Month Start], "(Set Type not found)", 0, 1)</f>
        <v>(Set Type not found)</v>
      </c>
      <c r="P3" s="3" t="e">
        <f>tbl_MTG_Set[[#This Row],[Released On]]+tbl_MTG_Set[[#This Row],[Heavy Printing Window Month Start]]*365.25/12</f>
        <v>#VALUE!</v>
      </c>
      <c r="Q3" t="str">
        <f>_xlfn.XLOOKUP(tbl_MTG_Set[[#This Row],[Type Name]], tbl_MTG_Set_Type[Set Type], tbl_MTG_Set_Type[Heavy Printing Window Month End], "(Set Type not found)", 0, 1)</f>
        <v>(Set Type not found)</v>
      </c>
      <c r="R3" s="3" t="e">
        <f>tbl_MTG_Set[[#This Row],[Released On]]+tbl_MTG_Set[[#This Row],[Heavy Printing Window Month End]]*365.25/12</f>
        <v>#VALUE!</v>
      </c>
      <c r="S3" s="3" t="e">
        <f ca="1">AND(NOW()&gt;=tbl_MTG_Set[[#This Row],[Heavy Printing Window Start]], NOW()&lt;=tbl_MTG_Set[[#This Row],[Heavy Printing Window End]])</f>
        <v>#VALUE!</v>
      </c>
      <c r="T3" t="str">
        <f>_xlfn.XLOOKUP(tbl_MTG_Set[[#This Row],[Type Name]], tbl_MTG_Set_Type[Set Type], tbl_MTG_Set_Type[Sell Window Month Start], "(Set Type not found)", 0, 1)</f>
        <v>(Set Type not found)</v>
      </c>
      <c r="U3" s="3" t="e">
        <f>tbl_MTG_Set[[#This Row],[Released On]]+tbl_MTG_Set[[#This Row],[Sell Window Month Start]]*365.25/12</f>
        <v>#VALUE!</v>
      </c>
      <c r="V3" t="str">
        <f>_xlfn.XLOOKUP(tbl_MTG_Set[[#This Row],[Type Name]], tbl_MTG_Set_Type[Set Type], tbl_MTG_Set_Type[Sell Window Month End], "(Set Type not found)", 0, 1)</f>
        <v>(Set Type not found)</v>
      </c>
      <c r="W3" s="3" t="e">
        <f>tbl_MTG_Set[[#This Row],[Released On]]+tbl_MTG_Set[[#This Row],[Sell Window Month End]]*365.25/12</f>
        <v>#VALUE!</v>
      </c>
      <c r="X3" s="3" t="e">
        <f ca="1">AND(NOW()&gt;=tbl_MTG_Set[[#This Row],[Sell Window Start]], NOW()&lt;=tbl_MTG_Set[[#This Row],[Sell Window End]])</f>
        <v>#VALUE!</v>
      </c>
      <c r="Z3" s="10">
        <v>144</v>
      </c>
      <c r="AE3" s="10">
        <f>(tbl_MTG_Set[[#This Row],[Chaos Cards PSBBBP]]+96/20)/36</f>
        <v>4.1333333333333337</v>
      </c>
      <c r="AG3" s="10"/>
      <c r="AH3" s="10"/>
      <c r="AI3" s="4">
        <v>62</v>
      </c>
      <c r="AJ3" s="4">
        <v>17</v>
      </c>
      <c r="AM3" s="10" cm="1">
        <f t="array" ref="AM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8</v>
      </c>
      <c r="AN3" s="10" t="str" cm="1">
        <f t="array" ref="AN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3" s="4">
        <f>_xlfn.XLOOKUP(tbl_MTG_Set[[#This Row],[Play Booster Box Product Id]], tbl_Product[Product Id], tbl_Product[Pack Size])</f>
        <v>0</v>
      </c>
      <c r="AP3" s="10" t="e">
        <f>(tbl_MTG_Set[[#This Row],[Play Booster Box Cost]]+v_Item_Shipping_Cost_In)/tbl_MTG_Set[[#This Row],[Play Booster Box Size]]</f>
        <v>#DIV/0!</v>
      </c>
      <c r="AQ3" s="10" cm="1">
        <f t="array" ref="AQ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3.8799723615999997</v>
      </c>
      <c r="AR3" s="10">
        <v>4</v>
      </c>
      <c r="AS3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-999</v>
      </c>
      <c r="AT3" s="17" t="e">
        <f>tbl_MTG_Set[[#This Row],[Play Booster CardMarket Profit]]/tbl_MTG_Set[[#This Row],[Play Booster Cost]]</f>
        <v>#DIV/0!</v>
      </c>
      <c r="AU3" s="10" t="e">
        <f>_xlfn.XLOOKUP(tbl_MTG_Set[[#This Row],[Collector Booster Box Product Id]], tbl_Product[Product Id], tbl_Product[Min Cost])</f>
        <v>#N/A</v>
      </c>
      <c r="AV3" s="10" t="e">
        <f>_xlfn.XLOOKUP(tbl_MTG_Set[[#This Row],[Collector Booster Box Product Id]], tbl_Product[Product Id], tbl_Product[Best Source])</f>
        <v>#N/A</v>
      </c>
      <c r="AW3" s="4" t="e">
        <f>_xlfn.XLOOKUP(tbl_MTG_Set[[#This Row],[Collector Booster Box Product Id]], tbl_Product[Product Id], tbl_Product[Pack Size])</f>
        <v>#N/A</v>
      </c>
      <c r="AX3" s="10" t="e">
        <f>(tbl_MTG_Set[[#This Row],[Collector Booster Box Cost]] + v_Item_Shipping_Cost_In) / tbl_MTG_Set[[#This Row],[Collector Booster Box Size]]</f>
        <v>#N/A</v>
      </c>
      <c r="AY3" s="10" t="str" cm="1">
        <f t="array" ref="AY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" s="10"/>
      <c r="BA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" s="17" t="e">
        <f>tbl_MTG_Set[[#This Row],[Collector Booster CardMarket Profit]]/tbl_MTG_Set[[#This Row],[Collector Booster Cost]]</f>
        <v>#N/A</v>
      </c>
      <c r="BC3" s="15" t="s">
        <v>175</v>
      </c>
      <c r="BD3" s="11">
        <v>3.5</v>
      </c>
      <c r="BE3" s="11">
        <v>4.88</v>
      </c>
      <c r="BF3" s="11">
        <f>tbl_MTG_Set[[#This Row],[Play Booster Sell Price CardMarket]]*tbl_MTG_Set[[#This Row],[Play Booster Expected Market Value MTG Stocks]]/tbl_MTG_Set[[#This Row],[Play Booster Sealed Market Value MTG Stocks]]</f>
        <v>2.7827670626229506</v>
      </c>
      <c r="BG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" s="11" t="e">
        <f>tbl_MTG_Set[[#This Row],[Play Singles CardMarket Profit MTG Stocks]]/tbl_MTG_Set[[#This Row],[Play Booster Cost]]</f>
        <v>#DIV/0!</v>
      </c>
      <c r="BI3" s="11" t="b">
        <f>tbl_MTG_Set[[#This Row],[Play Singles CardMarket Profit MTG Stocks]]&gt;0</f>
        <v>0</v>
      </c>
      <c r="BJ3" s="21" t="s">
        <v>176</v>
      </c>
      <c r="BM3" s="10" t="e">
        <f>tbl_MTG_Set[[#This Row],[Play Booster Sell Price CardMarket]]*tbl_MTG_Set[[#This Row],[Play Booster Expected Market Value BotBox]]/tbl_MTG_Set[[#This Row],[Play Booster Sealed Market Value BotBox]]</f>
        <v>#DIV/0!</v>
      </c>
      <c r="BN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" s="17" t="e">
        <f>tbl_MTG_Set[[#This Row],[Play Singles CardMarket Profit BotBox]]/tbl_MTG_Set[[#This Row],[Play Booster Cost]]</f>
        <v>#DIV/0!</v>
      </c>
      <c r="BP3" s="10" t="b">
        <f>tbl_MTG_Set[[#This Row],[Play Singles CardMarket Profit BotBox]]&gt;0</f>
        <v>0</v>
      </c>
      <c r="BQ3" s="10"/>
      <c r="BR3" s="10"/>
      <c r="BS3" s="10"/>
      <c r="BT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" s="19" t="e">
        <f>tbl_MTG_Set[[#This Row],[Collector Singles CardMarket Profit MTG Stocks]]/tbl_MTG_Set[[#This Row],[Collector Booster Cost]]</f>
        <v>#N/A</v>
      </c>
      <c r="BW3" s="10" t="b">
        <f>tbl_MTG_Set[[#This Row],[Collector Singles CardMarket Profit MTG Stocks]]&gt;0</f>
        <v>0</v>
      </c>
      <c r="BX3" s="10"/>
      <c r="BY3" s="10"/>
      <c r="BZ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" s="17" t="e">
        <f>tbl_MTG_Set[[#This Row],[Collector Singles CardMarket Profit BotBox]]/tbl_MTG_Set[[#This Row],[Collector Booster Cost]]</f>
        <v>#N/A</v>
      </c>
      <c r="CC3" s="10" t="b">
        <f>tbl_MTG_Set[[#This Row],[Collector Singles CardMarket Profit BotBox]]&gt;0</f>
        <v>0</v>
      </c>
      <c r="CD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-999</v>
      </c>
      <c r="CG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" spans="1:86" hidden="1">
      <c r="A4">
        <v>1</v>
      </c>
      <c r="B4" t="s">
        <v>177</v>
      </c>
      <c r="C4">
        <v>20</v>
      </c>
      <c r="D4" s="3">
        <v>46199</v>
      </c>
      <c r="E4" t="s">
        <v>86</v>
      </c>
      <c r="F4" t="s">
        <v>174</v>
      </c>
      <c r="G4">
        <v>2</v>
      </c>
      <c r="H4">
        <f ca="1">MONTH(NOW())+12*YEAR(NOW())-MONTH(tbl_MTG_Set[[#This Row],[Released On]])-12*YEAR(tbl_MTG_Set[[#This Row],[Released On]])</f>
        <v>-3</v>
      </c>
      <c r="I4">
        <f>_xlfn.XLOOKUP(tbl_MTG_Set[[#This Row],[Type Name]], tbl_MTG_Set_Type[Set Type], tbl_MTG_Set_Type[Index], "(Set Type not found)")</f>
        <v>6</v>
      </c>
      <c r="J4">
        <f>_xlfn.XLOOKUP(tbl_MTG_Set[[#This Row],[Type Name]], tbl_MTG_Set_Type[Set Type], tbl_MTG_Set_Type[Buy Window Month Start], "(Set Type not found)")</f>
        <v>3</v>
      </c>
      <c r="K4" s="3">
        <f>tbl_MTG_Set[[#This Row],[Released On]]+tbl_MTG_Set[[#This Row],[Buy Window Month Start]]*365.25/12</f>
        <v>46290.3125</v>
      </c>
      <c r="L4">
        <f>_xlfn.XLOOKUP(tbl_MTG_Set[[#This Row],[Type Name]], tbl_MTG_Set_Type[Set Type], tbl_MTG_Set_Type[Buy Window Month End], "(Set Type not found)", 0, 1)</f>
        <v>6</v>
      </c>
      <c r="M4" s="3">
        <f>tbl_MTG_Set[[#This Row],[Released On]]+tbl_MTG_Set[[#This Row],[Buy Window Month End]]*365.25/12</f>
        <v>46381.625</v>
      </c>
      <c r="N4" s="3" t="b">
        <f ca="1">AND(NOW()&gt;=tbl_MTG_Set[[#This Row],[Buy Window Start]], NOW()&lt;=tbl_MTG_Set[[#This Row],[Buy Window End]])</f>
        <v>0</v>
      </c>
      <c r="O4">
        <f>_xlfn.XLOOKUP(tbl_MTG_Set[[#This Row],[Type Name]], tbl_MTG_Set_Type[Set Type], tbl_MTG_Set_Type[Heavy Printing Window Month Start], "(Set Type not found)", 0, 1)</f>
        <v>0</v>
      </c>
      <c r="P4" s="3">
        <f>tbl_MTG_Set[[#This Row],[Released On]]+tbl_MTG_Set[[#This Row],[Heavy Printing Window Month Start]]*365.25/12</f>
        <v>46199</v>
      </c>
      <c r="Q4">
        <f>_xlfn.XLOOKUP(tbl_MTG_Set[[#This Row],[Type Name]], tbl_MTG_Set_Type[Set Type], tbl_MTG_Set_Type[Heavy Printing Window Month End], "(Set Type not found)", 0, 1)</f>
        <v>0</v>
      </c>
      <c r="R4" s="3">
        <f>tbl_MTG_Set[[#This Row],[Released On]]+tbl_MTG_Set[[#This Row],[Heavy Printing Window Month End]]*365.25/12</f>
        <v>46199</v>
      </c>
      <c r="S4" s="3" t="b">
        <f ca="1">AND(NOW()&gt;=tbl_MTG_Set[[#This Row],[Heavy Printing Window Start]], NOW()&lt;=tbl_MTG_Set[[#This Row],[Heavy Printing Window End]])</f>
        <v>0</v>
      </c>
      <c r="T4">
        <f>_xlfn.XLOOKUP(tbl_MTG_Set[[#This Row],[Type Name]], tbl_MTG_Set_Type[Set Type], tbl_MTG_Set_Type[Sell Window Month Start], "(Set Type not found)", 0, 1)</f>
        <v>0</v>
      </c>
      <c r="U4" s="3">
        <f>tbl_MTG_Set[[#This Row],[Released On]]+tbl_MTG_Set[[#This Row],[Sell Window Month Start]]*365.25/12</f>
        <v>46199</v>
      </c>
      <c r="V4">
        <f>_xlfn.XLOOKUP(tbl_MTG_Set[[#This Row],[Type Name]], tbl_MTG_Set_Type[Set Type], tbl_MTG_Set_Type[Sell Window Month End], "(Set Type not found)", 0, 1)</f>
        <v>0</v>
      </c>
      <c r="W4" s="3">
        <f>tbl_MTG_Set[[#This Row],[Released On]]+tbl_MTG_Set[[#This Row],[Sell Window Month End]]*365.25/12</f>
        <v>46199</v>
      </c>
      <c r="X4" s="3" t="b">
        <f ca="1">AND(NOW()&gt;=tbl_MTG_Set[[#This Row],[Sell Window Start]], NOW()&lt;=tbl_MTG_Set[[#This Row],[Sell Window End]])</f>
        <v>0</v>
      </c>
      <c r="AG4" s="10"/>
      <c r="AH4" s="10"/>
      <c r="AM4" s="10" t="str" cm="1">
        <f t="array" ref="AM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" s="10" t="str" cm="1">
        <f t="array" ref="AN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" s="4" t="e">
        <f>_xlfn.XLOOKUP(tbl_MTG_Set[[#This Row],[Play Booster Box Product Id]], tbl_Product[Product Id], tbl_Product[Pack Size])</f>
        <v>#N/A</v>
      </c>
      <c r="AP4" s="10" t="e">
        <f>(tbl_MTG_Set[[#This Row],[Play Booster Box Cost]]+v_Item_Shipping_Cost_In)/tbl_MTG_Set[[#This Row],[Play Booster Box Size]]</f>
        <v>#VALUE!</v>
      </c>
      <c r="AQ4" s="10" t="str" cm="1">
        <f t="array" ref="AQ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" s="10"/>
      <c r="AS4" s="10"/>
      <c r="AT4" s="17" t="e">
        <f>tbl_MTG_Set[[#This Row],[Play Booster CardMarket Profit]]/tbl_MTG_Set[[#This Row],[Play Booster Cost]]</f>
        <v>#VALUE!</v>
      </c>
      <c r="AU4" s="10" t="e">
        <f>_xlfn.XLOOKUP(tbl_MTG_Set[[#This Row],[Collector Booster Box Product Id]], tbl_Product[Product Id], tbl_Product[Min Cost])</f>
        <v>#N/A</v>
      </c>
      <c r="AV4" s="10" t="e">
        <f>_xlfn.XLOOKUP(tbl_MTG_Set[[#This Row],[Collector Booster Box Product Id]], tbl_Product[Product Id], tbl_Product[Best Source])</f>
        <v>#N/A</v>
      </c>
      <c r="AW4" s="4" t="e">
        <f>_xlfn.XLOOKUP(tbl_MTG_Set[[#This Row],[Collector Booster Box Product Id]], tbl_Product[Product Id], tbl_Product[Pack Size])</f>
        <v>#N/A</v>
      </c>
      <c r="AX4" s="10" t="e">
        <f>(tbl_MTG_Set[[#This Row],[Collector Booster Box Cost]] + v_Item_Shipping_Cost_In) / tbl_MTG_Set[[#This Row],[Collector Booster Box Size]]</f>
        <v>#N/A</v>
      </c>
      <c r="AY4" s="10" t="str" cm="1">
        <f t="array" ref="AY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" s="10"/>
      <c r="BA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" s="17" t="e">
        <f>tbl_MTG_Set[[#This Row],[Collector Booster CardMarket Profit]]/tbl_MTG_Set[[#This Row],[Collector Booster Cost]]</f>
        <v>#N/A</v>
      </c>
      <c r="BC4" s="10"/>
      <c r="BF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" s="11" t="e">
        <f>tbl_MTG_Set[[#This Row],[Play Singles CardMarket Profit MTG Stocks]]/tbl_MTG_Set[[#This Row],[Play Booster Cost]]</f>
        <v>#VALUE!</v>
      </c>
      <c r="BI4" s="11" t="b">
        <f>tbl_MTG_Set[[#This Row],[Play Singles CardMarket Profit MTG Stocks]]&gt;0</f>
        <v>0</v>
      </c>
      <c r="BM4" s="10" t="e">
        <f>tbl_MTG_Set[[#This Row],[Play Booster Sell Price CardMarket]]*tbl_MTG_Set[[#This Row],[Play Booster Expected Market Value BotBox]]/tbl_MTG_Set[[#This Row],[Play Booster Sealed Market Value BotBox]]</f>
        <v>#VALUE!</v>
      </c>
      <c r="BN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" s="10" t="e">
        <f>tbl_MTG_Set[[#This Row],[Play Singles CardMarket Profit BotBox]]/tbl_MTG_Set[[#This Row],[Play Booster Cost]]</f>
        <v>#VALUE!</v>
      </c>
      <c r="BP4" s="10" t="b">
        <f>tbl_MTG_Set[[#This Row],[Play Singles CardMarket Profit BotBox]]&gt;0</f>
        <v>0</v>
      </c>
      <c r="BQ4" s="10"/>
      <c r="BR4" s="10"/>
      <c r="BS4" s="10"/>
      <c r="BT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" s="19" t="e">
        <f>tbl_MTG_Set[[#This Row],[Collector Singles CardMarket Profit MTG Stocks]]/tbl_MTG_Set[[#This Row],[Collector Booster Cost]]</f>
        <v>#N/A</v>
      </c>
      <c r="BW4" s="10" t="b">
        <f>tbl_MTG_Set[[#This Row],[Collector Singles CardMarket Profit MTG Stocks]]&gt;0</f>
        <v>0</v>
      </c>
      <c r="BX4" s="10"/>
      <c r="BY4" s="10"/>
      <c r="BZ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" s="10" t="e">
        <f>tbl_MTG_Set[[#This Row],[Collector Singles CardMarket Profit BotBox]]/tbl_MTG_Set[[#This Row],[Collector Booster Cost]]</f>
        <v>#N/A</v>
      </c>
      <c r="CC4" s="10" t="b">
        <f>tbl_MTG_Set[[#This Row],[Collector Singles CardMarket Profit BotBox]]&gt;0</f>
        <v>0</v>
      </c>
      <c r="CD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" spans="1:86" hidden="1">
      <c r="A5">
        <v>2</v>
      </c>
      <c r="B5" t="s">
        <v>178</v>
      </c>
      <c r="C5">
        <v>4</v>
      </c>
      <c r="D5" s="3">
        <v>46199</v>
      </c>
      <c r="E5" t="s">
        <v>80</v>
      </c>
      <c r="F5" t="s">
        <v>174</v>
      </c>
      <c r="G5">
        <v>3</v>
      </c>
      <c r="H5">
        <f ca="1">MONTH(NOW())+12*YEAR(NOW())-MONTH(tbl_MTG_Set[[#This Row],[Released On]])-12*YEAR(tbl_MTG_Set[[#This Row],[Released On]])</f>
        <v>-3</v>
      </c>
      <c r="I5">
        <f>_xlfn.XLOOKUP(tbl_MTG_Set[[#This Row],[Type Name]], tbl_MTG_Set_Type[Set Type], tbl_MTG_Set_Type[Index], "(Set Type not found)")</f>
        <v>5</v>
      </c>
      <c r="J5">
        <f>_xlfn.XLOOKUP(tbl_MTG_Set[[#This Row],[Type Name]], tbl_MTG_Set_Type[Set Type], tbl_MTG_Set_Type[Buy Window Month Start], "(Set Type not found)")</f>
        <v>3</v>
      </c>
      <c r="K5" s="3">
        <f>tbl_MTG_Set[[#This Row],[Released On]]+tbl_MTG_Set[[#This Row],[Buy Window Month Start]]*365.25/12</f>
        <v>46290.3125</v>
      </c>
      <c r="L5">
        <f>_xlfn.XLOOKUP(tbl_MTG_Set[[#This Row],[Type Name]], tbl_MTG_Set_Type[Set Type], tbl_MTG_Set_Type[Buy Window Month End], "(Set Type not found)", 0, 1)</f>
        <v>12</v>
      </c>
      <c r="M5" s="3">
        <f>tbl_MTG_Set[[#This Row],[Released On]]+tbl_MTG_Set[[#This Row],[Buy Window Month End]]*365.25/12</f>
        <v>46564.25</v>
      </c>
      <c r="N5" s="3" t="b">
        <f ca="1">AND(NOW()&gt;=tbl_MTG_Set[[#This Row],[Buy Window Start]], NOW()&lt;=tbl_MTG_Set[[#This Row],[Buy Window End]])</f>
        <v>0</v>
      </c>
      <c r="O5">
        <f>_xlfn.XLOOKUP(tbl_MTG_Set[[#This Row],[Type Name]], tbl_MTG_Set_Type[Set Type], tbl_MTG_Set_Type[Heavy Printing Window Month Start], "(Set Type not found)", 0, 1)</f>
        <v>12</v>
      </c>
      <c r="P5" s="3">
        <f>tbl_MTG_Set[[#This Row],[Released On]]+tbl_MTG_Set[[#This Row],[Heavy Printing Window Month Start]]*365.25/12</f>
        <v>46564.25</v>
      </c>
      <c r="Q5">
        <f>_xlfn.XLOOKUP(tbl_MTG_Set[[#This Row],[Type Name]], tbl_MTG_Set_Type[Set Type], tbl_MTG_Set_Type[Heavy Printing Window Month End], "(Set Type not found)", 0, 1)</f>
        <v>18</v>
      </c>
      <c r="R5" s="3">
        <f>tbl_MTG_Set[[#This Row],[Released On]]+tbl_MTG_Set[[#This Row],[Heavy Printing Window Month End]]*365.25/12</f>
        <v>46746.875</v>
      </c>
      <c r="S5" s="3" t="b">
        <f ca="1">AND(NOW()&gt;=tbl_MTG_Set[[#This Row],[Heavy Printing Window Start]], NOW()&lt;=tbl_MTG_Set[[#This Row],[Heavy Printing Window End]])</f>
        <v>0</v>
      </c>
      <c r="T5">
        <f>_xlfn.XLOOKUP(tbl_MTG_Set[[#This Row],[Type Name]], tbl_MTG_Set_Type[Set Type], tbl_MTG_Set_Type[Sell Window Month Start], "(Set Type not found)", 0, 1)</f>
        <v>24</v>
      </c>
      <c r="U5" s="3">
        <f>tbl_MTG_Set[[#This Row],[Released On]]+tbl_MTG_Set[[#This Row],[Sell Window Month Start]]*365.25/12</f>
        <v>46929.5</v>
      </c>
      <c r="V5">
        <f>_xlfn.XLOOKUP(tbl_MTG_Set[[#This Row],[Type Name]], tbl_MTG_Set_Type[Set Type], tbl_MTG_Set_Type[Sell Window Month End], "(Set Type not found)", 0, 1)</f>
        <v>24</v>
      </c>
      <c r="W5" s="3">
        <f>tbl_MTG_Set[[#This Row],[Released On]]+tbl_MTG_Set[[#This Row],[Sell Window Month End]]*365.25/12</f>
        <v>46929.5</v>
      </c>
      <c r="X5" s="3" t="b">
        <f ca="1">AND(NOW()&gt;=tbl_MTG_Set[[#This Row],[Sell Window Start]], NOW()&lt;=tbl_MTG_Set[[#This Row],[Sell Window End]])</f>
        <v>0</v>
      </c>
      <c r="AG5" s="10"/>
      <c r="AH5" s="10"/>
      <c r="AM5" s="10" t="str" cm="1">
        <f t="array" ref="AM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" s="10" t="str" cm="1">
        <f t="array" ref="AN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" s="4" t="e">
        <f>_xlfn.XLOOKUP(tbl_MTG_Set[[#This Row],[Play Booster Box Product Id]], tbl_Product[Product Id], tbl_Product[Pack Size])</f>
        <v>#N/A</v>
      </c>
      <c r="AP5" s="10" t="e">
        <f>(tbl_MTG_Set[[#This Row],[Play Booster Box Cost]]+v_Item_Shipping_Cost_In)/tbl_MTG_Set[[#This Row],[Play Booster Box Size]]</f>
        <v>#VALUE!</v>
      </c>
      <c r="AQ5" s="10" t="str" cm="1">
        <f t="array" ref="AQ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" s="10"/>
      <c r="AS5" s="10"/>
      <c r="AT5" s="17" t="e">
        <f>tbl_MTG_Set[[#This Row],[Play Booster CardMarket Profit]]/tbl_MTG_Set[[#This Row],[Play Booster Cost]]</f>
        <v>#VALUE!</v>
      </c>
      <c r="AU5" s="10" t="e">
        <f>_xlfn.XLOOKUP(tbl_MTG_Set[[#This Row],[Collector Booster Box Product Id]], tbl_Product[Product Id], tbl_Product[Min Cost])</f>
        <v>#N/A</v>
      </c>
      <c r="AV5" s="10" t="e">
        <f>_xlfn.XLOOKUP(tbl_MTG_Set[[#This Row],[Collector Booster Box Product Id]], tbl_Product[Product Id], tbl_Product[Best Source])</f>
        <v>#N/A</v>
      </c>
      <c r="AW5" s="4" t="e">
        <f>_xlfn.XLOOKUP(tbl_MTG_Set[[#This Row],[Collector Booster Box Product Id]], tbl_Product[Product Id], tbl_Product[Pack Size])</f>
        <v>#N/A</v>
      </c>
      <c r="AX5" s="10" t="e">
        <f>(tbl_MTG_Set[[#This Row],[Collector Booster Box Cost]] + v_Item_Shipping_Cost_In) / tbl_MTG_Set[[#This Row],[Collector Booster Box Size]]</f>
        <v>#N/A</v>
      </c>
      <c r="AY5" s="10" t="str" cm="1">
        <f t="array" ref="AY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" s="10"/>
      <c r="BA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" s="17" t="e">
        <f>tbl_MTG_Set[[#This Row],[Collector Booster CardMarket Profit]]/tbl_MTG_Set[[#This Row],[Collector Booster Cost]]</f>
        <v>#N/A</v>
      </c>
      <c r="BC5" s="10"/>
      <c r="BF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" s="11" t="e">
        <f>tbl_MTG_Set[[#This Row],[Play Singles CardMarket Profit MTG Stocks]]/tbl_MTG_Set[[#This Row],[Play Booster Cost]]</f>
        <v>#VALUE!</v>
      </c>
      <c r="BI5" s="11" t="b">
        <f>tbl_MTG_Set[[#This Row],[Play Singles CardMarket Profit MTG Stocks]]&gt;0</f>
        <v>0</v>
      </c>
      <c r="BM5" s="10" t="e">
        <f>tbl_MTG_Set[[#This Row],[Play Booster Sell Price CardMarket]]*tbl_MTG_Set[[#This Row],[Play Booster Expected Market Value BotBox]]/tbl_MTG_Set[[#This Row],[Play Booster Sealed Market Value BotBox]]</f>
        <v>#VALUE!</v>
      </c>
      <c r="BN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" s="10" t="e">
        <f>tbl_MTG_Set[[#This Row],[Play Singles CardMarket Profit BotBox]]/tbl_MTG_Set[[#This Row],[Play Booster Cost]]</f>
        <v>#VALUE!</v>
      </c>
      <c r="BP5" s="10" t="b">
        <f>tbl_MTG_Set[[#This Row],[Play Singles CardMarket Profit BotBox]]&gt;0</f>
        <v>0</v>
      </c>
      <c r="BQ5" s="10"/>
      <c r="BR5" s="10"/>
      <c r="BS5" s="10"/>
      <c r="BT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" s="19" t="e">
        <f>tbl_MTG_Set[[#This Row],[Collector Singles CardMarket Profit MTG Stocks]]/tbl_MTG_Set[[#This Row],[Collector Booster Cost]]</f>
        <v>#N/A</v>
      </c>
      <c r="BW5" s="10" t="b">
        <f>tbl_MTG_Set[[#This Row],[Collector Singles CardMarket Profit MTG Stocks]]&gt;0</f>
        <v>0</v>
      </c>
      <c r="BX5" s="10"/>
      <c r="BY5" s="10"/>
      <c r="BZ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" s="10" t="e">
        <f>tbl_MTG_Set[[#This Row],[Collector Singles CardMarket Profit BotBox]]/tbl_MTG_Set[[#This Row],[Collector Booster Cost]]</f>
        <v>#N/A</v>
      </c>
      <c r="CC5" s="10" t="b">
        <f>tbl_MTG_Set[[#This Row],[Collector Singles CardMarket Profit BotBox]]&gt;0</f>
        <v>0</v>
      </c>
      <c r="CD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" spans="1:86" hidden="1">
      <c r="A6">
        <v>3</v>
      </c>
      <c r="B6" t="s">
        <v>179</v>
      </c>
      <c r="C6">
        <v>20</v>
      </c>
      <c r="D6" s="3">
        <v>46087</v>
      </c>
      <c r="E6" t="s">
        <v>86</v>
      </c>
      <c r="F6" t="s">
        <v>174</v>
      </c>
      <c r="G6">
        <v>4</v>
      </c>
      <c r="H6">
        <f ca="1">MONTH(NOW())+12*YEAR(NOW())-MONTH(tbl_MTG_Set[[#This Row],[Released On]])-12*YEAR(tbl_MTG_Set[[#This Row],[Released On]])</f>
        <v>0</v>
      </c>
      <c r="I6">
        <f>_xlfn.XLOOKUP(tbl_MTG_Set[[#This Row],[Type Name]], tbl_MTG_Set_Type[Set Type], tbl_MTG_Set_Type[Index], "(Set Type not found)")</f>
        <v>6</v>
      </c>
      <c r="J6">
        <f>_xlfn.XLOOKUP(tbl_MTG_Set[[#This Row],[Type Name]], tbl_MTG_Set_Type[Set Type], tbl_MTG_Set_Type[Buy Window Month Start], "(Set Type not found)")</f>
        <v>3</v>
      </c>
      <c r="K6" s="3">
        <f>tbl_MTG_Set[[#This Row],[Released On]]+tbl_MTG_Set[[#This Row],[Buy Window Month Start]]*365.25/12</f>
        <v>46178.3125</v>
      </c>
      <c r="L6">
        <f>_xlfn.XLOOKUP(tbl_MTG_Set[[#This Row],[Type Name]], tbl_MTG_Set_Type[Set Type], tbl_MTG_Set_Type[Buy Window Month End], "(Set Type not found)", 0, 1)</f>
        <v>6</v>
      </c>
      <c r="M6" s="3">
        <f>tbl_MTG_Set[[#This Row],[Released On]]+tbl_MTG_Set[[#This Row],[Buy Window Month End]]*365.25/12</f>
        <v>46269.625</v>
      </c>
      <c r="N6" s="3" t="b">
        <f ca="1">AND(NOW()&gt;=tbl_MTG_Set[[#This Row],[Buy Window Start]], NOW()&lt;=tbl_MTG_Set[[#This Row],[Buy Window End]])</f>
        <v>0</v>
      </c>
      <c r="O6">
        <f>_xlfn.XLOOKUP(tbl_MTG_Set[[#This Row],[Type Name]], tbl_MTG_Set_Type[Set Type], tbl_MTG_Set_Type[Heavy Printing Window Month Start], "(Set Type not found)", 0, 1)</f>
        <v>0</v>
      </c>
      <c r="P6" s="3">
        <f>tbl_MTG_Set[[#This Row],[Released On]]+tbl_MTG_Set[[#This Row],[Heavy Printing Window Month Start]]*365.25/12</f>
        <v>46087</v>
      </c>
      <c r="Q6">
        <f>_xlfn.XLOOKUP(tbl_MTG_Set[[#This Row],[Type Name]], tbl_MTG_Set_Type[Set Type], tbl_MTG_Set_Type[Heavy Printing Window Month End], "(Set Type not found)", 0, 1)</f>
        <v>0</v>
      </c>
      <c r="R6" s="3">
        <f>tbl_MTG_Set[[#This Row],[Released On]]+tbl_MTG_Set[[#This Row],[Heavy Printing Window Month End]]*365.25/12</f>
        <v>46087</v>
      </c>
      <c r="S6" s="3" t="b">
        <f ca="1">AND(NOW()&gt;=tbl_MTG_Set[[#This Row],[Heavy Printing Window Start]], NOW()&lt;=tbl_MTG_Set[[#This Row],[Heavy Printing Window End]])</f>
        <v>0</v>
      </c>
      <c r="T6">
        <f>_xlfn.XLOOKUP(tbl_MTG_Set[[#This Row],[Type Name]], tbl_MTG_Set_Type[Set Type], tbl_MTG_Set_Type[Sell Window Month Start], "(Set Type not found)", 0, 1)</f>
        <v>0</v>
      </c>
      <c r="U6" s="3">
        <f>tbl_MTG_Set[[#This Row],[Released On]]+tbl_MTG_Set[[#This Row],[Sell Window Month Start]]*365.25/12</f>
        <v>46087</v>
      </c>
      <c r="V6">
        <f>_xlfn.XLOOKUP(tbl_MTG_Set[[#This Row],[Type Name]], tbl_MTG_Set_Type[Set Type], tbl_MTG_Set_Type[Sell Window Month End], "(Set Type not found)", 0, 1)</f>
        <v>0</v>
      </c>
      <c r="W6" s="3">
        <f>tbl_MTG_Set[[#This Row],[Released On]]+tbl_MTG_Set[[#This Row],[Sell Window Month End]]*365.25/12</f>
        <v>46087</v>
      </c>
      <c r="X6" s="3" t="b">
        <f ca="1">AND(NOW()&gt;=tbl_MTG_Set[[#This Row],[Sell Window Start]], NOW()&lt;=tbl_MTG_Set[[#This Row],[Sell Window End]])</f>
        <v>0</v>
      </c>
      <c r="AB6" s="10">
        <v>123</v>
      </c>
      <c r="AG6" s="10"/>
      <c r="AH6" s="10"/>
      <c r="AM6" s="10" t="str" cm="1">
        <f t="array" ref="AM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" s="10" t="str" cm="1">
        <f t="array" ref="AN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" s="4" t="e">
        <f>_xlfn.XLOOKUP(tbl_MTG_Set[[#This Row],[Play Booster Box Product Id]], tbl_Product[Product Id], tbl_Product[Pack Size])</f>
        <v>#N/A</v>
      </c>
      <c r="AP6" s="10" t="e">
        <f>(tbl_MTG_Set[[#This Row],[Play Booster Box Cost]]+v_Item_Shipping_Cost_In)/tbl_MTG_Set[[#This Row],[Play Booster Box Size]]</f>
        <v>#VALUE!</v>
      </c>
      <c r="AQ6" s="10" t="str" cm="1">
        <f t="array" ref="AQ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" s="10"/>
      <c r="AS6" s="10"/>
      <c r="AT6" s="17" t="e">
        <f>tbl_MTG_Set[[#This Row],[Play Booster CardMarket Profit]]/tbl_MTG_Set[[#This Row],[Play Booster Cost]]</f>
        <v>#VALUE!</v>
      </c>
      <c r="AU6" s="10" t="e">
        <f>_xlfn.XLOOKUP(tbl_MTG_Set[[#This Row],[Collector Booster Box Product Id]], tbl_Product[Product Id], tbl_Product[Min Cost])</f>
        <v>#N/A</v>
      </c>
      <c r="AV6" s="10" t="e">
        <f>_xlfn.XLOOKUP(tbl_MTG_Set[[#This Row],[Collector Booster Box Product Id]], tbl_Product[Product Id], tbl_Product[Best Source])</f>
        <v>#N/A</v>
      </c>
      <c r="AW6" s="4" t="e">
        <f>_xlfn.XLOOKUP(tbl_MTG_Set[[#This Row],[Collector Booster Box Product Id]], tbl_Product[Product Id], tbl_Product[Pack Size])</f>
        <v>#N/A</v>
      </c>
      <c r="AX6" s="10" t="e">
        <f>(tbl_MTG_Set[[#This Row],[Collector Booster Box Cost]] + v_Item_Shipping_Cost_In) / tbl_MTG_Set[[#This Row],[Collector Booster Box Size]]</f>
        <v>#N/A</v>
      </c>
      <c r="AY6" s="10" t="str" cm="1">
        <f t="array" ref="AY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" s="10"/>
      <c r="BA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" s="17" t="e">
        <f>tbl_MTG_Set[[#This Row],[Collector Booster CardMarket Profit]]/tbl_MTG_Set[[#This Row],[Collector Booster Cost]]</f>
        <v>#N/A</v>
      </c>
      <c r="BC6" s="10"/>
      <c r="BF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" s="11" t="e">
        <f>tbl_MTG_Set[[#This Row],[Play Singles CardMarket Profit MTG Stocks]]/tbl_MTG_Set[[#This Row],[Play Booster Cost]]</f>
        <v>#VALUE!</v>
      </c>
      <c r="BI6" s="11" t="b">
        <f>tbl_MTG_Set[[#This Row],[Play Singles CardMarket Profit MTG Stocks]]&gt;0</f>
        <v>0</v>
      </c>
      <c r="BM6" s="10" t="e">
        <f>tbl_MTG_Set[[#This Row],[Play Booster Sell Price CardMarket]]*tbl_MTG_Set[[#This Row],[Play Booster Expected Market Value BotBox]]/tbl_MTG_Set[[#This Row],[Play Booster Sealed Market Value BotBox]]</f>
        <v>#VALUE!</v>
      </c>
      <c r="BN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" s="10" t="e">
        <f>tbl_MTG_Set[[#This Row],[Play Singles CardMarket Profit BotBox]]/tbl_MTG_Set[[#This Row],[Play Booster Cost]]</f>
        <v>#VALUE!</v>
      </c>
      <c r="BP6" s="10" t="b">
        <f>tbl_MTG_Set[[#This Row],[Play Singles CardMarket Profit BotBox]]&gt;0</f>
        <v>0</v>
      </c>
      <c r="BQ6" s="10"/>
      <c r="BR6" s="10"/>
      <c r="BS6" s="10"/>
      <c r="BT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" s="19" t="e">
        <f>tbl_MTG_Set[[#This Row],[Collector Singles CardMarket Profit MTG Stocks]]/tbl_MTG_Set[[#This Row],[Collector Booster Cost]]</f>
        <v>#N/A</v>
      </c>
      <c r="BW6" s="10" t="b">
        <f>tbl_MTG_Set[[#This Row],[Collector Singles CardMarket Profit MTG Stocks]]&gt;0</f>
        <v>0</v>
      </c>
      <c r="BX6" s="10"/>
      <c r="BY6" s="10"/>
      <c r="BZ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" s="10" t="e">
        <f>tbl_MTG_Set[[#This Row],[Collector Singles CardMarket Profit BotBox]]/tbl_MTG_Set[[#This Row],[Collector Booster Cost]]</f>
        <v>#N/A</v>
      </c>
      <c r="CC6" s="10" t="b">
        <f>tbl_MTG_Set[[#This Row],[Collector Singles CardMarket Profit BotBox]]&gt;0</f>
        <v>0</v>
      </c>
      <c r="CD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" spans="1:86" hidden="1">
      <c r="A7">
        <v>4</v>
      </c>
      <c r="B7" t="s">
        <v>180</v>
      </c>
      <c r="C7">
        <v>1</v>
      </c>
      <c r="D7" s="3">
        <v>46087</v>
      </c>
      <c r="E7" t="s">
        <v>86</v>
      </c>
      <c r="F7" t="s">
        <v>174</v>
      </c>
      <c r="G7">
        <v>5</v>
      </c>
      <c r="H7">
        <f ca="1">MONTH(NOW())+12*YEAR(NOW())-MONTH(tbl_MTG_Set[[#This Row],[Released On]])-12*YEAR(tbl_MTG_Set[[#This Row],[Released On]])</f>
        <v>0</v>
      </c>
      <c r="I7">
        <f>_xlfn.XLOOKUP(tbl_MTG_Set[[#This Row],[Type Name]], tbl_MTG_Set_Type[Set Type], tbl_MTG_Set_Type[Index], "(Set Type not found)")</f>
        <v>6</v>
      </c>
      <c r="J7">
        <f>_xlfn.XLOOKUP(tbl_MTG_Set[[#This Row],[Type Name]], tbl_MTG_Set_Type[Set Type], tbl_MTG_Set_Type[Buy Window Month Start], "(Set Type not found)")</f>
        <v>3</v>
      </c>
      <c r="K7" s="3">
        <f>tbl_MTG_Set[[#This Row],[Released On]]+tbl_MTG_Set[[#This Row],[Buy Window Month Start]]*365.25/12</f>
        <v>46178.3125</v>
      </c>
      <c r="L7">
        <f>_xlfn.XLOOKUP(tbl_MTG_Set[[#This Row],[Type Name]], tbl_MTG_Set_Type[Set Type], tbl_MTG_Set_Type[Buy Window Month End], "(Set Type not found)", 0, 1)</f>
        <v>6</v>
      </c>
      <c r="M7" s="3">
        <f>tbl_MTG_Set[[#This Row],[Released On]]+tbl_MTG_Set[[#This Row],[Buy Window Month End]]*365.25/12</f>
        <v>46269.625</v>
      </c>
      <c r="N7" s="3" t="b">
        <f ca="1">AND(NOW()&gt;=tbl_MTG_Set[[#This Row],[Buy Window Start]], NOW()&lt;=tbl_MTG_Set[[#This Row],[Buy Window End]])</f>
        <v>0</v>
      </c>
      <c r="O7">
        <f>_xlfn.XLOOKUP(tbl_MTG_Set[[#This Row],[Type Name]], tbl_MTG_Set_Type[Set Type], tbl_MTG_Set_Type[Heavy Printing Window Month Start], "(Set Type not found)", 0, 1)</f>
        <v>0</v>
      </c>
      <c r="P7" s="3">
        <f>tbl_MTG_Set[[#This Row],[Released On]]+tbl_MTG_Set[[#This Row],[Heavy Printing Window Month Start]]*365.25/12</f>
        <v>46087</v>
      </c>
      <c r="Q7">
        <f>_xlfn.XLOOKUP(tbl_MTG_Set[[#This Row],[Type Name]], tbl_MTG_Set_Type[Set Type], tbl_MTG_Set_Type[Heavy Printing Window Month End], "(Set Type not found)", 0, 1)</f>
        <v>0</v>
      </c>
      <c r="R7" s="3">
        <f>tbl_MTG_Set[[#This Row],[Released On]]+tbl_MTG_Set[[#This Row],[Heavy Printing Window Month End]]*365.25/12</f>
        <v>46087</v>
      </c>
      <c r="S7" s="3" t="b">
        <f ca="1">AND(NOW()&gt;=tbl_MTG_Set[[#This Row],[Heavy Printing Window Start]], NOW()&lt;=tbl_MTG_Set[[#This Row],[Heavy Printing Window End]])</f>
        <v>0</v>
      </c>
      <c r="T7">
        <f>_xlfn.XLOOKUP(tbl_MTG_Set[[#This Row],[Type Name]], tbl_MTG_Set_Type[Set Type], tbl_MTG_Set_Type[Sell Window Month Start], "(Set Type not found)", 0, 1)</f>
        <v>0</v>
      </c>
      <c r="U7" s="3">
        <f>tbl_MTG_Set[[#This Row],[Released On]]+tbl_MTG_Set[[#This Row],[Sell Window Month Start]]*365.25/12</f>
        <v>46087</v>
      </c>
      <c r="V7">
        <f>_xlfn.XLOOKUP(tbl_MTG_Set[[#This Row],[Type Name]], tbl_MTG_Set_Type[Set Type], tbl_MTG_Set_Type[Sell Window Month End], "(Set Type not found)", 0, 1)</f>
        <v>0</v>
      </c>
      <c r="W7" s="3">
        <f>tbl_MTG_Set[[#This Row],[Released On]]+tbl_MTG_Set[[#This Row],[Sell Window Month End]]*365.25/12</f>
        <v>46087</v>
      </c>
      <c r="X7" s="3" t="b">
        <f ca="1">AND(NOW()&gt;=tbl_MTG_Set[[#This Row],[Sell Window Start]], NOW()&lt;=tbl_MTG_Set[[#This Row],[Sell Window End]])</f>
        <v>0</v>
      </c>
      <c r="AG7" s="10"/>
      <c r="AH7" s="10"/>
      <c r="AM7" s="10" t="str" cm="1">
        <f t="array" ref="AM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" s="10" t="str" cm="1">
        <f t="array" ref="AN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" s="4" t="e">
        <f>_xlfn.XLOOKUP(tbl_MTG_Set[[#This Row],[Play Booster Box Product Id]], tbl_Product[Product Id], tbl_Product[Pack Size])</f>
        <v>#N/A</v>
      </c>
      <c r="AP7" s="10" t="e">
        <f>(tbl_MTG_Set[[#This Row],[Play Booster Box Cost]]+v_Item_Shipping_Cost_In)/tbl_MTG_Set[[#This Row],[Play Booster Box Size]]</f>
        <v>#VALUE!</v>
      </c>
      <c r="AQ7" s="10" t="str" cm="1">
        <f t="array" ref="AQ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" s="10"/>
      <c r="AS7" s="10"/>
      <c r="AT7" s="17" t="e">
        <f>tbl_MTG_Set[[#This Row],[Play Booster CardMarket Profit]]/tbl_MTG_Set[[#This Row],[Play Booster Cost]]</f>
        <v>#VALUE!</v>
      </c>
      <c r="AU7" s="10" t="e">
        <f>_xlfn.XLOOKUP(tbl_MTG_Set[[#This Row],[Collector Booster Box Product Id]], tbl_Product[Product Id], tbl_Product[Min Cost])</f>
        <v>#N/A</v>
      </c>
      <c r="AV7" s="10" t="e">
        <f>_xlfn.XLOOKUP(tbl_MTG_Set[[#This Row],[Collector Booster Box Product Id]], tbl_Product[Product Id], tbl_Product[Best Source])</f>
        <v>#N/A</v>
      </c>
      <c r="AW7" s="4" t="e">
        <f>_xlfn.XLOOKUP(tbl_MTG_Set[[#This Row],[Collector Booster Box Product Id]], tbl_Product[Product Id], tbl_Product[Pack Size])</f>
        <v>#N/A</v>
      </c>
      <c r="AX7" s="10" t="e">
        <f>(tbl_MTG_Set[[#This Row],[Collector Booster Box Cost]] + v_Item_Shipping_Cost_In) / tbl_MTG_Set[[#This Row],[Collector Booster Box Size]]</f>
        <v>#N/A</v>
      </c>
      <c r="AY7" s="10" t="str" cm="1">
        <f t="array" ref="AY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" s="10"/>
      <c r="BA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" s="17" t="e">
        <f>tbl_MTG_Set[[#This Row],[Collector Booster CardMarket Profit]]/tbl_MTG_Set[[#This Row],[Collector Booster Cost]]</f>
        <v>#N/A</v>
      </c>
      <c r="BC7" s="10"/>
      <c r="BF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" s="11" t="e">
        <f>tbl_MTG_Set[[#This Row],[Play Singles CardMarket Profit MTG Stocks]]/tbl_MTG_Set[[#This Row],[Play Booster Cost]]</f>
        <v>#VALUE!</v>
      </c>
      <c r="BI7" s="11" t="b">
        <f>tbl_MTG_Set[[#This Row],[Play Singles CardMarket Profit MTG Stocks]]&gt;0</f>
        <v>0</v>
      </c>
      <c r="BM7" s="10" t="e">
        <f>tbl_MTG_Set[[#This Row],[Play Booster Sell Price CardMarket]]*tbl_MTG_Set[[#This Row],[Play Booster Expected Market Value BotBox]]/tbl_MTG_Set[[#This Row],[Play Booster Sealed Market Value BotBox]]</f>
        <v>#VALUE!</v>
      </c>
      <c r="BN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" s="10" t="e">
        <f>tbl_MTG_Set[[#This Row],[Play Singles CardMarket Profit BotBox]]/tbl_MTG_Set[[#This Row],[Play Booster Cost]]</f>
        <v>#VALUE!</v>
      </c>
      <c r="BP7" s="10" t="b">
        <f>tbl_MTG_Set[[#This Row],[Play Singles CardMarket Profit BotBox]]&gt;0</f>
        <v>0</v>
      </c>
      <c r="BQ7" s="10"/>
      <c r="BR7" s="10"/>
      <c r="BS7" s="10"/>
      <c r="BT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" s="19" t="e">
        <f>tbl_MTG_Set[[#This Row],[Collector Singles CardMarket Profit MTG Stocks]]/tbl_MTG_Set[[#This Row],[Collector Booster Cost]]</f>
        <v>#N/A</v>
      </c>
      <c r="BW7" s="10" t="b">
        <f>tbl_MTG_Set[[#This Row],[Collector Singles CardMarket Profit MTG Stocks]]&gt;0</f>
        <v>0</v>
      </c>
      <c r="BX7" s="10"/>
      <c r="BY7" s="10"/>
      <c r="BZ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" s="10" t="e">
        <f>tbl_MTG_Set[[#This Row],[Collector Singles CardMarket Profit BotBox]]/tbl_MTG_Set[[#This Row],[Collector Booster Cost]]</f>
        <v>#N/A</v>
      </c>
      <c r="CC7" s="10" t="b">
        <f>tbl_MTG_Set[[#This Row],[Collector Singles CardMarket Profit BotBox]]&gt;0</f>
        <v>0</v>
      </c>
      <c r="CD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" spans="1:86" hidden="1">
      <c r="A8">
        <v>5</v>
      </c>
      <c r="B8" t="s">
        <v>181</v>
      </c>
      <c r="C8">
        <v>1</v>
      </c>
      <c r="D8" s="3">
        <v>46087</v>
      </c>
      <c r="E8" t="s">
        <v>86</v>
      </c>
      <c r="F8" t="s">
        <v>174</v>
      </c>
      <c r="G8">
        <v>6</v>
      </c>
      <c r="H8">
        <f ca="1">MONTH(NOW())+12*YEAR(NOW())-MONTH(tbl_MTG_Set[[#This Row],[Released On]])-12*YEAR(tbl_MTG_Set[[#This Row],[Released On]])</f>
        <v>0</v>
      </c>
      <c r="I8">
        <f>_xlfn.XLOOKUP(tbl_MTG_Set[[#This Row],[Type Name]], tbl_MTG_Set_Type[Set Type], tbl_MTG_Set_Type[Index], "(Set Type not found)")</f>
        <v>6</v>
      </c>
      <c r="J8">
        <f>_xlfn.XLOOKUP(tbl_MTG_Set[[#This Row],[Type Name]], tbl_MTG_Set_Type[Set Type], tbl_MTG_Set_Type[Buy Window Month Start], "(Set Type not found)")</f>
        <v>3</v>
      </c>
      <c r="K8" s="3">
        <f>tbl_MTG_Set[[#This Row],[Released On]]+tbl_MTG_Set[[#This Row],[Buy Window Month Start]]*365.25/12</f>
        <v>46178.3125</v>
      </c>
      <c r="L8">
        <f>_xlfn.XLOOKUP(tbl_MTG_Set[[#This Row],[Type Name]], tbl_MTG_Set_Type[Set Type], tbl_MTG_Set_Type[Buy Window Month End], "(Set Type not found)", 0, 1)</f>
        <v>6</v>
      </c>
      <c r="M8" s="3">
        <f>tbl_MTG_Set[[#This Row],[Released On]]+tbl_MTG_Set[[#This Row],[Buy Window Month End]]*365.25/12</f>
        <v>46269.625</v>
      </c>
      <c r="N8" s="3" t="b">
        <f ca="1">AND(NOW()&gt;=tbl_MTG_Set[[#This Row],[Buy Window Start]], NOW()&lt;=tbl_MTG_Set[[#This Row],[Buy Window End]])</f>
        <v>0</v>
      </c>
      <c r="O8">
        <f>_xlfn.XLOOKUP(tbl_MTG_Set[[#This Row],[Type Name]], tbl_MTG_Set_Type[Set Type], tbl_MTG_Set_Type[Heavy Printing Window Month Start], "(Set Type not found)", 0, 1)</f>
        <v>0</v>
      </c>
      <c r="P8" s="3">
        <f>tbl_MTG_Set[[#This Row],[Released On]]+tbl_MTG_Set[[#This Row],[Heavy Printing Window Month Start]]*365.25/12</f>
        <v>46087</v>
      </c>
      <c r="Q8">
        <f>_xlfn.XLOOKUP(tbl_MTG_Set[[#This Row],[Type Name]], tbl_MTG_Set_Type[Set Type], tbl_MTG_Set_Type[Heavy Printing Window Month End], "(Set Type not found)", 0, 1)</f>
        <v>0</v>
      </c>
      <c r="R8" s="3">
        <f>tbl_MTG_Set[[#This Row],[Released On]]+tbl_MTG_Set[[#This Row],[Heavy Printing Window Month End]]*365.25/12</f>
        <v>46087</v>
      </c>
      <c r="S8" s="3" t="b">
        <f ca="1">AND(NOW()&gt;=tbl_MTG_Set[[#This Row],[Heavy Printing Window Start]], NOW()&lt;=tbl_MTG_Set[[#This Row],[Heavy Printing Window End]])</f>
        <v>0</v>
      </c>
      <c r="T8">
        <f>_xlfn.XLOOKUP(tbl_MTG_Set[[#This Row],[Type Name]], tbl_MTG_Set_Type[Set Type], tbl_MTG_Set_Type[Sell Window Month Start], "(Set Type not found)", 0, 1)</f>
        <v>0</v>
      </c>
      <c r="U8" s="3">
        <f>tbl_MTG_Set[[#This Row],[Released On]]+tbl_MTG_Set[[#This Row],[Sell Window Month Start]]*365.25/12</f>
        <v>46087</v>
      </c>
      <c r="V8">
        <f>_xlfn.XLOOKUP(tbl_MTG_Set[[#This Row],[Type Name]], tbl_MTG_Set_Type[Set Type], tbl_MTG_Set_Type[Sell Window Month End], "(Set Type not found)", 0, 1)</f>
        <v>0</v>
      </c>
      <c r="W8" s="3">
        <f>tbl_MTG_Set[[#This Row],[Released On]]+tbl_MTG_Set[[#This Row],[Sell Window Month End]]*365.25/12</f>
        <v>46087</v>
      </c>
      <c r="X8" s="3" t="b">
        <f ca="1">AND(NOW()&gt;=tbl_MTG_Set[[#This Row],[Sell Window Start]], NOW()&lt;=tbl_MTG_Set[[#This Row],[Sell Window End]])</f>
        <v>0</v>
      </c>
      <c r="AG8" s="10"/>
      <c r="AH8" s="10"/>
      <c r="AM8" s="10" t="str" cm="1">
        <f t="array" ref="AM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" s="10" t="str" cm="1">
        <f t="array" ref="AN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" s="4" t="e">
        <f>_xlfn.XLOOKUP(tbl_MTG_Set[[#This Row],[Play Booster Box Product Id]], tbl_Product[Product Id], tbl_Product[Pack Size])</f>
        <v>#N/A</v>
      </c>
      <c r="AP8" s="10" t="e">
        <f>(tbl_MTG_Set[[#This Row],[Play Booster Box Cost]]+v_Item_Shipping_Cost_In)/tbl_MTG_Set[[#This Row],[Play Booster Box Size]]</f>
        <v>#VALUE!</v>
      </c>
      <c r="AQ8" s="10" t="str" cm="1">
        <f t="array" ref="AQ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" s="10"/>
      <c r="AS8" s="10"/>
      <c r="AT8" s="17" t="e">
        <f>tbl_MTG_Set[[#This Row],[Play Booster CardMarket Profit]]/tbl_MTG_Set[[#This Row],[Play Booster Cost]]</f>
        <v>#VALUE!</v>
      </c>
      <c r="AU8" s="10" t="e">
        <f>_xlfn.XLOOKUP(tbl_MTG_Set[[#This Row],[Collector Booster Box Product Id]], tbl_Product[Product Id], tbl_Product[Min Cost])</f>
        <v>#N/A</v>
      </c>
      <c r="AV8" s="10" t="e">
        <f>_xlfn.XLOOKUP(tbl_MTG_Set[[#This Row],[Collector Booster Box Product Id]], tbl_Product[Product Id], tbl_Product[Best Source])</f>
        <v>#N/A</v>
      </c>
      <c r="AW8" s="4" t="e">
        <f>_xlfn.XLOOKUP(tbl_MTG_Set[[#This Row],[Collector Booster Box Product Id]], tbl_Product[Product Id], tbl_Product[Pack Size])</f>
        <v>#N/A</v>
      </c>
      <c r="AX8" s="10" t="e">
        <f>(tbl_MTG_Set[[#This Row],[Collector Booster Box Cost]] + v_Item_Shipping_Cost_In) / tbl_MTG_Set[[#This Row],[Collector Booster Box Size]]</f>
        <v>#N/A</v>
      </c>
      <c r="AY8" s="10" t="str" cm="1">
        <f t="array" ref="AY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" s="10"/>
      <c r="BA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" s="17" t="e">
        <f>tbl_MTG_Set[[#This Row],[Collector Booster CardMarket Profit]]/tbl_MTG_Set[[#This Row],[Collector Booster Cost]]</f>
        <v>#N/A</v>
      </c>
      <c r="BC8" s="10"/>
      <c r="BF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" s="11" t="e">
        <f>tbl_MTG_Set[[#This Row],[Play Singles CardMarket Profit MTG Stocks]]/tbl_MTG_Set[[#This Row],[Play Booster Cost]]</f>
        <v>#VALUE!</v>
      </c>
      <c r="BI8" s="11" t="b">
        <f>tbl_MTG_Set[[#This Row],[Play Singles CardMarket Profit MTG Stocks]]&gt;0</f>
        <v>0</v>
      </c>
      <c r="BM8" s="10" t="e">
        <f>tbl_MTG_Set[[#This Row],[Play Booster Sell Price CardMarket]]*tbl_MTG_Set[[#This Row],[Play Booster Expected Market Value BotBox]]/tbl_MTG_Set[[#This Row],[Play Booster Sealed Market Value BotBox]]</f>
        <v>#VALUE!</v>
      </c>
      <c r="BN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" s="10" t="e">
        <f>tbl_MTG_Set[[#This Row],[Play Singles CardMarket Profit BotBox]]/tbl_MTG_Set[[#This Row],[Play Booster Cost]]</f>
        <v>#VALUE!</v>
      </c>
      <c r="BP8" s="10" t="b">
        <f>tbl_MTG_Set[[#This Row],[Play Singles CardMarket Profit BotBox]]&gt;0</f>
        <v>0</v>
      </c>
      <c r="BQ8" s="10"/>
      <c r="BR8" s="10"/>
      <c r="BS8" s="10"/>
      <c r="BT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" s="19" t="e">
        <f>tbl_MTG_Set[[#This Row],[Collector Singles CardMarket Profit MTG Stocks]]/tbl_MTG_Set[[#This Row],[Collector Booster Cost]]</f>
        <v>#N/A</v>
      </c>
      <c r="BW8" s="10" t="b">
        <f>tbl_MTG_Set[[#This Row],[Collector Singles CardMarket Profit MTG Stocks]]&gt;0</f>
        <v>0</v>
      </c>
      <c r="BX8" s="10"/>
      <c r="BY8" s="10"/>
      <c r="BZ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" s="10" t="e">
        <f>tbl_MTG_Set[[#This Row],[Collector Singles CardMarket Profit BotBox]]/tbl_MTG_Set[[#This Row],[Collector Booster Cost]]</f>
        <v>#N/A</v>
      </c>
      <c r="CC8" s="10" t="b">
        <f>tbl_MTG_Set[[#This Row],[Collector Singles CardMarket Profit BotBox]]&gt;0</f>
        <v>0</v>
      </c>
      <c r="CD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" spans="1:86" hidden="1">
      <c r="A9">
        <v>6</v>
      </c>
      <c r="B9" t="s">
        <v>182</v>
      </c>
      <c r="C9">
        <v>12</v>
      </c>
      <c r="D9" s="3">
        <v>46087</v>
      </c>
      <c r="E9" t="s">
        <v>86</v>
      </c>
      <c r="F9" t="s">
        <v>174</v>
      </c>
      <c r="G9">
        <v>7</v>
      </c>
      <c r="H9">
        <f ca="1">MONTH(NOW())+12*YEAR(NOW())-MONTH(tbl_MTG_Set[[#This Row],[Released On]])-12*YEAR(tbl_MTG_Set[[#This Row],[Released On]])</f>
        <v>0</v>
      </c>
      <c r="I9">
        <f>_xlfn.XLOOKUP(tbl_MTG_Set[[#This Row],[Type Name]], tbl_MTG_Set_Type[Set Type], tbl_MTG_Set_Type[Index], "(Set Type not found)")</f>
        <v>6</v>
      </c>
      <c r="J9">
        <f>_xlfn.XLOOKUP(tbl_MTG_Set[[#This Row],[Type Name]], tbl_MTG_Set_Type[Set Type], tbl_MTG_Set_Type[Buy Window Month Start], "(Set Type not found)")</f>
        <v>3</v>
      </c>
      <c r="K9" s="3">
        <f>tbl_MTG_Set[[#This Row],[Released On]]+tbl_MTG_Set[[#This Row],[Buy Window Month Start]]*365.25/12</f>
        <v>46178.3125</v>
      </c>
      <c r="L9">
        <f>_xlfn.XLOOKUP(tbl_MTG_Set[[#This Row],[Type Name]], tbl_MTG_Set_Type[Set Type], tbl_MTG_Set_Type[Buy Window Month End], "(Set Type not found)", 0, 1)</f>
        <v>6</v>
      </c>
      <c r="M9" s="3">
        <f>tbl_MTG_Set[[#This Row],[Released On]]+tbl_MTG_Set[[#This Row],[Buy Window Month End]]*365.25/12</f>
        <v>46269.625</v>
      </c>
      <c r="N9" s="3" t="b">
        <f ca="1">AND(NOW()&gt;=tbl_MTG_Set[[#This Row],[Buy Window Start]], NOW()&lt;=tbl_MTG_Set[[#This Row],[Buy Window End]])</f>
        <v>0</v>
      </c>
      <c r="O9">
        <f>_xlfn.XLOOKUP(tbl_MTG_Set[[#This Row],[Type Name]], tbl_MTG_Set_Type[Set Type], tbl_MTG_Set_Type[Heavy Printing Window Month Start], "(Set Type not found)", 0, 1)</f>
        <v>0</v>
      </c>
      <c r="P9" s="3">
        <f>tbl_MTG_Set[[#This Row],[Released On]]+tbl_MTG_Set[[#This Row],[Heavy Printing Window Month Start]]*365.25/12</f>
        <v>46087</v>
      </c>
      <c r="Q9">
        <f>_xlfn.XLOOKUP(tbl_MTG_Set[[#This Row],[Type Name]], tbl_MTG_Set_Type[Set Type], tbl_MTG_Set_Type[Heavy Printing Window Month End], "(Set Type not found)", 0, 1)</f>
        <v>0</v>
      </c>
      <c r="R9" s="3">
        <f>tbl_MTG_Set[[#This Row],[Released On]]+tbl_MTG_Set[[#This Row],[Heavy Printing Window Month End]]*365.25/12</f>
        <v>46087</v>
      </c>
      <c r="S9" s="3" t="b">
        <f ca="1">AND(NOW()&gt;=tbl_MTG_Set[[#This Row],[Heavy Printing Window Start]], NOW()&lt;=tbl_MTG_Set[[#This Row],[Heavy Printing Window End]])</f>
        <v>0</v>
      </c>
      <c r="T9">
        <f>_xlfn.XLOOKUP(tbl_MTG_Set[[#This Row],[Type Name]], tbl_MTG_Set_Type[Set Type], tbl_MTG_Set_Type[Sell Window Month Start], "(Set Type not found)", 0, 1)</f>
        <v>0</v>
      </c>
      <c r="U9" s="3">
        <f>tbl_MTG_Set[[#This Row],[Released On]]+tbl_MTG_Set[[#This Row],[Sell Window Month Start]]*365.25/12</f>
        <v>46087</v>
      </c>
      <c r="V9">
        <f>_xlfn.XLOOKUP(tbl_MTG_Set[[#This Row],[Type Name]], tbl_MTG_Set_Type[Set Type], tbl_MTG_Set_Type[Sell Window Month End], "(Set Type not found)", 0, 1)</f>
        <v>0</v>
      </c>
      <c r="W9" s="3">
        <f>tbl_MTG_Set[[#This Row],[Released On]]+tbl_MTG_Set[[#This Row],[Sell Window Month End]]*365.25/12</f>
        <v>46087</v>
      </c>
      <c r="X9" s="3" t="b">
        <f ca="1">AND(NOW()&gt;=tbl_MTG_Set[[#This Row],[Sell Window Start]], NOW()&lt;=tbl_MTG_Set[[#This Row],[Sell Window End]])</f>
        <v>0</v>
      </c>
      <c r="AG9" s="10"/>
      <c r="AH9" s="10"/>
      <c r="AM9" s="10" t="str" cm="1">
        <f t="array" ref="AM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" s="10" t="str" cm="1">
        <f t="array" ref="AN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" s="4" t="e">
        <f>_xlfn.XLOOKUP(tbl_MTG_Set[[#This Row],[Play Booster Box Product Id]], tbl_Product[Product Id], tbl_Product[Pack Size])</f>
        <v>#N/A</v>
      </c>
      <c r="AP9" s="10" t="e">
        <f>(tbl_MTG_Set[[#This Row],[Play Booster Box Cost]]+v_Item_Shipping_Cost_In)/tbl_MTG_Set[[#This Row],[Play Booster Box Size]]</f>
        <v>#VALUE!</v>
      </c>
      <c r="AQ9" s="10" t="str" cm="1">
        <f t="array" ref="AQ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" s="10"/>
      <c r="AS9" s="10"/>
      <c r="AT9" s="17" t="e">
        <f>tbl_MTG_Set[[#This Row],[Play Booster CardMarket Profit]]/tbl_MTG_Set[[#This Row],[Play Booster Cost]]</f>
        <v>#VALUE!</v>
      </c>
      <c r="AU9" s="10" t="e">
        <f>_xlfn.XLOOKUP(tbl_MTG_Set[[#This Row],[Collector Booster Box Product Id]], tbl_Product[Product Id], tbl_Product[Min Cost])</f>
        <v>#N/A</v>
      </c>
      <c r="AV9" s="10" t="e">
        <f>_xlfn.XLOOKUP(tbl_MTG_Set[[#This Row],[Collector Booster Box Product Id]], tbl_Product[Product Id], tbl_Product[Best Source])</f>
        <v>#N/A</v>
      </c>
      <c r="AW9" s="4" t="e">
        <f>_xlfn.XLOOKUP(tbl_MTG_Set[[#This Row],[Collector Booster Box Product Id]], tbl_Product[Product Id], tbl_Product[Pack Size])</f>
        <v>#N/A</v>
      </c>
      <c r="AX9" s="10" t="e">
        <f>(tbl_MTG_Set[[#This Row],[Collector Booster Box Cost]] + v_Item_Shipping_Cost_In) / tbl_MTG_Set[[#This Row],[Collector Booster Box Size]]</f>
        <v>#N/A</v>
      </c>
      <c r="AY9" s="10" t="str" cm="1">
        <f t="array" ref="AY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" s="10"/>
      <c r="BA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" s="17" t="e">
        <f>tbl_MTG_Set[[#This Row],[Collector Booster CardMarket Profit]]/tbl_MTG_Set[[#This Row],[Collector Booster Cost]]</f>
        <v>#N/A</v>
      </c>
      <c r="BC9" s="10"/>
      <c r="BF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" s="11" t="e">
        <f>tbl_MTG_Set[[#This Row],[Play Singles CardMarket Profit MTG Stocks]]/tbl_MTG_Set[[#This Row],[Play Booster Cost]]</f>
        <v>#VALUE!</v>
      </c>
      <c r="BI9" s="11" t="b">
        <f>tbl_MTG_Set[[#This Row],[Play Singles CardMarket Profit MTG Stocks]]&gt;0</f>
        <v>0</v>
      </c>
      <c r="BM9" s="10" t="e">
        <f>tbl_MTG_Set[[#This Row],[Play Booster Sell Price CardMarket]]*tbl_MTG_Set[[#This Row],[Play Booster Expected Market Value BotBox]]/tbl_MTG_Set[[#This Row],[Play Booster Sealed Market Value BotBox]]</f>
        <v>#VALUE!</v>
      </c>
      <c r="BN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" s="10" t="e">
        <f>tbl_MTG_Set[[#This Row],[Play Singles CardMarket Profit BotBox]]/tbl_MTG_Set[[#This Row],[Play Booster Cost]]</f>
        <v>#VALUE!</v>
      </c>
      <c r="BP9" s="10" t="b">
        <f>tbl_MTG_Set[[#This Row],[Play Singles CardMarket Profit BotBox]]&gt;0</f>
        <v>0</v>
      </c>
      <c r="BQ9" s="10"/>
      <c r="BR9" s="10"/>
      <c r="BS9" s="10"/>
      <c r="BT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" s="19" t="e">
        <f>tbl_MTG_Set[[#This Row],[Collector Singles CardMarket Profit MTG Stocks]]/tbl_MTG_Set[[#This Row],[Collector Booster Cost]]</f>
        <v>#N/A</v>
      </c>
      <c r="BW9" s="10" t="b">
        <f>tbl_MTG_Set[[#This Row],[Collector Singles CardMarket Profit MTG Stocks]]&gt;0</f>
        <v>0</v>
      </c>
      <c r="BX9" s="10"/>
      <c r="BY9" s="10"/>
      <c r="BZ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" s="10" t="e">
        <f>tbl_MTG_Set[[#This Row],[Collector Singles CardMarket Profit BotBox]]/tbl_MTG_Set[[#This Row],[Collector Booster Cost]]</f>
        <v>#N/A</v>
      </c>
      <c r="CC9" s="10" t="b">
        <f>tbl_MTG_Set[[#This Row],[Collector Singles CardMarket Profit BotBox]]&gt;0</f>
        <v>0</v>
      </c>
      <c r="CD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" spans="1:86" hidden="1">
      <c r="A10">
        <v>7</v>
      </c>
      <c r="B10" t="s">
        <v>183</v>
      </c>
      <c r="C10">
        <v>4</v>
      </c>
      <c r="D10" s="3">
        <v>46087</v>
      </c>
      <c r="E10" t="s">
        <v>86</v>
      </c>
      <c r="F10" t="s">
        <v>174</v>
      </c>
      <c r="G10">
        <v>8</v>
      </c>
      <c r="H10">
        <f ca="1">MONTH(NOW())+12*YEAR(NOW())-MONTH(tbl_MTG_Set[[#This Row],[Released On]])-12*YEAR(tbl_MTG_Set[[#This Row],[Released On]])</f>
        <v>0</v>
      </c>
      <c r="I10">
        <f>_xlfn.XLOOKUP(tbl_MTG_Set[[#This Row],[Type Name]], tbl_MTG_Set_Type[Set Type], tbl_MTG_Set_Type[Index], "(Set Type not found)")</f>
        <v>6</v>
      </c>
      <c r="J10">
        <f>_xlfn.XLOOKUP(tbl_MTG_Set[[#This Row],[Type Name]], tbl_MTG_Set_Type[Set Type], tbl_MTG_Set_Type[Buy Window Month Start], "(Set Type not found)")</f>
        <v>3</v>
      </c>
      <c r="K10" s="3">
        <f>tbl_MTG_Set[[#This Row],[Released On]]+tbl_MTG_Set[[#This Row],[Buy Window Month Start]]*365.25/12</f>
        <v>46178.3125</v>
      </c>
      <c r="L10">
        <f>_xlfn.XLOOKUP(tbl_MTG_Set[[#This Row],[Type Name]], tbl_MTG_Set_Type[Set Type], tbl_MTG_Set_Type[Buy Window Month End], "(Set Type not found)", 0, 1)</f>
        <v>6</v>
      </c>
      <c r="M10" s="3">
        <f>tbl_MTG_Set[[#This Row],[Released On]]+tbl_MTG_Set[[#This Row],[Buy Window Month End]]*365.25/12</f>
        <v>46269.625</v>
      </c>
      <c r="N10" s="3" t="b">
        <f ca="1">AND(NOW()&gt;=tbl_MTG_Set[[#This Row],[Buy Window Start]], NOW()&lt;=tbl_MTG_Set[[#This Row],[Buy Window End]])</f>
        <v>0</v>
      </c>
      <c r="O10">
        <f>_xlfn.XLOOKUP(tbl_MTG_Set[[#This Row],[Type Name]], tbl_MTG_Set_Type[Set Type], tbl_MTG_Set_Type[Heavy Printing Window Month Start], "(Set Type not found)", 0, 1)</f>
        <v>0</v>
      </c>
      <c r="P10" s="3">
        <f>tbl_MTG_Set[[#This Row],[Released On]]+tbl_MTG_Set[[#This Row],[Heavy Printing Window Month Start]]*365.25/12</f>
        <v>46087</v>
      </c>
      <c r="Q10">
        <f>_xlfn.XLOOKUP(tbl_MTG_Set[[#This Row],[Type Name]], tbl_MTG_Set_Type[Set Type], tbl_MTG_Set_Type[Heavy Printing Window Month End], "(Set Type not found)", 0, 1)</f>
        <v>0</v>
      </c>
      <c r="R10" s="3">
        <f>tbl_MTG_Set[[#This Row],[Released On]]+tbl_MTG_Set[[#This Row],[Heavy Printing Window Month End]]*365.25/12</f>
        <v>46087</v>
      </c>
      <c r="S10" s="3" t="b">
        <f ca="1">AND(NOW()&gt;=tbl_MTG_Set[[#This Row],[Heavy Printing Window Start]], NOW()&lt;=tbl_MTG_Set[[#This Row],[Heavy Printing Window End]])</f>
        <v>0</v>
      </c>
      <c r="T10">
        <f>_xlfn.XLOOKUP(tbl_MTG_Set[[#This Row],[Type Name]], tbl_MTG_Set_Type[Set Type], tbl_MTG_Set_Type[Sell Window Month Start], "(Set Type not found)", 0, 1)</f>
        <v>0</v>
      </c>
      <c r="U10" s="3">
        <f>tbl_MTG_Set[[#This Row],[Released On]]+tbl_MTG_Set[[#This Row],[Sell Window Month Start]]*365.25/12</f>
        <v>46087</v>
      </c>
      <c r="V10">
        <f>_xlfn.XLOOKUP(tbl_MTG_Set[[#This Row],[Type Name]], tbl_MTG_Set_Type[Set Type], tbl_MTG_Set_Type[Sell Window Month End], "(Set Type not found)", 0, 1)</f>
        <v>0</v>
      </c>
      <c r="W10" s="3">
        <f>tbl_MTG_Set[[#This Row],[Released On]]+tbl_MTG_Set[[#This Row],[Sell Window Month End]]*365.25/12</f>
        <v>46087</v>
      </c>
      <c r="X10" s="3" t="b">
        <f ca="1">AND(NOW()&gt;=tbl_MTG_Set[[#This Row],[Sell Window Start]], NOW()&lt;=tbl_MTG_Set[[#This Row],[Sell Window End]])</f>
        <v>0</v>
      </c>
      <c r="AG10" s="10"/>
      <c r="AH10" s="10"/>
      <c r="AM10" s="10" t="str" cm="1">
        <f t="array" ref="AM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" s="10" t="str" cm="1">
        <f t="array" ref="AN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" s="4" t="e">
        <f>_xlfn.XLOOKUP(tbl_MTG_Set[[#This Row],[Play Booster Box Product Id]], tbl_Product[Product Id], tbl_Product[Pack Size])</f>
        <v>#N/A</v>
      </c>
      <c r="AP10" s="10" t="e">
        <f>(tbl_MTG_Set[[#This Row],[Play Booster Box Cost]]+v_Item_Shipping_Cost_In)/tbl_MTG_Set[[#This Row],[Play Booster Box Size]]</f>
        <v>#VALUE!</v>
      </c>
      <c r="AQ10" s="10" t="str" cm="1">
        <f t="array" ref="AQ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" s="10"/>
      <c r="AS10" s="10"/>
      <c r="AT10" s="17" t="e">
        <f>tbl_MTG_Set[[#This Row],[Play Booster CardMarket Profit]]/tbl_MTG_Set[[#This Row],[Play Booster Cost]]</f>
        <v>#VALUE!</v>
      </c>
      <c r="AU10" s="10" t="e">
        <f>_xlfn.XLOOKUP(tbl_MTG_Set[[#This Row],[Collector Booster Box Product Id]], tbl_Product[Product Id], tbl_Product[Min Cost])</f>
        <v>#N/A</v>
      </c>
      <c r="AV10" s="10" t="e">
        <f>_xlfn.XLOOKUP(tbl_MTG_Set[[#This Row],[Collector Booster Box Product Id]], tbl_Product[Product Id], tbl_Product[Best Source])</f>
        <v>#N/A</v>
      </c>
      <c r="AW10" s="4" t="e">
        <f>_xlfn.XLOOKUP(tbl_MTG_Set[[#This Row],[Collector Booster Box Product Id]], tbl_Product[Product Id], tbl_Product[Pack Size])</f>
        <v>#N/A</v>
      </c>
      <c r="AX10" s="10" t="e">
        <f>(tbl_MTG_Set[[#This Row],[Collector Booster Box Cost]] + v_Item_Shipping_Cost_In) / tbl_MTG_Set[[#This Row],[Collector Booster Box Size]]</f>
        <v>#N/A</v>
      </c>
      <c r="AY10" s="10" t="str" cm="1">
        <f t="array" ref="AY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" s="10"/>
      <c r="BA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" s="17" t="e">
        <f>tbl_MTG_Set[[#This Row],[Collector Booster CardMarket Profit]]/tbl_MTG_Set[[#This Row],[Collector Booster Cost]]</f>
        <v>#N/A</v>
      </c>
      <c r="BC10" s="10"/>
      <c r="BF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" s="11" t="e">
        <f>tbl_MTG_Set[[#This Row],[Play Singles CardMarket Profit MTG Stocks]]/tbl_MTG_Set[[#This Row],[Play Booster Cost]]</f>
        <v>#VALUE!</v>
      </c>
      <c r="BI10" s="11" t="b">
        <f>tbl_MTG_Set[[#This Row],[Play Singles CardMarket Profit MTG Stocks]]&gt;0</f>
        <v>0</v>
      </c>
      <c r="BM10" s="10" t="e">
        <f>tbl_MTG_Set[[#This Row],[Play Booster Sell Price CardMarket]]*tbl_MTG_Set[[#This Row],[Play Booster Expected Market Value BotBox]]/tbl_MTG_Set[[#This Row],[Play Booster Sealed Market Value BotBox]]</f>
        <v>#VALUE!</v>
      </c>
      <c r="BN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" s="10" t="e">
        <f>tbl_MTG_Set[[#This Row],[Play Singles CardMarket Profit BotBox]]/tbl_MTG_Set[[#This Row],[Play Booster Cost]]</f>
        <v>#VALUE!</v>
      </c>
      <c r="BP10" s="10" t="b">
        <f>tbl_MTG_Set[[#This Row],[Play Singles CardMarket Profit BotBox]]&gt;0</f>
        <v>0</v>
      </c>
      <c r="BQ10" s="10"/>
      <c r="BR10" s="10"/>
      <c r="BS10" s="10"/>
      <c r="BT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" s="19" t="e">
        <f>tbl_MTG_Set[[#This Row],[Collector Singles CardMarket Profit MTG Stocks]]/tbl_MTG_Set[[#This Row],[Collector Booster Cost]]</f>
        <v>#N/A</v>
      </c>
      <c r="BW10" s="10" t="b">
        <f>tbl_MTG_Set[[#This Row],[Collector Singles CardMarket Profit MTG Stocks]]&gt;0</f>
        <v>0</v>
      </c>
      <c r="BX10" s="10"/>
      <c r="BY10" s="10"/>
      <c r="BZ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" s="10" t="e">
        <f>tbl_MTG_Set[[#This Row],[Collector Singles CardMarket Profit BotBox]]/tbl_MTG_Set[[#This Row],[Collector Booster Cost]]</f>
        <v>#N/A</v>
      </c>
      <c r="CC10" s="10" t="b">
        <f>tbl_MTG_Set[[#This Row],[Collector Singles CardMarket Profit BotBox]]&gt;0</f>
        <v>0</v>
      </c>
      <c r="CD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" spans="1:86" hidden="1">
      <c r="A11">
        <v>9</v>
      </c>
      <c r="B11" t="s">
        <v>184</v>
      </c>
      <c r="C11">
        <v>1</v>
      </c>
      <c r="D11" s="3">
        <v>46023</v>
      </c>
      <c r="F11" t="s">
        <v>174</v>
      </c>
      <c r="G11">
        <v>10</v>
      </c>
      <c r="H11">
        <f ca="1">MONTH(NOW())+12*YEAR(NOW())-MONTH(tbl_MTG_Set[[#This Row],[Released On]])-12*YEAR(tbl_MTG_Set[[#This Row],[Released On]])</f>
        <v>2</v>
      </c>
      <c r="I11" t="str">
        <f>_xlfn.XLOOKUP(tbl_MTG_Set[[#This Row],[Type Name]], tbl_MTG_Set_Type[Set Type], tbl_MTG_Set_Type[Index], "(Set Type not found)")</f>
        <v>(Set Type not found)</v>
      </c>
      <c r="J11" t="str">
        <f>_xlfn.XLOOKUP(tbl_MTG_Set[[#This Row],[Type Name]], tbl_MTG_Set_Type[Set Type], tbl_MTG_Set_Type[Buy Window Month Start], "(Set Type not found)")</f>
        <v>(Set Type not found)</v>
      </c>
      <c r="K11" s="3" t="e">
        <f>tbl_MTG_Set[[#This Row],[Released On]]+tbl_MTG_Set[[#This Row],[Buy Window Month Start]]*365.25/12</f>
        <v>#VALUE!</v>
      </c>
      <c r="L11" t="str">
        <f>_xlfn.XLOOKUP(tbl_MTG_Set[[#This Row],[Type Name]], tbl_MTG_Set_Type[Set Type], tbl_MTG_Set_Type[Buy Window Month End], "(Set Type not found)", 0, 1)</f>
        <v>(Set Type not found)</v>
      </c>
      <c r="M11" s="3" t="e">
        <f>tbl_MTG_Set[[#This Row],[Released On]]+tbl_MTG_Set[[#This Row],[Buy Window Month End]]*365.25/12</f>
        <v>#VALUE!</v>
      </c>
      <c r="N11" s="3" t="e">
        <f ca="1">AND(NOW()&gt;=tbl_MTG_Set[[#This Row],[Buy Window Start]], NOW()&lt;=tbl_MTG_Set[[#This Row],[Buy Window End]])</f>
        <v>#VALUE!</v>
      </c>
      <c r="O11" t="str">
        <f>_xlfn.XLOOKUP(tbl_MTG_Set[[#This Row],[Type Name]], tbl_MTG_Set_Type[Set Type], tbl_MTG_Set_Type[Heavy Printing Window Month Start], "(Set Type not found)", 0, 1)</f>
        <v>(Set Type not found)</v>
      </c>
      <c r="P11" s="3" t="e">
        <f>tbl_MTG_Set[[#This Row],[Released On]]+tbl_MTG_Set[[#This Row],[Heavy Printing Window Month Start]]*365.25/12</f>
        <v>#VALUE!</v>
      </c>
      <c r="Q11" t="str">
        <f>_xlfn.XLOOKUP(tbl_MTG_Set[[#This Row],[Type Name]], tbl_MTG_Set_Type[Set Type], tbl_MTG_Set_Type[Heavy Printing Window Month End], "(Set Type not found)", 0, 1)</f>
        <v>(Set Type not found)</v>
      </c>
      <c r="R11" s="3" t="e">
        <f>tbl_MTG_Set[[#This Row],[Released On]]+tbl_MTG_Set[[#This Row],[Heavy Printing Window Month End]]*365.25/12</f>
        <v>#VALUE!</v>
      </c>
      <c r="S11" s="3" t="e">
        <f ca="1">AND(NOW()&gt;=tbl_MTG_Set[[#This Row],[Heavy Printing Window Start]], NOW()&lt;=tbl_MTG_Set[[#This Row],[Heavy Printing Window End]])</f>
        <v>#VALUE!</v>
      </c>
      <c r="T11" t="str">
        <f>_xlfn.XLOOKUP(tbl_MTG_Set[[#This Row],[Type Name]], tbl_MTG_Set_Type[Set Type], tbl_MTG_Set_Type[Sell Window Month Start], "(Set Type not found)", 0, 1)</f>
        <v>(Set Type not found)</v>
      </c>
      <c r="U11" s="3" t="e">
        <f>tbl_MTG_Set[[#This Row],[Released On]]+tbl_MTG_Set[[#This Row],[Sell Window Month Start]]*365.25/12</f>
        <v>#VALUE!</v>
      </c>
      <c r="V11" t="str">
        <f>_xlfn.XLOOKUP(tbl_MTG_Set[[#This Row],[Type Name]], tbl_MTG_Set_Type[Set Type], tbl_MTG_Set_Type[Sell Window Month End], "(Set Type not found)", 0, 1)</f>
        <v>(Set Type not found)</v>
      </c>
      <c r="W11" s="3" t="e">
        <f>tbl_MTG_Set[[#This Row],[Released On]]+tbl_MTG_Set[[#This Row],[Sell Window Month End]]*365.25/12</f>
        <v>#VALUE!</v>
      </c>
      <c r="X11" s="3" t="e">
        <f ca="1">AND(NOW()&gt;=tbl_MTG_Set[[#This Row],[Sell Window Start]], NOW()&lt;=tbl_MTG_Set[[#This Row],[Sell Window End]])</f>
        <v>#VALUE!</v>
      </c>
      <c r="AG11" s="10"/>
      <c r="AH11" s="10"/>
      <c r="AM11" s="10" t="str" cm="1">
        <f t="array" ref="AM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" s="10" t="str" cm="1">
        <f t="array" ref="AN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" s="4" t="e">
        <f>_xlfn.XLOOKUP(tbl_MTG_Set[[#This Row],[Play Booster Box Product Id]], tbl_Product[Product Id], tbl_Product[Pack Size])</f>
        <v>#N/A</v>
      </c>
      <c r="AP11" s="10" t="e">
        <f>(tbl_MTG_Set[[#This Row],[Play Booster Box Cost]]+v_Item_Shipping_Cost_In)/tbl_MTG_Set[[#This Row],[Play Booster Box Size]]</f>
        <v>#VALUE!</v>
      </c>
      <c r="AQ11" s="10" t="str" cm="1">
        <f t="array" ref="AQ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" s="10"/>
      <c r="AS11" s="10"/>
      <c r="AT11" s="17" t="e">
        <f>tbl_MTG_Set[[#This Row],[Play Booster CardMarket Profit]]/tbl_MTG_Set[[#This Row],[Play Booster Cost]]</f>
        <v>#VALUE!</v>
      </c>
      <c r="AU11" s="10" t="e">
        <f>_xlfn.XLOOKUP(tbl_MTG_Set[[#This Row],[Collector Booster Box Product Id]], tbl_Product[Product Id], tbl_Product[Min Cost])</f>
        <v>#N/A</v>
      </c>
      <c r="AV11" s="10" t="e">
        <f>_xlfn.XLOOKUP(tbl_MTG_Set[[#This Row],[Collector Booster Box Product Id]], tbl_Product[Product Id], tbl_Product[Best Source])</f>
        <v>#N/A</v>
      </c>
      <c r="AW11" s="4" t="e">
        <f>_xlfn.XLOOKUP(tbl_MTG_Set[[#This Row],[Collector Booster Box Product Id]], tbl_Product[Product Id], tbl_Product[Pack Size])</f>
        <v>#N/A</v>
      </c>
      <c r="AX11" s="10" t="e">
        <f>(tbl_MTG_Set[[#This Row],[Collector Booster Box Cost]] + v_Item_Shipping_Cost_In) / tbl_MTG_Set[[#This Row],[Collector Booster Box Size]]</f>
        <v>#N/A</v>
      </c>
      <c r="AY11" s="10" t="str" cm="1">
        <f t="array" ref="AY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" s="10"/>
      <c r="BA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" s="17" t="e">
        <f>tbl_MTG_Set[[#This Row],[Collector Booster CardMarket Profit]]/tbl_MTG_Set[[#This Row],[Collector Booster Cost]]</f>
        <v>#N/A</v>
      </c>
      <c r="BC11" s="10"/>
      <c r="BF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" s="11" t="e">
        <f>tbl_MTG_Set[[#This Row],[Play Singles CardMarket Profit MTG Stocks]]/tbl_MTG_Set[[#This Row],[Play Booster Cost]]</f>
        <v>#VALUE!</v>
      </c>
      <c r="BI11" s="11" t="b">
        <f>tbl_MTG_Set[[#This Row],[Play Singles CardMarket Profit MTG Stocks]]&gt;0</f>
        <v>0</v>
      </c>
      <c r="BM11" s="10" t="e">
        <f>tbl_MTG_Set[[#This Row],[Play Booster Sell Price CardMarket]]*tbl_MTG_Set[[#This Row],[Play Booster Expected Market Value BotBox]]/tbl_MTG_Set[[#This Row],[Play Booster Sealed Market Value BotBox]]</f>
        <v>#VALUE!</v>
      </c>
      <c r="BN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" s="10" t="e">
        <f>tbl_MTG_Set[[#This Row],[Play Singles CardMarket Profit BotBox]]/tbl_MTG_Set[[#This Row],[Play Booster Cost]]</f>
        <v>#VALUE!</v>
      </c>
      <c r="BP11" s="10" t="b">
        <f>tbl_MTG_Set[[#This Row],[Play Singles CardMarket Profit BotBox]]&gt;0</f>
        <v>0</v>
      </c>
      <c r="BQ11" s="10"/>
      <c r="BR11" s="10"/>
      <c r="BS11" s="10"/>
      <c r="BT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" s="19" t="e">
        <f>tbl_MTG_Set[[#This Row],[Collector Singles CardMarket Profit MTG Stocks]]/tbl_MTG_Set[[#This Row],[Collector Booster Cost]]</f>
        <v>#N/A</v>
      </c>
      <c r="BW11" s="10" t="b">
        <f>tbl_MTG_Set[[#This Row],[Collector Singles CardMarket Profit MTG Stocks]]&gt;0</f>
        <v>0</v>
      </c>
      <c r="BX11" s="10"/>
      <c r="BY11" s="10"/>
      <c r="BZ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" s="10" t="e">
        <f>tbl_MTG_Set[[#This Row],[Collector Singles CardMarket Profit BotBox]]/tbl_MTG_Set[[#This Row],[Collector Booster Cost]]</f>
        <v>#N/A</v>
      </c>
      <c r="CC11" s="10" t="b">
        <f>tbl_MTG_Set[[#This Row],[Collector Singles CardMarket Profit BotBox]]&gt;0</f>
        <v>0</v>
      </c>
      <c r="CD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" spans="1:86" hidden="1">
      <c r="A12">
        <v>11</v>
      </c>
      <c r="B12" t="s">
        <v>185</v>
      </c>
      <c r="C12">
        <v>22</v>
      </c>
      <c r="D12" s="3">
        <v>45982</v>
      </c>
      <c r="E12" t="s">
        <v>86</v>
      </c>
      <c r="F12" t="s">
        <v>174</v>
      </c>
      <c r="G12">
        <v>12</v>
      </c>
      <c r="H12">
        <f ca="1">MONTH(NOW())+12*YEAR(NOW())-MONTH(tbl_MTG_Set[[#This Row],[Released On]])-12*YEAR(tbl_MTG_Set[[#This Row],[Released On]])</f>
        <v>4</v>
      </c>
      <c r="I12">
        <f>_xlfn.XLOOKUP(tbl_MTG_Set[[#This Row],[Type Name]], tbl_MTG_Set_Type[Set Type], tbl_MTG_Set_Type[Index], "(Set Type not found)")</f>
        <v>6</v>
      </c>
      <c r="J12">
        <f>_xlfn.XLOOKUP(tbl_MTG_Set[[#This Row],[Type Name]], tbl_MTG_Set_Type[Set Type], tbl_MTG_Set_Type[Buy Window Month Start], "(Set Type not found)")</f>
        <v>3</v>
      </c>
      <c r="K12" s="3">
        <f>tbl_MTG_Set[[#This Row],[Released On]]+tbl_MTG_Set[[#This Row],[Buy Window Month Start]]*365.25/12</f>
        <v>46073.3125</v>
      </c>
      <c r="L12">
        <f>_xlfn.XLOOKUP(tbl_MTG_Set[[#This Row],[Type Name]], tbl_MTG_Set_Type[Set Type], tbl_MTG_Set_Type[Buy Window Month End], "(Set Type not found)", 0, 1)</f>
        <v>6</v>
      </c>
      <c r="M12" s="3">
        <f>tbl_MTG_Set[[#This Row],[Released On]]+tbl_MTG_Set[[#This Row],[Buy Window Month End]]*365.25/12</f>
        <v>46164.625</v>
      </c>
      <c r="N12" s="3" t="b">
        <f ca="1">AND(NOW()&gt;=tbl_MTG_Set[[#This Row],[Buy Window Start]], NOW()&lt;=tbl_MTG_Set[[#This Row],[Buy Window End]])</f>
        <v>1</v>
      </c>
      <c r="O12">
        <f>_xlfn.XLOOKUP(tbl_MTG_Set[[#This Row],[Type Name]], tbl_MTG_Set_Type[Set Type], tbl_MTG_Set_Type[Heavy Printing Window Month Start], "(Set Type not found)", 0, 1)</f>
        <v>0</v>
      </c>
      <c r="P12" s="3">
        <f>tbl_MTG_Set[[#This Row],[Released On]]+tbl_MTG_Set[[#This Row],[Heavy Printing Window Month Start]]*365.25/12</f>
        <v>45982</v>
      </c>
      <c r="Q12">
        <f>_xlfn.XLOOKUP(tbl_MTG_Set[[#This Row],[Type Name]], tbl_MTG_Set_Type[Set Type], tbl_MTG_Set_Type[Heavy Printing Window Month End], "(Set Type not found)", 0, 1)</f>
        <v>0</v>
      </c>
      <c r="R12" s="3">
        <f>tbl_MTG_Set[[#This Row],[Released On]]+tbl_MTG_Set[[#This Row],[Heavy Printing Window Month End]]*365.25/12</f>
        <v>45982</v>
      </c>
      <c r="S12" s="3" t="b">
        <f ca="1">AND(NOW()&gt;=tbl_MTG_Set[[#This Row],[Heavy Printing Window Start]], NOW()&lt;=tbl_MTG_Set[[#This Row],[Heavy Printing Window End]])</f>
        <v>0</v>
      </c>
      <c r="T12">
        <f>_xlfn.XLOOKUP(tbl_MTG_Set[[#This Row],[Type Name]], tbl_MTG_Set_Type[Set Type], tbl_MTG_Set_Type[Sell Window Month Start], "(Set Type not found)", 0, 1)</f>
        <v>0</v>
      </c>
      <c r="U12" s="3">
        <f>tbl_MTG_Set[[#This Row],[Released On]]+tbl_MTG_Set[[#This Row],[Sell Window Month Start]]*365.25/12</f>
        <v>45982</v>
      </c>
      <c r="V12">
        <f>_xlfn.XLOOKUP(tbl_MTG_Set[[#This Row],[Type Name]], tbl_MTG_Set_Type[Set Type], tbl_MTG_Set_Type[Sell Window Month End], "(Set Type not found)", 0, 1)</f>
        <v>0</v>
      </c>
      <c r="W12" s="3">
        <f>tbl_MTG_Set[[#This Row],[Released On]]+tbl_MTG_Set[[#This Row],[Sell Window Month End]]*365.25/12</f>
        <v>45982</v>
      </c>
      <c r="X12" s="3" t="b">
        <f ca="1">AND(NOW()&gt;=tbl_MTG_Set[[#This Row],[Sell Window Start]], NOW()&lt;=tbl_MTG_Set[[#This Row],[Sell Window End]])</f>
        <v>0</v>
      </c>
      <c r="AG12" s="10"/>
      <c r="AH12" s="10"/>
      <c r="AM12" s="10" t="str" cm="1">
        <f t="array" ref="AM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" s="10" t="str" cm="1">
        <f t="array" ref="AN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" s="4" t="e">
        <f>_xlfn.XLOOKUP(tbl_MTG_Set[[#This Row],[Play Booster Box Product Id]], tbl_Product[Product Id], tbl_Product[Pack Size])</f>
        <v>#N/A</v>
      </c>
      <c r="AP12" s="10" t="e">
        <f>(tbl_MTG_Set[[#This Row],[Play Booster Box Cost]]+v_Item_Shipping_Cost_In)/tbl_MTG_Set[[#This Row],[Play Booster Box Size]]</f>
        <v>#VALUE!</v>
      </c>
      <c r="AQ12" s="10" t="str" cm="1">
        <f t="array" ref="AQ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" s="10"/>
      <c r="AS12" s="10"/>
      <c r="AT12" s="17" t="e">
        <f>tbl_MTG_Set[[#This Row],[Play Booster CardMarket Profit]]/tbl_MTG_Set[[#This Row],[Play Booster Cost]]</f>
        <v>#VALUE!</v>
      </c>
      <c r="AU12" s="10" t="e">
        <f>_xlfn.XLOOKUP(tbl_MTG_Set[[#This Row],[Collector Booster Box Product Id]], tbl_Product[Product Id], tbl_Product[Min Cost])</f>
        <v>#N/A</v>
      </c>
      <c r="AV12" s="10" t="e">
        <f>_xlfn.XLOOKUP(tbl_MTG_Set[[#This Row],[Collector Booster Box Product Id]], tbl_Product[Product Id], tbl_Product[Best Source])</f>
        <v>#N/A</v>
      </c>
      <c r="AW12" s="4" t="e">
        <f>_xlfn.XLOOKUP(tbl_MTG_Set[[#This Row],[Collector Booster Box Product Id]], tbl_Product[Product Id], tbl_Product[Pack Size])</f>
        <v>#N/A</v>
      </c>
      <c r="AX12" s="10" t="e">
        <f>(tbl_MTG_Set[[#This Row],[Collector Booster Box Cost]] + v_Item_Shipping_Cost_In) / tbl_MTG_Set[[#This Row],[Collector Booster Box Size]]</f>
        <v>#N/A</v>
      </c>
      <c r="AY12" s="10" t="str" cm="1">
        <f t="array" ref="AY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" s="10"/>
      <c r="BA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" s="17" t="e">
        <f>tbl_MTG_Set[[#This Row],[Collector Booster CardMarket Profit]]/tbl_MTG_Set[[#This Row],[Collector Booster Cost]]</f>
        <v>#N/A</v>
      </c>
      <c r="BC12" s="10"/>
      <c r="BF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" s="11" t="e">
        <f>tbl_MTG_Set[[#This Row],[Play Singles CardMarket Profit MTG Stocks]]/tbl_MTG_Set[[#This Row],[Play Booster Cost]]</f>
        <v>#VALUE!</v>
      </c>
      <c r="BI12" s="11" t="b">
        <f>tbl_MTG_Set[[#This Row],[Play Singles CardMarket Profit MTG Stocks]]&gt;0</f>
        <v>0</v>
      </c>
      <c r="BM12" s="10" t="e">
        <f>tbl_MTG_Set[[#This Row],[Play Booster Sell Price CardMarket]]*tbl_MTG_Set[[#This Row],[Play Booster Expected Market Value BotBox]]/tbl_MTG_Set[[#This Row],[Play Booster Sealed Market Value BotBox]]</f>
        <v>#VALUE!</v>
      </c>
      <c r="BN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" s="10" t="e">
        <f>tbl_MTG_Set[[#This Row],[Play Singles CardMarket Profit BotBox]]/tbl_MTG_Set[[#This Row],[Play Booster Cost]]</f>
        <v>#VALUE!</v>
      </c>
      <c r="BP12" s="10" t="b">
        <f>tbl_MTG_Set[[#This Row],[Play Singles CardMarket Profit BotBox]]&gt;0</f>
        <v>0</v>
      </c>
      <c r="BQ12" s="10"/>
      <c r="BR12" s="10"/>
      <c r="BS12" s="10"/>
      <c r="BT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" s="19" t="e">
        <f>tbl_MTG_Set[[#This Row],[Collector Singles CardMarket Profit MTG Stocks]]/tbl_MTG_Set[[#This Row],[Collector Booster Cost]]</f>
        <v>#N/A</v>
      </c>
      <c r="BW12" s="10" t="b">
        <f>tbl_MTG_Set[[#This Row],[Collector Singles CardMarket Profit MTG Stocks]]&gt;0</f>
        <v>0</v>
      </c>
      <c r="BX12" s="10"/>
      <c r="BY12" s="10"/>
      <c r="BZ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" s="10" t="e">
        <f>tbl_MTG_Set[[#This Row],[Collector Singles CardMarket Profit BotBox]]/tbl_MTG_Set[[#This Row],[Collector Booster Cost]]</f>
        <v>#N/A</v>
      </c>
      <c r="CC12" s="10" t="b">
        <f>tbl_MTG_Set[[#This Row],[Collector Singles CardMarket Profit BotBox]]&gt;0</f>
        <v>0</v>
      </c>
      <c r="CD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" spans="1:86" hidden="1">
      <c r="A13">
        <v>12</v>
      </c>
      <c r="B13" t="s">
        <v>186</v>
      </c>
      <c r="C13">
        <v>10</v>
      </c>
      <c r="D13" s="3">
        <v>45982</v>
      </c>
      <c r="E13" t="s">
        <v>86</v>
      </c>
      <c r="F13" t="s">
        <v>174</v>
      </c>
      <c r="G13">
        <v>13</v>
      </c>
      <c r="H13">
        <f ca="1">MONTH(NOW())+12*YEAR(NOW())-MONTH(tbl_MTG_Set[[#This Row],[Released On]])-12*YEAR(tbl_MTG_Set[[#This Row],[Released On]])</f>
        <v>4</v>
      </c>
      <c r="I13">
        <f>_xlfn.XLOOKUP(tbl_MTG_Set[[#This Row],[Type Name]], tbl_MTG_Set_Type[Set Type], tbl_MTG_Set_Type[Index], "(Set Type not found)")</f>
        <v>6</v>
      </c>
      <c r="J13">
        <f>_xlfn.XLOOKUP(tbl_MTG_Set[[#This Row],[Type Name]], tbl_MTG_Set_Type[Set Type], tbl_MTG_Set_Type[Buy Window Month Start], "(Set Type not found)")</f>
        <v>3</v>
      </c>
      <c r="K13" s="3">
        <f>tbl_MTG_Set[[#This Row],[Released On]]+tbl_MTG_Set[[#This Row],[Buy Window Month Start]]*365.25/12</f>
        <v>46073.3125</v>
      </c>
      <c r="L13">
        <f>_xlfn.XLOOKUP(tbl_MTG_Set[[#This Row],[Type Name]], tbl_MTG_Set_Type[Set Type], tbl_MTG_Set_Type[Buy Window Month End], "(Set Type not found)", 0, 1)</f>
        <v>6</v>
      </c>
      <c r="M13" s="3">
        <f>tbl_MTG_Set[[#This Row],[Released On]]+tbl_MTG_Set[[#This Row],[Buy Window Month End]]*365.25/12</f>
        <v>46164.625</v>
      </c>
      <c r="N13" s="3" t="b">
        <f ca="1">AND(NOW()&gt;=tbl_MTG_Set[[#This Row],[Buy Window Start]], NOW()&lt;=tbl_MTG_Set[[#This Row],[Buy Window End]])</f>
        <v>1</v>
      </c>
      <c r="O13">
        <f>_xlfn.XLOOKUP(tbl_MTG_Set[[#This Row],[Type Name]], tbl_MTG_Set_Type[Set Type], tbl_MTG_Set_Type[Heavy Printing Window Month Start], "(Set Type not found)", 0, 1)</f>
        <v>0</v>
      </c>
      <c r="P13" s="3">
        <f>tbl_MTG_Set[[#This Row],[Released On]]+tbl_MTG_Set[[#This Row],[Heavy Printing Window Month Start]]*365.25/12</f>
        <v>45982</v>
      </c>
      <c r="Q13">
        <f>_xlfn.XLOOKUP(tbl_MTG_Set[[#This Row],[Type Name]], tbl_MTG_Set_Type[Set Type], tbl_MTG_Set_Type[Heavy Printing Window Month End], "(Set Type not found)", 0, 1)</f>
        <v>0</v>
      </c>
      <c r="R13" s="3">
        <f>tbl_MTG_Set[[#This Row],[Released On]]+tbl_MTG_Set[[#This Row],[Heavy Printing Window Month End]]*365.25/12</f>
        <v>45982</v>
      </c>
      <c r="S13" s="3" t="b">
        <f ca="1">AND(NOW()&gt;=tbl_MTG_Set[[#This Row],[Heavy Printing Window Start]], NOW()&lt;=tbl_MTG_Set[[#This Row],[Heavy Printing Window End]])</f>
        <v>0</v>
      </c>
      <c r="T13">
        <f>_xlfn.XLOOKUP(tbl_MTG_Set[[#This Row],[Type Name]], tbl_MTG_Set_Type[Set Type], tbl_MTG_Set_Type[Sell Window Month Start], "(Set Type not found)", 0, 1)</f>
        <v>0</v>
      </c>
      <c r="U13" s="3">
        <f>tbl_MTG_Set[[#This Row],[Released On]]+tbl_MTG_Set[[#This Row],[Sell Window Month Start]]*365.25/12</f>
        <v>45982</v>
      </c>
      <c r="V13">
        <f>_xlfn.XLOOKUP(tbl_MTG_Set[[#This Row],[Type Name]], tbl_MTG_Set_Type[Set Type], tbl_MTG_Set_Type[Sell Window Month End], "(Set Type not found)", 0, 1)</f>
        <v>0</v>
      </c>
      <c r="W13" s="3">
        <f>tbl_MTG_Set[[#This Row],[Released On]]+tbl_MTG_Set[[#This Row],[Sell Window Month End]]*365.25/12</f>
        <v>45982</v>
      </c>
      <c r="X13" s="3" t="b">
        <f ca="1">AND(NOW()&gt;=tbl_MTG_Set[[#This Row],[Sell Window Start]], NOW()&lt;=tbl_MTG_Set[[#This Row],[Sell Window End]])</f>
        <v>0</v>
      </c>
      <c r="AG13" s="10"/>
      <c r="AH13" s="10"/>
      <c r="AM13" s="10" t="str" cm="1">
        <f t="array" ref="AM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" s="10" t="str" cm="1">
        <f t="array" ref="AN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" s="4" t="e">
        <f>_xlfn.XLOOKUP(tbl_MTG_Set[[#This Row],[Play Booster Box Product Id]], tbl_Product[Product Id], tbl_Product[Pack Size])</f>
        <v>#N/A</v>
      </c>
      <c r="AP13" s="10" t="e">
        <f>(tbl_MTG_Set[[#This Row],[Play Booster Box Cost]]+v_Item_Shipping_Cost_In)/tbl_MTG_Set[[#This Row],[Play Booster Box Size]]</f>
        <v>#VALUE!</v>
      </c>
      <c r="AQ13" s="10" t="str" cm="1">
        <f t="array" ref="AQ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" s="10"/>
      <c r="AS13" s="10"/>
      <c r="AT13" s="17" t="e">
        <f>tbl_MTG_Set[[#This Row],[Play Booster CardMarket Profit]]/tbl_MTG_Set[[#This Row],[Play Booster Cost]]</f>
        <v>#VALUE!</v>
      </c>
      <c r="AU13" s="10" t="e">
        <f>_xlfn.XLOOKUP(tbl_MTG_Set[[#This Row],[Collector Booster Box Product Id]], tbl_Product[Product Id], tbl_Product[Min Cost])</f>
        <v>#N/A</v>
      </c>
      <c r="AV13" s="10" t="e">
        <f>_xlfn.XLOOKUP(tbl_MTG_Set[[#This Row],[Collector Booster Box Product Id]], tbl_Product[Product Id], tbl_Product[Best Source])</f>
        <v>#N/A</v>
      </c>
      <c r="AW13" s="4" t="e">
        <f>_xlfn.XLOOKUP(tbl_MTG_Set[[#This Row],[Collector Booster Box Product Id]], tbl_Product[Product Id], tbl_Product[Pack Size])</f>
        <v>#N/A</v>
      </c>
      <c r="AX13" s="10" t="e">
        <f>(tbl_MTG_Set[[#This Row],[Collector Booster Box Cost]] + v_Item_Shipping_Cost_In) / tbl_MTG_Set[[#This Row],[Collector Booster Box Size]]</f>
        <v>#N/A</v>
      </c>
      <c r="AY13" s="10" t="str" cm="1">
        <f t="array" ref="AY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" s="10"/>
      <c r="BA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" s="17" t="e">
        <f>tbl_MTG_Set[[#This Row],[Collector Booster CardMarket Profit]]/tbl_MTG_Set[[#This Row],[Collector Booster Cost]]</f>
        <v>#N/A</v>
      </c>
      <c r="BC13" s="10"/>
      <c r="BF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" s="11" t="e">
        <f>tbl_MTG_Set[[#This Row],[Play Singles CardMarket Profit MTG Stocks]]/tbl_MTG_Set[[#This Row],[Play Booster Cost]]</f>
        <v>#VALUE!</v>
      </c>
      <c r="BI13" s="11" t="b">
        <f>tbl_MTG_Set[[#This Row],[Play Singles CardMarket Profit MTG Stocks]]&gt;0</f>
        <v>0</v>
      </c>
      <c r="BM13" s="10" t="e">
        <f>tbl_MTG_Set[[#This Row],[Play Booster Sell Price CardMarket]]*tbl_MTG_Set[[#This Row],[Play Booster Expected Market Value BotBox]]/tbl_MTG_Set[[#This Row],[Play Booster Sealed Market Value BotBox]]</f>
        <v>#VALUE!</v>
      </c>
      <c r="BN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" s="10" t="e">
        <f>tbl_MTG_Set[[#This Row],[Play Singles CardMarket Profit BotBox]]/tbl_MTG_Set[[#This Row],[Play Booster Cost]]</f>
        <v>#VALUE!</v>
      </c>
      <c r="BP13" s="10" t="b">
        <f>tbl_MTG_Set[[#This Row],[Play Singles CardMarket Profit BotBox]]&gt;0</f>
        <v>0</v>
      </c>
      <c r="BQ13" s="10"/>
      <c r="BR13" s="10"/>
      <c r="BS13" s="10"/>
      <c r="BT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" s="19" t="e">
        <f>tbl_MTG_Set[[#This Row],[Collector Singles CardMarket Profit MTG Stocks]]/tbl_MTG_Set[[#This Row],[Collector Booster Cost]]</f>
        <v>#N/A</v>
      </c>
      <c r="BW13" s="10" t="b">
        <f>tbl_MTG_Set[[#This Row],[Collector Singles CardMarket Profit MTG Stocks]]&gt;0</f>
        <v>0</v>
      </c>
      <c r="BX13" s="10"/>
      <c r="BY13" s="10"/>
      <c r="BZ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" s="10" t="e">
        <f>tbl_MTG_Set[[#This Row],[Collector Singles CardMarket Profit BotBox]]/tbl_MTG_Set[[#This Row],[Collector Booster Cost]]</f>
        <v>#N/A</v>
      </c>
      <c r="CC13" s="10" t="b">
        <f>tbl_MTG_Set[[#This Row],[Collector Singles CardMarket Profit BotBox]]&gt;0</f>
        <v>0</v>
      </c>
      <c r="CD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" spans="1:86" hidden="1">
      <c r="A14">
        <v>13</v>
      </c>
      <c r="B14" t="s">
        <v>187</v>
      </c>
      <c r="C14">
        <v>46</v>
      </c>
      <c r="D14" s="3">
        <v>45982</v>
      </c>
      <c r="E14" t="s">
        <v>86</v>
      </c>
      <c r="F14" t="s">
        <v>174</v>
      </c>
      <c r="G14">
        <v>14</v>
      </c>
      <c r="H14">
        <f ca="1">MONTH(NOW())+12*YEAR(NOW())-MONTH(tbl_MTG_Set[[#This Row],[Released On]])-12*YEAR(tbl_MTG_Set[[#This Row],[Released On]])</f>
        <v>4</v>
      </c>
      <c r="I14">
        <f>_xlfn.XLOOKUP(tbl_MTG_Set[[#This Row],[Type Name]], tbl_MTG_Set_Type[Set Type], tbl_MTG_Set_Type[Index], "(Set Type not found)")</f>
        <v>6</v>
      </c>
      <c r="J14">
        <f>_xlfn.XLOOKUP(tbl_MTG_Set[[#This Row],[Type Name]], tbl_MTG_Set_Type[Set Type], tbl_MTG_Set_Type[Buy Window Month Start], "(Set Type not found)")</f>
        <v>3</v>
      </c>
      <c r="K14" s="3">
        <f>tbl_MTG_Set[[#This Row],[Released On]]+tbl_MTG_Set[[#This Row],[Buy Window Month Start]]*365.25/12</f>
        <v>46073.3125</v>
      </c>
      <c r="L14">
        <f>_xlfn.XLOOKUP(tbl_MTG_Set[[#This Row],[Type Name]], tbl_MTG_Set_Type[Set Type], tbl_MTG_Set_Type[Buy Window Month End], "(Set Type not found)", 0, 1)</f>
        <v>6</v>
      </c>
      <c r="M14" s="3">
        <f>tbl_MTG_Set[[#This Row],[Released On]]+tbl_MTG_Set[[#This Row],[Buy Window Month End]]*365.25/12</f>
        <v>46164.625</v>
      </c>
      <c r="N14" s="3" t="b">
        <f ca="1">AND(NOW()&gt;=tbl_MTG_Set[[#This Row],[Buy Window Start]], NOW()&lt;=tbl_MTG_Set[[#This Row],[Buy Window End]])</f>
        <v>1</v>
      </c>
      <c r="O14">
        <f>_xlfn.XLOOKUP(tbl_MTG_Set[[#This Row],[Type Name]], tbl_MTG_Set_Type[Set Type], tbl_MTG_Set_Type[Heavy Printing Window Month Start], "(Set Type not found)", 0, 1)</f>
        <v>0</v>
      </c>
      <c r="P14" s="3">
        <f>tbl_MTG_Set[[#This Row],[Released On]]+tbl_MTG_Set[[#This Row],[Heavy Printing Window Month Start]]*365.25/12</f>
        <v>45982</v>
      </c>
      <c r="Q14">
        <f>_xlfn.XLOOKUP(tbl_MTG_Set[[#This Row],[Type Name]], tbl_MTG_Set_Type[Set Type], tbl_MTG_Set_Type[Heavy Printing Window Month End], "(Set Type not found)", 0, 1)</f>
        <v>0</v>
      </c>
      <c r="R14" s="3">
        <f>tbl_MTG_Set[[#This Row],[Released On]]+tbl_MTG_Set[[#This Row],[Heavy Printing Window Month End]]*365.25/12</f>
        <v>45982</v>
      </c>
      <c r="S14" s="3" t="b">
        <f ca="1">AND(NOW()&gt;=tbl_MTG_Set[[#This Row],[Heavy Printing Window Start]], NOW()&lt;=tbl_MTG_Set[[#This Row],[Heavy Printing Window End]])</f>
        <v>0</v>
      </c>
      <c r="T14">
        <f>_xlfn.XLOOKUP(tbl_MTG_Set[[#This Row],[Type Name]], tbl_MTG_Set_Type[Set Type], tbl_MTG_Set_Type[Sell Window Month Start], "(Set Type not found)", 0, 1)</f>
        <v>0</v>
      </c>
      <c r="U14" s="3">
        <f>tbl_MTG_Set[[#This Row],[Released On]]+tbl_MTG_Set[[#This Row],[Sell Window Month Start]]*365.25/12</f>
        <v>45982</v>
      </c>
      <c r="V14">
        <f>_xlfn.XLOOKUP(tbl_MTG_Set[[#This Row],[Type Name]], tbl_MTG_Set_Type[Set Type], tbl_MTG_Set_Type[Sell Window Month End], "(Set Type not found)", 0, 1)</f>
        <v>0</v>
      </c>
      <c r="W14" s="3">
        <f>tbl_MTG_Set[[#This Row],[Released On]]+tbl_MTG_Set[[#This Row],[Sell Window Month End]]*365.25/12</f>
        <v>45982</v>
      </c>
      <c r="X14" s="3" t="b">
        <f ca="1">AND(NOW()&gt;=tbl_MTG_Set[[#This Row],[Sell Window Start]], NOW()&lt;=tbl_MTG_Set[[#This Row],[Sell Window End]])</f>
        <v>0</v>
      </c>
      <c r="AG14" s="10"/>
      <c r="AH14" s="10"/>
      <c r="AM14" s="10" t="str" cm="1">
        <f t="array" ref="AM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" s="10" t="str" cm="1">
        <f t="array" ref="AN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" s="4" t="e">
        <f>_xlfn.XLOOKUP(tbl_MTG_Set[[#This Row],[Play Booster Box Product Id]], tbl_Product[Product Id], tbl_Product[Pack Size])</f>
        <v>#N/A</v>
      </c>
      <c r="AP14" s="10" t="e">
        <f>(tbl_MTG_Set[[#This Row],[Play Booster Box Cost]]+v_Item_Shipping_Cost_In)/tbl_MTG_Set[[#This Row],[Play Booster Box Size]]</f>
        <v>#VALUE!</v>
      </c>
      <c r="AQ14" s="10" t="str" cm="1">
        <f t="array" ref="AQ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" s="10"/>
      <c r="AS14" s="10"/>
      <c r="AT14" s="17" t="e">
        <f>tbl_MTG_Set[[#This Row],[Play Booster CardMarket Profit]]/tbl_MTG_Set[[#This Row],[Play Booster Cost]]</f>
        <v>#VALUE!</v>
      </c>
      <c r="AU14" s="10" t="e">
        <f>_xlfn.XLOOKUP(tbl_MTG_Set[[#This Row],[Collector Booster Box Product Id]], tbl_Product[Product Id], tbl_Product[Min Cost])</f>
        <v>#N/A</v>
      </c>
      <c r="AV14" s="10" t="e">
        <f>_xlfn.XLOOKUP(tbl_MTG_Set[[#This Row],[Collector Booster Box Product Id]], tbl_Product[Product Id], tbl_Product[Best Source])</f>
        <v>#N/A</v>
      </c>
      <c r="AW14" s="4" t="e">
        <f>_xlfn.XLOOKUP(tbl_MTG_Set[[#This Row],[Collector Booster Box Product Id]], tbl_Product[Product Id], tbl_Product[Pack Size])</f>
        <v>#N/A</v>
      </c>
      <c r="AX14" s="10" t="e">
        <f>(tbl_MTG_Set[[#This Row],[Collector Booster Box Cost]] + v_Item_Shipping_Cost_In) / tbl_MTG_Set[[#This Row],[Collector Booster Box Size]]</f>
        <v>#N/A</v>
      </c>
      <c r="AY14" s="10" t="str" cm="1">
        <f t="array" ref="AY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" s="10"/>
      <c r="BA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" s="17" t="e">
        <f>tbl_MTG_Set[[#This Row],[Collector Booster CardMarket Profit]]/tbl_MTG_Set[[#This Row],[Collector Booster Cost]]</f>
        <v>#N/A</v>
      </c>
      <c r="BC14" s="10"/>
      <c r="BF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" s="11" t="e">
        <f>tbl_MTG_Set[[#This Row],[Play Singles CardMarket Profit MTG Stocks]]/tbl_MTG_Set[[#This Row],[Play Booster Cost]]</f>
        <v>#VALUE!</v>
      </c>
      <c r="BI14" s="11" t="b">
        <f>tbl_MTG_Set[[#This Row],[Play Singles CardMarket Profit MTG Stocks]]&gt;0</f>
        <v>0</v>
      </c>
      <c r="BM14" s="10" t="e">
        <f>tbl_MTG_Set[[#This Row],[Play Booster Sell Price CardMarket]]*tbl_MTG_Set[[#This Row],[Play Booster Expected Market Value BotBox]]/tbl_MTG_Set[[#This Row],[Play Booster Sealed Market Value BotBox]]</f>
        <v>#VALUE!</v>
      </c>
      <c r="BN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" s="10" t="e">
        <f>tbl_MTG_Set[[#This Row],[Play Singles CardMarket Profit BotBox]]/tbl_MTG_Set[[#This Row],[Play Booster Cost]]</f>
        <v>#VALUE!</v>
      </c>
      <c r="BP14" s="10" t="b">
        <f>tbl_MTG_Set[[#This Row],[Play Singles CardMarket Profit BotBox]]&gt;0</f>
        <v>0</v>
      </c>
      <c r="BQ14" s="10"/>
      <c r="BR14" s="10"/>
      <c r="BS14" s="10"/>
      <c r="BT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" s="19" t="e">
        <f>tbl_MTG_Set[[#This Row],[Collector Singles CardMarket Profit MTG Stocks]]/tbl_MTG_Set[[#This Row],[Collector Booster Cost]]</f>
        <v>#N/A</v>
      </c>
      <c r="BW14" s="10" t="b">
        <f>tbl_MTG_Set[[#This Row],[Collector Singles CardMarket Profit MTG Stocks]]&gt;0</f>
        <v>0</v>
      </c>
      <c r="BX14" s="10"/>
      <c r="BY14" s="10"/>
      <c r="BZ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" s="10" t="e">
        <f>tbl_MTG_Set[[#This Row],[Collector Singles CardMarket Profit BotBox]]/tbl_MTG_Set[[#This Row],[Collector Booster Cost]]</f>
        <v>#N/A</v>
      </c>
      <c r="CC14" s="10" t="b">
        <f>tbl_MTG_Set[[#This Row],[Collector Singles CardMarket Profit BotBox]]&gt;0</f>
        <v>0</v>
      </c>
      <c r="CD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" spans="1:86" hidden="1">
      <c r="A15">
        <v>14</v>
      </c>
      <c r="B15" t="s">
        <v>188</v>
      </c>
      <c r="C15">
        <v>317</v>
      </c>
      <c r="D15" s="3">
        <v>45982</v>
      </c>
      <c r="E15" t="s">
        <v>86</v>
      </c>
      <c r="F15" t="s">
        <v>174</v>
      </c>
      <c r="G15">
        <v>15</v>
      </c>
      <c r="H15">
        <f ca="1">MONTH(NOW())+12*YEAR(NOW())-MONTH(tbl_MTG_Set[[#This Row],[Released On]])-12*YEAR(tbl_MTG_Set[[#This Row],[Released On]])</f>
        <v>4</v>
      </c>
      <c r="I15">
        <f>_xlfn.XLOOKUP(tbl_MTG_Set[[#This Row],[Type Name]], tbl_MTG_Set_Type[Set Type], tbl_MTG_Set_Type[Index], "(Set Type not found)")</f>
        <v>6</v>
      </c>
      <c r="J15">
        <f>_xlfn.XLOOKUP(tbl_MTG_Set[[#This Row],[Type Name]], tbl_MTG_Set_Type[Set Type], tbl_MTG_Set_Type[Buy Window Month Start], "(Set Type not found)")</f>
        <v>3</v>
      </c>
      <c r="K15" s="3">
        <f>tbl_MTG_Set[[#This Row],[Released On]]+tbl_MTG_Set[[#This Row],[Buy Window Month Start]]*365.25/12</f>
        <v>46073.3125</v>
      </c>
      <c r="L15">
        <f>_xlfn.XLOOKUP(tbl_MTG_Set[[#This Row],[Type Name]], tbl_MTG_Set_Type[Set Type], tbl_MTG_Set_Type[Buy Window Month End], "(Set Type not found)", 0, 1)</f>
        <v>6</v>
      </c>
      <c r="M15" s="3">
        <f>tbl_MTG_Set[[#This Row],[Released On]]+tbl_MTG_Set[[#This Row],[Buy Window Month End]]*365.25/12</f>
        <v>46164.625</v>
      </c>
      <c r="N15" s="3" t="b">
        <f ca="1">AND(NOW()&gt;=tbl_MTG_Set[[#This Row],[Buy Window Start]], NOW()&lt;=tbl_MTG_Set[[#This Row],[Buy Window End]])</f>
        <v>1</v>
      </c>
      <c r="O15">
        <f>_xlfn.XLOOKUP(tbl_MTG_Set[[#This Row],[Type Name]], tbl_MTG_Set_Type[Set Type], tbl_MTG_Set_Type[Heavy Printing Window Month Start], "(Set Type not found)", 0, 1)</f>
        <v>0</v>
      </c>
      <c r="P15" s="3">
        <f>tbl_MTG_Set[[#This Row],[Released On]]+tbl_MTG_Set[[#This Row],[Heavy Printing Window Month Start]]*365.25/12</f>
        <v>45982</v>
      </c>
      <c r="Q15">
        <f>_xlfn.XLOOKUP(tbl_MTG_Set[[#This Row],[Type Name]], tbl_MTG_Set_Type[Set Type], tbl_MTG_Set_Type[Heavy Printing Window Month End], "(Set Type not found)", 0, 1)</f>
        <v>0</v>
      </c>
      <c r="R15" s="3">
        <f>tbl_MTG_Set[[#This Row],[Released On]]+tbl_MTG_Set[[#This Row],[Heavy Printing Window Month End]]*365.25/12</f>
        <v>45982</v>
      </c>
      <c r="S15" s="3" t="b">
        <f ca="1">AND(NOW()&gt;=tbl_MTG_Set[[#This Row],[Heavy Printing Window Start]], NOW()&lt;=tbl_MTG_Set[[#This Row],[Heavy Printing Window End]])</f>
        <v>0</v>
      </c>
      <c r="T15">
        <f>_xlfn.XLOOKUP(tbl_MTG_Set[[#This Row],[Type Name]], tbl_MTG_Set_Type[Set Type], tbl_MTG_Set_Type[Sell Window Month Start], "(Set Type not found)", 0, 1)</f>
        <v>0</v>
      </c>
      <c r="U15" s="3">
        <f>tbl_MTG_Set[[#This Row],[Released On]]+tbl_MTG_Set[[#This Row],[Sell Window Month Start]]*365.25/12</f>
        <v>45982</v>
      </c>
      <c r="V15">
        <f>_xlfn.XLOOKUP(tbl_MTG_Set[[#This Row],[Type Name]], tbl_MTG_Set_Type[Set Type], tbl_MTG_Set_Type[Sell Window Month End], "(Set Type not found)", 0, 1)</f>
        <v>0</v>
      </c>
      <c r="W15" s="3">
        <f>tbl_MTG_Set[[#This Row],[Released On]]+tbl_MTG_Set[[#This Row],[Sell Window Month End]]*365.25/12</f>
        <v>45982</v>
      </c>
      <c r="X15" s="3" t="b">
        <f ca="1">AND(NOW()&gt;=tbl_MTG_Set[[#This Row],[Sell Window Start]], NOW()&lt;=tbl_MTG_Set[[#This Row],[Sell Window End]])</f>
        <v>0</v>
      </c>
      <c r="AG15" s="10"/>
      <c r="AH15" s="10"/>
      <c r="AM15" s="10" t="str" cm="1">
        <f t="array" ref="AM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" s="10" t="str" cm="1">
        <f t="array" ref="AN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" s="4" t="e">
        <f>_xlfn.XLOOKUP(tbl_MTG_Set[[#This Row],[Play Booster Box Product Id]], tbl_Product[Product Id], tbl_Product[Pack Size])</f>
        <v>#N/A</v>
      </c>
      <c r="AP15" s="10" t="e">
        <f>(tbl_MTG_Set[[#This Row],[Play Booster Box Cost]]+v_Item_Shipping_Cost_In)/tbl_MTG_Set[[#This Row],[Play Booster Box Size]]</f>
        <v>#VALUE!</v>
      </c>
      <c r="AQ15" s="10" t="str" cm="1">
        <f t="array" ref="AQ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" s="10"/>
      <c r="AS15" s="10"/>
      <c r="AT15" s="17" t="e">
        <f>tbl_MTG_Set[[#This Row],[Play Booster CardMarket Profit]]/tbl_MTG_Set[[#This Row],[Play Booster Cost]]</f>
        <v>#VALUE!</v>
      </c>
      <c r="AU15" s="10" t="e">
        <f>_xlfn.XLOOKUP(tbl_MTG_Set[[#This Row],[Collector Booster Box Product Id]], tbl_Product[Product Id], tbl_Product[Min Cost])</f>
        <v>#N/A</v>
      </c>
      <c r="AV15" s="10" t="e">
        <f>_xlfn.XLOOKUP(tbl_MTG_Set[[#This Row],[Collector Booster Box Product Id]], tbl_Product[Product Id], tbl_Product[Best Source])</f>
        <v>#N/A</v>
      </c>
      <c r="AW15" s="4" t="e">
        <f>_xlfn.XLOOKUP(tbl_MTG_Set[[#This Row],[Collector Booster Box Product Id]], tbl_Product[Product Id], tbl_Product[Pack Size])</f>
        <v>#N/A</v>
      </c>
      <c r="AX15" s="10" t="e">
        <f>(tbl_MTG_Set[[#This Row],[Collector Booster Box Cost]] + v_Item_Shipping_Cost_In) / tbl_MTG_Set[[#This Row],[Collector Booster Box Size]]</f>
        <v>#N/A</v>
      </c>
      <c r="AY15" s="10" t="str" cm="1">
        <f t="array" ref="AY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" s="10"/>
      <c r="BA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" s="17" t="e">
        <f>tbl_MTG_Set[[#This Row],[Collector Booster CardMarket Profit]]/tbl_MTG_Set[[#This Row],[Collector Booster Cost]]</f>
        <v>#N/A</v>
      </c>
      <c r="BC15" s="10"/>
      <c r="BF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" s="11" t="e">
        <f>tbl_MTG_Set[[#This Row],[Play Singles CardMarket Profit MTG Stocks]]/tbl_MTG_Set[[#This Row],[Play Booster Cost]]</f>
        <v>#VALUE!</v>
      </c>
      <c r="BI15" s="11" t="b">
        <f>tbl_MTG_Set[[#This Row],[Play Singles CardMarket Profit MTG Stocks]]&gt;0</f>
        <v>0</v>
      </c>
      <c r="BM15" s="10" t="e">
        <f>tbl_MTG_Set[[#This Row],[Play Booster Sell Price CardMarket]]*tbl_MTG_Set[[#This Row],[Play Booster Expected Market Value BotBox]]/tbl_MTG_Set[[#This Row],[Play Booster Sealed Market Value BotBox]]</f>
        <v>#VALUE!</v>
      </c>
      <c r="BN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" s="10" t="e">
        <f>tbl_MTG_Set[[#This Row],[Play Singles CardMarket Profit BotBox]]/tbl_MTG_Set[[#This Row],[Play Booster Cost]]</f>
        <v>#VALUE!</v>
      </c>
      <c r="BP15" s="10" t="b">
        <f>tbl_MTG_Set[[#This Row],[Play Singles CardMarket Profit BotBox]]&gt;0</f>
        <v>0</v>
      </c>
      <c r="BQ15" s="10"/>
      <c r="BR15" s="10"/>
      <c r="BS15" s="10"/>
      <c r="BT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" s="19" t="e">
        <f>tbl_MTG_Set[[#This Row],[Collector Singles CardMarket Profit MTG Stocks]]/tbl_MTG_Set[[#This Row],[Collector Booster Cost]]</f>
        <v>#N/A</v>
      </c>
      <c r="BW15" s="10" t="b">
        <f>tbl_MTG_Set[[#This Row],[Collector Singles CardMarket Profit MTG Stocks]]&gt;0</f>
        <v>0</v>
      </c>
      <c r="BX15" s="10"/>
      <c r="BY15" s="10"/>
      <c r="BZ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" s="10" t="e">
        <f>tbl_MTG_Set[[#This Row],[Collector Singles CardMarket Profit BotBox]]/tbl_MTG_Set[[#This Row],[Collector Booster Cost]]</f>
        <v>#N/A</v>
      </c>
      <c r="CC15" s="10" t="b">
        <f>tbl_MTG_Set[[#This Row],[Collector Singles CardMarket Profit BotBox]]&gt;0</f>
        <v>0</v>
      </c>
      <c r="CD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" spans="1:86" hidden="1">
      <c r="A16">
        <v>15</v>
      </c>
      <c r="B16" t="s">
        <v>189</v>
      </c>
      <c r="C16">
        <v>2</v>
      </c>
      <c r="D16" s="3">
        <v>45982</v>
      </c>
      <c r="E16" t="s">
        <v>86</v>
      </c>
      <c r="F16" t="s">
        <v>174</v>
      </c>
      <c r="G16">
        <v>16</v>
      </c>
      <c r="H16">
        <f ca="1">MONTH(NOW())+12*YEAR(NOW())-MONTH(tbl_MTG_Set[[#This Row],[Released On]])-12*YEAR(tbl_MTG_Set[[#This Row],[Released On]])</f>
        <v>4</v>
      </c>
      <c r="I16">
        <f>_xlfn.XLOOKUP(tbl_MTG_Set[[#This Row],[Type Name]], tbl_MTG_Set_Type[Set Type], tbl_MTG_Set_Type[Index], "(Set Type not found)")</f>
        <v>6</v>
      </c>
      <c r="J16">
        <f>_xlfn.XLOOKUP(tbl_MTG_Set[[#This Row],[Type Name]], tbl_MTG_Set_Type[Set Type], tbl_MTG_Set_Type[Buy Window Month Start], "(Set Type not found)")</f>
        <v>3</v>
      </c>
      <c r="K16" s="3">
        <f>tbl_MTG_Set[[#This Row],[Released On]]+tbl_MTG_Set[[#This Row],[Buy Window Month Start]]*365.25/12</f>
        <v>46073.3125</v>
      </c>
      <c r="L16">
        <f>_xlfn.XLOOKUP(tbl_MTG_Set[[#This Row],[Type Name]], tbl_MTG_Set_Type[Set Type], tbl_MTG_Set_Type[Buy Window Month End], "(Set Type not found)", 0, 1)</f>
        <v>6</v>
      </c>
      <c r="M16" s="3">
        <f>tbl_MTG_Set[[#This Row],[Released On]]+tbl_MTG_Set[[#This Row],[Buy Window Month End]]*365.25/12</f>
        <v>46164.625</v>
      </c>
      <c r="N16" s="3" t="b">
        <f ca="1">AND(NOW()&gt;=tbl_MTG_Set[[#This Row],[Buy Window Start]], NOW()&lt;=tbl_MTG_Set[[#This Row],[Buy Window End]])</f>
        <v>1</v>
      </c>
      <c r="O16">
        <f>_xlfn.XLOOKUP(tbl_MTG_Set[[#This Row],[Type Name]], tbl_MTG_Set_Type[Set Type], tbl_MTG_Set_Type[Heavy Printing Window Month Start], "(Set Type not found)", 0, 1)</f>
        <v>0</v>
      </c>
      <c r="P16" s="3">
        <f>tbl_MTG_Set[[#This Row],[Released On]]+tbl_MTG_Set[[#This Row],[Heavy Printing Window Month Start]]*365.25/12</f>
        <v>45982</v>
      </c>
      <c r="Q16">
        <f>_xlfn.XLOOKUP(tbl_MTG_Set[[#This Row],[Type Name]], tbl_MTG_Set_Type[Set Type], tbl_MTG_Set_Type[Heavy Printing Window Month End], "(Set Type not found)", 0, 1)</f>
        <v>0</v>
      </c>
      <c r="R16" s="3">
        <f>tbl_MTG_Set[[#This Row],[Released On]]+tbl_MTG_Set[[#This Row],[Heavy Printing Window Month End]]*365.25/12</f>
        <v>45982</v>
      </c>
      <c r="S16" s="3" t="b">
        <f ca="1">AND(NOW()&gt;=tbl_MTG_Set[[#This Row],[Heavy Printing Window Start]], NOW()&lt;=tbl_MTG_Set[[#This Row],[Heavy Printing Window End]])</f>
        <v>0</v>
      </c>
      <c r="T16">
        <f>_xlfn.XLOOKUP(tbl_MTG_Set[[#This Row],[Type Name]], tbl_MTG_Set_Type[Set Type], tbl_MTG_Set_Type[Sell Window Month Start], "(Set Type not found)", 0, 1)</f>
        <v>0</v>
      </c>
      <c r="U16" s="3">
        <f>tbl_MTG_Set[[#This Row],[Released On]]+tbl_MTG_Set[[#This Row],[Sell Window Month Start]]*365.25/12</f>
        <v>45982</v>
      </c>
      <c r="V16">
        <f>_xlfn.XLOOKUP(tbl_MTG_Set[[#This Row],[Type Name]], tbl_MTG_Set_Type[Set Type], tbl_MTG_Set_Type[Sell Window Month End], "(Set Type not found)", 0, 1)</f>
        <v>0</v>
      </c>
      <c r="W16" s="3">
        <f>tbl_MTG_Set[[#This Row],[Released On]]+tbl_MTG_Set[[#This Row],[Sell Window Month End]]*365.25/12</f>
        <v>45982</v>
      </c>
      <c r="X16" s="3" t="b">
        <f ca="1">AND(NOW()&gt;=tbl_MTG_Set[[#This Row],[Sell Window Start]], NOW()&lt;=tbl_MTG_Set[[#This Row],[Sell Window End]])</f>
        <v>0</v>
      </c>
      <c r="AG16" s="10"/>
      <c r="AH16" s="10"/>
      <c r="AM16" s="10" t="str" cm="1">
        <f t="array" ref="AM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" s="10" t="str" cm="1">
        <f t="array" ref="AN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" s="4" t="e">
        <f>_xlfn.XLOOKUP(tbl_MTG_Set[[#This Row],[Play Booster Box Product Id]], tbl_Product[Product Id], tbl_Product[Pack Size])</f>
        <v>#N/A</v>
      </c>
      <c r="AP16" s="10" t="e">
        <f>(tbl_MTG_Set[[#This Row],[Play Booster Box Cost]]+v_Item_Shipping_Cost_In)/tbl_MTG_Set[[#This Row],[Play Booster Box Size]]</f>
        <v>#VALUE!</v>
      </c>
      <c r="AQ16" s="10" t="str" cm="1">
        <f t="array" ref="AQ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" s="10"/>
      <c r="AS16" s="10"/>
      <c r="AT16" s="17" t="e">
        <f>tbl_MTG_Set[[#This Row],[Play Booster CardMarket Profit]]/tbl_MTG_Set[[#This Row],[Play Booster Cost]]</f>
        <v>#VALUE!</v>
      </c>
      <c r="AU16" s="10" t="e">
        <f>_xlfn.XLOOKUP(tbl_MTG_Set[[#This Row],[Collector Booster Box Product Id]], tbl_Product[Product Id], tbl_Product[Min Cost])</f>
        <v>#N/A</v>
      </c>
      <c r="AV16" s="10" t="e">
        <f>_xlfn.XLOOKUP(tbl_MTG_Set[[#This Row],[Collector Booster Box Product Id]], tbl_Product[Product Id], tbl_Product[Best Source])</f>
        <v>#N/A</v>
      </c>
      <c r="AW16" s="4" t="e">
        <f>_xlfn.XLOOKUP(tbl_MTG_Set[[#This Row],[Collector Booster Box Product Id]], tbl_Product[Product Id], tbl_Product[Pack Size])</f>
        <v>#N/A</v>
      </c>
      <c r="AX16" s="10" t="e">
        <f>(tbl_MTG_Set[[#This Row],[Collector Booster Box Cost]] + v_Item_Shipping_Cost_In) / tbl_MTG_Set[[#This Row],[Collector Booster Box Size]]</f>
        <v>#N/A</v>
      </c>
      <c r="AY16" s="10" t="str" cm="1">
        <f t="array" ref="AY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" s="10"/>
      <c r="BA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" s="17" t="e">
        <f>tbl_MTG_Set[[#This Row],[Collector Booster CardMarket Profit]]/tbl_MTG_Set[[#This Row],[Collector Booster Cost]]</f>
        <v>#N/A</v>
      </c>
      <c r="BC16" s="10"/>
      <c r="BF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" s="11" t="e">
        <f>tbl_MTG_Set[[#This Row],[Play Singles CardMarket Profit MTG Stocks]]/tbl_MTG_Set[[#This Row],[Play Booster Cost]]</f>
        <v>#VALUE!</v>
      </c>
      <c r="BI16" s="11" t="b">
        <f>tbl_MTG_Set[[#This Row],[Play Singles CardMarket Profit MTG Stocks]]&gt;0</f>
        <v>0</v>
      </c>
      <c r="BM16" s="10" t="e">
        <f>tbl_MTG_Set[[#This Row],[Play Booster Sell Price CardMarket]]*tbl_MTG_Set[[#This Row],[Play Booster Expected Market Value BotBox]]/tbl_MTG_Set[[#This Row],[Play Booster Sealed Market Value BotBox]]</f>
        <v>#VALUE!</v>
      </c>
      <c r="BN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" s="10" t="e">
        <f>tbl_MTG_Set[[#This Row],[Play Singles CardMarket Profit BotBox]]/tbl_MTG_Set[[#This Row],[Play Booster Cost]]</f>
        <v>#VALUE!</v>
      </c>
      <c r="BP16" s="10" t="b">
        <f>tbl_MTG_Set[[#This Row],[Play Singles CardMarket Profit BotBox]]&gt;0</f>
        <v>0</v>
      </c>
      <c r="BQ16" s="10"/>
      <c r="BR16" s="10"/>
      <c r="BS16" s="10"/>
      <c r="BT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" s="19" t="e">
        <f>tbl_MTG_Set[[#This Row],[Collector Singles CardMarket Profit MTG Stocks]]/tbl_MTG_Set[[#This Row],[Collector Booster Cost]]</f>
        <v>#N/A</v>
      </c>
      <c r="BW16" s="10" t="b">
        <f>tbl_MTG_Set[[#This Row],[Collector Singles CardMarket Profit MTG Stocks]]&gt;0</f>
        <v>0</v>
      </c>
      <c r="BX16" s="10"/>
      <c r="BY16" s="10"/>
      <c r="BZ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" s="10" t="e">
        <f>tbl_MTG_Set[[#This Row],[Collector Singles CardMarket Profit BotBox]]/tbl_MTG_Set[[#This Row],[Collector Booster Cost]]</f>
        <v>#N/A</v>
      </c>
      <c r="CC16" s="10" t="b">
        <f>tbl_MTG_Set[[#This Row],[Collector Singles CardMarket Profit BotBox]]&gt;0</f>
        <v>0</v>
      </c>
      <c r="CD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" spans="1:86" hidden="1">
      <c r="A17">
        <v>16</v>
      </c>
      <c r="B17" t="s">
        <v>190</v>
      </c>
      <c r="C17">
        <v>540</v>
      </c>
      <c r="D17" s="3">
        <v>45953</v>
      </c>
      <c r="F17">
        <v>0</v>
      </c>
      <c r="G17">
        <v>17</v>
      </c>
      <c r="H17">
        <f ca="1">MONTH(NOW())+12*YEAR(NOW())-MONTH(tbl_MTG_Set[[#This Row],[Released On]])-12*YEAR(tbl_MTG_Set[[#This Row],[Released On]])</f>
        <v>5</v>
      </c>
      <c r="I17" t="str">
        <f>_xlfn.XLOOKUP(tbl_MTG_Set[[#This Row],[Type Name]], tbl_MTG_Set_Type[Set Type], tbl_MTG_Set_Type[Index], "(Set Type not found)")</f>
        <v>(Set Type not found)</v>
      </c>
      <c r="J17" t="str">
        <f>_xlfn.XLOOKUP(tbl_MTG_Set[[#This Row],[Type Name]], tbl_MTG_Set_Type[Set Type], tbl_MTG_Set_Type[Buy Window Month Start], "(Set Type not found)")</f>
        <v>(Set Type not found)</v>
      </c>
      <c r="K17" s="3" t="e">
        <f>tbl_MTG_Set[[#This Row],[Released On]]+tbl_MTG_Set[[#This Row],[Buy Window Month Start]]*365.25/12</f>
        <v>#VALUE!</v>
      </c>
      <c r="L17" t="str">
        <f>_xlfn.XLOOKUP(tbl_MTG_Set[[#This Row],[Type Name]], tbl_MTG_Set_Type[Set Type], tbl_MTG_Set_Type[Buy Window Month End], "(Set Type not found)", 0, 1)</f>
        <v>(Set Type not found)</v>
      </c>
      <c r="M17" s="3" t="e">
        <f>tbl_MTG_Set[[#This Row],[Released On]]+tbl_MTG_Set[[#This Row],[Buy Window Month End]]*365.25/12</f>
        <v>#VALUE!</v>
      </c>
      <c r="N17" s="3" t="e">
        <f ca="1">AND(NOW()&gt;=tbl_MTG_Set[[#This Row],[Buy Window Start]], NOW()&lt;=tbl_MTG_Set[[#This Row],[Buy Window End]])</f>
        <v>#VALUE!</v>
      </c>
      <c r="O17" t="str">
        <f>_xlfn.XLOOKUP(tbl_MTG_Set[[#This Row],[Type Name]], tbl_MTG_Set_Type[Set Type], tbl_MTG_Set_Type[Heavy Printing Window Month Start], "(Set Type not found)", 0, 1)</f>
        <v>(Set Type not found)</v>
      </c>
      <c r="P17" s="3" t="e">
        <f>tbl_MTG_Set[[#This Row],[Released On]]+tbl_MTG_Set[[#This Row],[Heavy Printing Window Month Start]]*365.25/12</f>
        <v>#VALUE!</v>
      </c>
      <c r="Q17" t="str">
        <f>_xlfn.XLOOKUP(tbl_MTG_Set[[#This Row],[Type Name]], tbl_MTG_Set_Type[Set Type], tbl_MTG_Set_Type[Heavy Printing Window Month End], "(Set Type not found)", 0, 1)</f>
        <v>(Set Type not found)</v>
      </c>
      <c r="R17" s="3" t="e">
        <f>tbl_MTG_Set[[#This Row],[Released On]]+tbl_MTG_Set[[#This Row],[Heavy Printing Window Month End]]*365.25/12</f>
        <v>#VALUE!</v>
      </c>
      <c r="S17" s="3" t="e">
        <f ca="1">AND(NOW()&gt;=tbl_MTG_Set[[#This Row],[Heavy Printing Window Start]], NOW()&lt;=tbl_MTG_Set[[#This Row],[Heavy Printing Window End]])</f>
        <v>#VALUE!</v>
      </c>
      <c r="T17" t="str">
        <f>_xlfn.XLOOKUP(tbl_MTG_Set[[#This Row],[Type Name]], tbl_MTG_Set_Type[Set Type], tbl_MTG_Set_Type[Sell Window Month Start], "(Set Type not found)", 0, 1)</f>
        <v>(Set Type not found)</v>
      </c>
      <c r="U17" s="3" t="e">
        <f>tbl_MTG_Set[[#This Row],[Released On]]+tbl_MTG_Set[[#This Row],[Sell Window Month Start]]*365.25/12</f>
        <v>#VALUE!</v>
      </c>
      <c r="V17" t="str">
        <f>_xlfn.XLOOKUP(tbl_MTG_Set[[#This Row],[Type Name]], tbl_MTG_Set_Type[Set Type], tbl_MTG_Set_Type[Sell Window Month End], "(Set Type not found)", 0, 1)</f>
        <v>(Set Type not found)</v>
      </c>
      <c r="W17" s="3" t="e">
        <f>tbl_MTG_Set[[#This Row],[Released On]]+tbl_MTG_Set[[#This Row],[Sell Window Month End]]*365.25/12</f>
        <v>#VALUE!</v>
      </c>
      <c r="X17" s="3" t="e">
        <f ca="1">AND(NOW()&gt;=tbl_MTG_Set[[#This Row],[Sell Window Start]], NOW()&lt;=tbl_MTG_Set[[#This Row],[Sell Window End]])</f>
        <v>#VALUE!</v>
      </c>
      <c r="AG17" s="10"/>
      <c r="AH17" s="10"/>
      <c r="AM17" s="10" t="str" cm="1">
        <f t="array" ref="AM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" s="10" t="str" cm="1">
        <f t="array" ref="AN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" s="4" t="e">
        <f>_xlfn.XLOOKUP(tbl_MTG_Set[[#This Row],[Play Booster Box Product Id]], tbl_Product[Product Id], tbl_Product[Pack Size])</f>
        <v>#N/A</v>
      </c>
      <c r="AP17" s="10" t="e">
        <f>(tbl_MTG_Set[[#This Row],[Play Booster Box Cost]]+v_Item_Shipping_Cost_In)/tbl_MTG_Set[[#This Row],[Play Booster Box Size]]</f>
        <v>#VALUE!</v>
      </c>
      <c r="AQ17" s="10" t="str" cm="1">
        <f t="array" ref="AQ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" s="10"/>
      <c r="AS17" s="10"/>
      <c r="AT17" s="17" t="e">
        <f>tbl_MTG_Set[[#This Row],[Play Booster CardMarket Profit]]/tbl_MTG_Set[[#This Row],[Play Booster Cost]]</f>
        <v>#VALUE!</v>
      </c>
      <c r="AU17" s="10" t="e">
        <f>_xlfn.XLOOKUP(tbl_MTG_Set[[#This Row],[Collector Booster Box Product Id]], tbl_Product[Product Id], tbl_Product[Min Cost])</f>
        <v>#N/A</v>
      </c>
      <c r="AV17" s="10" t="e">
        <f>_xlfn.XLOOKUP(tbl_MTG_Set[[#This Row],[Collector Booster Box Product Id]], tbl_Product[Product Id], tbl_Product[Best Source])</f>
        <v>#N/A</v>
      </c>
      <c r="AW17" s="4" t="e">
        <f>_xlfn.XLOOKUP(tbl_MTG_Set[[#This Row],[Collector Booster Box Product Id]], tbl_Product[Product Id], tbl_Product[Pack Size])</f>
        <v>#N/A</v>
      </c>
      <c r="AX17" s="10" t="e">
        <f>(tbl_MTG_Set[[#This Row],[Collector Booster Box Cost]] + v_Item_Shipping_Cost_In) / tbl_MTG_Set[[#This Row],[Collector Booster Box Size]]</f>
        <v>#N/A</v>
      </c>
      <c r="AY17" s="10" t="str" cm="1">
        <f t="array" ref="AY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" s="10"/>
      <c r="BA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" s="17" t="e">
        <f>tbl_MTG_Set[[#This Row],[Collector Booster CardMarket Profit]]/tbl_MTG_Set[[#This Row],[Collector Booster Cost]]</f>
        <v>#N/A</v>
      </c>
      <c r="BC17" s="10"/>
      <c r="BF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" s="11" t="e">
        <f>tbl_MTG_Set[[#This Row],[Play Singles CardMarket Profit MTG Stocks]]/tbl_MTG_Set[[#This Row],[Play Booster Cost]]</f>
        <v>#VALUE!</v>
      </c>
      <c r="BI17" s="11" t="b">
        <f>tbl_MTG_Set[[#This Row],[Play Singles CardMarket Profit MTG Stocks]]&gt;0</f>
        <v>0</v>
      </c>
      <c r="BM17" s="10" t="e">
        <f>tbl_MTG_Set[[#This Row],[Play Booster Sell Price CardMarket]]*tbl_MTG_Set[[#This Row],[Play Booster Expected Market Value BotBox]]/tbl_MTG_Set[[#This Row],[Play Booster Sealed Market Value BotBox]]</f>
        <v>#VALUE!</v>
      </c>
      <c r="BN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" s="10" t="e">
        <f>tbl_MTG_Set[[#This Row],[Play Singles CardMarket Profit BotBox]]/tbl_MTG_Set[[#This Row],[Play Booster Cost]]</f>
        <v>#VALUE!</v>
      </c>
      <c r="BP17" s="10" t="b">
        <f>tbl_MTG_Set[[#This Row],[Play Singles CardMarket Profit BotBox]]&gt;0</f>
        <v>0</v>
      </c>
      <c r="BQ17" s="10"/>
      <c r="BR17" s="10"/>
      <c r="BS17" s="10"/>
      <c r="BT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" s="19" t="e">
        <f>tbl_MTG_Set[[#This Row],[Collector Singles CardMarket Profit MTG Stocks]]/tbl_MTG_Set[[#This Row],[Collector Booster Cost]]</f>
        <v>#N/A</v>
      </c>
      <c r="BW17" s="10" t="b">
        <f>tbl_MTG_Set[[#This Row],[Collector Singles CardMarket Profit MTG Stocks]]&gt;0</f>
        <v>0</v>
      </c>
      <c r="BX17" s="10"/>
      <c r="BY17" s="10"/>
      <c r="BZ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" s="10" t="e">
        <f>tbl_MTG_Set[[#This Row],[Collector Singles CardMarket Profit BotBox]]/tbl_MTG_Set[[#This Row],[Collector Booster Cost]]</f>
        <v>#N/A</v>
      </c>
      <c r="CC17" s="10" t="b">
        <f>tbl_MTG_Set[[#This Row],[Collector Singles CardMarket Profit BotBox]]&gt;0</f>
        <v>0</v>
      </c>
      <c r="CD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" spans="1:86" hidden="1">
      <c r="A18">
        <v>17</v>
      </c>
      <c r="B18" t="s">
        <v>191</v>
      </c>
      <c r="C18">
        <v>53</v>
      </c>
      <c r="D18" s="3">
        <v>45926</v>
      </c>
      <c r="E18" t="s">
        <v>86</v>
      </c>
      <c r="F18" t="s">
        <v>174</v>
      </c>
      <c r="G18">
        <v>18</v>
      </c>
      <c r="H18">
        <f ca="1">MONTH(NOW())+12*YEAR(NOW())-MONTH(tbl_MTG_Set[[#This Row],[Released On]])-12*YEAR(tbl_MTG_Set[[#This Row],[Released On]])</f>
        <v>6</v>
      </c>
      <c r="I18">
        <f>_xlfn.XLOOKUP(tbl_MTG_Set[[#This Row],[Type Name]], tbl_MTG_Set_Type[Set Type], tbl_MTG_Set_Type[Index], "(Set Type not found)")</f>
        <v>6</v>
      </c>
      <c r="J18">
        <f>_xlfn.XLOOKUP(tbl_MTG_Set[[#This Row],[Type Name]], tbl_MTG_Set_Type[Set Type], tbl_MTG_Set_Type[Buy Window Month Start], "(Set Type not found)")</f>
        <v>3</v>
      </c>
      <c r="K18" s="3">
        <f>tbl_MTG_Set[[#This Row],[Released On]]+tbl_MTG_Set[[#This Row],[Buy Window Month Start]]*365.25/12</f>
        <v>46017.3125</v>
      </c>
      <c r="L18">
        <f>_xlfn.XLOOKUP(tbl_MTG_Set[[#This Row],[Type Name]], tbl_MTG_Set_Type[Set Type], tbl_MTG_Set_Type[Buy Window Month End], "(Set Type not found)", 0, 1)</f>
        <v>6</v>
      </c>
      <c r="M18" s="3">
        <f>tbl_MTG_Set[[#This Row],[Released On]]+tbl_MTG_Set[[#This Row],[Buy Window Month End]]*365.25/12</f>
        <v>46108.625</v>
      </c>
      <c r="N18" s="3" t="b">
        <f ca="1">AND(NOW()&gt;=tbl_MTG_Set[[#This Row],[Buy Window Start]], NOW()&lt;=tbl_MTG_Set[[#This Row],[Buy Window End]])</f>
        <v>1</v>
      </c>
      <c r="O18">
        <f>_xlfn.XLOOKUP(tbl_MTG_Set[[#This Row],[Type Name]], tbl_MTG_Set_Type[Set Type], tbl_MTG_Set_Type[Heavy Printing Window Month Start], "(Set Type not found)", 0, 1)</f>
        <v>0</v>
      </c>
      <c r="P18" s="3">
        <f>tbl_MTG_Set[[#This Row],[Released On]]+tbl_MTG_Set[[#This Row],[Heavy Printing Window Month Start]]*365.25/12</f>
        <v>45926</v>
      </c>
      <c r="Q18">
        <f>_xlfn.XLOOKUP(tbl_MTG_Set[[#This Row],[Type Name]], tbl_MTG_Set_Type[Set Type], tbl_MTG_Set_Type[Heavy Printing Window Month End], "(Set Type not found)", 0, 1)</f>
        <v>0</v>
      </c>
      <c r="R18" s="3">
        <f>tbl_MTG_Set[[#This Row],[Released On]]+tbl_MTG_Set[[#This Row],[Heavy Printing Window Month End]]*365.25/12</f>
        <v>45926</v>
      </c>
      <c r="S18" s="3" t="b">
        <f ca="1">AND(NOW()&gt;=tbl_MTG_Set[[#This Row],[Heavy Printing Window Start]], NOW()&lt;=tbl_MTG_Set[[#This Row],[Heavy Printing Window End]])</f>
        <v>0</v>
      </c>
      <c r="T18">
        <f>_xlfn.XLOOKUP(tbl_MTG_Set[[#This Row],[Type Name]], tbl_MTG_Set_Type[Set Type], tbl_MTG_Set_Type[Sell Window Month Start], "(Set Type not found)", 0, 1)</f>
        <v>0</v>
      </c>
      <c r="U18" s="3">
        <f>tbl_MTG_Set[[#This Row],[Released On]]+tbl_MTG_Set[[#This Row],[Sell Window Month Start]]*365.25/12</f>
        <v>45926</v>
      </c>
      <c r="V18">
        <f>_xlfn.XLOOKUP(tbl_MTG_Set[[#This Row],[Type Name]], tbl_MTG_Set_Type[Set Type], tbl_MTG_Set_Type[Sell Window Month End], "(Set Type not found)", 0, 1)</f>
        <v>0</v>
      </c>
      <c r="W18" s="3">
        <f>tbl_MTG_Set[[#This Row],[Released On]]+tbl_MTG_Set[[#This Row],[Sell Window Month End]]*365.25/12</f>
        <v>45926</v>
      </c>
      <c r="X18" s="3" t="b">
        <f ca="1">AND(NOW()&gt;=tbl_MTG_Set[[#This Row],[Sell Window Start]], NOW()&lt;=tbl_MTG_Set[[#This Row],[Sell Window End]])</f>
        <v>0</v>
      </c>
      <c r="AG18" s="10"/>
      <c r="AH18" s="10"/>
      <c r="AM18" s="10" t="str" cm="1">
        <f t="array" ref="AM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" s="10" t="str" cm="1">
        <f t="array" ref="AN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" s="4" t="e">
        <f>_xlfn.XLOOKUP(tbl_MTG_Set[[#This Row],[Play Booster Box Product Id]], tbl_Product[Product Id], tbl_Product[Pack Size])</f>
        <v>#N/A</v>
      </c>
      <c r="AP18" s="10" t="e">
        <f>(tbl_MTG_Set[[#This Row],[Play Booster Box Cost]]+v_Item_Shipping_Cost_In)/tbl_MTG_Set[[#This Row],[Play Booster Box Size]]</f>
        <v>#VALUE!</v>
      </c>
      <c r="AQ18" s="10" t="str" cm="1">
        <f t="array" ref="AQ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" s="10"/>
      <c r="AS18" s="10"/>
      <c r="AT18" s="17" t="e">
        <f>tbl_MTG_Set[[#This Row],[Play Booster CardMarket Profit]]/tbl_MTG_Set[[#This Row],[Play Booster Cost]]</f>
        <v>#VALUE!</v>
      </c>
      <c r="AU18" s="10" t="e">
        <f>_xlfn.XLOOKUP(tbl_MTG_Set[[#This Row],[Collector Booster Box Product Id]], tbl_Product[Product Id], tbl_Product[Min Cost])</f>
        <v>#N/A</v>
      </c>
      <c r="AV18" s="10" t="e">
        <f>_xlfn.XLOOKUP(tbl_MTG_Set[[#This Row],[Collector Booster Box Product Id]], tbl_Product[Product Id], tbl_Product[Best Source])</f>
        <v>#N/A</v>
      </c>
      <c r="AW18" s="4" t="e">
        <f>_xlfn.XLOOKUP(tbl_MTG_Set[[#This Row],[Collector Booster Box Product Id]], tbl_Product[Product Id], tbl_Product[Pack Size])</f>
        <v>#N/A</v>
      </c>
      <c r="AX18" s="10" t="e">
        <f>(tbl_MTG_Set[[#This Row],[Collector Booster Box Cost]] + v_Item_Shipping_Cost_In) / tbl_MTG_Set[[#This Row],[Collector Booster Box Size]]</f>
        <v>#N/A</v>
      </c>
      <c r="AY18" s="10" t="str" cm="1">
        <f t="array" ref="AY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" s="10"/>
      <c r="BA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" s="17" t="e">
        <f>tbl_MTG_Set[[#This Row],[Collector Booster CardMarket Profit]]/tbl_MTG_Set[[#This Row],[Collector Booster Cost]]</f>
        <v>#N/A</v>
      </c>
      <c r="BC18" s="10"/>
      <c r="BF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" s="11" t="e">
        <f>tbl_MTG_Set[[#This Row],[Play Singles CardMarket Profit MTG Stocks]]/tbl_MTG_Set[[#This Row],[Play Booster Cost]]</f>
        <v>#VALUE!</v>
      </c>
      <c r="BI18" s="11" t="b">
        <f>tbl_MTG_Set[[#This Row],[Play Singles CardMarket Profit MTG Stocks]]&gt;0</f>
        <v>0</v>
      </c>
      <c r="BM18" s="10" t="e">
        <f>tbl_MTG_Set[[#This Row],[Play Booster Sell Price CardMarket]]*tbl_MTG_Set[[#This Row],[Play Booster Expected Market Value BotBox]]/tbl_MTG_Set[[#This Row],[Play Booster Sealed Market Value BotBox]]</f>
        <v>#VALUE!</v>
      </c>
      <c r="BN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" s="10" t="e">
        <f>tbl_MTG_Set[[#This Row],[Play Singles CardMarket Profit BotBox]]/tbl_MTG_Set[[#This Row],[Play Booster Cost]]</f>
        <v>#VALUE!</v>
      </c>
      <c r="BP18" s="10" t="b">
        <f>tbl_MTG_Set[[#This Row],[Play Singles CardMarket Profit BotBox]]&gt;0</f>
        <v>0</v>
      </c>
      <c r="BQ18" s="10"/>
      <c r="BR18" s="10"/>
      <c r="BS18" s="10"/>
      <c r="BT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" s="19" t="e">
        <f>tbl_MTG_Set[[#This Row],[Collector Singles CardMarket Profit MTG Stocks]]/tbl_MTG_Set[[#This Row],[Collector Booster Cost]]</f>
        <v>#N/A</v>
      </c>
      <c r="BW18" s="10" t="b">
        <f>tbl_MTG_Set[[#This Row],[Collector Singles CardMarket Profit MTG Stocks]]&gt;0</f>
        <v>0</v>
      </c>
      <c r="BX18" s="10"/>
      <c r="BY18" s="10"/>
      <c r="BZ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" s="10" t="e">
        <f>tbl_MTG_Set[[#This Row],[Collector Singles CardMarket Profit BotBox]]/tbl_MTG_Set[[#This Row],[Collector Booster Cost]]</f>
        <v>#N/A</v>
      </c>
      <c r="CC18" s="10" t="b">
        <f>tbl_MTG_Set[[#This Row],[Collector Singles CardMarket Profit BotBox]]&gt;0</f>
        <v>0</v>
      </c>
      <c r="CD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" spans="1:86" hidden="1">
      <c r="A19">
        <v>18</v>
      </c>
      <c r="B19" t="s">
        <v>192</v>
      </c>
      <c r="C19">
        <v>40</v>
      </c>
      <c r="D19" s="3">
        <v>45923</v>
      </c>
      <c r="F19" t="s">
        <v>174</v>
      </c>
      <c r="G19">
        <v>19</v>
      </c>
      <c r="H19">
        <f ca="1">MONTH(NOW())+12*YEAR(NOW())-MONTH(tbl_MTG_Set[[#This Row],[Released On]])-12*YEAR(tbl_MTG_Set[[#This Row],[Released On]])</f>
        <v>6</v>
      </c>
      <c r="I19" t="str">
        <f>_xlfn.XLOOKUP(tbl_MTG_Set[[#This Row],[Type Name]], tbl_MTG_Set_Type[Set Type], tbl_MTG_Set_Type[Index], "(Set Type not found)")</f>
        <v>(Set Type not found)</v>
      </c>
      <c r="J19" t="str">
        <f>_xlfn.XLOOKUP(tbl_MTG_Set[[#This Row],[Type Name]], tbl_MTG_Set_Type[Set Type], tbl_MTG_Set_Type[Buy Window Month Start], "(Set Type not found)")</f>
        <v>(Set Type not found)</v>
      </c>
      <c r="K19" s="3" t="e">
        <f>tbl_MTG_Set[[#This Row],[Released On]]+tbl_MTG_Set[[#This Row],[Buy Window Month Start]]*365.25/12</f>
        <v>#VALUE!</v>
      </c>
      <c r="L19" t="str">
        <f>_xlfn.XLOOKUP(tbl_MTG_Set[[#This Row],[Type Name]], tbl_MTG_Set_Type[Set Type], tbl_MTG_Set_Type[Buy Window Month End], "(Set Type not found)", 0, 1)</f>
        <v>(Set Type not found)</v>
      </c>
      <c r="M19" s="3" t="e">
        <f>tbl_MTG_Set[[#This Row],[Released On]]+tbl_MTG_Set[[#This Row],[Buy Window Month End]]*365.25/12</f>
        <v>#VALUE!</v>
      </c>
      <c r="N19" s="3" t="e">
        <f ca="1">AND(NOW()&gt;=tbl_MTG_Set[[#This Row],[Buy Window Start]], NOW()&lt;=tbl_MTG_Set[[#This Row],[Buy Window End]])</f>
        <v>#VALUE!</v>
      </c>
      <c r="O19" t="str">
        <f>_xlfn.XLOOKUP(tbl_MTG_Set[[#This Row],[Type Name]], tbl_MTG_Set_Type[Set Type], tbl_MTG_Set_Type[Heavy Printing Window Month Start], "(Set Type not found)", 0, 1)</f>
        <v>(Set Type not found)</v>
      </c>
      <c r="P19" s="3" t="e">
        <f>tbl_MTG_Set[[#This Row],[Released On]]+tbl_MTG_Set[[#This Row],[Heavy Printing Window Month Start]]*365.25/12</f>
        <v>#VALUE!</v>
      </c>
      <c r="Q19" t="str">
        <f>_xlfn.XLOOKUP(tbl_MTG_Set[[#This Row],[Type Name]], tbl_MTG_Set_Type[Set Type], tbl_MTG_Set_Type[Heavy Printing Window Month End], "(Set Type not found)", 0, 1)</f>
        <v>(Set Type not found)</v>
      </c>
      <c r="R19" s="3" t="e">
        <f>tbl_MTG_Set[[#This Row],[Released On]]+tbl_MTG_Set[[#This Row],[Heavy Printing Window Month End]]*365.25/12</f>
        <v>#VALUE!</v>
      </c>
      <c r="S19" s="3" t="e">
        <f ca="1">AND(NOW()&gt;=tbl_MTG_Set[[#This Row],[Heavy Printing Window Start]], NOW()&lt;=tbl_MTG_Set[[#This Row],[Heavy Printing Window End]])</f>
        <v>#VALUE!</v>
      </c>
      <c r="T19" t="str">
        <f>_xlfn.XLOOKUP(tbl_MTG_Set[[#This Row],[Type Name]], tbl_MTG_Set_Type[Set Type], tbl_MTG_Set_Type[Sell Window Month Start], "(Set Type not found)", 0, 1)</f>
        <v>(Set Type not found)</v>
      </c>
      <c r="U19" s="3" t="e">
        <f>tbl_MTG_Set[[#This Row],[Released On]]+tbl_MTG_Set[[#This Row],[Sell Window Month Start]]*365.25/12</f>
        <v>#VALUE!</v>
      </c>
      <c r="V19" t="str">
        <f>_xlfn.XLOOKUP(tbl_MTG_Set[[#This Row],[Type Name]], tbl_MTG_Set_Type[Set Type], tbl_MTG_Set_Type[Sell Window Month End], "(Set Type not found)", 0, 1)</f>
        <v>(Set Type not found)</v>
      </c>
      <c r="W19" s="3" t="e">
        <f>tbl_MTG_Set[[#This Row],[Released On]]+tbl_MTG_Set[[#This Row],[Sell Window Month End]]*365.25/12</f>
        <v>#VALUE!</v>
      </c>
      <c r="X19" s="3" t="e">
        <f ca="1">AND(NOW()&gt;=tbl_MTG_Set[[#This Row],[Sell Window Start]], NOW()&lt;=tbl_MTG_Set[[#This Row],[Sell Window End]])</f>
        <v>#VALUE!</v>
      </c>
      <c r="AG19" s="10"/>
      <c r="AH19" s="10"/>
      <c r="AM19" s="10" t="str" cm="1">
        <f t="array" ref="AM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" s="10" t="str" cm="1">
        <f t="array" ref="AN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" s="4" t="e">
        <f>_xlfn.XLOOKUP(tbl_MTG_Set[[#This Row],[Play Booster Box Product Id]], tbl_Product[Product Id], tbl_Product[Pack Size])</f>
        <v>#N/A</v>
      </c>
      <c r="AP19" s="10" t="e">
        <f>(tbl_MTG_Set[[#This Row],[Play Booster Box Cost]]+v_Item_Shipping_Cost_In)/tbl_MTG_Set[[#This Row],[Play Booster Box Size]]</f>
        <v>#VALUE!</v>
      </c>
      <c r="AQ19" s="10" t="str" cm="1">
        <f t="array" ref="AQ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" s="10"/>
      <c r="AS19" s="10"/>
      <c r="AT19" s="17" t="e">
        <f>tbl_MTG_Set[[#This Row],[Play Booster CardMarket Profit]]/tbl_MTG_Set[[#This Row],[Play Booster Cost]]</f>
        <v>#VALUE!</v>
      </c>
      <c r="AU19" s="10" t="e">
        <f>_xlfn.XLOOKUP(tbl_MTG_Set[[#This Row],[Collector Booster Box Product Id]], tbl_Product[Product Id], tbl_Product[Min Cost])</f>
        <v>#N/A</v>
      </c>
      <c r="AV19" s="10" t="e">
        <f>_xlfn.XLOOKUP(tbl_MTG_Set[[#This Row],[Collector Booster Box Product Id]], tbl_Product[Product Id], tbl_Product[Best Source])</f>
        <v>#N/A</v>
      </c>
      <c r="AW19" s="4" t="e">
        <f>_xlfn.XLOOKUP(tbl_MTG_Set[[#This Row],[Collector Booster Box Product Id]], tbl_Product[Product Id], tbl_Product[Pack Size])</f>
        <v>#N/A</v>
      </c>
      <c r="AX19" s="10" t="e">
        <f>(tbl_MTG_Set[[#This Row],[Collector Booster Box Cost]] + v_Item_Shipping_Cost_In) / tbl_MTG_Set[[#This Row],[Collector Booster Box Size]]</f>
        <v>#N/A</v>
      </c>
      <c r="AY19" s="10" t="str" cm="1">
        <f t="array" ref="AY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" s="10"/>
      <c r="BA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" s="17" t="e">
        <f>tbl_MTG_Set[[#This Row],[Collector Booster CardMarket Profit]]/tbl_MTG_Set[[#This Row],[Collector Booster Cost]]</f>
        <v>#N/A</v>
      </c>
      <c r="BC19" s="10"/>
      <c r="BF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" s="11" t="e">
        <f>tbl_MTG_Set[[#This Row],[Play Singles CardMarket Profit MTG Stocks]]/tbl_MTG_Set[[#This Row],[Play Booster Cost]]</f>
        <v>#VALUE!</v>
      </c>
      <c r="BI19" s="11" t="b">
        <f>tbl_MTG_Set[[#This Row],[Play Singles CardMarket Profit MTG Stocks]]&gt;0</f>
        <v>0</v>
      </c>
      <c r="BM19" s="10" t="e">
        <f>tbl_MTG_Set[[#This Row],[Play Booster Sell Price CardMarket]]*tbl_MTG_Set[[#This Row],[Play Booster Expected Market Value BotBox]]/tbl_MTG_Set[[#This Row],[Play Booster Sealed Market Value BotBox]]</f>
        <v>#VALUE!</v>
      </c>
      <c r="BN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" s="10" t="e">
        <f>tbl_MTG_Set[[#This Row],[Play Singles CardMarket Profit BotBox]]/tbl_MTG_Set[[#This Row],[Play Booster Cost]]</f>
        <v>#VALUE!</v>
      </c>
      <c r="BP19" s="10" t="b">
        <f>tbl_MTG_Set[[#This Row],[Play Singles CardMarket Profit BotBox]]&gt;0</f>
        <v>0</v>
      </c>
      <c r="BQ19" s="10"/>
      <c r="BR19" s="10"/>
      <c r="BS19" s="10"/>
      <c r="BT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" s="19" t="e">
        <f>tbl_MTG_Set[[#This Row],[Collector Singles CardMarket Profit MTG Stocks]]/tbl_MTG_Set[[#This Row],[Collector Booster Cost]]</f>
        <v>#N/A</v>
      </c>
      <c r="BW19" s="10" t="b">
        <f>tbl_MTG_Set[[#This Row],[Collector Singles CardMarket Profit MTG Stocks]]&gt;0</f>
        <v>0</v>
      </c>
      <c r="BX19" s="10"/>
      <c r="BY19" s="10"/>
      <c r="BZ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" s="10" t="e">
        <f>tbl_MTG_Set[[#This Row],[Collector Singles CardMarket Profit BotBox]]/tbl_MTG_Set[[#This Row],[Collector Booster Cost]]</f>
        <v>#N/A</v>
      </c>
      <c r="CC19" s="10" t="b">
        <f>tbl_MTG_Set[[#This Row],[Collector Singles CardMarket Profit BotBox]]&gt;0</f>
        <v>0</v>
      </c>
      <c r="CD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" spans="1:86" hidden="1">
      <c r="A20">
        <v>19</v>
      </c>
      <c r="B20" t="s">
        <v>193</v>
      </c>
      <c r="C20">
        <v>4</v>
      </c>
      <c r="D20" s="3">
        <v>45930</v>
      </c>
      <c r="E20" t="s">
        <v>86</v>
      </c>
      <c r="F20" t="s">
        <v>174</v>
      </c>
      <c r="G20">
        <v>20</v>
      </c>
      <c r="H20">
        <f ca="1">MONTH(NOW())+12*YEAR(NOW())-MONTH(tbl_MTG_Set[[#This Row],[Released On]])-12*YEAR(tbl_MTG_Set[[#This Row],[Released On]])</f>
        <v>6</v>
      </c>
      <c r="I20">
        <f>_xlfn.XLOOKUP(tbl_MTG_Set[[#This Row],[Type Name]], tbl_MTG_Set_Type[Set Type], tbl_MTG_Set_Type[Index], "(Set Type not found)")</f>
        <v>6</v>
      </c>
      <c r="J20">
        <f>_xlfn.XLOOKUP(tbl_MTG_Set[[#This Row],[Type Name]], tbl_MTG_Set_Type[Set Type], tbl_MTG_Set_Type[Buy Window Month Start], "(Set Type not found)")</f>
        <v>3</v>
      </c>
      <c r="K20" s="3">
        <f>tbl_MTG_Set[[#This Row],[Released On]]+tbl_MTG_Set[[#This Row],[Buy Window Month Start]]*365.25/12</f>
        <v>46021.3125</v>
      </c>
      <c r="L20">
        <f>_xlfn.XLOOKUP(tbl_MTG_Set[[#This Row],[Type Name]], tbl_MTG_Set_Type[Set Type], tbl_MTG_Set_Type[Buy Window Month End], "(Set Type not found)", 0, 1)</f>
        <v>6</v>
      </c>
      <c r="M20" s="3">
        <f>tbl_MTG_Set[[#This Row],[Released On]]+tbl_MTG_Set[[#This Row],[Buy Window Month End]]*365.25/12</f>
        <v>46112.625</v>
      </c>
      <c r="N20" s="3" t="b">
        <f ca="1">AND(NOW()&gt;=tbl_MTG_Set[[#This Row],[Buy Window Start]], NOW()&lt;=tbl_MTG_Set[[#This Row],[Buy Window End]])</f>
        <v>1</v>
      </c>
      <c r="O20">
        <f>_xlfn.XLOOKUP(tbl_MTG_Set[[#This Row],[Type Name]], tbl_MTG_Set_Type[Set Type], tbl_MTG_Set_Type[Heavy Printing Window Month Start], "(Set Type not found)", 0, 1)</f>
        <v>0</v>
      </c>
      <c r="P20" s="3">
        <f>tbl_MTG_Set[[#This Row],[Released On]]+tbl_MTG_Set[[#This Row],[Heavy Printing Window Month Start]]*365.25/12</f>
        <v>45930</v>
      </c>
      <c r="Q20">
        <f>_xlfn.XLOOKUP(tbl_MTG_Set[[#This Row],[Type Name]], tbl_MTG_Set_Type[Set Type], tbl_MTG_Set_Type[Heavy Printing Window Month End], "(Set Type not found)", 0, 1)</f>
        <v>0</v>
      </c>
      <c r="R20" s="3">
        <f>tbl_MTG_Set[[#This Row],[Released On]]+tbl_MTG_Set[[#This Row],[Heavy Printing Window Month End]]*365.25/12</f>
        <v>45930</v>
      </c>
      <c r="S20" s="3" t="b">
        <f ca="1">AND(NOW()&gt;=tbl_MTG_Set[[#This Row],[Heavy Printing Window Start]], NOW()&lt;=tbl_MTG_Set[[#This Row],[Heavy Printing Window End]])</f>
        <v>0</v>
      </c>
      <c r="T20">
        <f>_xlfn.XLOOKUP(tbl_MTG_Set[[#This Row],[Type Name]], tbl_MTG_Set_Type[Set Type], tbl_MTG_Set_Type[Sell Window Month Start], "(Set Type not found)", 0, 1)</f>
        <v>0</v>
      </c>
      <c r="U20" s="3">
        <f>tbl_MTG_Set[[#This Row],[Released On]]+tbl_MTG_Set[[#This Row],[Sell Window Month Start]]*365.25/12</f>
        <v>45930</v>
      </c>
      <c r="V20">
        <f>_xlfn.XLOOKUP(tbl_MTG_Set[[#This Row],[Type Name]], tbl_MTG_Set_Type[Set Type], tbl_MTG_Set_Type[Sell Window Month End], "(Set Type not found)", 0, 1)</f>
        <v>0</v>
      </c>
      <c r="W20" s="3">
        <f>tbl_MTG_Set[[#This Row],[Released On]]+tbl_MTG_Set[[#This Row],[Sell Window Month End]]*365.25/12</f>
        <v>45930</v>
      </c>
      <c r="X20" s="3" t="b">
        <f ca="1">AND(NOW()&gt;=tbl_MTG_Set[[#This Row],[Sell Window Start]], NOW()&lt;=tbl_MTG_Set[[#This Row],[Sell Window End]])</f>
        <v>0</v>
      </c>
      <c r="AG20" s="10"/>
      <c r="AH20" s="10"/>
      <c r="AM20" s="10" t="str" cm="1">
        <f t="array" ref="AM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" s="10" t="str" cm="1">
        <f t="array" ref="AN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" s="4" t="e">
        <f>_xlfn.XLOOKUP(tbl_MTG_Set[[#This Row],[Play Booster Box Product Id]], tbl_Product[Product Id], tbl_Product[Pack Size])</f>
        <v>#N/A</v>
      </c>
      <c r="AP20" s="10" t="e">
        <f>(tbl_MTG_Set[[#This Row],[Play Booster Box Cost]]+v_Item_Shipping_Cost_In)/tbl_MTG_Set[[#This Row],[Play Booster Box Size]]</f>
        <v>#VALUE!</v>
      </c>
      <c r="AQ20" s="10" t="str" cm="1">
        <f t="array" ref="AQ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" s="10"/>
      <c r="AS20" s="10"/>
      <c r="AT20" s="17" t="e">
        <f>tbl_MTG_Set[[#This Row],[Play Booster CardMarket Profit]]/tbl_MTG_Set[[#This Row],[Play Booster Cost]]</f>
        <v>#VALUE!</v>
      </c>
      <c r="AU20" s="10" t="e">
        <f>_xlfn.XLOOKUP(tbl_MTG_Set[[#This Row],[Collector Booster Box Product Id]], tbl_Product[Product Id], tbl_Product[Min Cost])</f>
        <v>#N/A</v>
      </c>
      <c r="AV20" s="10" t="e">
        <f>_xlfn.XLOOKUP(tbl_MTG_Set[[#This Row],[Collector Booster Box Product Id]], tbl_Product[Product Id], tbl_Product[Best Source])</f>
        <v>#N/A</v>
      </c>
      <c r="AW20" s="4" t="e">
        <f>_xlfn.XLOOKUP(tbl_MTG_Set[[#This Row],[Collector Booster Box Product Id]], tbl_Product[Product Id], tbl_Product[Pack Size])</f>
        <v>#N/A</v>
      </c>
      <c r="AX20" s="10" t="e">
        <f>(tbl_MTG_Set[[#This Row],[Collector Booster Box Cost]] + v_Item_Shipping_Cost_In) / tbl_MTG_Set[[#This Row],[Collector Booster Box Size]]</f>
        <v>#N/A</v>
      </c>
      <c r="AY20" s="10" t="str" cm="1">
        <f t="array" ref="AY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" s="10"/>
      <c r="BA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" s="17" t="e">
        <f>tbl_MTG_Set[[#This Row],[Collector Booster CardMarket Profit]]/tbl_MTG_Set[[#This Row],[Collector Booster Cost]]</f>
        <v>#N/A</v>
      </c>
      <c r="BC20" s="10"/>
      <c r="BF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" s="11" t="e">
        <f>tbl_MTG_Set[[#This Row],[Play Singles CardMarket Profit MTG Stocks]]/tbl_MTG_Set[[#This Row],[Play Booster Cost]]</f>
        <v>#VALUE!</v>
      </c>
      <c r="BI20" s="11" t="b">
        <f>tbl_MTG_Set[[#This Row],[Play Singles CardMarket Profit MTG Stocks]]&gt;0</f>
        <v>0</v>
      </c>
      <c r="BM20" s="10" t="e">
        <f>tbl_MTG_Set[[#This Row],[Play Booster Sell Price CardMarket]]*tbl_MTG_Set[[#This Row],[Play Booster Expected Market Value BotBox]]/tbl_MTG_Set[[#This Row],[Play Booster Sealed Market Value BotBox]]</f>
        <v>#VALUE!</v>
      </c>
      <c r="BN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" s="10" t="e">
        <f>tbl_MTG_Set[[#This Row],[Play Singles CardMarket Profit BotBox]]/tbl_MTG_Set[[#This Row],[Play Booster Cost]]</f>
        <v>#VALUE!</v>
      </c>
      <c r="BP20" s="10" t="b">
        <f>tbl_MTG_Set[[#This Row],[Play Singles CardMarket Profit BotBox]]&gt;0</f>
        <v>0</v>
      </c>
      <c r="BQ20" s="10"/>
      <c r="BR20" s="10"/>
      <c r="BS20" s="10"/>
      <c r="BT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" s="19" t="e">
        <f>tbl_MTG_Set[[#This Row],[Collector Singles CardMarket Profit MTG Stocks]]/tbl_MTG_Set[[#This Row],[Collector Booster Cost]]</f>
        <v>#N/A</v>
      </c>
      <c r="BW20" s="10" t="b">
        <f>tbl_MTG_Set[[#This Row],[Collector Singles CardMarket Profit MTG Stocks]]&gt;0</f>
        <v>0</v>
      </c>
      <c r="BX20" s="10"/>
      <c r="BY20" s="10"/>
      <c r="BZ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" s="10" t="e">
        <f>tbl_MTG_Set[[#This Row],[Collector Singles CardMarket Profit BotBox]]/tbl_MTG_Set[[#This Row],[Collector Booster Cost]]</f>
        <v>#N/A</v>
      </c>
      <c r="CC20" s="10" t="b">
        <f>tbl_MTG_Set[[#This Row],[Collector Singles CardMarket Profit BotBox]]&gt;0</f>
        <v>0</v>
      </c>
      <c r="CD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" spans="1:86" hidden="1">
      <c r="A21">
        <v>21</v>
      </c>
      <c r="B21" t="s">
        <v>194</v>
      </c>
      <c r="C21">
        <v>68</v>
      </c>
      <c r="D21" s="3">
        <v>45926</v>
      </c>
      <c r="E21" t="s">
        <v>86</v>
      </c>
      <c r="F21" t="s">
        <v>174</v>
      </c>
      <c r="G21">
        <v>22</v>
      </c>
      <c r="H21">
        <f ca="1">MONTH(NOW())+12*YEAR(NOW())-MONTH(tbl_MTG_Set[[#This Row],[Released On]])-12*YEAR(tbl_MTG_Set[[#This Row],[Released On]])</f>
        <v>6</v>
      </c>
      <c r="I21">
        <f>_xlfn.XLOOKUP(tbl_MTG_Set[[#This Row],[Type Name]], tbl_MTG_Set_Type[Set Type], tbl_MTG_Set_Type[Index], "(Set Type not found)")</f>
        <v>6</v>
      </c>
      <c r="J21">
        <f>_xlfn.XLOOKUP(tbl_MTG_Set[[#This Row],[Type Name]], tbl_MTG_Set_Type[Set Type], tbl_MTG_Set_Type[Buy Window Month Start], "(Set Type not found)")</f>
        <v>3</v>
      </c>
      <c r="K21" s="3">
        <f>tbl_MTG_Set[[#This Row],[Released On]]+tbl_MTG_Set[[#This Row],[Buy Window Month Start]]*365.25/12</f>
        <v>46017.3125</v>
      </c>
      <c r="L21">
        <f>_xlfn.XLOOKUP(tbl_MTG_Set[[#This Row],[Type Name]], tbl_MTG_Set_Type[Set Type], tbl_MTG_Set_Type[Buy Window Month End], "(Set Type not found)", 0, 1)</f>
        <v>6</v>
      </c>
      <c r="M21" s="3">
        <f>tbl_MTG_Set[[#This Row],[Released On]]+tbl_MTG_Set[[#This Row],[Buy Window Month End]]*365.25/12</f>
        <v>46108.625</v>
      </c>
      <c r="N21" s="3" t="b">
        <f ca="1">AND(NOW()&gt;=tbl_MTG_Set[[#This Row],[Buy Window Start]], NOW()&lt;=tbl_MTG_Set[[#This Row],[Buy Window End]])</f>
        <v>1</v>
      </c>
      <c r="O21">
        <f>_xlfn.XLOOKUP(tbl_MTG_Set[[#This Row],[Type Name]], tbl_MTG_Set_Type[Set Type], tbl_MTG_Set_Type[Heavy Printing Window Month Start], "(Set Type not found)", 0, 1)</f>
        <v>0</v>
      </c>
      <c r="P21" s="3">
        <f>tbl_MTG_Set[[#This Row],[Released On]]+tbl_MTG_Set[[#This Row],[Heavy Printing Window Month Start]]*365.25/12</f>
        <v>45926</v>
      </c>
      <c r="Q21">
        <f>_xlfn.XLOOKUP(tbl_MTG_Set[[#This Row],[Type Name]], tbl_MTG_Set_Type[Set Type], tbl_MTG_Set_Type[Heavy Printing Window Month End], "(Set Type not found)", 0, 1)</f>
        <v>0</v>
      </c>
      <c r="R21" s="3">
        <f>tbl_MTG_Set[[#This Row],[Released On]]+tbl_MTG_Set[[#This Row],[Heavy Printing Window Month End]]*365.25/12</f>
        <v>45926</v>
      </c>
      <c r="S21" s="3" t="b">
        <f ca="1">AND(NOW()&gt;=tbl_MTG_Set[[#This Row],[Heavy Printing Window Start]], NOW()&lt;=tbl_MTG_Set[[#This Row],[Heavy Printing Window End]])</f>
        <v>0</v>
      </c>
      <c r="T21">
        <f>_xlfn.XLOOKUP(tbl_MTG_Set[[#This Row],[Type Name]], tbl_MTG_Set_Type[Set Type], tbl_MTG_Set_Type[Sell Window Month Start], "(Set Type not found)", 0, 1)</f>
        <v>0</v>
      </c>
      <c r="U21" s="3">
        <f>tbl_MTG_Set[[#This Row],[Released On]]+tbl_MTG_Set[[#This Row],[Sell Window Month Start]]*365.25/12</f>
        <v>45926</v>
      </c>
      <c r="V21">
        <f>_xlfn.XLOOKUP(tbl_MTG_Set[[#This Row],[Type Name]], tbl_MTG_Set_Type[Set Type], tbl_MTG_Set_Type[Sell Window Month End], "(Set Type not found)", 0, 1)</f>
        <v>0</v>
      </c>
      <c r="W21" s="3">
        <f>tbl_MTG_Set[[#This Row],[Released On]]+tbl_MTG_Set[[#This Row],[Sell Window Month End]]*365.25/12</f>
        <v>45926</v>
      </c>
      <c r="X21" s="3" t="b">
        <f ca="1">AND(NOW()&gt;=tbl_MTG_Set[[#This Row],[Sell Window Start]], NOW()&lt;=tbl_MTG_Set[[#This Row],[Sell Window End]])</f>
        <v>0</v>
      </c>
      <c r="AG21" s="10"/>
      <c r="AH21" s="10"/>
      <c r="AM21" s="10" t="str" cm="1">
        <f t="array" ref="AM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" s="10" t="str" cm="1">
        <f t="array" ref="AN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" s="4" t="e">
        <f>_xlfn.XLOOKUP(tbl_MTG_Set[[#This Row],[Play Booster Box Product Id]], tbl_Product[Product Id], tbl_Product[Pack Size])</f>
        <v>#N/A</v>
      </c>
      <c r="AP21" s="10" t="e">
        <f>(tbl_MTG_Set[[#This Row],[Play Booster Box Cost]]+v_Item_Shipping_Cost_In)/tbl_MTG_Set[[#This Row],[Play Booster Box Size]]</f>
        <v>#VALUE!</v>
      </c>
      <c r="AQ21" s="10" t="str" cm="1">
        <f t="array" ref="AQ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" s="10"/>
      <c r="AS21" s="10"/>
      <c r="AT21" s="17" t="e">
        <f>tbl_MTG_Set[[#This Row],[Play Booster CardMarket Profit]]/tbl_MTG_Set[[#This Row],[Play Booster Cost]]</f>
        <v>#VALUE!</v>
      </c>
      <c r="AU21" s="10" t="e">
        <f>_xlfn.XLOOKUP(tbl_MTG_Set[[#This Row],[Collector Booster Box Product Id]], tbl_Product[Product Id], tbl_Product[Min Cost])</f>
        <v>#N/A</v>
      </c>
      <c r="AV21" s="10" t="e">
        <f>_xlfn.XLOOKUP(tbl_MTG_Set[[#This Row],[Collector Booster Box Product Id]], tbl_Product[Product Id], tbl_Product[Best Source])</f>
        <v>#N/A</v>
      </c>
      <c r="AW21" s="4" t="e">
        <f>_xlfn.XLOOKUP(tbl_MTG_Set[[#This Row],[Collector Booster Box Product Id]], tbl_Product[Product Id], tbl_Product[Pack Size])</f>
        <v>#N/A</v>
      </c>
      <c r="AX21" s="10" t="e">
        <f>(tbl_MTG_Set[[#This Row],[Collector Booster Box Cost]] + v_Item_Shipping_Cost_In) / tbl_MTG_Set[[#This Row],[Collector Booster Box Size]]</f>
        <v>#N/A</v>
      </c>
      <c r="AY21" s="10" t="str" cm="1">
        <f t="array" ref="AY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" s="10"/>
      <c r="BA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" s="17" t="e">
        <f>tbl_MTG_Set[[#This Row],[Collector Booster CardMarket Profit]]/tbl_MTG_Set[[#This Row],[Collector Booster Cost]]</f>
        <v>#N/A</v>
      </c>
      <c r="BC21" s="10"/>
      <c r="BF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" s="11" t="e">
        <f>tbl_MTG_Set[[#This Row],[Play Singles CardMarket Profit MTG Stocks]]/tbl_MTG_Set[[#This Row],[Play Booster Cost]]</f>
        <v>#VALUE!</v>
      </c>
      <c r="BI21" s="11" t="b">
        <f>tbl_MTG_Set[[#This Row],[Play Singles CardMarket Profit MTG Stocks]]&gt;0</f>
        <v>0</v>
      </c>
      <c r="BM21" s="10" t="e">
        <f>tbl_MTG_Set[[#This Row],[Play Booster Sell Price CardMarket]]*tbl_MTG_Set[[#This Row],[Play Booster Expected Market Value BotBox]]/tbl_MTG_Set[[#This Row],[Play Booster Sealed Market Value BotBox]]</f>
        <v>#VALUE!</v>
      </c>
      <c r="BN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" s="10" t="e">
        <f>tbl_MTG_Set[[#This Row],[Play Singles CardMarket Profit BotBox]]/tbl_MTG_Set[[#This Row],[Play Booster Cost]]</f>
        <v>#VALUE!</v>
      </c>
      <c r="BP21" s="10" t="b">
        <f>tbl_MTG_Set[[#This Row],[Play Singles CardMarket Profit BotBox]]&gt;0</f>
        <v>0</v>
      </c>
      <c r="BQ21" s="10"/>
      <c r="BR21" s="10"/>
      <c r="BS21" s="10"/>
      <c r="BT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" s="19" t="e">
        <f>tbl_MTG_Set[[#This Row],[Collector Singles CardMarket Profit MTG Stocks]]/tbl_MTG_Set[[#This Row],[Collector Booster Cost]]</f>
        <v>#N/A</v>
      </c>
      <c r="BW21" s="10" t="b">
        <f>tbl_MTG_Set[[#This Row],[Collector Singles CardMarket Profit MTG Stocks]]&gt;0</f>
        <v>0</v>
      </c>
      <c r="BX21" s="10"/>
      <c r="BY21" s="10"/>
      <c r="BZ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" s="10" t="e">
        <f>tbl_MTG_Set[[#This Row],[Collector Singles CardMarket Profit BotBox]]/tbl_MTG_Set[[#This Row],[Collector Booster Cost]]</f>
        <v>#N/A</v>
      </c>
      <c r="CC21" s="10" t="b">
        <f>tbl_MTG_Set[[#This Row],[Collector Singles CardMarket Profit BotBox]]&gt;0</f>
        <v>0</v>
      </c>
      <c r="CD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" spans="1:86" hidden="1">
      <c r="A22">
        <v>22</v>
      </c>
      <c r="B22" t="s">
        <v>195</v>
      </c>
      <c r="C22">
        <v>7</v>
      </c>
      <c r="D22" s="3">
        <v>45926</v>
      </c>
      <c r="E22" t="s">
        <v>86</v>
      </c>
      <c r="F22" t="s">
        <v>174</v>
      </c>
      <c r="G22">
        <v>23</v>
      </c>
      <c r="H22">
        <f ca="1">MONTH(NOW())+12*YEAR(NOW())-MONTH(tbl_MTG_Set[[#This Row],[Released On]])-12*YEAR(tbl_MTG_Set[[#This Row],[Released On]])</f>
        <v>6</v>
      </c>
      <c r="I22">
        <f>_xlfn.XLOOKUP(tbl_MTG_Set[[#This Row],[Type Name]], tbl_MTG_Set_Type[Set Type], tbl_MTG_Set_Type[Index], "(Set Type not found)")</f>
        <v>6</v>
      </c>
      <c r="J22">
        <f>_xlfn.XLOOKUP(tbl_MTG_Set[[#This Row],[Type Name]], tbl_MTG_Set_Type[Set Type], tbl_MTG_Set_Type[Buy Window Month Start], "(Set Type not found)")</f>
        <v>3</v>
      </c>
      <c r="K22" s="3">
        <f>tbl_MTG_Set[[#This Row],[Released On]]+tbl_MTG_Set[[#This Row],[Buy Window Month Start]]*365.25/12</f>
        <v>46017.3125</v>
      </c>
      <c r="L22">
        <f>_xlfn.XLOOKUP(tbl_MTG_Set[[#This Row],[Type Name]], tbl_MTG_Set_Type[Set Type], tbl_MTG_Set_Type[Buy Window Month End], "(Set Type not found)", 0, 1)</f>
        <v>6</v>
      </c>
      <c r="M22" s="3">
        <f>tbl_MTG_Set[[#This Row],[Released On]]+tbl_MTG_Set[[#This Row],[Buy Window Month End]]*365.25/12</f>
        <v>46108.625</v>
      </c>
      <c r="N22" s="3" t="b">
        <f ca="1">AND(NOW()&gt;=tbl_MTG_Set[[#This Row],[Buy Window Start]], NOW()&lt;=tbl_MTG_Set[[#This Row],[Buy Window End]])</f>
        <v>1</v>
      </c>
      <c r="O22">
        <f>_xlfn.XLOOKUP(tbl_MTG_Set[[#This Row],[Type Name]], tbl_MTG_Set_Type[Set Type], tbl_MTG_Set_Type[Heavy Printing Window Month Start], "(Set Type not found)", 0, 1)</f>
        <v>0</v>
      </c>
      <c r="P22" s="3">
        <f>tbl_MTG_Set[[#This Row],[Released On]]+tbl_MTG_Set[[#This Row],[Heavy Printing Window Month Start]]*365.25/12</f>
        <v>45926</v>
      </c>
      <c r="Q22">
        <f>_xlfn.XLOOKUP(tbl_MTG_Set[[#This Row],[Type Name]], tbl_MTG_Set_Type[Set Type], tbl_MTG_Set_Type[Heavy Printing Window Month End], "(Set Type not found)", 0, 1)</f>
        <v>0</v>
      </c>
      <c r="R22" s="3">
        <f>tbl_MTG_Set[[#This Row],[Released On]]+tbl_MTG_Set[[#This Row],[Heavy Printing Window Month End]]*365.25/12</f>
        <v>45926</v>
      </c>
      <c r="S22" s="3" t="b">
        <f ca="1">AND(NOW()&gt;=tbl_MTG_Set[[#This Row],[Heavy Printing Window Start]], NOW()&lt;=tbl_MTG_Set[[#This Row],[Heavy Printing Window End]])</f>
        <v>0</v>
      </c>
      <c r="T22">
        <f>_xlfn.XLOOKUP(tbl_MTG_Set[[#This Row],[Type Name]], tbl_MTG_Set_Type[Set Type], tbl_MTG_Set_Type[Sell Window Month Start], "(Set Type not found)", 0, 1)</f>
        <v>0</v>
      </c>
      <c r="U22" s="3">
        <f>tbl_MTG_Set[[#This Row],[Released On]]+tbl_MTG_Set[[#This Row],[Sell Window Month Start]]*365.25/12</f>
        <v>45926</v>
      </c>
      <c r="V22">
        <f>_xlfn.XLOOKUP(tbl_MTG_Set[[#This Row],[Type Name]], tbl_MTG_Set_Type[Set Type], tbl_MTG_Set_Type[Sell Window Month End], "(Set Type not found)", 0, 1)</f>
        <v>0</v>
      </c>
      <c r="W22" s="3">
        <f>tbl_MTG_Set[[#This Row],[Released On]]+tbl_MTG_Set[[#This Row],[Sell Window Month End]]*365.25/12</f>
        <v>45926</v>
      </c>
      <c r="X22" s="3" t="b">
        <f ca="1">AND(NOW()&gt;=tbl_MTG_Set[[#This Row],[Sell Window Start]], NOW()&lt;=tbl_MTG_Set[[#This Row],[Sell Window End]])</f>
        <v>0</v>
      </c>
      <c r="AG22" s="10"/>
      <c r="AH22" s="10"/>
      <c r="AM22" s="10" t="str" cm="1">
        <f t="array" ref="AM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" s="10" t="str" cm="1">
        <f t="array" ref="AN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" s="4" t="e">
        <f>_xlfn.XLOOKUP(tbl_MTG_Set[[#This Row],[Play Booster Box Product Id]], tbl_Product[Product Id], tbl_Product[Pack Size])</f>
        <v>#N/A</v>
      </c>
      <c r="AP22" s="10" t="e">
        <f>(tbl_MTG_Set[[#This Row],[Play Booster Box Cost]]+v_Item_Shipping_Cost_In)/tbl_MTG_Set[[#This Row],[Play Booster Box Size]]</f>
        <v>#VALUE!</v>
      </c>
      <c r="AQ22" s="10" t="str" cm="1">
        <f t="array" ref="AQ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" s="10"/>
      <c r="AS22" s="10"/>
      <c r="AT22" s="17" t="e">
        <f>tbl_MTG_Set[[#This Row],[Play Booster CardMarket Profit]]/tbl_MTG_Set[[#This Row],[Play Booster Cost]]</f>
        <v>#VALUE!</v>
      </c>
      <c r="AU22" s="10" t="e">
        <f>_xlfn.XLOOKUP(tbl_MTG_Set[[#This Row],[Collector Booster Box Product Id]], tbl_Product[Product Id], tbl_Product[Min Cost])</f>
        <v>#N/A</v>
      </c>
      <c r="AV22" s="10" t="e">
        <f>_xlfn.XLOOKUP(tbl_MTG_Set[[#This Row],[Collector Booster Box Product Id]], tbl_Product[Product Id], tbl_Product[Best Source])</f>
        <v>#N/A</v>
      </c>
      <c r="AW22" s="4" t="e">
        <f>_xlfn.XLOOKUP(tbl_MTG_Set[[#This Row],[Collector Booster Box Product Id]], tbl_Product[Product Id], tbl_Product[Pack Size])</f>
        <v>#N/A</v>
      </c>
      <c r="AX22" s="10" t="e">
        <f>(tbl_MTG_Set[[#This Row],[Collector Booster Box Cost]] + v_Item_Shipping_Cost_In) / tbl_MTG_Set[[#This Row],[Collector Booster Box Size]]</f>
        <v>#N/A</v>
      </c>
      <c r="AY22" s="10" t="str" cm="1">
        <f t="array" ref="AY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" s="10"/>
      <c r="BA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" s="17" t="e">
        <f>tbl_MTG_Set[[#This Row],[Collector Booster CardMarket Profit]]/tbl_MTG_Set[[#This Row],[Collector Booster Cost]]</f>
        <v>#N/A</v>
      </c>
      <c r="BC22" s="10"/>
      <c r="BF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" s="11" t="e">
        <f>tbl_MTG_Set[[#This Row],[Play Singles CardMarket Profit MTG Stocks]]/tbl_MTG_Set[[#This Row],[Play Booster Cost]]</f>
        <v>#VALUE!</v>
      </c>
      <c r="BI22" s="11" t="b">
        <f>tbl_MTG_Set[[#This Row],[Play Singles CardMarket Profit MTG Stocks]]&gt;0</f>
        <v>0</v>
      </c>
      <c r="BM22" s="10" t="e">
        <f>tbl_MTG_Set[[#This Row],[Play Booster Sell Price CardMarket]]*tbl_MTG_Set[[#This Row],[Play Booster Expected Market Value BotBox]]/tbl_MTG_Set[[#This Row],[Play Booster Sealed Market Value BotBox]]</f>
        <v>#VALUE!</v>
      </c>
      <c r="BN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" s="10" t="e">
        <f>tbl_MTG_Set[[#This Row],[Play Singles CardMarket Profit BotBox]]/tbl_MTG_Set[[#This Row],[Play Booster Cost]]</f>
        <v>#VALUE!</v>
      </c>
      <c r="BP22" s="10" t="b">
        <f>tbl_MTG_Set[[#This Row],[Play Singles CardMarket Profit BotBox]]&gt;0</f>
        <v>0</v>
      </c>
      <c r="BQ22" s="10"/>
      <c r="BR22" s="10"/>
      <c r="BS22" s="10"/>
      <c r="BT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" s="19" t="e">
        <f>tbl_MTG_Set[[#This Row],[Collector Singles CardMarket Profit MTG Stocks]]/tbl_MTG_Set[[#This Row],[Collector Booster Cost]]</f>
        <v>#N/A</v>
      </c>
      <c r="BW22" s="10" t="b">
        <f>tbl_MTG_Set[[#This Row],[Collector Singles CardMarket Profit MTG Stocks]]&gt;0</f>
        <v>0</v>
      </c>
      <c r="BX22" s="10"/>
      <c r="BY22" s="10"/>
      <c r="BZ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" s="10" t="e">
        <f>tbl_MTG_Set[[#This Row],[Collector Singles CardMarket Profit BotBox]]/tbl_MTG_Set[[#This Row],[Collector Booster Cost]]</f>
        <v>#N/A</v>
      </c>
      <c r="CC22" s="10" t="b">
        <f>tbl_MTG_Set[[#This Row],[Collector Singles CardMarket Profit BotBox]]&gt;0</f>
        <v>0</v>
      </c>
      <c r="CD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" spans="1:86" hidden="1">
      <c r="A23">
        <v>23</v>
      </c>
      <c r="B23" t="s">
        <v>196</v>
      </c>
      <c r="C23">
        <v>26</v>
      </c>
      <c r="D23" s="3">
        <v>45926</v>
      </c>
      <c r="E23" t="s">
        <v>86</v>
      </c>
      <c r="F23" t="s">
        <v>174</v>
      </c>
      <c r="G23">
        <v>24</v>
      </c>
      <c r="H23">
        <f ca="1">MONTH(NOW())+12*YEAR(NOW())-MONTH(tbl_MTG_Set[[#This Row],[Released On]])-12*YEAR(tbl_MTG_Set[[#This Row],[Released On]])</f>
        <v>6</v>
      </c>
      <c r="I23">
        <f>_xlfn.XLOOKUP(tbl_MTG_Set[[#This Row],[Type Name]], tbl_MTG_Set_Type[Set Type], tbl_MTG_Set_Type[Index], "(Set Type not found)")</f>
        <v>6</v>
      </c>
      <c r="J23">
        <f>_xlfn.XLOOKUP(tbl_MTG_Set[[#This Row],[Type Name]], tbl_MTG_Set_Type[Set Type], tbl_MTG_Set_Type[Buy Window Month Start], "(Set Type not found)")</f>
        <v>3</v>
      </c>
      <c r="K23" s="3">
        <f>tbl_MTG_Set[[#This Row],[Released On]]+tbl_MTG_Set[[#This Row],[Buy Window Month Start]]*365.25/12</f>
        <v>46017.3125</v>
      </c>
      <c r="L23">
        <f>_xlfn.XLOOKUP(tbl_MTG_Set[[#This Row],[Type Name]], tbl_MTG_Set_Type[Set Type], tbl_MTG_Set_Type[Buy Window Month End], "(Set Type not found)", 0, 1)</f>
        <v>6</v>
      </c>
      <c r="M23" s="3">
        <f>tbl_MTG_Set[[#This Row],[Released On]]+tbl_MTG_Set[[#This Row],[Buy Window Month End]]*365.25/12</f>
        <v>46108.625</v>
      </c>
      <c r="N23" s="3" t="b">
        <f ca="1">AND(NOW()&gt;=tbl_MTG_Set[[#This Row],[Buy Window Start]], NOW()&lt;=tbl_MTG_Set[[#This Row],[Buy Window End]])</f>
        <v>1</v>
      </c>
      <c r="O23">
        <f>_xlfn.XLOOKUP(tbl_MTG_Set[[#This Row],[Type Name]], tbl_MTG_Set_Type[Set Type], tbl_MTG_Set_Type[Heavy Printing Window Month Start], "(Set Type not found)", 0, 1)</f>
        <v>0</v>
      </c>
      <c r="P23" s="3">
        <f>tbl_MTG_Set[[#This Row],[Released On]]+tbl_MTG_Set[[#This Row],[Heavy Printing Window Month Start]]*365.25/12</f>
        <v>45926</v>
      </c>
      <c r="Q23">
        <f>_xlfn.XLOOKUP(tbl_MTG_Set[[#This Row],[Type Name]], tbl_MTG_Set_Type[Set Type], tbl_MTG_Set_Type[Heavy Printing Window Month End], "(Set Type not found)", 0, 1)</f>
        <v>0</v>
      </c>
      <c r="R23" s="3">
        <f>tbl_MTG_Set[[#This Row],[Released On]]+tbl_MTG_Set[[#This Row],[Heavy Printing Window Month End]]*365.25/12</f>
        <v>45926</v>
      </c>
      <c r="S23" s="3" t="b">
        <f ca="1">AND(NOW()&gt;=tbl_MTG_Set[[#This Row],[Heavy Printing Window Start]], NOW()&lt;=tbl_MTG_Set[[#This Row],[Heavy Printing Window End]])</f>
        <v>0</v>
      </c>
      <c r="T23">
        <f>_xlfn.XLOOKUP(tbl_MTG_Set[[#This Row],[Type Name]], tbl_MTG_Set_Type[Set Type], tbl_MTG_Set_Type[Sell Window Month Start], "(Set Type not found)", 0, 1)</f>
        <v>0</v>
      </c>
      <c r="U23" s="3">
        <f>tbl_MTG_Set[[#This Row],[Released On]]+tbl_MTG_Set[[#This Row],[Sell Window Month Start]]*365.25/12</f>
        <v>45926</v>
      </c>
      <c r="V23">
        <f>_xlfn.XLOOKUP(tbl_MTG_Set[[#This Row],[Type Name]], tbl_MTG_Set_Type[Set Type], tbl_MTG_Set_Type[Sell Window Month End], "(Set Type not found)", 0, 1)</f>
        <v>0</v>
      </c>
      <c r="W23" s="3">
        <f>tbl_MTG_Set[[#This Row],[Released On]]+tbl_MTG_Set[[#This Row],[Sell Window Month End]]*365.25/12</f>
        <v>45926</v>
      </c>
      <c r="X23" s="3" t="b">
        <f ca="1">AND(NOW()&gt;=tbl_MTG_Set[[#This Row],[Sell Window Start]], NOW()&lt;=tbl_MTG_Set[[#This Row],[Sell Window End]])</f>
        <v>0</v>
      </c>
      <c r="AG23" s="10"/>
      <c r="AH23" s="10"/>
      <c r="AM23" s="10" t="str" cm="1">
        <f t="array" ref="AM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" s="10" t="str" cm="1">
        <f t="array" ref="AN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" s="4" t="e">
        <f>_xlfn.XLOOKUP(tbl_MTG_Set[[#This Row],[Play Booster Box Product Id]], tbl_Product[Product Id], tbl_Product[Pack Size])</f>
        <v>#N/A</v>
      </c>
      <c r="AP23" s="10" t="e">
        <f>(tbl_MTG_Set[[#This Row],[Play Booster Box Cost]]+v_Item_Shipping_Cost_In)/tbl_MTG_Set[[#This Row],[Play Booster Box Size]]</f>
        <v>#VALUE!</v>
      </c>
      <c r="AQ23" s="10" t="str" cm="1">
        <f t="array" ref="AQ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" s="10"/>
      <c r="AS23" s="10"/>
      <c r="AT23" s="17" t="e">
        <f>tbl_MTG_Set[[#This Row],[Play Booster CardMarket Profit]]/tbl_MTG_Set[[#This Row],[Play Booster Cost]]</f>
        <v>#VALUE!</v>
      </c>
      <c r="AU23" s="10" t="e">
        <f>_xlfn.XLOOKUP(tbl_MTG_Set[[#This Row],[Collector Booster Box Product Id]], tbl_Product[Product Id], tbl_Product[Min Cost])</f>
        <v>#N/A</v>
      </c>
      <c r="AV23" s="10" t="e">
        <f>_xlfn.XLOOKUP(tbl_MTG_Set[[#This Row],[Collector Booster Box Product Id]], tbl_Product[Product Id], tbl_Product[Best Source])</f>
        <v>#N/A</v>
      </c>
      <c r="AW23" s="4" t="e">
        <f>_xlfn.XLOOKUP(tbl_MTG_Set[[#This Row],[Collector Booster Box Product Id]], tbl_Product[Product Id], tbl_Product[Pack Size])</f>
        <v>#N/A</v>
      </c>
      <c r="AX23" s="10" t="e">
        <f>(tbl_MTG_Set[[#This Row],[Collector Booster Box Cost]] + v_Item_Shipping_Cost_In) / tbl_MTG_Set[[#This Row],[Collector Booster Box Size]]</f>
        <v>#N/A</v>
      </c>
      <c r="AY23" s="10" t="str" cm="1">
        <f t="array" ref="AY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" s="10"/>
      <c r="BA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" s="17" t="e">
        <f>tbl_MTG_Set[[#This Row],[Collector Booster CardMarket Profit]]/tbl_MTG_Set[[#This Row],[Collector Booster Cost]]</f>
        <v>#N/A</v>
      </c>
      <c r="BC23" s="10"/>
      <c r="BF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" s="11" t="e">
        <f>tbl_MTG_Set[[#This Row],[Play Singles CardMarket Profit MTG Stocks]]/tbl_MTG_Set[[#This Row],[Play Booster Cost]]</f>
        <v>#VALUE!</v>
      </c>
      <c r="BI23" s="11" t="b">
        <f>tbl_MTG_Set[[#This Row],[Play Singles CardMarket Profit MTG Stocks]]&gt;0</f>
        <v>0</v>
      </c>
      <c r="BM23" s="10" t="e">
        <f>tbl_MTG_Set[[#This Row],[Play Booster Sell Price CardMarket]]*tbl_MTG_Set[[#This Row],[Play Booster Expected Market Value BotBox]]/tbl_MTG_Set[[#This Row],[Play Booster Sealed Market Value BotBox]]</f>
        <v>#VALUE!</v>
      </c>
      <c r="BN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" s="10" t="e">
        <f>tbl_MTG_Set[[#This Row],[Play Singles CardMarket Profit BotBox]]/tbl_MTG_Set[[#This Row],[Play Booster Cost]]</f>
        <v>#VALUE!</v>
      </c>
      <c r="BP23" s="10" t="b">
        <f>tbl_MTG_Set[[#This Row],[Play Singles CardMarket Profit BotBox]]&gt;0</f>
        <v>0</v>
      </c>
      <c r="BQ23" s="10"/>
      <c r="BR23" s="10"/>
      <c r="BS23" s="10"/>
      <c r="BT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" s="19" t="e">
        <f>tbl_MTG_Set[[#This Row],[Collector Singles CardMarket Profit MTG Stocks]]/tbl_MTG_Set[[#This Row],[Collector Booster Cost]]</f>
        <v>#N/A</v>
      </c>
      <c r="BW23" s="10" t="b">
        <f>tbl_MTG_Set[[#This Row],[Collector Singles CardMarket Profit MTG Stocks]]&gt;0</f>
        <v>0</v>
      </c>
      <c r="BX23" s="10"/>
      <c r="BY23" s="10"/>
      <c r="BZ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" s="10" t="e">
        <f>tbl_MTG_Set[[#This Row],[Collector Singles CardMarket Profit BotBox]]/tbl_MTG_Set[[#This Row],[Collector Booster Cost]]</f>
        <v>#N/A</v>
      </c>
      <c r="CC23" s="10" t="b">
        <f>tbl_MTG_Set[[#This Row],[Collector Singles CardMarket Profit BotBox]]&gt;0</f>
        <v>0</v>
      </c>
      <c r="CD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" spans="1:86" hidden="1">
      <c r="A24">
        <v>24</v>
      </c>
      <c r="B24" t="s">
        <v>197</v>
      </c>
      <c r="C24">
        <v>189</v>
      </c>
      <c r="D24" s="3">
        <v>45923</v>
      </c>
      <c r="F24" t="s">
        <v>174</v>
      </c>
      <c r="G24">
        <v>25</v>
      </c>
      <c r="H24">
        <f ca="1">MONTH(NOW())+12*YEAR(NOW())-MONTH(tbl_MTG_Set[[#This Row],[Released On]])-12*YEAR(tbl_MTG_Set[[#This Row],[Released On]])</f>
        <v>6</v>
      </c>
      <c r="I24" t="str">
        <f>_xlfn.XLOOKUP(tbl_MTG_Set[[#This Row],[Type Name]], tbl_MTG_Set_Type[Set Type], tbl_MTG_Set_Type[Index], "(Set Type not found)")</f>
        <v>(Set Type not found)</v>
      </c>
      <c r="J24" t="str">
        <f>_xlfn.XLOOKUP(tbl_MTG_Set[[#This Row],[Type Name]], tbl_MTG_Set_Type[Set Type], tbl_MTG_Set_Type[Buy Window Month Start], "(Set Type not found)")</f>
        <v>(Set Type not found)</v>
      </c>
      <c r="K24" s="3" t="e">
        <f>tbl_MTG_Set[[#This Row],[Released On]]+tbl_MTG_Set[[#This Row],[Buy Window Month Start]]*365.25/12</f>
        <v>#VALUE!</v>
      </c>
      <c r="L24" t="str">
        <f>_xlfn.XLOOKUP(tbl_MTG_Set[[#This Row],[Type Name]], tbl_MTG_Set_Type[Set Type], tbl_MTG_Set_Type[Buy Window Month End], "(Set Type not found)", 0, 1)</f>
        <v>(Set Type not found)</v>
      </c>
      <c r="M24" s="3" t="e">
        <f>tbl_MTG_Set[[#This Row],[Released On]]+tbl_MTG_Set[[#This Row],[Buy Window Month End]]*365.25/12</f>
        <v>#VALUE!</v>
      </c>
      <c r="N24" s="3" t="e">
        <f ca="1">AND(NOW()&gt;=tbl_MTG_Set[[#This Row],[Buy Window Start]], NOW()&lt;=tbl_MTG_Set[[#This Row],[Buy Window End]])</f>
        <v>#VALUE!</v>
      </c>
      <c r="O24" t="str">
        <f>_xlfn.XLOOKUP(tbl_MTG_Set[[#This Row],[Type Name]], tbl_MTG_Set_Type[Set Type], tbl_MTG_Set_Type[Heavy Printing Window Month Start], "(Set Type not found)", 0, 1)</f>
        <v>(Set Type not found)</v>
      </c>
      <c r="P24" s="3" t="e">
        <f>tbl_MTG_Set[[#This Row],[Released On]]+tbl_MTG_Set[[#This Row],[Heavy Printing Window Month Start]]*365.25/12</f>
        <v>#VALUE!</v>
      </c>
      <c r="Q24" t="str">
        <f>_xlfn.XLOOKUP(tbl_MTG_Set[[#This Row],[Type Name]], tbl_MTG_Set_Type[Set Type], tbl_MTG_Set_Type[Heavy Printing Window Month End], "(Set Type not found)", 0, 1)</f>
        <v>(Set Type not found)</v>
      </c>
      <c r="R24" s="3" t="e">
        <f>tbl_MTG_Set[[#This Row],[Released On]]+tbl_MTG_Set[[#This Row],[Heavy Printing Window Month End]]*365.25/12</f>
        <v>#VALUE!</v>
      </c>
      <c r="S24" s="3" t="e">
        <f ca="1">AND(NOW()&gt;=tbl_MTG_Set[[#This Row],[Heavy Printing Window Start]], NOW()&lt;=tbl_MTG_Set[[#This Row],[Heavy Printing Window End]])</f>
        <v>#VALUE!</v>
      </c>
      <c r="T24" t="str">
        <f>_xlfn.XLOOKUP(tbl_MTG_Set[[#This Row],[Type Name]], tbl_MTG_Set_Type[Set Type], tbl_MTG_Set_Type[Sell Window Month Start], "(Set Type not found)", 0, 1)</f>
        <v>(Set Type not found)</v>
      </c>
      <c r="U24" s="3" t="e">
        <f>tbl_MTG_Set[[#This Row],[Released On]]+tbl_MTG_Set[[#This Row],[Sell Window Month Start]]*365.25/12</f>
        <v>#VALUE!</v>
      </c>
      <c r="V24" t="str">
        <f>_xlfn.XLOOKUP(tbl_MTG_Set[[#This Row],[Type Name]], tbl_MTG_Set_Type[Set Type], tbl_MTG_Set_Type[Sell Window Month End], "(Set Type not found)", 0, 1)</f>
        <v>(Set Type not found)</v>
      </c>
      <c r="W24" s="3" t="e">
        <f>tbl_MTG_Set[[#This Row],[Released On]]+tbl_MTG_Set[[#This Row],[Sell Window Month End]]*365.25/12</f>
        <v>#VALUE!</v>
      </c>
      <c r="X24" s="3" t="e">
        <f ca="1">AND(NOW()&gt;=tbl_MTG_Set[[#This Row],[Sell Window Start]], NOW()&lt;=tbl_MTG_Set[[#This Row],[Sell Window End]])</f>
        <v>#VALUE!</v>
      </c>
      <c r="AG24" s="10"/>
      <c r="AH24" s="10"/>
      <c r="AM24" s="10" t="str" cm="1">
        <f t="array" ref="AM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" s="10" t="str" cm="1">
        <f t="array" ref="AN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" s="4" t="e">
        <f>_xlfn.XLOOKUP(tbl_MTG_Set[[#This Row],[Play Booster Box Product Id]], tbl_Product[Product Id], tbl_Product[Pack Size])</f>
        <v>#N/A</v>
      </c>
      <c r="AP24" s="10" t="e">
        <f>(tbl_MTG_Set[[#This Row],[Play Booster Box Cost]]+v_Item_Shipping_Cost_In)/tbl_MTG_Set[[#This Row],[Play Booster Box Size]]</f>
        <v>#VALUE!</v>
      </c>
      <c r="AQ24" s="10" t="str" cm="1">
        <f t="array" ref="AQ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" s="10"/>
      <c r="AS24" s="10"/>
      <c r="AT24" s="17" t="e">
        <f>tbl_MTG_Set[[#This Row],[Play Booster CardMarket Profit]]/tbl_MTG_Set[[#This Row],[Play Booster Cost]]</f>
        <v>#VALUE!</v>
      </c>
      <c r="AU24" s="10" t="e">
        <f>_xlfn.XLOOKUP(tbl_MTG_Set[[#This Row],[Collector Booster Box Product Id]], tbl_Product[Product Id], tbl_Product[Min Cost])</f>
        <v>#N/A</v>
      </c>
      <c r="AV24" s="10" t="e">
        <f>_xlfn.XLOOKUP(tbl_MTG_Set[[#This Row],[Collector Booster Box Product Id]], tbl_Product[Product Id], tbl_Product[Best Source])</f>
        <v>#N/A</v>
      </c>
      <c r="AW24" s="4" t="e">
        <f>_xlfn.XLOOKUP(tbl_MTG_Set[[#This Row],[Collector Booster Box Product Id]], tbl_Product[Product Id], tbl_Product[Pack Size])</f>
        <v>#N/A</v>
      </c>
      <c r="AX24" s="10" t="e">
        <f>(tbl_MTG_Set[[#This Row],[Collector Booster Box Cost]] + v_Item_Shipping_Cost_In) / tbl_MTG_Set[[#This Row],[Collector Booster Box Size]]</f>
        <v>#N/A</v>
      </c>
      <c r="AY24" s="10" t="str" cm="1">
        <f t="array" ref="AY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" s="10"/>
      <c r="BA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" s="17" t="e">
        <f>tbl_MTG_Set[[#This Row],[Collector Booster CardMarket Profit]]/tbl_MTG_Set[[#This Row],[Collector Booster Cost]]</f>
        <v>#N/A</v>
      </c>
      <c r="BC24" s="10"/>
      <c r="BF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" s="11" t="e">
        <f>tbl_MTG_Set[[#This Row],[Play Singles CardMarket Profit MTG Stocks]]/tbl_MTG_Set[[#This Row],[Play Booster Cost]]</f>
        <v>#VALUE!</v>
      </c>
      <c r="BI24" s="11" t="b">
        <f>tbl_MTG_Set[[#This Row],[Play Singles CardMarket Profit MTG Stocks]]&gt;0</f>
        <v>0</v>
      </c>
      <c r="BM24" s="10" t="e">
        <f>tbl_MTG_Set[[#This Row],[Play Booster Sell Price CardMarket]]*tbl_MTG_Set[[#This Row],[Play Booster Expected Market Value BotBox]]/tbl_MTG_Set[[#This Row],[Play Booster Sealed Market Value BotBox]]</f>
        <v>#VALUE!</v>
      </c>
      <c r="BN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" s="10" t="e">
        <f>tbl_MTG_Set[[#This Row],[Play Singles CardMarket Profit BotBox]]/tbl_MTG_Set[[#This Row],[Play Booster Cost]]</f>
        <v>#VALUE!</v>
      </c>
      <c r="BP24" s="10" t="b">
        <f>tbl_MTG_Set[[#This Row],[Play Singles CardMarket Profit BotBox]]&gt;0</f>
        <v>0</v>
      </c>
      <c r="BQ24" s="10"/>
      <c r="BR24" s="10"/>
      <c r="BS24" s="10"/>
      <c r="BT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" s="19" t="e">
        <f>tbl_MTG_Set[[#This Row],[Collector Singles CardMarket Profit MTG Stocks]]/tbl_MTG_Set[[#This Row],[Collector Booster Cost]]</f>
        <v>#N/A</v>
      </c>
      <c r="BW24" s="10" t="b">
        <f>tbl_MTG_Set[[#This Row],[Collector Singles CardMarket Profit MTG Stocks]]&gt;0</f>
        <v>0</v>
      </c>
      <c r="BX24" s="10"/>
      <c r="BY24" s="10"/>
      <c r="BZ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" s="10" t="e">
        <f>tbl_MTG_Set[[#This Row],[Collector Singles CardMarket Profit BotBox]]/tbl_MTG_Set[[#This Row],[Collector Booster Cost]]</f>
        <v>#N/A</v>
      </c>
      <c r="CC24" s="10" t="b">
        <f>tbl_MTG_Set[[#This Row],[Collector Singles CardMarket Profit BotBox]]&gt;0</f>
        <v>0</v>
      </c>
      <c r="CD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" spans="1:86" hidden="1">
      <c r="A25">
        <v>25</v>
      </c>
      <c r="B25" t="s">
        <v>198</v>
      </c>
      <c r="C25">
        <v>28</v>
      </c>
      <c r="D25" s="3">
        <v>45923</v>
      </c>
      <c r="F25" t="s">
        <v>174</v>
      </c>
      <c r="G25">
        <v>26</v>
      </c>
      <c r="H25">
        <f ca="1">MONTH(NOW())+12*YEAR(NOW())-MONTH(tbl_MTG_Set[[#This Row],[Released On]])-12*YEAR(tbl_MTG_Set[[#This Row],[Released On]])</f>
        <v>6</v>
      </c>
      <c r="I25" t="str">
        <f>_xlfn.XLOOKUP(tbl_MTG_Set[[#This Row],[Type Name]], tbl_MTG_Set_Type[Set Type], tbl_MTG_Set_Type[Index], "(Set Type not found)")</f>
        <v>(Set Type not found)</v>
      </c>
      <c r="J25" t="str">
        <f>_xlfn.XLOOKUP(tbl_MTG_Set[[#This Row],[Type Name]], tbl_MTG_Set_Type[Set Type], tbl_MTG_Set_Type[Buy Window Month Start], "(Set Type not found)")</f>
        <v>(Set Type not found)</v>
      </c>
      <c r="K25" s="3" t="e">
        <f>tbl_MTG_Set[[#This Row],[Released On]]+tbl_MTG_Set[[#This Row],[Buy Window Month Start]]*365.25/12</f>
        <v>#VALUE!</v>
      </c>
      <c r="L25" t="str">
        <f>_xlfn.XLOOKUP(tbl_MTG_Set[[#This Row],[Type Name]], tbl_MTG_Set_Type[Set Type], tbl_MTG_Set_Type[Buy Window Month End], "(Set Type not found)", 0, 1)</f>
        <v>(Set Type not found)</v>
      </c>
      <c r="M25" s="3" t="e">
        <f>tbl_MTG_Set[[#This Row],[Released On]]+tbl_MTG_Set[[#This Row],[Buy Window Month End]]*365.25/12</f>
        <v>#VALUE!</v>
      </c>
      <c r="N25" s="3" t="e">
        <f ca="1">AND(NOW()&gt;=tbl_MTG_Set[[#This Row],[Buy Window Start]], NOW()&lt;=tbl_MTG_Set[[#This Row],[Buy Window End]])</f>
        <v>#VALUE!</v>
      </c>
      <c r="O25" t="str">
        <f>_xlfn.XLOOKUP(tbl_MTG_Set[[#This Row],[Type Name]], tbl_MTG_Set_Type[Set Type], tbl_MTG_Set_Type[Heavy Printing Window Month Start], "(Set Type not found)", 0, 1)</f>
        <v>(Set Type not found)</v>
      </c>
      <c r="P25" s="3" t="e">
        <f>tbl_MTG_Set[[#This Row],[Released On]]+tbl_MTG_Set[[#This Row],[Heavy Printing Window Month Start]]*365.25/12</f>
        <v>#VALUE!</v>
      </c>
      <c r="Q25" t="str">
        <f>_xlfn.XLOOKUP(tbl_MTG_Set[[#This Row],[Type Name]], tbl_MTG_Set_Type[Set Type], tbl_MTG_Set_Type[Heavy Printing Window Month End], "(Set Type not found)", 0, 1)</f>
        <v>(Set Type not found)</v>
      </c>
      <c r="R25" s="3" t="e">
        <f>tbl_MTG_Set[[#This Row],[Released On]]+tbl_MTG_Set[[#This Row],[Heavy Printing Window Month End]]*365.25/12</f>
        <v>#VALUE!</v>
      </c>
      <c r="S25" s="3" t="e">
        <f ca="1">AND(NOW()&gt;=tbl_MTG_Set[[#This Row],[Heavy Printing Window Start]], NOW()&lt;=tbl_MTG_Set[[#This Row],[Heavy Printing Window End]])</f>
        <v>#VALUE!</v>
      </c>
      <c r="T25" t="str">
        <f>_xlfn.XLOOKUP(tbl_MTG_Set[[#This Row],[Type Name]], tbl_MTG_Set_Type[Set Type], tbl_MTG_Set_Type[Sell Window Month Start], "(Set Type not found)", 0, 1)</f>
        <v>(Set Type not found)</v>
      </c>
      <c r="U25" s="3" t="e">
        <f>tbl_MTG_Set[[#This Row],[Released On]]+tbl_MTG_Set[[#This Row],[Sell Window Month Start]]*365.25/12</f>
        <v>#VALUE!</v>
      </c>
      <c r="V25" t="str">
        <f>_xlfn.XLOOKUP(tbl_MTG_Set[[#This Row],[Type Name]], tbl_MTG_Set_Type[Set Type], tbl_MTG_Set_Type[Sell Window Month End], "(Set Type not found)", 0, 1)</f>
        <v>(Set Type not found)</v>
      </c>
      <c r="W25" s="3" t="e">
        <f>tbl_MTG_Set[[#This Row],[Released On]]+tbl_MTG_Set[[#This Row],[Sell Window Month End]]*365.25/12</f>
        <v>#VALUE!</v>
      </c>
      <c r="X25" s="3" t="e">
        <f ca="1">AND(NOW()&gt;=tbl_MTG_Set[[#This Row],[Sell Window Start]], NOW()&lt;=tbl_MTG_Set[[#This Row],[Sell Window End]])</f>
        <v>#VALUE!</v>
      </c>
      <c r="AG25" s="10"/>
      <c r="AH25" s="10"/>
      <c r="AM25" s="10" t="str" cm="1">
        <f t="array" ref="AM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" s="10" t="str" cm="1">
        <f t="array" ref="AN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" s="4" t="e">
        <f>_xlfn.XLOOKUP(tbl_MTG_Set[[#This Row],[Play Booster Box Product Id]], tbl_Product[Product Id], tbl_Product[Pack Size])</f>
        <v>#N/A</v>
      </c>
      <c r="AP25" s="10" t="e">
        <f>(tbl_MTG_Set[[#This Row],[Play Booster Box Cost]]+v_Item_Shipping_Cost_In)/tbl_MTG_Set[[#This Row],[Play Booster Box Size]]</f>
        <v>#VALUE!</v>
      </c>
      <c r="AQ25" s="10" t="str" cm="1">
        <f t="array" ref="AQ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" s="10"/>
      <c r="AS25" s="10"/>
      <c r="AT25" s="17" t="e">
        <f>tbl_MTG_Set[[#This Row],[Play Booster CardMarket Profit]]/tbl_MTG_Set[[#This Row],[Play Booster Cost]]</f>
        <v>#VALUE!</v>
      </c>
      <c r="AU25" s="10" t="e">
        <f>_xlfn.XLOOKUP(tbl_MTG_Set[[#This Row],[Collector Booster Box Product Id]], tbl_Product[Product Id], tbl_Product[Min Cost])</f>
        <v>#N/A</v>
      </c>
      <c r="AV25" s="10" t="e">
        <f>_xlfn.XLOOKUP(tbl_MTG_Set[[#This Row],[Collector Booster Box Product Id]], tbl_Product[Product Id], tbl_Product[Best Source])</f>
        <v>#N/A</v>
      </c>
      <c r="AW25" s="4" t="e">
        <f>_xlfn.XLOOKUP(tbl_MTG_Set[[#This Row],[Collector Booster Box Product Id]], tbl_Product[Product Id], tbl_Product[Pack Size])</f>
        <v>#N/A</v>
      </c>
      <c r="AX25" s="10" t="e">
        <f>(tbl_MTG_Set[[#This Row],[Collector Booster Box Cost]] + v_Item_Shipping_Cost_In) / tbl_MTG_Set[[#This Row],[Collector Booster Box Size]]</f>
        <v>#N/A</v>
      </c>
      <c r="AY25" s="10" t="str" cm="1">
        <f t="array" ref="AY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" s="10"/>
      <c r="BA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" s="17" t="e">
        <f>tbl_MTG_Set[[#This Row],[Collector Booster CardMarket Profit]]/tbl_MTG_Set[[#This Row],[Collector Booster Cost]]</f>
        <v>#N/A</v>
      </c>
      <c r="BC25" s="10"/>
      <c r="BF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" s="11" t="e">
        <f>tbl_MTG_Set[[#This Row],[Play Singles CardMarket Profit MTG Stocks]]/tbl_MTG_Set[[#This Row],[Play Booster Cost]]</f>
        <v>#VALUE!</v>
      </c>
      <c r="BI25" s="11" t="b">
        <f>tbl_MTG_Set[[#This Row],[Play Singles CardMarket Profit MTG Stocks]]&gt;0</f>
        <v>0</v>
      </c>
      <c r="BM25" s="10" t="e">
        <f>tbl_MTG_Set[[#This Row],[Play Booster Sell Price CardMarket]]*tbl_MTG_Set[[#This Row],[Play Booster Expected Market Value BotBox]]/tbl_MTG_Set[[#This Row],[Play Booster Sealed Market Value BotBox]]</f>
        <v>#VALUE!</v>
      </c>
      <c r="BN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" s="10" t="e">
        <f>tbl_MTG_Set[[#This Row],[Play Singles CardMarket Profit BotBox]]/tbl_MTG_Set[[#This Row],[Play Booster Cost]]</f>
        <v>#VALUE!</v>
      </c>
      <c r="BP25" s="10" t="b">
        <f>tbl_MTG_Set[[#This Row],[Play Singles CardMarket Profit BotBox]]&gt;0</f>
        <v>0</v>
      </c>
      <c r="BQ25" s="10"/>
      <c r="BR25" s="10"/>
      <c r="BS25" s="10"/>
      <c r="BT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" s="19" t="e">
        <f>tbl_MTG_Set[[#This Row],[Collector Singles CardMarket Profit MTG Stocks]]/tbl_MTG_Set[[#This Row],[Collector Booster Cost]]</f>
        <v>#N/A</v>
      </c>
      <c r="BW25" s="10" t="b">
        <f>tbl_MTG_Set[[#This Row],[Collector Singles CardMarket Profit MTG Stocks]]&gt;0</f>
        <v>0</v>
      </c>
      <c r="BX25" s="10"/>
      <c r="BY25" s="10"/>
      <c r="BZ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" s="10" t="e">
        <f>tbl_MTG_Set[[#This Row],[Collector Singles CardMarket Profit BotBox]]/tbl_MTG_Set[[#This Row],[Collector Booster Cost]]</f>
        <v>#N/A</v>
      </c>
      <c r="CC25" s="10" t="b">
        <f>tbl_MTG_Set[[#This Row],[Collector Singles CardMarket Profit BotBox]]&gt;0</f>
        <v>0</v>
      </c>
      <c r="CD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" spans="1:86" hidden="1">
      <c r="A26">
        <v>26</v>
      </c>
      <c r="B26" t="s">
        <v>199</v>
      </c>
      <c r="C26">
        <v>25</v>
      </c>
      <c r="D26" s="3">
        <v>45923</v>
      </c>
      <c r="F26" t="s">
        <v>174</v>
      </c>
      <c r="G26">
        <v>27</v>
      </c>
      <c r="H26">
        <f ca="1">MONTH(NOW())+12*YEAR(NOW())-MONTH(tbl_MTG_Set[[#This Row],[Released On]])-12*YEAR(tbl_MTG_Set[[#This Row],[Released On]])</f>
        <v>6</v>
      </c>
      <c r="I26" t="str">
        <f>_xlfn.XLOOKUP(tbl_MTG_Set[[#This Row],[Type Name]], tbl_MTG_Set_Type[Set Type], tbl_MTG_Set_Type[Index], "(Set Type not found)")</f>
        <v>(Set Type not found)</v>
      </c>
      <c r="J26" t="str">
        <f>_xlfn.XLOOKUP(tbl_MTG_Set[[#This Row],[Type Name]], tbl_MTG_Set_Type[Set Type], tbl_MTG_Set_Type[Buy Window Month Start], "(Set Type not found)")</f>
        <v>(Set Type not found)</v>
      </c>
      <c r="K26" s="3" t="e">
        <f>tbl_MTG_Set[[#This Row],[Released On]]+tbl_MTG_Set[[#This Row],[Buy Window Month Start]]*365.25/12</f>
        <v>#VALUE!</v>
      </c>
      <c r="L26" t="str">
        <f>_xlfn.XLOOKUP(tbl_MTG_Set[[#This Row],[Type Name]], tbl_MTG_Set_Type[Set Type], tbl_MTG_Set_Type[Buy Window Month End], "(Set Type not found)", 0, 1)</f>
        <v>(Set Type not found)</v>
      </c>
      <c r="M26" s="3" t="e">
        <f>tbl_MTG_Set[[#This Row],[Released On]]+tbl_MTG_Set[[#This Row],[Buy Window Month End]]*365.25/12</f>
        <v>#VALUE!</v>
      </c>
      <c r="N26" s="3" t="e">
        <f ca="1">AND(NOW()&gt;=tbl_MTG_Set[[#This Row],[Buy Window Start]], NOW()&lt;=tbl_MTG_Set[[#This Row],[Buy Window End]])</f>
        <v>#VALUE!</v>
      </c>
      <c r="O26" t="str">
        <f>_xlfn.XLOOKUP(tbl_MTG_Set[[#This Row],[Type Name]], tbl_MTG_Set_Type[Set Type], tbl_MTG_Set_Type[Heavy Printing Window Month Start], "(Set Type not found)", 0, 1)</f>
        <v>(Set Type not found)</v>
      </c>
      <c r="P26" s="3" t="e">
        <f>tbl_MTG_Set[[#This Row],[Released On]]+tbl_MTG_Set[[#This Row],[Heavy Printing Window Month Start]]*365.25/12</f>
        <v>#VALUE!</v>
      </c>
      <c r="Q26" t="str">
        <f>_xlfn.XLOOKUP(tbl_MTG_Set[[#This Row],[Type Name]], tbl_MTG_Set_Type[Set Type], tbl_MTG_Set_Type[Heavy Printing Window Month End], "(Set Type not found)", 0, 1)</f>
        <v>(Set Type not found)</v>
      </c>
      <c r="R26" s="3" t="e">
        <f>tbl_MTG_Set[[#This Row],[Released On]]+tbl_MTG_Set[[#This Row],[Heavy Printing Window Month End]]*365.25/12</f>
        <v>#VALUE!</v>
      </c>
      <c r="S26" s="3" t="e">
        <f ca="1">AND(NOW()&gt;=tbl_MTG_Set[[#This Row],[Heavy Printing Window Start]], NOW()&lt;=tbl_MTG_Set[[#This Row],[Heavy Printing Window End]])</f>
        <v>#VALUE!</v>
      </c>
      <c r="T26" t="str">
        <f>_xlfn.XLOOKUP(tbl_MTG_Set[[#This Row],[Type Name]], tbl_MTG_Set_Type[Set Type], tbl_MTG_Set_Type[Sell Window Month Start], "(Set Type not found)", 0, 1)</f>
        <v>(Set Type not found)</v>
      </c>
      <c r="U26" s="3" t="e">
        <f>tbl_MTG_Set[[#This Row],[Released On]]+tbl_MTG_Set[[#This Row],[Sell Window Month Start]]*365.25/12</f>
        <v>#VALUE!</v>
      </c>
      <c r="V26" t="str">
        <f>_xlfn.XLOOKUP(tbl_MTG_Set[[#This Row],[Type Name]], tbl_MTG_Set_Type[Set Type], tbl_MTG_Set_Type[Sell Window Month End], "(Set Type not found)", 0, 1)</f>
        <v>(Set Type not found)</v>
      </c>
      <c r="W26" s="3" t="e">
        <f>tbl_MTG_Set[[#This Row],[Released On]]+tbl_MTG_Set[[#This Row],[Sell Window Month End]]*365.25/12</f>
        <v>#VALUE!</v>
      </c>
      <c r="X26" s="3" t="e">
        <f ca="1">AND(NOW()&gt;=tbl_MTG_Set[[#This Row],[Sell Window Start]], NOW()&lt;=tbl_MTG_Set[[#This Row],[Sell Window End]])</f>
        <v>#VALUE!</v>
      </c>
      <c r="AG26" s="10"/>
      <c r="AH26" s="10"/>
      <c r="AM26" s="10" t="str" cm="1">
        <f t="array" ref="AM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" s="10" t="str" cm="1">
        <f t="array" ref="AN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" s="4" t="e">
        <f>_xlfn.XLOOKUP(tbl_MTG_Set[[#This Row],[Play Booster Box Product Id]], tbl_Product[Product Id], tbl_Product[Pack Size])</f>
        <v>#N/A</v>
      </c>
      <c r="AP26" s="10" t="e">
        <f>(tbl_MTG_Set[[#This Row],[Play Booster Box Cost]]+v_Item_Shipping_Cost_In)/tbl_MTG_Set[[#This Row],[Play Booster Box Size]]</f>
        <v>#VALUE!</v>
      </c>
      <c r="AQ26" s="10" t="str" cm="1">
        <f t="array" ref="AQ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" s="10"/>
      <c r="AS26" s="10"/>
      <c r="AT26" s="17" t="e">
        <f>tbl_MTG_Set[[#This Row],[Play Booster CardMarket Profit]]/tbl_MTG_Set[[#This Row],[Play Booster Cost]]</f>
        <v>#VALUE!</v>
      </c>
      <c r="AU26" s="10" t="e">
        <f>_xlfn.XLOOKUP(tbl_MTG_Set[[#This Row],[Collector Booster Box Product Id]], tbl_Product[Product Id], tbl_Product[Min Cost])</f>
        <v>#N/A</v>
      </c>
      <c r="AV26" s="10" t="e">
        <f>_xlfn.XLOOKUP(tbl_MTG_Set[[#This Row],[Collector Booster Box Product Id]], tbl_Product[Product Id], tbl_Product[Best Source])</f>
        <v>#N/A</v>
      </c>
      <c r="AW26" s="4" t="e">
        <f>_xlfn.XLOOKUP(tbl_MTG_Set[[#This Row],[Collector Booster Box Product Id]], tbl_Product[Product Id], tbl_Product[Pack Size])</f>
        <v>#N/A</v>
      </c>
      <c r="AX26" s="10" t="e">
        <f>(tbl_MTG_Set[[#This Row],[Collector Booster Box Cost]] + v_Item_Shipping_Cost_In) / tbl_MTG_Set[[#This Row],[Collector Booster Box Size]]</f>
        <v>#N/A</v>
      </c>
      <c r="AY26" s="10" t="str" cm="1">
        <f t="array" ref="AY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" s="10"/>
      <c r="BA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" s="17" t="e">
        <f>tbl_MTG_Set[[#This Row],[Collector Booster CardMarket Profit]]/tbl_MTG_Set[[#This Row],[Collector Booster Cost]]</f>
        <v>#N/A</v>
      </c>
      <c r="BC26" s="10"/>
      <c r="BF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" s="11" t="e">
        <f>tbl_MTG_Set[[#This Row],[Play Singles CardMarket Profit MTG Stocks]]/tbl_MTG_Set[[#This Row],[Play Booster Cost]]</f>
        <v>#VALUE!</v>
      </c>
      <c r="BI26" s="11" t="b">
        <f>tbl_MTG_Set[[#This Row],[Play Singles CardMarket Profit MTG Stocks]]&gt;0</f>
        <v>0</v>
      </c>
      <c r="BM26" s="10" t="e">
        <f>tbl_MTG_Set[[#This Row],[Play Booster Sell Price CardMarket]]*tbl_MTG_Set[[#This Row],[Play Booster Expected Market Value BotBox]]/tbl_MTG_Set[[#This Row],[Play Booster Sealed Market Value BotBox]]</f>
        <v>#VALUE!</v>
      </c>
      <c r="BN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" s="10" t="e">
        <f>tbl_MTG_Set[[#This Row],[Play Singles CardMarket Profit BotBox]]/tbl_MTG_Set[[#This Row],[Play Booster Cost]]</f>
        <v>#VALUE!</v>
      </c>
      <c r="BP26" s="10" t="b">
        <f>tbl_MTG_Set[[#This Row],[Play Singles CardMarket Profit BotBox]]&gt;0</f>
        <v>0</v>
      </c>
      <c r="BQ26" s="10"/>
      <c r="BR26" s="10"/>
      <c r="BS26" s="10"/>
      <c r="BT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" s="19" t="e">
        <f>tbl_MTG_Set[[#This Row],[Collector Singles CardMarket Profit MTG Stocks]]/tbl_MTG_Set[[#This Row],[Collector Booster Cost]]</f>
        <v>#N/A</v>
      </c>
      <c r="BW26" s="10" t="b">
        <f>tbl_MTG_Set[[#This Row],[Collector Singles CardMarket Profit MTG Stocks]]&gt;0</f>
        <v>0</v>
      </c>
      <c r="BX26" s="10"/>
      <c r="BY26" s="10"/>
      <c r="BZ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" s="10" t="e">
        <f>tbl_MTG_Set[[#This Row],[Collector Singles CardMarket Profit BotBox]]/tbl_MTG_Set[[#This Row],[Collector Booster Cost]]</f>
        <v>#N/A</v>
      </c>
      <c r="CC26" s="10" t="b">
        <f>tbl_MTG_Set[[#This Row],[Collector Singles CardMarket Profit BotBox]]&gt;0</f>
        <v>0</v>
      </c>
      <c r="CD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" spans="1:86" hidden="1">
      <c r="A27">
        <v>27</v>
      </c>
      <c r="B27" t="s">
        <v>200</v>
      </c>
      <c r="C27">
        <v>1</v>
      </c>
      <c r="D27" s="3">
        <v>45893</v>
      </c>
      <c r="F27" t="s">
        <v>174</v>
      </c>
      <c r="G27">
        <v>28</v>
      </c>
      <c r="H27">
        <f ca="1">MONTH(NOW())+12*YEAR(NOW())-MONTH(tbl_MTG_Set[[#This Row],[Released On]])-12*YEAR(tbl_MTG_Set[[#This Row],[Released On]])</f>
        <v>7</v>
      </c>
      <c r="I27" t="str">
        <f>_xlfn.XLOOKUP(tbl_MTG_Set[[#This Row],[Type Name]], tbl_MTG_Set_Type[Set Type], tbl_MTG_Set_Type[Index], "(Set Type not found)")</f>
        <v>(Set Type not found)</v>
      </c>
      <c r="J27" t="str">
        <f>_xlfn.XLOOKUP(tbl_MTG_Set[[#This Row],[Type Name]], tbl_MTG_Set_Type[Set Type], tbl_MTG_Set_Type[Buy Window Month Start], "(Set Type not found)")</f>
        <v>(Set Type not found)</v>
      </c>
      <c r="K27" s="3" t="e">
        <f>tbl_MTG_Set[[#This Row],[Released On]]+tbl_MTG_Set[[#This Row],[Buy Window Month Start]]*365.25/12</f>
        <v>#VALUE!</v>
      </c>
      <c r="L27" t="str">
        <f>_xlfn.XLOOKUP(tbl_MTG_Set[[#This Row],[Type Name]], tbl_MTG_Set_Type[Set Type], tbl_MTG_Set_Type[Buy Window Month End], "(Set Type not found)", 0, 1)</f>
        <v>(Set Type not found)</v>
      </c>
      <c r="M27" s="3" t="e">
        <f>tbl_MTG_Set[[#This Row],[Released On]]+tbl_MTG_Set[[#This Row],[Buy Window Month End]]*365.25/12</f>
        <v>#VALUE!</v>
      </c>
      <c r="N27" s="3" t="e">
        <f ca="1">AND(NOW()&gt;=tbl_MTG_Set[[#This Row],[Buy Window Start]], NOW()&lt;=tbl_MTG_Set[[#This Row],[Buy Window End]])</f>
        <v>#VALUE!</v>
      </c>
      <c r="O27" t="str">
        <f>_xlfn.XLOOKUP(tbl_MTG_Set[[#This Row],[Type Name]], tbl_MTG_Set_Type[Set Type], tbl_MTG_Set_Type[Heavy Printing Window Month Start], "(Set Type not found)", 0, 1)</f>
        <v>(Set Type not found)</v>
      </c>
      <c r="P27" s="3" t="e">
        <f>tbl_MTG_Set[[#This Row],[Released On]]+tbl_MTG_Set[[#This Row],[Heavy Printing Window Month Start]]*365.25/12</f>
        <v>#VALUE!</v>
      </c>
      <c r="Q27" t="str">
        <f>_xlfn.XLOOKUP(tbl_MTG_Set[[#This Row],[Type Name]], tbl_MTG_Set_Type[Set Type], tbl_MTG_Set_Type[Heavy Printing Window Month End], "(Set Type not found)", 0, 1)</f>
        <v>(Set Type not found)</v>
      </c>
      <c r="R27" s="3" t="e">
        <f>tbl_MTG_Set[[#This Row],[Released On]]+tbl_MTG_Set[[#This Row],[Heavy Printing Window Month End]]*365.25/12</f>
        <v>#VALUE!</v>
      </c>
      <c r="S27" s="3" t="e">
        <f ca="1">AND(NOW()&gt;=tbl_MTG_Set[[#This Row],[Heavy Printing Window Start]], NOW()&lt;=tbl_MTG_Set[[#This Row],[Heavy Printing Window End]])</f>
        <v>#VALUE!</v>
      </c>
      <c r="T27" t="str">
        <f>_xlfn.XLOOKUP(tbl_MTG_Set[[#This Row],[Type Name]], tbl_MTG_Set_Type[Set Type], tbl_MTG_Set_Type[Sell Window Month Start], "(Set Type not found)", 0, 1)</f>
        <v>(Set Type not found)</v>
      </c>
      <c r="U27" s="3" t="e">
        <f>tbl_MTG_Set[[#This Row],[Released On]]+tbl_MTG_Set[[#This Row],[Sell Window Month Start]]*365.25/12</f>
        <v>#VALUE!</v>
      </c>
      <c r="V27" t="str">
        <f>_xlfn.XLOOKUP(tbl_MTG_Set[[#This Row],[Type Name]], tbl_MTG_Set_Type[Set Type], tbl_MTG_Set_Type[Sell Window Month End], "(Set Type not found)", 0, 1)</f>
        <v>(Set Type not found)</v>
      </c>
      <c r="W27" s="3" t="e">
        <f>tbl_MTG_Set[[#This Row],[Released On]]+tbl_MTG_Set[[#This Row],[Sell Window Month End]]*365.25/12</f>
        <v>#VALUE!</v>
      </c>
      <c r="X27" s="3" t="e">
        <f ca="1">AND(NOW()&gt;=tbl_MTG_Set[[#This Row],[Sell Window Start]], NOW()&lt;=tbl_MTG_Set[[#This Row],[Sell Window End]])</f>
        <v>#VALUE!</v>
      </c>
      <c r="AG27" s="10"/>
      <c r="AH27" s="10"/>
      <c r="AM27" s="10" t="str" cm="1">
        <f t="array" ref="AM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" s="10" t="str" cm="1">
        <f t="array" ref="AN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" s="4" t="e">
        <f>_xlfn.XLOOKUP(tbl_MTG_Set[[#This Row],[Play Booster Box Product Id]], tbl_Product[Product Id], tbl_Product[Pack Size])</f>
        <v>#N/A</v>
      </c>
      <c r="AP27" s="10" t="e">
        <f>(tbl_MTG_Set[[#This Row],[Play Booster Box Cost]]+v_Item_Shipping_Cost_In)/tbl_MTG_Set[[#This Row],[Play Booster Box Size]]</f>
        <v>#VALUE!</v>
      </c>
      <c r="AQ27" s="10" t="str" cm="1">
        <f t="array" ref="AQ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" s="10"/>
      <c r="AS27" s="10"/>
      <c r="AT27" s="17" t="e">
        <f>tbl_MTG_Set[[#This Row],[Play Booster CardMarket Profit]]/tbl_MTG_Set[[#This Row],[Play Booster Cost]]</f>
        <v>#VALUE!</v>
      </c>
      <c r="AU27" s="10" t="e">
        <f>_xlfn.XLOOKUP(tbl_MTG_Set[[#This Row],[Collector Booster Box Product Id]], tbl_Product[Product Id], tbl_Product[Min Cost])</f>
        <v>#N/A</v>
      </c>
      <c r="AV27" s="10" t="e">
        <f>_xlfn.XLOOKUP(tbl_MTG_Set[[#This Row],[Collector Booster Box Product Id]], tbl_Product[Product Id], tbl_Product[Best Source])</f>
        <v>#N/A</v>
      </c>
      <c r="AW27" s="4" t="e">
        <f>_xlfn.XLOOKUP(tbl_MTG_Set[[#This Row],[Collector Booster Box Product Id]], tbl_Product[Product Id], tbl_Product[Pack Size])</f>
        <v>#N/A</v>
      </c>
      <c r="AX27" s="10" t="e">
        <f>(tbl_MTG_Set[[#This Row],[Collector Booster Box Cost]] + v_Item_Shipping_Cost_In) / tbl_MTG_Set[[#This Row],[Collector Booster Box Size]]</f>
        <v>#N/A</v>
      </c>
      <c r="AY27" s="10" t="str" cm="1">
        <f t="array" ref="AY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" s="10"/>
      <c r="BA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" s="17" t="e">
        <f>tbl_MTG_Set[[#This Row],[Collector Booster CardMarket Profit]]/tbl_MTG_Set[[#This Row],[Collector Booster Cost]]</f>
        <v>#N/A</v>
      </c>
      <c r="BC27" s="10"/>
      <c r="BF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" s="11" t="e">
        <f>tbl_MTG_Set[[#This Row],[Play Singles CardMarket Profit MTG Stocks]]/tbl_MTG_Set[[#This Row],[Play Booster Cost]]</f>
        <v>#VALUE!</v>
      </c>
      <c r="BI27" s="11" t="b">
        <f>tbl_MTG_Set[[#This Row],[Play Singles CardMarket Profit MTG Stocks]]&gt;0</f>
        <v>0</v>
      </c>
      <c r="BM27" s="10" t="e">
        <f>tbl_MTG_Set[[#This Row],[Play Booster Sell Price CardMarket]]*tbl_MTG_Set[[#This Row],[Play Booster Expected Market Value BotBox]]/tbl_MTG_Set[[#This Row],[Play Booster Sealed Market Value BotBox]]</f>
        <v>#VALUE!</v>
      </c>
      <c r="BN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" s="10" t="e">
        <f>tbl_MTG_Set[[#This Row],[Play Singles CardMarket Profit BotBox]]/tbl_MTG_Set[[#This Row],[Play Booster Cost]]</f>
        <v>#VALUE!</v>
      </c>
      <c r="BP27" s="10" t="b">
        <f>tbl_MTG_Set[[#This Row],[Play Singles CardMarket Profit BotBox]]&gt;0</f>
        <v>0</v>
      </c>
      <c r="BQ27" s="10"/>
      <c r="BR27" s="10"/>
      <c r="BS27" s="10"/>
      <c r="BT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" s="19" t="e">
        <f>tbl_MTG_Set[[#This Row],[Collector Singles CardMarket Profit MTG Stocks]]/tbl_MTG_Set[[#This Row],[Collector Booster Cost]]</f>
        <v>#N/A</v>
      </c>
      <c r="BW27" s="10" t="b">
        <f>tbl_MTG_Set[[#This Row],[Collector Singles CardMarket Profit MTG Stocks]]&gt;0</f>
        <v>0</v>
      </c>
      <c r="BX27" s="10"/>
      <c r="BY27" s="10"/>
      <c r="BZ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" s="10" t="e">
        <f>tbl_MTG_Set[[#This Row],[Collector Singles CardMarket Profit BotBox]]/tbl_MTG_Set[[#This Row],[Collector Booster Cost]]</f>
        <v>#N/A</v>
      </c>
      <c r="CC27" s="10" t="b">
        <f>tbl_MTG_Set[[#This Row],[Collector Singles CardMarket Profit BotBox]]&gt;0</f>
        <v>0</v>
      </c>
      <c r="CD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" spans="1:86" hidden="1">
      <c r="A28">
        <v>28</v>
      </c>
      <c r="B28" t="s">
        <v>201</v>
      </c>
      <c r="C28">
        <v>25</v>
      </c>
      <c r="D28" s="3">
        <v>45888</v>
      </c>
      <c r="F28" t="s">
        <v>174</v>
      </c>
      <c r="G28">
        <v>29</v>
      </c>
      <c r="H28">
        <f ca="1">MONTH(NOW())+12*YEAR(NOW())-MONTH(tbl_MTG_Set[[#This Row],[Released On]])-12*YEAR(tbl_MTG_Set[[#This Row],[Released On]])</f>
        <v>7</v>
      </c>
      <c r="I28" t="str">
        <f>_xlfn.XLOOKUP(tbl_MTG_Set[[#This Row],[Type Name]], tbl_MTG_Set_Type[Set Type], tbl_MTG_Set_Type[Index], "(Set Type not found)")</f>
        <v>(Set Type not found)</v>
      </c>
      <c r="J28" t="str">
        <f>_xlfn.XLOOKUP(tbl_MTG_Set[[#This Row],[Type Name]], tbl_MTG_Set_Type[Set Type], tbl_MTG_Set_Type[Buy Window Month Start], "(Set Type not found)")</f>
        <v>(Set Type not found)</v>
      </c>
      <c r="K28" s="3" t="e">
        <f>tbl_MTG_Set[[#This Row],[Released On]]+tbl_MTG_Set[[#This Row],[Buy Window Month Start]]*365.25/12</f>
        <v>#VALUE!</v>
      </c>
      <c r="L28" t="str">
        <f>_xlfn.XLOOKUP(tbl_MTG_Set[[#This Row],[Type Name]], tbl_MTG_Set_Type[Set Type], tbl_MTG_Set_Type[Buy Window Month End], "(Set Type not found)", 0, 1)</f>
        <v>(Set Type not found)</v>
      </c>
      <c r="M28" s="3" t="e">
        <f>tbl_MTG_Set[[#This Row],[Released On]]+tbl_MTG_Set[[#This Row],[Buy Window Month End]]*365.25/12</f>
        <v>#VALUE!</v>
      </c>
      <c r="N28" s="3" t="e">
        <f ca="1">AND(NOW()&gt;=tbl_MTG_Set[[#This Row],[Buy Window Start]], NOW()&lt;=tbl_MTG_Set[[#This Row],[Buy Window End]])</f>
        <v>#VALUE!</v>
      </c>
      <c r="O28" t="str">
        <f>_xlfn.XLOOKUP(tbl_MTG_Set[[#This Row],[Type Name]], tbl_MTG_Set_Type[Set Type], tbl_MTG_Set_Type[Heavy Printing Window Month Start], "(Set Type not found)", 0, 1)</f>
        <v>(Set Type not found)</v>
      </c>
      <c r="P28" s="3" t="e">
        <f>tbl_MTG_Set[[#This Row],[Released On]]+tbl_MTG_Set[[#This Row],[Heavy Printing Window Month Start]]*365.25/12</f>
        <v>#VALUE!</v>
      </c>
      <c r="Q28" t="str">
        <f>_xlfn.XLOOKUP(tbl_MTG_Set[[#This Row],[Type Name]], tbl_MTG_Set_Type[Set Type], tbl_MTG_Set_Type[Heavy Printing Window Month End], "(Set Type not found)", 0, 1)</f>
        <v>(Set Type not found)</v>
      </c>
      <c r="R28" s="3" t="e">
        <f>tbl_MTG_Set[[#This Row],[Released On]]+tbl_MTG_Set[[#This Row],[Heavy Printing Window Month End]]*365.25/12</f>
        <v>#VALUE!</v>
      </c>
      <c r="S28" s="3" t="e">
        <f ca="1">AND(NOW()&gt;=tbl_MTG_Set[[#This Row],[Heavy Printing Window Start]], NOW()&lt;=tbl_MTG_Set[[#This Row],[Heavy Printing Window End]])</f>
        <v>#VALUE!</v>
      </c>
      <c r="T28" t="str">
        <f>_xlfn.XLOOKUP(tbl_MTG_Set[[#This Row],[Type Name]], tbl_MTG_Set_Type[Set Type], tbl_MTG_Set_Type[Sell Window Month Start], "(Set Type not found)", 0, 1)</f>
        <v>(Set Type not found)</v>
      </c>
      <c r="U28" s="3" t="e">
        <f>tbl_MTG_Set[[#This Row],[Released On]]+tbl_MTG_Set[[#This Row],[Sell Window Month Start]]*365.25/12</f>
        <v>#VALUE!</v>
      </c>
      <c r="V28" t="str">
        <f>_xlfn.XLOOKUP(tbl_MTG_Set[[#This Row],[Type Name]], tbl_MTG_Set_Type[Set Type], tbl_MTG_Set_Type[Sell Window Month End], "(Set Type not found)", 0, 1)</f>
        <v>(Set Type not found)</v>
      </c>
      <c r="W28" s="3" t="e">
        <f>tbl_MTG_Set[[#This Row],[Released On]]+tbl_MTG_Set[[#This Row],[Sell Window Month End]]*365.25/12</f>
        <v>#VALUE!</v>
      </c>
      <c r="X28" s="3" t="e">
        <f ca="1">AND(NOW()&gt;=tbl_MTG_Set[[#This Row],[Sell Window Start]], NOW()&lt;=tbl_MTG_Set[[#This Row],[Sell Window End]])</f>
        <v>#VALUE!</v>
      </c>
      <c r="AG28" s="10"/>
      <c r="AH28" s="10"/>
      <c r="AM28" s="10" t="str" cm="1">
        <f t="array" ref="AM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" s="10" t="str" cm="1">
        <f t="array" ref="AN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" s="4" t="e">
        <f>_xlfn.XLOOKUP(tbl_MTG_Set[[#This Row],[Play Booster Box Product Id]], tbl_Product[Product Id], tbl_Product[Pack Size])</f>
        <v>#N/A</v>
      </c>
      <c r="AP28" s="10" t="e">
        <f>(tbl_MTG_Set[[#This Row],[Play Booster Box Cost]]+v_Item_Shipping_Cost_In)/tbl_MTG_Set[[#This Row],[Play Booster Box Size]]</f>
        <v>#VALUE!</v>
      </c>
      <c r="AQ28" s="10" t="str" cm="1">
        <f t="array" ref="AQ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" s="10"/>
      <c r="AS28" s="10"/>
      <c r="AT28" s="17" t="e">
        <f>tbl_MTG_Set[[#This Row],[Play Booster CardMarket Profit]]/tbl_MTG_Set[[#This Row],[Play Booster Cost]]</f>
        <v>#VALUE!</v>
      </c>
      <c r="AU28" s="10" t="e">
        <f>_xlfn.XLOOKUP(tbl_MTG_Set[[#This Row],[Collector Booster Box Product Id]], tbl_Product[Product Id], tbl_Product[Min Cost])</f>
        <v>#N/A</v>
      </c>
      <c r="AV28" s="10" t="e">
        <f>_xlfn.XLOOKUP(tbl_MTG_Set[[#This Row],[Collector Booster Box Product Id]], tbl_Product[Product Id], tbl_Product[Best Source])</f>
        <v>#N/A</v>
      </c>
      <c r="AW28" s="4" t="e">
        <f>_xlfn.XLOOKUP(tbl_MTG_Set[[#This Row],[Collector Booster Box Product Id]], tbl_Product[Product Id], tbl_Product[Pack Size])</f>
        <v>#N/A</v>
      </c>
      <c r="AX28" s="10" t="e">
        <f>(tbl_MTG_Set[[#This Row],[Collector Booster Box Cost]] + v_Item_Shipping_Cost_In) / tbl_MTG_Set[[#This Row],[Collector Booster Box Size]]</f>
        <v>#N/A</v>
      </c>
      <c r="AY28" s="10" t="str" cm="1">
        <f t="array" ref="AY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" s="10"/>
      <c r="BA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" s="17" t="e">
        <f>tbl_MTG_Set[[#This Row],[Collector Booster CardMarket Profit]]/tbl_MTG_Set[[#This Row],[Collector Booster Cost]]</f>
        <v>#N/A</v>
      </c>
      <c r="BC28" s="10"/>
      <c r="BF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" s="11" t="e">
        <f>tbl_MTG_Set[[#This Row],[Play Singles CardMarket Profit MTG Stocks]]/tbl_MTG_Set[[#This Row],[Play Booster Cost]]</f>
        <v>#VALUE!</v>
      </c>
      <c r="BI28" s="11" t="b">
        <f>tbl_MTG_Set[[#This Row],[Play Singles CardMarket Profit MTG Stocks]]&gt;0</f>
        <v>0</v>
      </c>
      <c r="BM28" s="10" t="e">
        <f>tbl_MTG_Set[[#This Row],[Play Booster Sell Price CardMarket]]*tbl_MTG_Set[[#This Row],[Play Booster Expected Market Value BotBox]]/tbl_MTG_Set[[#This Row],[Play Booster Sealed Market Value BotBox]]</f>
        <v>#VALUE!</v>
      </c>
      <c r="BN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" s="10" t="e">
        <f>tbl_MTG_Set[[#This Row],[Play Singles CardMarket Profit BotBox]]/tbl_MTG_Set[[#This Row],[Play Booster Cost]]</f>
        <v>#VALUE!</v>
      </c>
      <c r="BP28" s="10" t="b">
        <f>tbl_MTG_Set[[#This Row],[Play Singles CardMarket Profit BotBox]]&gt;0</f>
        <v>0</v>
      </c>
      <c r="BQ28" s="10"/>
      <c r="BR28" s="10"/>
      <c r="BS28" s="10"/>
      <c r="BT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" s="19" t="e">
        <f>tbl_MTG_Set[[#This Row],[Collector Singles CardMarket Profit MTG Stocks]]/tbl_MTG_Set[[#This Row],[Collector Booster Cost]]</f>
        <v>#N/A</v>
      </c>
      <c r="BW28" s="10" t="b">
        <f>tbl_MTG_Set[[#This Row],[Collector Singles CardMarket Profit MTG Stocks]]&gt;0</f>
        <v>0</v>
      </c>
      <c r="BX28" s="10"/>
      <c r="BY28" s="10"/>
      <c r="BZ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" s="10" t="e">
        <f>tbl_MTG_Set[[#This Row],[Collector Singles CardMarket Profit BotBox]]/tbl_MTG_Set[[#This Row],[Collector Booster Cost]]</f>
        <v>#N/A</v>
      </c>
      <c r="CC28" s="10" t="b">
        <f>tbl_MTG_Set[[#This Row],[Collector Singles CardMarket Profit BotBox]]&gt;0</f>
        <v>0</v>
      </c>
      <c r="CD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" spans="1:86" hidden="1">
      <c r="A29">
        <v>29</v>
      </c>
      <c r="B29" t="s">
        <v>202</v>
      </c>
      <c r="C29">
        <v>26</v>
      </c>
      <c r="D29" s="3">
        <v>45888</v>
      </c>
      <c r="F29" t="s">
        <v>174</v>
      </c>
      <c r="G29">
        <v>30</v>
      </c>
      <c r="H29">
        <f ca="1">MONTH(NOW())+12*YEAR(NOW())-MONTH(tbl_MTG_Set[[#This Row],[Released On]])-12*YEAR(tbl_MTG_Set[[#This Row],[Released On]])</f>
        <v>7</v>
      </c>
      <c r="I29" t="str">
        <f>_xlfn.XLOOKUP(tbl_MTG_Set[[#This Row],[Type Name]], tbl_MTG_Set_Type[Set Type], tbl_MTG_Set_Type[Index], "(Set Type not found)")</f>
        <v>(Set Type not found)</v>
      </c>
      <c r="J29" t="str">
        <f>_xlfn.XLOOKUP(tbl_MTG_Set[[#This Row],[Type Name]], tbl_MTG_Set_Type[Set Type], tbl_MTG_Set_Type[Buy Window Month Start], "(Set Type not found)")</f>
        <v>(Set Type not found)</v>
      </c>
      <c r="K29" s="3" t="e">
        <f>tbl_MTG_Set[[#This Row],[Released On]]+tbl_MTG_Set[[#This Row],[Buy Window Month Start]]*365.25/12</f>
        <v>#VALUE!</v>
      </c>
      <c r="L29" t="str">
        <f>_xlfn.XLOOKUP(tbl_MTG_Set[[#This Row],[Type Name]], tbl_MTG_Set_Type[Set Type], tbl_MTG_Set_Type[Buy Window Month End], "(Set Type not found)", 0, 1)</f>
        <v>(Set Type not found)</v>
      </c>
      <c r="M29" s="3" t="e">
        <f>tbl_MTG_Set[[#This Row],[Released On]]+tbl_MTG_Set[[#This Row],[Buy Window Month End]]*365.25/12</f>
        <v>#VALUE!</v>
      </c>
      <c r="N29" s="3" t="e">
        <f ca="1">AND(NOW()&gt;=tbl_MTG_Set[[#This Row],[Buy Window Start]], NOW()&lt;=tbl_MTG_Set[[#This Row],[Buy Window End]])</f>
        <v>#VALUE!</v>
      </c>
      <c r="O29" t="str">
        <f>_xlfn.XLOOKUP(tbl_MTG_Set[[#This Row],[Type Name]], tbl_MTG_Set_Type[Set Type], tbl_MTG_Set_Type[Heavy Printing Window Month Start], "(Set Type not found)", 0, 1)</f>
        <v>(Set Type not found)</v>
      </c>
      <c r="P29" s="3" t="e">
        <f>tbl_MTG_Set[[#This Row],[Released On]]+tbl_MTG_Set[[#This Row],[Heavy Printing Window Month Start]]*365.25/12</f>
        <v>#VALUE!</v>
      </c>
      <c r="Q29" t="str">
        <f>_xlfn.XLOOKUP(tbl_MTG_Set[[#This Row],[Type Name]], tbl_MTG_Set_Type[Set Type], tbl_MTG_Set_Type[Heavy Printing Window Month End], "(Set Type not found)", 0, 1)</f>
        <v>(Set Type not found)</v>
      </c>
      <c r="R29" s="3" t="e">
        <f>tbl_MTG_Set[[#This Row],[Released On]]+tbl_MTG_Set[[#This Row],[Heavy Printing Window Month End]]*365.25/12</f>
        <v>#VALUE!</v>
      </c>
      <c r="S29" s="3" t="e">
        <f ca="1">AND(NOW()&gt;=tbl_MTG_Set[[#This Row],[Heavy Printing Window Start]], NOW()&lt;=tbl_MTG_Set[[#This Row],[Heavy Printing Window End]])</f>
        <v>#VALUE!</v>
      </c>
      <c r="T29" t="str">
        <f>_xlfn.XLOOKUP(tbl_MTG_Set[[#This Row],[Type Name]], tbl_MTG_Set_Type[Set Type], tbl_MTG_Set_Type[Sell Window Month Start], "(Set Type not found)", 0, 1)</f>
        <v>(Set Type not found)</v>
      </c>
      <c r="U29" s="3" t="e">
        <f>tbl_MTG_Set[[#This Row],[Released On]]+tbl_MTG_Set[[#This Row],[Sell Window Month Start]]*365.25/12</f>
        <v>#VALUE!</v>
      </c>
      <c r="V29" t="str">
        <f>_xlfn.XLOOKUP(tbl_MTG_Set[[#This Row],[Type Name]], tbl_MTG_Set_Type[Set Type], tbl_MTG_Set_Type[Sell Window Month End], "(Set Type not found)", 0, 1)</f>
        <v>(Set Type not found)</v>
      </c>
      <c r="W29" s="3" t="e">
        <f>tbl_MTG_Set[[#This Row],[Released On]]+tbl_MTG_Set[[#This Row],[Sell Window Month End]]*365.25/12</f>
        <v>#VALUE!</v>
      </c>
      <c r="X29" s="3" t="e">
        <f ca="1">AND(NOW()&gt;=tbl_MTG_Set[[#This Row],[Sell Window Start]], NOW()&lt;=tbl_MTG_Set[[#This Row],[Sell Window End]])</f>
        <v>#VALUE!</v>
      </c>
      <c r="AG29" s="10"/>
      <c r="AH29" s="10"/>
      <c r="AM29" s="10" t="str" cm="1">
        <f t="array" ref="AM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" s="10" t="str" cm="1">
        <f t="array" ref="AN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" s="4" t="e">
        <f>_xlfn.XLOOKUP(tbl_MTG_Set[[#This Row],[Play Booster Box Product Id]], tbl_Product[Product Id], tbl_Product[Pack Size])</f>
        <v>#N/A</v>
      </c>
      <c r="AP29" s="10" t="e">
        <f>(tbl_MTG_Set[[#This Row],[Play Booster Box Cost]]+v_Item_Shipping_Cost_In)/tbl_MTG_Set[[#This Row],[Play Booster Box Size]]</f>
        <v>#VALUE!</v>
      </c>
      <c r="AQ29" s="10" t="str" cm="1">
        <f t="array" ref="AQ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" s="10"/>
      <c r="AS29" s="10"/>
      <c r="AT29" s="17" t="e">
        <f>tbl_MTG_Set[[#This Row],[Play Booster CardMarket Profit]]/tbl_MTG_Set[[#This Row],[Play Booster Cost]]</f>
        <v>#VALUE!</v>
      </c>
      <c r="AU29" s="10" t="e">
        <f>_xlfn.XLOOKUP(tbl_MTG_Set[[#This Row],[Collector Booster Box Product Id]], tbl_Product[Product Id], tbl_Product[Min Cost])</f>
        <v>#N/A</v>
      </c>
      <c r="AV29" s="10" t="e">
        <f>_xlfn.XLOOKUP(tbl_MTG_Set[[#This Row],[Collector Booster Box Product Id]], tbl_Product[Product Id], tbl_Product[Best Source])</f>
        <v>#N/A</v>
      </c>
      <c r="AW29" s="4" t="e">
        <f>_xlfn.XLOOKUP(tbl_MTG_Set[[#This Row],[Collector Booster Box Product Id]], tbl_Product[Product Id], tbl_Product[Pack Size])</f>
        <v>#N/A</v>
      </c>
      <c r="AX29" s="10" t="e">
        <f>(tbl_MTG_Set[[#This Row],[Collector Booster Box Cost]] + v_Item_Shipping_Cost_In) / tbl_MTG_Set[[#This Row],[Collector Booster Box Size]]</f>
        <v>#N/A</v>
      </c>
      <c r="AY29" s="10" t="str" cm="1">
        <f t="array" ref="AY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" s="10"/>
      <c r="BA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" s="17" t="e">
        <f>tbl_MTG_Set[[#This Row],[Collector Booster CardMarket Profit]]/tbl_MTG_Set[[#This Row],[Collector Booster Cost]]</f>
        <v>#N/A</v>
      </c>
      <c r="BC29" s="10"/>
      <c r="BF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" s="11" t="e">
        <f>tbl_MTG_Set[[#This Row],[Play Singles CardMarket Profit MTG Stocks]]/tbl_MTG_Set[[#This Row],[Play Booster Cost]]</f>
        <v>#VALUE!</v>
      </c>
      <c r="BI29" s="11" t="b">
        <f>tbl_MTG_Set[[#This Row],[Play Singles CardMarket Profit MTG Stocks]]&gt;0</f>
        <v>0</v>
      </c>
      <c r="BM29" s="10" t="e">
        <f>tbl_MTG_Set[[#This Row],[Play Booster Sell Price CardMarket]]*tbl_MTG_Set[[#This Row],[Play Booster Expected Market Value BotBox]]/tbl_MTG_Set[[#This Row],[Play Booster Sealed Market Value BotBox]]</f>
        <v>#VALUE!</v>
      </c>
      <c r="BN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" s="10" t="e">
        <f>tbl_MTG_Set[[#This Row],[Play Singles CardMarket Profit BotBox]]/tbl_MTG_Set[[#This Row],[Play Booster Cost]]</f>
        <v>#VALUE!</v>
      </c>
      <c r="BP29" s="10" t="b">
        <f>tbl_MTG_Set[[#This Row],[Play Singles CardMarket Profit BotBox]]&gt;0</f>
        <v>0</v>
      </c>
      <c r="BQ29" s="10"/>
      <c r="BR29" s="10"/>
      <c r="BS29" s="10"/>
      <c r="BT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" s="19" t="e">
        <f>tbl_MTG_Set[[#This Row],[Collector Singles CardMarket Profit MTG Stocks]]/tbl_MTG_Set[[#This Row],[Collector Booster Cost]]</f>
        <v>#N/A</v>
      </c>
      <c r="BW29" s="10" t="b">
        <f>tbl_MTG_Set[[#This Row],[Collector Singles CardMarket Profit MTG Stocks]]&gt;0</f>
        <v>0</v>
      </c>
      <c r="BX29" s="10"/>
      <c r="BY29" s="10"/>
      <c r="BZ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" s="10" t="e">
        <f>tbl_MTG_Set[[#This Row],[Collector Singles CardMarket Profit BotBox]]/tbl_MTG_Set[[#This Row],[Collector Booster Cost]]</f>
        <v>#N/A</v>
      </c>
      <c r="CC29" s="10" t="b">
        <f>tbl_MTG_Set[[#This Row],[Collector Singles CardMarket Profit BotBox]]&gt;0</f>
        <v>0</v>
      </c>
      <c r="CD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" spans="1:86" hidden="1">
      <c r="A30">
        <v>31</v>
      </c>
      <c r="B30" t="s">
        <v>203</v>
      </c>
      <c r="C30">
        <v>180</v>
      </c>
      <c r="D30" s="3">
        <v>45870</v>
      </c>
      <c r="E30" t="s">
        <v>59</v>
      </c>
      <c r="F30" t="s">
        <v>174</v>
      </c>
      <c r="G30">
        <v>32</v>
      </c>
      <c r="H30">
        <f ca="1">MONTH(NOW())+12*YEAR(NOW())-MONTH(tbl_MTG_Set[[#This Row],[Released On]])-12*YEAR(tbl_MTG_Set[[#This Row],[Released On]])</f>
        <v>7</v>
      </c>
      <c r="I30">
        <f>_xlfn.XLOOKUP(tbl_MTG_Set[[#This Row],[Type Name]], tbl_MTG_Set_Type[Set Type], tbl_MTG_Set_Type[Index], "(Set Type not found)")</f>
        <v>1</v>
      </c>
      <c r="J30">
        <f>_xlfn.XLOOKUP(tbl_MTG_Set[[#This Row],[Type Name]], tbl_MTG_Set_Type[Set Type], tbl_MTG_Set_Type[Buy Window Month Start], "(Set Type not found)")</f>
        <v>18</v>
      </c>
      <c r="K30" s="3">
        <f>tbl_MTG_Set[[#This Row],[Released On]]+tbl_MTG_Set[[#This Row],[Buy Window Month Start]]*365.25/12</f>
        <v>46417.875</v>
      </c>
      <c r="L30">
        <f>_xlfn.XLOOKUP(tbl_MTG_Set[[#This Row],[Type Name]], tbl_MTG_Set_Type[Set Type], tbl_MTG_Set_Type[Buy Window Month End], "(Set Type not found)", 0, 1)</f>
        <v>24</v>
      </c>
      <c r="M30" s="3">
        <f>tbl_MTG_Set[[#This Row],[Released On]]+tbl_MTG_Set[[#This Row],[Buy Window Month End]]*365.25/12</f>
        <v>46600.5</v>
      </c>
      <c r="N30" s="3" t="b">
        <f ca="1">AND(NOW()&gt;=tbl_MTG_Set[[#This Row],[Buy Window Start]], NOW()&lt;=tbl_MTG_Set[[#This Row],[Buy Window End]])</f>
        <v>0</v>
      </c>
      <c r="O30">
        <f>_xlfn.XLOOKUP(tbl_MTG_Set[[#This Row],[Type Name]], tbl_MTG_Set_Type[Set Type], tbl_MTG_Set_Type[Heavy Printing Window Month Start], "(Set Type not found)", 0, 1)</f>
        <v>1</v>
      </c>
      <c r="P30" s="3">
        <f>tbl_MTG_Set[[#This Row],[Released On]]+tbl_MTG_Set[[#This Row],[Heavy Printing Window Month Start]]*365.25/12</f>
        <v>45900.4375</v>
      </c>
      <c r="Q30">
        <f>_xlfn.XLOOKUP(tbl_MTG_Set[[#This Row],[Type Name]], tbl_MTG_Set_Type[Set Type], tbl_MTG_Set_Type[Heavy Printing Window Month End], "(Set Type not found)", 0, 1)</f>
        <v>18</v>
      </c>
      <c r="R30" s="3">
        <f>tbl_MTG_Set[[#This Row],[Released On]]+tbl_MTG_Set[[#This Row],[Heavy Printing Window Month End]]*365.25/12</f>
        <v>46417.875</v>
      </c>
      <c r="S30" s="3" t="b">
        <f ca="1">AND(NOW()&gt;=tbl_MTG_Set[[#This Row],[Heavy Printing Window Start]], NOW()&lt;=tbl_MTG_Set[[#This Row],[Heavy Printing Window End]])</f>
        <v>1</v>
      </c>
      <c r="T30">
        <f>_xlfn.XLOOKUP(tbl_MTG_Set[[#This Row],[Type Name]], tbl_MTG_Set_Type[Set Type], tbl_MTG_Set_Type[Sell Window Month Start], "(Set Type not found)", 0, 1)</f>
        <v>36</v>
      </c>
      <c r="U30" s="3">
        <f>tbl_MTG_Set[[#This Row],[Released On]]+tbl_MTG_Set[[#This Row],[Sell Window Month Start]]*365.25/12</f>
        <v>46965.75</v>
      </c>
      <c r="V30">
        <f>_xlfn.XLOOKUP(tbl_MTG_Set[[#This Row],[Type Name]], tbl_MTG_Set_Type[Set Type], tbl_MTG_Set_Type[Sell Window Month End], "(Set Type not found)", 0, 1)</f>
        <v>48</v>
      </c>
      <c r="W30" s="3">
        <f>tbl_MTG_Set[[#This Row],[Released On]]+tbl_MTG_Set[[#This Row],[Sell Window Month End]]*365.25/12</f>
        <v>47331</v>
      </c>
      <c r="X30" s="3" t="b">
        <f ca="1">AND(NOW()&gt;=tbl_MTG_Set[[#This Row],[Sell Window Start]], NOW()&lt;=tbl_MTG_Set[[#This Row],[Sell Window End]])</f>
        <v>0</v>
      </c>
      <c r="AG30" s="10"/>
      <c r="AH30" s="10"/>
      <c r="AM30" s="10" t="str" cm="1">
        <f t="array" ref="AM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" s="10" t="str" cm="1">
        <f t="array" ref="AN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" s="4" t="e">
        <f>_xlfn.XLOOKUP(tbl_MTG_Set[[#This Row],[Play Booster Box Product Id]], tbl_Product[Product Id], tbl_Product[Pack Size])</f>
        <v>#N/A</v>
      </c>
      <c r="AP30" s="10" t="e">
        <f>(tbl_MTG_Set[[#This Row],[Play Booster Box Cost]]+v_Item_Shipping_Cost_In)/tbl_MTG_Set[[#This Row],[Play Booster Box Size]]</f>
        <v>#VALUE!</v>
      </c>
      <c r="AQ30" s="10" t="str" cm="1">
        <f t="array" ref="AQ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" s="10"/>
      <c r="AS30" s="10"/>
      <c r="AT30" s="17" t="e">
        <f>tbl_MTG_Set[[#This Row],[Play Booster CardMarket Profit]]/tbl_MTG_Set[[#This Row],[Play Booster Cost]]</f>
        <v>#VALUE!</v>
      </c>
      <c r="AU30" s="10" t="e">
        <f>_xlfn.XLOOKUP(tbl_MTG_Set[[#This Row],[Collector Booster Box Product Id]], tbl_Product[Product Id], tbl_Product[Min Cost])</f>
        <v>#N/A</v>
      </c>
      <c r="AV30" s="10" t="e">
        <f>_xlfn.XLOOKUP(tbl_MTG_Set[[#This Row],[Collector Booster Box Product Id]], tbl_Product[Product Id], tbl_Product[Best Source])</f>
        <v>#N/A</v>
      </c>
      <c r="AW30" s="4" t="e">
        <f>_xlfn.XLOOKUP(tbl_MTG_Set[[#This Row],[Collector Booster Box Product Id]], tbl_Product[Product Id], tbl_Product[Pack Size])</f>
        <v>#N/A</v>
      </c>
      <c r="AX30" s="10" t="e">
        <f>(tbl_MTG_Set[[#This Row],[Collector Booster Box Cost]] + v_Item_Shipping_Cost_In) / tbl_MTG_Set[[#This Row],[Collector Booster Box Size]]</f>
        <v>#N/A</v>
      </c>
      <c r="AY30" s="10" t="str" cm="1">
        <f t="array" ref="AY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" s="10"/>
      <c r="BA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" s="17" t="e">
        <f>tbl_MTG_Set[[#This Row],[Collector Booster CardMarket Profit]]/tbl_MTG_Set[[#This Row],[Collector Booster Cost]]</f>
        <v>#N/A</v>
      </c>
      <c r="BC30" s="10"/>
      <c r="BF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" s="11" t="e">
        <f>tbl_MTG_Set[[#This Row],[Play Singles CardMarket Profit MTG Stocks]]/tbl_MTG_Set[[#This Row],[Play Booster Cost]]</f>
        <v>#VALUE!</v>
      </c>
      <c r="BI30" s="11" t="b">
        <f>tbl_MTG_Set[[#This Row],[Play Singles CardMarket Profit MTG Stocks]]&gt;0</f>
        <v>0</v>
      </c>
      <c r="BM30" s="10" t="e">
        <f>tbl_MTG_Set[[#This Row],[Play Booster Sell Price CardMarket]]*tbl_MTG_Set[[#This Row],[Play Booster Expected Market Value BotBox]]/tbl_MTG_Set[[#This Row],[Play Booster Sealed Market Value BotBox]]</f>
        <v>#VALUE!</v>
      </c>
      <c r="BN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" s="10" t="e">
        <f>tbl_MTG_Set[[#This Row],[Play Singles CardMarket Profit BotBox]]/tbl_MTG_Set[[#This Row],[Play Booster Cost]]</f>
        <v>#VALUE!</v>
      </c>
      <c r="BP30" s="10" t="b">
        <f>tbl_MTG_Set[[#This Row],[Play Singles CardMarket Profit BotBox]]&gt;0</f>
        <v>0</v>
      </c>
      <c r="BQ30" s="10"/>
      <c r="BR30" s="10"/>
      <c r="BS30" s="10"/>
      <c r="BT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" s="19" t="e">
        <f>tbl_MTG_Set[[#This Row],[Collector Singles CardMarket Profit MTG Stocks]]/tbl_MTG_Set[[#This Row],[Collector Booster Cost]]</f>
        <v>#N/A</v>
      </c>
      <c r="BW30" s="10" t="b">
        <f>tbl_MTG_Set[[#This Row],[Collector Singles CardMarket Profit MTG Stocks]]&gt;0</f>
        <v>0</v>
      </c>
      <c r="BX30" s="10"/>
      <c r="BY30" s="10"/>
      <c r="BZ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" s="10" t="e">
        <f>tbl_MTG_Set[[#This Row],[Collector Singles CardMarket Profit BotBox]]/tbl_MTG_Set[[#This Row],[Collector Booster Cost]]</f>
        <v>#N/A</v>
      </c>
      <c r="CC30" s="10" t="b">
        <f>tbl_MTG_Set[[#This Row],[Collector Singles CardMarket Profit BotBox]]&gt;0</f>
        <v>0</v>
      </c>
      <c r="CD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" spans="1:86" hidden="1">
      <c r="A31">
        <v>32</v>
      </c>
      <c r="B31" t="s">
        <v>204</v>
      </c>
      <c r="C31">
        <v>160</v>
      </c>
      <c r="D31" s="3">
        <v>45870</v>
      </c>
      <c r="E31" t="s">
        <v>59</v>
      </c>
      <c r="F31" t="s">
        <v>174</v>
      </c>
      <c r="G31">
        <v>33</v>
      </c>
      <c r="H31">
        <f ca="1">MONTH(NOW())+12*YEAR(NOW())-MONTH(tbl_MTG_Set[[#This Row],[Released On]])-12*YEAR(tbl_MTG_Set[[#This Row],[Released On]])</f>
        <v>7</v>
      </c>
      <c r="I31">
        <f>_xlfn.XLOOKUP(tbl_MTG_Set[[#This Row],[Type Name]], tbl_MTG_Set_Type[Set Type], tbl_MTG_Set_Type[Index], "(Set Type not found)")</f>
        <v>1</v>
      </c>
      <c r="J31">
        <f>_xlfn.XLOOKUP(tbl_MTG_Set[[#This Row],[Type Name]], tbl_MTG_Set_Type[Set Type], tbl_MTG_Set_Type[Buy Window Month Start], "(Set Type not found)")</f>
        <v>18</v>
      </c>
      <c r="K31" s="3">
        <f>tbl_MTG_Set[[#This Row],[Released On]]+tbl_MTG_Set[[#This Row],[Buy Window Month Start]]*365.25/12</f>
        <v>46417.875</v>
      </c>
      <c r="L31">
        <f>_xlfn.XLOOKUP(tbl_MTG_Set[[#This Row],[Type Name]], tbl_MTG_Set_Type[Set Type], tbl_MTG_Set_Type[Buy Window Month End], "(Set Type not found)", 0, 1)</f>
        <v>24</v>
      </c>
      <c r="M31" s="3">
        <f>tbl_MTG_Set[[#This Row],[Released On]]+tbl_MTG_Set[[#This Row],[Buy Window Month End]]*365.25/12</f>
        <v>46600.5</v>
      </c>
      <c r="N31" s="3" t="b">
        <f ca="1">AND(NOW()&gt;=tbl_MTG_Set[[#This Row],[Buy Window Start]], NOW()&lt;=tbl_MTG_Set[[#This Row],[Buy Window End]])</f>
        <v>0</v>
      </c>
      <c r="O31">
        <f>_xlfn.XLOOKUP(tbl_MTG_Set[[#This Row],[Type Name]], tbl_MTG_Set_Type[Set Type], tbl_MTG_Set_Type[Heavy Printing Window Month Start], "(Set Type not found)", 0, 1)</f>
        <v>1</v>
      </c>
      <c r="P31" s="3">
        <f>tbl_MTG_Set[[#This Row],[Released On]]+tbl_MTG_Set[[#This Row],[Heavy Printing Window Month Start]]*365.25/12</f>
        <v>45900.4375</v>
      </c>
      <c r="Q31">
        <f>_xlfn.XLOOKUP(tbl_MTG_Set[[#This Row],[Type Name]], tbl_MTG_Set_Type[Set Type], tbl_MTG_Set_Type[Heavy Printing Window Month End], "(Set Type not found)", 0, 1)</f>
        <v>18</v>
      </c>
      <c r="R31" s="3">
        <f>tbl_MTG_Set[[#This Row],[Released On]]+tbl_MTG_Set[[#This Row],[Heavy Printing Window Month End]]*365.25/12</f>
        <v>46417.875</v>
      </c>
      <c r="S31" s="3" t="b">
        <f ca="1">AND(NOW()&gt;=tbl_MTG_Set[[#This Row],[Heavy Printing Window Start]], NOW()&lt;=tbl_MTG_Set[[#This Row],[Heavy Printing Window End]])</f>
        <v>1</v>
      </c>
      <c r="T31">
        <f>_xlfn.XLOOKUP(tbl_MTG_Set[[#This Row],[Type Name]], tbl_MTG_Set_Type[Set Type], tbl_MTG_Set_Type[Sell Window Month Start], "(Set Type not found)", 0, 1)</f>
        <v>36</v>
      </c>
      <c r="U31" s="3">
        <f>tbl_MTG_Set[[#This Row],[Released On]]+tbl_MTG_Set[[#This Row],[Sell Window Month Start]]*365.25/12</f>
        <v>46965.75</v>
      </c>
      <c r="V31">
        <f>_xlfn.XLOOKUP(tbl_MTG_Set[[#This Row],[Type Name]], tbl_MTG_Set_Type[Set Type], tbl_MTG_Set_Type[Sell Window Month End], "(Set Type not found)", 0, 1)</f>
        <v>48</v>
      </c>
      <c r="W31" s="3">
        <f>tbl_MTG_Set[[#This Row],[Released On]]+tbl_MTG_Set[[#This Row],[Sell Window Month End]]*365.25/12</f>
        <v>47331</v>
      </c>
      <c r="X31" s="3" t="b">
        <f ca="1">AND(NOW()&gt;=tbl_MTG_Set[[#This Row],[Sell Window Start]], NOW()&lt;=tbl_MTG_Set[[#This Row],[Sell Window End]])</f>
        <v>0</v>
      </c>
      <c r="AG31" s="10"/>
      <c r="AH31" s="10"/>
      <c r="AM31" s="10" t="str" cm="1">
        <f t="array" ref="AM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" s="10" t="str" cm="1">
        <f t="array" ref="AN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" s="4" t="e">
        <f>_xlfn.XLOOKUP(tbl_MTG_Set[[#This Row],[Play Booster Box Product Id]], tbl_Product[Product Id], tbl_Product[Pack Size])</f>
        <v>#N/A</v>
      </c>
      <c r="AP31" s="10" t="e">
        <f>(tbl_MTG_Set[[#This Row],[Play Booster Box Cost]]+v_Item_Shipping_Cost_In)/tbl_MTG_Set[[#This Row],[Play Booster Box Size]]</f>
        <v>#VALUE!</v>
      </c>
      <c r="AQ31" s="10" t="str" cm="1">
        <f t="array" ref="AQ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" s="10"/>
      <c r="AS31" s="10"/>
      <c r="AT31" s="17" t="e">
        <f>tbl_MTG_Set[[#This Row],[Play Booster CardMarket Profit]]/tbl_MTG_Set[[#This Row],[Play Booster Cost]]</f>
        <v>#VALUE!</v>
      </c>
      <c r="AU31" s="10" t="e">
        <f>_xlfn.XLOOKUP(tbl_MTG_Set[[#This Row],[Collector Booster Box Product Id]], tbl_Product[Product Id], tbl_Product[Min Cost])</f>
        <v>#N/A</v>
      </c>
      <c r="AV31" s="10" t="e">
        <f>_xlfn.XLOOKUP(tbl_MTG_Set[[#This Row],[Collector Booster Box Product Id]], tbl_Product[Product Id], tbl_Product[Best Source])</f>
        <v>#N/A</v>
      </c>
      <c r="AW31" s="4" t="e">
        <f>_xlfn.XLOOKUP(tbl_MTG_Set[[#This Row],[Collector Booster Box Product Id]], tbl_Product[Product Id], tbl_Product[Pack Size])</f>
        <v>#N/A</v>
      </c>
      <c r="AX31" s="10" t="e">
        <f>(tbl_MTG_Set[[#This Row],[Collector Booster Box Cost]] + v_Item_Shipping_Cost_In) / tbl_MTG_Set[[#This Row],[Collector Booster Box Size]]</f>
        <v>#N/A</v>
      </c>
      <c r="AY31" s="10" t="str" cm="1">
        <f t="array" ref="AY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" s="10"/>
      <c r="BA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" s="17" t="e">
        <f>tbl_MTG_Set[[#This Row],[Collector Booster CardMarket Profit]]/tbl_MTG_Set[[#This Row],[Collector Booster Cost]]</f>
        <v>#N/A</v>
      </c>
      <c r="BC31" s="10"/>
      <c r="BF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" s="11" t="e">
        <f>tbl_MTG_Set[[#This Row],[Play Singles CardMarket Profit MTG Stocks]]/tbl_MTG_Set[[#This Row],[Play Booster Cost]]</f>
        <v>#VALUE!</v>
      </c>
      <c r="BI31" s="11" t="b">
        <f>tbl_MTG_Set[[#This Row],[Play Singles CardMarket Profit MTG Stocks]]&gt;0</f>
        <v>0</v>
      </c>
      <c r="BM31" s="10" t="e">
        <f>tbl_MTG_Set[[#This Row],[Play Booster Sell Price CardMarket]]*tbl_MTG_Set[[#This Row],[Play Booster Expected Market Value BotBox]]/tbl_MTG_Set[[#This Row],[Play Booster Sealed Market Value BotBox]]</f>
        <v>#VALUE!</v>
      </c>
      <c r="BN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" s="10" t="e">
        <f>tbl_MTG_Set[[#This Row],[Play Singles CardMarket Profit BotBox]]/tbl_MTG_Set[[#This Row],[Play Booster Cost]]</f>
        <v>#VALUE!</v>
      </c>
      <c r="BP31" s="10" t="b">
        <f>tbl_MTG_Set[[#This Row],[Play Singles CardMarket Profit BotBox]]&gt;0</f>
        <v>0</v>
      </c>
      <c r="BQ31" s="10"/>
      <c r="BR31" s="10"/>
      <c r="BS31" s="10"/>
      <c r="BT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" s="19" t="e">
        <f>tbl_MTG_Set[[#This Row],[Collector Singles CardMarket Profit MTG Stocks]]/tbl_MTG_Set[[#This Row],[Collector Booster Cost]]</f>
        <v>#N/A</v>
      </c>
      <c r="BW31" s="10" t="b">
        <f>tbl_MTG_Set[[#This Row],[Collector Singles CardMarket Profit MTG Stocks]]&gt;0</f>
        <v>0</v>
      </c>
      <c r="BX31" s="10"/>
      <c r="BY31" s="10"/>
      <c r="BZ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" s="10" t="e">
        <f>tbl_MTG_Set[[#This Row],[Collector Singles CardMarket Profit BotBox]]/tbl_MTG_Set[[#This Row],[Collector Booster Cost]]</f>
        <v>#N/A</v>
      </c>
      <c r="CC31" s="10" t="b">
        <f>tbl_MTG_Set[[#This Row],[Collector Singles CardMarket Profit BotBox]]&gt;0</f>
        <v>0</v>
      </c>
      <c r="CD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" spans="1:86" hidden="1">
      <c r="A32">
        <v>33</v>
      </c>
      <c r="B32" t="s">
        <v>205</v>
      </c>
      <c r="C32">
        <v>12</v>
      </c>
      <c r="D32" s="3">
        <v>45870</v>
      </c>
      <c r="E32" t="s">
        <v>59</v>
      </c>
      <c r="F32" t="s">
        <v>174</v>
      </c>
      <c r="G32">
        <v>34</v>
      </c>
      <c r="H32">
        <f ca="1">MONTH(NOW())+12*YEAR(NOW())-MONTH(tbl_MTG_Set[[#This Row],[Released On]])-12*YEAR(tbl_MTG_Set[[#This Row],[Released On]])</f>
        <v>7</v>
      </c>
      <c r="I32">
        <f>_xlfn.XLOOKUP(tbl_MTG_Set[[#This Row],[Type Name]], tbl_MTG_Set_Type[Set Type], tbl_MTG_Set_Type[Index], "(Set Type not found)")</f>
        <v>1</v>
      </c>
      <c r="J32">
        <f>_xlfn.XLOOKUP(tbl_MTG_Set[[#This Row],[Type Name]], tbl_MTG_Set_Type[Set Type], tbl_MTG_Set_Type[Buy Window Month Start], "(Set Type not found)")</f>
        <v>18</v>
      </c>
      <c r="K32" s="3">
        <f>tbl_MTG_Set[[#This Row],[Released On]]+tbl_MTG_Set[[#This Row],[Buy Window Month Start]]*365.25/12</f>
        <v>46417.875</v>
      </c>
      <c r="L32">
        <f>_xlfn.XLOOKUP(tbl_MTG_Set[[#This Row],[Type Name]], tbl_MTG_Set_Type[Set Type], tbl_MTG_Set_Type[Buy Window Month End], "(Set Type not found)", 0, 1)</f>
        <v>24</v>
      </c>
      <c r="M32" s="3">
        <f>tbl_MTG_Set[[#This Row],[Released On]]+tbl_MTG_Set[[#This Row],[Buy Window Month End]]*365.25/12</f>
        <v>46600.5</v>
      </c>
      <c r="N32" s="3" t="b">
        <f ca="1">AND(NOW()&gt;=tbl_MTG_Set[[#This Row],[Buy Window Start]], NOW()&lt;=tbl_MTG_Set[[#This Row],[Buy Window End]])</f>
        <v>0</v>
      </c>
      <c r="O32">
        <f>_xlfn.XLOOKUP(tbl_MTG_Set[[#This Row],[Type Name]], tbl_MTG_Set_Type[Set Type], tbl_MTG_Set_Type[Heavy Printing Window Month Start], "(Set Type not found)", 0, 1)</f>
        <v>1</v>
      </c>
      <c r="P32" s="3">
        <f>tbl_MTG_Set[[#This Row],[Released On]]+tbl_MTG_Set[[#This Row],[Heavy Printing Window Month Start]]*365.25/12</f>
        <v>45900.4375</v>
      </c>
      <c r="Q32">
        <f>_xlfn.XLOOKUP(tbl_MTG_Set[[#This Row],[Type Name]], tbl_MTG_Set_Type[Set Type], tbl_MTG_Set_Type[Heavy Printing Window Month End], "(Set Type not found)", 0, 1)</f>
        <v>18</v>
      </c>
      <c r="R32" s="3">
        <f>tbl_MTG_Set[[#This Row],[Released On]]+tbl_MTG_Set[[#This Row],[Heavy Printing Window Month End]]*365.25/12</f>
        <v>46417.875</v>
      </c>
      <c r="S32" s="3" t="b">
        <f ca="1">AND(NOW()&gt;=tbl_MTG_Set[[#This Row],[Heavy Printing Window Start]], NOW()&lt;=tbl_MTG_Set[[#This Row],[Heavy Printing Window End]])</f>
        <v>1</v>
      </c>
      <c r="T32">
        <f>_xlfn.XLOOKUP(tbl_MTG_Set[[#This Row],[Type Name]], tbl_MTG_Set_Type[Set Type], tbl_MTG_Set_Type[Sell Window Month Start], "(Set Type not found)", 0, 1)</f>
        <v>36</v>
      </c>
      <c r="U32" s="3">
        <f>tbl_MTG_Set[[#This Row],[Released On]]+tbl_MTG_Set[[#This Row],[Sell Window Month Start]]*365.25/12</f>
        <v>46965.75</v>
      </c>
      <c r="V32">
        <f>_xlfn.XLOOKUP(tbl_MTG_Set[[#This Row],[Type Name]], tbl_MTG_Set_Type[Set Type], tbl_MTG_Set_Type[Sell Window Month End], "(Set Type not found)", 0, 1)</f>
        <v>48</v>
      </c>
      <c r="W32" s="3">
        <f>tbl_MTG_Set[[#This Row],[Released On]]+tbl_MTG_Set[[#This Row],[Sell Window Month End]]*365.25/12</f>
        <v>47331</v>
      </c>
      <c r="X32" s="3" t="b">
        <f ca="1">AND(NOW()&gt;=tbl_MTG_Set[[#This Row],[Sell Window Start]], NOW()&lt;=tbl_MTG_Set[[#This Row],[Sell Window End]])</f>
        <v>0</v>
      </c>
      <c r="AG32" s="10"/>
      <c r="AH32" s="10"/>
      <c r="AM32" s="10" t="str" cm="1">
        <f t="array" ref="AM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" s="10" t="str" cm="1">
        <f t="array" ref="AN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" s="4" t="e">
        <f>_xlfn.XLOOKUP(tbl_MTG_Set[[#This Row],[Play Booster Box Product Id]], tbl_Product[Product Id], tbl_Product[Pack Size])</f>
        <v>#N/A</v>
      </c>
      <c r="AP32" s="10" t="e">
        <f>(tbl_MTG_Set[[#This Row],[Play Booster Box Cost]]+v_Item_Shipping_Cost_In)/tbl_MTG_Set[[#This Row],[Play Booster Box Size]]</f>
        <v>#VALUE!</v>
      </c>
      <c r="AQ32" s="10" t="str" cm="1">
        <f t="array" ref="AQ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" s="10"/>
      <c r="AS32" s="10"/>
      <c r="AT32" s="17" t="e">
        <f>tbl_MTG_Set[[#This Row],[Play Booster CardMarket Profit]]/tbl_MTG_Set[[#This Row],[Play Booster Cost]]</f>
        <v>#VALUE!</v>
      </c>
      <c r="AU32" s="10" t="e">
        <f>_xlfn.XLOOKUP(tbl_MTG_Set[[#This Row],[Collector Booster Box Product Id]], tbl_Product[Product Id], tbl_Product[Min Cost])</f>
        <v>#N/A</v>
      </c>
      <c r="AV32" s="10" t="e">
        <f>_xlfn.XLOOKUP(tbl_MTG_Set[[#This Row],[Collector Booster Box Product Id]], tbl_Product[Product Id], tbl_Product[Best Source])</f>
        <v>#N/A</v>
      </c>
      <c r="AW32" s="4" t="e">
        <f>_xlfn.XLOOKUP(tbl_MTG_Set[[#This Row],[Collector Booster Box Product Id]], tbl_Product[Product Id], tbl_Product[Pack Size])</f>
        <v>#N/A</v>
      </c>
      <c r="AX32" s="10" t="e">
        <f>(tbl_MTG_Set[[#This Row],[Collector Booster Box Cost]] + v_Item_Shipping_Cost_In) / tbl_MTG_Set[[#This Row],[Collector Booster Box Size]]</f>
        <v>#N/A</v>
      </c>
      <c r="AY32" s="10" t="str" cm="1">
        <f t="array" ref="AY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" s="10"/>
      <c r="BA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" s="17" t="e">
        <f>tbl_MTG_Set[[#This Row],[Collector Booster CardMarket Profit]]/tbl_MTG_Set[[#This Row],[Collector Booster Cost]]</f>
        <v>#N/A</v>
      </c>
      <c r="BC32" s="10"/>
      <c r="BF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" s="11" t="e">
        <f>tbl_MTG_Set[[#This Row],[Play Singles CardMarket Profit MTG Stocks]]/tbl_MTG_Set[[#This Row],[Play Booster Cost]]</f>
        <v>#VALUE!</v>
      </c>
      <c r="BI32" s="11" t="b">
        <f>tbl_MTG_Set[[#This Row],[Play Singles CardMarket Profit MTG Stocks]]&gt;0</f>
        <v>0</v>
      </c>
      <c r="BM32" s="10" t="e">
        <f>tbl_MTG_Set[[#This Row],[Play Booster Sell Price CardMarket]]*tbl_MTG_Set[[#This Row],[Play Booster Expected Market Value BotBox]]/tbl_MTG_Set[[#This Row],[Play Booster Sealed Market Value BotBox]]</f>
        <v>#VALUE!</v>
      </c>
      <c r="BN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" s="10" t="e">
        <f>tbl_MTG_Set[[#This Row],[Play Singles CardMarket Profit BotBox]]/tbl_MTG_Set[[#This Row],[Play Booster Cost]]</f>
        <v>#VALUE!</v>
      </c>
      <c r="BP32" s="10" t="b">
        <f>tbl_MTG_Set[[#This Row],[Play Singles CardMarket Profit BotBox]]&gt;0</f>
        <v>0</v>
      </c>
      <c r="BQ32" s="10"/>
      <c r="BR32" s="10"/>
      <c r="BS32" s="10"/>
      <c r="BT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" s="19" t="e">
        <f>tbl_MTG_Set[[#This Row],[Collector Singles CardMarket Profit MTG Stocks]]/tbl_MTG_Set[[#This Row],[Collector Booster Cost]]</f>
        <v>#N/A</v>
      </c>
      <c r="BW32" s="10" t="b">
        <f>tbl_MTG_Set[[#This Row],[Collector Singles CardMarket Profit MTG Stocks]]&gt;0</f>
        <v>0</v>
      </c>
      <c r="BX32" s="10"/>
      <c r="BY32" s="10"/>
      <c r="BZ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" s="10" t="e">
        <f>tbl_MTG_Set[[#This Row],[Collector Singles CardMarket Profit BotBox]]/tbl_MTG_Set[[#This Row],[Collector Booster Cost]]</f>
        <v>#N/A</v>
      </c>
      <c r="CC32" s="10" t="b">
        <f>tbl_MTG_Set[[#This Row],[Collector Singles CardMarket Profit BotBox]]&gt;0</f>
        <v>0</v>
      </c>
      <c r="CD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" spans="1:86" hidden="1">
      <c r="A33">
        <v>34</v>
      </c>
      <c r="B33" t="s">
        <v>206</v>
      </c>
      <c r="C33">
        <v>40</v>
      </c>
      <c r="D33" s="3">
        <v>45888</v>
      </c>
      <c r="E33" t="s">
        <v>59</v>
      </c>
      <c r="F33" t="s">
        <v>174</v>
      </c>
      <c r="G33">
        <v>35</v>
      </c>
      <c r="H33">
        <f ca="1">MONTH(NOW())+12*YEAR(NOW())-MONTH(tbl_MTG_Set[[#This Row],[Released On]])-12*YEAR(tbl_MTG_Set[[#This Row],[Released On]])</f>
        <v>7</v>
      </c>
      <c r="I33">
        <f>_xlfn.XLOOKUP(tbl_MTG_Set[[#This Row],[Type Name]], tbl_MTG_Set_Type[Set Type], tbl_MTG_Set_Type[Index], "(Set Type not found)")</f>
        <v>1</v>
      </c>
      <c r="J33">
        <f>_xlfn.XLOOKUP(tbl_MTG_Set[[#This Row],[Type Name]], tbl_MTG_Set_Type[Set Type], tbl_MTG_Set_Type[Buy Window Month Start], "(Set Type not found)")</f>
        <v>18</v>
      </c>
      <c r="K33" s="3">
        <f>tbl_MTG_Set[[#This Row],[Released On]]+tbl_MTG_Set[[#This Row],[Buy Window Month Start]]*365.25/12</f>
        <v>46435.875</v>
      </c>
      <c r="L33">
        <f>_xlfn.XLOOKUP(tbl_MTG_Set[[#This Row],[Type Name]], tbl_MTG_Set_Type[Set Type], tbl_MTG_Set_Type[Buy Window Month End], "(Set Type not found)", 0, 1)</f>
        <v>24</v>
      </c>
      <c r="M33" s="3">
        <f>tbl_MTG_Set[[#This Row],[Released On]]+tbl_MTG_Set[[#This Row],[Buy Window Month End]]*365.25/12</f>
        <v>46618.5</v>
      </c>
      <c r="N33" s="3" t="b">
        <f ca="1">AND(NOW()&gt;=tbl_MTG_Set[[#This Row],[Buy Window Start]], NOW()&lt;=tbl_MTG_Set[[#This Row],[Buy Window End]])</f>
        <v>0</v>
      </c>
      <c r="O33">
        <f>_xlfn.XLOOKUP(tbl_MTG_Set[[#This Row],[Type Name]], tbl_MTG_Set_Type[Set Type], tbl_MTG_Set_Type[Heavy Printing Window Month Start], "(Set Type not found)", 0, 1)</f>
        <v>1</v>
      </c>
      <c r="P33" s="3">
        <f>tbl_MTG_Set[[#This Row],[Released On]]+tbl_MTG_Set[[#This Row],[Heavy Printing Window Month Start]]*365.25/12</f>
        <v>45918.4375</v>
      </c>
      <c r="Q33">
        <f>_xlfn.XLOOKUP(tbl_MTG_Set[[#This Row],[Type Name]], tbl_MTG_Set_Type[Set Type], tbl_MTG_Set_Type[Heavy Printing Window Month End], "(Set Type not found)", 0, 1)</f>
        <v>18</v>
      </c>
      <c r="R33" s="3">
        <f>tbl_MTG_Set[[#This Row],[Released On]]+tbl_MTG_Set[[#This Row],[Heavy Printing Window Month End]]*365.25/12</f>
        <v>46435.875</v>
      </c>
      <c r="S33" s="3" t="b">
        <f ca="1">AND(NOW()&gt;=tbl_MTG_Set[[#This Row],[Heavy Printing Window Start]], NOW()&lt;=tbl_MTG_Set[[#This Row],[Heavy Printing Window End]])</f>
        <v>1</v>
      </c>
      <c r="T33">
        <f>_xlfn.XLOOKUP(tbl_MTG_Set[[#This Row],[Type Name]], tbl_MTG_Set_Type[Set Type], tbl_MTG_Set_Type[Sell Window Month Start], "(Set Type not found)", 0, 1)</f>
        <v>36</v>
      </c>
      <c r="U33" s="3">
        <f>tbl_MTG_Set[[#This Row],[Released On]]+tbl_MTG_Set[[#This Row],[Sell Window Month Start]]*365.25/12</f>
        <v>46983.75</v>
      </c>
      <c r="V33">
        <f>_xlfn.XLOOKUP(tbl_MTG_Set[[#This Row],[Type Name]], tbl_MTG_Set_Type[Set Type], tbl_MTG_Set_Type[Sell Window Month End], "(Set Type not found)", 0, 1)</f>
        <v>48</v>
      </c>
      <c r="W33" s="3">
        <f>tbl_MTG_Set[[#This Row],[Released On]]+tbl_MTG_Set[[#This Row],[Sell Window Month End]]*365.25/12</f>
        <v>47349</v>
      </c>
      <c r="X33" s="3" t="b">
        <f ca="1">AND(NOW()&gt;=tbl_MTG_Set[[#This Row],[Sell Window Start]], NOW()&lt;=tbl_MTG_Set[[#This Row],[Sell Window End]])</f>
        <v>0</v>
      </c>
      <c r="AG33" s="10"/>
      <c r="AH33" s="10"/>
      <c r="AM33" s="10" t="str" cm="1">
        <f t="array" ref="AM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" s="10" t="str" cm="1">
        <f t="array" ref="AN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" s="4" t="e">
        <f>_xlfn.XLOOKUP(tbl_MTG_Set[[#This Row],[Play Booster Box Product Id]], tbl_Product[Product Id], tbl_Product[Pack Size])</f>
        <v>#N/A</v>
      </c>
      <c r="AP33" s="10" t="e">
        <f>(tbl_MTG_Set[[#This Row],[Play Booster Box Cost]]+v_Item_Shipping_Cost_In)/tbl_MTG_Set[[#This Row],[Play Booster Box Size]]</f>
        <v>#VALUE!</v>
      </c>
      <c r="AQ33" s="10" t="str" cm="1">
        <f t="array" ref="AQ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" s="10"/>
      <c r="AS33" s="10"/>
      <c r="AT33" s="17" t="e">
        <f>tbl_MTG_Set[[#This Row],[Play Booster CardMarket Profit]]/tbl_MTG_Set[[#This Row],[Play Booster Cost]]</f>
        <v>#VALUE!</v>
      </c>
      <c r="AU33" s="10" t="e">
        <f>_xlfn.XLOOKUP(tbl_MTG_Set[[#This Row],[Collector Booster Box Product Id]], tbl_Product[Product Id], tbl_Product[Min Cost])</f>
        <v>#N/A</v>
      </c>
      <c r="AV33" s="10" t="e">
        <f>_xlfn.XLOOKUP(tbl_MTG_Set[[#This Row],[Collector Booster Box Product Id]], tbl_Product[Product Id], tbl_Product[Best Source])</f>
        <v>#N/A</v>
      </c>
      <c r="AW33" s="4" t="e">
        <f>_xlfn.XLOOKUP(tbl_MTG_Set[[#This Row],[Collector Booster Box Product Id]], tbl_Product[Product Id], tbl_Product[Pack Size])</f>
        <v>#N/A</v>
      </c>
      <c r="AX33" s="10" t="e">
        <f>(tbl_MTG_Set[[#This Row],[Collector Booster Box Cost]] + v_Item_Shipping_Cost_In) / tbl_MTG_Set[[#This Row],[Collector Booster Box Size]]</f>
        <v>#N/A</v>
      </c>
      <c r="AY33" s="10" t="str" cm="1">
        <f t="array" ref="AY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" s="10"/>
      <c r="BA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" s="17" t="e">
        <f>tbl_MTG_Set[[#This Row],[Collector Booster CardMarket Profit]]/tbl_MTG_Set[[#This Row],[Collector Booster Cost]]</f>
        <v>#N/A</v>
      </c>
      <c r="BC33" s="10"/>
      <c r="BF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" s="11" t="e">
        <f>tbl_MTG_Set[[#This Row],[Play Singles CardMarket Profit MTG Stocks]]/tbl_MTG_Set[[#This Row],[Play Booster Cost]]</f>
        <v>#VALUE!</v>
      </c>
      <c r="BI33" s="11" t="b">
        <f>tbl_MTG_Set[[#This Row],[Play Singles CardMarket Profit MTG Stocks]]&gt;0</f>
        <v>0</v>
      </c>
      <c r="BM33" s="10" t="e">
        <f>tbl_MTG_Set[[#This Row],[Play Booster Sell Price CardMarket]]*tbl_MTG_Set[[#This Row],[Play Booster Expected Market Value BotBox]]/tbl_MTG_Set[[#This Row],[Play Booster Sealed Market Value BotBox]]</f>
        <v>#VALUE!</v>
      </c>
      <c r="BN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" s="10" t="e">
        <f>tbl_MTG_Set[[#This Row],[Play Singles CardMarket Profit BotBox]]/tbl_MTG_Set[[#This Row],[Play Booster Cost]]</f>
        <v>#VALUE!</v>
      </c>
      <c r="BP33" s="10" t="b">
        <f>tbl_MTG_Set[[#This Row],[Play Singles CardMarket Profit BotBox]]&gt;0</f>
        <v>0</v>
      </c>
      <c r="BQ33" s="10"/>
      <c r="BR33" s="10"/>
      <c r="BS33" s="10"/>
      <c r="BT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" s="19" t="e">
        <f>tbl_MTG_Set[[#This Row],[Collector Singles CardMarket Profit MTG Stocks]]/tbl_MTG_Set[[#This Row],[Collector Booster Cost]]</f>
        <v>#N/A</v>
      </c>
      <c r="BW33" s="10" t="b">
        <f>tbl_MTG_Set[[#This Row],[Collector Singles CardMarket Profit MTG Stocks]]&gt;0</f>
        <v>0</v>
      </c>
      <c r="BX33" s="10"/>
      <c r="BY33" s="10"/>
      <c r="BZ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" s="10" t="e">
        <f>tbl_MTG_Set[[#This Row],[Collector Singles CardMarket Profit BotBox]]/tbl_MTG_Set[[#This Row],[Collector Booster Cost]]</f>
        <v>#N/A</v>
      </c>
      <c r="CC33" s="10" t="b">
        <f>tbl_MTG_Set[[#This Row],[Collector Singles CardMarket Profit BotBox]]&gt;0</f>
        <v>0</v>
      </c>
      <c r="CD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" spans="1:86" hidden="1">
      <c r="A34">
        <v>35</v>
      </c>
      <c r="B34" t="s">
        <v>207</v>
      </c>
      <c r="C34">
        <v>54</v>
      </c>
      <c r="D34" s="3">
        <v>45870</v>
      </c>
      <c r="E34" t="s">
        <v>59</v>
      </c>
      <c r="F34" t="s">
        <v>174</v>
      </c>
      <c r="G34">
        <v>36</v>
      </c>
      <c r="H34">
        <f ca="1">MONTH(NOW())+12*YEAR(NOW())-MONTH(tbl_MTG_Set[[#This Row],[Released On]])-12*YEAR(tbl_MTG_Set[[#This Row],[Released On]])</f>
        <v>7</v>
      </c>
      <c r="I34">
        <f>_xlfn.XLOOKUP(tbl_MTG_Set[[#This Row],[Type Name]], tbl_MTG_Set_Type[Set Type], tbl_MTG_Set_Type[Index], "(Set Type not found)")</f>
        <v>1</v>
      </c>
      <c r="J34">
        <f>_xlfn.XLOOKUP(tbl_MTG_Set[[#This Row],[Type Name]], tbl_MTG_Set_Type[Set Type], tbl_MTG_Set_Type[Buy Window Month Start], "(Set Type not found)")</f>
        <v>18</v>
      </c>
      <c r="K34" s="3">
        <f>tbl_MTG_Set[[#This Row],[Released On]]+tbl_MTG_Set[[#This Row],[Buy Window Month Start]]*365.25/12</f>
        <v>46417.875</v>
      </c>
      <c r="L34">
        <f>_xlfn.XLOOKUP(tbl_MTG_Set[[#This Row],[Type Name]], tbl_MTG_Set_Type[Set Type], tbl_MTG_Set_Type[Buy Window Month End], "(Set Type not found)", 0, 1)</f>
        <v>24</v>
      </c>
      <c r="M34" s="3">
        <f>tbl_MTG_Set[[#This Row],[Released On]]+tbl_MTG_Set[[#This Row],[Buy Window Month End]]*365.25/12</f>
        <v>46600.5</v>
      </c>
      <c r="N34" s="3" t="b">
        <f ca="1">AND(NOW()&gt;=tbl_MTG_Set[[#This Row],[Buy Window Start]], NOW()&lt;=tbl_MTG_Set[[#This Row],[Buy Window End]])</f>
        <v>0</v>
      </c>
      <c r="O34">
        <f>_xlfn.XLOOKUP(tbl_MTG_Set[[#This Row],[Type Name]], tbl_MTG_Set_Type[Set Type], tbl_MTG_Set_Type[Heavy Printing Window Month Start], "(Set Type not found)", 0, 1)</f>
        <v>1</v>
      </c>
      <c r="P34" s="3">
        <f>tbl_MTG_Set[[#This Row],[Released On]]+tbl_MTG_Set[[#This Row],[Heavy Printing Window Month Start]]*365.25/12</f>
        <v>45900.4375</v>
      </c>
      <c r="Q34">
        <f>_xlfn.XLOOKUP(tbl_MTG_Set[[#This Row],[Type Name]], tbl_MTG_Set_Type[Set Type], tbl_MTG_Set_Type[Heavy Printing Window Month End], "(Set Type not found)", 0, 1)</f>
        <v>18</v>
      </c>
      <c r="R34" s="3">
        <f>tbl_MTG_Set[[#This Row],[Released On]]+tbl_MTG_Set[[#This Row],[Heavy Printing Window Month End]]*365.25/12</f>
        <v>46417.875</v>
      </c>
      <c r="S34" s="3" t="b">
        <f ca="1">AND(NOW()&gt;=tbl_MTG_Set[[#This Row],[Heavy Printing Window Start]], NOW()&lt;=tbl_MTG_Set[[#This Row],[Heavy Printing Window End]])</f>
        <v>1</v>
      </c>
      <c r="T34">
        <f>_xlfn.XLOOKUP(tbl_MTG_Set[[#This Row],[Type Name]], tbl_MTG_Set_Type[Set Type], tbl_MTG_Set_Type[Sell Window Month Start], "(Set Type not found)", 0, 1)</f>
        <v>36</v>
      </c>
      <c r="U34" s="3">
        <f>tbl_MTG_Set[[#This Row],[Released On]]+tbl_MTG_Set[[#This Row],[Sell Window Month Start]]*365.25/12</f>
        <v>46965.75</v>
      </c>
      <c r="V34">
        <f>_xlfn.XLOOKUP(tbl_MTG_Set[[#This Row],[Type Name]], tbl_MTG_Set_Type[Set Type], tbl_MTG_Set_Type[Sell Window Month End], "(Set Type not found)", 0, 1)</f>
        <v>48</v>
      </c>
      <c r="W34" s="3">
        <f>tbl_MTG_Set[[#This Row],[Released On]]+tbl_MTG_Set[[#This Row],[Sell Window Month End]]*365.25/12</f>
        <v>47331</v>
      </c>
      <c r="X34" s="3" t="b">
        <f ca="1">AND(NOW()&gt;=tbl_MTG_Set[[#This Row],[Sell Window Start]], NOW()&lt;=tbl_MTG_Set[[#This Row],[Sell Window End]])</f>
        <v>0</v>
      </c>
      <c r="AG34" s="10"/>
      <c r="AH34" s="10"/>
      <c r="AM34" s="10" t="str" cm="1">
        <f t="array" ref="AM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" s="10" t="str" cm="1">
        <f t="array" ref="AN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" s="4" t="e">
        <f>_xlfn.XLOOKUP(tbl_MTG_Set[[#This Row],[Play Booster Box Product Id]], tbl_Product[Product Id], tbl_Product[Pack Size])</f>
        <v>#N/A</v>
      </c>
      <c r="AP34" s="10" t="e">
        <f>(tbl_MTG_Set[[#This Row],[Play Booster Box Cost]]+v_Item_Shipping_Cost_In)/tbl_MTG_Set[[#This Row],[Play Booster Box Size]]</f>
        <v>#VALUE!</v>
      </c>
      <c r="AQ34" s="10" t="str" cm="1">
        <f t="array" ref="AQ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" s="10"/>
      <c r="AS34" s="10"/>
      <c r="AT34" s="17" t="e">
        <f>tbl_MTG_Set[[#This Row],[Play Booster CardMarket Profit]]/tbl_MTG_Set[[#This Row],[Play Booster Cost]]</f>
        <v>#VALUE!</v>
      </c>
      <c r="AU34" s="10" t="e">
        <f>_xlfn.XLOOKUP(tbl_MTG_Set[[#This Row],[Collector Booster Box Product Id]], tbl_Product[Product Id], tbl_Product[Min Cost])</f>
        <v>#N/A</v>
      </c>
      <c r="AV34" s="10" t="e">
        <f>_xlfn.XLOOKUP(tbl_MTG_Set[[#This Row],[Collector Booster Box Product Id]], tbl_Product[Product Id], tbl_Product[Best Source])</f>
        <v>#N/A</v>
      </c>
      <c r="AW34" s="4" t="e">
        <f>_xlfn.XLOOKUP(tbl_MTG_Set[[#This Row],[Collector Booster Box Product Id]], tbl_Product[Product Id], tbl_Product[Pack Size])</f>
        <v>#N/A</v>
      </c>
      <c r="AX34" s="10" t="e">
        <f>(tbl_MTG_Set[[#This Row],[Collector Booster Box Cost]] + v_Item_Shipping_Cost_In) / tbl_MTG_Set[[#This Row],[Collector Booster Box Size]]</f>
        <v>#N/A</v>
      </c>
      <c r="AY34" s="10" t="str" cm="1">
        <f t="array" ref="AY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" s="10"/>
      <c r="BA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" s="17" t="e">
        <f>tbl_MTG_Set[[#This Row],[Collector Booster CardMarket Profit]]/tbl_MTG_Set[[#This Row],[Collector Booster Cost]]</f>
        <v>#N/A</v>
      </c>
      <c r="BC34" s="10"/>
      <c r="BF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" s="11" t="e">
        <f>tbl_MTG_Set[[#This Row],[Play Singles CardMarket Profit MTG Stocks]]/tbl_MTG_Set[[#This Row],[Play Booster Cost]]</f>
        <v>#VALUE!</v>
      </c>
      <c r="BI34" s="11" t="b">
        <f>tbl_MTG_Set[[#This Row],[Play Singles CardMarket Profit MTG Stocks]]&gt;0</f>
        <v>0</v>
      </c>
      <c r="BM34" s="10" t="e">
        <f>tbl_MTG_Set[[#This Row],[Play Booster Sell Price CardMarket]]*tbl_MTG_Set[[#This Row],[Play Booster Expected Market Value BotBox]]/tbl_MTG_Set[[#This Row],[Play Booster Sealed Market Value BotBox]]</f>
        <v>#VALUE!</v>
      </c>
      <c r="BN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" s="10" t="e">
        <f>tbl_MTG_Set[[#This Row],[Play Singles CardMarket Profit BotBox]]/tbl_MTG_Set[[#This Row],[Play Booster Cost]]</f>
        <v>#VALUE!</v>
      </c>
      <c r="BP34" s="10" t="b">
        <f>tbl_MTG_Set[[#This Row],[Play Singles CardMarket Profit BotBox]]&gt;0</f>
        <v>0</v>
      </c>
      <c r="BQ34" s="10"/>
      <c r="BR34" s="10"/>
      <c r="BS34" s="10"/>
      <c r="BT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" s="19" t="e">
        <f>tbl_MTG_Set[[#This Row],[Collector Singles CardMarket Profit MTG Stocks]]/tbl_MTG_Set[[#This Row],[Collector Booster Cost]]</f>
        <v>#N/A</v>
      </c>
      <c r="BW34" s="10" t="b">
        <f>tbl_MTG_Set[[#This Row],[Collector Singles CardMarket Profit MTG Stocks]]&gt;0</f>
        <v>0</v>
      </c>
      <c r="BX34" s="10"/>
      <c r="BY34" s="10"/>
      <c r="BZ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" s="10" t="e">
        <f>tbl_MTG_Set[[#This Row],[Collector Singles CardMarket Profit BotBox]]/tbl_MTG_Set[[#This Row],[Collector Booster Cost]]</f>
        <v>#N/A</v>
      </c>
      <c r="CC34" s="10" t="b">
        <f>tbl_MTG_Set[[#This Row],[Collector Singles CardMarket Profit BotBox]]&gt;0</f>
        <v>0</v>
      </c>
      <c r="CD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" spans="1:86" hidden="1">
      <c r="A35">
        <v>36</v>
      </c>
      <c r="B35" t="s">
        <v>208</v>
      </c>
      <c r="C35">
        <v>191</v>
      </c>
      <c r="D35" s="3">
        <v>45870</v>
      </c>
      <c r="E35" t="s">
        <v>80</v>
      </c>
      <c r="F35" t="s">
        <v>174</v>
      </c>
      <c r="G35">
        <v>37</v>
      </c>
      <c r="H35">
        <f ca="1">MONTH(NOW())+12*YEAR(NOW())-MONTH(tbl_MTG_Set[[#This Row],[Released On]])-12*YEAR(tbl_MTG_Set[[#This Row],[Released On]])</f>
        <v>7</v>
      </c>
      <c r="I35">
        <f>_xlfn.XLOOKUP(tbl_MTG_Set[[#This Row],[Type Name]], tbl_MTG_Set_Type[Set Type], tbl_MTG_Set_Type[Index], "(Set Type not found)")</f>
        <v>5</v>
      </c>
      <c r="J35">
        <f>_xlfn.XLOOKUP(tbl_MTG_Set[[#This Row],[Type Name]], tbl_MTG_Set_Type[Set Type], tbl_MTG_Set_Type[Buy Window Month Start], "(Set Type not found)")</f>
        <v>3</v>
      </c>
      <c r="K35" s="3">
        <f>tbl_MTG_Set[[#This Row],[Released On]]+tbl_MTG_Set[[#This Row],[Buy Window Month Start]]*365.25/12</f>
        <v>45961.3125</v>
      </c>
      <c r="L35">
        <f>_xlfn.XLOOKUP(tbl_MTG_Set[[#This Row],[Type Name]], tbl_MTG_Set_Type[Set Type], tbl_MTG_Set_Type[Buy Window Month End], "(Set Type not found)", 0, 1)</f>
        <v>12</v>
      </c>
      <c r="M35" s="3">
        <f>tbl_MTG_Set[[#This Row],[Released On]]+tbl_MTG_Set[[#This Row],[Buy Window Month End]]*365.25/12</f>
        <v>46235.25</v>
      </c>
      <c r="N35" s="3" t="b">
        <f ca="1">AND(NOW()&gt;=tbl_MTG_Set[[#This Row],[Buy Window Start]], NOW()&lt;=tbl_MTG_Set[[#This Row],[Buy Window End]])</f>
        <v>1</v>
      </c>
      <c r="O35">
        <f>_xlfn.XLOOKUP(tbl_MTG_Set[[#This Row],[Type Name]], tbl_MTG_Set_Type[Set Type], tbl_MTG_Set_Type[Heavy Printing Window Month Start], "(Set Type not found)", 0, 1)</f>
        <v>12</v>
      </c>
      <c r="P35" s="3">
        <f>tbl_MTG_Set[[#This Row],[Released On]]+tbl_MTG_Set[[#This Row],[Heavy Printing Window Month Start]]*365.25/12</f>
        <v>46235.25</v>
      </c>
      <c r="Q35">
        <f>_xlfn.XLOOKUP(tbl_MTG_Set[[#This Row],[Type Name]], tbl_MTG_Set_Type[Set Type], tbl_MTG_Set_Type[Heavy Printing Window Month End], "(Set Type not found)", 0, 1)</f>
        <v>18</v>
      </c>
      <c r="R35" s="3">
        <f>tbl_MTG_Set[[#This Row],[Released On]]+tbl_MTG_Set[[#This Row],[Heavy Printing Window Month End]]*365.25/12</f>
        <v>46417.875</v>
      </c>
      <c r="S35" s="3" t="b">
        <f ca="1">AND(NOW()&gt;=tbl_MTG_Set[[#This Row],[Heavy Printing Window Start]], NOW()&lt;=tbl_MTG_Set[[#This Row],[Heavy Printing Window End]])</f>
        <v>0</v>
      </c>
      <c r="T35">
        <f>_xlfn.XLOOKUP(tbl_MTG_Set[[#This Row],[Type Name]], tbl_MTG_Set_Type[Set Type], tbl_MTG_Set_Type[Sell Window Month Start], "(Set Type not found)", 0, 1)</f>
        <v>24</v>
      </c>
      <c r="U35" s="3">
        <f>tbl_MTG_Set[[#This Row],[Released On]]+tbl_MTG_Set[[#This Row],[Sell Window Month Start]]*365.25/12</f>
        <v>46600.5</v>
      </c>
      <c r="V35">
        <f>_xlfn.XLOOKUP(tbl_MTG_Set[[#This Row],[Type Name]], tbl_MTG_Set_Type[Set Type], tbl_MTG_Set_Type[Sell Window Month End], "(Set Type not found)", 0, 1)</f>
        <v>24</v>
      </c>
      <c r="W35" s="3">
        <f>tbl_MTG_Set[[#This Row],[Released On]]+tbl_MTG_Set[[#This Row],[Sell Window Month End]]*365.25/12</f>
        <v>46600.5</v>
      </c>
      <c r="X35" s="3" t="b">
        <f ca="1">AND(NOW()&gt;=tbl_MTG_Set[[#This Row],[Sell Window Start]], NOW()&lt;=tbl_MTG_Set[[#This Row],[Sell Window End]])</f>
        <v>0</v>
      </c>
      <c r="AG35" s="10"/>
      <c r="AH35" s="10"/>
      <c r="AM35" s="10" t="str" cm="1">
        <f t="array" ref="AM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" s="10" t="str" cm="1">
        <f t="array" ref="AN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" s="4" t="e">
        <f>_xlfn.XLOOKUP(tbl_MTG_Set[[#This Row],[Play Booster Box Product Id]], tbl_Product[Product Id], tbl_Product[Pack Size])</f>
        <v>#N/A</v>
      </c>
      <c r="AP35" s="10" t="e">
        <f>(tbl_MTG_Set[[#This Row],[Play Booster Box Cost]]+v_Item_Shipping_Cost_In)/tbl_MTG_Set[[#This Row],[Play Booster Box Size]]</f>
        <v>#VALUE!</v>
      </c>
      <c r="AQ35" s="10" t="str" cm="1">
        <f t="array" ref="AQ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" s="10"/>
      <c r="AS35" s="10"/>
      <c r="AT35" s="17" t="e">
        <f>tbl_MTG_Set[[#This Row],[Play Booster CardMarket Profit]]/tbl_MTG_Set[[#This Row],[Play Booster Cost]]</f>
        <v>#VALUE!</v>
      </c>
      <c r="AU35" s="10" t="e">
        <f>_xlfn.XLOOKUP(tbl_MTG_Set[[#This Row],[Collector Booster Box Product Id]], tbl_Product[Product Id], tbl_Product[Min Cost])</f>
        <v>#N/A</v>
      </c>
      <c r="AV35" s="10" t="e">
        <f>_xlfn.XLOOKUP(tbl_MTG_Set[[#This Row],[Collector Booster Box Product Id]], tbl_Product[Product Id], tbl_Product[Best Source])</f>
        <v>#N/A</v>
      </c>
      <c r="AW35" s="4" t="e">
        <f>_xlfn.XLOOKUP(tbl_MTG_Set[[#This Row],[Collector Booster Box Product Id]], tbl_Product[Product Id], tbl_Product[Pack Size])</f>
        <v>#N/A</v>
      </c>
      <c r="AX35" s="10" t="e">
        <f>(tbl_MTG_Set[[#This Row],[Collector Booster Box Cost]] + v_Item_Shipping_Cost_In) / tbl_MTG_Set[[#This Row],[Collector Booster Box Size]]</f>
        <v>#N/A</v>
      </c>
      <c r="AY35" s="10" t="str" cm="1">
        <f t="array" ref="AY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" s="10"/>
      <c r="BA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" s="17" t="e">
        <f>tbl_MTG_Set[[#This Row],[Collector Booster CardMarket Profit]]/tbl_MTG_Set[[#This Row],[Collector Booster Cost]]</f>
        <v>#N/A</v>
      </c>
      <c r="BC35" s="10"/>
      <c r="BF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" s="11" t="e">
        <f>tbl_MTG_Set[[#This Row],[Play Singles CardMarket Profit MTG Stocks]]/tbl_MTG_Set[[#This Row],[Play Booster Cost]]</f>
        <v>#VALUE!</v>
      </c>
      <c r="BI35" s="11" t="b">
        <f>tbl_MTG_Set[[#This Row],[Play Singles CardMarket Profit MTG Stocks]]&gt;0</f>
        <v>0</v>
      </c>
      <c r="BM35" s="10" t="e">
        <f>tbl_MTG_Set[[#This Row],[Play Booster Sell Price CardMarket]]*tbl_MTG_Set[[#This Row],[Play Booster Expected Market Value BotBox]]/tbl_MTG_Set[[#This Row],[Play Booster Sealed Market Value BotBox]]</f>
        <v>#VALUE!</v>
      </c>
      <c r="BN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" s="10" t="e">
        <f>tbl_MTG_Set[[#This Row],[Play Singles CardMarket Profit BotBox]]/tbl_MTG_Set[[#This Row],[Play Booster Cost]]</f>
        <v>#VALUE!</v>
      </c>
      <c r="BP35" s="10" t="b">
        <f>tbl_MTG_Set[[#This Row],[Play Singles CardMarket Profit BotBox]]&gt;0</f>
        <v>0</v>
      </c>
      <c r="BQ35" s="10"/>
      <c r="BR35" s="10"/>
      <c r="BS35" s="10"/>
      <c r="BT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" s="19" t="e">
        <f>tbl_MTG_Set[[#This Row],[Collector Singles CardMarket Profit MTG Stocks]]/tbl_MTG_Set[[#This Row],[Collector Booster Cost]]</f>
        <v>#N/A</v>
      </c>
      <c r="BW35" s="10" t="b">
        <f>tbl_MTG_Set[[#This Row],[Collector Singles CardMarket Profit MTG Stocks]]&gt;0</f>
        <v>0</v>
      </c>
      <c r="BX35" s="10"/>
      <c r="BY35" s="10"/>
      <c r="BZ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" s="10" t="e">
        <f>tbl_MTG_Set[[#This Row],[Collector Singles CardMarket Profit BotBox]]/tbl_MTG_Set[[#This Row],[Collector Booster Cost]]</f>
        <v>#N/A</v>
      </c>
      <c r="CC35" s="10" t="b">
        <f>tbl_MTG_Set[[#This Row],[Collector Singles CardMarket Profit BotBox]]&gt;0</f>
        <v>0</v>
      </c>
      <c r="CD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" spans="1:86" hidden="1">
      <c r="A36">
        <v>37</v>
      </c>
      <c r="B36" t="s">
        <v>209</v>
      </c>
      <c r="C36">
        <v>16</v>
      </c>
      <c r="D36" s="3">
        <v>45870</v>
      </c>
      <c r="E36" t="s">
        <v>80</v>
      </c>
      <c r="F36" t="s">
        <v>174</v>
      </c>
      <c r="G36">
        <v>38</v>
      </c>
      <c r="H36">
        <f ca="1">MONTH(NOW())+12*YEAR(NOW())-MONTH(tbl_MTG_Set[[#This Row],[Released On]])-12*YEAR(tbl_MTG_Set[[#This Row],[Released On]])</f>
        <v>7</v>
      </c>
      <c r="I36">
        <f>_xlfn.XLOOKUP(tbl_MTG_Set[[#This Row],[Type Name]], tbl_MTG_Set_Type[Set Type], tbl_MTG_Set_Type[Index], "(Set Type not found)")</f>
        <v>5</v>
      </c>
      <c r="J36">
        <f>_xlfn.XLOOKUP(tbl_MTG_Set[[#This Row],[Type Name]], tbl_MTG_Set_Type[Set Type], tbl_MTG_Set_Type[Buy Window Month Start], "(Set Type not found)")</f>
        <v>3</v>
      </c>
      <c r="K36" s="3">
        <f>tbl_MTG_Set[[#This Row],[Released On]]+tbl_MTG_Set[[#This Row],[Buy Window Month Start]]*365.25/12</f>
        <v>45961.3125</v>
      </c>
      <c r="L36">
        <f>_xlfn.XLOOKUP(tbl_MTG_Set[[#This Row],[Type Name]], tbl_MTG_Set_Type[Set Type], tbl_MTG_Set_Type[Buy Window Month End], "(Set Type not found)", 0, 1)</f>
        <v>12</v>
      </c>
      <c r="M36" s="3">
        <f>tbl_MTG_Set[[#This Row],[Released On]]+tbl_MTG_Set[[#This Row],[Buy Window Month End]]*365.25/12</f>
        <v>46235.25</v>
      </c>
      <c r="N36" s="3" t="b">
        <f ca="1">AND(NOW()&gt;=tbl_MTG_Set[[#This Row],[Buy Window Start]], NOW()&lt;=tbl_MTG_Set[[#This Row],[Buy Window End]])</f>
        <v>1</v>
      </c>
      <c r="O36">
        <f>_xlfn.XLOOKUP(tbl_MTG_Set[[#This Row],[Type Name]], tbl_MTG_Set_Type[Set Type], tbl_MTG_Set_Type[Heavy Printing Window Month Start], "(Set Type not found)", 0, 1)</f>
        <v>12</v>
      </c>
      <c r="P36" s="3">
        <f>tbl_MTG_Set[[#This Row],[Released On]]+tbl_MTG_Set[[#This Row],[Heavy Printing Window Month Start]]*365.25/12</f>
        <v>46235.25</v>
      </c>
      <c r="Q36">
        <f>_xlfn.XLOOKUP(tbl_MTG_Set[[#This Row],[Type Name]], tbl_MTG_Set_Type[Set Type], tbl_MTG_Set_Type[Heavy Printing Window Month End], "(Set Type not found)", 0, 1)</f>
        <v>18</v>
      </c>
      <c r="R36" s="3">
        <f>tbl_MTG_Set[[#This Row],[Released On]]+tbl_MTG_Set[[#This Row],[Heavy Printing Window Month End]]*365.25/12</f>
        <v>46417.875</v>
      </c>
      <c r="S36" s="3" t="b">
        <f ca="1">AND(NOW()&gt;=tbl_MTG_Set[[#This Row],[Heavy Printing Window Start]], NOW()&lt;=tbl_MTG_Set[[#This Row],[Heavy Printing Window End]])</f>
        <v>0</v>
      </c>
      <c r="T36">
        <f>_xlfn.XLOOKUP(tbl_MTG_Set[[#This Row],[Type Name]], tbl_MTG_Set_Type[Set Type], tbl_MTG_Set_Type[Sell Window Month Start], "(Set Type not found)", 0, 1)</f>
        <v>24</v>
      </c>
      <c r="U36" s="3">
        <f>tbl_MTG_Set[[#This Row],[Released On]]+tbl_MTG_Set[[#This Row],[Sell Window Month Start]]*365.25/12</f>
        <v>46600.5</v>
      </c>
      <c r="V36">
        <f>_xlfn.XLOOKUP(tbl_MTG_Set[[#This Row],[Type Name]], tbl_MTG_Set_Type[Set Type], tbl_MTG_Set_Type[Sell Window Month End], "(Set Type not found)", 0, 1)</f>
        <v>24</v>
      </c>
      <c r="W36" s="3">
        <f>tbl_MTG_Set[[#This Row],[Released On]]+tbl_MTG_Set[[#This Row],[Sell Window Month End]]*365.25/12</f>
        <v>46600.5</v>
      </c>
      <c r="X36" s="3" t="b">
        <f ca="1">AND(NOW()&gt;=tbl_MTG_Set[[#This Row],[Sell Window Start]], NOW()&lt;=tbl_MTG_Set[[#This Row],[Sell Window End]])</f>
        <v>0</v>
      </c>
      <c r="AG36" s="10"/>
      <c r="AH36" s="10"/>
      <c r="AM36" s="10" t="str" cm="1">
        <f t="array" ref="AM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" s="10" t="str" cm="1">
        <f t="array" ref="AN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" s="4" t="e">
        <f>_xlfn.XLOOKUP(tbl_MTG_Set[[#This Row],[Play Booster Box Product Id]], tbl_Product[Product Id], tbl_Product[Pack Size])</f>
        <v>#N/A</v>
      </c>
      <c r="AP36" s="10" t="e">
        <f>(tbl_MTG_Set[[#This Row],[Play Booster Box Cost]]+v_Item_Shipping_Cost_In)/tbl_MTG_Set[[#This Row],[Play Booster Box Size]]</f>
        <v>#VALUE!</v>
      </c>
      <c r="AQ36" s="10" t="str" cm="1">
        <f t="array" ref="AQ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" s="10"/>
      <c r="AS36" s="10"/>
      <c r="AT36" s="17" t="e">
        <f>tbl_MTG_Set[[#This Row],[Play Booster CardMarket Profit]]/tbl_MTG_Set[[#This Row],[Play Booster Cost]]</f>
        <v>#VALUE!</v>
      </c>
      <c r="AU36" s="10" t="e">
        <f>_xlfn.XLOOKUP(tbl_MTG_Set[[#This Row],[Collector Booster Box Product Id]], tbl_Product[Product Id], tbl_Product[Min Cost])</f>
        <v>#N/A</v>
      </c>
      <c r="AV36" s="10" t="e">
        <f>_xlfn.XLOOKUP(tbl_MTG_Set[[#This Row],[Collector Booster Box Product Id]], tbl_Product[Product Id], tbl_Product[Best Source])</f>
        <v>#N/A</v>
      </c>
      <c r="AW36" s="4" t="e">
        <f>_xlfn.XLOOKUP(tbl_MTG_Set[[#This Row],[Collector Booster Box Product Id]], tbl_Product[Product Id], tbl_Product[Pack Size])</f>
        <v>#N/A</v>
      </c>
      <c r="AX36" s="10" t="e">
        <f>(tbl_MTG_Set[[#This Row],[Collector Booster Box Cost]] + v_Item_Shipping_Cost_In) / tbl_MTG_Set[[#This Row],[Collector Booster Box Size]]</f>
        <v>#N/A</v>
      </c>
      <c r="AY36" s="10" t="str" cm="1">
        <f t="array" ref="AY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" s="10"/>
      <c r="BA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" s="17" t="e">
        <f>tbl_MTG_Set[[#This Row],[Collector Booster CardMarket Profit]]/tbl_MTG_Set[[#This Row],[Collector Booster Cost]]</f>
        <v>#N/A</v>
      </c>
      <c r="BC36" s="10"/>
      <c r="BF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" s="11" t="e">
        <f>tbl_MTG_Set[[#This Row],[Play Singles CardMarket Profit MTG Stocks]]/tbl_MTG_Set[[#This Row],[Play Booster Cost]]</f>
        <v>#VALUE!</v>
      </c>
      <c r="BI36" s="11" t="b">
        <f>tbl_MTG_Set[[#This Row],[Play Singles CardMarket Profit MTG Stocks]]&gt;0</f>
        <v>0</v>
      </c>
      <c r="BM36" s="10" t="e">
        <f>tbl_MTG_Set[[#This Row],[Play Booster Sell Price CardMarket]]*tbl_MTG_Set[[#This Row],[Play Booster Expected Market Value BotBox]]/tbl_MTG_Set[[#This Row],[Play Booster Sealed Market Value BotBox]]</f>
        <v>#VALUE!</v>
      </c>
      <c r="BN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" s="10" t="e">
        <f>tbl_MTG_Set[[#This Row],[Play Singles CardMarket Profit BotBox]]/tbl_MTG_Set[[#This Row],[Play Booster Cost]]</f>
        <v>#VALUE!</v>
      </c>
      <c r="BP36" s="10" t="b">
        <f>tbl_MTG_Set[[#This Row],[Play Singles CardMarket Profit BotBox]]&gt;0</f>
        <v>0</v>
      </c>
      <c r="BQ36" s="10"/>
      <c r="BR36" s="10"/>
      <c r="BS36" s="10"/>
      <c r="BT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" s="19" t="e">
        <f>tbl_MTG_Set[[#This Row],[Collector Singles CardMarket Profit MTG Stocks]]/tbl_MTG_Set[[#This Row],[Collector Booster Cost]]</f>
        <v>#N/A</v>
      </c>
      <c r="BW36" s="10" t="b">
        <f>tbl_MTG_Set[[#This Row],[Collector Singles CardMarket Profit MTG Stocks]]&gt;0</f>
        <v>0</v>
      </c>
      <c r="BX36" s="10"/>
      <c r="BY36" s="10"/>
      <c r="BZ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" s="10" t="e">
        <f>tbl_MTG_Set[[#This Row],[Collector Singles CardMarket Profit BotBox]]/tbl_MTG_Set[[#This Row],[Collector Booster Cost]]</f>
        <v>#N/A</v>
      </c>
      <c r="CC36" s="10" t="b">
        <f>tbl_MTG_Set[[#This Row],[Collector Singles CardMarket Profit BotBox]]&gt;0</f>
        <v>0</v>
      </c>
      <c r="CD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" spans="1:86" hidden="1">
      <c r="A37">
        <v>39</v>
      </c>
      <c r="B37" t="s">
        <v>210</v>
      </c>
      <c r="C37">
        <v>66</v>
      </c>
      <c r="D37" s="3">
        <v>45821</v>
      </c>
      <c r="E37" t="s">
        <v>86</v>
      </c>
      <c r="F37" t="s">
        <v>174</v>
      </c>
      <c r="G37">
        <v>40</v>
      </c>
      <c r="H37">
        <f ca="1">MONTH(NOW())+12*YEAR(NOW())-MONTH(tbl_MTG_Set[[#This Row],[Released On]])-12*YEAR(tbl_MTG_Set[[#This Row],[Released On]])</f>
        <v>9</v>
      </c>
      <c r="I37">
        <f>_xlfn.XLOOKUP(tbl_MTG_Set[[#This Row],[Type Name]], tbl_MTG_Set_Type[Set Type], tbl_MTG_Set_Type[Index], "(Set Type not found)")</f>
        <v>6</v>
      </c>
      <c r="J37">
        <f>_xlfn.XLOOKUP(tbl_MTG_Set[[#This Row],[Type Name]], tbl_MTG_Set_Type[Set Type], tbl_MTG_Set_Type[Buy Window Month Start], "(Set Type not found)")</f>
        <v>3</v>
      </c>
      <c r="K37" s="3">
        <f>tbl_MTG_Set[[#This Row],[Released On]]+tbl_MTG_Set[[#This Row],[Buy Window Month Start]]*365.25/12</f>
        <v>45912.3125</v>
      </c>
      <c r="L37">
        <f>_xlfn.XLOOKUP(tbl_MTG_Set[[#This Row],[Type Name]], tbl_MTG_Set_Type[Set Type], tbl_MTG_Set_Type[Buy Window Month End], "(Set Type not found)", 0, 1)</f>
        <v>6</v>
      </c>
      <c r="M37" s="3">
        <f>tbl_MTG_Set[[#This Row],[Released On]]+tbl_MTG_Set[[#This Row],[Buy Window Month End]]*365.25/12</f>
        <v>46003.625</v>
      </c>
      <c r="N37" s="3" t="b">
        <f ca="1">AND(NOW()&gt;=tbl_MTG_Set[[#This Row],[Buy Window Start]], NOW()&lt;=tbl_MTG_Set[[#This Row],[Buy Window End]])</f>
        <v>0</v>
      </c>
      <c r="O37">
        <f>_xlfn.XLOOKUP(tbl_MTG_Set[[#This Row],[Type Name]], tbl_MTG_Set_Type[Set Type], tbl_MTG_Set_Type[Heavy Printing Window Month Start], "(Set Type not found)", 0, 1)</f>
        <v>0</v>
      </c>
      <c r="P37" s="3">
        <f>tbl_MTG_Set[[#This Row],[Released On]]+tbl_MTG_Set[[#This Row],[Heavy Printing Window Month Start]]*365.25/12</f>
        <v>45821</v>
      </c>
      <c r="Q37">
        <f>_xlfn.XLOOKUP(tbl_MTG_Set[[#This Row],[Type Name]], tbl_MTG_Set_Type[Set Type], tbl_MTG_Set_Type[Heavy Printing Window Month End], "(Set Type not found)", 0, 1)</f>
        <v>0</v>
      </c>
      <c r="R37" s="3">
        <f>tbl_MTG_Set[[#This Row],[Released On]]+tbl_MTG_Set[[#This Row],[Heavy Printing Window Month End]]*365.25/12</f>
        <v>45821</v>
      </c>
      <c r="S37" s="3" t="b">
        <f ca="1">AND(NOW()&gt;=tbl_MTG_Set[[#This Row],[Heavy Printing Window Start]], NOW()&lt;=tbl_MTG_Set[[#This Row],[Heavy Printing Window End]])</f>
        <v>0</v>
      </c>
      <c r="T37">
        <f>_xlfn.XLOOKUP(tbl_MTG_Set[[#This Row],[Type Name]], tbl_MTG_Set_Type[Set Type], tbl_MTG_Set_Type[Sell Window Month Start], "(Set Type not found)", 0, 1)</f>
        <v>0</v>
      </c>
      <c r="U37" s="3">
        <f>tbl_MTG_Set[[#This Row],[Released On]]+tbl_MTG_Set[[#This Row],[Sell Window Month Start]]*365.25/12</f>
        <v>45821</v>
      </c>
      <c r="V37">
        <f>_xlfn.XLOOKUP(tbl_MTG_Set[[#This Row],[Type Name]], tbl_MTG_Set_Type[Set Type], tbl_MTG_Set_Type[Sell Window Month End], "(Set Type not found)", 0, 1)</f>
        <v>0</v>
      </c>
      <c r="W37" s="3">
        <f>tbl_MTG_Set[[#This Row],[Released On]]+tbl_MTG_Set[[#This Row],[Sell Window Month End]]*365.25/12</f>
        <v>45821</v>
      </c>
      <c r="X37" s="3" t="b">
        <f ca="1">AND(NOW()&gt;=tbl_MTG_Set[[#This Row],[Sell Window Start]], NOW()&lt;=tbl_MTG_Set[[#This Row],[Sell Window End]])</f>
        <v>0</v>
      </c>
      <c r="AG37" s="10"/>
      <c r="AH37" s="10"/>
      <c r="AM37" s="10" t="str" cm="1">
        <f t="array" ref="AM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" s="10" t="str" cm="1">
        <f t="array" ref="AN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" s="4" t="e">
        <f>_xlfn.XLOOKUP(tbl_MTG_Set[[#This Row],[Play Booster Box Product Id]], tbl_Product[Product Id], tbl_Product[Pack Size])</f>
        <v>#N/A</v>
      </c>
      <c r="AP37" s="10" t="e">
        <f>(tbl_MTG_Set[[#This Row],[Play Booster Box Cost]]+v_Item_Shipping_Cost_In)/tbl_MTG_Set[[#This Row],[Play Booster Box Size]]</f>
        <v>#VALUE!</v>
      </c>
      <c r="AQ37" s="10" t="str" cm="1">
        <f t="array" ref="AQ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" s="10"/>
      <c r="AS37" s="10"/>
      <c r="AT37" s="17" t="e">
        <f>tbl_MTG_Set[[#This Row],[Play Booster CardMarket Profit]]/tbl_MTG_Set[[#This Row],[Play Booster Cost]]</f>
        <v>#VALUE!</v>
      </c>
      <c r="AU37" s="10" t="e">
        <f>_xlfn.XLOOKUP(tbl_MTG_Set[[#This Row],[Collector Booster Box Product Id]], tbl_Product[Product Id], tbl_Product[Min Cost])</f>
        <v>#N/A</v>
      </c>
      <c r="AV37" s="10" t="e">
        <f>_xlfn.XLOOKUP(tbl_MTG_Set[[#This Row],[Collector Booster Box Product Id]], tbl_Product[Product Id], tbl_Product[Best Source])</f>
        <v>#N/A</v>
      </c>
      <c r="AW37" s="4" t="e">
        <f>_xlfn.XLOOKUP(tbl_MTG_Set[[#This Row],[Collector Booster Box Product Id]], tbl_Product[Product Id], tbl_Product[Pack Size])</f>
        <v>#N/A</v>
      </c>
      <c r="AX37" s="10" t="e">
        <f>(tbl_MTG_Set[[#This Row],[Collector Booster Box Cost]] + v_Item_Shipping_Cost_In) / tbl_MTG_Set[[#This Row],[Collector Booster Box Size]]</f>
        <v>#N/A</v>
      </c>
      <c r="AY37" s="10" t="str" cm="1">
        <f t="array" ref="AY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" s="10"/>
      <c r="BA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" s="17" t="e">
        <f>tbl_MTG_Set[[#This Row],[Collector Booster CardMarket Profit]]/tbl_MTG_Set[[#This Row],[Collector Booster Cost]]</f>
        <v>#N/A</v>
      </c>
      <c r="BC37" s="10"/>
      <c r="BF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" s="11" t="e">
        <f>tbl_MTG_Set[[#This Row],[Play Singles CardMarket Profit MTG Stocks]]/tbl_MTG_Set[[#This Row],[Play Booster Cost]]</f>
        <v>#VALUE!</v>
      </c>
      <c r="BI37" s="11" t="b">
        <f>tbl_MTG_Set[[#This Row],[Play Singles CardMarket Profit MTG Stocks]]&gt;0</f>
        <v>0</v>
      </c>
      <c r="BM37" s="10" t="e">
        <f>tbl_MTG_Set[[#This Row],[Play Booster Sell Price CardMarket]]*tbl_MTG_Set[[#This Row],[Play Booster Expected Market Value BotBox]]/tbl_MTG_Set[[#This Row],[Play Booster Sealed Market Value BotBox]]</f>
        <v>#VALUE!</v>
      </c>
      <c r="BN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" s="10" t="e">
        <f>tbl_MTG_Set[[#This Row],[Play Singles CardMarket Profit BotBox]]/tbl_MTG_Set[[#This Row],[Play Booster Cost]]</f>
        <v>#VALUE!</v>
      </c>
      <c r="BP37" s="10" t="b">
        <f>tbl_MTG_Set[[#This Row],[Play Singles CardMarket Profit BotBox]]&gt;0</f>
        <v>0</v>
      </c>
      <c r="BQ37" s="10"/>
      <c r="BR37" s="10"/>
      <c r="BS37" s="10"/>
      <c r="BT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" s="19" t="e">
        <f>tbl_MTG_Set[[#This Row],[Collector Singles CardMarket Profit MTG Stocks]]/tbl_MTG_Set[[#This Row],[Collector Booster Cost]]</f>
        <v>#N/A</v>
      </c>
      <c r="BW37" s="10" t="b">
        <f>tbl_MTG_Set[[#This Row],[Collector Singles CardMarket Profit MTG Stocks]]&gt;0</f>
        <v>0</v>
      </c>
      <c r="BX37" s="10"/>
      <c r="BY37" s="10"/>
      <c r="BZ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" s="10" t="e">
        <f>tbl_MTG_Set[[#This Row],[Collector Singles CardMarket Profit BotBox]]/tbl_MTG_Set[[#This Row],[Collector Booster Cost]]</f>
        <v>#N/A</v>
      </c>
      <c r="CC37" s="10" t="b">
        <f>tbl_MTG_Set[[#This Row],[Collector Singles CardMarket Profit BotBox]]&gt;0</f>
        <v>0</v>
      </c>
      <c r="CD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" spans="1:86" hidden="1">
      <c r="A38">
        <v>40</v>
      </c>
      <c r="B38" t="s">
        <v>211</v>
      </c>
      <c r="C38">
        <v>94</v>
      </c>
      <c r="D38" s="3">
        <v>45821</v>
      </c>
      <c r="E38" t="s">
        <v>86</v>
      </c>
      <c r="F38" t="s">
        <v>174</v>
      </c>
      <c r="G38">
        <v>41</v>
      </c>
      <c r="H38">
        <f ca="1">MONTH(NOW())+12*YEAR(NOW())-MONTH(tbl_MTG_Set[[#This Row],[Released On]])-12*YEAR(tbl_MTG_Set[[#This Row],[Released On]])</f>
        <v>9</v>
      </c>
      <c r="I38">
        <f>_xlfn.XLOOKUP(tbl_MTG_Set[[#This Row],[Type Name]], tbl_MTG_Set_Type[Set Type], tbl_MTG_Set_Type[Index], "(Set Type not found)")</f>
        <v>6</v>
      </c>
      <c r="J38">
        <f>_xlfn.XLOOKUP(tbl_MTG_Set[[#This Row],[Type Name]], tbl_MTG_Set_Type[Set Type], tbl_MTG_Set_Type[Buy Window Month Start], "(Set Type not found)")</f>
        <v>3</v>
      </c>
      <c r="K38" s="3">
        <f>tbl_MTG_Set[[#This Row],[Released On]]+tbl_MTG_Set[[#This Row],[Buy Window Month Start]]*365.25/12</f>
        <v>45912.3125</v>
      </c>
      <c r="L38">
        <f>_xlfn.XLOOKUP(tbl_MTG_Set[[#This Row],[Type Name]], tbl_MTG_Set_Type[Set Type], tbl_MTG_Set_Type[Buy Window Month End], "(Set Type not found)", 0, 1)</f>
        <v>6</v>
      </c>
      <c r="M38" s="3">
        <f>tbl_MTG_Set[[#This Row],[Released On]]+tbl_MTG_Set[[#This Row],[Buy Window Month End]]*365.25/12</f>
        <v>46003.625</v>
      </c>
      <c r="N38" s="3" t="b">
        <f ca="1">AND(NOW()&gt;=tbl_MTG_Set[[#This Row],[Buy Window Start]], NOW()&lt;=tbl_MTG_Set[[#This Row],[Buy Window End]])</f>
        <v>0</v>
      </c>
      <c r="O38">
        <f>_xlfn.XLOOKUP(tbl_MTG_Set[[#This Row],[Type Name]], tbl_MTG_Set_Type[Set Type], tbl_MTG_Set_Type[Heavy Printing Window Month Start], "(Set Type not found)", 0, 1)</f>
        <v>0</v>
      </c>
      <c r="P38" s="3">
        <f>tbl_MTG_Set[[#This Row],[Released On]]+tbl_MTG_Set[[#This Row],[Heavy Printing Window Month Start]]*365.25/12</f>
        <v>45821</v>
      </c>
      <c r="Q38">
        <f>_xlfn.XLOOKUP(tbl_MTG_Set[[#This Row],[Type Name]], tbl_MTG_Set_Type[Set Type], tbl_MTG_Set_Type[Heavy Printing Window Month End], "(Set Type not found)", 0, 1)</f>
        <v>0</v>
      </c>
      <c r="R38" s="3">
        <f>tbl_MTG_Set[[#This Row],[Released On]]+tbl_MTG_Set[[#This Row],[Heavy Printing Window Month End]]*365.25/12</f>
        <v>45821</v>
      </c>
      <c r="S38" s="3" t="b">
        <f ca="1">AND(NOW()&gt;=tbl_MTG_Set[[#This Row],[Heavy Printing Window Start]], NOW()&lt;=tbl_MTG_Set[[#This Row],[Heavy Printing Window End]])</f>
        <v>0</v>
      </c>
      <c r="T38">
        <f>_xlfn.XLOOKUP(tbl_MTG_Set[[#This Row],[Type Name]], tbl_MTG_Set_Type[Set Type], tbl_MTG_Set_Type[Sell Window Month Start], "(Set Type not found)", 0, 1)</f>
        <v>0</v>
      </c>
      <c r="U38" s="3">
        <f>tbl_MTG_Set[[#This Row],[Released On]]+tbl_MTG_Set[[#This Row],[Sell Window Month Start]]*365.25/12</f>
        <v>45821</v>
      </c>
      <c r="V38">
        <f>_xlfn.XLOOKUP(tbl_MTG_Set[[#This Row],[Type Name]], tbl_MTG_Set_Type[Set Type], tbl_MTG_Set_Type[Sell Window Month End], "(Set Type not found)", 0, 1)</f>
        <v>0</v>
      </c>
      <c r="W38" s="3">
        <f>tbl_MTG_Set[[#This Row],[Released On]]+tbl_MTG_Set[[#This Row],[Sell Window Month End]]*365.25/12</f>
        <v>45821</v>
      </c>
      <c r="X38" s="3" t="b">
        <f ca="1">AND(NOW()&gt;=tbl_MTG_Set[[#This Row],[Sell Window Start]], NOW()&lt;=tbl_MTG_Set[[#This Row],[Sell Window End]])</f>
        <v>0</v>
      </c>
      <c r="AG38" s="10"/>
      <c r="AH38" s="10"/>
      <c r="AM38" s="10" t="str" cm="1">
        <f t="array" ref="AM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" s="10" t="str" cm="1">
        <f t="array" ref="AN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" s="4" t="e">
        <f>_xlfn.XLOOKUP(tbl_MTG_Set[[#This Row],[Play Booster Box Product Id]], tbl_Product[Product Id], tbl_Product[Pack Size])</f>
        <v>#N/A</v>
      </c>
      <c r="AP38" s="10" t="e">
        <f>(tbl_MTG_Set[[#This Row],[Play Booster Box Cost]]+v_Item_Shipping_Cost_In)/tbl_MTG_Set[[#This Row],[Play Booster Box Size]]</f>
        <v>#VALUE!</v>
      </c>
      <c r="AQ38" s="10" t="str" cm="1">
        <f t="array" ref="AQ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" s="10"/>
      <c r="AS38" s="10"/>
      <c r="AT38" s="17" t="e">
        <f>tbl_MTG_Set[[#This Row],[Play Booster CardMarket Profit]]/tbl_MTG_Set[[#This Row],[Play Booster Cost]]</f>
        <v>#VALUE!</v>
      </c>
      <c r="AU38" s="10" t="e">
        <f>_xlfn.XLOOKUP(tbl_MTG_Set[[#This Row],[Collector Booster Box Product Id]], tbl_Product[Product Id], tbl_Product[Min Cost])</f>
        <v>#N/A</v>
      </c>
      <c r="AV38" s="10" t="e">
        <f>_xlfn.XLOOKUP(tbl_MTG_Set[[#This Row],[Collector Booster Box Product Id]], tbl_Product[Product Id], tbl_Product[Best Source])</f>
        <v>#N/A</v>
      </c>
      <c r="AW38" s="4" t="e">
        <f>_xlfn.XLOOKUP(tbl_MTG_Set[[#This Row],[Collector Booster Box Product Id]], tbl_Product[Product Id], tbl_Product[Pack Size])</f>
        <v>#N/A</v>
      </c>
      <c r="AX38" s="10" t="e">
        <f>(tbl_MTG_Set[[#This Row],[Collector Booster Box Cost]] + v_Item_Shipping_Cost_In) / tbl_MTG_Set[[#This Row],[Collector Booster Box Size]]</f>
        <v>#N/A</v>
      </c>
      <c r="AY38" s="10" t="str" cm="1">
        <f t="array" ref="AY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" s="10"/>
      <c r="BA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" s="17" t="e">
        <f>tbl_MTG_Set[[#This Row],[Collector Booster CardMarket Profit]]/tbl_MTG_Set[[#This Row],[Collector Booster Cost]]</f>
        <v>#N/A</v>
      </c>
      <c r="BC38" s="10"/>
      <c r="BF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" s="11" t="e">
        <f>tbl_MTG_Set[[#This Row],[Play Singles CardMarket Profit MTG Stocks]]/tbl_MTG_Set[[#This Row],[Play Booster Cost]]</f>
        <v>#VALUE!</v>
      </c>
      <c r="BI38" s="11" t="b">
        <f>tbl_MTG_Set[[#This Row],[Play Singles CardMarket Profit MTG Stocks]]&gt;0</f>
        <v>0</v>
      </c>
      <c r="BM38" s="10" t="e">
        <f>tbl_MTG_Set[[#This Row],[Play Booster Sell Price CardMarket]]*tbl_MTG_Set[[#This Row],[Play Booster Expected Market Value BotBox]]/tbl_MTG_Set[[#This Row],[Play Booster Sealed Market Value BotBox]]</f>
        <v>#VALUE!</v>
      </c>
      <c r="BN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" s="10" t="e">
        <f>tbl_MTG_Set[[#This Row],[Play Singles CardMarket Profit BotBox]]/tbl_MTG_Set[[#This Row],[Play Booster Cost]]</f>
        <v>#VALUE!</v>
      </c>
      <c r="BP38" s="10" t="b">
        <f>tbl_MTG_Set[[#This Row],[Play Singles CardMarket Profit BotBox]]&gt;0</f>
        <v>0</v>
      </c>
      <c r="BQ38" s="10"/>
      <c r="BR38" s="10"/>
      <c r="BS38" s="10"/>
      <c r="BT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" s="19" t="e">
        <f>tbl_MTG_Set[[#This Row],[Collector Singles CardMarket Profit MTG Stocks]]/tbl_MTG_Set[[#This Row],[Collector Booster Cost]]</f>
        <v>#N/A</v>
      </c>
      <c r="BW38" s="10" t="b">
        <f>tbl_MTG_Set[[#This Row],[Collector Singles CardMarket Profit MTG Stocks]]&gt;0</f>
        <v>0</v>
      </c>
      <c r="BX38" s="10"/>
      <c r="BY38" s="10"/>
      <c r="BZ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" s="10" t="e">
        <f>tbl_MTG_Set[[#This Row],[Collector Singles CardMarket Profit BotBox]]/tbl_MTG_Set[[#This Row],[Collector Booster Cost]]</f>
        <v>#N/A</v>
      </c>
      <c r="CC38" s="10" t="b">
        <f>tbl_MTG_Set[[#This Row],[Collector Singles CardMarket Profit BotBox]]&gt;0</f>
        <v>0</v>
      </c>
      <c r="CD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" spans="1:86" hidden="1">
      <c r="A39">
        <v>41</v>
      </c>
      <c r="B39" t="s">
        <v>212</v>
      </c>
      <c r="C39">
        <v>37</v>
      </c>
      <c r="D39" s="3">
        <v>45821</v>
      </c>
      <c r="E39" t="s">
        <v>86</v>
      </c>
      <c r="F39" t="s">
        <v>174</v>
      </c>
      <c r="G39">
        <v>42</v>
      </c>
      <c r="H39">
        <f ca="1">MONTH(NOW())+12*YEAR(NOW())-MONTH(tbl_MTG_Set[[#This Row],[Released On]])-12*YEAR(tbl_MTG_Set[[#This Row],[Released On]])</f>
        <v>9</v>
      </c>
      <c r="I39">
        <f>_xlfn.XLOOKUP(tbl_MTG_Set[[#This Row],[Type Name]], tbl_MTG_Set_Type[Set Type], tbl_MTG_Set_Type[Index], "(Set Type not found)")</f>
        <v>6</v>
      </c>
      <c r="J39">
        <f>_xlfn.XLOOKUP(tbl_MTG_Set[[#This Row],[Type Name]], tbl_MTG_Set_Type[Set Type], tbl_MTG_Set_Type[Buy Window Month Start], "(Set Type not found)")</f>
        <v>3</v>
      </c>
      <c r="K39" s="3">
        <f>tbl_MTG_Set[[#This Row],[Released On]]+tbl_MTG_Set[[#This Row],[Buy Window Month Start]]*365.25/12</f>
        <v>45912.3125</v>
      </c>
      <c r="L39">
        <f>_xlfn.XLOOKUP(tbl_MTG_Set[[#This Row],[Type Name]], tbl_MTG_Set_Type[Set Type], tbl_MTG_Set_Type[Buy Window Month End], "(Set Type not found)", 0, 1)</f>
        <v>6</v>
      </c>
      <c r="M39" s="3">
        <f>tbl_MTG_Set[[#This Row],[Released On]]+tbl_MTG_Set[[#This Row],[Buy Window Month End]]*365.25/12</f>
        <v>46003.625</v>
      </c>
      <c r="N39" s="3" t="b">
        <f ca="1">AND(NOW()&gt;=tbl_MTG_Set[[#This Row],[Buy Window Start]], NOW()&lt;=tbl_MTG_Set[[#This Row],[Buy Window End]])</f>
        <v>0</v>
      </c>
      <c r="O39">
        <f>_xlfn.XLOOKUP(tbl_MTG_Set[[#This Row],[Type Name]], tbl_MTG_Set_Type[Set Type], tbl_MTG_Set_Type[Heavy Printing Window Month Start], "(Set Type not found)", 0, 1)</f>
        <v>0</v>
      </c>
      <c r="P39" s="3">
        <f>tbl_MTG_Set[[#This Row],[Released On]]+tbl_MTG_Set[[#This Row],[Heavy Printing Window Month Start]]*365.25/12</f>
        <v>45821</v>
      </c>
      <c r="Q39">
        <f>_xlfn.XLOOKUP(tbl_MTG_Set[[#This Row],[Type Name]], tbl_MTG_Set_Type[Set Type], tbl_MTG_Set_Type[Heavy Printing Window Month End], "(Set Type not found)", 0, 1)</f>
        <v>0</v>
      </c>
      <c r="R39" s="3">
        <f>tbl_MTG_Set[[#This Row],[Released On]]+tbl_MTG_Set[[#This Row],[Heavy Printing Window Month End]]*365.25/12</f>
        <v>45821</v>
      </c>
      <c r="S39" s="3" t="b">
        <f ca="1">AND(NOW()&gt;=tbl_MTG_Set[[#This Row],[Heavy Printing Window Start]], NOW()&lt;=tbl_MTG_Set[[#This Row],[Heavy Printing Window End]])</f>
        <v>0</v>
      </c>
      <c r="T39">
        <f>_xlfn.XLOOKUP(tbl_MTG_Set[[#This Row],[Type Name]], tbl_MTG_Set_Type[Set Type], tbl_MTG_Set_Type[Sell Window Month Start], "(Set Type not found)", 0, 1)</f>
        <v>0</v>
      </c>
      <c r="U39" s="3">
        <f>tbl_MTG_Set[[#This Row],[Released On]]+tbl_MTG_Set[[#This Row],[Sell Window Month Start]]*365.25/12</f>
        <v>45821</v>
      </c>
      <c r="V39">
        <f>_xlfn.XLOOKUP(tbl_MTG_Set[[#This Row],[Type Name]], tbl_MTG_Set_Type[Set Type], tbl_MTG_Set_Type[Sell Window Month End], "(Set Type not found)", 0, 1)</f>
        <v>0</v>
      </c>
      <c r="W39" s="3">
        <f>tbl_MTG_Set[[#This Row],[Released On]]+tbl_MTG_Set[[#This Row],[Sell Window Month End]]*365.25/12</f>
        <v>45821</v>
      </c>
      <c r="X39" s="3" t="b">
        <f ca="1">AND(NOW()&gt;=tbl_MTG_Set[[#This Row],[Sell Window Start]], NOW()&lt;=tbl_MTG_Set[[#This Row],[Sell Window End]])</f>
        <v>0</v>
      </c>
      <c r="AG39" s="10"/>
      <c r="AH39" s="10"/>
      <c r="AM39" s="10" t="str" cm="1">
        <f t="array" ref="AM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" s="10" t="str" cm="1">
        <f t="array" ref="AN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" s="4" t="e">
        <f>_xlfn.XLOOKUP(tbl_MTG_Set[[#This Row],[Play Booster Box Product Id]], tbl_Product[Product Id], tbl_Product[Pack Size])</f>
        <v>#N/A</v>
      </c>
      <c r="AP39" s="10" t="e">
        <f>(tbl_MTG_Set[[#This Row],[Play Booster Box Cost]]+v_Item_Shipping_Cost_In)/tbl_MTG_Set[[#This Row],[Play Booster Box Size]]</f>
        <v>#VALUE!</v>
      </c>
      <c r="AQ39" s="10" t="str" cm="1">
        <f t="array" ref="AQ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" s="10"/>
      <c r="AS39" s="10"/>
      <c r="AT39" s="17" t="e">
        <f>tbl_MTG_Set[[#This Row],[Play Booster CardMarket Profit]]/tbl_MTG_Set[[#This Row],[Play Booster Cost]]</f>
        <v>#VALUE!</v>
      </c>
      <c r="AU39" s="10" t="e">
        <f>_xlfn.XLOOKUP(tbl_MTG_Set[[#This Row],[Collector Booster Box Product Id]], tbl_Product[Product Id], tbl_Product[Min Cost])</f>
        <v>#N/A</v>
      </c>
      <c r="AV39" s="10" t="e">
        <f>_xlfn.XLOOKUP(tbl_MTG_Set[[#This Row],[Collector Booster Box Product Id]], tbl_Product[Product Id], tbl_Product[Best Source])</f>
        <v>#N/A</v>
      </c>
      <c r="AW39" s="4" t="e">
        <f>_xlfn.XLOOKUP(tbl_MTG_Set[[#This Row],[Collector Booster Box Product Id]], tbl_Product[Product Id], tbl_Product[Pack Size])</f>
        <v>#N/A</v>
      </c>
      <c r="AX39" s="10" t="e">
        <f>(tbl_MTG_Set[[#This Row],[Collector Booster Box Cost]] + v_Item_Shipping_Cost_In) / tbl_MTG_Set[[#This Row],[Collector Booster Box Size]]</f>
        <v>#N/A</v>
      </c>
      <c r="AY39" s="10" t="str" cm="1">
        <f t="array" ref="AY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" s="10"/>
      <c r="BA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" s="17" t="e">
        <f>tbl_MTG_Set[[#This Row],[Collector Booster CardMarket Profit]]/tbl_MTG_Set[[#This Row],[Collector Booster Cost]]</f>
        <v>#N/A</v>
      </c>
      <c r="BC39" s="10"/>
      <c r="BF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" s="11" t="e">
        <f>tbl_MTG_Set[[#This Row],[Play Singles CardMarket Profit MTG Stocks]]/tbl_MTG_Set[[#This Row],[Play Booster Cost]]</f>
        <v>#VALUE!</v>
      </c>
      <c r="BI39" s="11" t="b">
        <f>tbl_MTG_Set[[#This Row],[Play Singles CardMarket Profit MTG Stocks]]&gt;0</f>
        <v>0</v>
      </c>
      <c r="BM39" s="10" t="e">
        <f>tbl_MTG_Set[[#This Row],[Play Booster Sell Price CardMarket]]*tbl_MTG_Set[[#This Row],[Play Booster Expected Market Value BotBox]]/tbl_MTG_Set[[#This Row],[Play Booster Sealed Market Value BotBox]]</f>
        <v>#VALUE!</v>
      </c>
      <c r="BN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" s="10" t="e">
        <f>tbl_MTG_Set[[#This Row],[Play Singles CardMarket Profit BotBox]]/tbl_MTG_Set[[#This Row],[Play Booster Cost]]</f>
        <v>#VALUE!</v>
      </c>
      <c r="BP39" s="10" t="b">
        <f>tbl_MTG_Set[[#This Row],[Play Singles CardMarket Profit BotBox]]&gt;0</f>
        <v>0</v>
      </c>
      <c r="BQ39" s="10"/>
      <c r="BR39" s="10"/>
      <c r="BS39" s="10"/>
      <c r="BT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" s="19" t="e">
        <f>tbl_MTG_Set[[#This Row],[Collector Singles CardMarket Profit MTG Stocks]]/tbl_MTG_Set[[#This Row],[Collector Booster Cost]]</f>
        <v>#N/A</v>
      </c>
      <c r="BW39" s="10" t="b">
        <f>tbl_MTG_Set[[#This Row],[Collector Singles CardMarket Profit MTG Stocks]]&gt;0</f>
        <v>0</v>
      </c>
      <c r="BX39" s="10"/>
      <c r="BY39" s="10"/>
      <c r="BZ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" s="10" t="e">
        <f>tbl_MTG_Set[[#This Row],[Collector Singles CardMarket Profit BotBox]]/tbl_MTG_Set[[#This Row],[Collector Booster Cost]]</f>
        <v>#N/A</v>
      </c>
      <c r="CC39" s="10" t="b">
        <f>tbl_MTG_Set[[#This Row],[Collector Singles CardMarket Profit BotBox]]&gt;0</f>
        <v>0</v>
      </c>
      <c r="CD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" spans="1:86" hidden="1">
      <c r="A40">
        <v>42</v>
      </c>
      <c r="B40" t="s">
        <v>213</v>
      </c>
      <c r="C40">
        <v>2</v>
      </c>
      <c r="D40" s="3">
        <v>45821</v>
      </c>
      <c r="E40" t="s">
        <v>86</v>
      </c>
      <c r="F40" t="s">
        <v>174</v>
      </c>
      <c r="G40">
        <v>43</v>
      </c>
      <c r="H40">
        <f ca="1">MONTH(NOW())+12*YEAR(NOW())-MONTH(tbl_MTG_Set[[#This Row],[Released On]])-12*YEAR(tbl_MTG_Set[[#This Row],[Released On]])</f>
        <v>9</v>
      </c>
      <c r="I40">
        <f>_xlfn.XLOOKUP(tbl_MTG_Set[[#This Row],[Type Name]], tbl_MTG_Set_Type[Set Type], tbl_MTG_Set_Type[Index], "(Set Type not found)")</f>
        <v>6</v>
      </c>
      <c r="J40">
        <f>_xlfn.XLOOKUP(tbl_MTG_Set[[#This Row],[Type Name]], tbl_MTG_Set_Type[Set Type], tbl_MTG_Set_Type[Buy Window Month Start], "(Set Type not found)")</f>
        <v>3</v>
      </c>
      <c r="K40" s="3">
        <f>tbl_MTG_Set[[#This Row],[Released On]]+tbl_MTG_Set[[#This Row],[Buy Window Month Start]]*365.25/12</f>
        <v>45912.3125</v>
      </c>
      <c r="L40">
        <f>_xlfn.XLOOKUP(tbl_MTG_Set[[#This Row],[Type Name]], tbl_MTG_Set_Type[Set Type], tbl_MTG_Set_Type[Buy Window Month End], "(Set Type not found)", 0, 1)</f>
        <v>6</v>
      </c>
      <c r="M40" s="3">
        <f>tbl_MTG_Set[[#This Row],[Released On]]+tbl_MTG_Set[[#This Row],[Buy Window Month End]]*365.25/12</f>
        <v>46003.625</v>
      </c>
      <c r="N40" s="3" t="b">
        <f ca="1">AND(NOW()&gt;=tbl_MTG_Set[[#This Row],[Buy Window Start]], NOW()&lt;=tbl_MTG_Set[[#This Row],[Buy Window End]])</f>
        <v>0</v>
      </c>
      <c r="O40">
        <f>_xlfn.XLOOKUP(tbl_MTG_Set[[#This Row],[Type Name]], tbl_MTG_Set_Type[Set Type], tbl_MTG_Set_Type[Heavy Printing Window Month Start], "(Set Type not found)", 0, 1)</f>
        <v>0</v>
      </c>
      <c r="P40" s="3">
        <f>tbl_MTG_Set[[#This Row],[Released On]]+tbl_MTG_Set[[#This Row],[Heavy Printing Window Month Start]]*365.25/12</f>
        <v>45821</v>
      </c>
      <c r="Q40">
        <f>_xlfn.XLOOKUP(tbl_MTG_Set[[#This Row],[Type Name]], tbl_MTG_Set_Type[Set Type], tbl_MTG_Set_Type[Heavy Printing Window Month End], "(Set Type not found)", 0, 1)</f>
        <v>0</v>
      </c>
      <c r="R40" s="3">
        <f>tbl_MTG_Set[[#This Row],[Released On]]+tbl_MTG_Set[[#This Row],[Heavy Printing Window Month End]]*365.25/12</f>
        <v>45821</v>
      </c>
      <c r="S40" s="3" t="b">
        <f ca="1">AND(NOW()&gt;=tbl_MTG_Set[[#This Row],[Heavy Printing Window Start]], NOW()&lt;=tbl_MTG_Set[[#This Row],[Heavy Printing Window End]])</f>
        <v>0</v>
      </c>
      <c r="T40">
        <f>_xlfn.XLOOKUP(tbl_MTG_Set[[#This Row],[Type Name]], tbl_MTG_Set_Type[Set Type], tbl_MTG_Set_Type[Sell Window Month Start], "(Set Type not found)", 0, 1)</f>
        <v>0</v>
      </c>
      <c r="U40" s="3">
        <f>tbl_MTG_Set[[#This Row],[Released On]]+tbl_MTG_Set[[#This Row],[Sell Window Month Start]]*365.25/12</f>
        <v>45821</v>
      </c>
      <c r="V40">
        <f>_xlfn.XLOOKUP(tbl_MTG_Set[[#This Row],[Type Name]], tbl_MTG_Set_Type[Set Type], tbl_MTG_Set_Type[Sell Window Month End], "(Set Type not found)", 0, 1)</f>
        <v>0</v>
      </c>
      <c r="W40" s="3">
        <f>tbl_MTG_Set[[#This Row],[Released On]]+tbl_MTG_Set[[#This Row],[Sell Window Month End]]*365.25/12</f>
        <v>45821</v>
      </c>
      <c r="X40" s="3" t="b">
        <f ca="1">AND(NOW()&gt;=tbl_MTG_Set[[#This Row],[Sell Window Start]], NOW()&lt;=tbl_MTG_Set[[#This Row],[Sell Window End]])</f>
        <v>0</v>
      </c>
      <c r="AG40" s="10"/>
      <c r="AH40" s="10"/>
      <c r="AM40" s="10" t="str" cm="1">
        <f t="array" ref="AM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" s="10" t="str" cm="1">
        <f t="array" ref="AN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" s="4" t="e">
        <f>_xlfn.XLOOKUP(tbl_MTG_Set[[#This Row],[Play Booster Box Product Id]], tbl_Product[Product Id], tbl_Product[Pack Size])</f>
        <v>#N/A</v>
      </c>
      <c r="AP40" s="10" t="e">
        <f>(tbl_MTG_Set[[#This Row],[Play Booster Box Cost]]+v_Item_Shipping_Cost_In)/tbl_MTG_Set[[#This Row],[Play Booster Box Size]]</f>
        <v>#VALUE!</v>
      </c>
      <c r="AQ40" s="10" t="str" cm="1">
        <f t="array" ref="AQ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" s="10"/>
      <c r="AS40" s="10"/>
      <c r="AT40" s="17" t="e">
        <f>tbl_MTG_Set[[#This Row],[Play Booster CardMarket Profit]]/tbl_MTG_Set[[#This Row],[Play Booster Cost]]</f>
        <v>#VALUE!</v>
      </c>
      <c r="AU40" s="10" t="e">
        <f>_xlfn.XLOOKUP(tbl_MTG_Set[[#This Row],[Collector Booster Box Product Id]], tbl_Product[Product Id], tbl_Product[Min Cost])</f>
        <v>#N/A</v>
      </c>
      <c r="AV40" s="10" t="e">
        <f>_xlfn.XLOOKUP(tbl_MTG_Set[[#This Row],[Collector Booster Box Product Id]], tbl_Product[Product Id], tbl_Product[Best Source])</f>
        <v>#N/A</v>
      </c>
      <c r="AW40" s="4" t="e">
        <f>_xlfn.XLOOKUP(tbl_MTG_Set[[#This Row],[Collector Booster Box Product Id]], tbl_Product[Product Id], tbl_Product[Pack Size])</f>
        <v>#N/A</v>
      </c>
      <c r="AX40" s="10" t="e">
        <f>(tbl_MTG_Set[[#This Row],[Collector Booster Box Cost]] + v_Item_Shipping_Cost_In) / tbl_MTG_Set[[#This Row],[Collector Booster Box Size]]</f>
        <v>#N/A</v>
      </c>
      <c r="AY40" s="10" t="str" cm="1">
        <f t="array" ref="AY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" s="10"/>
      <c r="BA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" s="17" t="e">
        <f>tbl_MTG_Set[[#This Row],[Collector Booster CardMarket Profit]]/tbl_MTG_Set[[#This Row],[Collector Booster Cost]]</f>
        <v>#N/A</v>
      </c>
      <c r="BC40" s="10"/>
      <c r="BF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" s="11" t="e">
        <f>tbl_MTG_Set[[#This Row],[Play Singles CardMarket Profit MTG Stocks]]/tbl_MTG_Set[[#This Row],[Play Booster Cost]]</f>
        <v>#VALUE!</v>
      </c>
      <c r="BI40" s="11" t="b">
        <f>tbl_MTG_Set[[#This Row],[Play Singles CardMarket Profit MTG Stocks]]&gt;0</f>
        <v>0</v>
      </c>
      <c r="BM40" s="10" t="e">
        <f>tbl_MTG_Set[[#This Row],[Play Booster Sell Price CardMarket]]*tbl_MTG_Set[[#This Row],[Play Booster Expected Market Value BotBox]]/tbl_MTG_Set[[#This Row],[Play Booster Sealed Market Value BotBox]]</f>
        <v>#VALUE!</v>
      </c>
      <c r="BN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" s="10" t="e">
        <f>tbl_MTG_Set[[#This Row],[Play Singles CardMarket Profit BotBox]]/tbl_MTG_Set[[#This Row],[Play Booster Cost]]</f>
        <v>#VALUE!</v>
      </c>
      <c r="BP40" s="10" t="b">
        <f>tbl_MTG_Set[[#This Row],[Play Singles CardMarket Profit BotBox]]&gt;0</f>
        <v>0</v>
      </c>
      <c r="BQ40" s="10"/>
      <c r="BR40" s="10"/>
      <c r="BS40" s="10"/>
      <c r="BT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" s="19" t="e">
        <f>tbl_MTG_Set[[#This Row],[Collector Singles CardMarket Profit MTG Stocks]]/tbl_MTG_Set[[#This Row],[Collector Booster Cost]]</f>
        <v>#N/A</v>
      </c>
      <c r="BW40" s="10" t="b">
        <f>tbl_MTG_Set[[#This Row],[Collector Singles CardMarket Profit MTG Stocks]]&gt;0</f>
        <v>0</v>
      </c>
      <c r="BX40" s="10"/>
      <c r="BY40" s="10"/>
      <c r="BZ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" s="10" t="e">
        <f>tbl_MTG_Set[[#This Row],[Collector Singles CardMarket Profit BotBox]]/tbl_MTG_Set[[#This Row],[Collector Booster Cost]]</f>
        <v>#N/A</v>
      </c>
      <c r="CC40" s="10" t="b">
        <f>tbl_MTG_Set[[#This Row],[Collector Singles CardMarket Profit BotBox]]&gt;0</f>
        <v>0</v>
      </c>
      <c r="CD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" spans="1:86" hidden="1">
      <c r="A41">
        <v>43</v>
      </c>
      <c r="B41" t="s">
        <v>214</v>
      </c>
      <c r="C41">
        <v>53</v>
      </c>
      <c r="D41" s="3">
        <v>45821</v>
      </c>
      <c r="E41" t="s">
        <v>86</v>
      </c>
      <c r="F41" t="s">
        <v>174</v>
      </c>
      <c r="G41">
        <v>44</v>
      </c>
      <c r="H41">
        <f ca="1">MONTH(NOW())+12*YEAR(NOW())-MONTH(tbl_MTG_Set[[#This Row],[Released On]])-12*YEAR(tbl_MTG_Set[[#This Row],[Released On]])</f>
        <v>9</v>
      </c>
      <c r="I41">
        <f>_xlfn.XLOOKUP(tbl_MTG_Set[[#This Row],[Type Name]], tbl_MTG_Set_Type[Set Type], tbl_MTG_Set_Type[Index], "(Set Type not found)")</f>
        <v>6</v>
      </c>
      <c r="J41">
        <f>_xlfn.XLOOKUP(tbl_MTG_Set[[#This Row],[Type Name]], tbl_MTG_Set_Type[Set Type], tbl_MTG_Set_Type[Buy Window Month Start], "(Set Type not found)")</f>
        <v>3</v>
      </c>
      <c r="K41" s="3">
        <f>tbl_MTG_Set[[#This Row],[Released On]]+tbl_MTG_Set[[#This Row],[Buy Window Month Start]]*365.25/12</f>
        <v>45912.3125</v>
      </c>
      <c r="L41">
        <f>_xlfn.XLOOKUP(tbl_MTG_Set[[#This Row],[Type Name]], tbl_MTG_Set_Type[Set Type], tbl_MTG_Set_Type[Buy Window Month End], "(Set Type not found)", 0, 1)</f>
        <v>6</v>
      </c>
      <c r="M41" s="3">
        <f>tbl_MTG_Set[[#This Row],[Released On]]+tbl_MTG_Set[[#This Row],[Buy Window Month End]]*365.25/12</f>
        <v>46003.625</v>
      </c>
      <c r="N41" s="3" t="b">
        <f ca="1">AND(NOW()&gt;=tbl_MTG_Set[[#This Row],[Buy Window Start]], NOW()&lt;=tbl_MTG_Set[[#This Row],[Buy Window End]])</f>
        <v>0</v>
      </c>
      <c r="O41">
        <f>_xlfn.XLOOKUP(tbl_MTG_Set[[#This Row],[Type Name]], tbl_MTG_Set_Type[Set Type], tbl_MTG_Set_Type[Heavy Printing Window Month Start], "(Set Type not found)", 0, 1)</f>
        <v>0</v>
      </c>
      <c r="P41" s="3">
        <f>tbl_MTG_Set[[#This Row],[Released On]]+tbl_MTG_Set[[#This Row],[Heavy Printing Window Month Start]]*365.25/12</f>
        <v>45821</v>
      </c>
      <c r="Q41">
        <f>_xlfn.XLOOKUP(tbl_MTG_Set[[#This Row],[Type Name]], tbl_MTG_Set_Type[Set Type], tbl_MTG_Set_Type[Heavy Printing Window Month End], "(Set Type not found)", 0, 1)</f>
        <v>0</v>
      </c>
      <c r="R41" s="3">
        <f>tbl_MTG_Set[[#This Row],[Released On]]+tbl_MTG_Set[[#This Row],[Heavy Printing Window Month End]]*365.25/12</f>
        <v>45821</v>
      </c>
      <c r="S41" s="3" t="b">
        <f ca="1">AND(NOW()&gt;=tbl_MTG_Set[[#This Row],[Heavy Printing Window Start]], NOW()&lt;=tbl_MTG_Set[[#This Row],[Heavy Printing Window End]])</f>
        <v>0</v>
      </c>
      <c r="T41">
        <f>_xlfn.XLOOKUP(tbl_MTG_Set[[#This Row],[Type Name]], tbl_MTG_Set_Type[Set Type], tbl_MTG_Set_Type[Sell Window Month Start], "(Set Type not found)", 0, 1)</f>
        <v>0</v>
      </c>
      <c r="U41" s="3">
        <f>tbl_MTG_Set[[#This Row],[Released On]]+tbl_MTG_Set[[#This Row],[Sell Window Month Start]]*365.25/12</f>
        <v>45821</v>
      </c>
      <c r="V41">
        <f>_xlfn.XLOOKUP(tbl_MTG_Set[[#This Row],[Type Name]], tbl_MTG_Set_Type[Set Type], tbl_MTG_Set_Type[Sell Window Month End], "(Set Type not found)", 0, 1)</f>
        <v>0</v>
      </c>
      <c r="W41" s="3">
        <f>tbl_MTG_Set[[#This Row],[Released On]]+tbl_MTG_Set[[#This Row],[Sell Window Month End]]*365.25/12</f>
        <v>45821</v>
      </c>
      <c r="X41" s="3" t="b">
        <f ca="1">AND(NOW()&gt;=tbl_MTG_Set[[#This Row],[Sell Window Start]], NOW()&lt;=tbl_MTG_Set[[#This Row],[Sell Window End]])</f>
        <v>0</v>
      </c>
      <c r="AG41" s="10"/>
      <c r="AH41" s="10"/>
      <c r="AM41" s="10" t="str" cm="1">
        <f t="array" ref="AM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" s="10" t="str" cm="1">
        <f t="array" ref="AN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" s="4" t="e">
        <f>_xlfn.XLOOKUP(tbl_MTG_Set[[#This Row],[Play Booster Box Product Id]], tbl_Product[Product Id], tbl_Product[Pack Size])</f>
        <v>#N/A</v>
      </c>
      <c r="AP41" s="10" t="e">
        <f>(tbl_MTG_Set[[#This Row],[Play Booster Box Cost]]+v_Item_Shipping_Cost_In)/tbl_MTG_Set[[#This Row],[Play Booster Box Size]]</f>
        <v>#VALUE!</v>
      </c>
      <c r="AQ41" s="10" t="str" cm="1">
        <f t="array" ref="AQ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" s="10"/>
      <c r="AS41" s="10"/>
      <c r="AT41" s="17" t="e">
        <f>tbl_MTG_Set[[#This Row],[Play Booster CardMarket Profit]]/tbl_MTG_Set[[#This Row],[Play Booster Cost]]</f>
        <v>#VALUE!</v>
      </c>
      <c r="AU41" s="10" t="e">
        <f>_xlfn.XLOOKUP(tbl_MTG_Set[[#This Row],[Collector Booster Box Product Id]], tbl_Product[Product Id], tbl_Product[Min Cost])</f>
        <v>#N/A</v>
      </c>
      <c r="AV41" s="10" t="e">
        <f>_xlfn.XLOOKUP(tbl_MTG_Set[[#This Row],[Collector Booster Box Product Id]], tbl_Product[Product Id], tbl_Product[Best Source])</f>
        <v>#N/A</v>
      </c>
      <c r="AW41" s="4" t="e">
        <f>_xlfn.XLOOKUP(tbl_MTG_Set[[#This Row],[Collector Booster Box Product Id]], tbl_Product[Product Id], tbl_Product[Pack Size])</f>
        <v>#N/A</v>
      </c>
      <c r="AX41" s="10" t="e">
        <f>(tbl_MTG_Set[[#This Row],[Collector Booster Box Cost]] + v_Item_Shipping_Cost_In) / tbl_MTG_Set[[#This Row],[Collector Booster Box Size]]</f>
        <v>#N/A</v>
      </c>
      <c r="AY41" s="10" t="str" cm="1">
        <f t="array" ref="AY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" s="10"/>
      <c r="BA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" s="17" t="e">
        <f>tbl_MTG_Set[[#This Row],[Collector Booster CardMarket Profit]]/tbl_MTG_Set[[#This Row],[Collector Booster Cost]]</f>
        <v>#N/A</v>
      </c>
      <c r="BC41" s="10"/>
      <c r="BF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" s="11" t="e">
        <f>tbl_MTG_Set[[#This Row],[Play Singles CardMarket Profit MTG Stocks]]/tbl_MTG_Set[[#This Row],[Play Booster Cost]]</f>
        <v>#VALUE!</v>
      </c>
      <c r="BI41" s="11" t="b">
        <f>tbl_MTG_Set[[#This Row],[Play Singles CardMarket Profit MTG Stocks]]&gt;0</f>
        <v>0</v>
      </c>
      <c r="BM41" s="10" t="e">
        <f>tbl_MTG_Set[[#This Row],[Play Booster Sell Price CardMarket]]*tbl_MTG_Set[[#This Row],[Play Booster Expected Market Value BotBox]]/tbl_MTG_Set[[#This Row],[Play Booster Sealed Market Value BotBox]]</f>
        <v>#VALUE!</v>
      </c>
      <c r="BN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" s="10" t="e">
        <f>tbl_MTG_Set[[#This Row],[Play Singles CardMarket Profit BotBox]]/tbl_MTG_Set[[#This Row],[Play Booster Cost]]</f>
        <v>#VALUE!</v>
      </c>
      <c r="BP41" s="10" t="b">
        <f>tbl_MTG_Set[[#This Row],[Play Singles CardMarket Profit BotBox]]&gt;0</f>
        <v>0</v>
      </c>
      <c r="BQ41" s="10"/>
      <c r="BR41" s="10"/>
      <c r="BS41" s="10"/>
      <c r="BT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" s="19" t="e">
        <f>tbl_MTG_Set[[#This Row],[Collector Singles CardMarket Profit MTG Stocks]]/tbl_MTG_Set[[#This Row],[Collector Booster Cost]]</f>
        <v>#N/A</v>
      </c>
      <c r="BW41" s="10" t="b">
        <f>tbl_MTG_Set[[#This Row],[Collector Singles CardMarket Profit MTG Stocks]]&gt;0</f>
        <v>0</v>
      </c>
      <c r="BX41" s="10"/>
      <c r="BY41" s="10"/>
      <c r="BZ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" s="10" t="e">
        <f>tbl_MTG_Set[[#This Row],[Collector Singles CardMarket Profit BotBox]]/tbl_MTG_Set[[#This Row],[Collector Booster Cost]]</f>
        <v>#N/A</v>
      </c>
      <c r="CC41" s="10" t="b">
        <f>tbl_MTG_Set[[#This Row],[Collector Singles CardMarket Profit BotBox]]&gt;0</f>
        <v>0</v>
      </c>
      <c r="CD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" spans="1:86" hidden="1">
      <c r="A42">
        <v>44</v>
      </c>
      <c r="B42" t="s">
        <v>215</v>
      </c>
      <c r="C42">
        <v>486</v>
      </c>
      <c r="D42" s="3">
        <v>45821</v>
      </c>
      <c r="E42" t="s">
        <v>80</v>
      </c>
      <c r="F42" t="s">
        <v>174</v>
      </c>
      <c r="G42">
        <v>45</v>
      </c>
      <c r="H42">
        <f ca="1">MONTH(NOW())+12*YEAR(NOW())-MONTH(tbl_MTG_Set[[#This Row],[Released On]])-12*YEAR(tbl_MTG_Set[[#This Row],[Released On]])</f>
        <v>9</v>
      </c>
      <c r="I42">
        <f>_xlfn.XLOOKUP(tbl_MTG_Set[[#This Row],[Type Name]], tbl_MTG_Set_Type[Set Type], tbl_MTG_Set_Type[Index], "(Set Type not found)")</f>
        <v>5</v>
      </c>
      <c r="J42">
        <f>_xlfn.XLOOKUP(tbl_MTG_Set[[#This Row],[Type Name]], tbl_MTG_Set_Type[Set Type], tbl_MTG_Set_Type[Buy Window Month Start], "(Set Type not found)")</f>
        <v>3</v>
      </c>
      <c r="K42" s="3">
        <f>tbl_MTG_Set[[#This Row],[Released On]]+tbl_MTG_Set[[#This Row],[Buy Window Month Start]]*365.25/12</f>
        <v>45912.3125</v>
      </c>
      <c r="L42">
        <f>_xlfn.XLOOKUP(tbl_MTG_Set[[#This Row],[Type Name]], tbl_MTG_Set_Type[Set Type], tbl_MTG_Set_Type[Buy Window Month End], "(Set Type not found)", 0, 1)</f>
        <v>12</v>
      </c>
      <c r="M42" s="3">
        <f>tbl_MTG_Set[[#This Row],[Released On]]+tbl_MTG_Set[[#This Row],[Buy Window Month End]]*365.25/12</f>
        <v>46186.25</v>
      </c>
      <c r="N42" s="3" t="b">
        <f ca="1">AND(NOW()&gt;=tbl_MTG_Set[[#This Row],[Buy Window Start]], NOW()&lt;=tbl_MTG_Set[[#This Row],[Buy Window End]])</f>
        <v>1</v>
      </c>
      <c r="O42">
        <f>_xlfn.XLOOKUP(tbl_MTG_Set[[#This Row],[Type Name]], tbl_MTG_Set_Type[Set Type], tbl_MTG_Set_Type[Heavy Printing Window Month Start], "(Set Type not found)", 0, 1)</f>
        <v>12</v>
      </c>
      <c r="P42" s="3">
        <f>tbl_MTG_Set[[#This Row],[Released On]]+tbl_MTG_Set[[#This Row],[Heavy Printing Window Month Start]]*365.25/12</f>
        <v>46186.25</v>
      </c>
      <c r="Q42">
        <f>_xlfn.XLOOKUP(tbl_MTG_Set[[#This Row],[Type Name]], tbl_MTG_Set_Type[Set Type], tbl_MTG_Set_Type[Heavy Printing Window Month End], "(Set Type not found)", 0, 1)</f>
        <v>18</v>
      </c>
      <c r="R42" s="3">
        <f>tbl_MTG_Set[[#This Row],[Released On]]+tbl_MTG_Set[[#This Row],[Heavy Printing Window Month End]]*365.25/12</f>
        <v>46368.875</v>
      </c>
      <c r="S42" s="3" t="b">
        <f ca="1">AND(NOW()&gt;=tbl_MTG_Set[[#This Row],[Heavy Printing Window Start]], NOW()&lt;=tbl_MTG_Set[[#This Row],[Heavy Printing Window End]])</f>
        <v>0</v>
      </c>
      <c r="T42">
        <f>_xlfn.XLOOKUP(tbl_MTG_Set[[#This Row],[Type Name]], tbl_MTG_Set_Type[Set Type], tbl_MTG_Set_Type[Sell Window Month Start], "(Set Type not found)", 0, 1)</f>
        <v>24</v>
      </c>
      <c r="U42" s="3">
        <f>tbl_MTG_Set[[#This Row],[Released On]]+tbl_MTG_Set[[#This Row],[Sell Window Month Start]]*365.25/12</f>
        <v>46551.5</v>
      </c>
      <c r="V42">
        <f>_xlfn.XLOOKUP(tbl_MTG_Set[[#This Row],[Type Name]], tbl_MTG_Set_Type[Set Type], tbl_MTG_Set_Type[Sell Window Month End], "(Set Type not found)", 0, 1)</f>
        <v>24</v>
      </c>
      <c r="W42" s="3">
        <f>tbl_MTG_Set[[#This Row],[Released On]]+tbl_MTG_Set[[#This Row],[Sell Window Month End]]*365.25/12</f>
        <v>46551.5</v>
      </c>
      <c r="X42" s="3" t="b">
        <f ca="1">AND(NOW()&gt;=tbl_MTG_Set[[#This Row],[Sell Window Start]], NOW()&lt;=tbl_MTG_Set[[#This Row],[Sell Window End]])</f>
        <v>0</v>
      </c>
      <c r="AG42" s="10"/>
      <c r="AH42" s="10"/>
      <c r="AM42" s="10" t="str" cm="1">
        <f t="array" ref="AM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" s="10" t="str" cm="1">
        <f t="array" ref="AN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" s="4" t="e">
        <f>_xlfn.XLOOKUP(tbl_MTG_Set[[#This Row],[Play Booster Box Product Id]], tbl_Product[Product Id], tbl_Product[Pack Size])</f>
        <v>#N/A</v>
      </c>
      <c r="AP42" s="10" t="e">
        <f>(tbl_MTG_Set[[#This Row],[Play Booster Box Cost]]+v_Item_Shipping_Cost_In)/tbl_MTG_Set[[#This Row],[Play Booster Box Size]]</f>
        <v>#VALUE!</v>
      </c>
      <c r="AQ42" s="10" t="str" cm="1">
        <f t="array" ref="AQ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" s="10"/>
      <c r="AS42" s="10"/>
      <c r="AT42" s="17" t="e">
        <f>tbl_MTG_Set[[#This Row],[Play Booster CardMarket Profit]]/tbl_MTG_Set[[#This Row],[Play Booster Cost]]</f>
        <v>#VALUE!</v>
      </c>
      <c r="AU42" s="10" t="e">
        <f>_xlfn.XLOOKUP(tbl_MTG_Set[[#This Row],[Collector Booster Box Product Id]], tbl_Product[Product Id], tbl_Product[Min Cost])</f>
        <v>#N/A</v>
      </c>
      <c r="AV42" s="10" t="e">
        <f>_xlfn.XLOOKUP(tbl_MTG_Set[[#This Row],[Collector Booster Box Product Id]], tbl_Product[Product Id], tbl_Product[Best Source])</f>
        <v>#N/A</v>
      </c>
      <c r="AW42" s="4" t="e">
        <f>_xlfn.XLOOKUP(tbl_MTG_Set[[#This Row],[Collector Booster Box Product Id]], tbl_Product[Product Id], tbl_Product[Pack Size])</f>
        <v>#N/A</v>
      </c>
      <c r="AX42" s="10" t="e">
        <f>(tbl_MTG_Set[[#This Row],[Collector Booster Box Cost]] + v_Item_Shipping_Cost_In) / tbl_MTG_Set[[#This Row],[Collector Booster Box Size]]</f>
        <v>#N/A</v>
      </c>
      <c r="AY42" s="10" t="str" cm="1">
        <f t="array" ref="AY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" s="10"/>
      <c r="BA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" s="17" t="e">
        <f>tbl_MTG_Set[[#This Row],[Collector Booster CardMarket Profit]]/tbl_MTG_Set[[#This Row],[Collector Booster Cost]]</f>
        <v>#N/A</v>
      </c>
      <c r="BC42" s="10"/>
      <c r="BF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" s="11" t="e">
        <f>tbl_MTG_Set[[#This Row],[Play Singles CardMarket Profit MTG Stocks]]/tbl_MTG_Set[[#This Row],[Play Booster Cost]]</f>
        <v>#VALUE!</v>
      </c>
      <c r="BI42" s="11" t="b">
        <f>tbl_MTG_Set[[#This Row],[Play Singles CardMarket Profit MTG Stocks]]&gt;0</f>
        <v>0</v>
      </c>
      <c r="BM42" s="10" t="e">
        <f>tbl_MTG_Set[[#This Row],[Play Booster Sell Price CardMarket]]*tbl_MTG_Set[[#This Row],[Play Booster Expected Market Value BotBox]]/tbl_MTG_Set[[#This Row],[Play Booster Sealed Market Value BotBox]]</f>
        <v>#VALUE!</v>
      </c>
      <c r="BN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" s="10" t="e">
        <f>tbl_MTG_Set[[#This Row],[Play Singles CardMarket Profit BotBox]]/tbl_MTG_Set[[#This Row],[Play Booster Cost]]</f>
        <v>#VALUE!</v>
      </c>
      <c r="BP42" s="10" t="b">
        <f>tbl_MTG_Set[[#This Row],[Play Singles CardMarket Profit BotBox]]&gt;0</f>
        <v>0</v>
      </c>
      <c r="BQ42" s="10"/>
      <c r="BR42" s="10"/>
      <c r="BS42" s="10"/>
      <c r="BT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" s="19" t="e">
        <f>tbl_MTG_Set[[#This Row],[Collector Singles CardMarket Profit MTG Stocks]]/tbl_MTG_Set[[#This Row],[Collector Booster Cost]]</f>
        <v>#N/A</v>
      </c>
      <c r="BW42" s="10" t="b">
        <f>tbl_MTG_Set[[#This Row],[Collector Singles CardMarket Profit MTG Stocks]]&gt;0</f>
        <v>0</v>
      </c>
      <c r="BX42" s="10"/>
      <c r="BY42" s="10"/>
      <c r="BZ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" s="10" t="e">
        <f>tbl_MTG_Set[[#This Row],[Collector Singles CardMarket Profit BotBox]]/tbl_MTG_Set[[#This Row],[Collector Booster Cost]]</f>
        <v>#N/A</v>
      </c>
      <c r="CC42" s="10" t="b">
        <f>tbl_MTG_Set[[#This Row],[Collector Singles CardMarket Profit BotBox]]&gt;0</f>
        <v>0</v>
      </c>
      <c r="CD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" spans="1:86" hidden="1">
      <c r="A43">
        <v>45</v>
      </c>
      <c r="B43" t="s">
        <v>216</v>
      </c>
      <c r="C43">
        <v>11</v>
      </c>
      <c r="D43" s="3">
        <v>45821</v>
      </c>
      <c r="E43" t="s">
        <v>80</v>
      </c>
      <c r="F43" t="s">
        <v>174</v>
      </c>
      <c r="G43">
        <v>46</v>
      </c>
      <c r="H43">
        <f ca="1">MONTH(NOW())+12*YEAR(NOW())-MONTH(tbl_MTG_Set[[#This Row],[Released On]])-12*YEAR(tbl_MTG_Set[[#This Row],[Released On]])</f>
        <v>9</v>
      </c>
      <c r="I43">
        <f>_xlfn.XLOOKUP(tbl_MTG_Set[[#This Row],[Type Name]], tbl_MTG_Set_Type[Set Type], tbl_MTG_Set_Type[Index], "(Set Type not found)")</f>
        <v>5</v>
      </c>
      <c r="J43">
        <f>_xlfn.XLOOKUP(tbl_MTG_Set[[#This Row],[Type Name]], tbl_MTG_Set_Type[Set Type], tbl_MTG_Set_Type[Buy Window Month Start], "(Set Type not found)")</f>
        <v>3</v>
      </c>
      <c r="K43" s="3">
        <f>tbl_MTG_Set[[#This Row],[Released On]]+tbl_MTG_Set[[#This Row],[Buy Window Month Start]]*365.25/12</f>
        <v>45912.3125</v>
      </c>
      <c r="L43">
        <f>_xlfn.XLOOKUP(tbl_MTG_Set[[#This Row],[Type Name]], tbl_MTG_Set_Type[Set Type], tbl_MTG_Set_Type[Buy Window Month End], "(Set Type not found)", 0, 1)</f>
        <v>12</v>
      </c>
      <c r="M43" s="3">
        <f>tbl_MTG_Set[[#This Row],[Released On]]+tbl_MTG_Set[[#This Row],[Buy Window Month End]]*365.25/12</f>
        <v>46186.25</v>
      </c>
      <c r="N43" s="3" t="b">
        <f ca="1">AND(NOW()&gt;=tbl_MTG_Set[[#This Row],[Buy Window Start]], NOW()&lt;=tbl_MTG_Set[[#This Row],[Buy Window End]])</f>
        <v>1</v>
      </c>
      <c r="O43">
        <f>_xlfn.XLOOKUP(tbl_MTG_Set[[#This Row],[Type Name]], tbl_MTG_Set_Type[Set Type], tbl_MTG_Set_Type[Heavy Printing Window Month Start], "(Set Type not found)", 0, 1)</f>
        <v>12</v>
      </c>
      <c r="P43" s="3">
        <f>tbl_MTG_Set[[#This Row],[Released On]]+tbl_MTG_Set[[#This Row],[Heavy Printing Window Month Start]]*365.25/12</f>
        <v>46186.25</v>
      </c>
      <c r="Q43">
        <f>_xlfn.XLOOKUP(tbl_MTG_Set[[#This Row],[Type Name]], tbl_MTG_Set_Type[Set Type], tbl_MTG_Set_Type[Heavy Printing Window Month End], "(Set Type not found)", 0, 1)</f>
        <v>18</v>
      </c>
      <c r="R43" s="3">
        <f>tbl_MTG_Set[[#This Row],[Released On]]+tbl_MTG_Set[[#This Row],[Heavy Printing Window Month End]]*365.25/12</f>
        <v>46368.875</v>
      </c>
      <c r="S43" s="3" t="b">
        <f ca="1">AND(NOW()&gt;=tbl_MTG_Set[[#This Row],[Heavy Printing Window Start]], NOW()&lt;=tbl_MTG_Set[[#This Row],[Heavy Printing Window End]])</f>
        <v>0</v>
      </c>
      <c r="T43">
        <f>_xlfn.XLOOKUP(tbl_MTG_Set[[#This Row],[Type Name]], tbl_MTG_Set_Type[Set Type], tbl_MTG_Set_Type[Sell Window Month Start], "(Set Type not found)", 0, 1)</f>
        <v>24</v>
      </c>
      <c r="U43" s="3">
        <f>tbl_MTG_Set[[#This Row],[Released On]]+tbl_MTG_Set[[#This Row],[Sell Window Month Start]]*365.25/12</f>
        <v>46551.5</v>
      </c>
      <c r="V43">
        <f>_xlfn.XLOOKUP(tbl_MTG_Set[[#This Row],[Type Name]], tbl_MTG_Set_Type[Set Type], tbl_MTG_Set_Type[Sell Window Month End], "(Set Type not found)", 0, 1)</f>
        <v>24</v>
      </c>
      <c r="W43" s="3">
        <f>tbl_MTG_Set[[#This Row],[Released On]]+tbl_MTG_Set[[#This Row],[Sell Window Month End]]*365.25/12</f>
        <v>46551.5</v>
      </c>
      <c r="X43" s="3" t="b">
        <f ca="1">AND(NOW()&gt;=tbl_MTG_Set[[#This Row],[Sell Window Start]], NOW()&lt;=tbl_MTG_Set[[#This Row],[Sell Window End]])</f>
        <v>0</v>
      </c>
      <c r="AG43" s="10"/>
      <c r="AH43" s="10"/>
      <c r="AM43" s="10" t="str" cm="1">
        <f t="array" ref="AM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" s="10" t="str" cm="1">
        <f t="array" ref="AN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" s="4" t="e">
        <f>_xlfn.XLOOKUP(tbl_MTG_Set[[#This Row],[Play Booster Box Product Id]], tbl_Product[Product Id], tbl_Product[Pack Size])</f>
        <v>#N/A</v>
      </c>
      <c r="AP43" s="10" t="e">
        <f>(tbl_MTG_Set[[#This Row],[Play Booster Box Cost]]+v_Item_Shipping_Cost_In)/tbl_MTG_Set[[#This Row],[Play Booster Box Size]]</f>
        <v>#VALUE!</v>
      </c>
      <c r="AQ43" s="10" t="str" cm="1">
        <f t="array" ref="AQ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" s="10"/>
      <c r="AS43" s="10"/>
      <c r="AT43" s="17" t="e">
        <f>tbl_MTG_Set[[#This Row],[Play Booster CardMarket Profit]]/tbl_MTG_Set[[#This Row],[Play Booster Cost]]</f>
        <v>#VALUE!</v>
      </c>
      <c r="AU43" s="10" t="e">
        <f>_xlfn.XLOOKUP(tbl_MTG_Set[[#This Row],[Collector Booster Box Product Id]], tbl_Product[Product Id], tbl_Product[Min Cost])</f>
        <v>#N/A</v>
      </c>
      <c r="AV43" s="10" t="e">
        <f>_xlfn.XLOOKUP(tbl_MTG_Set[[#This Row],[Collector Booster Box Product Id]], tbl_Product[Product Id], tbl_Product[Best Source])</f>
        <v>#N/A</v>
      </c>
      <c r="AW43" s="4" t="e">
        <f>_xlfn.XLOOKUP(tbl_MTG_Set[[#This Row],[Collector Booster Box Product Id]], tbl_Product[Product Id], tbl_Product[Pack Size])</f>
        <v>#N/A</v>
      </c>
      <c r="AX43" s="10" t="e">
        <f>(tbl_MTG_Set[[#This Row],[Collector Booster Box Cost]] + v_Item_Shipping_Cost_In) / tbl_MTG_Set[[#This Row],[Collector Booster Box Size]]</f>
        <v>#N/A</v>
      </c>
      <c r="AY43" s="10" t="str" cm="1">
        <f t="array" ref="AY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" s="10"/>
      <c r="BA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" s="17" t="e">
        <f>tbl_MTG_Set[[#This Row],[Collector Booster CardMarket Profit]]/tbl_MTG_Set[[#This Row],[Collector Booster Cost]]</f>
        <v>#N/A</v>
      </c>
      <c r="BC43" s="10"/>
      <c r="BF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" s="11" t="e">
        <f>tbl_MTG_Set[[#This Row],[Play Singles CardMarket Profit MTG Stocks]]/tbl_MTG_Set[[#This Row],[Play Booster Cost]]</f>
        <v>#VALUE!</v>
      </c>
      <c r="BI43" s="11" t="b">
        <f>tbl_MTG_Set[[#This Row],[Play Singles CardMarket Profit MTG Stocks]]&gt;0</f>
        <v>0</v>
      </c>
      <c r="BM43" s="10" t="e">
        <f>tbl_MTG_Set[[#This Row],[Play Booster Sell Price CardMarket]]*tbl_MTG_Set[[#This Row],[Play Booster Expected Market Value BotBox]]/tbl_MTG_Set[[#This Row],[Play Booster Sealed Market Value BotBox]]</f>
        <v>#VALUE!</v>
      </c>
      <c r="BN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" s="10" t="e">
        <f>tbl_MTG_Set[[#This Row],[Play Singles CardMarket Profit BotBox]]/tbl_MTG_Set[[#This Row],[Play Booster Cost]]</f>
        <v>#VALUE!</v>
      </c>
      <c r="BP43" s="10" t="b">
        <f>tbl_MTG_Set[[#This Row],[Play Singles CardMarket Profit BotBox]]&gt;0</f>
        <v>0</v>
      </c>
      <c r="BQ43" s="10"/>
      <c r="BR43" s="10"/>
      <c r="BS43" s="10"/>
      <c r="BT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" s="19" t="e">
        <f>tbl_MTG_Set[[#This Row],[Collector Singles CardMarket Profit MTG Stocks]]/tbl_MTG_Set[[#This Row],[Collector Booster Cost]]</f>
        <v>#N/A</v>
      </c>
      <c r="BW43" s="10" t="b">
        <f>tbl_MTG_Set[[#This Row],[Collector Singles CardMarket Profit MTG Stocks]]&gt;0</f>
        <v>0</v>
      </c>
      <c r="BX43" s="10"/>
      <c r="BY43" s="10"/>
      <c r="BZ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" s="10" t="e">
        <f>tbl_MTG_Set[[#This Row],[Collector Singles CardMarket Profit BotBox]]/tbl_MTG_Set[[#This Row],[Collector Booster Cost]]</f>
        <v>#N/A</v>
      </c>
      <c r="CC43" s="10" t="b">
        <f>tbl_MTG_Set[[#This Row],[Collector Singles CardMarket Profit BotBox]]&gt;0</f>
        <v>0</v>
      </c>
      <c r="CD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" spans="1:86" hidden="1">
      <c r="A44">
        <v>46</v>
      </c>
      <c r="B44" t="s">
        <v>217</v>
      </c>
      <c r="C44">
        <v>3</v>
      </c>
      <c r="D44" s="3">
        <v>45821</v>
      </c>
      <c r="E44" t="s">
        <v>86</v>
      </c>
      <c r="F44" t="s">
        <v>174</v>
      </c>
      <c r="G44">
        <v>47</v>
      </c>
      <c r="H44">
        <f ca="1">MONTH(NOW())+12*YEAR(NOW())-MONTH(tbl_MTG_Set[[#This Row],[Released On]])-12*YEAR(tbl_MTG_Set[[#This Row],[Released On]])</f>
        <v>9</v>
      </c>
      <c r="I44">
        <f>_xlfn.XLOOKUP(tbl_MTG_Set[[#This Row],[Type Name]], tbl_MTG_Set_Type[Set Type], tbl_MTG_Set_Type[Index], "(Set Type not found)")</f>
        <v>6</v>
      </c>
      <c r="J44">
        <f>_xlfn.XLOOKUP(tbl_MTG_Set[[#This Row],[Type Name]], tbl_MTG_Set_Type[Set Type], tbl_MTG_Set_Type[Buy Window Month Start], "(Set Type not found)")</f>
        <v>3</v>
      </c>
      <c r="K44" s="3">
        <f>tbl_MTG_Set[[#This Row],[Released On]]+tbl_MTG_Set[[#This Row],[Buy Window Month Start]]*365.25/12</f>
        <v>45912.3125</v>
      </c>
      <c r="L44">
        <f>_xlfn.XLOOKUP(tbl_MTG_Set[[#This Row],[Type Name]], tbl_MTG_Set_Type[Set Type], tbl_MTG_Set_Type[Buy Window Month End], "(Set Type not found)", 0, 1)</f>
        <v>6</v>
      </c>
      <c r="M44" s="3">
        <f>tbl_MTG_Set[[#This Row],[Released On]]+tbl_MTG_Set[[#This Row],[Buy Window Month End]]*365.25/12</f>
        <v>46003.625</v>
      </c>
      <c r="N44" s="3" t="b">
        <f ca="1">AND(NOW()&gt;=tbl_MTG_Set[[#This Row],[Buy Window Start]], NOW()&lt;=tbl_MTG_Set[[#This Row],[Buy Window End]])</f>
        <v>0</v>
      </c>
      <c r="O44">
        <f>_xlfn.XLOOKUP(tbl_MTG_Set[[#This Row],[Type Name]], tbl_MTG_Set_Type[Set Type], tbl_MTG_Set_Type[Heavy Printing Window Month Start], "(Set Type not found)", 0, 1)</f>
        <v>0</v>
      </c>
      <c r="P44" s="3">
        <f>tbl_MTG_Set[[#This Row],[Released On]]+tbl_MTG_Set[[#This Row],[Heavy Printing Window Month Start]]*365.25/12</f>
        <v>45821</v>
      </c>
      <c r="Q44">
        <f>_xlfn.XLOOKUP(tbl_MTG_Set[[#This Row],[Type Name]], tbl_MTG_Set_Type[Set Type], tbl_MTG_Set_Type[Heavy Printing Window Month End], "(Set Type not found)", 0, 1)</f>
        <v>0</v>
      </c>
      <c r="R44" s="3">
        <f>tbl_MTG_Set[[#This Row],[Released On]]+tbl_MTG_Set[[#This Row],[Heavy Printing Window Month End]]*365.25/12</f>
        <v>45821</v>
      </c>
      <c r="S44" s="3" t="b">
        <f ca="1">AND(NOW()&gt;=tbl_MTG_Set[[#This Row],[Heavy Printing Window Start]], NOW()&lt;=tbl_MTG_Set[[#This Row],[Heavy Printing Window End]])</f>
        <v>0</v>
      </c>
      <c r="T44">
        <f>_xlfn.XLOOKUP(tbl_MTG_Set[[#This Row],[Type Name]], tbl_MTG_Set_Type[Set Type], tbl_MTG_Set_Type[Sell Window Month Start], "(Set Type not found)", 0, 1)</f>
        <v>0</v>
      </c>
      <c r="U44" s="3">
        <f>tbl_MTG_Set[[#This Row],[Released On]]+tbl_MTG_Set[[#This Row],[Sell Window Month Start]]*365.25/12</f>
        <v>45821</v>
      </c>
      <c r="V44">
        <f>_xlfn.XLOOKUP(tbl_MTG_Set[[#This Row],[Type Name]], tbl_MTG_Set_Type[Set Type], tbl_MTG_Set_Type[Sell Window Month End], "(Set Type not found)", 0, 1)</f>
        <v>0</v>
      </c>
      <c r="W44" s="3">
        <f>tbl_MTG_Set[[#This Row],[Released On]]+tbl_MTG_Set[[#This Row],[Sell Window Month End]]*365.25/12</f>
        <v>45821</v>
      </c>
      <c r="X44" s="3" t="b">
        <f ca="1">AND(NOW()&gt;=tbl_MTG_Set[[#This Row],[Sell Window Start]], NOW()&lt;=tbl_MTG_Set[[#This Row],[Sell Window End]])</f>
        <v>0</v>
      </c>
      <c r="AG44" s="10"/>
      <c r="AH44" s="10"/>
      <c r="AM44" s="10" t="str" cm="1">
        <f t="array" ref="AM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" s="10" t="str" cm="1">
        <f t="array" ref="AN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" s="4" t="e">
        <f>_xlfn.XLOOKUP(tbl_MTG_Set[[#This Row],[Play Booster Box Product Id]], tbl_Product[Product Id], tbl_Product[Pack Size])</f>
        <v>#N/A</v>
      </c>
      <c r="AP44" s="10" t="e">
        <f>(tbl_MTG_Set[[#This Row],[Play Booster Box Cost]]+v_Item_Shipping_Cost_In)/tbl_MTG_Set[[#This Row],[Play Booster Box Size]]</f>
        <v>#VALUE!</v>
      </c>
      <c r="AQ44" s="10" t="str" cm="1">
        <f t="array" ref="AQ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" s="10"/>
      <c r="AS44" s="10"/>
      <c r="AT44" s="17" t="e">
        <f>tbl_MTG_Set[[#This Row],[Play Booster CardMarket Profit]]/tbl_MTG_Set[[#This Row],[Play Booster Cost]]</f>
        <v>#VALUE!</v>
      </c>
      <c r="AU44" s="10" t="e">
        <f>_xlfn.XLOOKUP(tbl_MTG_Set[[#This Row],[Collector Booster Box Product Id]], tbl_Product[Product Id], tbl_Product[Min Cost])</f>
        <v>#N/A</v>
      </c>
      <c r="AV44" s="10" t="e">
        <f>_xlfn.XLOOKUP(tbl_MTG_Set[[#This Row],[Collector Booster Box Product Id]], tbl_Product[Product Id], tbl_Product[Best Source])</f>
        <v>#N/A</v>
      </c>
      <c r="AW44" s="4" t="e">
        <f>_xlfn.XLOOKUP(tbl_MTG_Set[[#This Row],[Collector Booster Box Product Id]], tbl_Product[Product Id], tbl_Product[Pack Size])</f>
        <v>#N/A</v>
      </c>
      <c r="AX44" s="10" t="e">
        <f>(tbl_MTG_Set[[#This Row],[Collector Booster Box Cost]] + v_Item_Shipping_Cost_In) / tbl_MTG_Set[[#This Row],[Collector Booster Box Size]]</f>
        <v>#N/A</v>
      </c>
      <c r="AY44" s="10" t="str" cm="1">
        <f t="array" ref="AY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" s="10"/>
      <c r="BA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" s="17" t="e">
        <f>tbl_MTG_Set[[#This Row],[Collector Booster CardMarket Profit]]/tbl_MTG_Set[[#This Row],[Collector Booster Cost]]</f>
        <v>#N/A</v>
      </c>
      <c r="BC44" s="10"/>
      <c r="BF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" s="11" t="e">
        <f>tbl_MTG_Set[[#This Row],[Play Singles CardMarket Profit MTG Stocks]]/tbl_MTG_Set[[#This Row],[Play Booster Cost]]</f>
        <v>#VALUE!</v>
      </c>
      <c r="BI44" s="11" t="b">
        <f>tbl_MTG_Set[[#This Row],[Play Singles CardMarket Profit MTG Stocks]]&gt;0</f>
        <v>0</v>
      </c>
      <c r="BM44" s="10" t="e">
        <f>tbl_MTG_Set[[#This Row],[Play Booster Sell Price CardMarket]]*tbl_MTG_Set[[#This Row],[Play Booster Expected Market Value BotBox]]/tbl_MTG_Set[[#This Row],[Play Booster Sealed Market Value BotBox]]</f>
        <v>#VALUE!</v>
      </c>
      <c r="BN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" s="10" t="e">
        <f>tbl_MTG_Set[[#This Row],[Play Singles CardMarket Profit BotBox]]/tbl_MTG_Set[[#This Row],[Play Booster Cost]]</f>
        <v>#VALUE!</v>
      </c>
      <c r="BP44" s="10" t="b">
        <f>tbl_MTG_Set[[#This Row],[Play Singles CardMarket Profit BotBox]]&gt;0</f>
        <v>0</v>
      </c>
      <c r="BQ44" s="10"/>
      <c r="BR44" s="10"/>
      <c r="BS44" s="10"/>
      <c r="BT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" s="19" t="e">
        <f>tbl_MTG_Set[[#This Row],[Collector Singles CardMarket Profit MTG Stocks]]/tbl_MTG_Set[[#This Row],[Collector Booster Cost]]</f>
        <v>#N/A</v>
      </c>
      <c r="BW44" s="10" t="b">
        <f>tbl_MTG_Set[[#This Row],[Collector Singles CardMarket Profit MTG Stocks]]&gt;0</f>
        <v>0</v>
      </c>
      <c r="BX44" s="10"/>
      <c r="BY44" s="10"/>
      <c r="BZ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" s="10" t="e">
        <f>tbl_MTG_Set[[#This Row],[Collector Singles CardMarket Profit BotBox]]/tbl_MTG_Set[[#This Row],[Collector Booster Cost]]</f>
        <v>#N/A</v>
      </c>
      <c r="CC44" s="10" t="b">
        <f>tbl_MTG_Set[[#This Row],[Collector Singles CardMarket Profit BotBox]]&gt;0</f>
        <v>0</v>
      </c>
      <c r="CD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" spans="1:86" hidden="1">
      <c r="A45">
        <v>47</v>
      </c>
      <c r="B45" t="s">
        <v>218</v>
      </c>
      <c r="C45">
        <v>2</v>
      </c>
      <c r="D45" s="3">
        <v>45821</v>
      </c>
      <c r="E45" t="s">
        <v>86</v>
      </c>
      <c r="F45" t="s">
        <v>174</v>
      </c>
      <c r="G45">
        <v>48</v>
      </c>
      <c r="H45">
        <f ca="1">MONTH(NOW())+12*YEAR(NOW())-MONTH(tbl_MTG_Set[[#This Row],[Released On]])-12*YEAR(tbl_MTG_Set[[#This Row],[Released On]])</f>
        <v>9</v>
      </c>
      <c r="I45">
        <f>_xlfn.XLOOKUP(tbl_MTG_Set[[#This Row],[Type Name]], tbl_MTG_Set_Type[Set Type], tbl_MTG_Set_Type[Index], "(Set Type not found)")</f>
        <v>6</v>
      </c>
      <c r="J45">
        <f>_xlfn.XLOOKUP(tbl_MTG_Set[[#This Row],[Type Name]], tbl_MTG_Set_Type[Set Type], tbl_MTG_Set_Type[Buy Window Month Start], "(Set Type not found)")</f>
        <v>3</v>
      </c>
      <c r="K45" s="3">
        <f>tbl_MTG_Set[[#This Row],[Released On]]+tbl_MTG_Set[[#This Row],[Buy Window Month Start]]*365.25/12</f>
        <v>45912.3125</v>
      </c>
      <c r="L45">
        <f>_xlfn.XLOOKUP(tbl_MTG_Set[[#This Row],[Type Name]], tbl_MTG_Set_Type[Set Type], tbl_MTG_Set_Type[Buy Window Month End], "(Set Type not found)", 0, 1)</f>
        <v>6</v>
      </c>
      <c r="M45" s="3">
        <f>tbl_MTG_Set[[#This Row],[Released On]]+tbl_MTG_Set[[#This Row],[Buy Window Month End]]*365.25/12</f>
        <v>46003.625</v>
      </c>
      <c r="N45" s="3" t="b">
        <f ca="1">AND(NOW()&gt;=tbl_MTG_Set[[#This Row],[Buy Window Start]], NOW()&lt;=tbl_MTG_Set[[#This Row],[Buy Window End]])</f>
        <v>0</v>
      </c>
      <c r="O45">
        <f>_xlfn.XLOOKUP(tbl_MTG_Set[[#This Row],[Type Name]], tbl_MTG_Set_Type[Set Type], tbl_MTG_Set_Type[Heavy Printing Window Month Start], "(Set Type not found)", 0, 1)</f>
        <v>0</v>
      </c>
      <c r="P45" s="3">
        <f>tbl_MTG_Set[[#This Row],[Released On]]+tbl_MTG_Set[[#This Row],[Heavy Printing Window Month Start]]*365.25/12</f>
        <v>45821</v>
      </c>
      <c r="Q45">
        <f>_xlfn.XLOOKUP(tbl_MTG_Set[[#This Row],[Type Name]], tbl_MTG_Set_Type[Set Type], tbl_MTG_Set_Type[Heavy Printing Window Month End], "(Set Type not found)", 0, 1)</f>
        <v>0</v>
      </c>
      <c r="R45" s="3">
        <f>tbl_MTG_Set[[#This Row],[Released On]]+tbl_MTG_Set[[#This Row],[Heavy Printing Window Month End]]*365.25/12</f>
        <v>45821</v>
      </c>
      <c r="S45" s="3" t="b">
        <f ca="1">AND(NOW()&gt;=tbl_MTG_Set[[#This Row],[Heavy Printing Window Start]], NOW()&lt;=tbl_MTG_Set[[#This Row],[Heavy Printing Window End]])</f>
        <v>0</v>
      </c>
      <c r="T45">
        <f>_xlfn.XLOOKUP(tbl_MTG_Set[[#This Row],[Type Name]], tbl_MTG_Set_Type[Set Type], tbl_MTG_Set_Type[Sell Window Month Start], "(Set Type not found)", 0, 1)</f>
        <v>0</v>
      </c>
      <c r="U45" s="3">
        <f>tbl_MTG_Set[[#This Row],[Released On]]+tbl_MTG_Set[[#This Row],[Sell Window Month Start]]*365.25/12</f>
        <v>45821</v>
      </c>
      <c r="V45">
        <f>_xlfn.XLOOKUP(tbl_MTG_Set[[#This Row],[Type Name]], tbl_MTG_Set_Type[Set Type], tbl_MTG_Set_Type[Sell Window Month End], "(Set Type not found)", 0, 1)</f>
        <v>0</v>
      </c>
      <c r="W45" s="3">
        <f>tbl_MTG_Set[[#This Row],[Released On]]+tbl_MTG_Set[[#This Row],[Sell Window Month End]]*365.25/12</f>
        <v>45821</v>
      </c>
      <c r="X45" s="3" t="b">
        <f ca="1">AND(NOW()&gt;=tbl_MTG_Set[[#This Row],[Sell Window Start]], NOW()&lt;=tbl_MTG_Set[[#This Row],[Sell Window End]])</f>
        <v>0</v>
      </c>
      <c r="AG45" s="10"/>
      <c r="AH45" s="10"/>
      <c r="AM45" s="10" t="str" cm="1">
        <f t="array" ref="AM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" s="10" t="str" cm="1">
        <f t="array" ref="AN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" s="4" t="e">
        <f>_xlfn.XLOOKUP(tbl_MTG_Set[[#This Row],[Play Booster Box Product Id]], tbl_Product[Product Id], tbl_Product[Pack Size])</f>
        <v>#N/A</v>
      </c>
      <c r="AP45" s="10" t="e">
        <f>(tbl_MTG_Set[[#This Row],[Play Booster Box Cost]]+v_Item_Shipping_Cost_In)/tbl_MTG_Set[[#This Row],[Play Booster Box Size]]</f>
        <v>#VALUE!</v>
      </c>
      <c r="AQ45" s="10" t="str" cm="1">
        <f t="array" ref="AQ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" s="10"/>
      <c r="AS45" s="10"/>
      <c r="AT45" s="17" t="e">
        <f>tbl_MTG_Set[[#This Row],[Play Booster CardMarket Profit]]/tbl_MTG_Set[[#This Row],[Play Booster Cost]]</f>
        <v>#VALUE!</v>
      </c>
      <c r="AU45" s="10" t="e">
        <f>_xlfn.XLOOKUP(tbl_MTG_Set[[#This Row],[Collector Booster Box Product Id]], tbl_Product[Product Id], tbl_Product[Min Cost])</f>
        <v>#N/A</v>
      </c>
      <c r="AV45" s="10" t="e">
        <f>_xlfn.XLOOKUP(tbl_MTG_Set[[#This Row],[Collector Booster Box Product Id]], tbl_Product[Product Id], tbl_Product[Best Source])</f>
        <v>#N/A</v>
      </c>
      <c r="AW45" s="4" t="e">
        <f>_xlfn.XLOOKUP(tbl_MTG_Set[[#This Row],[Collector Booster Box Product Id]], tbl_Product[Product Id], tbl_Product[Pack Size])</f>
        <v>#N/A</v>
      </c>
      <c r="AX45" s="10" t="e">
        <f>(tbl_MTG_Set[[#This Row],[Collector Booster Box Cost]] + v_Item_Shipping_Cost_In) / tbl_MTG_Set[[#This Row],[Collector Booster Box Size]]</f>
        <v>#N/A</v>
      </c>
      <c r="AY45" s="10" t="str" cm="1">
        <f t="array" ref="AY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" s="10"/>
      <c r="BA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" s="17" t="e">
        <f>tbl_MTG_Set[[#This Row],[Collector Booster CardMarket Profit]]/tbl_MTG_Set[[#This Row],[Collector Booster Cost]]</f>
        <v>#N/A</v>
      </c>
      <c r="BC45" s="10"/>
      <c r="BF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" s="11" t="e">
        <f>tbl_MTG_Set[[#This Row],[Play Singles CardMarket Profit MTG Stocks]]/tbl_MTG_Set[[#This Row],[Play Booster Cost]]</f>
        <v>#VALUE!</v>
      </c>
      <c r="BI45" s="11" t="b">
        <f>tbl_MTG_Set[[#This Row],[Play Singles CardMarket Profit MTG Stocks]]&gt;0</f>
        <v>0</v>
      </c>
      <c r="BM45" s="10" t="e">
        <f>tbl_MTG_Set[[#This Row],[Play Booster Sell Price CardMarket]]*tbl_MTG_Set[[#This Row],[Play Booster Expected Market Value BotBox]]/tbl_MTG_Set[[#This Row],[Play Booster Sealed Market Value BotBox]]</f>
        <v>#VALUE!</v>
      </c>
      <c r="BN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" s="10" t="e">
        <f>tbl_MTG_Set[[#This Row],[Play Singles CardMarket Profit BotBox]]/tbl_MTG_Set[[#This Row],[Play Booster Cost]]</f>
        <v>#VALUE!</v>
      </c>
      <c r="BP45" s="10" t="b">
        <f>tbl_MTG_Set[[#This Row],[Play Singles CardMarket Profit BotBox]]&gt;0</f>
        <v>0</v>
      </c>
      <c r="BQ45" s="10"/>
      <c r="BR45" s="10"/>
      <c r="BS45" s="10"/>
      <c r="BT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" s="19" t="e">
        <f>tbl_MTG_Set[[#This Row],[Collector Singles CardMarket Profit MTG Stocks]]/tbl_MTG_Set[[#This Row],[Collector Booster Cost]]</f>
        <v>#N/A</v>
      </c>
      <c r="BW45" s="10" t="b">
        <f>tbl_MTG_Set[[#This Row],[Collector Singles CardMarket Profit MTG Stocks]]&gt;0</f>
        <v>0</v>
      </c>
      <c r="BX45" s="10"/>
      <c r="BY45" s="10"/>
      <c r="BZ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" s="10" t="e">
        <f>tbl_MTG_Set[[#This Row],[Collector Singles CardMarket Profit BotBox]]/tbl_MTG_Set[[#This Row],[Collector Booster Cost]]</f>
        <v>#N/A</v>
      </c>
      <c r="CC45" s="10" t="b">
        <f>tbl_MTG_Set[[#This Row],[Collector Singles CardMarket Profit BotBox]]&gt;0</f>
        <v>0</v>
      </c>
      <c r="CD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" spans="1:86" hidden="1">
      <c r="A46">
        <v>48</v>
      </c>
      <c r="B46" t="s">
        <v>219</v>
      </c>
      <c r="C46">
        <v>11</v>
      </c>
      <c r="D46" s="3">
        <v>45782</v>
      </c>
      <c r="F46" t="s">
        <v>174</v>
      </c>
      <c r="G46">
        <v>49</v>
      </c>
      <c r="H46">
        <f ca="1">MONTH(NOW())+12*YEAR(NOW())-MONTH(tbl_MTG_Set[[#This Row],[Released On]])-12*YEAR(tbl_MTG_Set[[#This Row],[Released On]])</f>
        <v>10</v>
      </c>
      <c r="I46" t="str">
        <f>_xlfn.XLOOKUP(tbl_MTG_Set[[#This Row],[Type Name]], tbl_MTG_Set_Type[Set Type], tbl_MTG_Set_Type[Index], "(Set Type not found)")</f>
        <v>(Set Type not found)</v>
      </c>
      <c r="J46" t="str">
        <f>_xlfn.XLOOKUP(tbl_MTG_Set[[#This Row],[Type Name]], tbl_MTG_Set_Type[Set Type], tbl_MTG_Set_Type[Buy Window Month Start], "(Set Type not found)")</f>
        <v>(Set Type not found)</v>
      </c>
      <c r="K46" s="3" t="e">
        <f>tbl_MTG_Set[[#This Row],[Released On]]+tbl_MTG_Set[[#This Row],[Buy Window Month Start]]*365.25/12</f>
        <v>#VALUE!</v>
      </c>
      <c r="L46" t="str">
        <f>_xlfn.XLOOKUP(tbl_MTG_Set[[#This Row],[Type Name]], tbl_MTG_Set_Type[Set Type], tbl_MTG_Set_Type[Buy Window Month End], "(Set Type not found)", 0, 1)</f>
        <v>(Set Type not found)</v>
      </c>
      <c r="M46" s="3" t="e">
        <f>tbl_MTG_Set[[#This Row],[Released On]]+tbl_MTG_Set[[#This Row],[Buy Window Month End]]*365.25/12</f>
        <v>#VALUE!</v>
      </c>
      <c r="N46" s="3" t="e">
        <f ca="1">AND(NOW()&gt;=tbl_MTG_Set[[#This Row],[Buy Window Start]], NOW()&lt;=tbl_MTG_Set[[#This Row],[Buy Window End]])</f>
        <v>#VALUE!</v>
      </c>
      <c r="O46" t="str">
        <f>_xlfn.XLOOKUP(tbl_MTG_Set[[#This Row],[Type Name]], tbl_MTG_Set_Type[Set Type], tbl_MTG_Set_Type[Heavy Printing Window Month Start], "(Set Type not found)", 0, 1)</f>
        <v>(Set Type not found)</v>
      </c>
      <c r="P46" s="3" t="e">
        <f>tbl_MTG_Set[[#This Row],[Released On]]+tbl_MTG_Set[[#This Row],[Heavy Printing Window Month Start]]*365.25/12</f>
        <v>#VALUE!</v>
      </c>
      <c r="Q46" t="str">
        <f>_xlfn.XLOOKUP(tbl_MTG_Set[[#This Row],[Type Name]], tbl_MTG_Set_Type[Set Type], tbl_MTG_Set_Type[Heavy Printing Window Month End], "(Set Type not found)", 0, 1)</f>
        <v>(Set Type not found)</v>
      </c>
      <c r="R46" s="3" t="e">
        <f>tbl_MTG_Set[[#This Row],[Released On]]+tbl_MTG_Set[[#This Row],[Heavy Printing Window Month End]]*365.25/12</f>
        <v>#VALUE!</v>
      </c>
      <c r="S46" s="3" t="e">
        <f ca="1">AND(NOW()&gt;=tbl_MTG_Set[[#This Row],[Heavy Printing Window Start]], NOW()&lt;=tbl_MTG_Set[[#This Row],[Heavy Printing Window End]])</f>
        <v>#VALUE!</v>
      </c>
      <c r="T46" t="str">
        <f>_xlfn.XLOOKUP(tbl_MTG_Set[[#This Row],[Type Name]], tbl_MTG_Set_Type[Set Type], tbl_MTG_Set_Type[Sell Window Month Start], "(Set Type not found)", 0, 1)</f>
        <v>(Set Type not found)</v>
      </c>
      <c r="U46" s="3" t="e">
        <f>tbl_MTG_Set[[#This Row],[Released On]]+tbl_MTG_Set[[#This Row],[Sell Window Month Start]]*365.25/12</f>
        <v>#VALUE!</v>
      </c>
      <c r="V46" t="str">
        <f>_xlfn.XLOOKUP(tbl_MTG_Set[[#This Row],[Type Name]], tbl_MTG_Set_Type[Set Type], tbl_MTG_Set_Type[Sell Window Month End], "(Set Type not found)", 0, 1)</f>
        <v>(Set Type not found)</v>
      </c>
      <c r="W46" s="3" t="e">
        <f>tbl_MTG_Set[[#This Row],[Released On]]+tbl_MTG_Set[[#This Row],[Sell Window Month End]]*365.25/12</f>
        <v>#VALUE!</v>
      </c>
      <c r="X46" s="3" t="e">
        <f ca="1">AND(NOW()&gt;=tbl_MTG_Set[[#This Row],[Sell Window Start]], NOW()&lt;=tbl_MTG_Set[[#This Row],[Sell Window End]])</f>
        <v>#VALUE!</v>
      </c>
      <c r="AG46" s="10"/>
      <c r="AH46" s="10"/>
      <c r="AM46" s="10" t="str" cm="1">
        <f t="array" ref="AM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" s="10" t="str" cm="1">
        <f t="array" ref="AN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" s="4" t="e">
        <f>_xlfn.XLOOKUP(tbl_MTG_Set[[#This Row],[Play Booster Box Product Id]], tbl_Product[Product Id], tbl_Product[Pack Size])</f>
        <v>#N/A</v>
      </c>
      <c r="AP46" s="10" t="e">
        <f>(tbl_MTG_Set[[#This Row],[Play Booster Box Cost]]+v_Item_Shipping_Cost_In)/tbl_MTG_Set[[#This Row],[Play Booster Box Size]]</f>
        <v>#VALUE!</v>
      </c>
      <c r="AQ46" s="10" t="str" cm="1">
        <f t="array" ref="AQ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" s="10"/>
      <c r="AS46" s="10"/>
      <c r="AT46" s="17" t="e">
        <f>tbl_MTG_Set[[#This Row],[Play Booster CardMarket Profit]]/tbl_MTG_Set[[#This Row],[Play Booster Cost]]</f>
        <v>#VALUE!</v>
      </c>
      <c r="AU46" s="10" t="e">
        <f>_xlfn.XLOOKUP(tbl_MTG_Set[[#This Row],[Collector Booster Box Product Id]], tbl_Product[Product Id], tbl_Product[Min Cost])</f>
        <v>#N/A</v>
      </c>
      <c r="AV46" s="10" t="e">
        <f>_xlfn.XLOOKUP(tbl_MTG_Set[[#This Row],[Collector Booster Box Product Id]], tbl_Product[Product Id], tbl_Product[Best Source])</f>
        <v>#N/A</v>
      </c>
      <c r="AW46" s="4" t="e">
        <f>_xlfn.XLOOKUP(tbl_MTG_Set[[#This Row],[Collector Booster Box Product Id]], tbl_Product[Product Id], tbl_Product[Pack Size])</f>
        <v>#N/A</v>
      </c>
      <c r="AX46" s="10" t="e">
        <f>(tbl_MTG_Set[[#This Row],[Collector Booster Box Cost]] + v_Item_Shipping_Cost_In) / tbl_MTG_Set[[#This Row],[Collector Booster Box Size]]</f>
        <v>#N/A</v>
      </c>
      <c r="AY46" s="10" t="str" cm="1">
        <f t="array" ref="AY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" s="10"/>
      <c r="BA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" s="17" t="e">
        <f>tbl_MTG_Set[[#This Row],[Collector Booster CardMarket Profit]]/tbl_MTG_Set[[#This Row],[Collector Booster Cost]]</f>
        <v>#N/A</v>
      </c>
      <c r="BC46" s="10"/>
      <c r="BF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" s="11" t="e">
        <f>tbl_MTG_Set[[#This Row],[Play Singles CardMarket Profit MTG Stocks]]/tbl_MTG_Set[[#This Row],[Play Booster Cost]]</f>
        <v>#VALUE!</v>
      </c>
      <c r="BI46" s="11" t="b">
        <f>tbl_MTG_Set[[#This Row],[Play Singles CardMarket Profit MTG Stocks]]&gt;0</f>
        <v>0</v>
      </c>
      <c r="BM46" s="10" t="e">
        <f>tbl_MTG_Set[[#This Row],[Play Booster Sell Price CardMarket]]*tbl_MTG_Set[[#This Row],[Play Booster Expected Market Value BotBox]]/tbl_MTG_Set[[#This Row],[Play Booster Sealed Market Value BotBox]]</f>
        <v>#VALUE!</v>
      </c>
      <c r="BN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" s="10" t="e">
        <f>tbl_MTG_Set[[#This Row],[Play Singles CardMarket Profit BotBox]]/tbl_MTG_Set[[#This Row],[Play Booster Cost]]</f>
        <v>#VALUE!</v>
      </c>
      <c r="BP46" s="10" t="b">
        <f>tbl_MTG_Set[[#This Row],[Play Singles CardMarket Profit BotBox]]&gt;0</f>
        <v>0</v>
      </c>
      <c r="BQ46" s="10"/>
      <c r="BR46" s="10"/>
      <c r="BS46" s="10"/>
      <c r="BT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" s="19" t="e">
        <f>tbl_MTG_Set[[#This Row],[Collector Singles CardMarket Profit MTG Stocks]]/tbl_MTG_Set[[#This Row],[Collector Booster Cost]]</f>
        <v>#N/A</v>
      </c>
      <c r="BW46" s="10" t="b">
        <f>tbl_MTG_Set[[#This Row],[Collector Singles CardMarket Profit MTG Stocks]]&gt;0</f>
        <v>0</v>
      </c>
      <c r="BX46" s="10"/>
      <c r="BY46" s="10"/>
      <c r="BZ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" s="10" t="e">
        <f>tbl_MTG_Set[[#This Row],[Collector Singles CardMarket Profit BotBox]]/tbl_MTG_Set[[#This Row],[Collector Booster Cost]]</f>
        <v>#N/A</v>
      </c>
      <c r="CC46" s="10" t="b">
        <f>tbl_MTG_Set[[#This Row],[Collector Singles CardMarket Profit BotBox]]&gt;0</f>
        <v>0</v>
      </c>
      <c r="CD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" spans="1:86" hidden="1">
      <c r="A47">
        <v>50</v>
      </c>
      <c r="B47" t="s">
        <v>220</v>
      </c>
      <c r="C47">
        <v>160</v>
      </c>
      <c r="D47" s="3">
        <v>45758</v>
      </c>
      <c r="E47" t="s">
        <v>59</v>
      </c>
      <c r="F47" t="s">
        <v>174</v>
      </c>
      <c r="G47">
        <v>51</v>
      </c>
      <c r="H47">
        <f ca="1">MONTH(NOW())+12*YEAR(NOW())-MONTH(tbl_MTG_Set[[#This Row],[Released On]])-12*YEAR(tbl_MTG_Set[[#This Row],[Released On]])</f>
        <v>11</v>
      </c>
      <c r="I47">
        <f>_xlfn.XLOOKUP(tbl_MTG_Set[[#This Row],[Type Name]], tbl_MTG_Set_Type[Set Type], tbl_MTG_Set_Type[Index], "(Set Type not found)")</f>
        <v>1</v>
      </c>
      <c r="J47">
        <f>_xlfn.XLOOKUP(tbl_MTG_Set[[#This Row],[Type Name]], tbl_MTG_Set_Type[Set Type], tbl_MTG_Set_Type[Buy Window Month Start], "(Set Type not found)")</f>
        <v>18</v>
      </c>
      <c r="K47" s="3">
        <f>tbl_MTG_Set[[#This Row],[Released On]]+tbl_MTG_Set[[#This Row],[Buy Window Month Start]]*365.25/12</f>
        <v>46305.875</v>
      </c>
      <c r="L47">
        <f>_xlfn.XLOOKUP(tbl_MTG_Set[[#This Row],[Type Name]], tbl_MTG_Set_Type[Set Type], tbl_MTG_Set_Type[Buy Window Month End], "(Set Type not found)", 0, 1)</f>
        <v>24</v>
      </c>
      <c r="M47" s="3">
        <f>tbl_MTG_Set[[#This Row],[Released On]]+tbl_MTG_Set[[#This Row],[Buy Window Month End]]*365.25/12</f>
        <v>46488.5</v>
      </c>
      <c r="N47" s="3" t="b">
        <f ca="1">AND(NOW()&gt;=tbl_MTG_Set[[#This Row],[Buy Window Start]], NOW()&lt;=tbl_MTG_Set[[#This Row],[Buy Window End]])</f>
        <v>0</v>
      </c>
      <c r="O47">
        <f>_xlfn.XLOOKUP(tbl_MTG_Set[[#This Row],[Type Name]], tbl_MTG_Set_Type[Set Type], tbl_MTG_Set_Type[Heavy Printing Window Month Start], "(Set Type not found)", 0, 1)</f>
        <v>1</v>
      </c>
      <c r="P47" s="3">
        <f>tbl_MTG_Set[[#This Row],[Released On]]+tbl_MTG_Set[[#This Row],[Heavy Printing Window Month Start]]*365.25/12</f>
        <v>45788.4375</v>
      </c>
      <c r="Q47">
        <f>_xlfn.XLOOKUP(tbl_MTG_Set[[#This Row],[Type Name]], tbl_MTG_Set_Type[Set Type], tbl_MTG_Set_Type[Heavy Printing Window Month End], "(Set Type not found)", 0, 1)</f>
        <v>18</v>
      </c>
      <c r="R47" s="3">
        <f>tbl_MTG_Set[[#This Row],[Released On]]+tbl_MTG_Set[[#This Row],[Heavy Printing Window Month End]]*365.25/12</f>
        <v>46305.875</v>
      </c>
      <c r="S47" s="3" t="b">
        <f ca="1">AND(NOW()&gt;=tbl_MTG_Set[[#This Row],[Heavy Printing Window Start]], NOW()&lt;=tbl_MTG_Set[[#This Row],[Heavy Printing Window End]])</f>
        <v>1</v>
      </c>
      <c r="T47">
        <f>_xlfn.XLOOKUP(tbl_MTG_Set[[#This Row],[Type Name]], tbl_MTG_Set_Type[Set Type], tbl_MTG_Set_Type[Sell Window Month Start], "(Set Type not found)", 0, 1)</f>
        <v>36</v>
      </c>
      <c r="U47" s="3">
        <f>tbl_MTG_Set[[#This Row],[Released On]]+tbl_MTG_Set[[#This Row],[Sell Window Month Start]]*365.25/12</f>
        <v>46853.75</v>
      </c>
      <c r="V47">
        <f>_xlfn.XLOOKUP(tbl_MTG_Set[[#This Row],[Type Name]], tbl_MTG_Set_Type[Set Type], tbl_MTG_Set_Type[Sell Window Month End], "(Set Type not found)", 0, 1)</f>
        <v>48</v>
      </c>
      <c r="W47" s="3">
        <f>tbl_MTG_Set[[#This Row],[Released On]]+tbl_MTG_Set[[#This Row],[Sell Window Month End]]*365.25/12</f>
        <v>47219</v>
      </c>
      <c r="X47" s="3" t="b">
        <f ca="1">AND(NOW()&gt;=tbl_MTG_Set[[#This Row],[Sell Window Start]], NOW()&lt;=tbl_MTG_Set[[#This Row],[Sell Window End]])</f>
        <v>0</v>
      </c>
      <c r="AG47" s="10"/>
      <c r="AH47" s="10"/>
      <c r="AM47" s="10" t="str" cm="1">
        <f t="array" ref="AM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" s="10" t="str" cm="1">
        <f t="array" ref="AN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" s="4" t="e">
        <f>_xlfn.XLOOKUP(tbl_MTG_Set[[#This Row],[Play Booster Box Product Id]], tbl_Product[Product Id], tbl_Product[Pack Size])</f>
        <v>#N/A</v>
      </c>
      <c r="AP47" s="10" t="e">
        <f>(tbl_MTG_Set[[#This Row],[Play Booster Box Cost]]+v_Item_Shipping_Cost_In)/tbl_MTG_Set[[#This Row],[Play Booster Box Size]]</f>
        <v>#VALUE!</v>
      </c>
      <c r="AQ47" s="10" t="str" cm="1">
        <f t="array" ref="AQ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" s="10"/>
      <c r="AS47" s="10"/>
      <c r="AT47" s="17" t="e">
        <f>tbl_MTG_Set[[#This Row],[Play Booster CardMarket Profit]]/tbl_MTG_Set[[#This Row],[Play Booster Cost]]</f>
        <v>#VALUE!</v>
      </c>
      <c r="AU47" s="10" t="e">
        <f>_xlfn.XLOOKUP(tbl_MTG_Set[[#This Row],[Collector Booster Box Product Id]], tbl_Product[Product Id], tbl_Product[Min Cost])</f>
        <v>#N/A</v>
      </c>
      <c r="AV47" s="10" t="e">
        <f>_xlfn.XLOOKUP(tbl_MTG_Set[[#This Row],[Collector Booster Box Product Id]], tbl_Product[Product Id], tbl_Product[Best Source])</f>
        <v>#N/A</v>
      </c>
      <c r="AW47" s="4" t="e">
        <f>_xlfn.XLOOKUP(tbl_MTG_Set[[#This Row],[Collector Booster Box Product Id]], tbl_Product[Product Id], tbl_Product[Pack Size])</f>
        <v>#N/A</v>
      </c>
      <c r="AX47" s="10" t="e">
        <f>(tbl_MTG_Set[[#This Row],[Collector Booster Box Cost]] + v_Item_Shipping_Cost_In) / tbl_MTG_Set[[#This Row],[Collector Booster Box Size]]</f>
        <v>#N/A</v>
      </c>
      <c r="AY47" s="10" t="str" cm="1">
        <f t="array" ref="AY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" s="10"/>
      <c r="BA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" s="17" t="e">
        <f>tbl_MTG_Set[[#This Row],[Collector Booster CardMarket Profit]]/tbl_MTG_Set[[#This Row],[Collector Booster Cost]]</f>
        <v>#N/A</v>
      </c>
      <c r="BC47" s="10"/>
      <c r="BF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" s="11" t="e">
        <f>tbl_MTG_Set[[#This Row],[Play Singles CardMarket Profit MTG Stocks]]/tbl_MTG_Set[[#This Row],[Play Booster Cost]]</f>
        <v>#VALUE!</v>
      </c>
      <c r="BI47" s="11" t="b">
        <f>tbl_MTG_Set[[#This Row],[Play Singles CardMarket Profit MTG Stocks]]&gt;0</f>
        <v>0</v>
      </c>
      <c r="BM47" s="10" t="e">
        <f>tbl_MTG_Set[[#This Row],[Play Booster Sell Price CardMarket]]*tbl_MTG_Set[[#This Row],[Play Booster Expected Market Value BotBox]]/tbl_MTG_Set[[#This Row],[Play Booster Sealed Market Value BotBox]]</f>
        <v>#VALUE!</v>
      </c>
      <c r="BN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" s="10" t="e">
        <f>tbl_MTG_Set[[#This Row],[Play Singles CardMarket Profit BotBox]]/tbl_MTG_Set[[#This Row],[Play Booster Cost]]</f>
        <v>#VALUE!</v>
      </c>
      <c r="BP47" s="10" t="b">
        <f>tbl_MTG_Set[[#This Row],[Play Singles CardMarket Profit BotBox]]&gt;0</f>
        <v>0</v>
      </c>
      <c r="BQ47" s="10"/>
      <c r="BR47" s="10"/>
      <c r="BS47" s="10"/>
      <c r="BT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" s="19" t="e">
        <f>tbl_MTG_Set[[#This Row],[Collector Singles CardMarket Profit MTG Stocks]]/tbl_MTG_Set[[#This Row],[Collector Booster Cost]]</f>
        <v>#N/A</v>
      </c>
      <c r="BW47" s="10" t="b">
        <f>tbl_MTG_Set[[#This Row],[Collector Singles CardMarket Profit MTG Stocks]]&gt;0</f>
        <v>0</v>
      </c>
      <c r="BX47" s="10"/>
      <c r="BY47" s="10"/>
      <c r="BZ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" s="10" t="e">
        <f>tbl_MTG_Set[[#This Row],[Collector Singles CardMarket Profit BotBox]]/tbl_MTG_Set[[#This Row],[Collector Booster Cost]]</f>
        <v>#N/A</v>
      </c>
      <c r="CC47" s="10" t="b">
        <f>tbl_MTG_Set[[#This Row],[Collector Singles CardMarket Profit BotBox]]&gt;0</f>
        <v>0</v>
      </c>
      <c r="CD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" spans="1:86" hidden="1">
      <c r="A48">
        <v>51</v>
      </c>
      <c r="B48" t="s">
        <v>221</v>
      </c>
      <c r="C48">
        <v>16</v>
      </c>
      <c r="D48" s="3">
        <v>45758</v>
      </c>
      <c r="E48" t="s">
        <v>59</v>
      </c>
      <c r="F48" t="s">
        <v>174</v>
      </c>
      <c r="G48">
        <v>52</v>
      </c>
      <c r="H48">
        <f ca="1">MONTH(NOW())+12*YEAR(NOW())-MONTH(tbl_MTG_Set[[#This Row],[Released On]])-12*YEAR(tbl_MTG_Set[[#This Row],[Released On]])</f>
        <v>11</v>
      </c>
      <c r="I48">
        <f>_xlfn.XLOOKUP(tbl_MTG_Set[[#This Row],[Type Name]], tbl_MTG_Set_Type[Set Type], tbl_MTG_Set_Type[Index], "(Set Type not found)")</f>
        <v>1</v>
      </c>
      <c r="J48">
        <f>_xlfn.XLOOKUP(tbl_MTG_Set[[#This Row],[Type Name]], tbl_MTG_Set_Type[Set Type], tbl_MTG_Set_Type[Buy Window Month Start], "(Set Type not found)")</f>
        <v>18</v>
      </c>
      <c r="K48" s="3">
        <f>tbl_MTG_Set[[#This Row],[Released On]]+tbl_MTG_Set[[#This Row],[Buy Window Month Start]]*365.25/12</f>
        <v>46305.875</v>
      </c>
      <c r="L48">
        <f>_xlfn.XLOOKUP(tbl_MTG_Set[[#This Row],[Type Name]], tbl_MTG_Set_Type[Set Type], tbl_MTG_Set_Type[Buy Window Month End], "(Set Type not found)", 0, 1)</f>
        <v>24</v>
      </c>
      <c r="M48" s="3">
        <f>tbl_MTG_Set[[#This Row],[Released On]]+tbl_MTG_Set[[#This Row],[Buy Window Month End]]*365.25/12</f>
        <v>46488.5</v>
      </c>
      <c r="N48" s="3" t="b">
        <f ca="1">AND(NOW()&gt;=tbl_MTG_Set[[#This Row],[Buy Window Start]], NOW()&lt;=tbl_MTG_Set[[#This Row],[Buy Window End]])</f>
        <v>0</v>
      </c>
      <c r="O48">
        <f>_xlfn.XLOOKUP(tbl_MTG_Set[[#This Row],[Type Name]], tbl_MTG_Set_Type[Set Type], tbl_MTG_Set_Type[Heavy Printing Window Month Start], "(Set Type not found)", 0, 1)</f>
        <v>1</v>
      </c>
      <c r="P48" s="3">
        <f>tbl_MTG_Set[[#This Row],[Released On]]+tbl_MTG_Set[[#This Row],[Heavy Printing Window Month Start]]*365.25/12</f>
        <v>45788.4375</v>
      </c>
      <c r="Q48">
        <f>_xlfn.XLOOKUP(tbl_MTG_Set[[#This Row],[Type Name]], tbl_MTG_Set_Type[Set Type], tbl_MTG_Set_Type[Heavy Printing Window Month End], "(Set Type not found)", 0, 1)</f>
        <v>18</v>
      </c>
      <c r="R48" s="3">
        <f>tbl_MTG_Set[[#This Row],[Released On]]+tbl_MTG_Set[[#This Row],[Heavy Printing Window Month End]]*365.25/12</f>
        <v>46305.875</v>
      </c>
      <c r="S48" s="3" t="b">
        <f ca="1">AND(NOW()&gt;=tbl_MTG_Set[[#This Row],[Heavy Printing Window Start]], NOW()&lt;=tbl_MTG_Set[[#This Row],[Heavy Printing Window End]])</f>
        <v>1</v>
      </c>
      <c r="T48">
        <f>_xlfn.XLOOKUP(tbl_MTG_Set[[#This Row],[Type Name]], tbl_MTG_Set_Type[Set Type], tbl_MTG_Set_Type[Sell Window Month Start], "(Set Type not found)", 0, 1)</f>
        <v>36</v>
      </c>
      <c r="U48" s="3">
        <f>tbl_MTG_Set[[#This Row],[Released On]]+tbl_MTG_Set[[#This Row],[Sell Window Month Start]]*365.25/12</f>
        <v>46853.75</v>
      </c>
      <c r="V48">
        <f>_xlfn.XLOOKUP(tbl_MTG_Set[[#This Row],[Type Name]], tbl_MTG_Set_Type[Set Type], tbl_MTG_Set_Type[Sell Window Month End], "(Set Type not found)", 0, 1)</f>
        <v>48</v>
      </c>
      <c r="W48" s="3">
        <f>tbl_MTG_Set[[#This Row],[Released On]]+tbl_MTG_Set[[#This Row],[Sell Window Month End]]*365.25/12</f>
        <v>47219</v>
      </c>
      <c r="X48" s="3" t="b">
        <f ca="1">AND(NOW()&gt;=tbl_MTG_Set[[#This Row],[Sell Window Start]], NOW()&lt;=tbl_MTG_Set[[#This Row],[Sell Window End]])</f>
        <v>0</v>
      </c>
      <c r="AG48" s="10"/>
      <c r="AH48" s="10"/>
      <c r="AM48" s="10" t="str" cm="1">
        <f t="array" ref="AM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" s="10" t="str" cm="1">
        <f t="array" ref="AN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" s="4" t="e">
        <f>_xlfn.XLOOKUP(tbl_MTG_Set[[#This Row],[Play Booster Box Product Id]], tbl_Product[Product Id], tbl_Product[Pack Size])</f>
        <v>#N/A</v>
      </c>
      <c r="AP48" s="10" t="e">
        <f>(tbl_MTG_Set[[#This Row],[Play Booster Box Cost]]+v_Item_Shipping_Cost_In)/tbl_MTG_Set[[#This Row],[Play Booster Box Size]]</f>
        <v>#VALUE!</v>
      </c>
      <c r="AQ48" s="10" t="str" cm="1">
        <f t="array" ref="AQ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" s="10"/>
      <c r="AS48" s="10"/>
      <c r="AT48" s="17" t="e">
        <f>tbl_MTG_Set[[#This Row],[Play Booster CardMarket Profit]]/tbl_MTG_Set[[#This Row],[Play Booster Cost]]</f>
        <v>#VALUE!</v>
      </c>
      <c r="AU48" s="10" t="e">
        <f>_xlfn.XLOOKUP(tbl_MTG_Set[[#This Row],[Collector Booster Box Product Id]], tbl_Product[Product Id], tbl_Product[Min Cost])</f>
        <v>#N/A</v>
      </c>
      <c r="AV48" s="10" t="e">
        <f>_xlfn.XLOOKUP(tbl_MTG_Set[[#This Row],[Collector Booster Box Product Id]], tbl_Product[Product Id], tbl_Product[Best Source])</f>
        <v>#N/A</v>
      </c>
      <c r="AW48" s="4" t="e">
        <f>_xlfn.XLOOKUP(tbl_MTG_Set[[#This Row],[Collector Booster Box Product Id]], tbl_Product[Product Id], tbl_Product[Pack Size])</f>
        <v>#N/A</v>
      </c>
      <c r="AX48" s="10" t="e">
        <f>(tbl_MTG_Set[[#This Row],[Collector Booster Box Cost]] + v_Item_Shipping_Cost_In) / tbl_MTG_Set[[#This Row],[Collector Booster Box Size]]</f>
        <v>#N/A</v>
      </c>
      <c r="AY48" s="10" t="str" cm="1">
        <f t="array" ref="AY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" s="10"/>
      <c r="BA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" s="17" t="e">
        <f>tbl_MTG_Set[[#This Row],[Collector Booster CardMarket Profit]]/tbl_MTG_Set[[#This Row],[Collector Booster Cost]]</f>
        <v>#N/A</v>
      </c>
      <c r="BC48" s="10"/>
      <c r="BF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" s="11" t="e">
        <f>tbl_MTG_Set[[#This Row],[Play Singles CardMarket Profit MTG Stocks]]/tbl_MTG_Set[[#This Row],[Play Booster Cost]]</f>
        <v>#VALUE!</v>
      </c>
      <c r="BI48" s="11" t="b">
        <f>tbl_MTG_Set[[#This Row],[Play Singles CardMarket Profit MTG Stocks]]&gt;0</f>
        <v>0</v>
      </c>
      <c r="BM48" s="10" t="e">
        <f>tbl_MTG_Set[[#This Row],[Play Booster Sell Price CardMarket]]*tbl_MTG_Set[[#This Row],[Play Booster Expected Market Value BotBox]]/tbl_MTG_Set[[#This Row],[Play Booster Sealed Market Value BotBox]]</f>
        <v>#VALUE!</v>
      </c>
      <c r="BN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" s="10" t="e">
        <f>tbl_MTG_Set[[#This Row],[Play Singles CardMarket Profit BotBox]]/tbl_MTG_Set[[#This Row],[Play Booster Cost]]</f>
        <v>#VALUE!</v>
      </c>
      <c r="BP48" s="10" t="b">
        <f>tbl_MTG_Set[[#This Row],[Play Singles CardMarket Profit BotBox]]&gt;0</f>
        <v>0</v>
      </c>
      <c r="BQ48" s="10"/>
      <c r="BR48" s="10"/>
      <c r="BS48" s="10"/>
      <c r="BT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" s="19" t="e">
        <f>tbl_MTG_Set[[#This Row],[Collector Singles CardMarket Profit MTG Stocks]]/tbl_MTG_Set[[#This Row],[Collector Booster Cost]]</f>
        <v>#N/A</v>
      </c>
      <c r="BW48" s="10" t="b">
        <f>tbl_MTG_Set[[#This Row],[Collector Singles CardMarket Profit MTG Stocks]]&gt;0</f>
        <v>0</v>
      </c>
      <c r="BX48" s="10"/>
      <c r="BY48" s="10"/>
      <c r="BZ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" s="10" t="e">
        <f>tbl_MTG_Set[[#This Row],[Collector Singles CardMarket Profit BotBox]]/tbl_MTG_Set[[#This Row],[Collector Booster Cost]]</f>
        <v>#N/A</v>
      </c>
      <c r="CC48" s="10" t="b">
        <f>tbl_MTG_Set[[#This Row],[Collector Singles CardMarket Profit BotBox]]&gt;0</f>
        <v>0</v>
      </c>
      <c r="CD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" spans="1:86" hidden="1">
      <c r="A49">
        <v>52</v>
      </c>
      <c r="B49" t="s">
        <v>222</v>
      </c>
      <c r="C49">
        <v>30</v>
      </c>
      <c r="D49" s="3">
        <v>45776</v>
      </c>
      <c r="E49" t="s">
        <v>59</v>
      </c>
      <c r="F49" t="s">
        <v>174</v>
      </c>
      <c r="G49">
        <v>53</v>
      </c>
      <c r="H49">
        <f ca="1">MONTH(NOW())+12*YEAR(NOW())-MONTH(tbl_MTG_Set[[#This Row],[Released On]])-12*YEAR(tbl_MTG_Set[[#This Row],[Released On]])</f>
        <v>11</v>
      </c>
      <c r="I49">
        <f>_xlfn.XLOOKUP(tbl_MTG_Set[[#This Row],[Type Name]], tbl_MTG_Set_Type[Set Type], tbl_MTG_Set_Type[Index], "(Set Type not found)")</f>
        <v>1</v>
      </c>
      <c r="J49">
        <f>_xlfn.XLOOKUP(tbl_MTG_Set[[#This Row],[Type Name]], tbl_MTG_Set_Type[Set Type], tbl_MTG_Set_Type[Buy Window Month Start], "(Set Type not found)")</f>
        <v>18</v>
      </c>
      <c r="K49" s="3">
        <f>tbl_MTG_Set[[#This Row],[Released On]]+tbl_MTG_Set[[#This Row],[Buy Window Month Start]]*365.25/12</f>
        <v>46323.875</v>
      </c>
      <c r="L49">
        <f>_xlfn.XLOOKUP(tbl_MTG_Set[[#This Row],[Type Name]], tbl_MTG_Set_Type[Set Type], tbl_MTG_Set_Type[Buy Window Month End], "(Set Type not found)", 0, 1)</f>
        <v>24</v>
      </c>
      <c r="M49" s="3">
        <f>tbl_MTG_Set[[#This Row],[Released On]]+tbl_MTG_Set[[#This Row],[Buy Window Month End]]*365.25/12</f>
        <v>46506.5</v>
      </c>
      <c r="N49" s="3" t="b">
        <f ca="1">AND(NOW()&gt;=tbl_MTG_Set[[#This Row],[Buy Window Start]], NOW()&lt;=tbl_MTG_Set[[#This Row],[Buy Window End]])</f>
        <v>0</v>
      </c>
      <c r="O49">
        <f>_xlfn.XLOOKUP(tbl_MTG_Set[[#This Row],[Type Name]], tbl_MTG_Set_Type[Set Type], tbl_MTG_Set_Type[Heavy Printing Window Month Start], "(Set Type not found)", 0, 1)</f>
        <v>1</v>
      </c>
      <c r="P49" s="3">
        <f>tbl_MTG_Set[[#This Row],[Released On]]+tbl_MTG_Set[[#This Row],[Heavy Printing Window Month Start]]*365.25/12</f>
        <v>45806.4375</v>
      </c>
      <c r="Q49">
        <f>_xlfn.XLOOKUP(tbl_MTG_Set[[#This Row],[Type Name]], tbl_MTG_Set_Type[Set Type], tbl_MTG_Set_Type[Heavy Printing Window Month End], "(Set Type not found)", 0, 1)</f>
        <v>18</v>
      </c>
      <c r="R49" s="3">
        <f>tbl_MTG_Set[[#This Row],[Released On]]+tbl_MTG_Set[[#This Row],[Heavy Printing Window Month End]]*365.25/12</f>
        <v>46323.875</v>
      </c>
      <c r="S49" s="3" t="b">
        <f ca="1">AND(NOW()&gt;=tbl_MTG_Set[[#This Row],[Heavy Printing Window Start]], NOW()&lt;=tbl_MTG_Set[[#This Row],[Heavy Printing Window End]])</f>
        <v>1</v>
      </c>
      <c r="T49">
        <f>_xlfn.XLOOKUP(tbl_MTG_Set[[#This Row],[Type Name]], tbl_MTG_Set_Type[Set Type], tbl_MTG_Set_Type[Sell Window Month Start], "(Set Type not found)", 0, 1)</f>
        <v>36</v>
      </c>
      <c r="U49" s="3">
        <f>tbl_MTG_Set[[#This Row],[Released On]]+tbl_MTG_Set[[#This Row],[Sell Window Month Start]]*365.25/12</f>
        <v>46871.75</v>
      </c>
      <c r="V49">
        <f>_xlfn.XLOOKUP(tbl_MTG_Set[[#This Row],[Type Name]], tbl_MTG_Set_Type[Set Type], tbl_MTG_Set_Type[Sell Window Month End], "(Set Type not found)", 0, 1)</f>
        <v>48</v>
      </c>
      <c r="W49" s="3">
        <f>tbl_MTG_Set[[#This Row],[Released On]]+tbl_MTG_Set[[#This Row],[Sell Window Month End]]*365.25/12</f>
        <v>47237</v>
      </c>
      <c r="X49" s="3" t="b">
        <f ca="1">AND(NOW()&gt;=tbl_MTG_Set[[#This Row],[Sell Window Start]], NOW()&lt;=tbl_MTG_Set[[#This Row],[Sell Window End]])</f>
        <v>0</v>
      </c>
      <c r="AG49" s="10"/>
      <c r="AH49" s="10"/>
      <c r="AM49" s="10" t="str" cm="1">
        <f t="array" ref="AM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" s="10" t="str" cm="1">
        <f t="array" ref="AN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" s="4" t="e">
        <f>_xlfn.XLOOKUP(tbl_MTG_Set[[#This Row],[Play Booster Box Product Id]], tbl_Product[Product Id], tbl_Product[Pack Size])</f>
        <v>#N/A</v>
      </c>
      <c r="AP49" s="10" t="e">
        <f>(tbl_MTG_Set[[#This Row],[Play Booster Box Cost]]+v_Item_Shipping_Cost_In)/tbl_MTG_Set[[#This Row],[Play Booster Box Size]]</f>
        <v>#VALUE!</v>
      </c>
      <c r="AQ49" s="10" t="str" cm="1">
        <f t="array" ref="AQ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" s="10"/>
      <c r="AS49" s="10"/>
      <c r="AT49" s="17" t="e">
        <f>tbl_MTG_Set[[#This Row],[Play Booster CardMarket Profit]]/tbl_MTG_Set[[#This Row],[Play Booster Cost]]</f>
        <v>#VALUE!</v>
      </c>
      <c r="AU49" s="10" t="e">
        <f>_xlfn.XLOOKUP(tbl_MTG_Set[[#This Row],[Collector Booster Box Product Id]], tbl_Product[Product Id], tbl_Product[Min Cost])</f>
        <v>#N/A</v>
      </c>
      <c r="AV49" s="10" t="e">
        <f>_xlfn.XLOOKUP(tbl_MTG_Set[[#This Row],[Collector Booster Box Product Id]], tbl_Product[Product Id], tbl_Product[Best Source])</f>
        <v>#N/A</v>
      </c>
      <c r="AW49" s="4" t="e">
        <f>_xlfn.XLOOKUP(tbl_MTG_Set[[#This Row],[Collector Booster Box Product Id]], tbl_Product[Product Id], tbl_Product[Pack Size])</f>
        <v>#N/A</v>
      </c>
      <c r="AX49" s="10" t="e">
        <f>(tbl_MTG_Set[[#This Row],[Collector Booster Box Cost]] + v_Item_Shipping_Cost_In) / tbl_MTG_Set[[#This Row],[Collector Booster Box Size]]</f>
        <v>#N/A</v>
      </c>
      <c r="AY49" s="10" t="str" cm="1">
        <f t="array" ref="AY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" s="10"/>
      <c r="BA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" s="17" t="e">
        <f>tbl_MTG_Set[[#This Row],[Collector Booster CardMarket Profit]]/tbl_MTG_Set[[#This Row],[Collector Booster Cost]]</f>
        <v>#N/A</v>
      </c>
      <c r="BC49" s="10"/>
      <c r="BF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" s="11" t="e">
        <f>tbl_MTG_Set[[#This Row],[Play Singles CardMarket Profit MTG Stocks]]/tbl_MTG_Set[[#This Row],[Play Booster Cost]]</f>
        <v>#VALUE!</v>
      </c>
      <c r="BI49" s="11" t="b">
        <f>tbl_MTG_Set[[#This Row],[Play Singles CardMarket Profit MTG Stocks]]&gt;0</f>
        <v>0</v>
      </c>
      <c r="BM49" s="10" t="e">
        <f>tbl_MTG_Set[[#This Row],[Play Booster Sell Price CardMarket]]*tbl_MTG_Set[[#This Row],[Play Booster Expected Market Value BotBox]]/tbl_MTG_Set[[#This Row],[Play Booster Sealed Market Value BotBox]]</f>
        <v>#VALUE!</v>
      </c>
      <c r="BN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" s="10" t="e">
        <f>tbl_MTG_Set[[#This Row],[Play Singles CardMarket Profit BotBox]]/tbl_MTG_Set[[#This Row],[Play Booster Cost]]</f>
        <v>#VALUE!</v>
      </c>
      <c r="BP49" s="10" t="b">
        <f>tbl_MTG_Set[[#This Row],[Play Singles CardMarket Profit BotBox]]&gt;0</f>
        <v>0</v>
      </c>
      <c r="BQ49" s="10"/>
      <c r="BR49" s="10"/>
      <c r="BS49" s="10"/>
      <c r="BT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" s="19" t="e">
        <f>tbl_MTG_Set[[#This Row],[Collector Singles CardMarket Profit MTG Stocks]]/tbl_MTG_Set[[#This Row],[Collector Booster Cost]]</f>
        <v>#N/A</v>
      </c>
      <c r="BW49" s="10" t="b">
        <f>tbl_MTG_Set[[#This Row],[Collector Singles CardMarket Profit MTG Stocks]]&gt;0</f>
        <v>0</v>
      </c>
      <c r="BX49" s="10"/>
      <c r="BY49" s="10"/>
      <c r="BZ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" s="10" t="e">
        <f>tbl_MTG_Set[[#This Row],[Collector Singles CardMarket Profit BotBox]]/tbl_MTG_Set[[#This Row],[Collector Booster Cost]]</f>
        <v>#N/A</v>
      </c>
      <c r="CC49" s="10" t="b">
        <f>tbl_MTG_Set[[#This Row],[Collector Singles CardMarket Profit BotBox]]&gt;0</f>
        <v>0</v>
      </c>
      <c r="CD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" spans="1:86" hidden="1">
      <c r="A50">
        <v>53</v>
      </c>
      <c r="B50" t="s">
        <v>223</v>
      </c>
      <c r="C50">
        <v>54</v>
      </c>
      <c r="D50" s="3">
        <v>45758</v>
      </c>
      <c r="E50" t="s">
        <v>59</v>
      </c>
      <c r="F50" t="s">
        <v>174</v>
      </c>
      <c r="G50">
        <v>54</v>
      </c>
      <c r="H50">
        <f ca="1">MONTH(NOW())+12*YEAR(NOW())-MONTH(tbl_MTG_Set[[#This Row],[Released On]])-12*YEAR(tbl_MTG_Set[[#This Row],[Released On]])</f>
        <v>11</v>
      </c>
      <c r="I50">
        <f>_xlfn.XLOOKUP(tbl_MTG_Set[[#This Row],[Type Name]], tbl_MTG_Set_Type[Set Type], tbl_MTG_Set_Type[Index], "(Set Type not found)")</f>
        <v>1</v>
      </c>
      <c r="J50">
        <f>_xlfn.XLOOKUP(tbl_MTG_Set[[#This Row],[Type Name]], tbl_MTG_Set_Type[Set Type], tbl_MTG_Set_Type[Buy Window Month Start], "(Set Type not found)")</f>
        <v>18</v>
      </c>
      <c r="K50" s="3">
        <f>tbl_MTG_Set[[#This Row],[Released On]]+tbl_MTG_Set[[#This Row],[Buy Window Month Start]]*365.25/12</f>
        <v>46305.875</v>
      </c>
      <c r="L50">
        <f>_xlfn.XLOOKUP(tbl_MTG_Set[[#This Row],[Type Name]], tbl_MTG_Set_Type[Set Type], tbl_MTG_Set_Type[Buy Window Month End], "(Set Type not found)", 0, 1)</f>
        <v>24</v>
      </c>
      <c r="M50" s="3">
        <f>tbl_MTG_Set[[#This Row],[Released On]]+tbl_MTG_Set[[#This Row],[Buy Window Month End]]*365.25/12</f>
        <v>46488.5</v>
      </c>
      <c r="N50" s="3" t="b">
        <f ca="1">AND(NOW()&gt;=tbl_MTG_Set[[#This Row],[Buy Window Start]], NOW()&lt;=tbl_MTG_Set[[#This Row],[Buy Window End]])</f>
        <v>0</v>
      </c>
      <c r="O50">
        <f>_xlfn.XLOOKUP(tbl_MTG_Set[[#This Row],[Type Name]], tbl_MTG_Set_Type[Set Type], tbl_MTG_Set_Type[Heavy Printing Window Month Start], "(Set Type not found)", 0, 1)</f>
        <v>1</v>
      </c>
      <c r="P50" s="3">
        <f>tbl_MTG_Set[[#This Row],[Released On]]+tbl_MTG_Set[[#This Row],[Heavy Printing Window Month Start]]*365.25/12</f>
        <v>45788.4375</v>
      </c>
      <c r="Q50">
        <f>_xlfn.XLOOKUP(tbl_MTG_Set[[#This Row],[Type Name]], tbl_MTG_Set_Type[Set Type], tbl_MTG_Set_Type[Heavy Printing Window Month End], "(Set Type not found)", 0, 1)</f>
        <v>18</v>
      </c>
      <c r="R50" s="3">
        <f>tbl_MTG_Set[[#This Row],[Released On]]+tbl_MTG_Set[[#This Row],[Heavy Printing Window Month End]]*365.25/12</f>
        <v>46305.875</v>
      </c>
      <c r="S50" s="3" t="b">
        <f ca="1">AND(NOW()&gt;=tbl_MTG_Set[[#This Row],[Heavy Printing Window Start]], NOW()&lt;=tbl_MTG_Set[[#This Row],[Heavy Printing Window End]])</f>
        <v>1</v>
      </c>
      <c r="T50">
        <f>_xlfn.XLOOKUP(tbl_MTG_Set[[#This Row],[Type Name]], tbl_MTG_Set_Type[Set Type], tbl_MTG_Set_Type[Sell Window Month Start], "(Set Type not found)", 0, 1)</f>
        <v>36</v>
      </c>
      <c r="U50" s="3">
        <f>tbl_MTG_Set[[#This Row],[Released On]]+tbl_MTG_Set[[#This Row],[Sell Window Month Start]]*365.25/12</f>
        <v>46853.75</v>
      </c>
      <c r="V50">
        <f>_xlfn.XLOOKUP(tbl_MTG_Set[[#This Row],[Type Name]], tbl_MTG_Set_Type[Set Type], tbl_MTG_Set_Type[Sell Window Month End], "(Set Type not found)", 0, 1)</f>
        <v>48</v>
      </c>
      <c r="W50" s="3">
        <f>tbl_MTG_Set[[#This Row],[Released On]]+tbl_MTG_Set[[#This Row],[Sell Window Month End]]*365.25/12</f>
        <v>47219</v>
      </c>
      <c r="X50" s="3" t="b">
        <f ca="1">AND(NOW()&gt;=tbl_MTG_Set[[#This Row],[Sell Window Start]], NOW()&lt;=tbl_MTG_Set[[#This Row],[Sell Window End]])</f>
        <v>0</v>
      </c>
      <c r="AG50" s="10"/>
      <c r="AH50" s="10"/>
      <c r="AM50" s="10" t="str" cm="1">
        <f t="array" ref="AM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" s="10" t="str" cm="1">
        <f t="array" ref="AN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" s="4" t="e">
        <f>_xlfn.XLOOKUP(tbl_MTG_Set[[#This Row],[Play Booster Box Product Id]], tbl_Product[Product Id], tbl_Product[Pack Size])</f>
        <v>#N/A</v>
      </c>
      <c r="AP50" s="10" t="e">
        <f>(tbl_MTG_Set[[#This Row],[Play Booster Box Cost]]+v_Item_Shipping_Cost_In)/tbl_MTG_Set[[#This Row],[Play Booster Box Size]]</f>
        <v>#VALUE!</v>
      </c>
      <c r="AQ50" s="10" t="str" cm="1">
        <f t="array" ref="AQ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" s="10"/>
      <c r="AS50" s="10"/>
      <c r="AT50" s="17" t="e">
        <f>tbl_MTG_Set[[#This Row],[Play Booster CardMarket Profit]]/tbl_MTG_Set[[#This Row],[Play Booster Cost]]</f>
        <v>#VALUE!</v>
      </c>
      <c r="AU50" s="10" t="e">
        <f>_xlfn.XLOOKUP(tbl_MTG_Set[[#This Row],[Collector Booster Box Product Id]], tbl_Product[Product Id], tbl_Product[Min Cost])</f>
        <v>#N/A</v>
      </c>
      <c r="AV50" s="10" t="e">
        <f>_xlfn.XLOOKUP(tbl_MTG_Set[[#This Row],[Collector Booster Box Product Id]], tbl_Product[Product Id], tbl_Product[Best Source])</f>
        <v>#N/A</v>
      </c>
      <c r="AW50" s="4" t="e">
        <f>_xlfn.XLOOKUP(tbl_MTG_Set[[#This Row],[Collector Booster Box Product Id]], tbl_Product[Product Id], tbl_Product[Pack Size])</f>
        <v>#N/A</v>
      </c>
      <c r="AX50" s="10" t="e">
        <f>(tbl_MTG_Set[[#This Row],[Collector Booster Box Cost]] + v_Item_Shipping_Cost_In) / tbl_MTG_Set[[#This Row],[Collector Booster Box Size]]</f>
        <v>#N/A</v>
      </c>
      <c r="AY50" s="10" t="str" cm="1">
        <f t="array" ref="AY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" s="10"/>
      <c r="BA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" s="17" t="e">
        <f>tbl_MTG_Set[[#This Row],[Collector Booster CardMarket Profit]]/tbl_MTG_Set[[#This Row],[Collector Booster Cost]]</f>
        <v>#N/A</v>
      </c>
      <c r="BC50" s="10"/>
      <c r="BF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" s="11" t="e">
        <f>tbl_MTG_Set[[#This Row],[Play Singles CardMarket Profit MTG Stocks]]/tbl_MTG_Set[[#This Row],[Play Booster Cost]]</f>
        <v>#VALUE!</v>
      </c>
      <c r="BI50" s="11" t="b">
        <f>tbl_MTG_Set[[#This Row],[Play Singles CardMarket Profit MTG Stocks]]&gt;0</f>
        <v>0</v>
      </c>
      <c r="BM50" s="10" t="e">
        <f>tbl_MTG_Set[[#This Row],[Play Booster Sell Price CardMarket]]*tbl_MTG_Set[[#This Row],[Play Booster Expected Market Value BotBox]]/tbl_MTG_Set[[#This Row],[Play Booster Sealed Market Value BotBox]]</f>
        <v>#VALUE!</v>
      </c>
      <c r="BN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" s="10" t="e">
        <f>tbl_MTG_Set[[#This Row],[Play Singles CardMarket Profit BotBox]]/tbl_MTG_Set[[#This Row],[Play Booster Cost]]</f>
        <v>#VALUE!</v>
      </c>
      <c r="BP50" s="10" t="b">
        <f>tbl_MTG_Set[[#This Row],[Play Singles CardMarket Profit BotBox]]&gt;0</f>
        <v>0</v>
      </c>
      <c r="BQ50" s="10"/>
      <c r="BR50" s="10"/>
      <c r="BS50" s="10"/>
      <c r="BT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" s="19" t="e">
        <f>tbl_MTG_Set[[#This Row],[Collector Singles CardMarket Profit MTG Stocks]]/tbl_MTG_Set[[#This Row],[Collector Booster Cost]]</f>
        <v>#N/A</v>
      </c>
      <c r="BW50" s="10" t="b">
        <f>tbl_MTG_Set[[#This Row],[Collector Singles CardMarket Profit MTG Stocks]]&gt;0</f>
        <v>0</v>
      </c>
      <c r="BX50" s="10"/>
      <c r="BY50" s="10"/>
      <c r="BZ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" s="10" t="e">
        <f>tbl_MTG_Set[[#This Row],[Collector Singles CardMarket Profit BotBox]]/tbl_MTG_Set[[#This Row],[Collector Booster Cost]]</f>
        <v>#N/A</v>
      </c>
      <c r="CC50" s="10" t="b">
        <f>tbl_MTG_Set[[#This Row],[Collector Singles CardMarket Profit BotBox]]&gt;0</f>
        <v>0</v>
      </c>
      <c r="CD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" spans="1:86" hidden="1">
      <c r="A51">
        <v>54</v>
      </c>
      <c r="B51" t="s">
        <v>224</v>
      </c>
      <c r="C51">
        <v>413</v>
      </c>
      <c r="D51" s="3">
        <v>45758</v>
      </c>
      <c r="E51" t="s">
        <v>80</v>
      </c>
      <c r="F51" t="s">
        <v>174</v>
      </c>
      <c r="G51">
        <v>55</v>
      </c>
      <c r="H51">
        <f ca="1">MONTH(NOW())+12*YEAR(NOW())-MONTH(tbl_MTG_Set[[#This Row],[Released On]])-12*YEAR(tbl_MTG_Set[[#This Row],[Released On]])</f>
        <v>11</v>
      </c>
      <c r="I51">
        <f>_xlfn.XLOOKUP(tbl_MTG_Set[[#This Row],[Type Name]], tbl_MTG_Set_Type[Set Type], tbl_MTG_Set_Type[Index], "(Set Type not found)")</f>
        <v>5</v>
      </c>
      <c r="J51">
        <f>_xlfn.XLOOKUP(tbl_MTG_Set[[#This Row],[Type Name]], tbl_MTG_Set_Type[Set Type], tbl_MTG_Set_Type[Buy Window Month Start], "(Set Type not found)")</f>
        <v>3</v>
      </c>
      <c r="K51" s="3">
        <f>tbl_MTG_Set[[#This Row],[Released On]]+tbl_MTG_Set[[#This Row],[Buy Window Month Start]]*365.25/12</f>
        <v>45849.3125</v>
      </c>
      <c r="L51">
        <f>_xlfn.XLOOKUP(tbl_MTG_Set[[#This Row],[Type Name]], tbl_MTG_Set_Type[Set Type], tbl_MTG_Set_Type[Buy Window Month End], "(Set Type not found)", 0, 1)</f>
        <v>12</v>
      </c>
      <c r="M51" s="3">
        <f>tbl_MTG_Set[[#This Row],[Released On]]+tbl_MTG_Set[[#This Row],[Buy Window Month End]]*365.25/12</f>
        <v>46123.25</v>
      </c>
      <c r="N51" s="3" t="b">
        <f ca="1">AND(NOW()&gt;=tbl_MTG_Set[[#This Row],[Buy Window Start]], NOW()&lt;=tbl_MTG_Set[[#This Row],[Buy Window End]])</f>
        <v>1</v>
      </c>
      <c r="O51">
        <f>_xlfn.XLOOKUP(tbl_MTG_Set[[#This Row],[Type Name]], tbl_MTG_Set_Type[Set Type], tbl_MTG_Set_Type[Heavy Printing Window Month Start], "(Set Type not found)", 0, 1)</f>
        <v>12</v>
      </c>
      <c r="P51" s="3">
        <f>tbl_MTG_Set[[#This Row],[Released On]]+tbl_MTG_Set[[#This Row],[Heavy Printing Window Month Start]]*365.25/12</f>
        <v>46123.25</v>
      </c>
      <c r="Q51">
        <f>_xlfn.XLOOKUP(tbl_MTG_Set[[#This Row],[Type Name]], tbl_MTG_Set_Type[Set Type], tbl_MTG_Set_Type[Heavy Printing Window Month End], "(Set Type not found)", 0, 1)</f>
        <v>18</v>
      </c>
      <c r="R51" s="3">
        <f>tbl_MTG_Set[[#This Row],[Released On]]+tbl_MTG_Set[[#This Row],[Heavy Printing Window Month End]]*365.25/12</f>
        <v>46305.875</v>
      </c>
      <c r="S51" s="3" t="b">
        <f ca="1">AND(NOW()&gt;=tbl_MTG_Set[[#This Row],[Heavy Printing Window Start]], NOW()&lt;=tbl_MTG_Set[[#This Row],[Heavy Printing Window End]])</f>
        <v>0</v>
      </c>
      <c r="T51">
        <f>_xlfn.XLOOKUP(tbl_MTG_Set[[#This Row],[Type Name]], tbl_MTG_Set_Type[Set Type], tbl_MTG_Set_Type[Sell Window Month Start], "(Set Type not found)", 0, 1)</f>
        <v>24</v>
      </c>
      <c r="U51" s="3">
        <f>tbl_MTG_Set[[#This Row],[Released On]]+tbl_MTG_Set[[#This Row],[Sell Window Month Start]]*365.25/12</f>
        <v>46488.5</v>
      </c>
      <c r="V51">
        <f>_xlfn.XLOOKUP(tbl_MTG_Set[[#This Row],[Type Name]], tbl_MTG_Set_Type[Set Type], tbl_MTG_Set_Type[Sell Window Month End], "(Set Type not found)", 0, 1)</f>
        <v>24</v>
      </c>
      <c r="W51" s="3">
        <f>tbl_MTG_Set[[#This Row],[Released On]]+tbl_MTG_Set[[#This Row],[Sell Window Month End]]*365.25/12</f>
        <v>46488.5</v>
      </c>
      <c r="X51" s="3" t="b">
        <f ca="1">AND(NOW()&gt;=tbl_MTG_Set[[#This Row],[Sell Window Start]], NOW()&lt;=tbl_MTG_Set[[#This Row],[Sell Window End]])</f>
        <v>0</v>
      </c>
      <c r="AG51" s="10"/>
      <c r="AH51" s="10"/>
      <c r="AM51" s="10" t="str" cm="1">
        <f t="array" ref="AM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" s="10" t="str" cm="1">
        <f t="array" ref="AN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" s="4" t="e">
        <f>_xlfn.XLOOKUP(tbl_MTG_Set[[#This Row],[Play Booster Box Product Id]], tbl_Product[Product Id], tbl_Product[Pack Size])</f>
        <v>#N/A</v>
      </c>
      <c r="AP51" s="10" t="e">
        <f>(tbl_MTG_Set[[#This Row],[Play Booster Box Cost]]+v_Item_Shipping_Cost_In)/tbl_MTG_Set[[#This Row],[Play Booster Box Size]]</f>
        <v>#VALUE!</v>
      </c>
      <c r="AQ51" s="10" t="str" cm="1">
        <f t="array" ref="AQ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" s="10"/>
      <c r="AS51" s="10"/>
      <c r="AT51" s="17" t="e">
        <f>tbl_MTG_Set[[#This Row],[Play Booster CardMarket Profit]]/tbl_MTG_Set[[#This Row],[Play Booster Cost]]</f>
        <v>#VALUE!</v>
      </c>
      <c r="AU51" s="10" t="e">
        <f>_xlfn.XLOOKUP(tbl_MTG_Set[[#This Row],[Collector Booster Box Product Id]], tbl_Product[Product Id], tbl_Product[Min Cost])</f>
        <v>#N/A</v>
      </c>
      <c r="AV51" s="10" t="e">
        <f>_xlfn.XLOOKUP(tbl_MTG_Set[[#This Row],[Collector Booster Box Product Id]], tbl_Product[Product Id], tbl_Product[Best Source])</f>
        <v>#N/A</v>
      </c>
      <c r="AW51" s="4" t="e">
        <f>_xlfn.XLOOKUP(tbl_MTG_Set[[#This Row],[Collector Booster Box Product Id]], tbl_Product[Product Id], tbl_Product[Pack Size])</f>
        <v>#N/A</v>
      </c>
      <c r="AX51" s="10" t="e">
        <f>(tbl_MTG_Set[[#This Row],[Collector Booster Box Cost]] + v_Item_Shipping_Cost_In) / tbl_MTG_Set[[#This Row],[Collector Booster Box Size]]</f>
        <v>#N/A</v>
      </c>
      <c r="AY51" s="10" t="str" cm="1">
        <f t="array" ref="AY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" s="10"/>
      <c r="BA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" s="17" t="e">
        <f>tbl_MTG_Set[[#This Row],[Collector Booster CardMarket Profit]]/tbl_MTG_Set[[#This Row],[Collector Booster Cost]]</f>
        <v>#N/A</v>
      </c>
      <c r="BC51" s="10"/>
      <c r="BF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" s="11" t="e">
        <f>tbl_MTG_Set[[#This Row],[Play Singles CardMarket Profit MTG Stocks]]/tbl_MTG_Set[[#This Row],[Play Booster Cost]]</f>
        <v>#VALUE!</v>
      </c>
      <c r="BI51" s="11" t="b">
        <f>tbl_MTG_Set[[#This Row],[Play Singles CardMarket Profit MTG Stocks]]&gt;0</f>
        <v>0</v>
      </c>
      <c r="BM51" s="10" t="e">
        <f>tbl_MTG_Set[[#This Row],[Play Booster Sell Price CardMarket]]*tbl_MTG_Set[[#This Row],[Play Booster Expected Market Value BotBox]]/tbl_MTG_Set[[#This Row],[Play Booster Sealed Market Value BotBox]]</f>
        <v>#VALUE!</v>
      </c>
      <c r="BN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" s="10" t="e">
        <f>tbl_MTG_Set[[#This Row],[Play Singles CardMarket Profit BotBox]]/tbl_MTG_Set[[#This Row],[Play Booster Cost]]</f>
        <v>#VALUE!</v>
      </c>
      <c r="BP51" s="10" t="b">
        <f>tbl_MTG_Set[[#This Row],[Play Singles CardMarket Profit BotBox]]&gt;0</f>
        <v>0</v>
      </c>
      <c r="BQ51" s="10"/>
      <c r="BR51" s="10"/>
      <c r="BS51" s="10"/>
      <c r="BT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" s="19" t="e">
        <f>tbl_MTG_Set[[#This Row],[Collector Singles CardMarket Profit MTG Stocks]]/tbl_MTG_Set[[#This Row],[Collector Booster Cost]]</f>
        <v>#N/A</v>
      </c>
      <c r="BW51" s="10" t="b">
        <f>tbl_MTG_Set[[#This Row],[Collector Singles CardMarket Profit MTG Stocks]]&gt;0</f>
        <v>0</v>
      </c>
      <c r="BX51" s="10"/>
      <c r="BY51" s="10"/>
      <c r="BZ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" s="10" t="e">
        <f>tbl_MTG_Set[[#This Row],[Collector Singles CardMarket Profit BotBox]]/tbl_MTG_Set[[#This Row],[Collector Booster Cost]]</f>
        <v>#N/A</v>
      </c>
      <c r="CC51" s="10" t="b">
        <f>tbl_MTG_Set[[#This Row],[Collector Singles CardMarket Profit BotBox]]&gt;0</f>
        <v>0</v>
      </c>
      <c r="CD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" spans="1:86" hidden="1">
      <c r="A52">
        <v>55</v>
      </c>
      <c r="B52" t="s">
        <v>225</v>
      </c>
      <c r="C52">
        <v>34</v>
      </c>
      <c r="D52" s="3">
        <v>45758</v>
      </c>
      <c r="E52" t="s">
        <v>80</v>
      </c>
      <c r="F52" t="s">
        <v>174</v>
      </c>
      <c r="G52">
        <v>56</v>
      </c>
      <c r="H52">
        <f ca="1">MONTH(NOW())+12*YEAR(NOW())-MONTH(tbl_MTG_Set[[#This Row],[Released On]])-12*YEAR(tbl_MTG_Set[[#This Row],[Released On]])</f>
        <v>11</v>
      </c>
      <c r="I52">
        <f>_xlfn.XLOOKUP(tbl_MTG_Set[[#This Row],[Type Name]], tbl_MTG_Set_Type[Set Type], tbl_MTG_Set_Type[Index], "(Set Type not found)")</f>
        <v>5</v>
      </c>
      <c r="J52">
        <f>_xlfn.XLOOKUP(tbl_MTG_Set[[#This Row],[Type Name]], tbl_MTG_Set_Type[Set Type], tbl_MTG_Set_Type[Buy Window Month Start], "(Set Type not found)")</f>
        <v>3</v>
      </c>
      <c r="K52" s="3">
        <f>tbl_MTG_Set[[#This Row],[Released On]]+tbl_MTG_Set[[#This Row],[Buy Window Month Start]]*365.25/12</f>
        <v>45849.3125</v>
      </c>
      <c r="L52">
        <f>_xlfn.XLOOKUP(tbl_MTG_Set[[#This Row],[Type Name]], tbl_MTG_Set_Type[Set Type], tbl_MTG_Set_Type[Buy Window Month End], "(Set Type not found)", 0, 1)</f>
        <v>12</v>
      </c>
      <c r="M52" s="3">
        <f>tbl_MTG_Set[[#This Row],[Released On]]+tbl_MTG_Set[[#This Row],[Buy Window Month End]]*365.25/12</f>
        <v>46123.25</v>
      </c>
      <c r="N52" s="3" t="b">
        <f ca="1">AND(NOW()&gt;=tbl_MTG_Set[[#This Row],[Buy Window Start]], NOW()&lt;=tbl_MTG_Set[[#This Row],[Buy Window End]])</f>
        <v>1</v>
      </c>
      <c r="O52">
        <f>_xlfn.XLOOKUP(tbl_MTG_Set[[#This Row],[Type Name]], tbl_MTG_Set_Type[Set Type], tbl_MTG_Set_Type[Heavy Printing Window Month Start], "(Set Type not found)", 0, 1)</f>
        <v>12</v>
      </c>
      <c r="P52" s="3">
        <f>tbl_MTG_Set[[#This Row],[Released On]]+tbl_MTG_Set[[#This Row],[Heavy Printing Window Month Start]]*365.25/12</f>
        <v>46123.25</v>
      </c>
      <c r="Q52">
        <f>_xlfn.XLOOKUP(tbl_MTG_Set[[#This Row],[Type Name]], tbl_MTG_Set_Type[Set Type], tbl_MTG_Set_Type[Heavy Printing Window Month End], "(Set Type not found)", 0, 1)</f>
        <v>18</v>
      </c>
      <c r="R52" s="3">
        <f>tbl_MTG_Set[[#This Row],[Released On]]+tbl_MTG_Set[[#This Row],[Heavy Printing Window Month End]]*365.25/12</f>
        <v>46305.875</v>
      </c>
      <c r="S52" s="3" t="b">
        <f ca="1">AND(NOW()&gt;=tbl_MTG_Set[[#This Row],[Heavy Printing Window Start]], NOW()&lt;=tbl_MTG_Set[[#This Row],[Heavy Printing Window End]])</f>
        <v>0</v>
      </c>
      <c r="T52">
        <f>_xlfn.XLOOKUP(tbl_MTG_Set[[#This Row],[Type Name]], tbl_MTG_Set_Type[Set Type], tbl_MTG_Set_Type[Sell Window Month Start], "(Set Type not found)", 0, 1)</f>
        <v>24</v>
      </c>
      <c r="U52" s="3">
        <f>tbl_MTG_Set[[#This Row],[Released On]]+tbl_MTG_Set[[#This Row],[Sell Window Month Start]]*365.25/12</f>
        <v>46488.5</v>
      </c>
      <c r="V52">
        <f>_xlfn.XLOOKUP(tbl_MTG_Set[[#This Row],[Type Name]], tbl_MTG_Set_Type[Set Type], tbl_MTG_Set_Type[Sell Window Month End], "(Set Type not found)", 0, 1)</f>
        <v>24</v>
      </c>
      <c r="W52" s="3">
        <f>tbl_MTG_Set[[#This Row],[Released On]]+tbl_MTG_Set[[#This Row],[Sell Window Month End]]*365.25/12</f>
        <v>46488.5</v>
      </c>
      <c r="X52" s="3" t="b">
        <f ca="1">AND(NOW()&gt;=tbl_MTG_Set[[#This Row],[Sell Window Start]], NOW()&lt;=tbl_MTG_Set[[#This Row],[Sell Window End]])</f>
        <v>0</v>
      </c>
      <c r="AG52" s="10"/>
      <c r="AH52" s="10"/>
      <c r="AM52" s="10" t="str" cm="1">
        <f t="array" ref="AM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" s="10" t="str" cm="1">
        <f t="array" ref="AN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" s="4" t="e">
        <f>_xlfn.XLOOKUP(tbl_MTG_Set[[#This Row],[Play Booster Box Product Id]], tbl_Product[Product Id], tbl_Product[Pack Size])</f>
        <v>#N/A</v>
      </c>
      <c r="AP52" s="10" t="e">
        <f>(tbl_MTG_Set[[#This Row],[Play Booster Box Cost]]+v_Item_Shipping_Cost_In)/tbl_MTG_Set[[#This Row],[Play Booster Box Size]]</f>
        <v>#VALUE!</v>
      </c>
      <c r="AQ52" s="10" t="str" cm="1">
        <f t="array" ref="AQ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" s="10"/>
      <c r="AS52" s="10"/>
      <c r="AT52" s="17" t="e">
        <f>tbl_MTG_Set[[#This Row],[Play Booster CardMarket Profit]]/tbl_MTG_Set[[#This Row],[Play Booster Cost]]</f>
        <v>#VALUE!</v>
      </c>
      <c r="AU52" s="10" t="e">
        <f>_xlfn.XLOOKUP(tbl_MTG_Set[[#This Row],[Collector Booster Box Product Id]], tbl_Product[Product Id], tbl_Product[Min Cost])</f>
        <v>#N/A</v>
      </c>
      <c r="AV52" s="10" t="e">
        <f>_xlfn.XLOOKUP(tbl_MTG_Set[[#This Row],[Collector Booster Box Product Id]], tbl_Product[Product Id], tbl_Product[Best Source])</f>
        <v>#N/A</v>
      </c>
      <c r="AW52" s="4" t="e">
        <f>_xlfn.XLOOKUP(tbl_MTG_Set[[#This Row],[Collector Booster Box Product Id]], tbl_Product[Product Id], tbl_Product[Pack Size])</f>
        <v>#N/A</v>
      </c>
      <c r="AX52" s="10" t="e">
        <f>(tbl_MTG_Set[[#This Row],[Collector Booster Box Cost]] + v_Item_Shipping_Cost_In) / tbl_MTG_Set[[#This Row],[Collector Booster Box Size]]</f>
        <v>#N/A</v>
      </c>
      <c r="AY52" s="10" t="str" cm="1">
        <f t="array" ref="AY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" s="10"/>
      <c r="BA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" s="17" t="e">
        <f>tbl_MTG_Set[[#This Row],[Collector Booster CardMarket Profit]]/tbl_MTG_Set[[#This Row],[Collector Booster Cost]]</f>
        <v>#N/A</v>
      </c>
      <c r="BC52" s="10"/>
      <c r="BF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" s="11" t="e">
        <f>tbl_MTG_Set[[#This Row],[Play Singles CardMarket Profit MTG Stocks]]/tbl_MTG_Set[[#This Row],[Play Booster Cost]]</f>
        <v>#VALUE!</v>
      </c>
      <c r="BI52" s="11" t="b">
        <f>tbl_MTG_Set[[#This Row],[Play Singles CardMarket Profit MTG Stocks]]&gt;0</f>
        <v>0</v>
      </c>
      <c r="BM52" s="10" t="e">
        <f>tbl_MTG_Set[[#This Row],[Play Booster Sell Price CardMarket]]*tbl_MTG_Set[[#This Row],[Play Booster Expected Market Value BotBox]]/tbl_MTG_Set[[#This Row],[Play Booster Sealed Market Value BotBox]]</f>
        <v>#VALUE!</v>
      </c>
      <c r="BN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" s="10" t="e">
        <f>tbl_MTG_Set[[#This Row],[Play Singles CardMarket Profit BotBox]]/tbl_MTG_Set[[#This Row],[Play Booster Cost]]</f>
        <v>#VALUE!</v>
      </c>
      <c r="BP52" s="10" t="b">
        <f>tbl_MTG_Set[[#This Row],[Play Singles CardMarket Profit BotBox]]&gt;0</f>
        <v>0</v>
      </c>
      <c r="BQ52" s="10"/>
      <c r="BR52" s="10"/>
      <c r="BS52" s="10"/>
      <c r="BT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" s="19" t="e">
        <f>tbl_MTG_Set[[#This Row],[Collector Singles CardMarket Profit MTG Stocks]]/tbl_MTG_Set[[#This Row],[Collector Booster Cost]]</f>
        <v>#N/A</v>
      </c>
      <c r="BW52" s="10" t="b">
        <f>tbl_MTG_Set[[#This Row],[Collector Singles CardMarket Profit MTG Stocks]]&gt;0</f>
        <v>0</v>
      </c>
      <c r="BX52" s="10"/>
      <c r="BY52" s="10"/>
      <c r="BZ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" s="10" t="e">
        <f>tbl_MTG_Set[[#This Row],[Collector Singles CardMarket Profit BotBox]]/tbl_MTG_Set[[#This Row],[Collector Booster Cost]]</f>
        <v>#N/A</v>
      </c>
      <c r="CC52" s="10" t="b">
        <f>tbl_MTG_Set[[#This Row],[Collector Singles CardMarket Profit BotBox]]&gt;0</f>
        <v>0</v>
      </c>
      <c r="CD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" spans="1:86" hidden="1">
      <c r="A53">
        <v>56</v>
      </c>
      <c r="B53" t="s">
        <v>226</v>
      </c>
      <c r="C53">
        <v>2</v>
      </c>
      <c r="D53" s="3">
        <v>45742</v>
      </c>
      <c r="F53" t="s">
        <v>174</v>
      </c>
      <c r="G53">
        <v>58</v>
      </c>
      <c r="H53">
        <f ca="1">MONTH(NOW())+12*YEAR(NOW())-MONTH(tbl_MTG_Set[[#This Row],[Released On]])-12*YEAR(tbl_MTG_Set[[#This Row],[Released On]])</f>
        <v>12</v>
      </c>
      <c r="I53" t="str">
        <f>_xlfn.XLOOKUP(tbl_MTG_Set[[#This Row],[Type Name]], tbl_MTG_Set_Type[Set Type], tbl_MTG_Set_Type[Index], "(Set Type not found)")</f>
        <v>(Set Type not found)</v>
      </c>
      <c r="J53" t="str">
        <f>_xlfn.XLOOKUP(tbl_MTG_Set[[#This Row],[Type Name]], tbl_MTG_Set_Type[Set Type], tbl_MTG_Set_Type[Buy Window Month Start], "(Set Type not found)")</f>
        <v>(Set Type not found)</v>
      </c>
      <c r="K53" s="3" t="e">
        <f>tbl_MTG_Set[[#This Row],[Released On]]+tbl_MTG_Set[[#This Row],[Buy Window Month Start]]*365.25/12</f>
        <v>#VALUE!</v>
      </c>
      <c r="L53" t="str">
        <f>_xlfn.XLOOKUP(tbl_MTG_Set[[#This Row],[Type Name]], tbl_MTG_Set_Type[Set Type], tbl_MTG_Set_Type[Buy Window Month End], "(Set Type not found)", 0, 1)</f>
        <v>(Set Type not found)</v>
      </c>
      <c r="M53" s="3" t="e">
        <f>tbl_MTG_Set[[#This Row],[Released On]]+tbl_MTG_Set[[#This Row],[Buy Window Month End]]*365.25/12</f>
        <v>#VALUE!</v>
      </c>
      <c r="N53" s="3" t="e">
        <f ca="1">AND(NOW()&gt;=tbl_MTG_Set[[#This Row],[Buy Window Start]], NOW()&lt;=tbl_MTG_Set[[#This Row],[Buy Window End]])</f>
        <v>#VALUE!</v>
      </c>
      <c r="O53" t="str">
        <f>_xlfn.XLOOKUP(tbl_MTG_Set[[#This Row],[Type Name]], tbl_MTG_Set_Type[Set Type], tbl_MTG_Set_Type[Heavy Printing Window Month Start], "(Set Type not found)", 0, 1)</f>
        <v>(Set Type not found)</v>
      </c>
      <c r="P53" s="3" t="e">
        <f>tbl_MTG_Set[[#This Row],[Released On]]+tbl_MTG_Set[[#This Row],[Heavy Printing Window Month Start]]*365.25/12</f>
        <v>#VALUE!</v>
      </c>
      <c r="Q53" t="str">
        <f>_xlfn.XLOOKUP(tbl_MTG_Set[[#This Row],[Type Name]], tbl_MTG_Set_Type[Set Type], tbl_MTG_Set_Type[Heavy Printing Window Month End], "(Set Type not found)", 0, 1)</f>
        <v>(Set Type not found)</v>
      </c>
      <c r="R53" s="3" t="e">
        <f>tbl_MTG_Set[[#This Row],[Released On]]+tbl_MTG_Set[[#This Row],[Heavy Printing Window Month End]]*365.25/12</f>
        <v>#VALUE!</v>
      </c>
      <c r="S53" s="3" t="e">
        <f ca="1">AND(NOW()&gt;=tbl_MTG_Set[[#This Row],[Heavy Printing Window Start]], NOW()&lt;=tbl_MTG_Set[[#This Row],[Heavy Printing Window End]])</f>
        <v>#VALUE!</v>
      </c>
      <c r="T53" t="str">
        <f>_xlfn.XLOOKUP(tbl_MTG_Set[[#This Row],[Type Name]], tbl_MTG_Set_Type[Set Type], tbl_MTG_Set_Type[Sell Window Month Start], "(Set Type not found)", 0, 1)</f>
        <v>(Set Type not found)</v>
      </c>
      <c r="U53" s="3" t="e">
        <f>tbl_MTG_Set[[#This Row],[Released On]]+tbl_MTG_Set[[#This Row],[Sell Window Month Start]]*365.25/12</f>
        <v>#VALUE!</v>
      </c>
      <c r="V53" t="str">
        <f>_xlfn.XLOOKUP(tbl_MTG_Set[[#This Row],[Type Name]], tbl_MTG_Set_Type[Set Type], tbl_MTG_Set_Type[Sell Window Month End], "(Set Type not found)", 0, 1)</f>
        <v>(Set Type not found)</v>
      </c>
      <c r="W53" s="3" t="e">
        <f>tbl_MTG_Set[[#This Row],[Released On]]+tbl_MTG_Set[[#This Row],[Sell Window Month End]]*365.25/12</f>
        <v>#VALUE!</v>
      </c>
      <c r="X53" s="3" t="e">
        <f ca="1">AND(NOW()&gt;=tbl_MTG_Set[[#This Row],[Sell Window Start]], NOW()&lt;=tbl_MTG_Set[[#This Row],[Sell Window End]])</f>
        <v>#VALUE!</v>
      </c>
      <c r="AG53" s="10"/>
      <c r="AH53" s="10"/>
      <c r="AM53" s="10" t="str" cm="1">
        <f t="array" ref="AM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" s="10" t="str" cm="1">
        <f t="array" ref="AN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" s="4" t="e">
        <f>_xlfn.XLOOKUP(tbl_MTG_Set[[#This Row],[Play Booster Box Product Id]], tbl_Product[Product Id], tbl_Product[Pack Size])</f>
        <v>#N/A</v>
      </c>
      <c r="AP53" s="10" t="e">
        <f>(tbl_MTG_Set[[#This Row],[Play Booster Box Cost]]+v_Item_Shipping_Cost_In)/tbl_MTG_Set[[#This Row],[Play Booster Box Size]]</f>
        <v>#VALUE!</v>
      </c>
      <c r="AQ53" s="10" t="str" cm="1">
        <f t="array" ref="AQ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" s="10"/>
      <c r="AS53" s="10"/>
      <c r="AT53" s="17" t="e">
        <f>tbl_MTG_Set[[#This Row],[Play Booster CardMarket Profit]]/tbl_MTG_Set[[#This Row],[Play Booster Cost]]</f>
        <v>#VALUE!</v>
      </c>
      <c r="AU53" s="10" t="e">
        <f>_xlfn.XLOOKUP(tbl_MTG_Set[[#This Row],[Collector Booster Box Product Id]], tbl_Product[Product Id], tbl_Product[Min Cost])</f>
        <v>#N/A</v>
      </c>
      <c r="AV53" s="10" t="e">
        <f>_xlfn.XLOOKUP(tbl_MTG_Set[[#This Row],[Collector Booster Box Product Id]], tbl_Product[Product Id], tbl_Product[Best Source])</f>
        <v>#N/A</v>
      </c>
      <c r="AW53" s="4" t="e">
        <f>_xlfn.XLOOKUP(tbl_MTG_Set[[#This Row],[Collector Booster Box Product Id]], tbl_Product[Product Id], tbl_Product[Pack Size])</f>
        <v>#N/A</v>
      </c>
      <c r="AX53" s="10" t="e">
        <f>(tbl_MTG_Set[[#This Row],[Collector Booster Box Cost]] + v_Item_Shipping_Cost_In) / tbl_MTG_Set[[#This Row],[Collector Booster Box Size]]</f>
        <v>#N/A</v>
      </c>
      <c r="AY53" s="10" t="str" cm="1">
        <f t="array" ref="AY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" s="10"/>
      <c r="BA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" s="17" t="e">
        <f>tbl_MTG_Set[[#This Row],[Collector Booster CardMarket Profit]]/tbl_MTG_Set[[#This Row],[Collector Booster Cost]]</f>
        <v>#N/A</v>
      </c>
      <c r="BC53" s="10"/>
      <c r="BF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" s="11" t="e">
        <f>tbl_MTG_Set[[#This Row],[Play Singles CardMarket Profit MTG Stocks]]/tbl_MTG_Set[[#This Row],[Play Booster Cost]]</f>
        <v>#VALUE!</v>
      </c>
      <c r="BI53" s="11" t="b">
        <f>tbl_MTG_Set[[#This Row],[Play Singles CardMarket Profit MTG Stocks]]&gt;0</f>
        <v>0</v>
      </c>
      <c r="BM53" s="10" t="e">
        <f>tbl_MTG_Set[[#This Row],[Play Booster Sell Price CardMarket]]*tbl_MTG_Set[[#This Row],[Play Booster Expected Market Value BotBox]]/tbl_MTG_Set[[#This Row],[Play Booster Sealed Market Value BotBox]]</f>
        <v>#VALUE!</v>
      </c>
      <c r="BN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" s="10" t="e">
        <f>tbl_MTG_Set[[#This Row],[Play Singles CardMarket Profit BotBox]]/tbl_MTG_Set[[#This Row],[Play Booster Cost]]</f>
        <v>#VALUE!</v>
      </c>
      <c r="BP53" s="10" t="b">
        <f>tbl_MTG_Set[[#This Row],[Play Singles CardMarket Profit BotBox]]&gt;0</f>
        <v>0</v>
      </c>
      <c r="BQ53" s="10"/>
      <c r="BR53" s="10"/>
      <c r="BS53" s="10"/>
      <c r="BT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" s="19" t="e">
        <f>tbl_MTG_Set[[#This Row],[Collector Singles CardMarket Profit MTG Stocks]]/tbl_MTG_Set[[#This Row],[Collector Booster Cost]]</f>
        <v>#N/A</v>
      </c>
      <c r="BW53" s="10" t="b">
        <f>tbl_MTG_Set[[#This Row],[Collector Singles CardMarket Profit MTG Stocks]]&gt;0</f>
        <v>0</v>
      </c>
      <c r="BX53" s="10"/>
      <c r="BY53" s="10"/>
      <c r="BZ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" s="10" t="e">
        <f>tbl_MTG_Set[[#This Row],[Collector Singles CardMarket Profit BotBox]]/tbl_MTG_Set[[#This Row],[Collector Booster Cost]]</f>
        <v>#N/A</v>
      </c>
      <c r="CC53" s="10" t="b">
        <f>tbl_MTG_Set[[#This Row],[Collector Singles CardMarket Profit BotBox]]&gt;0</f>
        <v>0</v>
      </c>
      <c r="CD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" spans="1:86" hidden="1">
      <c r="A54">
        <v>57</v>
      </c>
      <c r="B54" t="s">
        <v>227</v>
      </c>
      <c r="C54">
        <v>6</v>
      </c>
      <c r="D54" s="3">
        <v>45702</v>
      </c>
      <c r="F54" t="s">
        <v>174</v>
      </c>
      <c r="G54">
        <v>60</v>
      </c>
      <c r="H54">
        <f ca="1">MONTH(NOW())+12*YEAR(NOW())-MONTH(tbl_MTG_Set[[#This Row],[Released On]])-12*YEAR(tbl_MTG_Set[[#This Row],[Released On]])</f>
        <v>13</v>
      </c>
      <c r="I54" t="str">
        <f>_xlfn.XLOOKUP(tbl_MTG_Set[[#This Row],[Type Name]], tbl_MTG_Set_Type[Set Type], tbl_MTG_Set_Type[Index], "(Set Type not found)")</f>
        <v>(Set Type not found)</v>
      </c>
      <c r="J54" t="str">
        <f>_xlfn.XLOOKUP(tbl_MTG_Set[[#This Row],[Type Name]], tbl_MTG_Set_Type[Set Type], tbl_MTG_Set_Type[Buy Window Month Start], "(Set Type not found)")</f>
        <v>(Set Type not found)</v>
      </c>
      <c r="K54" s="3" t="e">
        <f>tbl_MTG_Set[[#This Row],[Released On]]+tbl_MTG_Set[[#This Row],[Buy Window Month Start]]*365.25/12</f>
        <v>#VALUE!</v>
      </c>
      <c r="L54" t="str">
        <f>_xlfn.XLOOKUP(tbl_MTG_Set[[#This Row],[Type Name]], tbl_MTG_Set_Type[Set Type], tbl_MTG_Set_Type[Buy Window Month End], "(Set Type not found)", 0, 1)</f>
        <v>(Set Type not found)</v>
      </c>
      <c r="M54" s="3" t="e">
        <f>tbl_MTG_Set[[#This Row],[Released On]]+tbl_MTG_Set[[#This Row],[Buy Window Month End]]*365.25/12</f>
        <v>#VALUE!</v>
      </c>
      <c r="N54" s="3" t="e">
        <f ca="1">AND(NOW()&gt;=tbl_MTG_Set[[#This Row],[Buy Window Start]], NOW()&lt;=tbl_MTG_Set[[#This Row],[Buy Window End]])</f>
        <v>#VALUE!</v>
      </c>
      <c r="O54" t="str">
        <f>_xlfn.XLOOKUP(tbl_MTG_Set[[#This Row],[Type Name]], tbl_MTG_Set_Type[Set Type], tbl_MTG_Set_Type[Heavy Printing Window Month Start], "(Set Type not found)", 0, 1)</f>
        <v>(Set Type not found)</v>
      </c>
      <c r="P54" s="3" t="e">
        <f>tbl_MTG_Set[[#This Row],[Released On]]+tbl_MTG_Set[[#This Row],[Heavy Printing Window Month Start]]*365.25/12</f>
        <v>#VALUE!</v>
      </c>
      <c r="Q54" t="str">
        <f>_xlfn.XLOOKUP(tbl_MTG_Set[[#This Row],[Type Name]], tbl_MTG_Set_Type[Set Type], tbl_MTG_Set_Type[Heavy Printing Window Month End], "(Set Type not found)", 0, 1)</f>
        <v>(Set Type not found)</v>
      </c>
      <c r="R54" s="3" t="e">
        <f>tbl_MTG_Set[[#This Row],[Released On]]+tbl_MTG_Set[[#This Row],[Heavy Printing Window Month End]]*365.25/12</f>
        <v>#VALUE!</v>
      </c>
      <c r="S54" s="3" t="e">
        <f ca="1">AND(NOW()&gt;=tbl_MTG_Set[[#This Row],[Heavy Printing Window Start]], NOW()&lt;=tbl_MTG_Set[[#This Row],[Heavy Printing Window End]])</f>
        <v>#VALUE!</v>
      </c>
      <c r="T54" t="str">
        <f>_xlfn.XLOOKUP(tbl_MTG_Set[[#This Row],[Type Name]], tbl_MTG_Set_Type[Set Type], tbl_MTG_Set_Type[Sell Window Month Start], "(Set Type not found)", 0, 1)</f>
        <v>(Set Type not found)</v>
      </c>
      <c r="U54" s="3" t="e">
        <f>tbl_MTG_Set[[#This Row],[Released On]]+tbl_MTG_Set[[#This Row],[Sell Window Month Start]]*365.25/12</f>
        <v>#VALUE!</v>
      </c>
      <c r="V54" t="str">
        <f>_xlfn.XLOOKUP(tbl_MTG_Set[[#This Row],[Type Name]], tbl_MTG_Set_Type[Set Type], tbl_MTG_Set_Type[Sell Window Month End], "(Set Type not found)", 0, 1)</f>
        <v>(Set Type not found)</v>
      </c>
      <c r="W54" s="3" t="e">
        <f>tbl_MTG_Set[[#This Row],[Released On]]+tbl_MTG_Set[[#This Row],[Sell Window Month End]]*365.25/12</f>
        <v>#VALUE!</v>
      </c>
      <c r="X54" s="3" t="e">
        <f ca="1">AND(NOW()&gt;=tbl_MTG_Set[[#This Row],[Sell Window Start]], NOW()&lt;=tbl_MTG_Set[[#This Row],[Sell Window End]])</f>
        <v>#VALUE!</v>
      </c>
      <c r="AG54" s="10"/>
      <c r="AH54" s="10"/>
      <c r="AM54" s="10" t="str" cm="1">
        <f t="array" ref="AM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" s="10" t="str" cm="1">
        <f t="array" ref="AN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" s="4" t="e">
        <f>_xlfn.XLOOKUP(tbl_MTG_Set[[#This Row],[Play Booster Box Product Id]], tbl_Product[Product Id], tbl_Product[Pack Size])</f>
        <v>#N/A</v>
      </c>
      <c r="AP54" s="10" t="e">
        <f>(tbl_MTG_Set[[#This Row],[Play Booster Box Cost]]+v_Item_Shipping_Cost_In)/tbl_MTG_Set[[#This Row],[Play Booster Box Size]]</f>
        <v>#VALUE!</v>
      </c>
      <c r="AQ54" s="10" t="str" cm="1">
        <f t="array" ref="AQ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" s="10"/>
      <c r="AS54" s="10"/>
      <c r="AT54" s="17" t="e">
        <f>tbl_MTG_Set[[#This Row],[Play Booster CardMarket Profit]]/tbl_MTG_Set[[#This Row],[Play Booster Cost]]</f>
        <v>#VALUE!</v>
      </c>
      <c r="AU54" s="10" t="e">
        <f>_xlfn.XLOOKUP(tbl_MTG_Set[[#This Row],[Collector Booster Box Product Id]], tbl_Product[Product Id], tbl_Product[Min Cost])</f>
        <v>#N/A</v>
      </c>
      <c r="AV54" s="10" t="e">
        <f>_xlfn.XLOOKUP(tbl_MTG_Set[[#This Row],[Collector Booster Box Product Id]], tbl_Product[Product Id], tbl_Product[Best Source])</f>
        <v>#N/A</v>
      </c>
      <c r="AW54" s="4" t="e">
        <f>_xlfn.XLOOKUP(tbl_MTG_Set[[#This Row],[Collector Booster Box Product Id]], tbl_Product[Product Id], tbl_Product[Pack Size])</f>
        <v>#N/A</v>
      </c>
      <c r="AX54" s="10" t="e">
        <f>(tbl_MTG_Set[[#This Row],[Collector Booster Box Cost]] + v_Item_Shipping_Cost_In) / tbl_MTG_Set[[#This Row],[Collector Booster Box Size]]</f>
        <v>#N/A</v>
      </c>
      <c r="AY54" s="10" t="str" cm="1">
        <f t="array" ref="AY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" s="10"/>
      <c r="BA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" s="17" t="e">
        <f>tbl_MTG_Set[[#This Row],[Collector Booster CardMarket Profit]]/tbl_MTG_Set[[#This Row],[Collector Booster Cost]]</f>
        <v>#N/A</v>
      </c>
      <c r="BC54" s="10"/>
      <c r="BF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" s="11" t="e">
        <f>tbl_MTG_Set[[#This Row],[Play Singles CardMarket Profit MTG Stocks]]/tbl_MTG_Set[[#This Row],[Play Booster Cost]]</f>
        <v>#VALUE!</v>
      </c>
      <c r="BI54" s="11" t="b">
        <f>tbl_MTG_Set[[#This Row],[Play Singles CardMarket Profit MTG Stocks]]&gt;0</f>
        <v>0</v>
      </c>
      <c r="BM54" s="10" t="e">
        <f>tbl_MTG_Set[[#This Row],[Play Booster Sell Price CardMarket]]*tbl_MTG_Set[[#This Row],[Play Booster Expected Market Value BotBox]]/tbl_MTG_Set[[#This Row],[Play Booster Sealed Market Value BotBox]]</f>
        <v>#VALUE!</v>
      </c>
      <c r="BN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" s="10" t="e">
        <f>tbl_MTG_Set[[#This Row],[Play Singles CardMarket Profit BotBox]]/tbl_MTG_Set[[#This Row],[Play Booster Cost]]</f>
        <v>#VALUE!</v>
      </c>
      <c r="BP54" s="10" t="b">
        <f>tbl_MTG_Set[[#This Row],[Play Singles CardMarket Profit BotBox]]&gt;0</f>
        <v>0</v>
      </c>
      <c r="BQ54" s="10"/>
      <c r="BR54" s="10"/>
      <c r="BS54" s="10"/>
      <c r="BT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" s="19" t="e">
        <f>tbl_MTG_Set[[#This Row],[Collector Singles CardMarket Profit MTG Stocks]]/tbl_MTG_Set[[#This Row],[Collector Booster Cost]]</f>
        <v>#N/A</v>
      </c>
      <c r="BW54" s="10" t="b">
        <f>tbl_MTG_Set[[#This Row],[Collector Singles CardMarket Profit MTG Stocks]]&gt;0</f>
        <v>0</v>
      </c>
      <c r="BX54" s="10"/>
      <c r="BY54" s="10"/>
      <c r="BZ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" s="10" t="e">
        <f>tbl_MTG_Set[[#This Row],[Collector Singles CardMarket Profit BotBox]]/tbl_MTG_Set[[#This Row],[Collector Booster Cost]]</f>
        <v>#N/A</v>
      </c>
      <c r="CC54" s="10" t="b">
        <f>tbl_MTG_Set[[#This Row],[Collector Singles CardMarket Profit BotBox]]&gt;0</f>
        <v>0</v>
      </c>
      <c r="CD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" spans="1:86" hidden="1">
      <c r="A55">
        <v>59</v>
      </c>
      <c r="B55" t="s">
        <v>228</v>
      </c>
      <c r="C55">
        <v>160</v>
      </c>
      <c r="D55" s="3">
        <v>45702</v>
      </c>
      <c r="E55" t="s">
        <v>59</v>
      </c>
      <c r="F55" t="s">
        <v>174</v>
      </c>
      <c r="G55">
        <v>64</v>
      </c>
      <c r="H55">
        <f ca="1">MONTH(NOW())+12*YEAR(NOW())-MONTH(tbl_MTG_Set[[#This Row],[Released On]])-12*YEAR(tbl_MTG_Set[[#This Row],[Released On]])</f>
        <v>13</v>
      </c>
      <c r="I55">
        <f>_xlfn.XLOOKUP(tbl_MTG_Set[[#This Row],[Type Name]], tbl_MTG_Set_Type[Set Type], tbl_MTG_Set_Type[Index], "(Set Type not found)")</f>
        <v>1</v>
      </c>
      <c r="J55">
        <f>_xlfn.XLOOKUP(tbl_MTG_Set[[#This Row],[Type Name]], tbl_MTG_Set_Type[Set Type], tbl_MTG_Set_Type[Buy Window Month Start], "(Set Type not found)")</f>
        <v>18</v>
      </c>
      <c r="K55" s="3">
        <f>tbl_MTG_Set[[#This Row],[Released On]]+tbl_MTG_Set[[#This Row],[Buy Window Month Start]]*365.25/12</f>
        <v>46249.875</v>
      </c>
      <c r="L55">
        <f>_xlfn.XLOOKUP(tbl_MTG_Set[[#This Row],[Type Name]], tbl_MTG_Set_Type[Set Type], tbl_MTG_Set_Type[Buy Window Month End], "(Set Type not found)", 0, 1)</f>
        <v>24</v>
      </c>
      <c r="M55" s="3">
        <f>tbl_MTG_Set[[#This Row],[Released On]]+tbl_MTG_Set[[#This Row],[Buy Window Month End]]*365.25/12</f>
        <v>46432.5</v>
      </c>
      <c r="N55" s="3" t="b">
        <f ca="1">AND(NOW()&gt;=tbl_MTG_Set[[#This Row],[Buy Window Start]], NOW()&lt;=tbl_MTG_Set[[#This Row],[Buy Window End]])</f>
        <v>0</v>
      </c>
      <c r="O55">
        <f>_xlfn.XLOOKUP(tbl_MTG_Set[[#This Row],[Type Name]], tbl_MTG_Set_Type[Set Type], tbl_MTG_Set_Type[Heavy Printing Window Month Start], "(Set Type not found)", 0, 1)</f>
        <v>1</v>
      </c>
      <c r="P55" s="3">
        <f>tbl_MTG_Set[[#This Row],[Released On]]+tbl_MTG_Set[[#This Row],[Heavy Printing Window Month Start]]*365.25/12</f>
        <v>45732.4375</v>
      </c>
      <c r="Q55">
        <f>_xlfn.XLOOKUP(tbl_MTG_Set[[#This Row],[Type Name]], tbl_MTG_Set_Type[Set Type], tbl_MTG_Set_Type[Heavy Printing Window Month End], "(Set Type not found)", 0, 1)</f>
        <v>18</v>
      </c>
      <c r="R55" s="3">
        <f>tbl_MTG_Set[[#This Row],[Released On]]+tbl_MTG_Set[[#This Row],[Heavy Printing Window Month End]]*365.25/12</f>
        <v>46249.875</v>
      </c>
      <c r="S55" s="3" t="b">
        <f ca="1">AND(NOW()&gt;=tbl_MTG_Set[[#This Row],[Heavy Printing Window Start]], NOW()&lt;=tbl_MTG_Set[[#This Row],[Heavy Printing Window End]])</f>
        <v>1</v>
      </c>
      <c r="T55">
        <f>_xlfn.XLOOKUP(tbl_MTG_Set[[#This Row],[Type Name]], tbl_MTG_Set_Type[Set Type], tbl_MTG_Set_Type[Sell Window Month Start], "(Set Type not found)", 0, 1)</f>
        <v>36</v>
      </c>
      <c r="U55" s="3">
        <f>tbl_MTG_Set[[#This Row],[Released On]]+tbl_MTG_Set[[#This Row],[Sell Window Month Start]]*365.25/12</f>
        <v>46797.75</v>
      </c>
      <c r="V55">
        <f>_xlfn.XLOOKUP(tbl_MTG_Set[[#This Row],[Type Name]], tbl_MTG_Set_Type[Set Type], tbl_MTG_Set_Type[Sell Window Month End], "(Set Type not found)", 0, 1)</f>
        <v>48</v>
      </c>
      <c r="W55" s="3">
        <f>tbl_MTG_Set[[#This Row],[Released On]]+tbl_MTG_Set[[#This Row],[Sell Window Month End]]*365.25/12</f>
        <v>47163</v>
      </c>
      <c r="X55" s="3" t="b">
        <f ca="1">AND(NOW()&gt;=tbl_MTG_Set[[#This Row],[Sell Window Start]], NOW()&lt;=tbl_MTG_Set[[#This Row],[Sell Window End]])</f>
        <v>0</v>
      </c>
      <c r="AG55" s="10"/>
      <c r="AH55" s="10"/>
      <c r="AM55" s="10" t="str" cm="1">
        <f t="array" ref="AM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" s="10" t="str" cm="1">
        <f t="array" ref="AN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" s="4" t="e">
        <f>_xlfn.XLOOKUP(tbl_MTG_Set[[#This Row],[Play Booster Box Product Id]], tbl_Product[Product Id], tbl_Product[Pack Size])</f>
        <v>#N/A</v>
      </c>
      <c r="AP55" s="10" t="e">
        <f>(tbl_MTG_Set[[#This Row],[Play Booster Box Cost]]+v_Item_Shipping_Cost_In)/tbl_MTG_Set[[#This Row],[Play Booster Box Size]]</f>
        <v>#VALUE!</v>
      </c>
      <c r="AQ55" s="10" t="str" cm="1">
        <f t="array" ref="AQ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" s="10"/>
      <c r="AS55" s="10"/>
      <c r="AT55" s="17" t="e">
        <f>tbl_MTG_Set[[#This Row],[Play Booster CardMarket Profit]]/tbl_MTG_Set[[#This Row],[Play Booster Cost]]</f>
        <v>#VALUE!</v>
      </c>
      <c r="AU55" s="10" t="e">
        <f>_xlfn.XLOOKUP(tbl_MTG_Set[[#This Row],[Collector Booster Box Product Id]], tbl_Product[Product Id], tbl_Product[Min Cost])</f>
        <v>#N/A</v>
      </c>
      <c r="AV55" s="10" t="e">
        <f>_xlfn.XLOOKUP(tbl_MTG_Set[[#This Row],[Collector Booster Box Product Id]], tbl_Product[Product Id], tbl_Product[Best Source])</f>
        <v>#N/A</v>
      </c>
      <c r="AW55" s="4" t="e">
        <f>_xlfn.XLOOKUP(tbl_MTG_Set[[#This Row],[Collector Booster Box Product Id]], tbl_Product[Product Id], tbl_Product[Pack Size])</f>
        <v>#N/A</v>
      </c>
      <c r="AX55" s="10" t="e">
        <f>(tbl_MTG_Set[[#This Row],[Collector Booster Box Cost]] + v_Item_Shipping_Cost_In) / tbl_MTG_Set[[#This Row],[Collector Booster Box Size]]</f>
        <v>#N/A</v>
      </c>
      <c r="AY55" s="10" t="str" cm="1">
        <f t="array" ref="AY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" s="10"/>
      <c r="BA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" s="17" t="e">
        <f>tbl_MTG_Set[[#This Row],[Collector Booster CardMarket Profit]]/tbl_MTG_Set[[#This Row],[Collector Booster Cost]]</f>
        <v>#N/A</v>
      </c>
      <c r="BC55" s="10"/>
      <c r="BF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" s="11" t="e">
        <f>tbl_MTG_Set[[#This Row],[Play Singles CardMarket Profit MTG Stocks]]/tbl_MTG_Set[[#This Row],[Play Booster Cost]]</f>
        <v>#VALUE!</v>
      </c>
      <c r="BI55" s="11" t="b">
        <f>tbl_MTG_Set[[#This Row],[Play Singles CardMarket Profit MTG Stocks]]&gt;0</f>
        <v>0</v>
      </c>
      <c r="BM55" s="10" t="e">
        <f>tbl_MTG_Set[[#This Row],[Play Booster Sell Price CardMarket]]*tbl_MTG_Set[[#This Row],[Play Booster Expected Market Value BotBox]]/tbl_MTG_Set[[#This Row],[Play Booster Sealed Market Value BotBox]]</f>
        <v>#VALUE!</v>
      </c>
      <c r="BN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" s="10" t="e">
        <f>tbl_MTG_Set[[#This Row],[Play Singles CardMarket Profit BotBox]]/tbl_MTG_Set[[#This Row],[Play Booster Cost]]</f>
        <v>#VALUE!</v>
      </c>
      <c r="BP55" s="10" t="b">
        <f>tbl_MTG_Set[[#This Row],[Play Singles CardMarket Profit BotBox]]&gt;0</f>
        <v>0</v>
      </c>
      <c r="BQ55" s="10"/>
      <c r="BR55" s="10"/>
      <c r="BS55" s="10"/>
      <c r="BT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" s="19" t="e">
        <f>tbl_MTG_Set[[#This Row],[Collector Singles CardMarket Profit MTG Stocks]]/tbl_MTG_Set[[#This Row],[Collector Booster Cost]]</f>
        <v>#N/A</v>
      </c>
      <c r="BW55" s="10" t="b">
        <f>tbl_MTG_Set[[#This Row],[Collector Singles CardMarket Profit MTG Stocks]]&gt;0</f>
        <v>0</v>
      </c>
      <c r="BX55" s="10"/>
      <c r="BY55" s="10"/>
      <c r="BZ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" s="10" t="e">
        <f>tbl_MTG_Set[[#This Row],[Collector Singles CardMarket Profit BotBox]]/tbl_MTG_Set[[#This Row],[Collector Booster Cost]]</f>
        <v>#N/A</v>
      </c>
      <c r="CC55" s="10" t="b">
        <f>tbl_MTG_Set[[#This Row],[Collector Singles CardMarket Profit BotBox]]&gt;0</f>
        <v>0</v>
      </c>
      <c r="CD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" spans="1:86" hidden="1">
      <c r="A56">
        <v>60</v>
      </c>
      <c r="B56" t="s">
        <v>229</v>
      </c>
      <c r="C56">
        <v>14</v>
      </c>
      <c r="D56" s="3">
        <v>45702</v>
      </c>
      <c r="E56" t="s">
        <v>59</v>
      </c>
      <c r="F56" t="s">
        <v>174</v>
      </c>
      <c r="G56">
        <v>66</v>
      </c>
      <c r="H56">
        <f ca="1">MONTH(NOW())+12*YEAR(NOW())-MONTH(tbl_MTG_Set[[#This Row],[Released On]])-12*YEAR(tbl_MTG_Set[[#This Row],[Released On]])</f>
        <v>13</v>
      </c>
      <c r="I56">
        <f>_xlfn.XLOOKUP(tbl_MTG_Set[[#This Row],[Type Name]], tbl_MTG_Set_Type[Set Type], tbl_MTG_Set_Type[Index], "(Set Type not found)")</f>
        <v>1</v>
      </c>
      <c r="J56">
        <f>_xlfn.XLOOKUP(tbl_MTG_Set[[#This Row],[Type Name]], tbl_MTG_Set_Type[Set Type], tbl_MTG_Set_Type[Buy Window Month Start], "(Set Type not found)")</f>
        <v>18</v>
      </c>
      <c r="K56" s="3">
        <f>tbl_MTG_Set[[#This Row],[Released On]]+tbl_MTG_Set[[#This Row],[Buy Window Month Start]]*365.25/12</f>
        <v>46249.875</v>
      </c>
      <c r="L56">
        <f>_xlfn.XLOOKUP(tbl_MTG_Set[[#This Row],[Type Name]], tbl_MTG_Set_Type[Set Type], tbl_MTG_Set_Type[Buy Window Month End], "(Set Type not found)", 0, 1)</f>
        <v>24</v>
      </c>
      <c r="M56" s="3">
        <f>tbl_MTG_Set[[#This Row],[Released On]]+tbl_MTG_Set[[#This Row],[Buy Window Month End]]*365.25/12</f>
        <v>46432.5</v>
      </c>
      <c r="N56" s="3" t="b">
        <f ca="1">AND(NOW()&gt;=tbl_MTG_Set[[#This Row],[Buy Window Start]], NOW()&lt;=tbl_MTG_Set[[#This Row],[Buy Window End]])</f>
        <v>0</v>
      </c>
      <c r="O56">
        <f>_xlfn.XLOOKUP(tbl_MTG_Set[[#This Row],[Type Name]], tbl_MTG_Set_Type[Set Type], tbl_MTG_Set_Type[Heavy Printing Window Month Start], "(Set Type not found)", 0, 1)</f>
        <v>1</v>
      </c>
      <c r="P56" s="3">
        <f>tbl_MTG_Set[[#This Row],[Released On]]+tbl_MTG_Set[[#This Row],[Heavy Printing Window Month Start]]*365.25/12</f>
        <v>45732.4375</v>
      </c>
      <c r="Q56">
        <f>_xlfn.XLOOKUP(tbl_MTG_Set[[#This Row],[Type Name]], tbl_MTG_Set_Type[Set Type], tbl_MTG_Set_Type[Heavy Printing Window Month End], "(Set Type not found)", 0, 1)</f>
        <v>18</v>
      </c>
      <c r="R56" s="3">
        <f>tbl_MTG_Set[[#This Row],[Released On]]+tbl_MTG_Set[[#This Row],[Heavy Printing Window Month End]]*365.25/12</f>
        <v>46249.875</v>
      </c>
      <c r="S56" s="3" t="b">
        <f ca="1">AND(NOW()&gt;=tbl_MTG_Set[[#This Row],[Heavy Printing Window Start]], NOW()&lt;=tbl_MTG_Set[[#This Row],[Heavy Printing Window End]])</f>
        <v>1</v>
      </c>
      <c r="T56">
        <f>_xlfn.XLOOKUP(tbl_MTG_Set[[#This Row],[Type Name]], tbl_MTG_Set_Type[Set Type], tbl_MTG_Set_Type[Sell Window Month Start], "(Set Type not found)", 0, 1)</f>
        <v>36</v>
      </c>
      <c r="U56" s="3">
        <f>tbl_MTG_Set[[#This Row],[Released On]]+tbl_MTG_Set[[#This Row],[Sell Window Month Start]]*365.25/12</f>
        <v>46797.75</v>
      </c>
      <c r="V56">
        <f>_xlfn.XLOOKUP(tbl_MTG_Set[[#This Row],[Type Name]], tbl_MTG_Set_Type[Set Type], tbl_MTG_Set_Type[Sell Window Month End], "(Set Type not found)", 0, 1)</f>
        <v>48</v>
      </c>
      <c r="W56" s="3">
        <f>tbl_MTG_Set[[#This Row],[Released On]]+tbl_MTG_Set[[#This Row],[Sell Window Month End]]*365.25/12</f>
        <v>47163</v>
      </c>
      <c r="X56" s="3" t="b">
        <f ca="1">AND(NOW()&gt;=tbl_MTG_Set[[#This Row],[Sell Window Start]], NOW()&lt;=tbl_MTG_Set[[#This Row],[Sell Window End]])</f>
        <v>0</v>
      </c>
      <c r="AG56" s="10"/>
      <c r="AH56" s="10"/>
      <c r="AM56" s="10" t="str" cm="1">
        <f t="array" ref="AM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" s="10" t="str" cm="1">
        <f t="array" ref="AN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" s="4" t="e">
        <f>_xlfn.XLOOKUP(tbl_MTG_Set[[#This Row],[Play Booster Box Product Id]], tbl_Product[Product Id], tbl_Product[Pack Size])</f>
        <v>#N/A</v>
      </c>
      <c r="AP56" s="10" t="e">
        <f>(tbl_MTG_Set[[#This Row],[Play Booster Box Cost]]+v_Item_Shipping_Cost_In)/tbl_MTG_Set[[#This Row],[Play Booster Box Size]]</f>
        <v>#VALUE!</v>
      </c>
      <c r="AQ56" s="10" t="str" cm="1">
        <f t="array" ref="AQ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" s="10"/>
      <c r="AS56" s="10"/>
      <c r="AT56" s="17" t="e">
        <f>tbl_MTG_Set[[#This Row],[Play Booster CardMarket Profit]]/tbl_MTG_Set[[#This Row],[Play Booster Cost]]</f>
        <v>#VALUE!</v>
      </c>
      <c r="AU56" s="10" t="e">
        <f>_xlfn.XLOOKUP(tbl_MTG_Set[[#This Row],[Collector Booster Box Product Id]], tbl_Product[Product Id], tbl_Product[Min Cost])</f>
        <v>#N/A</v>
      </c>
      <c r="AV56" s="10" t="e">
        <f>_xlfn.XLOOKUP(tbl_MTG_Set[[#This Row],[Collector Booster Box Product Id]], tbl_Product[Product Id], tbl_Product[Best Source])</f>
        <v>#N/A</v>
      </c>
      <c r="AW56" s="4" t="e">
        <f>_xlfn.XLOOKUP(tbl_MTG_Set[[#This Row],[Collector Booster Box Product Id]], tbl_Product[Product Id], tbl_Product[Pack Size])</f>
        <v>#N/A</v>
      </c>
      <c r="AX56" s="10" t="e">
        <f>(tbl_MTG_Set[[#This Row],[Collector Booster Box Cost]] + v_Item_Shipping_Cost_In) / tbl_MTG_Set[[#This Row],[Collector Booster Box Size]]</f>
        <v>#N/A</v>
      </c>
      <c r="AY56" s="10" t="str" cm="1">
        <f t="array" ref="AY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" s="10"/>
      <c r="BA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" s="17" t="e">
        <f>tbl_MTG_Set[[#This Row],[Collector Booster CardMarket Profit]]/tbl_MTG_Set[[#This Row],[Collector Booster Cost]]</f>
        <v>#N/A</v>
      </c>
      <c r="BC56" s="10"/>
      <c r="BF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" s="11" t="e">
        <f>tbl_MTG_Set[[#This Row],[Play Singles CardMarket Profit MTG Stocks]]/tbl_MTG_Set[[#This Row],[Play Booster Cost]]</f>
        <v>#VALUE!</v>
      </c>
      <c r="BI56" s="11" t="b">
        <f>tbl_MTG_Set[[#This Row],[Play Singles CardMarket Profit MTG Stocks]]&gt;0</f>
        <v>0</v>
      </c>
      <c r="BM56" s="10" t="e">
        <f>tbl_MTG_Set[[#This Row],[Play Booster Sell Price CardMarket]]*tbl_MTG_Set[[#This Row],[Play Booster Expected Market Value BotBox]]/tbl_MTG_Set[[#This Row],[Play Booster Sealed Market Value BotBox]]</f>
        <v>#VALUE!</v>
      </c>
      <c r="BN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" s="10" t="e">
        <f>tbl_MTG_Set[[#This Row],[Play Singles CardMarket Profit BotBox]]/tbl_MTG_Set[[#This Row],[Play Booster Cost]]</f>
        <v>#VALUE!</v>
      </c>
      <c r="BP56" s="10" t="b">
        <f>tbl_MTG_Set[[#This Row],[Play Singles CardMarket Profit BotBox]]&gt;0</f>
        <v>0</v>
      </c>
      <c r="BQ56" s="10"/>
      <c r="BR56" s="10"/>
      <c r="BS56" s="10"/>
      <c r="BT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" s="19" t="e">
        <f>tbl_MTG_Set[[#This Row],[Collector Singles CardMarket Profit MTG Stocks]]/tbl_MTG_Set[[#This Row],[Collector Booster Cost]]</f>
        <v>#N/A</v>
      </c>
      <c r="BW56" s="10" t="b">
        <f>tbl_MTG_Set[[#This Row],[Collector Singles CardMarket Profit MTG Stocks]]&gt;0</f>
        <v>0</v>
      </c>
      <c r="BX56" s="10"/>
      <c r="BY56" s="10"/>
      <c r="BZ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" s="10" t="e">
        <f>tbl_MTG_Set[[#This Row],[Collector Singles CardMarket Profit BotBox]]/tbl_MTG_Set[[#This Row],[Collector Booster Cost]]</f>
        <v>#N/A</v>
      </c>
      <c r="CC56" s="10" t="b">
        <f>tbl_MTG_Set[[#This Row],[Collector Singles CardMarket Profit BotBox]]&gt;0</f>
        <v>0</v>
      </c>
      <c r="CD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" spans="1:86" hidden="1">
      <c r="A57">
        <v>61</v>
      </c>
      <c r="B57" t="s">
        <v>230</v>
      </c>
      <c r="C57">
        <v>30</v>
      </c>
      <c r="D57" s="3">
        <v>45720</v>
      </c>
      <c r="E57" t="s">
        <v>59</v>
      </c>
      <c r="F57" t="s">
        <v>174</v>
      </c>
      <c r="G57">
        <v>68</v>
      </c>
      <c r="H57">
        <f ca="1">MONTH(NOW())+12*YEAR(NOW())-MONTH(tbl_MTG_Set[[#This Row],[Released On]])-12*YEAR(tbl_MTG_Set[[#This Row],[Released On]])</f>
        <v>12</v>
      </c>
      <c r="I57">
        <f>_xlfn.XLOOKUP(tbl_MTG_Set[[#This Row],[Type Name]], tbl_MTG_Set_Type[Set Type], tbl_MTG_Set_Type[Index], "(Set Type not found)")</f>
        <v>1</v>
      </c>
      <c r="J57">
        <f>_xlfn.XLOOKUP(tbl_MTG_Set[[#This Row],[Type Name]], tbl_MTG_Set_Type[Set Type], tbl_MTG_Set_Type[Buy Window Month Start], "(Set Type not found)")</f>
        <v>18</v>
      </c>
      <c r="K57" s="3">
        <f>tbl_MTG_Set[[#This Row],[Released On]]+tbl_MTG_Set[[#This Row],[Buy Window Month Start]]*365.25/12</f>
        <v>46267.875</v>
      </c>
      <c r="L57">
        <f>_xlfn.XLOOKUP(tbl_MTG_Set[[#This Row],[Type Name]], tbl_MTG_Set_Type[Set Type], tbl_MTG_Set_Type[Buy Window Month End], "(Set Type not found)", 0, 1)</f>
        <v>24</v>
      </c>
      <c r="M57" s="3">
        <f>tbl_MTG_Set[[#This Row],[Released On]]+tbl_MTG_Set[[#This Row],[Buy Window Month End]]*365.25/12</f>
        <v>46450.5</v>
      </c>
      <c r="N57" s="3" t="b">
        <f ca="1">AND(NOW()&gt;=tbl_MTG_Set[[#This Row],[Buy Window Start]], NOW()&lt;=tbl_MTG_Set[[#This Row],[Buy Window End]])</f>
        <v>0</v>
      </c>
      <c r="O57">
        <f>_xlfn.XLOOKUP(tbl_MTG_Set[[#This Row],[Type Name]], tbl_MTG_Set_Type[Set Type], tbl_MTG_Set_Type[Heavy Printing Window Month Start], "(Set Type not found)", 0, 1)</f>
        <v>1</v>
      </c>
      <c r="P57" s="3">
        <f>tbl_MTG_Set[[#This Row],[Released On]]+tbl_MTG_Set[[#This Row],[Heavy Printing Window Month Start]]*365.25/12</f>
        <v>45750.4375</v>
      </c>
      <c r="Q57">
        <f>_xlfn.XLOOKUP(tbl_MTG_Set[[#This Row],[Type Name]], tbl_MTG_Set_Type[Set Type], tbl_MTG_Set_Type[Heavy Printing Window Month End], "(Set Type not found)", 0, 1)</f>
        <v>18</v>
      </c>
      <c r="R57" s="3">
        <f>tbl_MTG_Set[[#This Row],[Released On]]+tbl_MTG_Set[[#This Row],[Heavy Printing Window Month End]]*365.25/12</f>
        <v>46267.875</v>
      </c>
      <c r="S57" s="3" t="b">
        <f ca="1">AND(NOW()&gt;=tbl_MTG_Set[[#This Row],[Heavy Printing Window Start]], NOW()&lt;=tbl_MTG_Set[[#This Row],[Heavy Printing Window End]])</f>
        <v>1</v>
      </c>
      <c r="T57">
        <f>_xlfn.XLOOKUP(tbl_MTG_Set[[#This Row],[Type Name]], tbl_MTG_Set_Type[Set Type], tbl_MTG_Set_Type[Sell Window Month Start], "(Set Type not found)", 0, 1)</f>
        <v>36</v>
      </c>
      <c r="U57" s="3">
        <f>tbl_MTG_Set[[#This Row],[Released On]]+tbl_MTG_Set[[#This Row],[Sell Window Month Start]]*365.25/12</f>
        <v>46815.75</v>
      </c>
      <c r="V57">
        <f>_xlfn.XLOOKUP(tbl_MTG_Set[[#This Row],[Type Name]], tbl_MTG_Set_Type[Set Type], tbl_MTG_Set_Type[Sell Window Month End], "(Set Type not found)", 0, 1)</f>
        <v>48</v>
      </c>
      <c r="W57" s="3">
        <f>tbl_MTG_Set[[#This Row],[Released On]]+tbl_MTG_Set[[#This Row],[Sell Window Month End]]*365.25/12</f>
        <v>47181</v>
      </c>
      <c r="X57" s="3" t="b">
        <f ca="1">AND(NOW()&gt;=tbl_MTG_Set[[#This Row],[Sell Window Start]], NOW()&lt;=tbl_MTG_Set[[#This Row],[Sell Window End]])</f>
        <v>0</v>
      </c>
      <c r="AG57" s="10"/>
      <c r="AH57" s="10"/>
      <c r="AM57" s="10" t="str" cm="1">
        <f t="array" ref="AM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" s="10" t="str" cm="1">
        <f t="array" ref="AN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" s="4" t="e">
        <f>_xlfn.XLOOKUP(tbl_MTG_Set[[#This Row],[Play Booster Box Product Id]], tbl_Product[Product Id], tbl_Product[Pack Size])</f>
        <v>#N/A</v>
      </c>
      <c r="AP57" s="10" t="e">
        <f>(tbl_MTG_Set[[#This Row],[Play Booster Box Cost]]+v_Item_Shipping_Cost_In)/tbl_MTG_Set[[#This Row],[Play Booster Box Size]]</f>
        <v>#VALUE!</v>
      </c>
      <c r="AQ57" s="10" t="str" cm="1">
        <f t="array" ref="AQ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" s="10"/>
      <c r="AS57" s="10"/>
      <c r="AT57" s="17" t="e">
        <f>tbl_MTG_Set[[#This Row],[Play Booster CardMarket Profit]]/tbl_MTG_Set[[#This Row],[Play Booster Cost]]</f>
        <v>#VALUE!</v>
      </c>
      <c r="AU57" s="10" t="e">
        <f>_xlfn.XLOOKUP(tbl_MTG_Set[[#This Row],[Collector Booster Box Product Id]], tbl_Product[Product Id], tbl_Product[Min Cost])</f>
        <v>#N/A</v>
      </c>
      <c r="AV57" s="10" t="e">
        <f>_xlfn.XLOOKUP(tbl_MTG_Set[[#This Row],[Collector Booster Box Product Id]], tbl_Product[Product Id], tbl_Product[Best Source])</f>
        <v>#N/A</v>
      </c>
      <c r="AW57" s="4" t="e">
        <f>_xlfn.XLOOKUP(tbl_MTG_Set[[#This Row],[Collector Booster Box Product Id]], tbl_Product[Product Id], tbl_Product[Pack Size])</f>
        <v>#N/A</v>
      </c>
      <c r="AX57" s="10" t="e">
        <f>(tbl_MTG_Set[[#This Row],[Collector Booster Box Cost]] + v_Item_Shipping_Cost_In) / tbl_MTG_Set[[#This Row],[Collector Booster Box Size]]</f>
        <v>#N/A</v>
      </c>
      <c r="AY57" s="10" t="str" cm="1">
        <f t="array" ref="AY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" s="10"/>
      <c r="BA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" s="17" t="e">
        <f>tbl_MTG_Set[[#This Row],[Collector Booster CardMarket Profit]]/tbl_MTG_Set[[#This Row],[Collector Booster Cost]]</f>
        <v>#N/A</v>
      </c>
      <c r="BC57" s="10"/>
      <c r="BF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" s="11" t="e">
        <f>tbl_MTG_Set[[#This Row],[Play Singles CardMarket Profit MTG Stocks]]/tbl_MTG_Set[[#This Row],[Play Booster Cost]]</f>
        <v>#VALUE!</v>
      </c>
      <c r="BI57" s="11" t="b">
        <f>tbl_MTG_Set[[#This Row],[Play Singles CardMarket Profit MTG Stocks]]&gt;0</f>
        <v>0</v>
      </c>
      <c r="BM57" s="10" t="e">
        <f>tbl_MTG_Set[[#This Row],[Play Booster Sell Price CardMarket]]*tbl_MTG_Set[[#This Row],[Play Booster Expected Market Value BotBox]]/tbl_MTG_Set[[#This Row],[Play Booster Sealed Market Value BotBox]]</f>
        <v>#VALUE!</v>
      </c>
      <c r="BN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" s="10" t="e">
        <f>tbl_MTG_Set[[#This Row],[Play Singles CardMarket Profit BotBox]]/tbl_MTG_Set[[#This Row],[Play Booster Cost]]</f>
        <v>#VALUE!</v>
      </c>
      <c r="BP57" s="10" t="b">
        <f>tbl_MTG_Set[[#This Row],[Play Singles CardMarket Profit BotBox]]&gt;0</f>
        <v>0</v>
      </c>
      <c r="BQ57" s="10"/>
      <c r="BR57" s="10"/>
      <c r="BS57" s="10"/>
      <c r="BT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" s="19" t="e">
        <f>tbl_MTG_Set[[#This Row],[Collector Singles CardMarket Profit MTG Stocks]]/tbl_MTG_Set[[#This Row],[Collector Booster Cost]]</f>
        <v>#N/A</v>
      </c>
      <c r="BW57" s="10" t="b">
        <f>tbl_MTG_Set[[#This Row],[Collector Singles CardMarket Profit MTG Stocks]]&gt;0</f>
        <v>0</v>
      </c>
      <c r="BX57" s="10"/>
      <c r="BY57" s="10"/>
      <c r="BZ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" s="10" t="e">
        <f>tbl_MTG_Set[[#This Row],[Collector Singles CardMarket Profit BotBox]]/tbl_MTG_Set[[#This Row],[Collector Booster Cost]]</f>
        <v>#N/A</v>
      </c>
      <c r="CC57" s="10" t="b">
        <f>tbl_MTG_Set[[#This Row],[Collector Singles CardMarket Profit BotBox]]&gt;0</f>
        <v>0</v>
      </c>
      <c r="CD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" spans="1:86" hidden="1">
      <c r="A58">
        <v>62</v>
      </c>
      <c r="B58" t="s">
        <v>231</v>
      </c>
      <c r="C58">
        <v>54</v>
      </c>
      <c r="D58" s="3">
        <v>45702</v>
      </c>
      <c r="E58" t="s">
        <v>59</v>
      </c>
      <c r="F58" t="s">
        <v>174</v>
      </c>
      <c r="G58">
        <v>70</v>
      </c>
      <c r="H58">
        <f ca="1">MONTH(NOW())+12*YEAR(NOW())-MONTH(tbl_MTG_Set[[#This Row],[Released On]])-12*YEAR(tbl_MTG_Set[[#This Row],[Released On]])</f>
        <v>13</v>
      </c>
      <c r="I58">
        <f>_xlfn.XLOOKUP(tbl_MTG_Set[[#This Row],[Type Name]], tbl_MTG_Set_Type[Set Type], tbl_MTG_Set_Type[Index], "(Set Type not found)")</f>
        <v>1</v>
      </c>
      <c r="J58">
        <f>_xlfn.XLOOKUP(tbl_MTG_Set[[#This Row],[Type Name]], tbl_MTG_Set_Type[Set Type], tbl_MTG_Set_Type[Buy Window Month Start], "(Set Type not found)")</f>
        <v>18</v>
      </c>
      <c r="K58" s="3">
        <f>tbl_MTG_Set[[#This Row],[Released On]]+tbl_MTG_Set[[#This Row],[Buy Window Month Start]]*365.25/12</f>
        <v>46249.875</v>
      </c>
      <c r="L58">
        <f>_xlfn.XLOOKUP(tbl_MTG_Set[[#This Row],[Type Name]], tbl_MTG_Set_Type[Set Type], tbl_MTG_Set_Type[Buy Window Month End], "(Set Type not found)", 0, 1)</f>
        <v>24</v>
      </c>
      <c r="M58" s="3">
        <f>tbl_MTG_Set[[#This Row],[Released On]]+tbl_MTG_Set[[#This Row],[Buy Window Month End]]*365.25/12</f>
        <v>46432.5</v>
      </c>
      <c r="N58" s="3" t="b">
        <f ca="1">AND(NOW()&gt;=tbl_MTG_Set[[#This Row],[Buy Window Start]], NOW()&lt;=tbl_MTG_Set[[#This Row],[Buy Window End]])</f>
        <v>0</v>
      </c>
      <c r="O58">
        <f>_xlfn.XLOOKUP(tbl_MTG_Set[[#This Row],[Type Name]], tbl_MTG_Set_Type[Set Type], tbl_MTG_Set_Type[Heavy Printing Window Month Start], "(Set Type not found)", 0, 1)</f>
        <v>1</v>
      </c>
      <c r="P58" s="3">
        <f>tbl_MTG_Set[[#This Row],[Released On]]+tbl_MTG_Set[[#This Row],[Heavy Printing Window Month Start]]*365.25/12</f>
        <v>45732.4375</v>
      </c>
      <c r="Q58">
        <f>_xlfn.XLOOKUP(tbl_MTG_Set[[#This Row],[Type Name]], tbl_MTG_Set_Type[Set Type], tbl_MTG_Set_Type[Heavy Printing Window Month End], "(Set Type not found)", 0, 1)</f>
        <v>18</v>
      </c>
      <c r="R58" s="3">
        <f>tbl_MTG_Set[[#This Row],[Released On]]+tbl_MTG_Set[[#This Row],[Heavy Printing Window Month End]]*365.25/12</f>
        <v>46249.875</v>
      </c>
      <c r="S58" s="3" t="b">
        <f ca="1">AND(NOW()&gt;=tbl_MTG_Set[[#This Row],[Heavy Printing Window Start]], NOW()&lt;=tbl_MTG_Set[[#This Row],[Heavy Printing Window End]])</f>
        <v>1</v>
      </c>
      <c r="T58">
        <f>_xlfn.XLOOKUP(tbl_MTG_Set[[#This Row],[Type Name]], tbl_MTG_Set_Type[Set Type], tbl_MTG_Set_Type[Sell Window Month Start], "(Set Type not found)", 0, 1)</f>
        <v>36</v>
      </c>
      <c r="U58" s="3">
        <f>tbl_MTG_Set[[#This Row],[Released On]]+tbl_MTG_Set[[#This Row],[Sell Window Month Start]]*365.25/12</f>
        <v>46797.75</v>
      </c>
      <c r="V58">
        <f>_xlfn.XLOOKUP(tbl_MTG_Set[[#This Row],[Type Name]], tbl_MTG_Set_Type[Set Type], tbl_MTG_Set_Type[Sell Window Month End], "(Set Type not found)", 0, 1)</f>
        <v>48</v>
      </c>
      <c r="W58" s="3">
        <f>tbl_MTG_Set[[#This Row],[Released On]]+tbl_MTG_Set[[#This Row],[Sell Window Month End]]*365.25/12</f>
        <v>47163</v>
      </c>
      <c r="X58" s="3" t="b">
        <f ca="1">AND(NOW()&gt;=tbl_MTG_Set[[#This Row],[Sell Window Start]], NOW()&lt;=tbl_MTG_Set[[#This Row],[Sell Window End]])</f>
        <v>0</v>
      </c>
      <c r="AG58" s="10"/>
      <c r="AH58" s="10"/>
      <c r="AM58" s="10" t="str" cm="1">
        <f t="array" ref="AM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" s="10" t="str" cm="1">
        <f t="array" ref="AN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" s="4" t="e">
        <f>_xlfn.XLOOKUP(tbl_MTG_Set[[#This Row],[Play Booster Box Product Id]], tbl_Product[Product Id], tbl_Product[Pack Size])</f>
        <v>#N/A</v>
      </c>
      <c r="AP58" s="10" t="e">
        <f>(tbl_MTG_Set[[#This Row],[Play Booster Box Cost]]+v_Item_Shipping_Cost_In)/tbl_MTG_Set[[#This Row],[Play Booster Box Size]]</f>
        <v>#VALUE!</v>
      </c>
      <c r="AQ58" s="10" t="str" cm="1">
        <f t="array" ref="AQ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" s="10"/>
      <c r="AS58" s="10"/>
      <c r="AT58" s="17" t="e">
        <f>tbl_MTG_Set[[#This Row],[Play Booster CardMarket Profit]]/tbl_MTG_Set[[#This Row],[Play Booster Cost]]</f>
        <v>#VALUE!</v>
      </c>
      <c r="AU58" s="10" t="e">
        <f>_xlfn.XLOOKUP(tbl_MTG_Set[[#This Row],[Collector Booster Box Product Id]], tbl_Product[Product Id], tbl_Product[Min Cost])</f>
        <v>#N/A</v>
      </c>
      <c r="AV58" s="10" t="e">
        <f>_xlfn.XLOOKUP(tbl_MTG_Set[[#This Row],[Collector Booster Box Product Id]], tbl_Product[Product Id], tbl_Product[Best Source])</f>
        <v>#N/A</v>
      </c>
      <c r="AW58" s="4" t="e">
        <f>_xlfn.XLOOKUP(tbl_MTG_Set[[#This Row],[Collector Booster Box Product Id]], tbl_Product[Product Id], tbl_Product[Pack Size])</f>
        <v>#N/A</v>
      </c>
      <c r="AX58" s="10" t="e">
        <f>(tbl_MTG_Set[[#This Row],[Collector Booster Box Cost]] + v_Item_Shipping_Cost_In) / tbl_MTG_Set[[#This Row],[Collector Booster Box Size]]</f>
        <v>#N/A</v>
      </c>
      <c r="AY58" s="10" t="str" cm="1">
        <f t="array" ref="AY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" s="10"/>
      <c r="BA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" s="17" t="e">
        <f>tbl_MTG_Set[[#This Row],[Collector Booster CardMarket Profit]]/tbl_MTG_Set[[#This Row],[Collector Booster Cost]]</f>
        <v>#N/A</v>
      </c>
      <c r="BC58" s="10"/>
      <c r="BF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" s="11" t="e">
        <f>tbl_MTG_Set[[#This Row],[Play Singles CardMarket Profit MTG Stocks]]/tbl_MTG_Set[[#This Row],[Play Booster Cost]]</f>
        <v>#VALUE!</v>
      </c>
      <c r="BI58" s="11" t="b">
        <f>tbl_MTG_Set[[#This Row],[Play Singles CardMarket Profit MTG Stocks]]&gt;0</f>
        <v>0</v>
      </c>
      <c r="BM58" s="10" t="e">
        <f>tbl_MTG_Set[[#This Row],[Play Booster Sell Price CardMarket]]*tbl_MTG_Set[[#This Row],[Play Booster Expected Market Value BotBox]]/tbl_MTG_Set[[#This Row],[Play Booster Sealed Market Value BotBox]]</f>
        <v>#VALUE!</v>
      </c>
      <c r="BN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" s="10" t="e">
        <f>tbl_MTG_Set[[#This Row],[Play Singles CardMarket Profit BotBox]]/tbl_MTG_Set[[#This Row],[Play Booster Cost]]</f>
        <v>#VALUE!</v>
      </c>
      <c r="BP58" s="10" t="b">
        <f>tbl_MTG_Set[[#This Row],[Play Singles CardMarket Profit BotBox]]&gt;0</f>
        <v>0</v>
      </c>
      <c r="BQ58" s="10"/>
      <c r="BR58" s="10"/>
      <c r="BS58" s="10"/>
      <c r="BT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" s="19" t="e">
        <f>tbl_MTG_Set[[#This Row],[Collector Singles CardMarket Profit MTG Stocks]]/tbl_MTG_Set[[#This Row],[Collector Booster Cost]]</f>
        <v>#N/A</v>
      </c>
      <c r="BW58" s="10" t="b">
        <f>tbl_MTG_Set[[#This Row],[Collector Singles CardMarket Profit MTG Stocks]]&gt;0</f>
        <v>0</v>
      </c>
      <c r="BX58" s="10"/>
      <c r="BY58" s="10"/>
      <c r="BZ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" s="10" t="e">
        <f>tbl_MTG_Set[[#This Row],[Collector Singles CardMarket Profit BotBox]]/tbl_MTG_Set[[#This Row],[Collector Booster Cost]]</f>
        <v>#N/A</v>
      </c>
      <c r="CC58" s="10" t="b">
        <f>tbl_MTG_Set[[#This Row],[Collector Singles CardMarket Profit BotBox]]&gt;0</f>
        <v>0</v>
      </c>
      <c r="CD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" spans="1:86" hidden="1">
      <c r="A59">
        <v>63</v>
      </c>
      <c r="B59" t="s">
        <v>232</v>
      </c>
      <c r="C59">
        <v>184</v>
      </c>
      <c r="D59" s="3">
        <v>45702</v>
      </c>
      <c r="E59" t="s">
        <v>80</v>
      </c>
      <c r="F59" t="s">
        <v>174</v>
      </c>
      <c r="G59">
        <v>72</v>
      </c>
      <c r="H59">
        <f ca="1">MONTH(NOW())+12*YEAR(NOW())-MONTH(tbl_MTG_Set[[#This Row],[Released On]])-12*YEAR(tbl_MTG_Set[[#This Row],[Released On]])</f>
        <v>13</v>
      </c>
      <c r="I59">
        <f>_xlfn.XLOOKUP(tbl_MTG_Set[[#This Row],[Type Name]], tbl_MTG_Set_Type[Set Type], tbl_MTG_Set_Type[Index], "(Set Type not found)")</f>
        <v>5</v>
      </c>
      <c r="J59">
        <f>_xlfn.XLOOKUP(tbl_MTG_Set[[#This Row],[Type Name]], tbl_MTG_Set_Type[Set Type], tbl_MTG_Set_Type[Buy Window Month Start], "(Set Type not found)")</f>
        <v>3</v>
      </c>
      <c r="K59" s="3">
        <f>tbl_MTG_Set[[#This Row],[Released On]]+tbl_MTG_Set[[#This Row],[Buy Window Month Start]]*365.25/12</f>
        <v>45793.3125</v>
      </c>
      <c r="L59">
        <f>_xlfn.XLOOKUP(tbl_MTG_Set[[#This Row],[Type Name]], tbl_MTG_Set_Type[Set Type], tbl_MTG_Set_Type[Buy Window Month End], "(Set Type not found)", 0, 1)</f>
        <v>12</v>
      </c>
      <c r="M59" s="3">
        <f>tbl_MTG_Set[[#This Row],[Released On]]+tbl_MTG_Set[[#This Row],[Buy Window Month End]]*365.25/12</f>
        <v>46067.25</v>
      </c>
      <c r="N59" s="3" t="b">
        <f ca="1">AND(NOW()&gt;=tbl_MTG_Set[[#This Row],[Buy Window Start]], NOW()&lt;=tbl_MTG_Set[[#This Row],[Buy Window End]])</f>
        <v>0</v>
      </c>
      <c r="O59">
        <f>_xlfn.XLOOKUP(tbl_MTG_Set[[#This Row],[Type Name]], tbl_MTG_Set_Type[Set Type], tbl_MTG_Set_Type[Heavy Printing Window Month Start], "(Set Type not found)", 0, 1)</f>
        <v>12</v>
      </c>
      <c r="P59" s="3">
        <f>tbl_MTG_Set[[#This Row],[Released On]]+tbl_MTG_Set[[#This Row],[Heavy Printing Window Month Start]]*365.25/12</f>
        <v>46067.25</v>
      </c>
      <c r="Q59">
        <f>_xlfn.XLOOKUP(tbl_MTG_Set[[#This Row],[Type Name]], tbl_MTG_Set_Type[Set Type], tbl_MTG_Set_Type[Heavy Printing Window Month End], "(Set Type not found)", 0, 1)</f>
        <v>18</v>
      </c>
      <c r="R59" s="3">
        <f>tbl_MTG_Set[[#This Row],[Released On]]+tbl_MTG_Set[[#This Row],[Heavy Printing Window Month End]]*365.25/12</f>
        <v>46249.875</v>
      </c>
      <c r="S59" s="3" t="b">
        <f ca="1">AND(NOW()&gt;=tbl_MTG_Set[[#This Row],[Heavy Printing Window Start]], NOW()&lt;=tbl_MTG_Set[[#This Row],[Heavy Printing Window End]])</f>
        <v>1</v>
      </c>
      <c r="T59">
        <f>_xlfn.XLOOKUP(tbl_MTG_Set[[#This Row],[Type Name]], tbl_MTG_Set_Type[Set Type], tbl_MTG_Set_Type[Sell Window Month Start], "(Set Type not found)", 0, 1)</f>
        <v>24</v>
      </c>
      <c r="U59" s="3">
        <f>tbl_MTG_Set[[#This Row],[Released On]]+tbl_MTG_Set[[#This Row],[Sell Window Month Start]]*365.25/12</f>
        <v>46432.5</v>
      </c>
      <c r="V59">
        <f>_xlfn.XLOOKUP(tbl_MTG_Set[[#This Row],[Type Name]], tbl_MTG_Set_Type[Set Type], tbl_MTG_Set_Type[Sell Window Month End], "(Set Type not found)", 0, 1)</f>
        <v>24</v>
      </c>
      <c r="W59" s="3">
        <f>tbl_MTG_Set[[#This Row],[Released On]]+tbl_MTG_Set[[#This Row],[Sell Window Month End]]*365.25/12</f>
        <v>46432.5</v>
      </c>
      <c r="X59" s="3" t="b">
        <f ca="1">AND(NOW()&gt;=tbl_MTG_Set[[#This Row],[Sell Window Start]], NOW()&lt;=tbl_MTG_Set[[#This Row],[Sell Window End]])</f>
        <v>0</v>
      </c>
      <c r="AG59" s="10"/>
      <c r="AH59" s="10"/>
      <c r="AM59" s="10" t="str" cm="1">
        <f t="array" ref="AM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" s="10" t="str" cm="1">
        <f t="array" ref="AN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" s="4" t="e">
        <f>_xlfn.XLOOKUP(tbl_MTG_Set[[#This Row],[Play Booster Box Product Id]], tbl_Product[Product Id], tbl_Product[Pack Size])</f>
        <v>#N/A</v>
      </c>
      <c r="AP59" s="10" t="e">
        <f>(tbl_MTG_Set[[#This Row],[Play Booster Box Cost]]+v_Item_Shipping_Cost_In)/tbl_MTG_Set[[#This Row],[Play Booster Box Size]]</f>
        <v>#VALUE!</v>
      </c>
      <c r="AQ59" s="10" t="str" cm="1">
        <f t="array" ref="AQ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" s="10"/>
      <c r="AS59" s="10"/>
      <c r="AT59" s="17" t="e">
        <f>tbl_MTG_Set[[#This Row],[Play Booster CardMarket Profit]]/tbl_MTG_Set[[#This Row],[Play Booster Cost]]</f>
        <v>#VALUE!</v>
      </c>
      <c r="AU59" s="10" t="e">
        <f>_xlfn.XLOOKUP(tbl_MTG_Set[[#This Row],[Collector Booster Box Product Id]], tbl_Product[Product Id], tbl_Product[Min Cost])</f>
        <v>#N/A</v>
      </c>
      <c r="AV59" s="10" t="e">
        <f>_xlfn.XLOOKUP(tbl_MTG_Set[[#This Row],[Collector Booster Box Product Id]], tbl_Product[Product Id], tbl_Product[Best Source])</f>
        <v>#N/A</v>
      </c>
      <c r="AW59" s="4" t="e">
        <f>_xlfn.XLOOKUP(tbl_MTG_Set[[#This Row],[Collector Booster Box Product Id]], tbl_Product[Product Id], tbl_Product[Pack Size])</f>
        <v>#N/A</v>
      </c>
      <c r="AX59" s="10" t="e">
        <f>(tbl_MTG_Set[[#This Row],[Collector Booster Box Cost]] + v_Item_Shipping_Cost_In) / tbl_MTG_Set[[#This Row],[Collector Booster Box Size]]</f>
        <v>#N/A</v>
      </c>
      <c r="AY59" s="10" t="str" cm="1">
        <f t="array" ref="AY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" s="10"/>
      <c r="BA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" s="17" t="e">
        <f>tbl_MTG_Set[[#This Row],[Collector Booster CardMarket Profit]]/tbl_MTG_Set[[#This Row],[Collector Booster Cost]]</f>
        <v>#N/A</v>
      </c>
      <c r="BC59" s="10"/>
      <c r="BF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" s="11" t="e">
        <f>tbl_MTG_Set[[#This Row],[Play Singles CardMarket Profit MTG Stocks]]/tbl_MTG_Set[[#This Row],[Play Booster Cost]]</f>
        <v>#VALUE!</v>
      </c>
      <c r="BI59" s="11" t="b">
        <f>tbl_MTG_Set[[#This Row],[Play Singles CardMarket Profit MTG Stocks]]&gt;0</f>
        <v>0</v>
      </c>
      <c r="BM59" s="10" t="e">
        <f>tbl_MTG_Set[[#This Row],[Play Booster Sell Price CardMarket]]*tbl_MTG_Set[[#This Row],[Play Booster Expected Market Value BotBox]]/tbl_MTG_Set[[#This Row],[Play Booster Sealed Market Value BotBox]]</f>
        <v>#VALUE!</v>
      </c>
      <c r="BN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" s="10" t="e">
        <f>tbl_MTG_Set[[#This Row],[Play Singles CardMarket Profit BotBox]]/tbl_MTG_Set[[#This Row],[Play Booster Cost]]</f>
        <v>#VALUE!</v>
      </c>
      <c r="BP59" s="10" t="b">
        <f>tbl_MTG_Set[[#This Row],[Play Singles CardMarket Profit BotBox]]&gt;0</f>
        <v>0</v>
      </c>
      <c r="BQ59" s="10"/>
      <c r="BR59" s="10"/>
      <c r="BS59" s="10"/>
      <c r="BT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" s="19" t="e">
        <f>tbl_MTG_Set[[#This Row],[Collector Singles CardMarket Profit MTG Stocks]]/tbl_MTG_Set[[#This Row],[Collector Booster Cost]]</f>
        <v>#N/A</v>
      </c>
      <c r="BW59" s="10" t="b">
        <f>tbl_MTG_Set[[#This Row],[Collector Singles CardMarket Profit MTG Stocks]]&gt;0</f>
        <v>0</v>
      </c>
      <c r="BX59" s="10"/>
      <c r="BY59" s="10"/>
      <c r="BZ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" s="10" t="e">
        <f>tbl_MTG_Set[[#This Row],[Collector Singles CardMarket Profit BotBox]]/tbl_MTG_Set[[#This Row],[Collector Booster Cost]]</f>
        <v>#N/A</v>
      </c>
      <c r="CC59" s="10" t="b">
        <f>tbl_MTG_Set[[#This Row],[Collector Singles CardMarket Profit BotBox]]&gt;0</f>
        <v>0</v>
      </c>
      <c r="CD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" spans="1:86" hidden="1">
      <c r="A60">
        <v>64</v>
      </c>
      <c r="B60" t="s">
        <v>233</v>
      </c>
      <c r="C60">
        <v>17</v>
      </c>
      <c r="D60" s="3">
        <v>45702</v>
      </c>
      <c r="E60" t="s">
        <v>80</v>
      </c>
      <c r="F60" t="s">
        <v>174</v>
      </c>
      <c r="G60">
        <v>74</v>
      </c>
      <c r="H60">
        <f ca="1">MONTH(NOW())+12*YEAR(NOW())-MONTH(tbl_MTG_Set[[#This Row],[Released On]])-12*YEAR(tbl_MTG_Set[[#This Row],[Released On]])</f>
        <v>13</v>
      </c>
      <c r="I60">
        <f>_xlfn.XLOOKUP(tbl_MTG_Set[[#This Row],[Type Name]], tbl_MTG_Set_Type[Set Type], tbl_MTG_Set_Type[Index], "(Set Type not found)")</f>
        <v>5</v>
      </c>
      <c r="J60">
        <f>_xlfn.XLOOKUP(tbl_MTG_Set[[#This Row],[Type Name]], tbl_MTG_Set_Type[Set Type], tbl_MTG_Set_Type[Buy Window Month Start], "(Set Type not found)")</f>
        <v>3</v>
      </c>
      <c r="K60" s="3">
        <f>tbl_MTG_Set[[#This Row],[Released On]]+tbl_MTG_Set[[#This Row],[Buy Window Month Start]]*365.25/12</f>
        <v>45793.3125</v>
      </c>
      <c r="L60">
        <f>_xlfn.XLOOKUP(tbl_MTG_Set[[#This Row],[Type Name]], tbl_MTG_Set_Type[Set Type], tbl_MTG_Set_Type[Buy Window Month End], "(Set Type not found)", 0, 1)</f>
        <v>12</v>
      </c>
      <c r="M60" s="3">
        <f>tbl_MTG_Set[[#This Row],[Released On]]+tbl_MTG_Set[[#This Row],[Buy Window Month End]]*365.25/12</f>
        <v>46067.25</v>
      </c>
      <c r="N60" s="3" t="b">
        <f ca="1">AND(NOW()&gt;=tbl_MTG_Set[[#This Row],[Buy Window Start]], NOW()&lt;=tbl_MTG_Set[[#This Row],[Buy Window End]])</f>
        <v>0</v>
      </c>
      <c r="O60">
        <f>_xlfn.XLOOKUP(tbl_MTG_Set[[#This Row],[Type Name]], tbl_MTG_Set_Type[Set Type], tbl_MTG_Set_Type[Heavy Printing Window Month Start], "(Set Type not found)", 0, 1)</f>
        <v>12</v>
      </c>
      <c r="P60" s="3">
        <f>tbl_MTG_Set[[#This Row],[Released On]]+tbl_MTG_Set[[#This Row],[Heavy Printing Window Month Start]]*365.25/12</f>
        <v>46067.25</v>
      </c>
      <c r="Q60">
        <f>_xlfn.XLOOKUP(tbl_MTG_Set[[#This Row],[Type Name]], tbl_MTG_Set_Type[Set Type], tbl_MTG_Set_Type[Heavy Printing Window Month End], "(Set Type not found)", 0, 1)</f>
        <v>18</v>
      </c>
      <c r="R60" s="3">
        <f>tbl_MTG_Set[[#This Row],[Released On]]+tbl_MTG_Set[[#This Row],[Heavy Printing Window Month End]]*365.25/12</f>
        <v>46249.875</v>
      </c>
      <c r="S60" s="3" t="b">
        <f ca="1">AND(NOW()&gt;=tbl_MTG_Set[[#This Row],[Heavy Printing Window Start]], NOW()&lt;=tbl_MTG_Set[[#This Row],[Heavy Printing Window End]])</f>
        <v>1</v>
      </c>
      <c r="T60">
        <f>_xlfn.XLOOKUP(tbl_MTG_Set[[#This Row],[Type Name]], tbl_MTG_Set_Type[Set Type], tbl_MTG_Set_Type[Sell Window Month Start], "(Set Type not found)", 0, 1)</f>
        <v>24</v>
      </c>
      <c r="U60" s="3">
        <f>tbl_MTG_Set[[#This Row],[Released On]]+tbl_MTG_Set[[#This Row],[Sell Window Month Start]]*365.25/12</f>
        <v>46432.5</v>
      </c>
      <c r="V60">
        <f>_xlfn.XLOOKUP(tbl_MTG_Set[[#This Row],[Type Name]], tbl_MTG_Set_Type[Set Type], tbl_MTG_Set_Type[Sell Window Month End], "(Set Type not found)", 0, 1)</f>
        <v>24</v>
      </c>
      <c r="W60" s="3">
        <f>tbl_MTG_Set[[#This Row],[Released On]]+tbl_MTG_Set[[#This Row],[Sell Window Month End]]*365.25/12</f>
        <v>46432.5</v>
      </c>
      <c r="X60" s="3" t="b">
        <f ca="1">AND(NOW()&gt;=tbl_MTG_Set[[#This Row],[Sell Window Start]], NOW()&lt;=tbl_MTG_Set[[#This Row],[Sell Window End]])</f>
        <v>0</v>
      </c>
      <c r="AG60" s="10"/>
      <c r="AH60" s="10"/>
      <c r="AM60" s="10" t="str" cm="1">
        <f t="array" ref="AM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" s="10" t="str" cm="1">
        <f t="array" ref="AN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" s="4" t="e">
        <f>_xlfn.XLOOKUP(tbl_MTG_Set[[#This Row],[Play Booster Box Product Id]], tbl_Product[Product Id], tbl_Product[Pack Size])</f>
        <v>#N/A</v>
      </c>
      <c r="AP60" s="10" t="e">
        <f>(tbl_MTG_Set[[#This Row],[Play Booster Box Cost]]+v_Item_Shipping_Cost_In)/tbl_MTG_Set[[#This Row],[Play Booster Box Size]]</f>
        <v>#VALUE!</v>
      </c>
      <c r="AQ60" s="10" t="str" cm="1">
        <f t="array" ref="AQ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" s="10"/>
      <c r="AS60" s="10"/>
      <c r="AT60" s="17" t="e">
        <f>tbl_MTG_Set[[#This Row],[Play Booster CardMarket Profit]]/tbl_MTG_Set[[#This Row],[Play Booster Cost]]</f>
        <v>#VALUE!</v>
      </c>
      <c r="AU60" s="10" t="e">
        <f>_xlfn.XLOOKUP(tbl_MTG_Set[[#This Row],[Collector Booster Box Product Id]], tbl_Product[Product Id], tbl_Product[Min Cost])</f>
        <v>#N/A</v>
      </c>
      <c r="AV60" s="10" t="e">
        <f>_xlfn.XLOOKUP(tbl_MTG_Set[[#This Row],[Collector Booster Box Product Id]], tbl_Product[Product Id], tbl_Product[Best Source])</f>
        <v>#N/A</v>
      </c>
      <c r="AW60" s="4" t="e">
        <f>_xlfn.XLOOKUP(tbl_MTG_Set[[#This Row],[Collector Booster Box Product Id]], tbl_Product[Product Id], tbl_Product[Pack Size])</f>
        <v>#N/A</v>
      </c>
      <c r="AX60" s="10" t="e">
        <f>(tbl_MTG_Set[[#This Row],[Collector Booster Box Cost]] + v_Item_Shipping_Cost_In) / tbl_MTG_Set[[#This Row],[Collector Booster Box Size]]</f>
        <v>#N/A</v>
      </c>
      <c r="AY60" s="10" t="str" cm="1">
        <f t="array" ref="AY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" s="10"/>
      <c r="BA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" s="17" t="e">
        <f>tbl_MTG_Set[[#This Row],[Collector Booster CardMarket Profit]]/tbl_MTG_Set[[#This Row],[Collector Booster Cost]]</f>
        <v>#N/A</v>
      </c>
      <c r="BC60" s="10"/>
      <c r="BF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" s="11" t="e">
        <f>tbl_MTG_Set[[#This Row],[Play Singles CardMarket Profit MTG Stocks]]/tbl_MTG_Set[[#This Row],[Play Booster Cost]]</f>
        <v>#VALUE!</v>
      </c>
      <c r="BI60" s="11" t="b">
        <f>tbl_MTG_Set[[#This Row],[Play Singles CardMarket Profit MTG Stocks]]&gt;0</f>
        <v>0</v>
      </c>
      <c r="BM60" s="10" t="e">
        <f>tbl_MTG_Set[[#This Row],[Play Booster Sell Price CardMarket]]*tbl_MTG_Set[[#This Row],[Play Booster Expected Market Value BotBox]]/tbl_MTG_Set[[#This Row],[Play Booster Sealed Market Value BotBox]]</f>
        <v>#VALUE!</v>
      </c>
      <c r="BN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" s="10" t="e">
        <f>tbl_MTG_Set[[#This Row],[Play Singles CardMarket Profit BotBox]]/tbl_MTG_Set[[#This Row],[Play Booster Cost]]</f>
        <v>#VALUE!</v>
      </c>
      <c r="BP60" s="10" t="b">
        <f>tbl_MTG_Set[[#This Row],[Play Singles CardMarket Profit BotBox]]&gt;0</f>
        <v>0</v>
      </c>
      <c r="BQ60" s="10"/>
      <c r="BR60" s="10"/>
      <c r="BS60" s="10"/>
      <c r="BT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" s="19" t="e">
        <f>tbl_MTG_Set[[#This Row],[Collector Singles CardMarket Profit MTG Stocks]]/tbl_MTG_Set[[#This Row],[Collector Booster Cost]]</f>
        <v>#N/A</v>
      </c>
      <c r="BW60" s="10" t="b">
        <f>tbl_MTG_Set[[#This Row],[Collector Singles CardMarket Profit MTG Stocks]]&gt;0</f>
        <v>0</v>
      </c>
      <c r="BX60" s="10"/>
      <c r="BY60" s="10"/>
      <c r="BZ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" s="10" t="e">
        <f>tbl_MTG_Set[[#This Row],[Collector Singles CardMarket Profit BotBox]]/tbl_MTG_Set[[#This Row],[Collector Booster Cost]]</f>
        <v>#N/A</v>
      </c>
      <c r="CC60" s="10" t="b">
        <f>tbl_MTG_Set[[#This Row],[Collector Singles CardMarket Profit BotBox]]&gt;0</f>
        <v>0</v>
      </c>
      <c r="CD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" spans="1:86" hidden="1">
      <c r="A61">
        <v>65</v>
      </c>
      <c r="B61" t="s">
        <v>234</v>
      </c>
      <c r="C61">
        <v>2</v>
      </c>
      <c r="D61" s="3">
        <v>45697</v>
      </c>
      <c r="F61" t="s">
        <v>174</v>
      </c>
      <c r="G61">
        <v>76</v>
      </c>
      <c r="H61">
        <f ca="1">MONTH(NOW())+12*YEAR(NOW())-MONTH(tbl_MTG_Set[[#This Row],[Released On]])-12*YEAR(tbl_MTG_Set[[#This Row],[Released On]])</f>
        <v>13</v>
      </c>
      <c r="I61" t="str">
        <f>_xlfn.XLOOKUP(tbl_MTG_Set[[#This Row],[Type Name]], tbl_MTG_Set_Type[Set Type], tbl_MTG_Set_Type[Index], "(Set Type not found)")</f>
        <v>(Set Type not found)</v>
      </c>
      <c r="J61" t="str">
        <f>_xlfn.XLOOKUP(tbl_MTG_Set[[#This Row],[Type Name]], tbl_MTG_Set_Type[Set Type], tbl_MTG_Set_Type[Buy Window Month Start], "(Set Type not found)")</f>
        <v>(Set Type not found)</v>
      </c>
      <c r="K61" s="3" t="e">
        <f>tbl_MTG_Set[[#This Row],[Released On]]+tbl_MTG_Set[[#This Row],[Buy Window Month Start]]*365.25/12</f>
        <v>#VALUE!</v>
      </c>
      <c r="L61" t="str">
        <f>_xlfn.XLOOKUP(tbl_MTG_Set[[#This Row],[Type Name]], tbl_MTG_Set_Type[Set Type], tbl_MTG_Set_Type[Buy Window Month End], "(Set Type not found)", 0, 1)</f>
        <v>(Set Type not found)</v>
      </c>
      <c r="M61" s="3" t="e">
        <f>tbl_MTG_Set[[#This Row],[Released On]]+tbl_MTG_Set[[#This Row],[Buy Window Month End]]*365.25/12</f>
        <v>#VALUE!</v>
      </c>
      <c r="N61" s="3" t="e">
        <f ca="1">AND(NOW()&gt;=tbl_MTG_Set[[#This Row],[Buy Window Start]], NOW()&lt;=tbl_MTG_Set[[#This Row],[Buy Window End]])</f>
        <v>#VALUE!</v>
      </c>
      <c r="O61" t="str">
        <f>_xlfn.XLOOKUP(tbl_MTG_Set[[#This Row],[Type Name]], tbl_MTG_Set_Type[Set Type], tbl_MTG_Set_Type[Heavy Printing Window Month Start], "(Set Type not found)", 0, 1)</f>
        <v>(Set Type not found)</v>
      </c>
      <c r="P61" s="3" t="e">
        <f>tbl_MTG_Set[[#This Row],[Released On]]+tbl_MTG_Set[[#This Row],[Heavy Printing Window Month Start]]*365.25/12</f>
        <v>#VALUE!</v>
      </c>
      <c r="Q61" t="str">
        <f>_xlfn.XLOOKUP(tbl_MTG_Set[[#This Row],[Type Name]], tbl_MTG_Set_Type[Set Type], tbl_MTG_Set_Type[Heavy Printing Window Month End], "(Set Type not found)", 0, 1)</f>
        <v>(Set Type not found)</v>
      </c>
      <c r="R61" s="3" t="e">
        <f>tbl_MTG_Set[[#This Row],[Released On]]+tbl_MTG_Set[[#This Row],[Heavy Printing Window Month End]]*365.25/12</f>
        <v>#VALUE!</v>
      </c>
      <c r="S61" s="3" t="e">
        <f ca="1">AND(NOW()&gt;=tbl_MTG_Set[[#This Row],[Heavy Printing Window Start]], NOW()&lt;=tbl_MTG_Set[[#This Row],[Heavy Printing Window End]])</f>
        <v>#VALUE!</v>
      </c>
      <c r="T61" t="str">
        <f>_xlfn.XLOOKUP(tbl_MTG_Set[[#This Row],[Type Name]], tbl_MTG_Set_Type[Set Type], tbl_MTG_Set_Type[Sell Window Month Start], "(Set Type not found)", 0, 1)</f>
        <v>(Set Type not found)</v>
      </c>
      <c r="U61" s="3" t="e">
        <f>tbl_MTG_Set[[#This Row],[Released On]]+tbl_MTG_Set[[#This Row],[Sell Window Month Start]]*365.25/12</f>
        <v>#VALUE!</v>
      </c>
      <c r="V61" t="str">
        <f>_xlfn.XLOOKUP(tbl_MTG_Set[[#This Row],[Type Name]], tbl_MTG_Set_Type[Set Type], tbl_MTG_Set_Type[Sell Window Month End], "(Set Type not found)", 0, 1)</f>
        <v>(Set Type not found)</v>
      </c>
      <c r="W61" s="3" t="e">
        <f>tbl_MTG_Set[[#This Row],[Released On]]+tbl_MTG_Set[[#This Row],[Sell Window Month End]]*365.25/12</f>
        <v>#VALUE!</v>
      </c>
      <c r="X61" s="3" t="e">
        <f ca="1">AND(NOW()&gt;=tbl_MTG_Set[[#This Row],[Sell Window Start]], NOW()&lt;=tbl_MTG_Set[[#This Row],[Sell Window End]])</f>
        <v>#VALUE!</v>
      </c>
      <c r="AG61" s="10"/>
      <c r="AH61" s="10"/>
      <c r="AM61" s="10" t="str" cm="1">
        <f t="array" ref="AM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" s="10" t="str" cm="1">
        <f t="array" ref="AN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" s="4" t="e">
        <f>_xlfn.XLOOKUP(tbl_MTG_Set[[#This Row],[Play Booster Box Product Id]], tbl_Product[Product Id], tbl_Product[Pack Size])</f>
        <v>#N/A</v>
      </c>
      <c r="AP61" s="10" t="e">
        <f>(tbl_MTG_Set[[#This Row],[Play Booster Box Cost]]+v_Item_Shipping_Cost_In)/tbl_MTG_Set[[#This Row],[Play Booster Box Size]]</f>
        <v>#VALUE!</v>
      </c>
      <c r="AQ61" s="10" t="str" cm="1">
        <f t="array" ref="AQ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" s="10"/>
      <c r="AS61" s="10"/>
      <c r="AT61" s="17" t="e">
        <f>tbl_MTG_Set[[#This Row],[Play Booster CardMarket Profit]]/tbl_MTG_Set[[#This Row],[Play Booster Cost]]</f>
        <v>#VALUE!</v>
      </c>
      <c r="AU61" s="10" t="e">
        <f>_xlfn.XLOOKUP(tbl_MTG_Set[[#This Row],[Collector Booster Box Product Id]], tbl_Product[Product Id], tbl_Product[Min Cost])</f>
        <v>#N/A</v>
      </c>
      <c r="AV61" s="10" t="e">
        <f>_xlfn.XLOOKUP(tbl_MTG_Set[[#This Row],[Collector Booster Box Product Id]], tbl_Product[Product Id], tbl_Product[Best Source])</f>
        <v>#N/A</v>
      </c>
      <c r="AW61" s="4" t="e">
        <f>_xlfn.XLOOKUP(tbl_MTG_Set[[#This Row],[Collector Booster Box Product Id]], tbl_Product[Product Id], tbl_Product[Pack Size])</f>
        <v>#N/A</v>
      </c>
      <c r="AX61" s="10" t="e">
        <f>(tbl_MTG_Set[[#This Row],[Collector Booster Box Cost]] + v_Item_Shipping_Cost_In) / tbl_MTG_Set[[#This Row],[Collector Booster Box Size]]</f>
        <v>#N/A</v>
      </c>
      <c r="AY61" s="10" t="str" cm="1">
        <f t="array" ref="AY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" s="10"/>
      <c r="BA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" s="17" t="e">
        <f>tbl_MTG_Set[[#This Row],[Collector Booster CardMarket Profit]]/tbl_MTG_Set[[#This Row],[Collector Booster Cost]]</f>
        <v>#N/A</v>
      </c>
      <c r="BC61" s="10"/>
      <c r="BF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" s="11" t="e">
        <f>tbl_MTG_Set[[#This Row],[Play Singles CardMarket Profit MTG Stocks]]/tbl_MTG_Set[[#This Row],[Play Booster Cost]]</f>
        <v>#VALUE!</v>
      </c>
      <c r="BI61" s="11" t="b">
        <f>tbl_MTG_Set[[#This Row],[Play Singles CardMarket Profit MTG Stocks]]&gt;0</f>
        <v>0</v>
      </c>
      <c r="BM61" s="10" t="e">
        <f>tbl_MTG_Set[[#This Row],[Play Booster Sell Price CardMarket]]*tbl_MTG_Set[[#This Row],[Play Booster Expected Market Value BotBox]]/tbl_MTG_Set[[#This Row],[Play Booster Sealed Market Value BotBox]]</f>
        <v>#VALUE!</v>
      </c>
      <c r="BN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" s="10" t="e">
        <f>tbl_MTG_Set[[#This Row],[Play Singles CardMarket Profit BotBox]]/tbl_MTG_Set[[#This Row],[Play Booster Cost]]</f>
        <v>#VALUE!</v>
      </c>
      <c r="BP61" s="10" t="b">
        <f>tbl_MTG_Set[[#This Row],[Play Singles CardMarket Profit BotBox]]&gt;0</f>
        <v>0</v>
      </c>
      <c r="BQ61" s="10"/>
      <c r="BR61" s="10"/>
      <c r="BS61" s="10"/>
      <c r="BT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" s="19" t="e">
        <f>tbl_MTG_Set[[#This Row],[Collector Singles CardMarket Profit MTG Stocks]]/tbl_MTG_Set[[#This Row],[Collector Booster Cost]]</f>
        <v>#N/A</v>
      </c>
      <c r="BW61" s="10" t="b">
        <f>tbl_MTG_Set[[#This Row],[Collector Singles CardMarket Profit MTG Stocks]]&gt;0</f>
        <v>0</v>
      </c>
      <c r="BX61" s="10"/>
      <c r="BY61" s="10"/>
      <c r="BZ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" s="10" t="e">
        <f>tbl_MTG_Set[[#This Row],[Collector Singles CardMarket Profit BotBox]]/tbl_MTG_Set[[#This Row],[Collector Booster Cost]]</f>
        <v>#N/A</v>
      </c>
      <c r="CC61" s="10" t="b">
        <f>tbl_MTG_Set[[#This Row],[Collector Singles CardMarket Profit BotBox]]&gt;0</f>
        <v>0</v>
      </c>
      <c r="CD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" spans="1:86" hidden="1">
      <c r="A62">
        <v>67</v>
      </c>
      <c r="B62" t="s">
        <v>235</v>
      </c>
      <c r="C62">
        <v>27</v>
      </c>
      <c r="D62" s="3">
        <v>45681</v>
      </c>
      <c r="E62" t="s">
        <v>66</v>
      </c>
      <c r="F62" t="s">
        <v>174</v>
      </c>
      <c r="G62">
        <v>80</v>
      </c>
      <c r="H62">
        <f ca="1">MONTH(NOW())+12*YEAR(NOW())-MONTH(tbl_MTG_Set[[#This Row],[Released On]])-12*YEAR(tbl_MTG_Set[[#This Row],[Released On]])</f>
        <v>14</v>
      </c>
      <c r="I62">
        <f>_xlfn.XLOOKUP(tbl_MTG_Set[[#This Row],[Type Name]], tbl_MTG_Set_Type[Set Type], tbl_MTG_Set_Type[Index], "(Set Type not found)")</f>
        <v>2</v>
      </c>
      <c r="J62">
        <f>_xlfn.XLOOKUP(tbl_MTG_Set[[#This Row],[Type Name]], tbl_MTG_Set_Type[Set Type], tbl_MTG_Set_Type[Buy Window Month Start], "(Set Type not found)")</f>
        <v>3</v>
      </c>
      <c r="K62" s="3">
        <f>tbl_MTG_Set[[#This Row],[Released On]]+tbl_MTG_Set[[#This Row],[Buy Window Month Start]]*365.25/12</f>
        <v>45772.3125</v>
      </c>
      <c r="L62">
        <f>_xlfn.XLOOKUP(tbl_MTG_Set[[#This Row],[Type Name]], tbl_MTG_Set_Type[Set Type], tbl_MTG_Set_Type[Buy Window Month End], "(Set Type not found)", 0, 1)</f>
        <v>6</v>
      </c>
      <c r="M62" s="3">
        <f>tbl_MTG_Set[[#This Row],[Released On]]+tbl_MTG_Set[[#This Row],[Buy Window Month End]]*365.25/12</f>
        <v>45863.625</v>
      </c>
      <c r="N62" s="3" t="b">
        <f ca="1">AND(NOW()&gt;=tbl_MTG_Set[[#This Row],[Buy Window Start]], NOW()&lt;=tbl_MTG_Set[[#This Row],[Buy Window End]])</f>
        <v>0</v>
      </c>
      <c r="O62">
        <f>_xlfn.XLOOKUP(tbl_MTG_Set[[#This Row],[Type Name]], tbl_MTG_Set_Type[Set Type], tbl_MTG_Set_Type[Heavy Printing Window Month Start], "(Set Type not found)", 0, 1)</f>
        <v>6</v>
      </c>
      <c r="P62" s="3">
        <f>tbl_MTG_Set[[#This Row],[Released On]]+tbl_MTG_Set[[#This Row],[Heavy Printing Window Month Start]]*365.25/12</f>
        <v>45863.625</v>
      </c>
      <c r="Q62">
        <f>_xlfn.XLOOKUP(tbl_MTG_Set[[#This Row],[Type Name]], tbl_MTG_Set_Type[Set Type], tbl_MTG_Set_Type[Heavy Printing Window Month End], "(Set Type not found)", 0, 1)</f>
        <v>12</v>
      </c>
      <c r="R62" s="3">
        <f>tbl_MTG_Set[[#This Row],[Released On]]+tbl_MTG_Set[[#This Row],[Heavy Printing Window Month End]]*365.25/12</f>
        <v>46046.25</v>
      </c>
      <c r="S62" s="3" t="b">
        <f ca="1">AND(NOW()&gt;=tbl_MTG_Set[[#This Row],[Heavy Printing Window Start]], NOW()&lt;=tbl_MTG_Set[[#This Row],[Heavy Printing Window End]])</f>
        <v>0</v>
      </c>
      <c r="T62">
        <f>_xlfn.XLOOKUP(tbl_MTG_Set[[#This Row],[Type Name]], tbl_MTG_Set_Type[Set Type], tbl_MTG_Set_Type[Sell Window Month Start], "(Set Type not found)", 0, 1)</f>
        <v>18</v>
      </c>
      <c r="U62" s="3">
        <f>tbl_MTG_Set[[#This Row],[Released On]]+tbl_MTG_Set[[#This Row],[Sell Window Month Start]]*365.25/12</f>
        <v>46228.875</v>
      </c>
      <c r="V62">
        <f>_xlfn.XLOOKUP(tbl_MTG_Set[[#This Row],[Type Name]], tbl_MTG_Set_Type[Set Type], tbl_MTG_Set_Type[Sell Window Month End], "(Set Type not found)", 0, 1)</f>
        <v>36</v>
      </c>
      <c r="W62" s="3">
        <f>tbl_MTG_Set[[#This Row],[Released On]]+tbl_MTG_Set[[#This Row],[Sell Window Month End]]*365.25/12</f>
        <v>46776.75</v>
      </c>
      <c r="X62" s="3" t="b">
        <f ca="1">AND(NOW()&gt;=tbl_MTG_Set[[#This Row],[Sell Window Start]], NOW()&lt;=tbl_MTG_Set[[#This Row],[Sell Window End]])</f>
        <v>0</v>
      </c>
      <c r="AG62" s="10"/>
      <c r="AH62" s="10"/>
      <c r="AM62" s="10" t="str" cm="1">
        <f t="array" ref="AM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" s="10" t="str" cm="1">
        <f t="array" ref="AN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" s="4" t="e">
        <f>_xlfn.XLOOKUP(tbl_MTG_Set[[#This Row],[Play Booster Box Product Id]], tbl_Product[Product Id], tbl_Product[Pack Size])</f>
        <v>#N/A</v>
      </c>
      <c r="AP62" s="10" t="e">
        <f>(tbl_MTG_Set[[#This Row],[Play Booster Box Cost]]+v_Item_Shipping_Cost_In)/tbl_MTG_Set[[#This Row],[Play Booster Box Size]]</f>
        <v>#VALUE!</v>
      </c>
      <c r="AQ62" s="10" t="str" cm="1">
        <f t="array" ref="AQ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" s="10"/>
      <c r="AS62" s="10"/>
      <c r="AT62" s="17" t="e">
        <f>tbl_MTG_Set[[#This Row],[Play Booster CardMarket Profit]]/tbl_MTG_Set[[#This Row],[Play Booster Cost]]</f>
        <v>#VALUE!</v>
      </c>
      <c r="AU62" s="10" t="e">
        <f>_xlfn.XLOOKUP(tbl_MTG_Set[[#This Row],[Collector Booster Box Product Id]], tbl_Product[Product Id], tbl_Product[Min Cost])</f>
        <v>#N/A</v>
      </c>
      <c r="AV62" s="10" t="e">
        <f>_xlfn.XLOOKUP(tbl_MTG_Set[[#This Row],[Collector Booster Box Product Id]], tbl_Product[Product Id], tbl_Product[Best Source])</f>
        <v>#N/A</v>
      </c>
      <c r="AW62" s="4" t="e">
        <f>_xlfn.XLOOKUP(tbl_MTG_Set[[#This Row],[Collector Booster Box Product Id]], tbl_Product[Product Id], tbl_Product[Pack Size])</f>
        <v>#N/A</v>
      </c>
      <c r="AX62" s="10" t="e">
        <f>(tbl_MTG_Set[[#This Row],[Collector Booster Box Cost]] + v_Item_Shipping_Cost_In) / tbl_MTG_Set[[#This Row],[Collector Booster Box Size]]</f>
        <v>#N/A</v>
      </c>
      <c r="AY62" s="10" t="str" cm="1">
        <f t="array" ref="AY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" s="10"/>
      <c r="BA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" s="17" t="e">
        <f>tbl_MTG_Set[[#This Row],[Collector Booster CardMarket Profit]]/tbl_MTG_Set[[#This Row],[Collector Booster Cost]]</f>
        <v>#N/A</v>
      </c>
      <c r="BC62" s="10"/>
      <c r="BF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" s="11" t="e">
        <f>tbl_MTG_Set[[#This Row],[Play Singles CardMarket Profit MTG Stocks]]/tbl_MTG_Set[[#This Row],[Play Booster Cost]]</f>
        <v>#VALUE!</v>
      </c>
      <c r="BI62" s="11" t="b">
        <f>tbl_MTG_Set[[#This Row],[Play Singles CardMarket Profit MTG Stocks]]&gt;0</f>
        <v>0</v>
      </c>
      <c r="BM62" s="10" t="e">
        <f>tbl_MTG_Set[[#This Row],[Play Booster Sell Price CardMarket]]*tbl_MTG_Set[[#This Row],[Play Booster Expected Market Value BotBox]]/tbl_MTG_Set[[#This Row],[Play Booster Sealed Market Value BotBox]]</f>
        <v>#VALUE!</v>
      </c>
      <c r="BN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" s="10" t="e">
        <f>tbl_MTG_Set[[#This Row],[Play Singles CardMarket Profit BotBox]]/tbl_MTG_Set[[#This Row],[Play Booster Cost]]</f>
        <v>#VALUE!</v>
      </c>
      <c r="BP62" s="10" t="b">
        <f>tbl_MTG_Set[[#This Row],[Play Singles CardMarket Profit BotBox]]&gt;0</f>
        <v>0</v>
      </c>
      <c r="BQ62" s="10"/>
      <c r="BR62" s="10"/>
      <c r="BS62" s="10"/>
      <c r="BT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" s="19" t="e">
        <f>tbl_MTG_Set[[#This Row],[Collector Singles CardMarket Profit MTG Stocks]]/tbl_MTG_Set[[#This Row],[Collector Booster Cost]]</f>
        <v>#N/A</v>
      </c>
      <c r="BW62" s="10" t="b">
        <f>tbl_MTG_Set[[#This Row],[Collector Singles CardMarket Profit MTG Stocks]]&gt;0</f>
        <v>0</v>
      </c>
      <c r="BX62" s="10"/>
      <c r="BY62" s="10"/>
      <c r="BZ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" s="10" t="e">
        <f>tbl_MTG_Set[[#This Row],[Collector Singles CardMarket Profit BotBox]]/tbl_MTG_Set[[#This Row],[Collector Booster Cost]]</f>
        <v>#N/A</v>
      </c>
      <c r="CC62" s="10" t="b">
        <f>tbl_MTG_Set[[#This Row],[Collector Singles CardMarket Profit BotBox]]&gt;0</f>
        <v>0</v>
      </c>
      <c r="CD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" spans="1:86" hidden="1">
      <c r="A63">
        <v>68</v>
      </c>
      <c r="B63" t="s">
        <v>236</v>
      </c>
      <c r="C63">
        <v>25</v>
      </c>
      <c r="D63" s="3">
        <v>45681</v>
      </c>
      <c r="E63" t="s">
        <v>66</v>
      </c>
      <c r="F63" t="s">
        <v>174</v>
      </c>
      <c r="G63">
        <v>82</v>
      </c>
      <c r="H63">
        <f ca="1">MONTH(NOW())+12*YEAR(NOW())-MONTH(tbl_MTG_Set[[#This Row],[Released On]])-12*YEAR(tbl_MTG_Set[[#This Row],[Released On]])</f>
        <v>14</v>
      </c>
      <c r="I63">
        <f>_xlfn.XLOOKUP(tbl_MTG_Set[[#This Row],[Type Name]], tbl_MTG_Set_Type[Set Type], tbl_MTG_Set_Type[Index], "(Set Type not found)")</f>
        <v>2</v>
      </c>
      <c r="J63">
        <f>_xlfn.XLOOKUP(tbl_MTG_Set[[#This Row],[Type Name]], tbl_MTG_Set_Type[Set Type], tbl_MTG_Set_Type[Buy Window Month Start], "(Set Type not found)")</f>
        <v>3</v>
      </c>
      <c r="K63" s="3">
        <f>tbl_MTG_Set[[#This Row],[Released On]]+tbl_MTG_Set[[#This Row],[Buy Window Month Start]]*365.25/12</f>
        <v>45772.3125</v>
      </c>
      <c r="L63">
        <f>_xlfn.XLOOKUP(tbl_MTG_Set[[#This Row],[Type Name]], tbl_MTG_Set_Type[Set Type], tbl_MTG_Set_Type[Buy Window Month End], "(Set Type not found)", 0, 1)</f>
        <v>6</v>
      </c>
      <c r="M63" s="3">
        <f>tbl_MTG_Set[[#This Row],[Released On]]+tbl_MTG_Set[[#This Row],[Buy Window Month End]]*365.25/12</f>
        <v>45863.625</v>
      </c>
      <c r="N63" s="3" t="b">
        <f ca="1">AND(NOW()&gt;=tbl_MTG_Set[[#This Row],[Buy Window Start]], NOW()&lt;=tbl_MTG_Set[[#This Row],[Buy Window End]])</f>
        <v>0</v>
      </c>
      <c r="O63">
        <f>_xlfn.XLOOKUP(tbl_MTG_Set[[#This Row],[Type Name]], tbl_MTG_Set_Type[Set Type], tbl_MTG_Set_Type[Heavy Printing Window Month Start], "(Set Type not found)", 0, 1)</f>
        <v>6</v>
      </c>
      <c r="P63" s="3">
        <f>tbl_MTG_Set[[#This Row],[Released On]]+tbl_MTG_Set[[#This Row],[Heavy Printing Window Month Start]]*365.25/12</f>
        <v>45863.625</v>
      </c>
      <c r="Q63">
        <f>_xlfn.XLOOKUP(tbl_MTG_Set[[#This Row],[Type Name]], tbl_MTG_Set_Type[Set Type], tbl_MTG_Set_Type[Heavy Printing Window Month End], "(Set Type not found)", 0, 1)</f>
        <v>12</v>
      </c>
      <c r="R63" s="3">
        <f>tbl_MTG_Set[[#This Row],[Released On]]+tbl_MTG_Set[[#This Row],[Heavy Printing Window Month End]]*365.25/12</f>
        <v>46046.25</v>
      </c>
      <c r="S63" s="3" t="b">
        <f ca="1">AND(NOW()&gt;=tbl_MTG_Set[[#This Row],[Heavy Printing Window Start]], NOW()&lt;=tbl_MTG_Set[[#This Row],[Heavy Printing Window End]])</f>
        <v>0</v>
      </c>
      <c r="T63">
        <f>_xlfn.XLOOKUP(tbl_MTG_Set[[#This Row],[Type Name]], tbl_MTG_Set_Type[Set Type], tbl_MTG_Set_Type[Sell Window Month Start], "(Set Type not found)", 0, 1)</f>
        <v>18</v>
      </c>
      <c r="U63" s="3">
        <f>tbl_MTG_Set[[#This Row],[Released On]]+tbl_MTG_Set[[#This Row],[Sell Window Month Start]]*365.25/12</f>
        <v>46228.875</v>
      </c>
      <c r="V63">
        <f>_xlfn.XLOOKUP(tbl_MTG_Set[[#This Row],[Type Name]], tbl_MTG_Set_Type[Set Type], tbl_MTG_Set_Type[Sell Window Month End], "(Set Type not found)", 0, 1)</f>
        <v>36</v>
      </c>
      <c r="W63" s="3">
        <f>tbl_MTG_Set[[#This Row],[Released On]]+tbl_MTG_Set[[#This Row],[Sell Window Month End]]*365.25/12</f>
        <v>46776.75</v>
      </c>
      <c r="X63" s="3" t="b">
        <f ca="1">AND(NOW()&gt;=tbl_MTG_Set[[#This Row],[Sell Window Start]], NOW()&lt;=tbl_MTG_Set[[#This Row],[Sell Window End]])</f>
        <v>0</v>
      </c>
      <c r="AG63" s="10"/>
      <c r="AH63" s="10"/>
      <c r="AM63" s="10" t="str" cm="1">
        <f t="array" ref="AM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" s="10" t="str" cm="1">
        <f t="array" ref="AN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" s="4" t="e">
        <f>_xlfn.XLOOKUP(tbl_MTG_Set[[#This Row],[Play Booster Box Product Id]], tbl_Product[Product Id], tbl_Product[Pack Size])</f>
        <v>#N/A</v>
      </c>
      <c r="AP63" s="10" t="e">
        <f>(tbl_MTG_Set[[#This Row],[Play Booster Box Cost]]+v_Item_Shipping_Cost_In)/tbl_MTG_Set[[#This Row],[Play Booster Box Size]]</f>
        <v>#VALUE!</v>
      </c>
      <c r="AQ63" s="10" t="str" cm="1">
        <f t="array" ref="AQ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" s="10"/>
      <c r="AS63" s="10"/>
      <c r="AT63" s="17" t="e">
        <f>tbl_MTG_Set[[#This Row],[Play Booster CardMarket Profit]]/tbl_MTG_Set[[#This Row],[Play Booster Cost]]</f>
        <v>#VALUE!</v>
      </c>
      <c r="AU63" s="10" t="e">
        <f>_xlfn.XLOOKUP(tbl_MTG_Set[[#This Row],[Collector Booster Box Product Id]], tbl_Product[Product Id], tbl_Product[Min Cost])</f>
        <v>#N/A</v>
      </c>
      <c r="AV63" s="10" t="e">
        <f>_xlfn.XLOOKUP(tbl_MTG_Set[[#This Row],[Collector Booster Box Product Id]], tbl_Product[Product Id], tbl_Product[Best Source])</f>
        <v>#N/A</v>
      </c>
      <c r="AW63" s="4" t="e">
        <f>_xlfn.XLOOKUP(tbl_MTG_Set[[#This Row],[Collector Booster Box Product Id]], tbl_Product[Product Id], tbl_Product[Pack Size])</f>
        <v>#N/A</v>
      </c>
      <c r="AX63" s="10" t="e">
        <f>(tbl_MTG_Set[[#This Row],[Collector Booster Box Cost]] + v_Item_Shipping_Cost_In) / tbl_MTG_Set[[#This Row],[Collector Booster Box Size]]</f>
        <v>#N/A</v>
      </c>
      <c r="AY63" s="10" t="str" cm="1">
        <f t="array" ref="AY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" s="10"/>
      <c r="BA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" s="17" t="e">
        <f>tbl_MTG_Set[[#This Row],[Collector Booster CardMarket Profit]]/tbl_MTG_Set[[#This Row],[Collector Booster Cost]]</f>
        <v>#N/A</v>
      </c>
      <c r="BC63" s="10"/>
      <c r="BF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" s="11" t="e">
        <f>tbl_MTG_Set[[#This Row],[Play Singles CardMarket Profit MTG Stocks]]/tbl_MTG_Set[[#This Row],[Play Booster Cost]]</f>
        <v>#VALUE!</v>
      </c>
      <c r="BI63" s="11" t="b">
        <f>tbl_MTG_Set[[#This Row],[Play Singles CardMarket Profit MTG Stocks]]&gt;0</f>
        <v>0</v>
      </c>
      <c r="BM63" s="10" t="e">
        <f>tbl_MTG_Set[[#This Row],[Play Booster Sell Price CardMarket]]*tbl_MTG_Set[[#This Row],[Play Booster Expected Market Value BotBox]]/tbl_MTG_Set[[#This Row],[Play Booster Sealed Market Value BotBox]]</f>
        <v>#VALUE!</v>
      </c>
      <c r="BN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" s="10" t="e">
        <f>tbl_MTG_Set[[#This Row],[Play Singles CardMarket Profit BotBox]]/tbl_MTG_Set[[#This Row],[Play Booster Cost]]</f>
        <v>#VALUE!</v>
      </c>
      <c r="BP63" s="10" t="b">
        <f>tbl_MTG_Set[[#This Row],[Play Singles CardMarket Profit BotBox]]&gt;0</f>
        <v>0</v>
      </c>
      <c r="BQ63" s="10"/>
      <c r="BR63" s="10"/>
      <c r="BS63" s="10"/>
      <c r="BT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" s="19" t="e">
        <f>tbl_MTG_Set[[#This Row],[Collector Singles CardMarket Profit MTG Stocks]]/tbl_MTG_Set[[#This Row],[Collector Booster Cost]]</f>
        <v>#N/A</v>
      </c>
      <c r="BW63" s="10" t="b">
        <f>tbl_MTG_Set[[#This Row],[Collector Singles CardMarket Profit MTG Stocks]]&gt;0</f>
        <v>0</v>
      </c>
      <c r="BX63" s="10"/>
      <c r="BY63" s="10"/>
      <c r="BZ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" s="10" t="e">
        <f>tbl_MTG_Set[[#This Row],[Collector Singles CardMarket Profit BotBox]]/tbl_MTG_Set[[#This Row],[Collector Booster Cost]]</f>
        <v>#N/A</v>
      </c>
      <c r="CC63" s="10" t="b">
        <f>tbl_MTG_Set[[#This Row],[Collector Singles CardMarket Profit BotBox]]&gt;0</f>
        <v>0</v>
      </c>
      <c r="CD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" spans="1:86" hidden="1">
      <c r="A64">
        <v>69</v>
      </c>
      <c r="B64" t="s">
        <v>237</v>
      </c>
      <c r="C64">
        <v>8</v>
      </c>
      <c r="D64" s="3">
        <v>45660</v>
      </c>
      <c r="F64" t="s">
        <v>174</v>
      </c>
      <c r="G64">
        <v>84</v>
      </c>
      <c r="H64">
        <f ca="1">MONTH(NOW())+12*YEAR(NOW())-MONTH(tbl_MTG_Set[[#This Row],[Released On]])-12*YEAR(tbl_MTG_Set[[#This Row],[Released On]])</f>
        <v>14</v>
      </c>
      <c r="I64" t="str">
        <f>_xlfn.XLOOKUP(tbl_MTG_Set[[#This Row],[Type Name]], tbl_MTG_Set_Type[Set Type], tbl_MTG_Set_Type[Index], "(Set Type not found)")</f>
        <v>(Set Type not found)</v>
      </c>
      <c r="J64" t="str">
        <f>_xlfn.XLOOKUP(tbl_MTG_Set[[#This Row],[Type Name]], tbl_MTG_Set_Type[Set Type], tbl_MTG_Set_Type[Buy Window Month Start], "(Set Type not found)")</f>
        <v>(Set Type not found)</v>
      </c>
      <c r="K64" s="3" t="e">
        <f>tbl_MTG_Set[[#This Row],[Released On]]+tbl_MTG_Set[[#This Row],[Buy Window Month Start]]*365.25/12</f>
        <v>#VALUE!</v>
      </c>
      <c r="L64" t="str">
        <f>_xlfn.XLOOKUP(tbl_MTG_Set[[#This Row],[Type Name]], tbl_MTG_Set_Type[Set Type], tbl_MTG_Set_Type[Buy Window Month End], "(Set Type not found)", 0, 1)</f>
        <v>(Set Type not found)</v>
      </c>
      <c r="M64" s="3" t="e">
        <f>tbl_MTG_Set[[#This Row],[Released On]]+tbl_MTG_Set[[#This Row],[Buy Window Month End]]*365.25/12</f>
        <v>#VALUE!</v>
      </c>
      <c r="N64" s="3" t="e">
        <f ca="1">AND(NOW()&gt;=tbl_MTG_Set[[#This Row],[Buy Window Start]], NOW()&lt;=tbl_MTG_Set[[#This Row],[Buy Window End]])</f>
        <v>#VALUE!</v>
      </c>
      <c r="O64" t="str">
        <f>_xlfn.XLOOKUP(tbl_MTG_Set[[#This Row],[Type Name]], tbl_MTG_Set_Type[Set Type], tbl_MTG_Set_Type[Heavy Printing Window Month Start], "(Set Type not found)", 0, 1)</f>
        <v>(Set Type not found)</v>
      </c>
      <c r="P64" s="3" t="e">
        <f>tbl_MTG_Set[[#This Row],[Released On]]+tbl_MTG_Set[[#This Row],[Heavy Printing Window Month Start]]*365.25/12</f>
        <v>#VALUE!</v>
      </c>
      <c r="Q64" t="str">
        <f>_xlfn.XLOOKUP(tbl_MTG_Set[[#This Row],[Type Name]], tbl_MTG_Set_Type[Set Type], tbl_MTG_Set_Type[Heavy Printing Window Month End], "(Set Type not found)", 0, 1)</f>
        <v>(Set Type not found)</v>
      </c>
      <c r="R64" s="3" t="e">
        <f>tbl_MTG_Set[[#This Row],[Released On]]+tbl_MTG_Set[[#This Row],[Heavy Printing Window Month End]]*365.25/12</f>
        <v>#VALUE!</v>
      </c>
      <c r="S64" s="3" t="e">
        <f ca="1">AND(NOW()&gt;=tbl_MTG_Set[[#This Row],[Heavy Printing Window Start]], NOW()&lt;=tbl_MTG_Set[[#This Row],[Heavy Printing Window End]])</f>
        <v>#VALUE!</v>
      </c>
      <c r="T64" t="str">
        <f>_xlfn.XLOOKUP(tbl_MTG_Set[[#This Row],[Type Name]], tbl_MTG_Set_Type[Set Type], tbl_MTG_Set_Type[Sell Window Month Start], "(Set Type not found)", 0, 1)</f>
        <v>(Set Type not found)</v>
      </c>
      <c r="U64" s="3" t="e">
        <f>tbl_MTG_Set[[#This Row],[Released On]]+tbl_MTG_Set[[#This Row],[Sell Window Month Start]]*365.25/12</f>
        <v>#VALUE!</v>
      </c>
      <c r="V64" t="str">
        <f>_xlfn.XLOOKUP(tbl_MTG_Set[[#This Row],[Type Name]], tbl_MTG_Set_Type[Set Type], tbl_MTG_Set_Type[Sell Window Month End], "(Set Type not found)", 0, 1)</f>
        <v>(Set Type not found)</v>
      </c>
      <c r="W64" s="3" t="e">
        <f>tbl_MTG_Set[[#This Row],[Released On]]+tbl_MTG_Set[[#This Row],[Sell Window Month End]]*365.25/12</f>
        <v>#VALUE!</v>
      </c>
      <c r="X64" s="3" t="e">
        <f ca="1">AND(NOW()&gt;=tbl_MTG_Set[[#This Row],[Sell Window Start]], NOW()&lt;=tbl_MTG_Set[[#This Row],[Sell Window End]])</f>
        <v>#VALUE!</v>
      </c>
      <c r="AG64" s="10"/>
      <c r="AH64" s="10"/>
      <c r="AM64" s="10" t="str" cm="1">
        <f t="array" ref="AM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" s="10" t="str" cm="1">
        <f t="array" ref="AN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" s="4" t="e">
        <f>_xlfn.XLOOKUP(tbl_MTG_Set[[#This Row],[Play Booster Box Product Id]], tbl_Product[Product Id], tbl_Product[Pack Size])</f>
        <v>#N/A</v>
      </c>
      <c r="AP64" s="10" t="e">
        <f>(tbl_MTG_Set[[#This Row],[Play Booster Box Cost]]+v_Item_Shipping_Cost_In)/tbl_MTG_Set[[#This Row],[Play Booster Box Size]]</f>
        <v>#VALUE!</v>
      </c>
      <c r="AQ64" s="10" t="str" cm="1">
        <f t="array" ref="AQ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" s="10"/>
      <c r="AS64" s="10"/>
      <c r="AT64" s="17" t="e">
        <f>tbl_MTG_Set[[#This Row],[Play Booster CardMarket Profit]]/tbl_MTG_Set[[#This Row],[Play Booster Cost]]</f>
        <v>#VALUE!</v>
      </c>
      <c r="AU64" s="10" t="e">
        <f>_xlfn.XLOOKUP(tbl_MTG_Set[[#This Row],[Collector Booster Box Product Id]], tbl_Product[Product Id], tbl_Product[Min Cost])</f>
        <v>#N/A</v>
      </c>
      <c r="AV64" s="10" t="e">
        <f>_xlfn.XLOOKUP(tbl_MTG_Set[[#This Row],[Collector Booster Box Product Id]], tbl_Product[Product Id], tbl_Product[Best Source])</f>
        <v>#N/A</v>
      </c>
      <c r="AW64" s="4" t="e">
        <f>_xlfn.XLOOKUP(tbl_MTG_Set[[#This Row],[Collector Booster Box Product Id]], tbl_Product[Product Id], tbl_Product[Pack Size])</f>
        <v>#N/A</v>
      </c>
      <c r="AX64" s="10" t="e">
        <f>(tbl_MTG_Set[[#This Row],[Collector Booster Box Cost]] + v_Item_Shipping_Cost_In) / tbl_MTG_Set[[#This Row],[Collector Booster Box Size]]</f>
        <v>#N/A</v>
      </c>
      <c r="AY64" s="10" t="str" cm="1">
        <f t="array" ref="AY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" s="10"/>
      <c r="BA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" s="17" t="e">
        <f>tbl_MTG_Set[[#This Row],[Collector Booster CardMarket Profit]]/tbl_MTG_Set[[#This Row],[Collector Booster Cost]]</f>
        <v>#N/A</v>
      </c>
      <c r="BC64" s="10"/>
      <c r="BF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" s="11" t="e">
        <f>tbl_MTG_Set[[#This Row],[Play Singles CardMarket Profit MTG Stocks]]/tbl_MTG_Set[[#This Row],[Play Booster Cost]]</f>
        <v>#VALUE!</v>
      </c>
      <c r="BI64" s="11" t="b">
        <f>tbl_MTG_Set[[#This Row],[Play Singles CardMarket Profit MTG Stocks]]&gt;0</f>
        <v>0</v>
      </c>
      <c r="BM64" s="10" t="e">
        <f>tbl_MTG_Set[[#This Row],[Play Booster Sell Price CardMarket]]*tbl_MTG_Set[[#This Row],[Play Booster Expected Market Value BotBox]]/tbl_MTG_Set[[#This Row],[Play Booster Sealed Market Value BotBox]]</f>
        <v>#VALUE!</v>
      </c>
      <c r="BN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" s="10" t="e">
        <f>tbl_MTG_Set[[#This Row],[Play Singles CardMarket Profit BotBox]]/tbl_MTG_Set[[#This Row],[Play Booster Cost]]</f>
        <v>#VALUE!</v>
      </c>
      <c r="BP64" s="10" t="b">
        <f>tbl_MTG_Set[[#This Row],[Play Singles CardMarket Profit BotBox]]&gt;0</f>
        <v>0</v>
      </c>
      <c r="BQ64" s="10"/>
      <c r="BR64" s="10"/>
      <c r="BS64" s="10"/>
      <c r="BT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" s="19" t="e">
        <f>tbl_MTG_Set[[#This Row],[Collector Singles CardMarket Profit MTG Stocks]]/tbl_MTG_Set[[#This Row],[Collector Booster Cost]]</f>
        <v>#N/A</v>
      </c>
      <c r="BW64" s="10" t="b">
        <f>tbl_MTG_Set[[#This Row],[Collector Singles CardMarket Profit MTG Stocks]]&gt;0</f>
        <v>0</v>
      </c>
      <c r="BX64" s="10"/>
      <c r="BY64" s="10"/>
      <c r="BZ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" s="10" t="e">
        <f>tbl_MTG_Set[[#This Row],[Collector Singles CardMarket Profit BotBox]]/tbl_MTG_Set[[#This Row],[Collector Booster Cost]]</f>
        <v>#N/A</v>
      </c>
      <c r="CC64" s="10" t="b">
        <f>tbl_MTG_Set[[#This Row],[Collector Singles CardMarket Profit BotBox]]&gt;0</f>
        <v>0</v>
      </c>
      <c r="CD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" spans="1:86" hidden="1">
      <c r="A65">
        <v>70</v>
      </c>
      <c r="B65" t="s">
        <v>238</v>
      </c>
      <c r="C65">
        <v>19</v>
      </c>
      <c r="D65" s="3">
        <v>45658</v>
      </c>
      <c r="F65" t="s">
        <v>174</v>
      </c>
      <c r="G65">
        <v>86</v>
      </c>
      <c r="H65">
        <f ca="1">MONTH(NOW())+12*YEAR(NOW())-MONTH(tbl_MTG_Set[[#This Row],[Released On]])-12*YEAR(tbl_MTG_Set[[#This Row],[Released On]])</f>
        <v>14</v>
      </c>
      <c r="I65" t="str">
        <f>_xlfn.XLOOKUP(tbl_MTG_Set[[#This Row],[Type Name]], tbl_MTG_Set_Type[Set Type], tbl_MTG_Set_Type[Index], "(Set Type not found)")</f>
        <v>(Set Type not found)</v>
      </c>
      <c r="J65" t="str">
        <f>_xlfn.XLOOKUP(tbl_MTG_Set[[#This Row],[Type Name]], tbl_MTG_Set_Type[Set Type], tbl_MTG_Set_Type[Buy Window Month Start], "(Set Type not found)")</f>
        <v>(Set Type not found)</v>
      </c>
      <c r="K65" s="3" t="e">
        <f>tbl_MTG_Set[[#This Row],[Released On]]+tbl_MTG_Set[[#This Row],[Buy Window Month Start]]*365.25/12</f>
        <v>#VALUE!</v>
      </c>
      <c r="L65" t="str">
        <f>_xlfn.XLOOKUP(tbl_MTG_Set[[#This Row],[Type Name]], tbl_MTG_Set_Type[Set Type], tbl_MTG_Set_Type[Buy Window Month End], "(Set Type not found)", 0, 1)</f>
        <v>(Set Type not found)</v>
      </c>
      <c r="M65" s="3" t="e">
        <f>tbl_MTG_Set[[#This Row],[Released On]]+tbl_MTG_Set[[#This Row],[Buy Window Month End]]*365.25/12</f>
        <v>#VALUE!</v>
      </c>
      <c r="N65" s="3" t="e">
        <f ca="1">AND(NOW()&gt;=tbl_MTG_Set[[#This Row],[Buy Window Start]], NOW()&lt;=tbl_MTG_Set[[#This Row],[Buy Window End]])</f>
        <v>#VALUE!</v>
      </c>
      <c r="O65" t="str">
        <f>_xlfn.XLOOKUP(tbl_MTG_Set[[#This Row],[Type Name]], tbl_MTG_Set_Type[Set Type], tbl_MTG_Set_Type[Heavy Printing Window Month Start], "(Set Type not found)", 0, 1)</f>
        <v>(Set Type not found)</v>
      </c>
      <c r="P65" s="3" t="e">
        <f>tbl_MTG_Set[[#This Row],[Released On]]+tbl_MTG_Set[[#This Row],[Heavy Printing Window Month Start]]*365.25/12</f>
        <v>#VALUE!</v>
      </c>
      <c r="Q65" t="str">
        <f>_xlfn.XLOOKUP(tbl_MTG_Set[[#This Row],[Type Name]], tbl_MTG_Set_Type[Set Type], tbl_MTG_Set_Type[Heavy Printing Window Month End], "(Set Type not found)", 0, 1)</f>
        <v>(Set Type not found)</v>
      </c>
      <c r="R65" s="3" t="e">
        <f>tbl_MTG_Set[[#This Row],[Released On]]+tbl_MTG_Set[[#This Row],[Heavy Printing Window Month End]]*365.25/12</f>
        <v>#VALUE!</v>
      </c>
      <c r="S65" s="3" t="e">
        <f ca="1">AND(NOW()&gt;=tbl_MTG_Set[[#This Row],[Heavy Printing Window Start]], NOW()&lt;=tbl_MTG_Set[[#This Row],[Heavy Printing Window End]])</f>
        <v>#VALUE!</v>
      </c>
      <c r="T65" t="str">
        <f>_xlfn.XLOOKUP(tbl_MTG_Set[[#This Row],[Type Name]], tbl_MTG_Set_Type[Set Type], tbl_MTG_Set_Type[Sell Window Month Start], "(Set Type not found)", 0, 1)</f>
        <v>(Set Type not found)</v>
      </c>
      <c r="U65" s="3" t="e">
        <f>tbl_MTG_Set[[#This Row],[Released On]]+tbl_MTG_Set[[#This Row],[Sell Window Month Start]]*365.25/12</f>
        <v>#VALUE!</v>
      </c>
      <c r="V65" t="str">
        <f>_xlfn.XLOOKUP(tbl_MTG_Set[[#This Row],[Type Name]], tbl_MTG_Set_Type[Set Type], tbl_MTG_Set_Type[Sell Window Month End], "(Set Type not found)", 0, 1)</f>
        <v>(Set Type not found)</v>
      </c>
      <c r="W65" s="3" t="e">
        <f>tbl_MTG_Set[[#This Row],[Released On]]+tbl_MTG_Set[[#This Row],[Sell Window Month End]]*365.25/12</f>
        <v>#VALUE!</v>
      </c>
      <c r="X65" s="3" t="e">
        <f ca="1">AND(NOW()&gt;=tbl_MTG_Set[[#This Row],[Sell Window Start]], NOW()&lt;=tbl_MTG_Set[[#This Row],[Sell Window End]])</f>
        <v>#VALUE!</v>
      </c>
      <c r="AG65" s="10"/>
      <c r="AH65" s="10"/>
      <c r="AM65" s="10" t="str" cm="1">
        <f t="array" ref="AM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" s="10" t="str" cm="1">
        <f t="array" ref="AN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" s="4" t="e">
        <f>_xlfn.XLOOKUP(tbl_MTG_Set[[#This Row],[Play Booster Box Product Id]], tbl_Product[Product Id], tbl_Product[Pack Size])</f>
        <v>#N/A</v>
      </c>
      <c r="AP65" s="10" t="e">
        <f>(tbl_MTG_Set[[#This Row],[Play Booster Box Cost]]+v_Item_Shipping_Cost_In)/tbl_MTG_Set[[#This Row],[Play Booster Box Size]]</f>
        <v>#VALUE!</v>
      </c>
      <c r="AQ65" s="10" t="str" cm="1">
        <f t="array" ref="AQ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" s="10"/>
      <c r="AS65" s="10"/>
      <c r="AT65" s="17" t="e">
        <f>tbl_MTG_Set[[#This Row],[Play Booster CardMarket Profit]]/tbl_MTG_Set[[#This Row],[Play Booster Cost]]</f>
        <v>#VALUE!</v>
      </c>
      <c r="AU65" s="10" t="e">
        <f>_xlfn.XLOOKUP(tbl_MTG_Set[[#This Row],[Collector Booster Box Product Id]], tbl_Product[Product Id], tbl_Product[Min Cost])</f>
        <v>#N/A</v>
      </c>
      <c r="AV65" s="10" t="e">
        <f>_xlfn.XLOOKUP(tbl_MTG_Set[[#This Row],[Collector Booster Box Product Id]], tbl_Product[Product Id], tbl_Product[Best Source])</f>
        <v>#N/A</v>
      </c>
      <c r="AW65" s="4" t="e">
        <f>_xlfn.XLOOKUP(tbl_MTG_Set[[#This Row],[Collector Booster Box Product Id]], tbl_Product[Product Id], tbl_Product[Pack Size])</f>
        <v>#N/A</v>
      </c>
      <c r="AX65" s="10" t="e">
        <f>(tbl_MTG_Set[[#This Row],[Collector Booster Box Cost]] + v_Item_Shipping_Cost_In) / tbl_MTG_Set[[#This Row],[Collector Booster Box Size]]</f>
        <v>#N/A</v>
      </c>
      <c r="AY65" s="10" t="str" cm="1">
        <f t="array" ref="AY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" s="10"/>
      <c r="BA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" s="17" t="e">
        <f>tbl_MTG_Set[[#This Row],[Collector Booster CardMarket Profit]]/tbl_MTG_Set[[#This Row],[Collector Booster Cost]]</f>
        <v>#N/A</v>
      </c>
      <c r="BC65" s="10"/>
      <c r="BF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" s="11" t="e">
        <f>tbl_MTG_Set[[#This Row],[Play Singles CardMarket Profit MTG Stocks]]/tbl_MTG_Set[[#This Row],[Play Booster Cost]]</f>
        <v>#VALUE!</v>
      </c>
      <c r="BI65" s="11" t="b">
        <f>tbl_MTG_Set[[#This Row],[Play Singles CardMarket Profit MTG Stocks]]&gt;0</f>
        <v>0</v>
      </c>
      <c r="BM65" s="10" t="e">
        <f>tbl_MTG_Set[[#This Row],[Play Booster Sell Price CardMarket]]*tbl_MTG_Set[[#This Row],[Play Booster Expected Market Value BotBox]]/tbl_MTG_Set[[#This Row],[Play Booster Sealed Market Value BotBox]]</f>
        <v>#VALUE!</v>
      </c>
      <c r="BN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" s="10" t="e">
        <f>tbl_MTG_Set[[#This Row],[Play Singles CardMarket Profit BotBox]]/tbl_MTG_Set[[#This Row],[Play Booster Cost]]</f>
        <v>#VALUE!</v>
      </c>
      <c r="BP65" s="10" t="b">
        <f>tbl_MTG_Set[[#This Row],[Play Singles CardMarket Profit BotBox]]&gt;0</f>
        <v>0</v>
      </c>
      <c r="BQ65" s="10"/>
      <c r="BR65" s="10"/>
      <c r="BS65" s="10"/>
      <c r="BT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" s="19" t="e">
        <f>tbl_MTG_Set[[#This Row],[Collector Singles CardMarket Profit MTG Stocks]]/tbl_MTG_Set[[#This Row],[Collector Booster Cost]]</f>
        <v>#N/A</v>
      </c>
      <c r="BW65" s="10" t="b">
        <f>tbl_MTG_Set[[#This Row],[Collector Singles CardMarket Profit MTG Stocks]]&gt;0</f>
        <v>0</v>
      </c>
      <c r="BX65" s="10"/>
      <c r="BY65" s="10"/>
      <c r="BZ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" s="10" t="e">
        <f>tbl_MTG_Set[[#This Row],[Collector Singles CardMarket Profit BotBox]]/tbl_MTG_Set[[#This Row],[Collector Booster Cost]]</f>
        <v>#N/A</v>
      </c>
      <c r="CC65" s="10" t="b">
        <f>tbl_MTG_Set[[#This Row],[Collector Singles CardMarket Profit BotBox]]&gt;0</f>
        <v>0</v>
      </c>
      <c r="CD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" spans="1:86" hidden="1">
      <c r="A66">
        <v>71</v>
      </c>
      <c r="B66" t="s">
        <v>239</v>
      </c>
      <c r="C66">
        <v>17</v>
      </c>
      <c r="D66" s="3">
        <v>45658</v>
      </c>
      <c r="F66" t="s">
        <v>174</v>
      </c>
      <c r="G66">
        <v>88</v>
      </c>
      <c r="H66">
        <f ca="1">MONTH(NOW())+12*YEAR(NOW())-MONTH(tbl_MTG_Set[[#This Row],[Released On]])-12*YEAR(tbl_MTG_Set[[#This Row],[Released On]])</f>
        <v>14</v>
      </c>
      <c r="I66" t="str">
        <f>_xlfn.XLOOKUP(tbl_MTG_Set[[#This Row],[Type Name]], tbl_MTG_Set_Type[Set Type], tbl_MTG_Set_Type[Index], "(Set Type not found)")</f>
        <v>(Set Type not found)</v>
      </c>
      <c r="J66" t="str">
        <f>_xlfn.XLOOKUP(tbl_MTG_Set[[#This Row],[Type Name]], tbl_MTG_Set_Type[Set Type], tbl_MTG_Set_Type[Buy Window Month Start], "(Set Type not found)")</f>
        <v>(Set Type not found)</v>
      </c>
      <c r="K66" s="3" t="e">
        <f>tbl_MTG_Set[[#This Row],[Released On]]+tbl_MTG_Set[[#This Row],[Buy Window Month Start]]*365.25/12</f>
        <v>#VALUE!</v>
      </c>
      <c r="L66" t="str">
        <f>_xlfn.XLOOKUP(tbl_MTG_Set[[#This Row],[Type Name]], tbl_MTG_Set_Type[Set Type], tbl_MTG_Set_Type[Buy Window Month End], "(Set Type not found)", 0, 1)</f>
        <v>(Set Type not found)</v>
      </c>
      <c r="M66" s="3" t="e">
        <f>tbl_MTG_Set[[#This Row],[Released On]]+tbl_MTG_Set[[#This Row],[Buy Window Month End]]*365.25/12</f>
        <v>#VALUE!</v>
      </c>
      <c r="N66" s="3" t="e">
        <f ca="1">AND(NOW()&gt;=tbl_MTG_Set[[#This Row],[Buy Window Start]], NOW()&lt;=tbl_MTG_Set[[#This Row],[Buy Window End]])</f>
        <v>#VALUE!</v>
      </c>
      <c r="O66" t="str">
        <f>_xlfn.XLOOKUP(tbl_MTG_Set[[#This Row],[Type Name]], tbl_MTG_Set_Type[Set Type], tbl_MTG_Set_Type[Heavy Printing Window Month Start], "(Set Type not found)", 0, 1)</f>
        <v>(Set Type not found)</v>
      </c>
      <c r="P66" s="3" t="e">
        <f>tbl_MTG_Set[[#This Row],[Released On]]+tbl_MTG_Set[[#This Row],[Heavy Printing Window Month Start]]*365.25/12</f>
        <v>#VALUE!</v>
      </c>
      <c r="Q66" t="str">
        <f>_xlfn.XLOOKUP(tbl_MTG_Set[[#This Row],[Type Name]], tbl_MTG_Set_Type[Set Type], tbl_MTG_Set_Type[Heavy Printing Window Month End], "(Set Type not found)", 0, 1)</f>
        <v>(Set Type not found)</v>
      </c>
      <c r="R66" s="3" t="e">
        <f>tbl_MTG_Set[[#This Row],[Released On]]+tbl_MTG_Set[[#This Row],[Heavy Printing Window Month End]]*365.25/12</f>
        <v>#VALUE!</v>
      </c>
      <c r="S66" s="3" t="e">
        <f ca="1">AND(NOW()&gt;=tbl_MTG_Set[[#This Row],[Heavy Printing Window Start]], NOW()&lt;=tbl_MTG_Set[[#This Row],[Heavy Printing Window End]])</f>
        <v>#VALUE!</v>
      </c>
      <c r="T66" t="str">
        <f>_xlfn.XLOOKUP(tbl_MTG_Set[[#This Row],[Type Name]], tbl_MTG_Set_Type[Set Type], tbl_MTG_Set_Type[Sell Window Month Start], "(Set Type not found)", 0, 1)</f>
        <v>(Set Type not found)</v>
      </c>
      <c r="U66" s="3" t="e">
        <f>tbl_MTG_Set[[#This Row],[Released On]]+tbl_MTG_Set[[#This Row],[Sell Window Month Start]]*365.25/12</f>
        <v>#VALUE!</v>
      </c>
      <c r="V66" t="str">
        <f>_xlfn.XLOOKUP(tbl_MTG_Set[[#This Row],[Type Name]], tbl_MTG_Set_Type[Set Type], tbl_MTG_Set_Type[Sell Window Month End], "(Set Type not found)", 0, 1)</f>
        <v>(Set Type not found)</v>
      </c>
      <c r="W66" s="3" t="e">
        <f>tbl_MTG_Set[[#This Row],[Released On]]+tbl_MTG_Set[[#This Row],[Sell Window Month End]]*365.25/12</f>
        <v>#VALUE!</v>
      </c>
      <c r="X66" s="3" t="e">
        <f ca="1">AND(NOW()&gt;=tbl_MTG_Set[[#This Row],[Sell Window Start]], NOW()&lt;=tbl_MTG_Set[[#This Row],[Sell Window End]])</f>
        <v>#VALUE!</v>
      </c>
      <c r="AG66" s="10"/>
      <c r="AH66" s="10"/>
      <c r="AM66" s="10" t="str" cm="1">
        <f t="array" ref="AM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" s="10" t="str" cm="1">
        <f t="array" ref="AN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" s="4" t="e">
        <f>_xlfn.XLOOKUP(tbl_MTG_Set[[#This Row],[Play Booster Box Product Id]], tbl_Product[Product Id], tbl_Product[Pack Size])</f>
        <v>#N/A</v>
      </c>
      <c r="AP66" s="10" t="e">
        <f>(tbl_MTG_Set[[#This Row],[Play Booster Box Cost]]+v_Item_Shipping_Cost_In)/tbl_MTG_Set[[#This Row],[Play Booster Box Size]]</f>
        <v>#VALUE!</v>
      </c>
      <c r="AQ66" s="10" t="str" cm="1">
        <f t="array" ref="AQ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" s="10"/>
      <c r="AS66" s="10"/>
      <c r="AT66" s="17" t="e">
        <f>tbl_MTG_Set[[#This Row],[Play Booster CardMarket Profit]]/tbl_MTG_Set[[#This Row],[Play Booster Cost]]</f>
        <v>#VALUE!</v>
      </c>
      <c r="AU66" s="10" t="e">
        <f>_xlfn.XLOOKUP(tbl_MTG_Set[[#This Row],[Collector Booster Box Product Id]], tbl_Product[Product Id], tbl_Product[Min Cost])</f>
        <v>#N/A</v>
      </c>
      <c r="AV66" s="10" t="e">
        <f>_xlfn.XLOOKUP(tbl_MTG_Set[[#This Row],[Collector Booster Box Product Id]], tbl_Product[Product Id], tbl_Product[Best Source])</f>
        <v>#N/A</v>
      </c>
      <c r="AW66" s="4" t="e">
        <f>_xlfn.XLOOKUP(tbl_MTG_Set[[#This Row],[Collector Booster Box Product Id]], tbl_Product[Product Id], tbl_Product[Pack Size])</f>
        <v>#N/A</v>
      </c>
      <c r="AX66" s="10" t="e">
        <f>(tbl_MTG_Set[[#This Row],[Collector Booster Box Cost]] + v_Item_Shipping_Cost_In) / tbl_MTG_Set[[#This Row],[Collector Booster Box Size]]</f>
        <v>#N/A</v>
      </c>
      <c r="AY66" s="10" t="str" cm="1">
        <f t="array" ref="AY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" s="10"/>
      <c r="BA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" s="17" t="e">
        <f>tbl_MTG_Set[[#This Row],[Collector Booster CardMarket Profit]]/tbl_MTG_Set[[#This Row],[Collector Booster Cost]]</f>
        <v>#N/A</v>
      </c>
      <c r="BC66" s="10"/>
      <c r="BF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" s="11" t="e">
        <f>tbl_MTG_Set[[#This Row],[Play Singles CardMarket Profit MTG Stocks]]/tbl_MTG_Set[[#This Row],[Play Booster Cost]]</f>
        <v>#VALUE!</v>
      </c>
      <c r="BI66" s="11" t="b">
        <f>tbl_MTG_Set[[#This Row],[Play Singles CardMarket Profit MTG Stocks]]&gt;0</f>
        <v>0</v>
      </c>
      <c r="BM66" s="10" t="e">
        <f>tbl_MTG_Set[[#This Row],[Play Booster Sell Price CardMarket]]*tbl_MTG_Set[[#This Row],[Play Booster Expected Market Value BotBox]]/tbl_MTG_Set[[#This Row],[Play Booster Sealed Market Value BotBox]]</f>
        <v>#VALUE!</v>
      </c>
      <c r="BN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" s="10" t="e">
        <f>tbl_MTG_Set[[#This Row],[Play Singles CardMarket Profit BotBox]]/tbl_MTG_Set[[#This Row],[Play Booster Cost]]</f>
        <v>#VALUE!</v>
      </c>
      <c r="BP66" s="10" t="b">
        <f>tbl_MTG_Set[[#This Row],[Play Singles CardMarket Profit BotBox]]&gt;0</f>
        <v>0</v>
      </c>
      <c r="BQ66" s="10"/>
      <c r="BR66" s="10"/>
      <c r="BS66" s="10"/>
      <c r="BT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" s="19" t="e">
        <f>tbl_MTG_Set[[#This Row],[Collector Singles CardMarket Profit MTG Stocks]]/tbl_MTG_Set[[#This Row],[Collector Booster Cost]]</f>
        <v>#N/A</v>
      </c>
      <c r="BW66" s="10" t="b">
        <f>tbl_MTG_Set[[#This Row],[Collector Singles CardMarket Profit MTG Stocks]]&gt;0</f>
        <v>0</v>
      </c>
      <c r="BX66" s="10"/>
      <c r="BY66" s="10"/>
      <c r="BZ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" s="10" t="e">
        <f>tbl_MTG_Set[[#This Row],[Collector Singles CardMarket Profit BotBox]]/tbl_MTG_Set[[#This Row],[Collector Booster Cost]]</f>
        <v>#N/A</v>
      </c>
      <c r="CC66" s="10" t="b">
        <f>tbl_MTG_Set[[#This Row],[Collector Singles CardMarket Profit BotBox]]&gt;0</f>
        <v>0</v>
      </c>
      <c r="CD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" spans="1:86" hidden="1">
      <c r="A67">
        <v>72</v>
      </c>
      <c r="B67" t="s">
        <v>240</v>
      </c>
      <c r="C67">
        <v>398</v>
      </c>
      <c r="D67" s="3">
        <v>45636</v>
      </c>
      <c r="F67" t="s">
        <v>174</v>
      </c>
      <c r="G67">
        <v>90</v>
      </c>
      <c r="H67">
        <f ca="1">MONTH(NOW())+12*YEAR(NOW())-MONTH(tbl_MTG_Set[[#This Row],[Released On]])-12*YEAR(tbl_MTG_Set[[#This Row],[Released On]])</f>
        <v>15</v>
      </c>
      <c r="I67" t="str">
        <f>_xlfn.XLOOKUP(tbl_MTG_Set[[#This Row],[Type Name]], tbl_MTG_Set_Type[Set Type], tbl_MTG_Set_Type[Index], "(Set Type not found)")</f>
        <v>(Set Type not found)</v>
      </c>
      <c r="J67" t="str">
        <f>_xlfn.XLOOKUP(tbl_MTG_Set[[#This Row],[Type Name]], tbl_MTG_Set_Type[Set Type], tbl_MTG_Set_Type[Buy Window Month Start], "(Set Type not found)")</f>
        <v>(Set Type not found)</v>
      </c>
      <c r="K67" s="3" t="e">
        <f>tbl_MTG_Set[[#This Row],[Released On]]+tbl_MTG_Set[[#This Row],[Buy Window Month Start]]*365.25/12</f>
        <v>#VALUE!</v>
      </c>
      <c r="L67" t="str">
        <f>_xlfn.XLOOKUP(tbl_MTG_Set[[#This Row],[Type Name]], tbl_MTG_Set_Type[Set Type], tbl_MTG_Set_Type[Buy Window Month End], "(Set Type not found)", 0, 1)</f>
        <v>(Set Type not found)</v>
      </c>
      <c r="M67" s="3" t="e">
        <f>tbl_MTG_Set[[#This Row],[Released On]]+tbl_MTG_Set[[#This Row],[Buy Window Month End]]*365.25/12</f>
        <v>#VALUE!</v>
      </c>
      <c r="N67" s="3" t="e">
        <f ca="1">AND(NOW()&gt;=tbl_MTG_Set[[#This Row],[Buy Window Start]], NOW()&lt;=tbl_MTG_Set[[#This Row],[Buy Window End]])</f>
        <v>#VALUE!</v>
      </c>
      <c r="O67" t="str">
        <f>_xlfn.XLOOKUP(tbl_MTG_Set[[#This Row],[Type Name]], tbl_MTG_Set_Type[Set Type], tbl_MTG_Set_Type[Heavy Printing Window Month Start], "(Set Type not found)", 0, 1)</f>
        <v>(Set Type not found)</v>
      </c>
      <c r="P67" s="3" t="e">
        <f>tbl_MTG_Set[[#This Row],[Released On]]+tbl_MTG_Set[[#This Row],[Heavy Printing Window Month Start]]*365.25/12</f>
        <v>#VALUE!</v>
      </c>
      <c r="Q67" t="str">
        <f>_xlfn.XLOOKUP(tbl_MTG_Set[[#This Row],[Type Name]], tbl_MTG_Set_Type[Set Type], tbl_MTG_Set_Type[Heavy Printing Window Month End], "(Set Type not found)", 0, 1)</f>
        <v>(Set Type not found)</v>
      </c>
      <c r="R67" s="3" t="e">
        <f>tbl_MTG_Set[[#This Row],[Released On]]+tbl_MTG_Set[[#This Row],[Heavy Printing Window Month End]]*365.25/12</f>
        <v>#VALUE!</v>
      </c>
      <c r="S67" s="3" t="e">
        <f ca="1">AND(NOW()&gt;=tbl_MTG_Set[[#This Row],[Heavy Printing Window Start]], NOW()&lt;=tbl_MTG_Set[[#This Row],[Heavy Printing Window End]])</f>
        <v>#VALUE!</v>
      </c>
      <c r="T67" t="str">
        <f>_xlfn.XLOOKUP(tbl_MTG_Set[[#This Row],[Type Name]], tbl_MTG_Set_Type[Set Type], tbl_MTG_Set_Type[Sell Window Month Start], "(Set Type not found)", 0, 1)</f>
        <v>(Set Type not found)</v>
      </c>
      <c r="U67" s="3" t="e">
        <f>tbl_MTG_Set[[#This Row],[Released On]]+tbl_MTG_Set[[#This Row],[Sell Window Month Start]]*365.25/12</f>
        <v>#VALUE!</v>
      </c>
      <c r="V67" t="str">
        <f>_xlfn.XLOOKUP(tbl_MTG_Set[[#This Row],[Type Name]], tbl_MTG_Set_Type[Set Type], tbl_MTG_Set_Type[Sell Window Month End], "(Set Type not found)", 0, 1)</f>
        <v>(Set Type not found)</v>
      </c>
      <c r="W67" s="3" t="e">
        <f>tbl_MTG_Set[[#This Row],[Released On]]+tbl_MTG_Set[[#This Row],[Sell Window Month End]]*365.25/12</f>
        <v>#VALUE!</v>
      </c>
      <c r="X67" s="3" t="e">
        <f ca="1">AND(NOW()&gt;=tbl_MTG_Set[[#This Row],[Sell Window Start]], NOW()&lt;=tbl_MTG_Set[[#This Row],[Sell Window End]])</f>
        <v>#VALUE!</v>
      </c>
      <c r="AG67" s="10"/>
      <c r="AH67" s="10"/>
      <c r="AM67" s="10" t="str" cm="1">
        <f t="array" ref="AM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" s="10" t="str" cm="1">
        <f t="array" ref="AN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" s="4" t="e">
        <f>_xlfn.XLOOKUP(tbl_MTG_Set[[#This Row],[Play Booster Box Product Id]], tbl_Product[Product Id], tbl_Product[Pack Size])</f>
        <v>#N/A</v>
      </c>
      <c r="AP67" s="10" t="e">
        <f>(tbl_MTG_Set[[#This Row],[Play Booster Box Cost]]+v_Item_Shipping_Cost_In)/tbl_MTG_Set[[#This Row],[Play Booster Box Size]]</f>
        <v>#VALUE!</v>
      </c>
      <c r="AQ67" s="10" t="str" cm="1">
        <f t="array" ref="AQ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" s="10"/>
      <c r="AS67" s="10"/>
      <c r="AT67" s="17" t="e">
        <f>tbl_MTG_Set[[#This Row],[Play Booster CardMarket Profit]]/tbl_MTG_Set[[#This Row],[Play Booster Cost]]</f>
        <v>#VALUE!</v>
      </c>
      <c r="AU67" s="10" t="e">
        <f>_xlfn.XLOOKUP(tbl_MTG_Set[[#This Row],[Collector Booster Box Product Id]], tbl_Product[Product Id], tbl_Product[Min Cost])</f>
        <v>#N/A</v>
      </c>
      <c r="AV67" s="10" t="e">
        <f>_xlfn.XLOOKUP(tbl_MTG_Set[[#This Row],[Collector Booster Box Product Id]], tbl_Product[Product Id], tbl_Product[Best Source])</f>
        <v>#N/A</v>
      </c>
      <c r="AW67" s="4" t="e">
        <f>_xlfn.XLOOKUP(tbl_MTG_Set[[#This Row],[Collector Booster Box Product Id]], tbl_Product[Product Id], tbl_Product[Pack Size])</f>
        <v>#N/A</v>
      </c>
      <c r="AX67" s="10" t="e">
        <f>(tbl_MTG_Set[[#This Row],[Collector Booster Box Cost]] + v_Item_Shipping_Cost_In) / tbl_MTG_Set[[#This Row],[Collector Booster Box Size]]</f>
        <v>#N/A</v>
      </c>
      <c r="AY67" s="10" t="str" cm="1">
        <f t="array" ref="AY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" s="10"/>
      <c r="BA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" s="17" t="e">
        <f>tbl_MTG_Set[[#This Row],[Collector Booster CardMarket Profit]]/tbl_MTG_Set[[#This Row],[Collector Booster Cost]]</f>
        <v>#N/A</v>
      </c>
      <c r="BC67" s="10"/>
      <c r="BF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" s="11" t="e">
        <f>tbl_MTG_Set[[#This Row],[Play Singles CardMarket Profit MTG Stocks]]/tbl_MTG_Set[[#This Row],[Play Booster Cost]]</f>
        <v>#VALUE!</v>
      </c>
      <c r="BI67" s="11" t="b">
        <f>tbl_MTG_Set[[#This Row],[Play Singles CardMarket Profit MTG Stocks]]&gt;0</f>
        <v>0</v>
      </c>
      <c r="BM67" s="10" t="e">
        <f>tbl_MTG_Set[[#This Row],[Play Booster Sell Price CardMarket]]*tbl_MTG_Set[[#This Row],[Play Booster Expected Market Value BotBox]]/tbl_MTG_Set[[#This Row],[Play Booster Sealed Market Value BotBox]]</f>
        <v>#VALUE!</v>
      </c>
      <c r="BN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" s="10" t="e">
        <f>tbl_MTG_Set[[#This Row],[Play Singles CardMarket Profit BotBox]]/tbl_MTG_Set[[#This Row],[Play Booster Cost]]</f>
        <v>#VALUE!</v>
      </c>
      <c r="BP67" s="10" t="b">
        <f>tbl_MTG_Set[[#This Row],[Play Singles CardMarket Profit BotBox]]&gt;0</f>
        <v>0</v>
      </c>
      <c r="BQ67" s="10"/>
      <c r="BR67" s="10"/>
      <c r="BS67" s="10"/>
      <c r="BT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" s="19" t="e">
        <f>tbl_MTG_Set[[#This Row],[Collector Singles CardMarket Profit MTG Stocks]]/tbl_MTG_Set[[#This Row],[Collector Booster Cost]]</f>
        <v>#N/A</v>
      </c>
      <c r="BW67" s="10" t="b">
        <f>tbl_MTG_Set[[#This Row],[Collector Singles CardMarket Profit MTG Stocks]]&gt;0</f>
        <v>0</v>
      </c>
      <c r="BX67" s="10"/>
      <c r="BY67" s="10"/>
      <c r="BZ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" s="10" t="e">
        <f>tbl_MTG_Set[[#This Row],[Collector Singles CardMarket Profit BotBox]]/tbl_MTG_Set[[#This Row],[Collector Booster Cost]]</f>
        <v>#N/A</v>
      </c>
      <c r="CC67" s="10" t="b">
        <f>tbl_MTG_Set[[#This Row],[Collector Singles CardMarket Profit BotBox]]&gt;0</f>
        <v>0</v>
      </c>
      <c r="CD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" spans="1:86" hidden="1">
      <c r="A68">
        <v>74</v>
      </c>
      <c r="B68" t="s">
        <v>241</v>
      </c>
      <c r="C68">
        <v>93</v>
      </c>
      <c r="D68" s="3">
        <v>45611</v>
      </c>
      <c r="E68" t="s">
        <v>59</v>
      </c>
      <c r="F68" t="s">
        <v>174</v>
      </c>
      <c r="G68">
        <v>94</v>
      </c>
      <c r="H68">
        <f ca="1">MONTH(NOW())+12*YEAR(NOW())-MONTH(tbl_MTG_Set[[#This Row],[Released On]])-12*YEAR(tbl_MTG_Set[[#This Row],[Released On]])</f>
        <v>16</v>
      </c>
      <c r="I68">
        <f>_xlfn.XLOOKUP(tbl_MTG_Set[[#This Row],[Type Name]], tbl_MTG_Set_Type[Set Type], tbl_MTG_Set_Type[Index], "(Set Type not found)")</f>
        <v>1</v>
      </c>
      <c r="J68">
        <f>_xlfn.XLOOKUP(tbl_MTG_Set[[#This Row],[Type Name]], tbl_MTG_Set_Type[Set Type], tbl_MTG_Set_Type[Buy Window Month Start], "(Set Type not found)")</f>
        <v>18</v>
      </c>
      <c r="K68" s="3">
        <f>tbl_MTG_Set[[#This Row],[Released On]]+tbl_MTG_Set[[#This Row],[Buy Window Month Start]]*365.25/12</f>
        <v>46158.875</v>
      </c>
      <c r="L68">
        <f>_xlfn.XLOOKUP(tbl_MTG_Set[[#This Row],[Type Name]], tbl_MTG_Set_Type[Set Type], tbl_MTG_Set_Type[Buy Window Month End], "(Set Type not found)", 0, 1)</f>
        <v>24</v>
      </c>
      <c r="M68" s="3">
        <f>tbl_MTG_Set[[#This Row],[Released On]]+tbl_MTG_Set[[#This Row],[Buy Window Month End]]*365.25/12</f>
        <v>46341.5</v>
      </c>
      <c r="N68" s="3" t="b">
        <f ca="1">AND(NOW()&gt;=tbl_MTG_Set[[#This Row],[Buy Window Start]], NOW()&lt;=tbl_MTG_Set[[#This Row],[Buy Window End]])</f>
        <v>0</v>
      </c>
      <c r="O68">
        <f>_xlfn.XLOOKUP(tbl_MTG_Set[[#This Row],[Type Name]], tbl_MTG_Set_Type[Set Type], tbl_MTG_Set_Type[Heavy Printing Window Month Start], "(Set Type not found)", 0, 1)</f>
        <v>1</v>
      </c>
      <c r="P68" s="3">
        <f>tbl_MTG_Set[[#This Row],[Released On]]+tbl_MTG_Set[[#This Row],[Heavy Printing Window Month Start]]*365.25/12</f>
        <v>45641.4375</v>
      </c>
      <c r="Q68">
        <f>_xlfn.XLOOKUP(tbl_MTG_Set[[#This Row],[Type Name]], tbl_MTG_Set_Type[Set Type], tbl_MTG_Set_Type[Heavy Printing Window Month End], "(Set Type not found)", 0, 1)</f>
        <v>18</v>
      </c>
      <c r="R68" s="3">
        <f>tbl_MTG_Set[[#This Row],[Released On]]+tbl_MTG_Set[[#This Row],[Heavy Printing Window Month End]]*365.25/12</f>
        <v>46158.875</v>
      </c>
      <c r="S68" s="3" t="b">
        <f ca="1">AND(NOW()&gt;=tbl_MTG_Set[[#This Row],[Heavy Printing Window Start]], NOW()&lt;=tbl_MTG_Set[[#This Row],[Heavy Printing Window End]])</f>
        <v>1</v>
      </c>
      <c r="T68">
        <f>_xlfn.XLOOKUP(tbl_MTG_Set[[#This Row],[Type Name]], tbl_MTG_Set_Type[Set Type], tbl_MTG_Set_Type[Sell Window Month Start], "(Set Type not found)", 0, 1)</f>
        <v>36</v>
      </c>
      <c r="U68" s="3">
        <f>tbl_MTG_Set[[#This Row],[Released On]]+tbl_MTG_Set[[#This Row],[Sell Window Month Start]]*365.25/12</f>
        <v>46706.75</v>
      </c>
      <c r="V68">
        <f>_xlfn.XLOOKUP(tbl_MTG_Set[[#This Row],[Type Name]], tbl_MTG_Set_Type[Set Type], tbl_MTG_Set_Type[Sell Window Month End], "(Set Type not found)", 0, 1)</f>
        <v>48</v>
      </c>
      <c r="W68" s="3">
        <f>tbl_MTG_Set[[#This Row],[Released On]]+tbl_MTG_Set[[#This Row],[Sell Window Month End]]*365.25/12</f>
        <v>47072</v>
      </c>
      <c r="X68" s="3" t="b">
        <f ca="1">AND(NOW()&gt;=tbl_MTG_Set[[#This Row],[Sell Window Start]], NOW()&lt;=tbl_MTG_Set[[#This Row],[Sell Window End]])</f>
        <v>0</v>
      </c>
      <c r="AG68" s="10"/>
      <c r="AH68" s="10"/>
      <c r="AM68" s="10" t="str" cm="1">
        <f t="array" ref="AM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" s="10" t="str" cm="1">
        <f t="array" ref="AN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" s="4" t="e">
        <f>_xlfn.XLOOKUP(tbl_MTG_Set[[#This Row],[Play Booster Box Product Id]], tbl_Product[Product Id], tbl_Product[Pack Size])</f>
        <v>#N/A</v>
      </c>
      <c r="AP68" s="10" t="e">
        <f>(tbl_MTG_Set[[#This Row],[Play Booster Box Cost]]+v_Item_Shipping_Cost_In)/tbl_MTG_Set[[#This Row],[Play Booster Box Size]]</f>
        <v>#VALUE!</v>
      </c>
      <c r="AQ68" s="10" t="str" cm="1">
        <f t="array" ref="AQ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" s="10"/>
      <c r="AS68" s="10"/>
      <c r="AT68" s="17" t="e">
        <f>tbl_MTG_Set[[#This Row],[Play Booster CardMarket Profit]]/tbl_MTG_Set[[#This Row],[Play Booster Cost]]</f>
        <v>#VALUE!</v>
      </c>
      <c r="AU68" s="10" t="e">
        <f>_xlfn.XLOOKUP(tbl_MTG_Set[[#This Row],[Collector Booster Box Product Id]], tbl_Product[Product Id], tbl_Product[Min Cost])</f>
        <v>#N/A</v>
      </c>
      <c r="AV68" s="10" t="e">
        <f>_xlfn.XLOOKUP(tbl_MTG_Set[[#This Row],[Collector Booster Box Product Id]], tbl_Product[Product Id], tbl_Product[Best Source])</f>
        <v>#N/A</v>
      </c>
      <c r="AW68" s="4" t="e">
        <f>_xlfn.XLOOKUP(tbl_MTG_Set[[#This Row],[Collector Booster Box Product Id]], tbl_Product[Product Id], tbl_Product[Pack Size])</f>
        <v>#N/A</v>
      </c>
      <c r="AX68" s="10" t="e">
        <f>(tbl_MTG_Set[[#This Row],[Collector Booster Box Cost]] + v_Item_Shipping_Cost_In) / tbl_MTG_Set[[#This Row],[Collector Booster Box Size]]</f>
        <v>#N/A</v>
      </c>
      <c r="AY68" s="10" t="str" cm="1">
        <f t="array" ref="AY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" s="10"/>
      <c r="BA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" s="17" t="e">
        <f>tbl_MTG_Set[[#This Row],[Collector Booster CardMarket Profit]]/tbl_MTG_Set[[#This Row],[Collector Booster Cost]]</f>
        <v>#N/A</v>
      </c>
      <c r="BC68" s="10"/>
      <c r="BF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" s="11" t="e">
        <f>tbl_MTG_Set[[#This Row],[Play Singles CardMarket Profit MTG Stocks]]/tbl_MTG_Set[[#This Row],[Play Booster Cost]]</f>
        <v>#VALUE!</v>
      </c>
      <c r="BI68" s="11" t="b">
        <f>tbl_MTG_Set[[#This Row],[Play Singles CardMarket Profit MTG Stocks]]&gt;0</f>
        <v>0</v>
      </c>
      <c r="BM68" s="10" t="e">
        <f>tbl_MTG_Set[[#This Row],[Play Booster Sell Price CardMarket]]*tbl_MTG_Set[[#This Row],[Play Booster Expected Market Value BotBox]]/tbl_MTG_Set[[#This Row],[Play Booster Sealed Market Value BotBox]]</f>
        <v>#VALUE!</v>
      </c>
      <c r="BN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" s="10" t="e">
        <f>tbl_MTG_Set[[#This Row],[Play Singles CardMarket Profit BotBox]]/tbl_MTG_Set[[#This Row],[Play Booster Cost]]</f>
        <v>#VALUE!</v>
      </c>
      <c r="BP68" s="10" t="b">
        <f>tbl_MTG_Set[[#This Row],[Play Singles CardMarket Profit BotBox]]&gt;0</f>
        <v>0</v>
      </c>
      <c r="BQ68" s="10"/>
      <c r="BR68" s="10"/>
      <c r="BS68" s="10"/>
      <c r="BT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" s="19" t="e">
        <f>tbl_MTG_Set[[#This Row],[Collector Singles CardMarket Profit MTG Stocks]]/tbl_MTG_Set[[#This Row],[Collector Booster Cost]]</f>
        <v>#N/A</v>
      </c>
      <c r="BW68" s="10" t="b">
        <f>tbl_MTG_Set[[#This Row],[Collector Singles CardMarket Profit MTG Stocks]]&gt;0</f>
        <v>0</v>
      </c>
      <c r="BX68" s="10"/>
      <c r="BY68" s="10"/>
      <c r="BZ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" s="10" t="e">
        <f>tbl_MTG_Set[[#This Row],[Collector Singles CardMarket Profit BotBox]]/tbl_MTG_Set[[#This Row],[Collector Booster Cost]]</f>
        <v>#N/A</v>
      </c>
      <c r="CC68" s="10" t="b">
        <f>tbl_MTG_Set[[#This Row],[Collector Singles CardMarket Profit BotBox]]&gt;0</f>
        <v>0</v>
      </c>
      <c r="CD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" spans="1:86" hidden="1">
      <c r="A69">
        <v>75</v>
      </c>
      <c r="B69" t="s">
        <v>242</v>
      </c>
      <c r="C69">
        <v>33</v>
      </c>
      <c r="D69" s="3">
        <v>45611</v>
      </c>
      <c r="E69" t="s">
        <v>59</v>
      </c>
      <c r="F69" t="s">
        <v>174</v>
      </c>
      <c r="G69">
        <v>96</v>
      </c>
      <c r="H69">
        <f ca="1">MONTH(NOW())+12*YEAR(NOW())-MONTH(tbl_MTG_Set[[#This Row],[Released On]])-12*YEAR(tbl_MTG_Set[[#This Row],[Released On]])</f>
        <v>16</v>
      </c>
      <c r="I69">
        <f>_xlfn.XLOOKUP(tbl_MTG_Set[[#This Row],[Type Name]], tbl_MTG_Set_Type[Set Type], tbl_MTG_Set_Type[Index], "(Set Type not found)")</f>
        <v>1</v>
      </c>
      <c r="J69">
        <f>_xlfn.XLOOKUP(tbl_MTG_Set[[#This Row],[Type Name]], tbl_MTG_Set_Type[Set Type], tbl_MTG_Set_Type[Buy Window Month Start], "(Set Type not found)")</f>
        <v>18</v>
      </c>
      <c r="K69" s="3">
        <f>tbl_MTG_Set[[#This Row],[Released On]]+tbl_MTG_Set[[#This Row],[Buy Window Month Start]]*365.25/12</f>
        <v>46158.875</v>
      </c>
      <c r="L69">
        <f>_xlfn.XLOOKUP(tbl_MTG_Set[[#This Row],[Type Name]], tbl_MTG_Set_Type[Set Type], tbl_MTG_Set_Type[Buy Window Month End], "(Set Type not found)", 0, 1)</f>
        <v>24</v>
      </c>
      <c r="M69" s="3">
        <f>tbl_MTG_Set[[#This Row],[Released On]]+tbl_MTG_Set[[#This Row],[Buy Window Month End]]*365.25/12</f>
        <v>46341.5</v>
      </c>
      <c r="N69" s="3" t="b">
        <f ca="1">AND(NOW()&gt;=tbl_MTG_Set[[#This Row],[Buy Window Start]], NOW()&lt;=tbl_MTG_Set[[#This Row],[Buy Window End]])</f>
        <v>0</v>
      </c>
      <c r="O69">
        <f>_xlfn.XLOOKUP(tbl_MTG_Set[[#This Row],[Type Name]], tbl_MTG_Set_Type[Set Type], tbl_MTG_Set_Type[Heavy Printing Window Month Start], "(Set Type not found)", 0, 1)</f>
        <v>1</v>
      </c>
      <c r="P69" s="3">
        <f>tbl_MTG_Set[[#This Row],[Released On]]+tbl_MTG_Set[[#This Row],[Heavy Printing Window Month Start]]*365.25/12</f>
        <v>45641.4375</v>
      </c>
      <c r="Q69">
        <f>_xlfn.XLOOKUP(tbl_MTG_Set[[#This Row],[Type Name]], tbl_MTG_Set_Type[Set Type], tbl_MTG_Set_Type[Heavy Printing Window Month End], "(Set Type not found)", 0, 1)</f>
        <v>18</v>
      </c>
      <c r="R69" s="3">
        <f>tbl_MTG_Set[[#This Row],[Released On]]+tbl_MTG_Set[[#This Row],[Heavy Printing Window Month End]]*365.25/12</f>
        <v>46158.875</v>
      </c>
      <c r="S69" s="3" t="b">
        <f ca="1">AND(NOW()&gt;=tbl_MTG_Set[[#This Row],[Heavy Printing Window Start]], NOW()&lt;=tbl_MTG_Set[[#This Row],[Heavy Printing Window End]])</f>
        <v>1</v>
      </c>
      <c r="T69">
        <f>_xlfn.XLOOKUP(tbl_MTG_Set[[#This Row],[Type Name]], tbl_MTG_Set_Type[Set Type], tbl_MTG_Set_Type[Sell Window Month Start], "(Set Type not found)", 0, 1)</f>
        <v>36</v>
      </c>
      <c r="U69" s="3">
        <f>tbl_MTG_Set[[#This Row],[Released On]]+tbl_MTG_Set[[#This Row],[Sell Window Month Start]]*365.25/12</f>
        <v>46706.75</v>
      </c>
      <c r="V69">
        <f>_xlfn.XLOOKUP(tbl_MTG_Set[[#This Row],[Type Name]], tbl_MTG_Set_Type[Set Type], tbl_MTG_Set_Type[Sell Window Month End], "(Set Type not found)", 0, 1)</f>
        <v>48</v>
      </c>
      <c r="W69" s="3">
        <f>tbl_MTG_Set[[#This Row],[Released On]]+tbl_MTG_Set[[#This Row],[Sell Window Month End]]*365.25/12</f>
        <v>47072</v>
      </c>
      <c r="X69" s="3" t="b">
        <f ca="1">AND(NOW()&gt;=tbl_MTG_Set[[#This Row],[Sell Window Start]], NOW()&lt;=tbl_MTG_Set[[#This Row],[Sell Window End]])</f>
        <v>0</v>
      </c>
      <c r="AG69" s="10"/>
      <c r="AH69" s="10"/>
      <c r="AM69" s="10" t="str" cm="1">
        <f t="array" ref="AM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" s="10" t="str" cm="1">
        <f t="array" ref="AN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" s="4" t="e">
        <f>_xlfn.XLOOKUP(tbl_MTG_Set[[#This Row],[Play Booster Box Product Id]], tbl_Product[Product Id], tbl_Product[Pack Size])</f>
        <v>#N/A</v>
      </c>
      <c r="AP69" s="10" t="e">
        <f>(tbl_MTG_Set[[#This Row],[Play Booster Box Cost]]+v_Item_Shipping_Cost_In)/tbl_MTG_Set[[#This Row],[Play Booster Box Size]]</f>
        <v>#VALUE!</v>
      </c>
      <c r="AQ69" s="10" t="str" cm="1">
        <f t="array" ref="AQ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" s="10"/>
      <c r="AS69" s="10"/>
      <c r="AT69" s="17" t="e">
        <f>tbl_MTG_Set[[#This Row],[Play Booster CardMarket Profit]]/tbl_MTG_Set[[#This Row],[Play Booster Cost]]</f>
        <v>#VALUE!</v>
      </c>
      <c r="AU69" s="10" t="e">
        <f>_xlfn.XLOOKUP(tbl_MTG_Set[[#This Row],[Collector Booster Box Product Id]], tbl_Product[Product Id], tbl_Product[Min Cost])</f>
        <v>#N/A</v>
      </c>
      <c r="AV69" s="10" t="e">
        <f>_xlfn.XLOOKUP(tbl_MTG_Set[[#This Row],[Collector Booster Box Product Id]], tbl_Product[Product Id], tbl_Product[Best Source])</f>
        <v>#N/A</v>
      </c>
      <c r="AW69" s="4" t="e">
        <f>_xlfn.XLOOKUP(tbl_MTG_Set[[#This Row],[Collector Booster Box Product Id]], tbl_Product[Product Id], tbl_Product[Pack Size])</f>
        <v>#N/A</v>
      </c>
      <c r="AX69" s="10" t="e">
        <f>(tbl_MTG_Set[[#This Row],[Collector Booster Box Cost]] + v_Item_Shipping_Cost_In) / tbl_MTG_Set[[#This Row],[Collector Booster Box Size]]</f>
        <v>#N/A</v>
      </c>
      <c r="AY69" s="10" t="str" cm="1">
        <f t="array" ref="AY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" s="10"/>
      <c r="BA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" s="17" t="e">
        <f>tbl_MTG_Set[[#This Row],[Collector Booster CardMarket Profit]]/tbl_MTG_Set[[#This Row],[Collector Booster Cost]]</f>
        <v>#N/A</v>
      </c>
      <c r="BC69" s="10"/>
      <c r="BF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" s="11" t="e">
        <f>tbl_MTG_Set[[#This Row],[Play Singles CardMarket Profit MTG Stocks]]/tbl_MTG_Set[[#This Row],[Play Booster Cost]]</f>
        <v>#VALUE!</v>
      </c>
      <c r="BI69" s="11" t="b">
        <f>tbl_MTG_Set[[#This Row],[Play Singles CardMarket Profit MTG Stocks]]&gt;0</f>
        <v>0</v>
      </c>
      <c r="BM69" s="10" t="e">
        <f>tbl_MTG_Set[[#This Row],[Play Booster Sell Price CardMarket]]*tbl_MTG_Set[[#This Row],[Play Booster Expected Market Value BotBox]]/tbl_MTG_Set[[#This Row],[Play Booster Sealed Market Value BotBox]]</f>
        <v>#VALUE!</v>
      </c>
      <c r="BN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" s="10" t="e">
        <f>tbl_MTG_Set[[#This Row],[Play Singles CardMarket Profit BotBox]]/tbl_MTG_Set[[#This Row],[Play Booster Cost]]</f>
        <v>#VALUE!</v>
      </c>
      <c r="BP69" s="10" t="b">
        <f>tbl_MTG_Set[[#This Row],[Play Singles CardMarket Profit BotBox]]&gt;0</f>
        <v>0</v>
      </c>
      <c r="BQ69" s="10"/>
      <c r="BR69" s="10"/>
      <c r="BS69" s="10"/>
      <c r="BT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" s="19" t="e">
        <f>tbl_MTG_Set[[#This Row],[Collector Singles CardMarket Profit MTG Stocks]]/tbl_MTG_Set[[#This Row],[Collector Booster Cost]]</f>
        <v>#N/A</v>
      </c>
      <c r="BW69" s="10" t="b">
        <f>tbl_MTG_Set[[#This Row],[Collector Singles CardMarket Profit MTG Stocks]]&gt;0</f>
        <v>0</v>
      </c>
      <c r="BX69" s="10"/>
      <c r="BY69" s="10"/>
      <c r="BZ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" s="10" t="e">
        <f>tbl_MTG_Set[[#This Row],[Collector Singles CardMarket Profit BotBox]]/tbl_MTG_Set[[#This Row],[Collector Booster Cost]]</f>
        <v>#N/A</v>
      </c>
      <c r="CC69" s="10" t="b">
        <f>tbl_MTG_Set[[#This Row],[Collector Singles CardMarket Profit BotBox]]&gt;0</f>
        <v>0</v>
      </c>
      <c r="CD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" spans="1:86" hidden="1">
      <c r="A70">
        <v>76</v>
      </c>
      <c r="B70" t="s">
        <v>243</v>
      </c>
      <c r="C70">
        <v>55</v>
      </c>
      <c r="D70" s="3">
        <v>45611</v>
      </c>
      <c r="E70" t="s">
        <v>59</v>
      </c>
      <c r="F70" t="s">
        <v>174</v>
      </c>
      <c r="G70">
        <v>98</v>
      </c>
      <c r="H70">
        <f ca="1">MONTH(NOW())+12*YEAR(NOW())-MONTH(tbl_MTG_Set[[#This Row],[Released On]])-12*YEAR(tbl_MTG_Set[[#This Row],[Released On]])</f>
        <v>16</v>
      </c>
      <c r="I70">
        <f>_xlfn.XLOOKUP(tbl_MTG_Set[[#This Row],[Type Name]], tbl_MTG_Set_Type[Set Type], tbl_MTG_Set_Type[Index], "(Set Type not found)")</f>
        <v>1</v>
      </c>
      <c r="J70">
        <f>_xlfn.XLOOKUP(tbl_MTG_Set[[#This Row],[Type Name]], tbl_MTG_Set_Type[Set Type], tbl_MTG_Set_Type[Buy Window Month Start], "(Set Type not found)")</f>
        <v>18</v>
      </c>
      <c r="K70" s="3">
        <f>tbl_MTG_Set[[#This Row],[Released On]]+tbl_MTG_Set[[#This Row],[Buy Window Month Start]]*365.25/12</f>
        <v>46158.875</v>
      </c>
      <c r="L70">
        <f>_xlfn.XLOOKUP(tbl_MTG_Set[[#This Row],[Type Name]], tbl_MTG_Set_Type[Set Type], tbl_MTG_Set_Type[Buy Window Month End], "(Set Type not found)", 0, 1)</f>
        <v>24</v>
      </c>
      <c r="M70" s="3">
        <f>tbl_MTG_Set[[#This Row],[Released On]]+tbl_MTG_Set[[#This Row],[Buy Window Month End]]*365.25/12</f>
        <v>46341.5</v>
      </c>
      <c r="N70" s="3" t="b">
        <f ca="1">AND(NOW()&gt;=tbl_MTG_Set[[#This Row],[Buy Window Start]], NOW()&lt;=tbl_MTG_Set[[#This Row],[Buy Window End]])</f>
        <v>0</v>
      </c>
      <c r="O70">
        <f>_xlfn.XLOOKUP(tbl_MTG_Set[[#This Row],[Type Name]], tbl_MTG_Set_Type[Set Type], tbl_MTG_Set_Type[Heavy Printing Window Month Start], "(Set Type not found)", 0, 1)</f>
        <v>1</v>
      </c>
      <c r="P70" s="3">
        <f>tbl_MTG_Set[[#This Row],[Released On]]+tbl_MTG_Set[[#This Row],[Heavy Printing Window Month Start]]*365.25/12</f>
        <v>45641.4375</v>
      </c>
      <c r="Q70">
        <f>_xlfn.XLOOKUP(tbl_MTG_Set[[#This Row],[Type Name]], tbl_MTG_Set_Type[Set Type], tbl_MTG_Set_Type[Heavy Printing Window Month End], "(Set Type not found)", 0, 1)</f>
        <v>18</v>
      </c>
      <c r="R70" s="3">
        <f>tbl_MTG_Set[[#This Row],[Released On]]+tbl_MTG_Set[[#This Row],[Heavy Printing Window Month End]]*365.25/12</f>
        <v>46158.875</v>
      </c>
      <c r="S70" s="3" t="b">
        <f ca="1">AND(NOW()&gt;=tbl_MTG_Set[[#This Row],[Heavy Printing Window Start]], NOW()&lt;=tbl_MTG_Set[[#This Row],[Heavy Printing Window End]])</f>
        <v>1</v>
      </c>
      <c r="T70">
        <f>_xlfn.XLOOKUP(tbl_MTG_Set[[#This Row],[Type Name]], tbl_MTG_Set_Type[Set Type], tbl_MTG_Set_Type[Sell Window Month Start], "(Set Type not found)", 0, 1)</f>
        <v>36</v>
      </c>
      <c r="U70" s="3">
        <f>tbl_MTG_Set[[#This Row],[Released On]]+tbl_MTG_Set[[#This Row],[Sell Window Month Start]]*365.25/12</f>
        <v>46706.75</v>
      </c>
      <c r="V70">
        <f>_xlfn.XLOOKUP(tbl_MTG_Set[[#This Row],[Type Name]], tbl_MTG_Set_Type[Set Type], tbl_MTG_Set_Type[Sell Window Month End], "(Set Type not found)", 0, 1)</f>
        <v>48</v>
      </c>
      <c r="W70" s="3">
        <f>tbl_MTG_Set[[#This Row],[Released On]]+tbl_MTG_Set[[#This Row],[Sell Window Month End]]*365.25/12</f>
        <v>47072</v>
      </c>
      <c r="X70" s="3" t="b">
        <f ca="1">AND(NOW()&gt;=tbl_MTG_Set[[#This Row],[Sell Window Start]], NOW()&lt;=tbl_MTG_Set[[#This Row],[Sell Window End]])</f>
        <v>0</v>
      </c>
      <c r="AG70" s="10"/>
      <c r="AH70" s="10"/>
      <c r="AM70" s="10" t="str" cm="1">
        <f t="array" ref="AM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" s="10" t="str" cm="1">
        <f t="array" ref="AN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" s="4" t="e">
        <f>_xlfn.XLOOKUP(tbl_MTG_Set[[#This Row],[Play Booster Box Product Id]], tbl_Product[Product Id], tbl_Product[Pack Size])</f>
        <v>#N/A</v>
      </c>
      <c r="AP70" s="10" t="e">
        <f>(tbl_MTG_Set[[#This Row],[Play Booster Box Cost]]+v_Item_Shipping_Cost_In)/tbl_MTG_Set[[#This Row],[Play Booster Box Size]]</f>
        <v>#VALUE!</v>
      </c>
      <c r="AQ70" s="10" t="str" cm="1">
        <f t="array" ref="AQ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" s="10"/>
      <c r="AS70" s="10"/>
      <c r="AT70" s="17" t="e">
        <f>tbl_MTG_Set[[#This Row],[Play Booster CardMarket Profit]]/tbl_MTG_Set[[#This Row],[Play Booster Cost]]</f>
        <v>#VALUE!</v>
      </c>
      <c r="AU70" s="10" t="e">
        <f>_xlfn.XLOOKUP(tbl_MTG_Set[[#This Row],[Collector Booster Box Product Id]], tbl_Product[Product Id], tbl_Product[Min Cost])</f>
        <v>#N/A</v>
      </c>
      <c r="AV70" s="10" t="e">
        <f>_xlfn.XLOOKUP(tbl_MTG_Set[[#This Row],[Collector Booster Box Product Id]], tbl_Product[Product Id], tbl_Product[Best Source])</f>
        <v>#N/A</v>
      </c>
      <c r="AW70" s="4" t="e">
        <f>_xlfn.XLOOKUP(tbl_MTG_Set[[#This Row],[Collector Booster Box Product Id]], tbl_Product[Product Id], tbl_Product[Pack Size])</f>
        <v>#N/A</v>
      </c>
      <c r="AX70" s="10" t="e">
        <f>(tbl_MTG_Set[[#This Row],[Collector Booster Box Cost]] + v_Item_Shipping_Cost_In) / tbl_MTG_Set[[#This Row],[Collector Booster Box Size]]</f>
        <v>#N/A</v>
      </c>
      <c r="AY70" s="10" t="str" cm="1">
        <f t="array" ref="AY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" s="10"/>
      <c r="BA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" s="17" t="e">
        <f>tbl_MTG_Set[[#This Row],[Collector Booster CardMarket Profit]]/tbl_MTG_Set[[#This Row],[Collector Booster Cost]]</f>
        <v>#N/A</v>
      </c>
      <c r="BC70" s="10"/>
      <c r="BF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" s="11" t="e">
        <f>tbl_MTG_Set[[#This Row],[Play Singles CardMarket Profit MTG Stocks]]/tbl_MTG_Set[[#This Row],[Play Booster Cost]]</f>
        <v>#VALUE!</v>
      </c>
      <c r="BI70" s="11" t="b">
        <f>tbl_MTG_Set[[#This Row],[Play Singles CardMarket Profit MTG Stocks]]&gt;0</f>
        <v>0</v>
      </c>
      <c r="BM70" s="10" t="e">
        <f>tbl_MTG_Set[[#This Row],[Play Booster Sell Price CardMarket]]*tbl_MTG_Set[[#This Row],[Play Booster Expected Market Value BotBox]]/tbl_MTG_Set[[#This Row],[Play Booster Sealed Market Value BotBox]]</f>
        <v>#VALUE!</v>
      </c>
      <c r="BN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" s="10" t="e">
        <f>tbl_MTG_Set[[#This Row],[Play Singles CardMarket Profit BotBox]]/tbl_MTG_Set[[#This Row],[Play Booster Cost]]</f>
        <v>#VALUE!</v>
      </c>
      <c r="BP70" s="10" t="b">
        <f>tbl_MTG_Set[[#This Row],[Play Singles CardMarket Profit BotBox]]&gt;0</f>
        <v>0</v>
      </c>
      <c r="BQ70" s="10"/>
      <c r="BR70" s="10"/>
      <c r="BS70" s="10"/>
      <c r="BT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" s="19" t="e">
        <f>tbl_MTG_Set[[#This Row],[Collector Singles CardMarket Profit MTG Stocks]]/tbl_MTG_Set[[#This Row],[Collector Booster Cost]]</f>
        <v>#N/A</v>
      </c>
      <c r="BW70" s="10" t="b">
        <f>tbl_MTG_Set[[#This Row],[Collector Singles CardMarket Profit MTG Stocks]]&gt;0</f>
        <v>0</v>
      </c>
      <c r="BX70" s="10"/>
      <c r="BY70" s="10"/>
      <c r="BZ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" s="10" t="e">
        <f>tbl_MTG_Set[[#This Row],[Collector Singles CardMarket Profit BotBox]]/tbl_MTG_Set[[#This Row],[Collector Booster Cost]]</f>
        <v>#N/A</v>
      </c>
      <c r="CC70" s="10" t="b">
        <f>tbl_MTG_Set[[#This Row],[Collector Singles CardMarket Profit BotBox]]&gt;0</f>
        <v>0</v>
      </c>
      <c r="CD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" spans="1:86" hidden="1">
      <c r="A71">
        <v>77</v>
      </c>
      <c r="B71" t="s">
        <v>244</v>
      </c>
      <c r="C71">
        <v>3</v>
      </c>
      <c r="D71" s="3">
        <v>45611</v>
      </c>
      <c r="E71" t="s">
        <v>80</v>
      </c>
      <c r="F71" t="s">
        <v>174</v>
      </c>
      <c r="G71">
        <v>100</v>
      </c>
      <c r="H71">
        <f ca="1">MONTH(NOW())+12*YEAR(NOW())-MONTH(tbl_MTG_Set[[#This Row],[Released On]])-12*YEAR(tbl_MTG_Set[[#This Row],[Released On]])</f>
        <v>16</v>
      </c>
      <c r="I71">
        <f>_xlfn.XLOOKUP(tbl_MTG_Set[[#This Row],[Type Name]], tbl_MTG_Set_Type[Set Type], tbl_MTG_Set_Type[Index], "(Set Type not found)")</f>
        <v>5</v>
      </c>
      <c r="J71">
        <f>_xlfn.XLOOKUP(tbl_MTG_Set[[#This Row],[Type Name]], tbl_MTG_Set_Type[Set Type], tbl_MTG_Set_Type[Buy Window Month Start], "(Set Type not found)")</f>
        <v>3</v>
      </c>
      <c r="K71" s="3">
        <f>tbl_MTG_Set[[#This Row],[Released On]]+tbl_MTG_Set[[#This Row],[Buy Window Month Start]]*365.25/12</f>
        <v>45702.3125</v>
      </c>
      <c r="L71">
        <f>_xlfn.XLOOKUP(tbl_MTG_Set[[#This Row],[Type Name]], tbl_MTG_Set_Type[Set Type], tbl_MTG_Set_Type[Buy Window Month End], "(Set Type not found)", 0, 1)</f>
        <v>12</v>
      </c>
      <c r="M71" s="3">
        <f>tbl_MTG_Set[[#This Row],[Released On]]+tbl_MTG_Set[[#This Row],[Buy Window Month End]]*365.25/12</f>
        <v>45976.25</v>
      </c>
      <c r="N71" s="3" t="b">
        <f ca="1">AND(NOW()&gt;=tbl_MTG_Set[[#This Row],[Buy Window Start]], NOW()&lt;=tbl_MTG_Set[[#This Row],[Buy Window End]])</f>
        <v>0</v>
      </c>
      <c r="O71">
        <f>_xlfn.XLOOKUP(tbl_MTG_Set[[#This Row],[Type Name]], tbl_MTG_Set_Type[Set Type], tbl_MTG_Set_Type[Heavy Printing Window Month Start], "(Set Type not found)", 0, 1)</f>
        <v>12</v>
      </c>
      <c r="P71" s="3">
        <f>tbl_MTG_Set[[#This Row],[Released On]]+tbl_MTG_Set[[#This Row],[Heavy Printing Window Month Start]]*365.25/12</f>
        <v>45976.25</v>
      </c>
      <c r="Q71">
        <f>_xlfn.XLOOKUP(tbl_MTG_Set[[#This Row],[Type Name]], tbl_MTG_Set_Type[Set Type], tbl_MTG_Set_Type[Heavy Printing Window Month End], "(Set Type not found)", 0, 1)</f>
        <v>18</v>
      </c>
      <c r="R71" s="3">
        <f>tbl_MTG_Set[[#This Row],[Released On]]+tbl_MTG_Set[[#This Row],[Heavy Printing Window Month End]]*365.25/12</f>
        <v>46158.875</v>
      </c>
      <c r="S71" s="3" t="b">
        <f ca="1">AND(NOW()&gt;=tbl_MTG_Set[[#This Row],[Heavy Printing Window Start]], NOW()&lt;=tbl_MTG_Set[[#This Row],[Heavy Printing Window End]])</f>
        <v>1</v>
      </c>
      <c r="T71">
        <f>_xlfn.XLOOKUP(tbl_MTG_Set[[#This Row],[Type Name]], tbl_MTG_Set_Type[Set Type], tbl_MTG_Set_Type[Sell Window Month Start], "(Set Type not found)", 0, 1)</f>
        <v>24</v>
      </c>
      <c r="U71" s="3">
        <f>tbl_MTG_Set[[#This Row],[Released On]]+tbl_MTG_Set[[#This Row],[Sell Window Month Start]]*365.25/12</f>
        <v>46341.5</v>
      </c>
      <c r="V71">
        <f>_xlfn.XLOOKUP(tbl_MTG_Set[[#This Row],[Type Name]], tbl_MTG_Set_Type[Set Type], tbl_MTG_Set_Type[Sell Window Month End], "(Set Type not found)", 0, 1)</f>
        <v>24</v>
      </c>
      <c r="W71" s="3">
        <f>tbl_MTG_Set[[#This Row],[Released On]]+tbl_MTG_Set[[#This Row],[Sell Window Month End]]*365.25/12</f>
        <v>46341.5</v>
      </c>
      <c r="X71" s="3" t="b">
        <f ca="1">AND(NOW()&gt;=tbl_MTG_Set[[#This Row],[Sell Window Start]], NOW()&lt;=tbl_MTG_Set[[#This Row],[Sell Window End]])</f>
        <v>0</v>
      </c>
      <c r="AG71" s="10"/>
      <c r="AH71" s="10"/>
      <c r="AM71" s="10" t="str" cm="1">
        <f t="array" ref="AM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" s="10" t="str" cm="1">
        <f t="array" ref="AN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" s="4" t="e">
        <f>_xlfn.XLOOKUP(tbl_MTG_Set[[#This Row],[Play Booster Box Product Id]], tbl_Product[Product Id], tbl_Product[Pack Size])</f>
        <v>#N/A</v>
      </c>
      <c r="AP71" s="10" t="e">
        <f>(tbl_MTG_Set[[#This Row],[Play Booster Box Cost]]+v_Item_Shipping_Cost_In)/tbl_MTG_Set[[#This Row],[Play Booster Box Size]]</f>
        <v>#VALUE!</v>
      </c>
      <c r="AQ71" s="10" t="str" cm="1">
        <f t="array" ref="AQ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" s="10"/>
      <c r="AS71" s="10"/>
      <c r="AT71" s="17" t="e">
        <f>tbl_MTG_Set[[#This Row],[Play Booster CardMarket Profit]]/tbl_MTG_Set[[#This Row],[Play Booster Cost]]</f>
        <v>#VALUE!</v>
      </c>
      <c r="AU71" s="10" t="e">
        <f>_xlfn.XLOOKUP(tbl_MTG_Set[[#This Row],[Collector Booster Box Product Id]], tbl_Product[Product Id], tbl_Product[Min Cost])</f>
        <v>#N/A</v>
      </c>
      <c r="AV71" s="10" t="e">
        <f>_xlfn.XLOOKUP(tbl_MTG_Set[[#This Row],[Collector Booster Box Product Id]], tbl_Product[Product Id], tbl_Product[Best Source])</f>
        <v>#N/A</v>
      </c>
      <c r="AW71" s="4" t="e">
        <f>_xlfn.XLOOKUP(tbl_MTG_Set[[#This Row],[Collector Booster Box Product Id]], tbl_Product[Product Id], tbl_Product[Pack Size])</f>
        <v>#N/A</v>
      </c>
      <c r="AX71" s="10" t="e">
        <f>(tbl_MTG_Set[[#This Row],[Collector Booster Box Cost]] + v_Item_Shipping_Cost_In) / tbl_MTG_Set[[#This Row],[Collector Booster Box Size]]</f>
        <v>#N/A</v>
      </c>
      <c r="AY71" s="10" t="str" cm="1">
        <f t="array" ref="AY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" s="10"/>
      <c r="BA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" s="17" t="e">
        <f>tbl_MTG_Set[[#This Row],[Collector Booster CardMarket Profit]]/tbl_MTG_Set[[#This Row],[Collector Booster Cost]]</f>
        <v>#N/A</v>
      </c>
      <c r="BC71" s="10"/>
      <c r="BF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" s="11" t="e">
        <f>tbl_MTG_Set[[#This Row],[Play Singles CardMarket Profit MTG Stocks]]/tbl_MTG_Set[[#This Row],[Play Booster Cost]]</f>
        <v>#VALUE!</v>
      </c>
      <c r="BI71" s="11" t="b">
        <f>tbl_MTG_Set[[#This Row],[Play Singles CardMarket Profit MTG Stocks]]&gt;0</f>
        <v>0</v>
      </c>
      <c r="BM71" s="10" t="e">
        <f>tbl_MTG_Set[[#This Row],[Play Booster Sell Price CardMarket]]*tbl_MTG_Set[[#This Row],[Play Booster Expected Market Value BotBox]]/tbl_MTG_Set[[#This Row],[Play Booster Sealed Market Value BotBox]]</f>
        <v>#VALUE!</v>
      </c>
      <c r="BN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" s="10" t="e">
        <f>tbl_MTG_Set[[#This Row],[Play Singles CardMarket Profit BotBox]]/tbl_MTG_Set[[#This Row],[Play Booster Cost]]</f>
        <v>#VALUE!</v>
      </c>
      <c r="BP71" s="10" t="b">
        <f>tbl_MTG_Set[[#This Row],[Play Singles CardMarket Profit BotBox]]&gt;0</f>
        <v>0</v>
      </c>
      <c r="BQ71" s="10"/>
      <c r="BR71" s="10"/>
      <c r="BS71" s="10"/>
      <c r="BT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" s="19" t="e">
        <f>tbl_MTG_Set[[#This Row],[Collector Singles CardMarket Profit MTG Stocks]]/tbl_MTG_Set[[#This Row],[Collector Booster Cost]]</f>
        <v>#N/A</v>
      </c>
      <c r="BW71" s="10" t="b">
        <f>tbl_MTG_Set[[#This Row],[Collector Singles CardMarket Profit MTG Stocks]]&gt;0</f>
        <v>0</v>
      </c>
      <c r="BX71" s="10"/>
      <c r="BY71" s="10"/>
      <c r="BZ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" s="10" t="e">
        <f>tbl_MTG_Set[[#This Row],[Collector Singles CardMarket Profit BotBox]]/tbl_MTG_Set[[#This Row],[Collector Booster Cost]]</f>
        <v>#N/A</v>
      </c>
      <c r="CC71" s="10" t="b">
        <f>tbl_MTG_Set[[#This Row],[Collector Singles CardMarket Profit BotBox]]&gt;0</f>
        <v>0</v>
      </c>
      <c r="CD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" spans="1:86" hidden="1">
      <c r="A72">
        <v>78</v>
      </c>
      <c r="B72" t="s">
        <v>245</v>
      </c>
      <c r="C72">
        <v>779</v>
      </c>
      <c r="D72" s="3">
        <v>45611</v>
      </c>
      <c r="E72" t="s">
        <v>59</v>
      </c>
      <c r="F72" t="s">
        <v>174</v>
      </c>
      <c r="G72">
        <v>102</v>
      </c>
      <c r="H72">
        <f ca="1">MONTH(NOW())+12*YEAR(NOW())-MONTH(tbl_MTG_Set[[#This Row],[Released On]])-12*YEAR(tbl_MTG_Set[[#This Row],[Released On]])</f>
        <v>16</v>
      </c>
      <c r="I72">
        <f>_xlfn.XLOOKUP(tbl_MTG_Set[[#This Row],[Type Name]], tbl_MTG_Set_Type[Set Type], tbl_MTG_Set_Type[Index], "(Set Type not found)")</f>
        <v>1</v>
      </c>
      <c r="J72">
        <f>_xlfn.XLOOKUP(tbl_MTG_Set[[#This Row],[Type Name]], tbl_MTG_Set_Type[Set Type], tbl_MTG_Set_Type[Buy Window Month Start], "(Set Type not found)")</f>
        <v>18</v>
      </c>
      <c r="K72" s="3">
        <f>tbl_MTG_Set[[#This Row],[Released On]]+tbl_MTG_Set[[#This Row],[Buy Window Month Start]]*365.25/12</f>
        <v>46158.875</v>
      </c>
      <c r="L72">
        <f>_xlfn.XLOOKUP(tbl_MTG_Set[[#This Row],[Type Name]], tbl_MTG_Set_Type[Set Type], tbl_MTG_Set_Type[Buy Window Month End], "(Set Type not found)", 0, 1)</f>
        <v>24</v>
      </c>
      <c r="M72" s="3">
        <f>tbl_MTG_Set[[#This Row],[Released On]]+tbl_MTG_Set[[#This Row],[Buy Window Month End]]*365.25/12</f>
        <v>46341.5</v>
      </c>
      <c r="N72" s="3" t="b">
        <f ca="1">AND(NOW()&gt;=tbl_MTG_Set[[#This Row],[Buy Window Start]], NOW()&lt;=tbl_MTG_Set[[#This Row],[Buy Window End]])</f>
        <v>0</v>
      </c>
      <c r="O72">
        <f>_xlfn.XLOOKUP(tbl_MTG_Set[[#This Row],[Type Name]], tbl_MTG_Set_Type[Set Type], tbl_MTG_Set_Type[Heavy Printing Window Month Start], "(Set Type not found)", 0, 1)</f>
        <v>1</v>
      </c>
      <c r="P72" s="3">
        <f>tbl_MTG_Set[[#This Row],[Released On]]+tbl_MTG_Set[[#This Row],[Heavy Printing Window Month Start]]*365.25/12</f>
        <v>45641.4375</v>
      </c>
      <c r="Q72">
        <f>_xlfn.XLOOKUP(tbl_MTG_Set[[#This Row],[Type Name]], tbl_MTG_Set_Type[Set Type], tbl_MTG_Set_Type[Heavy Printing Window Month End], "(Set Type not found)", 0, 1)</f>
        <v>18</v>
      </c>
      <c r="R72" s="3">
        <f>tbl_MTG_Set[[#This Row],[Released On]]+tbl_MTG_Set[[#This Row],[Heavy Printing Window Month End]]*365.25/12</f>
        <v>46158.875</v>
      </c>
      <c r="S72" s="3" t="b">
        <f ca="1">AND(NOW()&gt;=tbl_MTG_Set[[#This Row],[Heavy Printing Window Start]], NOW()&lt;=tbl_MTG_Set[[#This Row],[Heavy Printing Window End]])</f>
        <v>1</v>
      </c>
      <c r="T72">
        <f>_xlfn.XLOOKUP(tbl_MTG_Set[[#This Row],[Type Name]], tbl_MTG_Set_Type[Set Type], tbl_MTG_Set_Type[Sell Window Month Start], "(Set Type not found)", 0, 1)</f>
        <v>36</v>
      </c>
      <c r="U72" s="3">
        <f>tbl_MTG_Set[[#This Row],[Released On]]+tbl_MTG_Set[[#This Row],[Sell Window Month Start]]*365.25/12</f>
        <v>46706.75</v>
      </c>
      <c r="V72">
        <f>_xlfn.XLOOKUP(tbl_MTG_Set[[#This Row],[Type Name]], tbl_MTG_Set_Type[Set Type], tbl_MTG_Set_Type[Sell Window Month End], "(Set Type not found)", 0, 1)</f>
        <v>48</v>
      </c>
      <c r="W72" s="3">
        <f>tbl_MTG_Set[[#This Row],[Released On]]+tbl_MTG_Set[[#This Row],[Sell Window Month End]]*365.25/12</f>
        <v>47072</v>
      </c>
      <c r="X72" s="3" t="b">
        <f ca="1">AND(NOW()&gt;=tbl_MTG_Set[[#This Row],[Sell Window Start]], NOW()&lt;=tbl_MTG_Set[[#This Row],[Sell Window End]])</f>
        <v>0</v>
      </c>
      <c r="AG72" s="10"/>
      <c r="AH72" s="10"/>
      <c r="AM72" s="10" t="str" cm="1">
        <f t="array" ref="AM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" s="10" t="str" cm="1">
        <f t="array" ref="AN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" s="4" t="e">
        <f>_xlfn.XLOOKUP(tbl_MTG_Set[[#This Row],[Play Booster Box Product Id]], tbl_Product[Product Id], tbl_Product[Pack Size])</f>
        <v>#N/A</v>
      </c>
      <c r="AP72" s="10" t="e">
        <f>(tbl_MTG_Set[[#This Row],[Play Booster Box Cost]]+v_Item_Shipping_Cost_In)/tbl_MTG_Set[[#This Row],[Play Booster Box Size]]</f>
        <v>#VALUE!</v>
      </c>
      <c r="AQ72" s="10" t="str" cm="1">
        <f t="array" ref="AQ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" s="10"/>
      <c r="AS72" s="10"/>
      <c r="AT72" s="17" t="e">
        <f>tbl_MTG_Set[[#This Row],[Play Booster CardMarket Profit]]/tbl_MTG_Set[[#This Row],[Play Booster Cost]]</f>
        <v>#VALUE!</v>
      </c>
      <c r="AU72" s="10" t="e">
        <f>_xlfn.XLOOKUP(tbl_MTG_Set[[#This Row],[Collector Booster Box Product Id]], tbl_Product[Product Id], tbl_Product[Min Cost])</f>
        <v>#N/A</v>
      </c>
      <c r="AV72" s="10" t="e">
        <f>_xlfn.XLOOKUP(tbl_MTG_Set[[#This Row],[Collector Booster Box Product Id]], tbl_Product[Product Id], tbl_Product[Best Source])</f>
        <v>#N/A</v>
      </c>
      <c r="AW72" s="4" t="e">
        <f>_xlfn.XLOOKUP(tbl_MTG_Set[[#This Row],[Collector Booster Box Product Id]], tbl_Product[Product Id], tbl_Product[Pack Size])</f>
        <v>#N/A</v>
      </c>
      <c r="AX72" s="10" t="e">
        <f>(tbl_MTG_Set[[#This Row],[Collector Booster Box Cost]] + v_Item_Shipping_Cost_In) / tbl_MTG_Set[[#This Row],[Collector Booster Box Size]]</f>
        <v>#N/A</v>
      </c>
      <c r="AY72" s="10" t="str" cm="1">
        <f t="array" ref="AY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" s="10"/>
      <c r="BA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" s="17" t="e">
        <f>tbl_MTG_Set[[#This Row],[Collector Booster CardMarket Profit]]/tbl_MTG_Set[[#This Row],[Collector Booster Cost]]</f>
        <v>#N/A</v>
      </c>
      <c r="BC72" s="10"/>
      <c r="BF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" s="11" t="e">
        <f>tbl_MTG_Set[[#This Row],[Play Singles CardMarket Profit MTG Stocks]]/tbl_MTG_Set[[#This Row],[Play Booster Cost]]</f>
        <v>#VALUE!</v>
      </c>
      <c r="BI72" s="11" t="b">
        <f>tbl_MTG_Set[[#This Row],[Play Singles CardMarket Profit MTG Stocks]]&gt;0</f>
        <v>0</v>
      </c>
      <c r="BM72" s="10" t="e">
        <f>tbl_MTG_Set[[#This Row],[Play Booster Sell Price CardMarket]]*tbl_MTG_Set[[#This Row],[Play Booster Expected Market Value BotBox]]/tbl_MTG_Set[[#This Row],[Play Booster Sealed Market Value BotBox]]</f>
        <v>#VALUE!</v>
      </c>
      <c r="BN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" s="10" t="e">
        <f>tbl_MTG_Set[[#This Row],[Play Singles CardMarket Profit BotBox]]/tbl_MTG_Set[[#This Row],[Play Booster Cost]]</f>
        <v>#VALUE!</v>
      </c>
      <c r="BP72" s="10" t="b">
        <f>tbl_MTG_Set[[#This Row],[Play Singles CardMarket Profit BotBox]]&gt;0</f>
        <v>0</v>
      </c>
      <c r="BQ72" s="10"/>
      <c r="BR72" s="10"/>
      <c r="BS72" s="10"/>
      <c r="BT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" s="19" t="e">
        <f>tbl_MTG_Set[[#This Row],[Collector Singles CardMarket Profit MTG Stocks]]/tbl_MTG_Set[[#This Row],[Collector Booster Cost]]</f>
        <v>#N/A</v>
      </c>
      <c r="BW72" s="10" t="b">
        <f>tbl_MTG_Set[[#This Row],[Collector Singles CardMarket Profit MTG Stocks]]&gt;0</f>
        <v>0</v>
      </c>
      <c r="BX72" s="10"/>
      <c r="BY72" s="10"/>
      <c r="BZ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" s="10" t="e">
        <f>tbl_MTG_Set[[#This Row],[Collector Singles CardMarket Profit BotBox]]/tbl_MTG_Set[[#This Row],[Collector Booster Cost]]</f>
        <v>#N/A</v>
      </c>
      <c r="CC72" s="10" t="b">
        <f>tbl_MTG_Set[[#This Row],[Collector Singles CardMarket Profit BotBox]]&gt;0</f>
        <v>0</v>
      </c>
      <c r="CD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" spans="1:86" hidden="1">
      <c r="A73">
        <v>79</v>
      </c>
      <c r="B73" t="s">
        <v>246</v>
      </c>
      <c r="C73">
        <v>46</v>
      </c>
      <c r="D73" s="3">
        <v>45611</v>
      </c>
      <c r="E73" t="s">
        <v>59</v>
      </c>
      <c r="F73" t="s">
        <v>174</v>
      </c>
      <c r="G73">
        <v>104</v>
      </c>
      <c r="H73">
        <f ca="1">MONTH(NOW())+12*YEAR(NOW())-MONTH(tbl_MTG_Set[[#This Row],[Released On]])-12*YEAR(tbl_MTG_Set[[#This Row],[Released On]])</f>
        <v>16</v>
      </c>
      <c r="I73">
        <f>_xlfn.XLOOKUP(tbl_MTG_Set[[#This Row],[Type Name]], tbl_MTG_Set_Type[Set Type], tbl_MTG_Set_Type[Index], "(Set Type not found)")</f>
        <v>1</v>
      </c>
      <c r="J73">
        <f>_xlfn.XLOOKUP(tbl_MTG_Set[[#This Row],[Type Name]], tbl_MTG_Set_Type[Set Type], tbl_MTG_Set_Type[Buy Window Month Start], "(Set Type not found)")</f>
        <v>18</v>
      </c>
      <c r="K73" s="3">
        <f>tbl_MTG_Set[[#This Row],[Released On]]+tbl_MTG_Set[[#This Row],[Buy Window Month Start]]*365.25/12</f>
        <v>46158.875</v>
      </c>
      <c r="L73">
        <f>_xlfn.XLOOKUP(tbl_MTG_Set[[#This Row],[Type Name]], tbl_MTG_Set_Type[Set Type], tbl_MTG_Set_Type[Buy Window Month End], "(Set Type not found)", 0, 1)</f>
        <v>24</v>
      </c>
      <c r="M73" s="3">
        <f>tbl_MTG_Set[[#This Row],[Released On]]+tbl_MTG_Set[[#This Row],[Buy Window Month End]]*365.25/12</f>
        <v>46341.5</v>
      </c>
      <c r="N73" s="3" t="b">
        <f ca="1">AND(NOW()&gt;=tbl_MTG_Set[[#This Row],[Buy Window Start]], NOW()&lt;=tbl_MTG_Set[[#This Row],[Buy Window End]])</f>
        <v>0</v>
      </c>
      <c r="O73">
        <f>_xlfn.XLOOKUP(tbl_MTG_Set[[#This Row],[Type Name]], tbl_MTG_Set_Type[Set Type], tbl_MTG_Set_Type[Heavy Printing Window Month Start], "(Set Type not found)", 0, 1)</f>
        <v>1</v>
      </c>
      <c r="P73" s="3">
        <f>tbl_MTG_Set[[#This Row],[Released On]]+tbl_MTG_Set[[#This Row],[Heavy Printing Window Month Start]]*365.25/12</f>
        <v>45641.4375</v>
      </c>
      <c r="Q73">
        <f>_xlfn.XLOOKUP(tbl_MTG_Set[[#This Row],[Type Name]], tbl_MTG_Set_Type[Set Type], tbl_MTG_Set_Type[Heavy Printing Window Month End], "(Set Type not found)", 0, 1)</f>
        <v>18</v>
      </c>
      <c r="R73" s="3">
        <f>tbl_MTG_Set[[#This Row],[Released On]]+tbl_MTG_Set[[#This Row],[Heavy Printing Window Month End]]*365.25/12</f>
        <v>46158.875</v>
      </c>
      <c r="S73" s="3" t="b">
        <f ca="1">AND(NOW()&gt;=tbl_MTG_Set[[#This Row],[Heavy Printing Window Start]], NOW()&lt;=tbl_MTG_Set[[#This Row],[Heavy Printing Window End]])</f>
        <v>1</v>
      </c>
      <c r="T73">
        <f>_xlfn.XLOOKUP(tbl_MTG_Set[[#This Row],[Type Name]], tbl_MTG_Set_Type[Set Type], tbl_MTG_Set_Type[Sell Window Month Start], "(Set Type not found)", 0, 1)</f>
        <v>36</v>
      </c>
      <c r="U73" s="3">
        <f>tbl_MTG_Set[[#This Row],[Released On]]+tbl_MTG_Set[[#This Row],[Sell Window Month Start]]*365.25/12</f>
        <v>46706.75</v>
      </c>
      <c r="V73">
        <f>_xlfn.XLOOKUP(tbl_MTG_Set[[#This Row],[Type Name]], tbl_MTG_Set_Type[Set Type], tbl_MTG_Set_Type[Sell Window Month End], "(Set Type not found)", 0, 1)</f>
        <v>48</v>
      </c>
      <c r="W73" s="3">
        <f>tbl_MTG_Set[[#This Row],[Released On]]+tbl_MTG_Set[[#This Row],[Sell Window Month End]]*365.25/12</f>
        <v>47072</v>
      </c>
      <c r="X73" s="3" t="b">
        <f ca="1">AND(NOW()&gt;=tbl_MTG_Set[[#This Row],[Sell Window Start]], NOW()&lt;=tbl_MTG_Set[[#This Row],[Sell Window End]])</f>
        <v>0</v>
      </c>
      <c r="AG73" s="10"/>
      <c r="AH73" s="10"/>
      <c r="AM73" s="10" t="str" cm="1">
        <f t="array" ref="AM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" s="10" t="str" cm="1">
        <f t="array" ref="AN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" s="4" t="e">
        <f>_xlfn.XLOOKUP(tbl_MTG_Set[[#This Row],[Play Booster Box Product Id]], tbl_Product[Product Id], tbl_Product[Pack Size])</f>
        <v>#N/A</v>
      </c>
      <c r="AP73" s="10" t="e">
        <f>(tbl_MTG_Set[[#This Row],[Play Booster Box Cost]]+v_Item_Shipping_Cost_In)/tbl_MTG_Set[[#This Row],[Play Booster Box Size]]</f>
        <v>#VALUE!</v>
      </c>
      <c r="AQ73" s="10" t="str" cm="1">
        <f t="array" ref="AQ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" s="10"/>
      <c r="AS73" s="10"/>
      <c r="AT73" s="17" t="e">
        <f>tbl_MTG_Set[[#This Row],[Play Booster CardMarket Profit]]/tbl_MTG_Set[[#This Row],[Play Booster Cost]]</f>
        <v>#VALUE!</v>
      </c>
      <c r="AU73" s="10" t="e">
        <f>_xlfn.XLOOKUP(tbl_MTG_Set[[#This Row],[Collector Booster Box Product Id]], tbl_Product[Product Id], tbl_Product[Min Cost])</f>
        <v>#N/A</v>
      </c>
      <c r="AV73" s="10" t="e">
        <f>_xlfn.XLOOKUP(tbl_MTG_Set[[#This Row],[Collector Booster Box Product Id]], tbl_Product[Product Id], tbl_Product[Best Source])</f>
        <v>#N/A</v>
      </c>
      <c r="AW73" s="4" t="e">
        <f>_xlfn.XLOOKUP(tbl_MTG_Set[[#This Row],[Collector Booster Box Product Id]], tbl_Product[Product Id], tbl_Product[Pack Size])</f>
        <v>#N/A</v>
      </c>
      <c r="AX73" s="10" t="e">
        <f>(tbl_MTG_Set[[#This Row],[Collector Booster Box Cost]] + v_Item_Shipping_Cost_In) / tbl_MTG_Set[[#This Row],[Collector Booster Box Size]]</f>
        <v>#N/A</v>
      </c>
      <c r="AY73" s="10" t="str" cm="1">
        <f t="array" ref="AY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" s="10"/>
      <c r="BA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" s="17" t="e">
        <f>tbl_MTG_Set[[#This Row],[Collector Booster CardMarket Profit]]/tbl_MTG_Set[[#This Row],[Collector Booster Cost]]</f>
        <v>#N/A</v>
      </c>
      <c r="BC73" s="10"/>
      <c r="BF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" s="11" t="e">
        <f>tbl_MTG_Set[[#This Row],[Play Singles CardMarket Profit MTG Stocks]]/tbl_MTG_Set[[#This Row],[Play Booster Cost]]</f>
        <v>#VALUE!</v>
      </c>
      <c r="BI73" s="11" t="b">
        <f>tbl_MTG_Set[[#This Row],[Play Singles CardMarket Profit MTG Stocks]]&gt;0</f>
        <v>0</v>
      </c>
      <c r="BM73" s="10" t="e">
        <f>tbl_MTG_Set[[#This Row],[Play Booster Sell Price CardMarket]]*tbl_MTG_Set[[#This Row],[Play Booster Expected Market Value BotBox]]/tbl_MTG_Set[[#This Row],[Play Booster Sealed Market Value BotBox]]</f>
        <v>#VALUE!</v>
      </c>
      <c r="BN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" s="10" t="e">
        <f>tbl_MTG_Set[[#This Row],[Play Singles CardMarket Profit BotBox]]/tbl_MTG_Set[[#This Row],[Play Booster Cost]]</f>
        <v>#VALUE!</v>
      </c>
      <c r="BP73" s="10" t="b">
        <f>tbl_MTG_Set[[#This Row],[Play Singles CardMarket Profit BotBox]]&gt;0</f>
        <v>0</v>
      </c>
      <c r="BQ73" s="10"/>
      <c r="BR73" s="10"/>
      <c r="BS73" s="10"/>
      <c r="BT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" s="19" t="e">
        <f>tbl_MTG_Set[[#This Row],[Collector Singles CardMarket Profit MTG Stocks]]/tbl_MTG_Set[[#This Row],[Collector Booster Cost]]</f>
        <v>#N/A</v>
      </c>
      <c r="BW73" s="10" t="b">
        <f>tbl_MTG_Set[[#This Row],[Collector Singles CardMarket Profit MTG Stocks]]&gt;0</f>
        <v>0</v>
      </c>
      <c r="BX73" s="10"/>
      <c r="BY73" s="10"/>
      <c r="BZ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" s="10" t="e">
        <f>tbl_MTG_Set[[#This Row],[Collector Singles CardMarket Profit BotBox]]/tbl_MTG_Set[[#This Row],[Collector Booster Cost]]</f>
        <v>#N/A</v>
      </c>
      <c r="CC73" s="10" t="b">
        <f>tbl_MTG_Set[[#This Row],[Collector Singles CardMarket Profit BotBox]]&gt;0</f>
        <v>0</v>
      </c>
      <c r="CD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" spans="1:86" hidden="1">
      <c r="A74">
        <v>80</v>
      </c>
      <c r="B74" t="s">
        <v>247</v>
      </c>
      <c r="C74">
        <v>10</v>
      </c>
      <c r="D74" s="3">
        <v>45611</v>
      </c>
      <c r="E74" t="s">
        <v>59</v>
      </c>
      <c r="F74" t="s">
        <v>174</v>
      </c>
      <c r="G74">
        <v>106</v>
      </c>
      <c r="H74">
        <f ca="1">MONTH(NOW())+12*YEAR(NOW())-MONTH(tbl_MTG_Set[[#This Row],[Released On]])-12*YEAR(tbl_MTG_Set[[#This Row],[Released On]])</f>
        <v>16</v>
      </c>
      <c r="I74">
        <f>_xlfn.XLOOKUP(tbl_MTG_Set[[#This Row],[Type Name]], tbl_MTG_Set_Type[Set Type], tbl_MTG_Set_Type[Index], "(Set Type not found)")</f>
        <v>1</v>
      </c>
      <c r="J74">
        <f>_xlfn.XLOOKUP(tbl_MTG_Set[[#This Row],[Type Name]], tbl_MTG_Set_Type[Set Type], tbl_MTG_Set_Type[Buy Window Month Start], "(Set Type not found)")</f>
        <v>18</v>
      </c>
      <c r="K74" s="3">
        <f>tbl_MTG_Set[[#This Row],[Released On]]+tbl_MTG_Set[[#This Row],[Buy Window Month Start]]*365.25/12</f>
        <v>46158.875</v>
      </c>
      <c r="L74">
        <f>_xlfn.XLOOKUP(tbl_MTG_Set[[#This Row],[Type Name]], tbl_MTG_Set_Type[Set Type], tbl_MTG_Set_Type[Buy Window Month End], "(Set Type not found)", 0, 1)</f>
        <v>24</v>
      </c>
      <c r="M74" s="3">
        <f>tbl_MTG_Set[[#This Row],[Released On]]+tbl_MTG_Set[[#This Row],[Buy Window Month End]]*365.25/12</f>
        <v>46341.5</v>
      </c>
      <c r="N74" s="3" t="b">
        <f ca="1">AND(NOW()&gt;=tbl_MTG_Set[[#This Row],[Buy Window Start]], NOW()&lt;=tbl_MTG_Set[[#This Row],[Buy Window End]])</f>
        <v>0</v>
      </c>
      <c r="O74">
        <f>_xlfn.XLOOKUP(tbl_MTG_Set[[#This Row],[Type Name]], tbl_MTG_Set_Type[Set Type], tbl_MTG_Set_Type[Heavy Printing Window Month Start], "(Set Type not found)", 0, 1)</f>
        <v>1</v>
      </c>
      <c r="P74" s="3">
        <f>tbl_MTG_Set[[#This Row],[Released On]]+tbl_MTG_Set[[#This Row],[Heavy Printing Window Month Start]]*365.25/12</f>
        <v>45641.4375</v>
      </c>
      <c r="Q74">
        <f>_xlfn.XLOOKUP(tbl_MTG_Set[[#This Row],[Type Name]], tbl_MTG_Set_Type[Set Type], tbl_MTG_Set_Type[Heavy Printing Window Month End], "(Set Type not found)", 0, 1)</f>
        <v>18</v>
      </c>
      <c r="R74" s="3">
        <f>tbl_MTG_Set[[#This Row],[Released On]]+tbl_MTG_Set[[#This Row],[Heavy Printing Window Month End]]*365.25/12</f>
        <v>46158.875</v>
      </c>
      <c r="S74" s="3" t="b">
        <f ca="1">AND(NOW()&gt;=tbl_MTG_Set[[#This Row],[Heavy Printing Window Start]], NOW()&lt;=tbl_MTG_Set[[#This Row],[Heavy Printing Window End]])</f>
        <v>1</v>
      </c>
      <c r="T74">
        <f>_xlfn.XLOOKUP(tbl_MTG_Set[[#This Row],[Type Name]], tbl_MTG_Set_Type[Set Type], tbl_MTG_Set_Type[Sell Window Month Start], "(Set Type not found)", 0, 1)</f>
        <v>36</v>
      </c>
      <c r="U74" s="3">
        <f>tbl_MTG_Set[[#This Row],[Released On]]+tbl_MTG_Set[[#This Row],[Sell Window Month Start]]*365.25/12</f>
        <v>46706.75</v>
      </c>
      <c r="V74">
        <f>_xlfn.XLOOKUP(tbl_MTG_Set[[#This Row],[Type Name]], tbl_MTG_Set_Type[Set Type], tbl_MTG_Set_Type[Sell Window Month End], "(Set Type not found)", 0, 1)</f>
        <v>48</v>
      </c>
      <c r="W74" s="3">
        <f>tbl_MTG_Set[[#This Row],[Released On]]+tbl_MTG_Set[[#This Row],[Sell Window Month End]]*365.25/12</f>
        <v>47072</v>
      </c>
      <c r="X74" s="3" t="b">
        <f ca="1">AND(NOW()&gt;=tbl_MTG_Set[[#This Row],[Sell Window Start]], NOW()&lt;=tbl_MTG_Set[[#This Row],[Sell Window End]])</f>
        <v>0</v>
      </c>
      <c r="AG74" s="10"/>
      <c r="AH74" s="10"/>
      <c r="AM74" s="10" t="str" cm="1">
        <f t="array" ref="AM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" s="10" t="str" cm="1">
        <f t="array" ref="AN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" s="4" t="e">
        <f>_xlfn.XLOOKUP(tbl_MTG_Set[[#This Row],[Play Booster Box Product Id]], tbl_Product[Product Id], tbl_Product[Pack Size])</f>
        <v>#N/A</v>
      </c>
      <c r="AP74" s="10" t="e">
        <f>(tbl_MTG_Set[[#This Row],[Play Booster Box Cost]]+v_Item_Shipping_Cost_In)/tbl_MTG_Set[[#This Row],[Play Booster Box Size]]</f>
        <v>#VALUE!</v>
      </c>
      <c r="AQ74" s="10" t="str" cm="1">
        <f t="array" ref="AQ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" s="10"/>
      <c r="AS74" s="10"/>
      <c r="AT74" s="17" t="e">
        <f>tbl_MTG_Set[[#This Row],[Play Booster CardMarket Profit]]/tbl_MTG_Set[[#This Row],[Play Booster Cost]]</f>
        <v>#VALUE!</v>
      </c>
      <c r="AU74" s="10" t="e">
        <f>_xlfn.XLOOKUP(tbl_MTG_Set[[#This Row],[Collector Booster Box Product Id]], tbl_Product[Product Id], tbl_Product[Min Cost])</f>
        <v>#N/A</v>
      </c>
      <c r="AV74" s="10" t="e">
        <f>_xlfn.XLOOKUP(tbl_MTG_Set[[#This Row],[Collector Booster Box Product Id]], tbl_Product[Product Id], tbl_Product[Best Source])</f>
        <v>#N/A</v>
      </c>
      <c r="AW74" s="4" t="e">
        <f>_xlfn.XLOOKUP(tbl_MTG_Set[[#This Row],[Collector Booster Box Product Id]], tbl_Product[Product Id], tbl_Product[Pack Size])</f>
        <v>#N/A</v>
      </c>
      <c r="AX74" s="10" t="e">
        <f>(tbl_MTG_Set[[#This Row],[Collector Booster Box Cost]] + v_Item_Shipping_Cost_In) / tbl_MTG_Set[[#This Row],[Collector Booster Box Size]]</f>
        <v>#N/A</v>
      </c>
      <c r="AY74" s="10" t="str" cm="1">
        <f t="array" ref="AY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" s="10"/>
      <c r="BA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" s="17" t="e">
        <f>tbl_MTG_Set[[#This Row],[Collector Booster CardMarket Profit]]/tbl_MTG_Set[[#This Row],[Collector Booster Cost]]</f>
        <v>#N/A</v>
      </c>
      <c r="BC74" s="10"/>
      <c r="BF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" s="11" t="e">
        <f>tbl_MTG_Set[[#This Row],[Play Singles CardMarket Profit MTG Stocks]]/tbl_MTG_Set[[#This Row],[Play Booster Cost]]</f>
        <v>#VALUE!</v>
      </c>
      <c r="BI74" s="11" t="b">
        <f>tbl_MTG_Set[[#This Row],[Play Singles CardMarket Profit MTG Stocks]]&gt;0</f>
        <v>0</v>
      </c>
      <c r="BM74" s="10" t="e">
        <f>tbl_MTG_Set[[#This Row],[Play Booster Sell Price CardMarket]]*tbl_MTG_Set[[#This Row],[Play Booster Expected Market Value BotBox]]/tbl_MTG_Set[[#This Row],[Play Booster Sealed Market Value BotBox]]</f>
        <v>#VALUE!</v>
      </c>
      <c r="BN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" s="10" t="e">
        <f>tbl_MTG_Set[[#This Row],[Play Singles CardMarket Profit BotBox]]/tbl_MTG_Set[[#This Row],[Play Booster Cost]]</f>
        <v>#VALUE!</v>
      </c>
      <c r="BP74" s="10" t="b">
        <f>tbl_MTG_Set[[#This Row],[Play Singles CardMarket Profit BotBox]]&gt;0</f>
        <v>0</v>
      </c>
      <c r="BQ74" s="10"/>
      <c r="BR74" s="10"/>
      <c r="BS74" s="10"/>
      <c r="BT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" s="19" t="e">
        <f>tbl_MTG_Set[[#This Row],[Collector Singles CardMarket Profit MTG Stocks]]/tbl_MTG_Set[[#This Row],[Collector Booster Cost]]</f>
        <v>#N/A</v>
      </c>
      <c r="BW74" s="10" t="b">
        <f>tbl_MTG_Set[[#This Row],[Collector Singles CardMarket Profit MTG Stocks]]&gt;0</f>
        <v>0</v>
      </c>
      <c r="BX74" s="10"/>
      <c r="BY74" s="10"/>
      <c r="BZ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" s="10" t="e">
        <f>tbl_MTG_Set[[#This Row],[Collector Singles CardMarket Profit BotBox]]/tbl_MTG_Set[[#This Row],[Collector Booster Cost]]</f>
        <v>#N/A</v>
      </c>
      <c r="CC74" s="10" t="b">
        <f>tbl_MTG_Set[[#This Row],[Collector Singles CardMarket Profit BotBox]]&gt;0</f>
        <v>0</v>
      </c>
      <c r="CD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" spans="1:86" hidden="1">
      <c r="A75">
        <v>82</v>
      </c>
      <c r="B75" t="s">
        <v>248</v>
      </c>
      <c r="C75">
        <v>160</v>
      </c>
      <c r="D75" s="3">
        <v>45562</v>
      </c>
      <c r="E75" t="s">
        <v>59</v>
      </c>
      <c r="F75" t="s">
        <v>174</v>
      </c>
      <c r="G75">
        <v>110</v>
      </c>
      <c r="H75">
        <f ca="1">MONTH(NOW())+12*YEAR(NOW())-MONTH(tbl_MTG_Set[[#This Row],[Released On]])-12*YEAR(tbl_MTG_Set[[#This Row],[Released On]])</f>
        <v>18</v>
      </c>
      <c r="I75">
        <f>_xlfn.XLOOKUP(tbl_MTG_Set[[#This Row],[Type Name]], tbl_MTG_Set_Type[Set Type], tbl_MTG_Set_Type[Index], "(Set Type not found)")</f>
        <v>1</v>
      </c>
      <c r="J75">
        <f>_xlfn.XLOOKUP(tbl_MTG_Set[[#This Row],[Type Name]], tbl_MTG_Set_Type[Set Type], tbl_MTG_Set_Type[Buy Window Month Start], "(Set Type not found)")</f>
        <v>18</v>
      </c>
      <c r="K75" s="3">
        <f>tbl_MTG_Set[[#This Row],[Released On]]+tbl_MTG_Set[[#This Row],[Buy Window Month Start]]*365.25/12</f>
        <v>46109.875</v>
      </c>
      <c r="L75">
        <f>_xlfn.XLOOKUP(tbl_MTG_Set[[#This Row],[Type Name]], tbl_MTG_Set_Type[Set Type], tbl_MTG_Set_Type[Buy Window Month End], "(Set Type not found)", 0, 1)</f>
        <v>24</v>
      </c>
      <c r="M75" s="3">
        <f>tbl_MTG_Set[[#This Row],[Released On]]+tbl_MTG_Set[[#This Row],[Buy Window Month End]]*365.25/12</f>
        <v>46292.5</v>
      </c>
      <c r="N75" s="3" t="b">
        <f ca="1">AND(NOW()&gt;=tbl_MTG_Set[[#This Row],[Buy Window Start]], NOW()&lt;=tbl_MTG_Set[[#This Row],[Buy Window End]])</f>
        <v>0</v>
      </c>
      <c r="O75">
        <f>_xlfn.XLOOKUP(tbl_MTG_Set[[#This Row],[Type Name]], tbl_MTG_Set_Type[Set Type], tbl_MTG_Set_Type[Heavy Printing Window Month Start], "(Set Type not found)", 0, 1)</f>
        <v>1</v>
      </c>
      <c r="P75" s="3">
        <f>tbl_MTG_Set[[#This Row],[Released On]]+tbl_MTG_Set[[#This Row],[Heavy Printing Window Month Start]]*365.25/12</f>
        <v>45592.4375</v>
      </c>
      <c r="Q75">
        <f>_xlfn.XLOOKUP(tbl_MTG_Set[[#This Row],[Type Name]], tbl_MTG_Set_Type[Set Type], tbl_MTG_Set_Type[Heavy Printing Window Month End], "(Set Type not found)", 0, 1)</f>
        <v>18</v>
      </c>
      <c r="R75" s="3">
        <f>tbl_MTG_Set[[#This Row],[Released On]]+tbl_MTG_Set[[#This Row],[Heavy Printing Window Month End]]*365.25/12</f>
        <v>46109.875</v>
      </c>
      <c r="S75" s="3" t="b">
        <f ca="1">AND(NOW()&gt;=tbl_MTG_Set[[#This Row],[Heavy Printing Window Start]], NOW()&lt;=tbl_MTG_Set[[#This Row],[Heavy Printing Window End]])</f>
        <v>1</v>
      </c>
      <c r="T75">
        <f>_xlfn.XLOOKUP(tbl_MTG_Set[[#This Row],[Type Name]], tbl_MTG_Set_Type[Set Type], tbl_MTG_Set_Type[Sell Window Month Start], "(Set Type not found)", 0, 1)</f>
        <v>36</v>
      </c>
      <c r="U75" s="3">
        <f>tbl_MTG_Set[[#This Row],[Released On]]+tbl_MTG_Set[[#This Row],[Sell Window Month Start]]*365.25/12</f>
        <v>46657.75</v>
      </c>
      <c r="V75">
        <f>_xlfn.XLOOKUP(tbl_MTG_Set[[#This Row],[Type Name]], tbl_MTG_Set_Type[Set Type], tbl_MTG_Set_Type[Sell Window Month End], "(Set Type not found)", 0, 1)</f>
        <v>48</v>
      </c>
      <c r="W75" s="3">
        <f>tbl_MTG_Set[[#This Row],[Released On]]+tbl_MTG_Set[[#This Row],[Sell Window Month End]]*365.25/12</f>
        <v>47023</v>
      </c>
      <c r="X75" s="3" t="b">
        <f ca="1">AND(NOW()&gt;=tbl_MTG_Set[[#This Row],[Sell Window Start]], NOW()&lt;=tbl_MTG_Set[[#This Row],[Sell Window End]])</f>
        <v>0</v>
      </c>
      <c r="AG75" s="10"/>
      <c r="AH75" s="10"/>
      <c r="AM75" s="10" t="str" cm="1">
        <f t="array" ref="AM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" s="10" t="str" cm="1">
        <f t="array" ref="AN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" s="4" t="e">
        <f>_xlfn.XLOOKUP(tbl_MTG_Set[[#This Row],[Play Booster Box Product Id]], tbl_Product[Product Id], tbl_Product[Pack Size])</f>
        <v>#N/A</v>
      </c>
      <c r="AP75" s="10" t="e">
        <f>(tbl_MTG_Set[[#This Row],[Play Booster Box Cost]]+v_Item_Shipping_Cost_In)/tbl_MTG_Set[[#This Row],[Play Booster Box Size]]</f>
        <v>#VALUE!</v>
      </c>
      <c r="AQ75" s="10" t="str" cm="1">
        <f t="array" ref="AQ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" s="10"/>
      <c r="AS75" s="10"/>
      <c r="AT75" s="17" t="e">
        <f>tbl_MTG_Set[[#This Row],[Play Booster CardMarket Profit]]/tbl_MTG_Set[[#This Row],[Play Booster Cost]]</f>
        <v>#VALUE!</v>
      </c>
      <c r="AU75" s="10" t="e">
        <f>_xlfn.XLOOKUP(tbl_MTG_Set[[#This Row],[Collector Booster Box Product Id]], tbl_Product[Product Id], tbl_Product[Min Cost])</f>
        <v>#N/A</v>
      </c>
      <c r="AV75" s="10" t="e">
        <f>_xlfn.XLOOKUP(tbl_MTG_Set[[#This Row],[Collector Booster Box Product Id]], tbl_Product[Product Id], tbl_Product[Best Source])</f>
        <v>#N/A</v>
      </c>
      <c r="AW75" s="4" t="e">
        <f>_xlfn.XLOOKUP(tbl_MTG_Set[[#This Row],[Collector Booster Box Product Id]], tbl_Product[Product Id], tbl_Product[Pack Size])</f>
        <v>#N/A</v>
      </c>
      <c r="AX75" s="10" t="e">
        <f>(tbl_MTG_Set[[#This Row],[Collector Booster Box Cost]] + v_Item_Shipping_Cost_In) / tbl_MTG_Set[[#This Row],[Collector Booster Box Size]]</f>
        <v>#N/A</v>
      </c>
      <c r="AY75" s="10" t="str" cm="1">
        <f t="array" ref="AY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" s="10"/>
      <c r="BA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" s="17" t="e">
        <f>tbl_MTG_Set[[#This Row],[Collector Booster CardMarket Profit]]/tbl_MTG_Set[[#This Row],[Collector Booster Cost]]</f>
        <v>#N/A</v>
      </c>
      <c r="BC75" s="10"/>
      <c r="BF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" s="11" t="e">
        <f>tbl_MTG_Set[[#This Row],[Play Singles CardMarket Profit MTG Stocks]]/tbl_MTG_Set[[#This Row],[Play Booster Cost]]</f>
        <v>#VALUE!</v>
      </c>
      <c r="BI75" s="11" t="b">
        <f>tbl_MTG_Set[[#This Row],[Play Singles CardMarket Profit MTG Stocks]]&gt;0</f>
        <v>0</v>
      </c>
      <c r="BM75" s="10" t="e">
        <f>tbl_MTG_Set[[#This Row],[Play Booster Sell Price CardMarket]]*tbl_MTG_Set[[#This Row],[Play Booster Expected Market Value BotBox]]/tbl_MTG_Set[[#This Row],[Play Booster Sealed Market Value BotBox]]</f>
        <v>#VALUE!</v>
      </c>
      <c r="BN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" s="10" t="e">
        <f>tbl_MTG_Set[[#This Row],[Play Singles CardMarket Profit BotBox]]/tbl_MTG_Set[[#This Row],[Play Booster Cost]]</f>
        <v>#VALUE!</v>
      </c>
      <c r="BP75" s="10" t="b">
        <f>tbl_MTG_Set[[#This Row],[Play Singles CardMarket Profit BotBox]]&gt;0</f>
        <v>0</v>
      </c>
      <c r="BQ75" s="10"/>
      <c r="BR75" s="10"/>
      <c r="BS75" s="10"/>
      <c r="BT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" s="19" t="e">
        <f>tbl_MTG_Set[[#This Row],[Collector Singles CardMarket Profit MTG Stocks]]/tbl_MTG_Set[[#This Row],[Collector Booster Cost]]</f>
        <v>#N/A</v>
      </c>
      <c r="BW75" s="10" t="b">
        <f>tbl_MTG_Set[[#This Row],[Collector Singles CardMarket Profit MTG Stocks]]&gt;0</f>
        <v>0</v>
      </c>
      <c r="BX75" s="10"/>
      <c r="BY75" s="10"/>
      <c r="BZ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" s="10" t="e">
        <f>tbl_MTG_Set[[#This Row],[Collector Singles CardMarket Profit BotBox]]/tbl_MTG_Set[[#This Row],[Collector Booster Cost]]</f>
        <v>#N/A</v>
      </c>
      <c r="CC75" s="10" t="b">
        <f>tbl_MTG_Set[[#This Row],[Collector Singles CardMarket Profit BotBox]]&gt;0</f>
        <v>0</v>
      </c>
      <c r="CD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" spans="1:86" hidden="1">
      <c r="A76">
        <v>83</v>
      </c>
      <c r="B76" t="s">
        <v>249</v>
      </c>
      <c r="C76">
        <v>19</v>
      </c>
      <c r="D76" s="3">
        <v>45562</v>
      </c>
      <c r="E76" t="s">
        <v>59</v>
      </c>
      <c r="F76" t="s">
        <v>174</v>
      </c>
      <c r="G76">
        <v>112</v>
      </c>
      <c r="H76">
        <f ca="1">MONTH(NOW())+12*YEAR(NOW())-MONTH(tbl_MTG_Set[[#This Row],[Released On]])-12*YEAR(tbl_MTG_Set[[#This Row],[Released On]])</f>
        <v>18</v>
      </c>
      <c r="I76">
        <f>_xlfn.XLOOKUP(tbl_MTG_Set[[#This Row],[Type Name]], tbl_MTG_Set_Type[Set Type], tbl_MTG_Set_Type[Index], "(Set Type not found)")</f>
        <v>1</v>
      </c>
      <c r="J76">
        <f>_xlfn.XLOOKUP(tbl_MTG_Set[[#This Row],[Type Name]], tbl_MTG_Set_Type[Set Type], tbl_MTG_Set_Type[Buy Window Month Start], "(Set Type not found)")</f>
        <v>18</v>
      </c>
      <c r="K76" s="3">
        <f>tbl_MTG_Set[[#This Row],[Released On]]+tbl_MTG_Set[[#This Row],[Buy Window Month Start]]*365.25/12</f>
        <v>46109.875</v>
      </c>
      <c r="L76">
        <f>_xlfn.XLOOKUP(tbl_MTG_Set[[#This Row],[Type Name]], tbl_MTG_Set_Type[Set Type], tbl_MTG_Set_Type[Buy Window Month End], "(Set Type not found)", 0, 1)</f>
        <v>24</v>
      </c>
      <c r="M76" s="3">
        <f>tbl_MTG_Set[[#This Row],[Released On]]+tbl_MTG_Set[[#This Row],[Buy Window Month End]]*365.25/12</f>
        <v>46292.5</v>
      </c>
      <c r="N76" s="3" t="b">
        <f ca="1">AND(NOW()&gt;=tbl_MTG_Set[[#This Row],[Buy Window Start]], NOW()&lt;=tbl_MTG_Set[[#This Row],[Buy Window End]])</f>
        <v>0</v>
      </c>
      <c r="O76">
        <f>_xlfn.XLOOKUP(tbl_MTG_Set[[#This Row],[Type Name]], tbl_MTG_Set_Type[Set Type], tbl_MTG_Set_Type[Heavy Printing Window Month Start], "(Set Type not found)", 0, 1)</f>
        <v>1</v>
      </c>
      <c r="P76" s="3">
        <f>tbl_MTG_Set[[#This Row],[Released On]]+tbl_MTG_Set[[#This Row],[Heavy Printing Window Month Start]]*365.25/12</f>
        <v>45592.4375</v>
      </c>
      <c r="Q76">
        <f>_xlfn.XLOOKUP(tbl_MTG_Set[[#This Row],[Type Name]], tbl_MTG_Set_Type[Set Type], tbl_MTG_Set_Type[Heavy Printing Window Month End], "(Set Type not found)", 0, 1)</f>
        <v>18</v>
      </c>
      <c r="R76" s="3">
        <f>tbl_MTG_Set[[#This Row],[Released On]]+tbl_MTG_Set[[#This Row],[Heavy Printing Window Month End]]*365.25/12</f>
        <v>46109.875</v>
      </c>
      <c r="S76" s="3" t="b">
        <f ca="1">AND(NOW()&gt;=tbl_MTG_Set[[#This Row],[Heavy Printing Window Start]], NOW()&lt;=tbl_MTG_Set[[#This Row],[Heavy Printing Window End]])</f>
        <v>1</v>
      </c>
      <c r="T76">
        <f>_xlfn.XLOOKUP(tbl_MTG_Set[[#This Row],[Type Name]], tbl_MTG_Set_Type[Set Type], tbl_MTG_Set_Type[Sell Window Month Start], "(Set Type not found)", 0, 1)</f>
        <v>36</v>
      </c>
      <c r="U76" s="3">
        <f>tbl_MTG_Set[[#This Row],[Released On]]+tbl_MTG_Set[[#This Row],[Sell Window Month Start]]*365.25/12</f>
        <v>46657.75</v>
      </c>
      <c r="V76">
        <f>_xlfn.XLOOKUP(tbl_MTG_Set[[#This Row],[Type Name]], tbl_MTG_Set_Type[Set Type], tbl_MTG_Set_Type[Sell Window Month End], "(Set Type not found)", 0, 1)</f>
        <v>48</v>
      </c>
      <c r="W76" s="3">
        <f>tbl_MTG_Set[[#This Row],[Released On]]+tbl_MTG_Set[[#This Row],[Sell Window Month End]]*365.25/12</f>
        <v>47023</v>
      </c>
      <c r="X76" s="3" t="b">
        <f ca="1">AND(NOW()&gt;=tbl_MTG_Set[[#This Row],[Sell Window Start]], NOW()&lt;=tbl_MTG_Set[[#This Row],[Sell Window End]])</f>
        <v>0</v>
      </c>
      <c r="AG76" s="10"/>
      <c r="AH76" s="10"/>
      <c r="AM76" s="10" t="str" cm="1">
        <f t="array" ref="AM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" s="10" t="str" cm="1">
        <f t="array" ref="AN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" s="4" t="e">
        <f>_xlfn.XLOOKUP(tbl_MTG_Set[[#This Row],[Play Booster Box Product Id]], tbl_Product[Product Id], tbl_Product[Pack Size])</f>
        <v>#N/A</v>
      </c>
      <c r="AP76" s="10" t="e">
        <f>(tbl_MTG_Set[[#This Row],[Play Booster Box Cost]]+v_Item_Shipping_Cost_In)/tbl_MTG_Set[[#This Row],[Play Booster Box Size]]</f>
        <v>#VALUE!</v>
      </c>
      <c r="AQ76" s="10" t="str" cm="1">
        <f t="array" ref="AQ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" s="10"/>
      <c r="AS76" s="10"/>
      <c r="AT76" s="17" t="e">
        <f>tbl_MTG_Set[[#This Row],[Play Booster CardMarket Profit]]/tbl_MTG_Set[[#This Row],[Play Booster Cost]]</f>
        <v>#VALUE!</v>
      </c>
      <c r="AU76" s="10" t="e">
        <f>_xlfn.XLOOKUP(tbl_MTG_Set[[#This Row],[Collector Booster Box Product Id]], tbl_Product[Product Id], tbl_Product[Min Cost])</f>
        <v>#N/A</v>
      </c>
      <c r="AV76" s="10" t="e">
        <f>_xlfn.XLOOKUP(tbl_MTG_Set[[#This Row],[Collector Booster Box Product Id]], tbl_Product[Product Id], tbl_Product[Best Source])</f>
        <v>#N/A</v>
      </c>
      <c r="AW76" s="4" t="e">
        <f>_xlfn.XLOOKUP(tbl_MTG_Set[[#This Row],[Collector Booster Box Product Id]], tbl_Product[Product Id], tbl_Product[Pack Size])</f>
        <v>#N/A</v>
      </c>
      <c r="AX76" s="10" t="e">
        <f>(tbl_MTG_Set[[#This Row],[Collector Booster Box Cost]] + v_Item_Shipping_Cost_In) / tbl_MTG_Set[[#This Row],[Collector Booster Box Size]]</f>
        <v>#N/A</v>
      </c>
      <c r="AY76" s="10" t="str" cm="1">
        <f t="array" ref="AY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" s="10"/>
      <c r="BA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" s="17" t="e">
        <f>tbl_MTG_Set[[#This Row],[Collector Booster CardMarket Profit]]/tbl_MTG_Set[[#This Row],[Collector Booster Cost]]</f>
        <v>#N/A</v>
      </c>
      <c r="BC76" s="10"/>
      <c r="BF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" s="11" t="e">
        <f>tbl_MTG_Set[[#This Row],[Play Singles CardMarket Profit MTG Stocks]]/tbl_MTG_Set[[#This Row],[Play Booster Cost]]</f>
        <v>#VALUE!</v>
      </c>
      <c r="BI76" s="11" t="b">
        <f>tbl_MTG_Set[[#This Row],[Play Singles CardMarket Profit MTG Stocks]]&gt;0</f>
        <v>0</v>
      </c>
      <c r="BM76" s="10" t="e">
        <f>tbl_MTG_Set[[#This Row],[Play Booster Sell Price CardMarket]]*tbl_MTG_Set[[#This Row],[Play Booster Expected Market Value BotBox]]/tbl_MTG_Set[[#This Row],[Play Booster Sealed Market Value BotBox]]</f>
        <v>#VALUE!</v>
      </c>
      <c r="BN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" s="10" t="e">
        <f>tbl_MTG_Set[[#This Row],[Play Singles CardMarket Profit BotBox]]/tbl_MTG_Set[[#This Row],[Play Booster Cost]]</f>
        <v>#VALUE!</v>
      </c>
      <c r="BP76" s="10" t="b">
        <f>tbl_MTG_Set[[#This Row],[Play Singles CardMarket Profit BotBox]]&gt;0</f>
        <v>0</v>
      </c>
      <c r="BQ76" s="10"/>
      <c r="BR76" s="10"/>
      <c r="BS76" s="10"/>
      <c r="BT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" s="19" t="e">
        <f>tbl_MTG_Set[[#This Row],[Collector Singles CardMarket Profit MTG Stocks]]/tbl_MTG_Set[[#This Row],[Collector Booster Cost]]</f>
        <v>#N/A</v>
      </c>
      <c r="BW76" s="10" t="b">
        <f>tbl_MTG_Set[[#This Row],[Collector Singles CardMarket Profit MTG Stocks]]&gt;0</f>
        <v>0</v>
      </c>
      <c r="BX76" s="10"/>
      <c r="BY76" s="10"/>
      <c r="BZ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" s="10" t="e">
        <f>tbl_MTG_Set[[#This Row],[Collector Singles CardMarket Profit BotBox]]/tbl_MTG_Set[[#This Row],[Collector Booster Cost]]</f>
        <v>#N/A</v>
      </c>
      <c r="CC76" s="10" t="b">
        <f>tbl_MTG_Set[[#This Row],[Collector Singles CardMarket Profit BotBox]]&gt;0</f>
        <v>0</v>
      </c>
      <c r="CD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" spans="1:86" hidden="1">
      <c r="A77">
        <v>84</v>
      </c>
      <c r="B77" t="s">
        <v>250</v>
      </c>
      <c r="C77">
        <v>30</v>
      </c>
      <c r="D77" s="3">
        <v>45580</v>
      </c>
      <c r="E77" t="s">
        <v>59</v>
      </c>
      <c r="F77" t="s">
        <v>174</v>
      </c>
      <c r="G77">
        <v>114</v>
      </c>
      <c r="H77">
        <f ca="1">MONTH(NOW())+12*YEAR(NOW())-MONTH(tbl_MTG_Set[[#This Row],[Released On]])-12*YEAR(tbl_MTG_Set[[#This Row],[Released On]])</f>
        <v>17</v>
      </c>
      <c r="I77">
        <f>_xlfn.XLOOKUP(tbl_MTG_Set[[#This Row],[Type Name]], tbl_MTG_Set_Type[Set Type], tbl_MTG_Set_Type[Index], "(Set Type not found)")</f>
        <v>1</v>
      </c>
      <c r="J77">
        <f>_xlfn.XLOOKUP(tbl_MTG_Set[[#This Row],[Type Name]], tbl_MTG_Set_Type[Set Type], tbl_MTG_Set_Type[Buy Window Month Start], "(Set Type not found)")</f>
        <v>18</v>
      </c>
      <c r="K77" s="3">
        <f>tbl_MTG_Set[[#This Row],[Released On]]+tbl_MTG_Set[[#This Row],[Buy Window Month Start]]*365.25/12</f>
        <v>46127.875</v>
      </c>
      <c r="L77">
        <f>_xlfn.XLOOKUP(tbl_MTG_Set[[#This Row],[Type Name]], tbl_MTG_Set_Type[Set Type], tbl_MTG_Set_Type[Buy Window Month End], "(Set Type not found)", 0, 1)</f>
        <v>24</v>
      </c>
      <c r="M77" s="3">
        <f>tbl_MTG_Set[[#This Row],[Released On]]+tbl_MTG_Set[[#This Row],[Buy Window Month End]]*365.25/12</f>
        <v>46310.5</v>
      </c>
      <c r="N77" s="3" t="b">
        <f ca="1">AND(NOW()&gt;=tbl_MTG_Set[[#This Row],[Buy Window Start]], NOW()&lt;=tbl_MTG_Set[[#This Row],[Buy Window End]])</f>
        <v>0</v>
      </c>
      <c r="O77">
        <f>_xlfn.XLOOKUP(tbl_MTG_Set[[#This Row],[Type Name]], tbl_MTG_Set_Type[Set Type], tbl_MTG_Set_Type[Heavy Printing Window Month Start], "(Set Type not found)", 0, 1)</f>
        <v>1</v>
      </c>
      <c r="P77" s="3">
        <f>tbl_MTG_Set[[#This Row],[Released On]]+tbl_MTG_Set[[#This Row],[Heavy Printing Window Month Start]]*365.25/12</f>
        <v>45610.4375</v>
      </c>
      <c r="Q77">
        <f>_xlfn.XLOOKUP(tbl_MTG_Set[[#This Row],[Type Name]], tbl_MTG_Set_Type[Set Type], tbl_MTG_Set_Type[Heavy Printing Window Month End], "(Set Type not found)", 0, 1)</f>
        <v>18</v>
      </c>
      <c r="R77" s="3">
        <f>tbl_MTG_Set[[#This Row],[Released On]]+tbl_MTG_Set[[#This Row],[Heavy Printing Window Month End]]*365.25/12</f>
        <v>46127.875</v>
      </c>
      <c r="S77" s="3" t="b">
        <f ca="1">AND(NOW()&gt;=tbl_MTG_Set[[#This Row],[Heavy Printing Window Start]], NOW()&lt;=tbl_MTG_Set[[#This Row],[Heavy Printing Window End]])</f>
        <v>1</v>
      </c>
      <c r="T77">
        <f>_xlfn.XLOOKUP(tbl_MTG_Set[[#This Row],[Type Name]], tbl_MTG_Set_Type[Set Type], tbl_MTG_Set_Type[Sell Window Month Start], "(Set Type not found)", 0, 1)</f>
        <v>36</v>
      </c>
      <c r="U77" s="3">
        <f>tbl_MTG_Set[[#This Row],[Released On]]+tbl_MTG_Set[[#This Row],[Sell Window Month Start]]*365.25/12</f>
        <v>46675.75</v>
      </c>
      <c r="V77">
        <f>_xlfn.XLOOKUP(tbl_MTG_Set[[#This Row],[Type Name]], tbl_MTG_Set_Type[Set Type], tbl_MTG_Set_Type[Sell Window Month End], "(Set Type not found)", 0, 1)</f>
        <v>48</v>
      </c>
      <c r="W77" s="3">
        <f>tbl_MTG_Set[[#This Row],[Released On]]+tbl_MTG_Set[[#This Row],[Sell Window Month End]]*365.25/12</f>
        <v>47041</v>
      </c>
      <c r="X77" s="3" t="b">
        <f ca="1">AND(NOW()&gt;=tbl_MTG_Set[[#This Row],[Sell Window Start]], NOW()&lt;=tbl_MTG_Set[[#This Row],[Sell Window End]])</f>
        <v>0</v>
      </c>
      <c r="AG77" s="10"/>
      <c r="AH77" s="10"/>
      <c r="AM77" s="10" t="str" cm="1">
        <f t="array" ref="AM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" s="10" t="str" cm="1">
        <f t="array" ref="AN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" s="4" t="e">
        <f>_xlfn.XLOOKUP(tbl_MTG_Set[[#This Row],[Play Booster Box Product Id]], tbl_Product[Product Id], tbl_Product[Pack Size])</f>
        <v>#N/A</v>
      </c>
      <c r="AP77" s="10" t="e">
        <f>(tbl_MTG_Set[[#This Row],[Play Booster Box Cost]]+v_Item_Shipping_Cost_In)/tbl_MTG_Set[[#This Row],[Play Booster Box Size]]</f>
        <v>#VALUE!</v>
      </c>
      <c r="AQ77" s="10" t="str" cm="1">
        <f t="array" ref="AQ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" s="10"/>
      <c r="AS77" s="10"/>
      <c r="AT77" s="17" t="e">
        <f>tbl_MTG_Set[[#This Row],[Play Booster CardMarket Profit]]/tbl_MTG_Set[[#This Row],[Play Booster Cost]]</f>
        <v>#VALUE!</v>
      </c>
      <c r="AU77" s="10" t="e">
        <f>_xlfn.XLOOKUP(tbl_MTG_Set[[#This Row],[Collector Booster Box Product Id]], tbl_Product[Product Id], tbl_Product[Min Cost])</f>
        <v>#N/A</v>
      </c>
      <c r="AV77" s="10" t="e">
        <f>_xlfn.XLOOKUP(tbl_MTG_Set[[#This Row],[Collector Booster Box Product Id]], tbl_Product[Product Id], tbl_Product[Best Source])</f>
        <v>#N/A</v>
      </c>
      <c r="AW77" s="4" t="e">
        <f>_xlfn.XLOOKUP(tbl_MTG_Set[[#This Row],[Collector Booster Box Product Id]], tbl_Product[Product Id], tbl_Product[Pack Size])</f>
        <v>#N/A</v>
      </c>
      <c r="AX77" s="10" t="e">
        <f>(tbl_MTG_Set[[#This Row],[Collector Booster Box Cost]] + v_Item_Shipping_Cost_In) / tbl_MTG_Set[[#This Row],[Collector Booster Box Size]]</f>
        <v>#N/A</v>
      </c>
      <c r="AY77" s="10" t="str" cm="1">
        <f t="array" ref="AY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" s="10"/>
      <c r="BA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" s="17" t="e">
        <f>tbl_MTG_Set[[#This Row],[Collector Booster CardMarket Profit]]/tbl_MTG_Set[[#This Row],[Collector Booster Cost]]</f>
        <v>#N/A</v>
      </c>
      <c r="BC77" s="10"/>
      <c r="BF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" s="11" t="e">
        <f>tbl_MTG_Set[[#This Row],[Play Singles CardMarket Profit MTG Stocks]]/tbl_MTG_Set[[#This Row],[Play Booster Cost]]</f>
        <v>#VALUE!</v>
      </c>
      <c r="BI77" s="11" t="b">
        <f>tbl_MTG_Set[[#This Row],[Play Singles CardMarket Profit MTG Stocks]]&gt;0</f>
        <v>0</v>
      </c>
      <c r="BM77" s="10" t="e">
        <f>tbl_MTG_Set[[#This Row],[Play Booster Sell Price CardMarket]]*tbl_MTG_Set[[#This Row],[Play Booster Expected Market Value BotBox]]/tbl_MTG_Set[[#This Row],[Play Booster Sealed Market Value BotBox]]</f>
        <v>#VALUE!</v>
      </c>
      <c r="BN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" s="10" t="e">
        <f>tbl_MTG_Set[[#This Row],[Play Singles CardMarket Profit BotBox]]/tbl_MTG_Set[[#This Row],[Play Booster Cost]]</f>
        <v>#VALUE!</v>
      </c>
      <c r="BP77" s="10" t="b">
        <f>tbl_MTG_Set[[#This Row],[Play Singles CardMarket Profit BotBox]]&gt;0</f>
        <v>0</v>
      </c>
      <c r="BQ77" s="10"/>
      <c r="BR77" s="10"/>
      <c r="BS77" s="10"/>
      <c r="BT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" s="19" t="e">
        <f>tbl_MTG_Set[[#This Row],[Collector Singles CardMarket Profit MTG Stocks]]/tbl_MTG_Set[[#This Row],[Collector Booster Cost]]</f>
        <v>#N/A</v>
      </c>
      <c r="BW77" s="10" t="b">
        <f>tbl_MTG_Set[[#This Row],[Collector Singles CardMarket Profit MTG Stocks]]&gt;0</f>
        <v>0</v>
      </c>
      <c r="BX77" s="10"/>
      <c r="BY77" s="10"/>
      <c r="BZ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" s="10" t="e">
        <f>tbl_MTG_Set[[#This Row],[Collector Singles CardMarket Profit BotBox]]/tbl_MTG_Set[[#This Row],[Collector Booster Cost]]</f>
        <v>#N/A</v>
      </c>
      <c r="CC77" s="10" t="b">
        <f>tbl_MTG_Set[[#This Row],[Collector Singles CardMarket Profit BotBox]]&gt;0</f>
        <v>0</v>
      </c>
      <c r="CD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" spans="1:86" hidden="1">
      <c r="A78">
        <v>85</v>
      </c>
      <c r="B78" t="s">
        <v>251</v>
      </c>
      <c r="C78">
        <v>373</v>
      </c>
      <c r="D78" s="3">
        <v>45562</v>
      </c>
      <c r="E78" t="s">
        <v>59</v>
      </c>
      <c r="F78" t="s">
        <v>174</v>
      </c>
      <c r="G78">
        <v>116</v>
      </c>
      <c r="H78">
        <f ca="1">MONTH(NOW())+12*YEAR(NOW())-MONTH(tbl_MTG_Set[[#This Row],[Released On]])-12*YEAR(tbl_MTG_Set[[#This Row],[Released On]])</f>
        <v>18</v>
      </c>
      <c r="I78">
        <f>_xlfn.XLOOKUP(tbl_MTG_Set[[#This Row],[Type Name]], tbl_MTG_Set_Type[Set Type], tbl_MTG_Set_Type[Index], "(Set Type not found)")</f>
        <v>1</v>
      </c>
      <c r="J78">
        <f>_xlfn.XLOOKUP(tbl_MTG_Set[[#This Row],[Type Name]], tbl_MTG_Set_Type[Set Type], tbl_MTG_Set_Type[Buy Window Month Start], "(Set Type not found)")</f>
        <v>18</v>
      </c>
      <c r="K78" s="3">
        <f>tbl_MTG_Set[[#This Row],[Released On]]+tbl_MTG_Set[[#This Row],[Buy Window Month Start]]*365.25/12</f>
        <v>46109.875</v>
      </c>
      <c r="L78">
        <f>_xlfn.XLOOKUP(tbl_MTG_Set[[#This Row],[Type Name]], tbl_MTG_Set_Type[Set Type], tbl_MTG_Set_Type[Buy Window Month End], "(Set Type not found)", 0, 1)</f>
        <v>24</v>
      </c>
      <c r="M78" s="3">
        <f>tbl_MTG_Set[[#This Row],[Released On]]+tbl_MTG_Set[[#This Row],[Buy Window Month End]]*365.25/12</f>
        <v>46292.5</v>
      </c>
      <c r="N78" s="3" t="b">
        <f ca="1">AND(NOW()&gt;=tbl_MTG_Set[[#This Row],[Buy Window Start]], NOW()&lt;=tbl_MTG_Set[[#This Row],[Buy Window End]])</f>
        <v>0</v>
      </c>
      <c r="O78">
        <f>_xlfn.XLOOKUP(tbl_MTG_Set[[#This Row],[Type Name]], tbl_MTG_Set_Type[Set Type], tbl_MTG_Set_Type[Heavy Printing Window Month Start], "(Set Type not found)", 0, 1)</f>
        <v>1</v>
      </c>
      <c r="P78" s="3">
        <f>tbl_MTG_Set[[#This Row],[Released On]]+tbl_MTG_Set[[#This Row],[Heavy Printing Window Month Start]]*365.25/12</f>
        <v>45592.4375</v>
      </c>
      <c r="Q78">
        <f>_xlfn.XLOOKUP(tbl_MTG_Set[[#This Row],[Type Name]], tbl_MTG_Set_Type[Set Type], tbl_MTG_Set_Type[Heavy Printing Window Month End], "(Set Type not found)", 0, 1)</f>
        <v>18</v>
      </c>
      <c r="R78" s="3">
        <f>tbl_MTG_Set[[#This Row],[Released On]]+tbl_MTG_Set[[#This Row],[Heavy Printing Window Month End]]*365.25/12</f>
        <v>46109.875</v>
      </c>
      <c r="S78" s="3" t="b">
        <f ca="1">AND(NOW()&gt;=tbl_MTG_Set[[#This Row],[Heavy Printing Window Start]], NOW()&lt;=tbl_MTG_Set[[#This Row],[Heavy Printing Window End]])</f>
        <v>1</v>
      </c>
      <c r="T78">
        <f>_xlfn.XLOOKUP(tbl_MTG_Set[[#This Row],[Type Name]], tbl_MTG_Set_Type[Set Type], tbl_MTG_Set_Type[Sell Window Month Start], "(Set Type not found)", 0, 1)</f>
        <v>36</v>
      </c>
      <c r="U78" s="3">
        <f>tbl_MTG_Set[[#This Row],[Released On]]+tbl_MTG_Set[[#This Row],[Sell Window Month Start]]*365.25/12</f>
        <v>46657.75</v>
      </c>
      <c r="V78">
        <f>_xlfn.XLOOKUP(tbl_MTG_Set[[#This Row],[Type Name]], tbl_MTG_Set_Type[Set Type], tbl_MTG_Set_Type[Sell Window Month End], "(Set Type not found)", 0, 1)</f>
        <v>48</v>
      </c>
      <c r="W78" s="3">
        <f>tbl_MTG_Set[[#This Row],[Released On]]+tbl_MTG_Set[[#This Row],[Sell Window Month End]]*365.25/12</f>
        <v>47023</v>
      </c>
      <c r="X78" s="3" t="b">
        <f ca="1">AND(NOW()&gt;=tbl_MTG_Set[[#This Row],[Sell Window Start]], NOW()&lt;=tbl_MTG_Set[[#This Row],[Sell Window End]])</f>
        <v>0</v>
      </c>
      <c r="AG78" s="10"/>
      <c r="AH78" s="10"/>
      <c r="AM78" s="10" t="str" cm="1">
        <f t="array" ref="AM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" s="10" t="str" cm="1">
        <f t="array" ref="AN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" s="4" t="e">
        <f>_xlfn.XLOOKUP(tbl_MTG_Set[[#This Row],[Play Booster Box Product Id]], tbl_Product[Product Id], tbl_Product[Pack Size])</f>
        <v>#N/A</v>
      </c>
      <c r="AP78" s="10" t="e">
        <f>(tbl_MTG_Set[[#This Row],[Play Booster Box Cost]]+v_Item_Shipping_Cost_In)/tbl_MTG_Set[[#This Row],[Play Booster Box Size]]</f>
        <v>#VALUE!</v>
      </c>
      <c r="AQ78" s="10" t="str" cm="1">
        <f t="array" ref="AQ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" s="10"/>
      <c r="AS78" s="10"/>
      <c r="AT78" s="17" t="e">
        <f>tbl_MTG_Set[[#This Row],[Play Booster CardMarket Profit]]/tbl_MTG_Set[[#This Row],[Play Booster Cost]]</f>
        <v>#VALUE!</v>
      </c>
      <c r="AU78" s="10" t="e">
        <f>_xlfn.XLOOKUP(tbl_MTG_Set[[#This Row],[Collector Booster Box Product Id]], tbl_Product[Product Id], tbl_Product[Min Cost])</f>
        <v>#N/A</v>
      </c>
      <c r="AV78" s="10" t="e">
        <f>_xlfn.XLOOKUP(tbl_MTG_Set[[#This Row],[Collector Booster Box Product Id]], tbl_Product[Product Id], tbl_Product[Best Source])</f>
        <v>#N/A</v>
      </c>
      <c r="AW78" s="4" t="e">
        <f>_xlfn.XLOOKUP(tbl_MTG_Set[[#This Row],[Collector Booster Box Product Id]], tbl_Product[Product Id], tbl_Product[Pack Size])</f>
        <v>#N/A</v>
      </c>
      <c r="AX78" s="10" t="e">
        <f>(tbl_MTG_Set[[#This Row],[Collector Booster Box Cost]] + v_Item_Shipping_Cost_In) / tbl_MTG_Set[[#This Row],[Collector Booster Box Size]]</f>
        <v>#N/A</v>
      </c>
      <c r="AY78" s="10" t="str" cm="1">
        <f t="array" ref="AY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" s="10"/>
      <c r="BA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" s="17" t="e">
        <f>tbl_MTG_Set[[#This Row],[Collector Booster CardMarket Profit]]/tbl_MTG_Set[[#This Row],[Collector Booster Cost]]</f>
        <v>#N/A</v>
      </c>
      <c r="BC78" s="10"/>
      <c r="BF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" s="11" t="e">
        <f>tbl_MTG_Set[[#This Row],[Play Singles CardMarket Profit MTG Stocks]]/tbl_MTG_Set[[#This Row],[Play Booster Cost]]</f>
        <v>#VALUE!</v>
      </c>
      <c r="BI78" s="11" t="b">
        <f>tbl_MTG_Set[[#This Row],[Play Singles CardMarket Profit MTG Stocks]]&gt;0</f>
        <v>0</v>
      </c>
      <c r="BM78" s="10" t="e">
        <f>tbl_MTG_Set[[#This Row],[Play Booster Sell Price CardMarket]]*tbl_MTG_Set[[#This Row],[Play Booster Expected Market Value BotBox]]/tbl_MTG_Set[[#This Row],[Play Booster Sealed Market Value BotBox]]</f>
        <v>#VALUE!</v>
      </c>
      <c r="BN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" s="10" t="e">
        <f>tbl_MTG_Set[[#This Row],[Play Singles CardMarket Profit BotBox]]/tbl_MTG_Set[[#This Row],[Play Booster Cost]]</f>
        <v>#VALUE!</v>
      </c>
      <c r="BP78" s="10" t="b">
        <f>tbl_MTG_Set[[#This Row],[Play Singles CardMarket Profit BotBox]]&gt;0</f>
        <v>0</v>
      </c>
      <c r="BQ78" s="10"/>
      <c r="BR78" s="10"/>
      <c r="BS78" s="10"/>
      <c r="BT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" s="19" t="e">
        <f>tbl_MTG_Set[[#This Row],[Collector Singles CardMarket Profit MTG Stocks]]/tbl_MTG_Set[[#This Row],[Collector Booster Cost]]</f>
        <v>#N/A</v>
      </c>
      <c r="BW78" s="10" t="b">
        <f>tbl_MTG_Set[[#This Row],[Collector Singles CardMarket Profit MTG Stocks]]&gt;0</f>
        <v>0</v>
      </c>
      <c r="BX78" s="10"/>
      <c r="BY78" s="10"/>
      <c r="BZ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" s="10" t="e">
        <f>tbl_MTG_Set[[#This Row],[Collector Singles CardMarket Profit BotBox]]/tbl_MTG_Set[[#This Row],[Collector Booster Cost]]</f>
        <v>#N/A</v>
      </c>
      <c r="CC78" s="10" t="b">
        <f>tbl_MTG_Set[[#This Row],[Collector Singles CardMarket Profit BotBox]]&gt;0</f>
        <v>0</v>
      </c>
      <c r="CD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" spans="1:86" hidden="1">
      <c r="A79">
        <v>86</v>
      </c>
      <c r="B79" t="s">
        <v>252</v>
      </c>
      <c r="C79">
        <v>23</v>
      </c>
      <c r="D79" s="3">
        <v>45562</v>
      </c>
      <c r="E79" t="s">
        <v>59</v>
      </c>
      <c r="F79" t="s">
        <v>174</v>
      </c>
      <c r="G79">
        <v>118</v>
      </c>
      <c r="H79">
        <f ca="1">MONTH(NOW())+12*YEAR(NOW())-MONTH(tbl_MTG_Set[[#This Row],[Released On]])-12*YEAR(tbl_MTG_Set[[#This Row],[Released On]])</f>
        <v>18</v>
      </c>
      <c r="I79">
        <f>_xlfn.XLOOKUP(tbl_MTG_Set[[#This Row],[Type Name]], tbl_MTG_Set_Type[Set Type], tbl_MTG_Set_Type[Index], "(Set Type not found)")</f>
        <v>1</v>
      </c>
      <c r="J79">
        <f>_xlfn.XLOOKUP(tbl_MTG_Set[[#This Row],[Type Name]], tbl_MTG_Set_Type[Set Type], tbl_MTG_Set_Type[Buy Window Month Start], "(Set Type not found)")</f>
        <v>18</v>
      </c>
      <c r="K79" s="3">
        <f>tbl_MTG_Set[[#This Row],[Released On]]+tbl_MTG_Set[[#This Row],[Buy Window Month Start]]*365.25/12</f>
        <v>46109.875</v>
      </c>
      <c r="L79">
        <f>_xlfn.XLOOKUP(tbl_MTG_Set[[#This Row],[Type Name]], tbl_MTG_Set_Type[Set Type], tbl_MTG_Set_Type[Buy Window Month End], "(Set Type not found)", 0, 1)</f>
        <v>24</v>
      </c>
      <c r="M79" s="3">
        <f>tbl_MTG_Set[[#This Row],[Released On]]+tbl_MTG_Set[[#This Row],[Buy Window Month End]]*365.25/12</f>
        <v>46292.5</v>
      </c>
      <c r="N79" s="3" t="b">
        <f ca="1">AND(NOW()&gt;=tbl_MTG_Set[[#This Row],[Buy Window Start]], NOW()&lt;=tbl_MTG_Set[[#This Row],[Buy Window End]])</f>
        <v>0</v>
      </c>
      <c r="O79">
        <f>_xlfn.XLOOKUP(tbl_MTG_Set[[#This Row],[Type Name]], tbl_MTG_Set_Type[Set Type], tbl_MTG_Set_Type[Heavy Printing Window Month Start], "(Set Type not found)", 0, 1)</f>
        <v>1</v>
      </c>
      <c r="P79" s="3">
        <f>tbl_MTG_Set[[#This Row],[Released On]]+tbl_MTG_Set[[#This Row],[Heavy Printing Window Month Start]]*365.25/12</f>
        <v>45592.4375</v>
      </c>
      <c r="Q79">
        <f>_xlfn.XLOOKUP(tbl_MTG_Set[[#This Row],[Type Name]], tbl_MTG_Set_Type[Set Type], tbl_MTG_Set_Type[Heavy Printing Window Month End], "(Set Type not found)", 0, 1)</f>
        <v>18</v>
      </c>
      <c r="R79" s="3">
        <f>tbl_MTG_Set[[#This Row],[Released On]]+tbl_MTG_Set[[#This Row],[Heavy Printing Window Month End]]*365.25/12</f>
        <v>46109.875</v>
      </c>
      <c r="S79" s="3" t="b">
        <f ca="1">AND(NOW()&gt;=tbl_MTG_Set[[#This Row],[Heavy Printing Window Start]], NOW()&lt;=tbl_MTG_Set[[#This Row],[Heavy Printing Window End]])</f>
        <v>1</v>
      </c>
      <c r="T79">
        <f>_xlfn.XLOOKUP(tbl_MTG_Set[[#This Row],[Type Name]], tbl_MTG_Set_Type[Set Type], tbl_MTG_Set_Type[Sell Window Month Start], "(Set Type not found)", 0, 1)</f>
        <v>36</v>
      </c>
      <c r="U79" s="3">
        <f>tbl_MTG_Set[[#This Row],[Released On]]+tbl_MTG_Set[[#This Row],[Sell Window Month Start]]*365.25/12</f>
        <v>46657.75</v>
      </c>
      <c r="V79">
        <f>_xlfn.XLOOKUP(tbl_MTG_Set[[#This Row],[Type Name]], tbl_MTG_Set_Type[Set Type], tbl_MTG_Set_Type[Sell Window Month End], "(Set Type not found)", 0, 1)</f>
        <v>48</v>
      </c>
      <c r="W79" s="3">
        <f>tbl_MTG_Set[[#This Row],[Released On]]+tbl_MTG_Set[[#This Row],[Sell Window Month End]]*365.25/12</f>
        <v>47023</v>
      </c>
      <c r="X79" s="3" t="b">
        <f ca="1">AND(NOW()&gt;=tbl_MTG_Set[[#This Row],[Sell Window Start]], NOW()&lt;=tbl_MTG_Set[[#This Row],[Sell Window End]])</f>
        <v>0</v>
      </c>
      <c r="AG79" s="10"/>
      <c r="AH79" s="10"/>
      <c r="AM79" s="10" t="str" cm="1">
        <f t="array" ref="AM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" s="10" t="str" cm="1">
        <f t="array" ref="AN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" s="4" t="e">
        <f>_xlfn.XLOOKUP(tbl_MTG_Set[[#This Row],[Play Booster Box Product Id]], tbl_Product[Product Id], tbl_Product[Pack Size])</f>
        <v>#N/A</v>
      </c>
      <c r="AP79" s="10" t="e">
        <f>(tbl_MTG_Set[[#This Row],[Play Booster Box Cost]]+v_Item_Shipping_Cost_In)/tbl_MTG_Set[[#This Row],[Play Booster Box Size]]</f>
        <v>#VALUE!</v>
      </c>
      <c r="AQ79" s="10" t="str" cm="1">
        <f t="array" ref="AQ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" s="10"/>
      <c r="AS79" s="10"/>
      <c r="AT79" s="17" t="e">
        <f>tbl_MTG_Set[[#This Row],[Play Booster CardMarket Profit]]/tbl_MTG_Set[[#This Row],[Play Booster Cost]]</f>
        <v>#VALUE!</v>
      </c>
      <c r="AU79" s="10" t="e">
        <f>_xlfn.XLOOKUP(tbl_MTG_Set[[#This Row],[Collector Booster Box Product Id]], tbl_Product[Product Id], tbl_Product[Min Cost])</f>
        <v>#N/A</v>
      </c>
      <c r="AV79" s="10" t="e">
        <f>_xlfn.XLOOKUP(tbl_MTG_Set[[#This Row],[Collector Booster Box Product Id]], tbl_Product[Product Id], tbl_Product[Best Source])</f>
        <v>#N/A</v>
      </c>
      <c r="AW79" s="4" t="e">
        <f>_xlfn.XLOOKUP(tbl_MTG_Set[[#This Row],[Collector Booster Box Product Id]], tbl_Product[Product Id], tbl_Product[Pack Size])</f>
        <v>#N/A</v>
      </c>
      <c r="AX79" s="10" t="e">
        <f>(tbl_MTG_Set[[#This Row],[Collector Booster Box Cost]] + v_Item_Shipping_Cost_In) / tbl_MTG_Set[[#This Row],[Collector Booster Box Size]]</f>
        <v>#N/A</v>
      </c>
      <c r="AY79" s="10" t="str" cm="1">
        <f t="array" ref="AY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" s="10"/>
      <c r="BA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" s="17" t="e">
        <f>tbl_MTG_Set[[#This Row],[Collector Booster CardMarket Profit]]/tbl_MTG_Set[[#This Row],[Collector Booster Cost]]</f>
        <v>#N/A</v>
      </c>
      <c r="BC79" s="10"/>
      <c r="BF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" s="11" t="e">
        <f>tbl_MTG_Set[[#This Row],[Play Singles CardMarket Profit MTG Stocks]]/tbl_MTG_Set[[#This Row],[Play Booster Cost]]</f>
        <v>#VALUE!</v>
      </c>
      <c r="BI79" s="11" t="b">
        <f>tbl_MTG_Set[[#This Row],[Play Singles CardMarket Profit MTG Stocks]]&gt;0</f>
        <v>0</v>
      </c>
      <c r="BM79" s="10" t="e">
        <f>tbl_MTG_Set[[#This Row],[Play Booster Sell Price CardMarket]]*tbl_MTG_Set[[#This Row],[Play Booster Expected Market Value BotBox]]/tbl_MTG_Set[[#This Row],[Play Booster Sealed Market Value BotBox]]</f>
        <v>#VALUE!</v>
      </c>
      <c r="BN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" s="10" t="e">
        <f>tbl_MTG_Set[[#This Row],[Play Singles CardMarket Profit BotBox]]/tbl_MTG_Set[[#This Row],[Play Booster Cost]]</f>
        <v>#VALUE!</v>
      </c>
      <c r="BP79" s="10" t="b">
        <f>tbl_MTG_Set[[#This Row],[Play Singles CardMarket Profit BotBox]]&gt;0</f>
        <v>0</v>
      </c>
      <c r="BQ79" s="10"/>
      <c r="BR79" s="10"/>
      <c r="BS79" s="10"/>
      <c r="BT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" s="19" t="e">
        <f>tbl_MTG_Set[[#This Row],[Collector Singles CardMarket Profit MTG Stocks]]/tbl_MTG_Set[[#This Row],[Collector Booster Cost]]</f>
        <v>#N/A</v>
      </c>
      <c r="BW79" s="10" t="b">
        <f>tbl_MTG_Set[[#This Row],[Collector Singles CardMarket Profit MTG Stocks]]&gt;0</f>
        <v>0</v>
      </c>
      <c r="BX79" s="10"/>
      <c r="BY79" s="10"/>
      <c r="BZ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" s="10" t="e">
        <f>tbl_MTG_Set[[#This Row],[Collector Singles CardMarket Profit BotBox]]/tbl_MTG_Set[[#This Row],[Collector Booster Cost]]</f>
        <v>#N/A</v>
      </c>
      <c r="CC79" s="10" t="b">
        <f>tbl_MTG_Set[[#This Row],[Collector Singles CardMarket Profit BotBox]]&gt;0</f>
        <v>0</v>
      </c>
      <c r="CD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" spans="1:86" hidden="1">
      <c r="A80">
        <v>87</v>
      </c>
      <c r="B80" t="s">
        <v>253</v>
      </c>
      <c r="C80">
        <v>54</v>
      </c>
      <c r="D80" s="3">
        <v>45562</v>
      </c>
      <c r="E80" t="s">
        <v>59</v>
      </c>
      <c r="F80" t="s">
        <v>174</v>
      </c>
      <c r="G80">
        <v>120</v>
      </c>
      <c r="H80">
        <f ca="1">MONTH(NOW())+12*YEAR(NOW())-MONTH(tbl_MTG_Set[[#This Row],[Released On]])-12*YEAR(tbl_MTG_Set[[#This Row],[Released On]])</f>
        <v>18</v>
      </c>
      <c r="I80">
        <f>_xlfn.XLOOKUP(tbl_MTG_Set[[#This Row],[Type Name]], tbl_MTG_Set_Type[Set Type], tbl_MTG_Set_Type[Index], "(Set Type not found)")</f>
        <v>1</v>
      </c>
      <c r="J80">
        <f>_xlfn.XLOOKUP(tbl_MTG_Set[[#This Row],[Type Name]], tbl_MTG_Set_Type[Set Type], tbl_MTG_Set_Type[Buy Window Month Start], "(Set Type not found)")</f>
        <v>18</v>
      </c>
      <c r="K80" s="3">
        <f>tbl_MTG_Set[[#This Row],[Released On]]+tbl_MTG_Set[[#This Row],[Buy Window Month Start]]*365.25/12</f>
        <v>46109.875</v>
      </c>
      <c r="L80">
        <f>_xlfn.XLOOKUP(tbl_MTG_Set[[#This Row],[Type Name]], tbl_MTG_Set_Type[Set Type], tbl_MTG_Set_Type[Buy Window Month End], "(Set Type not found)", 0, 1)</f>
        <v>24</v>
      </c>
      <c r="M80" s="3">
        <f>tbl_MTG_Set[[#This Row],[Released On]]+tbl_MTG_Set[[#This Row],[Buy Window Month End]]*365.25/12</f>
        <v>46292.5</v>
      </c>
      <c r="N80" s="3" t="b">
        <f ca="1">AND(NOW()&gt;=tbl_MTG_Set[[#This Row],[Buy Window Start]], NOW()&lt;=tbl_MTG_Set[[#This Row],[Buy Window End]])</f>
        <v>0</v>
      </c>
      <c r="O80">
        <f>_xlfn.XLOOKUP(tbl_MTG_Set[[#This Row],[Type Name]], tbl_MTG_Set_Type[Set Type], tbl_MTG_Set_Type[Heavy Printing Window Month Start], "(Set Type not found)", 0, 1)</f>
        <v>1</v>
      </c>
      <c r="P80" s="3">
        <f>tbl_MTG_Set[[#This Row],[Released On]]+tbl_MTG_Set[[#This Row],[Heavy Printing Window Month Start]]*365.25/12</f>
        <v>45592.4375</v>
      </c>
      <c r="Q80">
        <f>_xlfn.XLOOKUP(tbl_MTG_Set[[#This Row],[Type Name]], tbl_MTG_Set_Type[Set Type], tbl_MTG_Set_Type[Heavy Printing Window Month End], "(Set Type not found)", 0, 1)</f>
        <v>18</v>
      </c>
      <c r="R80" s="3">
        <f>tbl_MTG_Set[[#This Row],[Released On]]+tbl_MTG_Set[[#This Row],[Heavy Printing Window Month End]]*365.25/12</f>
        <v>46109.875</v>
      </c>
      <c r="S80" s="3" t="b">
        <f ca="1">AND(NOW()&gt;=tbl_MTG_Set[[#This Row],[Heavy Printing Window Start]], NOW()&lt;=tbl_MTG_Set[[#This Row],[Heavy Printing Window End]])</f>
        <v>1</v>
      </c>
      <c r="T80">
        <f>_xlfn.XLOOKUP(tbl_MTG_Set[[#This Row],[Type Name]], tbl_MTG_Set_Type[Set Type], tbl_MTG_Set_Type[Sell Window Month Start], "(Set Type not found)", 0, 1)</f>
        <v>36</v>
      </c>
      <c r="U80" s="3">
        <f>tbl_MTG_Set[[#This Row],[Released On]]+tbl_MTG_Set[[#This Row],[Sell Window Month Start]]*365.25/12</f>
        <v>46657.75</v>
      </c>
      <c r="V80">
        <f>_xlfn.XLOOKUP(tbl_MTG_Set[[#This Row],[Type Name]], tbl_MTG_Set_Type[Set Type], tbl_MTG_Set_Type[Sell Window Month End], "(Set Type not found)", 0, 1)</f>
        <v>48</v>
      </c>
      <c r="W80" s="3">
        <f>tbl_MTG_Set[[#This Row],[Released On]]+tbl_MTG_Set[[#This Row],[Sell Window Month End]]*365.25/12</f>
        <v>47023</v>
      </c>
      <c r="X80" s="3" t="b">
        <f ca="1">AND(NOW()&gt;=tbl_MTG_Set[[#This Row],[Sell Window Start]], NOW()&lt;=tbl_MTG_Set[[#This Row],[Sell Window End]])</f>
        <v>0</v>
      </c>
      <c r="AG80" s="10"/>
      <c r="AH80" s="10"/>
      <c r="AM80" s="10" t="str" cm="1">
        <f t="array" ref="AM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" s="10" t="str" cm="1">
        <f t="array" ref="AN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" s="4" t="e">
        <f>_xlfn.XLOOKUP(tbl_MTG_Set[[#This Row],[Play Booster Box Product Id]], tbl_Product[Product Id], tbl_Product[Pack Size])</f>
        <v>#N/A</v>
      </c>
      <c r="AP80" s="10" t="e">
        <f>(tbl_MTG_Set[[#This Row],[Play Booster Box Cost]]+v_Item_Shipping_Cost_In)/tbl_MTG_Set[[#This Row],[Play Booster Box Size]]</f>
        <v>#VALUE!</v>
      </c>
      <c r="AQ80" s="10" t="str" cm="1">
        <f t="array" ref="AQ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" s="10"/>
      <c r="AS80" s="10"/>
      <c r="AT80" s="17" t="e">
        <f>tbl_MTG_Set[[#This Row],[Play Booster CardMarket Profit]]/tbl_MTG_Set[[#This Row],[Play Booster Cost]]</f>
        <v>#VALUE!</v>
      </c>
      <c r="AU80" s="10" t="e">
        <f>_xlfn.XLOOKUP(tbl_MTG_Set[[#This Row],[Collector Booster Box Product Id]], tbl_Product[Product Id], tbl_Product[Min Cost])</f>
        <v>#N/A</v>
      </c>
      <c r="AV80" s="10" t="e">
        <f>_xlfn.XLOOKUP(tbl_MTG_Set[[#This Row],[Collector Booster Box Product Id]], tbl_Product[Product Id], tbl_Product[Best Source])</f>
        <v>#N/A</v>
      </c>
      <c r="AW80" s="4" t="e">
        <f>_xlfn.XLOOKUP(tbl_MTG_Set[[#This Row],[Collector Booster Box Product Id]], tbl_Product[Product Id], tbl_Product[Pack Size])</f>
        <v>#N/A</v>
      </c>
      <c r="AX80" s="10" t="e">
        <f>(tbl_MTG_Set[[#This Row],[Collector Booster Box Cost]] + v_Item_Shipping_Cost_In) / tbl_MTG_Set[[#This Row],[Collector Booster Box Size]]</f>
        <v>#N/A</v>
      </c>
      <c r="AY80" s="10" t="str" cm="1">
        <f t="array" ref="AY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" s="10"/>
      <c r="BA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" s="17" t="e">
        <f>tbl_MTG_Set[[#This Row],[Collector Booster CardMarket Profit]]/tbl_MTG_Set[[#This Row],[Collector Booster Cost]]</f>
        <v>#N/A</v>
      </c>
      <c r="BC80" s="10"/>
      <c r="BF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" s="11" t="e">
        <f>tbl_MTG_Set[[#This Row],[Play Singles CardMarket Profit MTG Stocks]]/tbl_MTG_Set[[#This Row],[Play Booster Cost]]</f>
        <v>#VALUE!</v>
      </c>
      <c r="BI80" s="11" t="b">
        <f>tbl_MTG_Set[[#This Row],[Play Singles CardMarket Profit MTG Stocks]]&gt;0</f>
        <v>0</v>
      </c>
      <c r="BM80" s="10" t="e">
        <f>tbl_MTG_Set[[#This Row],[Play Booster Sell Price CardMarket]]*tbl_MTG_Set[[#This Row],[Play Booster Expected Market Value BotBox]]/tbl_MTG_Set[[#This Row],[Play Booster Sealed Market Value BotBox]]</f>
        <v>#VALUE!</v>
      </c>
      <c r="BN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" s="10" t="e">
        <f>tbl_MTG_Set[[#This Row],[Play Singles CardMarket Profit BotBox]]/tbl_MTG_Set[[#This Row],[Play Booster Cost]]</f>
        <v>#VALUE!</v>
      </c>
      <c r="BP80" s="10" t="b">
        <f>tbl_MTG_Set[[#This Row],[Play Singles CardMarket Profit BotBox]]&gt;0</f>
        <v>0</v>
      </c>
      <c r="BQ80" s="10"/>
      <c r="BR80" s="10"/>
      <c r="BS80" s="10"/>
      <c r="BT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" s="19" t="e">
        <f>tbl_MTG_Set[[#This Row],[Collector Singles CardMarket Profit MTG Stocks]]/tbl_MTG_Set[[#This Row],[Collector Booster Cost]]</f>
        <v>#N/A</v>
      </c>
      <c r="BW80" s="10" t="b">
        <f>tbl_MTG_Set[[#This Row],[Collector Singles CardMarket Profit MTG Stocks]]&gt;0</f>
        <v>0</v>
      </c>
      <c r="BX80" s="10"/>
      <c r="BY80" s="10"/>
      <c r="BZ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" s="10" t="e">
        <f>tbl_MTG_Set[[#This Row],[Collector Singles CardMarket Profit BotBox]]/tbl_MTG_Set[[#This Row],[Collector Booster Cost]]</f>
        <v>#N/A</v>
      </c>
      <c r="CC80" s="10" t="b">
        <f>tbl_MTG_Set[[#This Row],[Collector Singles CardMarket Profit BotBox]]&gt;0</f>
        <v>0</v>
      </c>
      <c r="CD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" spans="1:86" hidden="1">
      <c r="A81">
        <v>88</v>
      </c>
      <c r="B81" t="s">
        <v>254</v>
      </c>
      <c r="C81">
        <v>7</v>
      </c>
      <c r="D81" s="3">
        <v>45510</v>
      </c>
      <c r="F81" t="s">
        <v>174</v>
      </c>
      <c r="G81">
        <v>122</v>
      </c>
      <c r="H81">
        <f ca="1">MONTH(NOW())+12*YEAR(NOW())-MONTH(tbl_MTG_Set[[#This Row],[Released On]])-12*YEAR(tbl_MTG_Set[[#This Row],[Released On]])</f>
        <v>19</v>
      </c>
      <c r="I81" t="str">
        <f>_xlfn.XLOOKUP(tbl_MTG_Set[[#This Row],[Type Name]], tbl_MTG_Set_Type[Set Type], tbl_MTG_Set_Type[Index], "(Set Type not found)")</f>
        <v>(Set Type not found)</v>
      </c>
      <c r="J81" t="str">
        <f>_xlfn.XLOOKUP(tbl_MTG_Set[[#This Row],[Type Name]], tbl_MTG_Set_Type[Set Type], tbl_MTG_Set_Type[Buy Window Month Start], "(Set Type not found)")</f>
        <v>(Set Type not found)</v>
      </c>
      <c r="K81" s="3" t="e">
        <f>tbl_MTG_Set[[#This Row],[Released On]]+tbl_MTG_Set[[#This Row],[Buy Window Month Start]]*365.25/12</f>
        <v>#VALUE!</v>
      </c>
      <c r="L81" t="str">
        <f>_xlfn.XLOOKUP(tbl_MTG_Set[[#This Row],[Type Name]], tbl_MTG_Set_Type[Set Type], tbl_MTG_Set_Type[Buy Window Month End], "(Set Type not found)", 0, 1)</f>
        <v>(Set Type not found)</v>
      </c>
      <c r="M81" s="3" t="e">
        <f>tbl_MTG_Set[[#This Row],[Released On]]+tbl_MTG_Set[[#This Row],[Buy Window Month End]]*365.25/12</f>
        <v>#VALUE!</v>
      </c>
      <c r="N81" s="3" t="e">
        <f ca="1">AND(NOW()&gt;=tbl_MTG_Set[[#This Row],[Buy Window Start]], NOW()&lt;=tbl_MTG_Set[[#This Row],[Buy Window End]])</f>
        <v>#VALUE!</v>
      </c>
      <c r="O81" t="str">
        <f>_xlfn.XLOOKUP(tbl_MTG_Set[[#This Row],[Type Name]], tbl_MTG_Set_Type[Set Type], tbl_MTG_Set_Type[Heavy Printing Window Month Start], "(Set Type not found)", 0, 1)</f>
        <v>(Set Type not found)</v>
      </c>
      <c r="P81" s="3" t="e">
        <f>tbl_MTG_Set[[#This Row],[Released On]]+tbl_MTG_Set[[#This Row],[Heavy Printing Window Month Start]]*365.25/12</f>
        <v>#VALUE!</v>
      </c>
      <c r="Q81" t="str">
        <f>_xlfn.XLOOKUP(tbl_MTG_Set[[#This Row],[Type Name]], tbl_MTG_Set_Type[Set Type], tbl_MTG_Set_Type[Heavy Printing Window Month End], "(Set Type not found)", 0, 1)</f>
        <v>(Set Type not found)</v>
      </c>
      <c r="R81" s="3" t="e">
        <f>tbl_MTG_Set[[#This Row],[Released On]]+tbl_MTG_Set[[#This Row],[Heavy Printing Window Month End]]*365.25/12</f>
        <v>#VALUE!</v>
      </c>
      <c r="S81" s="3" t="e">
        <f ca="1">AND(NOW()&gt;=tbl_MTG_Set[[#This Row],[Heavy Printing Window Start]], NOW()&lt;=tbl_MTG_Set[[#This Row],[Heavy Printing Window End]])</f>
        <v>#VALUE!</v>
      </c>
      <c r="T81" t="str">
        <f>_xlfn.XLOOKUP(tbl_MTG_Set[[#This Row],[Type Name]], tbl_MTG_Set_Type[Set Type], tbl_MTG_Set_Type[Sell Window Month Start], "(Set Type not found)", 0, 1)</f>
        <v>(Set Type not found)</v>
      </c>
      <c r="U81" s="3" t="e">
        <f>tbl_MTG_Set[[#This Row],[Released On]]+tbl_MTG_Set[[#This Row],[Sell Window Month Start]]*365.25/12</f>
        <v>#VALUE!</v>
      </c>
      <c r="V81" t="str">
        <f>_xlfn.XLOOKUP(tbl_MTG_Set[[#This Row],[Type Name]], tbl_MTG_Set_Type[Set Type], tbl_MTG_Set_Type[Sell Window Month End], "(Set Type not found)", 0, 1)</f>
        <v>(Set Type not found)</v>
      </c>
      <c r="W81" s="3" t="e">
        <f>tbl_MTG_Set[[#This Row],[Released On]]+tbl_MTG_Set[[#This Row],[Sell Window Month End]]*365.25/12</f>
        <v>#VALUE!</v>
      </c>
      <c r="X81" s="3" t="e">
        <f ca="1">AND(NOW()&gt;=tbl_MTG_Set[[#This Row],[Sell Window Start]], NOW()&lt;=tbl_MTG_Set[[#This Row],[Sell Window End]])</f>
        <v>#VALUE!</v>
      </c>
      <c r="AG81" s="10"/>
      <c r="AH81" s="10"/>
      <c r="AM81" s="10" t="str" cm="1">
        <f t="array" ref="AM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" s="10" t="str" cm="1">
        <f t="array" ref="AN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" s="4" t="e">
        <f>_xlfn.XLOOKUP(tbl_MTG_Set[[#This Row],[Play Booster Box Product Id]], tbl_Product[Product Id], tbl_Product[Pack Size])</f>
        <v>#N/A</v>
      </c>
      <c r="AP81" s="10" t="e">
        <f>(tbl_MTG_Set[[#This Row],[Play Booster Box Cost]]+v_Item_Shipping_Cost_In)/tbl_MTG_Set[[#This Row],[Play Booster Box Size]]</f>
        <v>#VALUE!</v>
      </c>
      <c r="AQ81" s="10" t="str" cm="1">
        <f t="array" ref="AQ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" s="10"/>
      <c r="AS81" s="10"/>
      <c r="AT81" s="17" t="e">
        <f>tbl_MTG_Set[[#This Row],[Play Booster CardMarket Profit]]/tbl_MTG_Set[[#This Row],[Play Booster Cost]]</f>
        <v>#VALUE!</v>
      </c>
      <c r="AU81" s="10" t="e">
        <f>_xlfn.XLOOKUP(tbl_MTG_Set[[#This Row],[Collector Booster Box Product Id]], tbl_Product[Product Id], tbl_Product[Min Cost])</f>
        <v>#N/A</v>
      </c>
      <c r="AV81" s="10" t="e">
        <f>_xlfn.XLOOKUP(tbl_MTG_Set[[#This Row],[Collector Booster Box Product Id]], tbl_Product[Product Id], tbl_Product[Best Source])</f>
        <v>#N/A</v>
      </c>
      <c r="AW81" s="4" t="e">
        <f>_xlfn.XLOOKUP(tbl_MTG_Set[[#This Row],[Collector Booster Box Product Id]], tbl_Product[Product Id], tbl_Product[Pack Size])</f>
        <v>#N/A</v>
      </c>
      <c r="AX81" s="10" t="e">
        <f>(tbl_MTG_Set[[#This Row],[Collector Booster Box Cost]] + v_Item_Shipping_Cost_In) / tbl_MTG_Set[[#This Row],[Collector Booster Box Size]]</f>
        <v>#N/A</v>
      </c>
      <c r="AY81" s="10" t="str" cm="1">
        <f t="array" ref="AY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" s="10"/>
      <c r="BA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" s="17" t="e">
        <f>tbl_MTG_Set[[#This Row],[Collector Booster CardMarket Profit]]/tbl_MTG_Set[[#This Row],[Collector Booster Cost]]</f>
        <v>#N/A</v>
      </c>
      <c r="BC81" s="10"/>
      <c r="BF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" s="11" t="e">
        <f>tbl_MTG_Set[[#This Row],[Play Singles CardMarket Profit MTG Stocks]]/tbl_MTG_Set[[#This Row],[Play Booster Cost]]</f>
        <v>#VALUE!</v>
      </c>
      <c r="BI81" s="11" t="b">
        <f>tbl_MTG_Set[[#This Row],[Play Singles CardMarket Profit MTG Stocks]]&gt;0</f>
        <v>0</v>
      </c>
      <c r="BM81" s="10" t="e">
        <f>tbl_MTG_Set[[#This Row],[Play Booster Sell Price CardMarket]]*tbl_MTG_Set[[#This Row],[Play Booster Expected Market Value BotBox]]/tbl_MTG_Set[[#This Row],[Play Booster Sealed Market Value BotBox]]</f>
        <v>#VALUE!</v>
      </c>
      <c r="BN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" s="10" t="e">
        <f>tbl_MTG_Set[[#This Row],[Play Singles CardMarket Profit BotBox]]/tbl_MTG_Set[[#This Row],[Play Booster Cost]]</f>
        <v>#VALUE!</v>
      </c>
      <c r="BP81" s="10" t="b">
        <f>tbl_MTG_Set[[#This Row],[Play Singles CardMarket Profit BotBox]]&gt;0</f>
        <v>0</v>
      </c>
      <c r="BQ81" s="10"/>
      <c r="BR81" s="10"/>
      <c r="BS81" s="10"/>
      <c r="BT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" s="19" t="e">
        <f>tbl_MTG_Set[[#This Row],[Collector Singles CardMarket Profit MTG Stocks]]/tbl_MTG_Set[[#This Row],[Collector Booster Cost]]</f>
        <v>#N/A</v>
      </c>
      <c r="BW81" s="10" t="b">
        <f>tbl_MTG_Set[[#This Row],[Collector Singles CardMarket Profit MTG Stocks]]&gt;0</f>
        <v>0</v>
      </c>
      <c r="BX81" s="10"/>
      <c r="BY81" s="10"/>
      <c r="BZ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" s="10" t="e">
        <f>tbl_MTG_Set[[#This Row],[Collector Singles CardMarket Profit BotBox]]/tbl_MTG_Set[[#This Row],[Collector Booster Cost]]</f>
        <v>#N/A</v>
      </c>
      <c r="CC81" s="10" t="b">
        <f>tbl_MTG_Set[[#This Row],[Collector Singles CardMarket Profit BotBox]]&gt;0</f>
        <v>0</v>
      </c>
      <c r="CD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" spans="1:86" hidden="1">
      <c r="A82">
        <v>89</v>
      </c>
      <c r="B82" t="s">
        <v>255</v>
      </c>
      <c r="C82">
        <v>385</v>
      </c>
      <c r="D82" s="3">
        <v>45506</v>
      </c>
      <c r="F82" t="s">
        <v>174</v>
      </c>
      <c r="G82">
        <v>124</v>
      </c>
      <c r="H82">
        <f ca="1">MONTH(NOW())+12*YEAR(NOW())-MONTH(tbl_MTG_Set[[#This Row],[Released On]])-12*YEAR(tbl_MTG_Set[[#This Row],[Released On]])</f>
        <v>19</v>
      </c>
      <c r="I82" t="str">
        <f>_xlfn.XLOOKUP(tbl_MTG_Set[[#This Row],[Type Name]], tbl_MTG_Set_Type[Set Type], tbl_MTG_Set_Type[Index], "(Set Type not found)")</f>
        <v>(Set Type not found)</v>
      </c>
      <c r="J82" t="str">
        <f>_xlfn.XLOOKUP(tbl_MTG_Set[[#This Row],[Type Name]], tbl_MTG_Set_Type[Set Type], tbl_MTG_Set_Type[Buy Window Month Start], "(Set Type not found)")</f>
        <v>(Set Type not found)</v>
      </c>
      <c r="K82" s="3" t="e">
        <f>tbl_MTG_Set[[#This Row],[Released On]]+tbl_MTG_Set[[#This Row],[Buy Window Month Start]]*365.25/12</f>
        <v>#VALUE!</v>
      </c>
      <c r="L82" t="str">
        <f>_xlfn.XLOOKUP(tbl_MTG_Set[[#This Row],[Type Name]], tbl_MTG_Set_Type[Set Type], tbl_MTG_Set_Type[Buy Window Month End], "(Set Type not found)", 0, 1)</f>
        <v>(Set Type not found)</v>
      </c>
      <c r="M82" s="3" t="e">
        <f>tbl_MTG_Set[[#This Row],[Released On]]+tbl_MTG_Set[[#This Row],[Buy Window Month End]]*365.25/12</f>
        <v>#VALUE!</v>
      </c>
      <c r="N82" s="3" t="e">
        <f ca="1">AND(NOW()&gt;=tbl_MTG_Set[[#This Row],[Buy Window Start]], NOW()&lt;=tbl_MTG_Set[[#This Row],[Buy Window End]])</f>
        <v>#VALUE!</v>
      </c>
      <c r="O82" t="str">
        <f>_xlfn.XLOOKUP(tbl_MTG_Set[[#This Row],[Type Name]], tbl_MTG_Set_Type[Set Type], tbl_MTG_Set_Type[Heavy Printing Window Month Start], "(Set Type not found)", 0, 1)</f>
        <v>(Set Type not found)</v>
      </c>
      <c r="P82" s="3" t="e">
        <f>tbl_MTG_Set[[#This Row],[Released On]]+tbl_MTG_Set[[#This Row],[Heavy Printing Window Month Start]]*365.25/12</f>
        <v>#VALUE!</v>
      </c>
      <c r="Q82" t="str">
        <f>_xlfn.XLOOKUP(tbl_MTG_Set[[#This Row],[Type Name]], tbl_MTG_Set_Type[Set Type], tbl_MTG_Set_Type[Heavy Printing Window Month End], "(Set Type not found)", 0, 1)</f>
        <v>(Set Type not found)</v>
      </c>
      <c r="R82" s="3" t="e">
        <f>tbl_MTG_Set[[#This Row],[Released On]]+tbl_MTG_Set[[#This Row],[Heavy Printing Window Month End]]*365.25/12</f>
        <v>#VALUE!</v>
      </c>
      <c r="S82" s="3" t="e">
        <f ca="1">AND(NOW()&gt;=tbl_MTG_Set[[#This Row],[Heavy Printing Window Start]], NOW()&lt;=tbl_MTG_Set[[#This Row],[Heavy Printing Window End]])</f>
        <v>#VALUE!</v>
      </c>
      <c r="T82" t="str">
        <f>_xlfn.XLOOKUP(tbl_MTG_Set[[#This Row],[Type Name]], tbl_MTG_Set_Type[Set Type], tbl_MTG_Set_Type[Sell Window Month Start], "(Set Type not found)", 0, 1)</f>
        <v>(Set Type not found)</v>
      </c>
      <c r="U82" s="3" t="e">
        <f>tbl_MTG_Set[[#This Row],[Released On]]+tbl_MTG_Set[[#This Row],[Sell Window Month Start]]*365.25/12</f>
        <v>#VALUE!</v>
      </c>
      <c r="V82" t="str">
        <f>_xlfn.XLOOKUP(tbl_MTG_Set[[#This Row],[Type Name]], tbl_MTG_Set_Type[Set Type], tbl_MTG_Set_Type[Sell Window Month End], "(Set Type not found)", 0, 1)</f>
        <v>(Set Type not found)</v>
      </c>
      <c r="W82" s="3" t="e">
        <f>tbl_MTG_Set[[#This Row],[Released On]]+tbl_MTG_Set[[#This Row],[Sell Window Month End]]*365.25/12</f>
        <v>#VALUE!</v>
      </c>
      <c r="X82" s="3" t="e">
        <f ca="1">AND(NOW()&gt;=tbl_MTG_Set[[#This Row],[Sell Window Start]], NOW()&lt;=tbl_MTG_Set[[#This Row],[Sell Window End]])</f>
        <v>#VALUE!</v>
      </c>
      <c r="AG82" s="10"/>
      <c r="AH82" s="10"/>
      <c r="AM82" s="10" t="str" cm="1">
        <f t="array" ref="AM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" s="10" t="str" cm="1">
        <f t="array" ref="AN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" s="4" t="e">
        <f>_xlfn.XLOOKUP(tbl_MTG_Set[[#This Row],[Play Booster Box Product Id]], tbl_Product[Product Id], tbl_Product[Pack Size])</f>
        <v>#N/A</v>
      </c>
      <c r="AP82" s="10" t="e">
        <f>(tbl_MTG_Set[[#This Row],[Play Booster Box Cost]]+v_Item_Shipping_Cost_In)/tbl_MTG_Set[[#This Row],[Play Booster Box Size]]</f>
        <v>#VALUE!</v>
      </c>
      <c r="AQ82" s="10" t="str" cm="1">
        <f t="array" ref="AQ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" s="10"/>
      <c r="AS82" s="10"/>
      <c r="AT82" s="17" t="e">
        <f>tbl_MTG_Set[[#This Row],[Play Booster CardMarket Profit]]/tbl_MTG_Set[[#This Row],[Play Booster Cost]]</f>
        <v>#VALUE!</v>
      </c>
      <c r="AU82" s="10" t="e">
        <f>_xlfn.XLOOKUP(tbl_MTG_Set[[#This Row],[Collector Booster Box Product Id]], tbl_Product[Product Id], tbl_Product[Min Cost])</f>
        <v>#N/A</v>
      </c>
      <c r="AV82" s="10" t="e">
        <f>_xlfn.XLOOKUP(tbl_MTG_Set[[#This Row],[Collector Booster Box Product Id]], tbl_Product[Product Id], tbl_Product[Best Source])</f>
        <v>#N/A</v>
      </c>
      <c r="AW82" s="4" t="e">
        <f>_xlfn.XLOOKUP(tbl_MTG_Set[[#This Row],[Collector Booster Box Product Id]], tbl_Product[Product Id], tbl_Product[Pack Size])</f>
        <v>#N/A</v>
      </c>
      <c r="AX82" s="10" t="e">
        <f>(tbl_MTG_Set[[#This Row],[Collector Booster Box Cost]] + v_Item_Shipping_Cost_In) / tbl_MTG_Set[[#This Row],[Collector Booster Box Size]]</f>
        <v>#N/A</v>
      </c>
      <c r="AY82" s="10" t="str" cm="1">
        <f t="array" ref="AY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" s="10"/>
      <c r="BA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" s="17" t="e">
        <f>tbl_MTG_Set[[#This Row],[Collector Booster CardMarket Profit]]/tbl_MTG_Set[[#This Row],[Collector Booster Cost]]</f>
        <v>#N/A</v>
      </c>
      <c r="BC82" s="10"/>
      <c r="BF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" s="11" t="e">
        <f>tbl_MTG_Set[[#This Row],[Play Singles CardMarket Profit MTG Stocks]]/tbl_MTG_Set[[#This Row],[Play Booster Cost]]</f>
        <v>#VALUE!</v>
      </c>
      <c r="BI82" s="11" t="b">
        <f>tbl_MTG_Set[[#This Row],[Play Singles CardMarket Profit MTG Stocks]]&gt;0</f>
        <v>0</v>
      </c>
      <c r="BM82" s="10" t="e">
        <f>tbl_MTG_Set[[#This Row],[Play Booster Sell Price CardMarket]]*tbl_MTG_Set[[#This Row],[Play Booster Expected Market Value BotBox]]/tbl_MTG_Set[[#This Row],[Play Booster Sealed Market Value BotBox]]</f>
        <v>#VALUE!</v>
      </c>
      <c r="BN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" s="10" t="e">
        <f>tbl_MTG_Set[[#This Row],[Play Singles CardMarket Profit BotBox]]/tbl_MTG_Set[[#This Row],[Play Booster Cost]]</f>
        <v>#VALUE!</v>
      </c>
      <c r="BP82" s="10" t="b">
        <f>tbl_MTG_Set[[#This Row],[Play Singles CardMarket Profit BotBox]]&gt;0</f>
        <v>0</v>
      </c>
      <c r="BQ82" s="10"/>
      <c r="BR82" s="10"/>
      <c r="BS82" s="10"/>
      <c r="BT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" s="19" t="e">
        <f>tbl_MTG_Set[[#This Row],[Collector Singles CardMarket Profit MTG Stocks]]/tbl_MTG_Set[[#This Row],[Collector Booster Cost]]</f>
        <v>#N/A</v>
      </c>
      <c r="BW82" s="10" t="b">
        <f>tbl_MTG_Set[[#This Row],[Collector Singles CardMarket Profit MTG Stocks]]&gt;0</f>
        <v>0</v>
      </c>
      <c r="BX82" s="10"/>
      <c r="BY82" s="10"/>
      <c r="BZ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" s="10" t="e">
        <f>tbl_MTG_Set[[#This Row],[Collector Singles CardMarket Profit BotBox]]/tbl_MTG_Set[[#This Row],[Collector Booster Cost]]</f>
        <v>#N/A</v>
      </c>
      <c r="CC82" s="10" t="b">
        <f>tbl_MTG_Set[[#This Row],[Collector Singles CardMarket Profit BotBox]]&gt;0</f>
        <v>0</v>
      </c>
      <c r="CD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" spans="1:86" hidden="1">
      <c r="A83">
        <v>91</v>
      </c>
      <c r="B83" t="s">
        <v>256</v>
      </c>
      <c r="C83">
        <v>160</v>
      </c>
      <c r="D83" s="3">
        <v>45506</v>
      </c>
      <c r="E83" t="s">
        <v>59</v>
      </c>
      <c r="F83" t="s">
        <v>174</v>
      </c>
      <c r="G83">
        <v>128</v>
      </c>
      <c r="H83">
        <f ca="1">MONTH(NOW())+12*YEAR(NOW())-MONTH(tbl_MTG_Set[[#This Row],[Released On]])-12*YEAR(tbl_MTG_Set[[#This Row],[Released On]])</f>
        <v>19</v>
      </c>
      <c r="I83">
        <f>_xlfn.XLOOKUP(tbl_MTG_Set[[#This Row],[Type Name]], tbl_MTG_Set_Type[Set Type], tbl_MTG_Set_Type[Index], "(Set Type not found)")</f>
        <v>1</v>
      </c>
      <c r="J83">
        <f>_xlfn.XLOOKUP(tbl_MTG_Set[[#This Row],[Type Name]], tbl_MTG_Set_Type[Set Type], tbl_MTG_Set_Type[Buy Window Month Start], "(Set Type not found)")</f>
        <v>18</v>
      </c>
      <c r="K83" s="3">
        <f>tbl_MTG_Set[[#This Row],[Released On]]+tbl_MTG_Set[[#This Row],[Buy Window Month Start]]*365.25/12</f>
        <v>46053.875</v>
      </c>
      <c r="L83">
        <f>_xlfn.XLOOKUP(tbl_MTG_Set[[#This Row],[Type Name]], tbl_MTG_Set_Type[Set Type], tbl_MTG_Set_Type[Buy Window Month End], "(Set Type not found)", 0, 1)</f>
        <v>24</v>
      </c>
      <c r="M83" s="3">
        <f>tbl_MTG_Set[[#This Row],[Released On]]+tbl_MTG_Set[[#This Row],[Buy Window Month End]]*365.25/12</f>
        <v>46236.5</v>
      </c>
      <c r="N83" s="3" t="b">
        <f ca="1">AND(NOW()&gt;=tbl_MTG_Set[[#This Row],[Buy Window Start]], NOW()&lt;=tbl_MTG_Set[[#This Row],[Buy Window End]])</f>
        <v>1</v>
      </c>
      <c r="O83">
        <f>_xlfn.XLOOKUP(tbl_MTG_Set[[#This Row],[Type Name]], tbl_MTG_Set_Type[Set Type], tbl_MTG_Set_Type[Heavy Printing Window Month Start], "(Set Type not found)", 0, 1)</f>
        <v>1</v>
      </c>
      <c r="P83" s="3">
        <f>tbl_MTG_Set[[#This Row],[Released On]]+tbl_MTG_Set[[#This Row],[Heavy Printing Window Month Start]]*365.25/12</f>
        <v>45536.4375</v>
      </c>
      <c r="Q83">
        <f>_xlfn.XLOOKUP(tbl_MTG_Set[[#This Row],[Type Name]], tbl_MTG_Set_Type[Set Type], tbl_MTG_Set_Type[Heavy Printing Window Month End], "(Set Type not found)", 0, 1)</f>
        <v>18</v>
      </c>
      <c r="R83" s="3">
        <f>tbl_MTG_Set[[#This Row],[Released On]]+tbl_MTG_Set[[#This Row],[Heavy Printing Window Month End]]*365.25/12</f>
        <v>46053.875</v>
      </c>
      <c r="S83" s="3" t="b">
        <f ca="1">AND(NOW()&gt;=tbl_MTG_Set[[#This Row],[Heavy Printing Window Start]], NOW()&lt;=tbl_MTG_Set[[#This Row],[Heavy Printing Window End]])</f>
        <v>0</v>
      </c>
      <c r="T83">
        <f>_xlfn.XLOOKUP(tbl_MTG_Set[[#This Row],[Type Name]], tbl_MTG_Set_Type[Set Type], tbl_MTG_Set_Type[Sell Window Month Start], "(Set Type not found)", 0, 1)</f>
        <v>36</v>
      </c>
      <c r="U83" s="3">
        <f>tbl_MTG_Set[[#This Row],[Released On]]+tbl_MTG_Set[[#This Row],[Sell Window Month Start]]*365.25/12</f>
        <v>46601.75</v>
      </c>
      <c r="V83">
        <f>_xlfn.XLOOKUP(tbl_MTG_Set[[#This Row],[Type Name]], tbl_MTG_Set_Type[Set Type], tbl_MTG_Set_Type[Sell Window Month End], "(Set Type not found)", 0, 1)</f>
        <v>48</v>
      </c>
      <c r="W83" s="3">
        <f>tbl_MTG_Set[[#This Row],[Released On]]+tbl_MTG_Set[[#This Row],[Sell Window Month End]]*365.25/12</f>
        <v>46967</v>
      </c>
      <c r="X83" s="3" t="b">
        <f ca="1">AND(NOW()&gt;=tbl_MTG_Set[[#This Row],[Sell Window Start]], NOW()&lt;=tbl_MTG_Set[[#This Row],[Sell Window End]])</f>
        <v>0</v>
      </c>
      <c r="AG83" s="10"/>
      <c r="AH83" s="10"/>
      <c r="AM83" s="10" t="str" cm="1">
        <f t="array" ref="AM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" s="10" t="str" cm="1">
        <f t="array" ref="AN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" s="4" t="e">
        <f>_xlfn.XLOOKUP(tbl_MTG_Set[[#This Row],[Play Booster Box Product Id]], tbl_Product[Product Id], tbl_Product[Pack Size])</f>
        <v>#N/A</v>
      </c>
      <c r="AP83" s="10" t="e">
        <f>(tbl_MTG_Set[[#This Row],[Play Booster Box Cost]]+v_Item_Shipping_Cost_In)/tbl_MTG_Set[[#This Row],[Play Booster Box Size]]</f>
        <v>#VALUE!</v>
      </c>
      <c r="AQ83" s="10" t="str" cm="1">
        <f t="array" ref="AQ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" s="10"/>
      <c r="AS83" s="10"/>
      <c r="AT83" s="17" t="e">
        <f>tbl_MTG_Set[[#This Row],[Play Booster CardMarket Profit]]/tbl_MTG_Set[[#This Row],[Play Booster Cost]]</f>
        <v>#VALUE!</v>
      </c>
      <c r="AU83" s="10" t="e">
        <f>_xlfn.XLOOKUP(tbl_MTG_Set[[#This Row],[Collector Booster Box Product Id]], tbl_Product[Product Id], tbl_Product[Min Cost])</f>
        <v>#N/A</v>
      </c>
      <c r="AV83" s="10" t="e">
        <f>_xlfn.XLOOKUP(tbl_MTG_Set[[#This Row],[Collector Booster Box Product Id]], tbl_Product[Product Id], tbl_Product[Best Source])</f>
        <v>#N/A</v>
      </c>
      <c r="AW83" s="4" t="e">
        <f>_xlfn.XLOOKUP(tbl_MTG_Set[[#This Row],[Collector Booster Box Product Id]], tbl_Product[Product Id], tbl_Product[Pack Size])</f>
        <v>#N/A</v>
      </c>
      <c r="AX83" s="10" t="e">
        <f>(tbl_MTG_Set[[#This Row],[Collector Booster Box Cost]] + v_Item_Shipping_Cost_In) / tbl_MTG_Set[[#This Row],[Collector Booster Box Size]]</f>
        <v>#N/A</v>
      </c>
      <c r="AY83" s="10" t="str" cm="1">
        <f t="array" ref="AY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" s="10"/>
      <c r="BA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" s="17" t="e">
        <f>tbl_MTG_Set[[#This Row],[Collector Booster CardMarket Profit]]/tbl_MTG_Set[[#This Row],[Collector Booster Cost]]</f>
        <v>#N/A</v>
      </c>
      <c r="BC83" s="10"/>
      <c r="BF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" s="11" t="e">
        <f>tbl_MTG_Set[[#This Row],[Play Singles CardMarket Profit MTG Stocks]]/tbl_MTG_Set[[#This Row],[Play Booster Cost]]</f>
        <v>#VALUE!</v>
      </c>
      <c r="BI83" s="11" t="b">
        <f>tbl_MTG_Set[[#This Row],[Play Singles CardMarket Profit MTG Stocks]]&gt;0</f>
        <v>0</v>
      </c>
      <c r="BM83" s="10" t="e">
        <f>tbl_MTG_Set[[#This Row],[Play Booster Sell Price CardMarket]]*tbl_MTG_Set[[#This Row],[Play Booster Expected Market Value BotBox]]/tbl_MTG_Set[[#This Row],[Play Booster Sealed Market Value BotBox]]</f>
        <v>#VALUE!</v>
      </c>
      <c r="BN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" s="10" t="e">
        <f>tbl_MTG_Set[[#This Row],[Play Singles CardMarket Profit BotBox]]/tbl_MTG_Set[[#This Row],[Play Booster Cost]]</f>
        <v>#VALUE!</v>
      </c>
      <c r="BP83" s="10" t="b">
        <f>tbl_MTG_Set[[#This Row],[Play Singles CardMarket Profit BotBox]]&gt;0</f>
        <v>0</v>
      </c>
      <c r="BQ83" s="10"/>
      <c r="BR83" s="10"/>
      <c r="BS83" s="10"/>
      <c r="BT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" s="19" t="e">
        <f>tbl_MTG_Set[[#This Row],[Collector Singles CardMarket Profit MTG Stocks]]/tbl_MTG_Set[[#This Row],[Collector Booster Cost]]</f>
        <v>#N/A</v>
      </c>
      <c r="BW83" s="10" t="b">
        <f>tbl_MTG_Set[[#This Row],[Collector Singles CardMarket Profit MTG Stocks]]&gt;0</f>
        <v>0</v>
      </c>
      <c r="BX83" s="10"/>
      <c r="BY83" s="10"/>
      <c r="BZ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" s="10" t="e">
        <f>tbl_MTG_Set[[#This Row],[Collector Singles CardMarket Profit BotBox]]/tbl_MTG_Set[[#This Row],[Collector Booster Cost]]</f>
        <v>#N/A</v>
      </c>
      <c r="CC83" s="10" t="b">
        <f>tbl_MTG_Set[[#This Row],[Collector Singles CardMarket Profit BotBox]]&gt;0</f>
        <v>0</v>
      </c>
      <c r="CD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" spans="1:86" hidden="1">
      <c r="A84">
        <v>92</v>
      </c>
      <c r="B84" t="s">
        <v>257</v>
      </c>
      <c r="C84">
        <v>30</v>
      </c>
      <c r="D84" s="3">
        <v>45506</v>
      </c>
      <c r="E84" t="s">
        <v>59</v>
      </c>
      <c r="F84" t="s">
        <v>174</v>
      </c>
      <c r="G84">
        <v>130</v>
      </c>
      <c r="H84">
        <f ca="1">MONTH(NOW())+12*YEAR(NOW())-MONTH(tbl_MTG_Set[[#This Row],[Released On]])-12*YEAR(tbl_MTG_Set[[#This Row],[Released On]])</f>
        <v>19</v>
      </c>
      <c r="I84">
        <f>_xlfn.XLOOKUP(tbl_MTG_Set[[#This Row],[Type Name]], tbl_MTG_Set_Type[Set Type], tbl_MTG_Set_Type[Index], "(Set Type not found)")</f>
        <v>1</v>
      </c>
      <c r="J84">
        <f>_xlfn.XLOOKUP(tbl_MTG_Set[[#This Row],[Type Name]], tbl_MTG_Set_Type[Set Type], tbl_MTG_Set_Type[Buy Window Month Start], "(Set Type not found)")</f>
        <v>18</v>
      </c>
      <c r="K84" s="3">
        <f>tbl_MTG_Set[[#This Row],[Released On]]+tbl_MTG_Set[[#This Row],[Buy Window Month Start]]*365.25/12</f>
        <v>46053.875</v>
      </c>
      <c r="L84">
        <f>_xlfn.XLOOKUP(tbl_MTG_Set[[#This Row],[Type Name]], tbl_MTG_Set_Type[Set Type], tbl_MTG_Set_Type[Buy Window Month End], "(Set Type not found)", 0, 1)</f>
        <v>24</v>
      </c>
      <c r="M84" s="3">
        <f>tbl_MTG_Set[[#This Row],[Released On]]+tbl_MTG_Set[[#This Row],[Buy Window Month End]]*365.25/12</f>
        <v>46236.5</v>
      </c>
      <c r="N84" s="3" t="b">
        <f ca="1">AND(NOW()&gt;=tbl_MTG_Set[[#This Row],[Buy Window Start]], NOW()&lt;=tbl_MTG_Set[[#This Row],[Buy Window End]])</f>
        <v>1</v>
      </c>
      <c r="O84">
        <f>_xlfn.XLOOKUP(tbl_MTG_Set[[#This Row],[Type Name]], tbl_MTG_Set_Type[Set Type], tbl_MTG_Set_Type[Heavy Printing Window Month Start], "(Set Type not found)", 0, 1)</f>
        <v>1</v>
      </c>
      <c r="P84" s="3">
        <f>tbl_MTG_Set[[#This Row],[Released On]]+tbl_MTG_Set[[#This Row],[Heavy Printing Window Month Start]]*365.25/12</f>
        <v>45536.4375</v>
      </c>
      <c r="Q84">
        <f>_xlfn.XLOOKUP(tbl_MTG_Set[[#This Row],[Type Name]], tbl_MTG_Set_Type[Set Type], tbl_MTG_Set_Type[Heavy Printing Window Month End], "(Set Type not found)", 0, 1)</f>
        <v>18</v>
      </c>
      <c r="R84" s="3">
        <f>tbl_MTG_Set[[#This Row],[Released On]]+tbl_MTG_Set[[#This Row],[Heavy Printing Window Month End]]*365.25/12</f>
        <v>46053.875</v>
      </c>
      <c r="S84" s="3" t="b">
        <f ca="1">AND(NOW()&gt;=tbl_MTG_Set[[#This Row],[Heavy Printing Window Start]], NOW()&lt;=tbl_MTG_Set[[#This Row],[Heavy Printing Window End]])</f>
        <v>0</v>
      </c>
      <c r="T84">
        <f>_xlfn.XLOOKUP(tbl_MTG_Set[[#This Row],[Type Name]], tbl_MTG_Set_Type[Set Type], tbl_MTG_Set_Type[Sell Window Month Start], "(Set Type not found)", 0, 1)</f>
        <v>36</v>
      </c>
      <c r="U84" s="3">
        <f>tbl_MTG_Set[[#This Row],[Released On]]+tbl_MTG_Set[[#This Row],[Sell Window Month Start]]*365.25/12</f>
        <v>46601.75</v>
      </c>
      <c r="V84">
        <f>_xlfn.XLOOKUP(tbl_MTG_Set[[#This Row],[Type Name]], tbl_MTG_Set_Type[Set Type], tbl_MTG_Set_Type[Sell Window Month End], "(Set Type not found)", 0, 1)</f>
        <v>48</v>
      </c>
      <c r="W84" s="3">
        <f>tbl_MTG_Set[[#This Row],[Released On]]+tbl_MTG_Set[[#This Row],[Sell Window Month End]]*365.25/12</f>
        <v>46967</v>
      </c>
      <c r="X84" s="3" t="b">
        <f ca="1">AND(NOW()&gt;=tbl_MTG_Set[[#This Row],[Sell Window Start]], NOW()&lt;=tbl_MTG_Set[[#This Row],[Sell Window End]])</f>
        <v>0</v>
      </c>
      <c r="AG84" s="10"/>
      <c r="AH84" s="10"/>
      <c r="AM84" s="10" t="str" cm="1">
        <f t="array" ref="AM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" s="10" t="str" cm="1">
        <f t="array" ref="AN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" s="4" t="e">
        <f>_xlfn.XLOOKUP(tbl_MTG_Set[[#This Row],[Play Booster Box Product Id]], tbl_Product[Product Id], tbl_Product[Pack Size])</f>
        <v>#N/A</v>
      </c>
      <c r="AP84" s="10" t="e">
        <f>(tbl_MTG_Set[[#This Row],[Play Booster Box Cost]]+v_Item_Shipping_Cost_In)/tbl_MTG_Set[[#This Row],[Play Booster Box Size]]</f>
        <v>#VALUE!</v>
      </c>
      <c r="AQ84" s="10" t="str" cm="1">
        <f t="array" ref="AQ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" s="10"/>
      <c r="AS84" s="10"/>
      <c r="AT84" s="17" t="e">
        <f>tbl_MTG_Set[[#This Row],[Play Booster CardMarket Profit]]/tbl_MTG_Set[[#This Row],[Play Booster Cost]]</f>
        <v>#VALUE!</v>
      </c>
      <c r="AU84" s="10" t="e">
        <f>_xlfn.XLOOKUP(tbl_MTG_Set[[#This Row],[Collector Booster Box Product Id]], tbl_Product[Product Id], tbl_Product[Min Cost])</f>
        <v>#N/A</v>
      </c>
      <c r="AV84" s="10" t="e">
        <f>_xlfn.XLOOKUP(tbl_MTG_Set[[#This Row],[Collector Booster Box Product Id]], tbl_Product[Product Id], tbl_Product[Best Source])</f>
        <v>#N/A</v>
      </c>
      <c r="AW84" s="4" t="e">
        <f>_xlfn.XLOOKUP(tbl_MTG_Set[[#This Row],[Collector Booster Box Product Id]], tbl_Product[Product Id], tbl_Product[Pack Size])</f>
        <v>#N/A</v>
      </c>
      <c r="AX84" s="10" t="e">
        <f>(tbl_MTG_Set[[#This Row],[Collector Booster Box Cost]] + v_Item_Shipping_Cost_In) / tbl_MTG_Set[[#This Row],[Collector Booster Box Size]]</f>
        <v>#N/A</v>
      </c>
      <c r="AY84" s="10" t="str" cm="1">
        <f t="array" ref="AY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" s="10"/>
      <c r="BA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" s="17" t="e">
        <f>tbl_MTG_Set[[#This Row],[Collector Booster CardMarket Profit]]/tbl_MTG_Set[[#This Row],[Collector Booster Cost]]</f>
        <v>#N/A</v>
      </c>
      <c r="BC84" s="10"/>
      <c r="BF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" s="11" t="e">
        <f>tbl_MTG_Set[[#This Row],[Play Singles CardMarket Profit MTG Stocks]]/tbl_MTG_Set[[#This Row],[Play Booster Cost]]</f>
        <v>#VALUE!</v>
      </c>
      <c r="BI84" s="11" t="b">
        <f>tbl_MTG_Set[[#This Row],[Play Singles CardMarket Profit MTG Stocks]]&gt;0</f>
        <v>0</v>
      </c>
      <c r="BM84" s="10" t="e">
        <f>tbl_MTG_Set[[#This Row],[Play Booster Sell Price CardMarket]]*tbl_MTG_Set[[#This Row],[Play Booster Expected Market Value BotBox]]/tbl_MTG_Set[[#This Row],[Play Booster Sealed Market Value BotBox]]</f>
        <v>#VALUE!</v>
      </c>
      <c r="BN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" s="10" t="e">
        <f>tbl_MTG_Set[[#This Row],[Play Singles CardMarket Profit BotBox]]/tbl_MTG_Set[[#This Row],[Play Booster Cost]]</f>
        <v>#VALUE!</v>
      </c>
      <c r="BP84" s="10" t="b">
        <f>tbl_MTG_Set[[#This Row],[Play Singles CardMarket Profit BotBox]]&gt;0</f>
        <v>0</v>
      </c>
      <c r="BQ84" s="10"/>
      <c r="BR84" s="10"/>
      <c r="BS84" s="10"/>
      <c r="BT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" s="19" t="e">
        <f>tbl_MTG_Set[[#This Row],[Collector Singles CardMarket Profit MTG Stocks]]/tbl_MTG_Set[[#This Row],[Collector Booster Cost]]</f>
        <v>#N/A</v>
      </c>
      <c r="BW84" s="10" t="b">
        <f>tbl_MTG_Set[[#This Row],[Collector Singles CardMarket Profit MTG Stocks]]&gt;0</f>
        <v>0</v>
      </c>
      <c r="BX84" s="10"/>
      <c r="BY84" s="10"/>
      <c r="BZ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" s="10" t="e">
        <f>tbl_MTG_Set[[#This Row],[Collector Singles CardMarket Profit BotBox]]/tbl_MTG_Set[[#This Row],[Collector Booster Cost]]</f>
        <v>#N/A</v>
      </c>
      <c r="CC84" s="10" t="b">
        <f>tbl_MTG_Set[[#This Row],[Collector Singles CardMarket Profit BotBox]]&gt;0</f>
        <v>0</v>
      </c>
      <c r="CD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" spans="1:86" hidden="1">
      <c r="A85">
        <v>93</v>
      </c>
      <c r="B85" t="s">
        <v>258</v>
      </c>
      <c r="C85">
        <v>30</v>
      </c>
      <c r="D85" s="3">
        <v>45524</v>
      </c>
      <c r="E85" t="s">
        <v>59</v>
      </c>
      <c r="F85" t="s">
        <v>174</v>
      </c>
      <c r="G85">
        <v>132</v>
      </c>
      <c r="H85">
        <f ca="1">MONTH(NOW())+12*YEAR(NOW())-MONTH(tbl_MTG_Set[[#This Row],[Released On]])-12*YEAR(tbl_MTG_Set[[#This Row],[Released On]])</f>
        <v>19</v>
      </c>
      <c r="I85">
        <f>_xlfn.XLOOKUP(tbl_MTG_Set[[#This Row],[Type Name]], tbl_MTG_Set_Type[Set Type], tbl_MTG_Set_Type[Index], "(Set Type not found)")</f>
        <v>1</v>
      </c>
      <c r="J85">
        <f>_xlfn.XLOOKUP(tbl_MTG_Set[[#This Row],[Type Name]], tbl_MTG_Set_Type[Set Type], tbl_MTG_Set_Type[Buy Window Month Start], "(Set Type not found)")</f>
        <v>18</v>
      </c>
      <c r="K85" s="3">
        <f>tbl_MTG_Set[[#This Row],[Released On]]+tbl_MTG_Set[[#This Row],[Buy Window Month Start]]*365.25/12</f>
        <v>46071.875</v>
      </c>
      <c r="L85">
        <f>_xlfn.XLOOKUP(tbl_MTG_Set[[#This Row],[Type Name]], tbl_MTG_Set_Type[Set Type], tbl_MTG_Set_Type[Buy Window Month End], "(Set Type not found)", 0, 1)</f>
        <v>24</v>
      </c>
      <c r="M85" s="3">
        <f>tbl_MTG_Set[[#This Row],[Released On]]+tbl_MTG_Set[[#This Row],[Buy Window Month End]]*365.25/12</f>
        <v>46254.5</v>
      </c>
      <c r="N85" s="3" t="b">
        <f ca="1">AND(NOW()&gt;=tbl_MTG_Set[[#This Row],[Buy Window Start]], NOW()&lt;=tbl_MTG_Set[[#This Row],[Buy Window End]])</f>
        <v>1</v>
      </c>
      <c r="O85">
        <f>_xlfn.XLOOKUP(tbl_MTG_Set[[#This Row],[Type Name]], tbl_MTG_Set_Type[Set Type], tbl_MTG_Set_Type[Heavy Printing Window Month Start], "(Set Type not found)", 0, 1)</f>
        <v>1</v>
      </c>
      <c r="P85" s="3">
        <f>tbl_MTG_Set[[#This Row],[Released On]]+tbl_MTG_Set[[#This Row],[Heavy Printing Window Month Start]]*365.25/12</f>
        <v>45554.4375</v>
      </c>
      <c r="Q85">
        <f>_xlfn.XLOOKUP(tbl_MTG_Set[[#This Row],[Type Name]], tbl_MTG_Set_Type[Set Type], tbl_MTG_Set_Type[Heavy Printing Window Month End], "(Set Type not found)", 0, 1)</f>
        <v>18</v>
      </c>
      <c r="R85" s="3">
        <f>tbl_MTG_Set[[#This Row],[Released On]]+tbl_MTG_Set[[#This Row],[Heavy Printing Window Month End]]*365.25/12</f>
        <v>46071.875</v>
      </c>
      <c r="S85" s="3" t="b">
        <f ca="1">AND(NOW()&gt;=tbl_MTG_Set[[#This Row],[Heavy Printing Window Start]], NOW()&lt;=tbl_MTG_Set[[#This Row],[Heavy Printing Window End]])</f>
        <v>0</v>
      </c>
      <c r="T85">
        <f>_xlfn.XLOOKUP(tbl_MTG_Set[[#This Row],[Type Name]], tbl_MTG_Set_Type[Set Type], tbl_MTG_Set_Type[Sell Window Month Start], "(Set Type not found)", 0, 1)</f>
        <v>36</v>
      </c>
      <c r="U85" s="3">
        <f>tbl_MTG_Set[[#This Row],[Released On]]+tbl_MTG_Set[[#This Row],[Sell Window Month Start]]*365.25/12</f>
        <v>46619.75</v>
      </c>
      <c r="V85">
        <f>_xlfn.XLOOKUP(tbl_MTG_Set[[#This Row],[Type Name]], tbl_MTG_Set_Type[Set Type], tbl_MTG_Set_Type[Sell Window Month End], "(Set Type not found)", 0, 1)</f>
        <v>48</v>
      </c>
      <c r="W85" s="3">
        <f>tbl_MTG_Set[[#This Row],[Released On]]+tbl_MTG_Set[[#This Row],[Sell Window Month End]]*365.25/12</f>
        <v>46985</v>
      </c>
      <c r="X85" s="3" t="b">
        <f ca="1">AND(NOW()&gt;=tbl_MTG_Set[[#This Row],[Sell Window Start]], NOW()&lt;=tbl_MTG_Set[[#This Row],[Sell Window End]])</f>
        <v>0</v>
      </c>
      <c r="AG85" s="10"/>
      <c r="AH85" s="10"/>
      <c r="AM85" s="10" t="str" cm="1">
        <f t="array" ref="AM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" s="10" t="str" cm="1">
        <f t="array" ref="AN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" s="4" t="e">
        <f>_xlfn.XLOOKUP(tbl_MTG_Set[[#This Row],[Play Booster Box Product Id]], tbl_Product[Product Id], tbl_Product[Pack Size])</f>
        <v>#N/A</v>
      </c>
      <c r="AP85" s="10" t="e">
        <f>(tbl_MTG_Set[[#This Row],[Play Booster Box Cost]]+v_Item_Shipping_Cost_In)/tbl_MTG_Set[[#This Row],[Play Booster Box Size]]</f>
        <v>#VALUE!</v>
      </c>
      <c r="AQ85" s="10" t="str" cm="1">
        <f t="array" ref="AQ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" s="10"/>
      <c r="AS85" s="10"/>
      <c r="AT85" s="17" t="e">
        <f>tbl_MTG_Set[[#This Row],[Play Booster CardMarket Profit]]/tbl_MTG_Set[[#This Row],[Play Booster Cost]]</f>
        <v>#VALUE!</v>
      </c>
      <c r="AU85" s="10" t="e">
        <f>_xlfn.XLOOKUP(tbl_MTG_Set[[#This Row],[Collector Booster Box Product Id]], tbl_Product[Product Id], tbl_Product[Min Cost])</f>
        <v>#N/A</v>
      </c>
      <c r="AV85" s="10" t="e">
        <f>_xlfn.XLOOKUP(tbl_MTG_Set[[#This Row],[Collector Booster Box Product Id]], tbl_Product[Product Id], tbl_Product[Best Source])</f>
        <v>#N/A</v>
      </c>
      <c r="AW85" s="4" t="e">
        <f>_xlfn.XLOOKUP(tbl_MTG_Set[[#This Row],[Collector Booster Box Product Id]], tbl_Product[Product Id], tbl_Product[Pack Size])</f>
        <v>#N/A</v>
      </c>
      <c r="AX85" s="10" t="e">
        <f>(tbl_MTG_Set[[#This Row],[Collector Booster Box Cost]] + v_Item_Shipping_Cost_In) / tbl_MTG_Set[[#This Row],[Collector Booster Box Size]]</f>
        <v>#N/A</v>
      </c>
      <c r="AY85" s="10" t="str" cm="1">
        <f t="array" ref="AY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" s="10"/>
      <c r="BA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" s="17" t="e">
        <f>tbl_MTG_Set[[#This Row],[Collector Booster CardMarket Profit]]/tbl_MTG_Set[[#This Row],[Collector Booster Cost]]</f>
        <v>#N/A</v>
      </c>
      <c r="BC85" s="10"/>
      <c r="BF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" s="11" t="e">
        <f>tbl_MTG_Set[[#This Row],[Play Singles CardMarket Profit MTG Stocks]]/tbl_MTG_Set[[#This Row],[Play Booster Cost]]</f>
        <v>#VALUE!</v>
      </c>
      <c r="BI85" s="11" t="b">
        <f>tbl_MTG_Set[[#This Row],[Play Singles CardMarket Profit MTG Stocks]]&gt;0</f>
        <v>0</v>
      </c>
      <c r="BM85" s="10" t="e">
        <f>tbl_MTG_Set[[#This Row],[Play Booster Sell Price CardMarket]]*tbl_MTG_Set[[#This Row],[Play Booster Expected Market Value BotBox]]/tbl_MTG_Set[[#This Row],[Play Booster Sealed Market Value BotBox]]</f>
        <v>#VALUE!</v>
      </c>
      <c r="BN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" s="10" t="e">
        <f>tbl_MTG_Set[[#This Row],[Play Singles CardMarket Profit BotBox]]/tbl_MTG_Set[[#This Row],[Play Booster Cost]]</f>
        <v>#VALUE!</v>
      </c>
      <c r="BP85" s="10" t="b">
        <f>tbl_MTG_Set[[#This Row],[Play Singles CardMarket Profit BotBox]]&gt;0</f>
        <v>0</v>
      </c>
      <c r="BQ85" s="10"/>
      <c r="BR85" s="10"/>
      <c r="BS85" s="10"/>
      <c r="BT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" s="19" t="e">
        <f>tbl_MTG_Set[[#This Row],[Collector Singles CardMarket Profit MTG Stocks]]/tbl_MTG_Set[[#This Row],[Collector Booster Cost]]</f>
        <v>#N/A</v>
      </c>
      <c r="BW85" s="10" t="b">
        <f>tbl_MTG_Set[[#This Row],[Collector Singles CardMarket Profit MTG Stocks]]&gt;0</f>
        <v>0</v>
      </c>
      <c r="BX85" s="10"/>
      <c r="BY85" s="10"/>
      <c r="BZ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" s="10" t="e">
        <f>tbl_MTG_Set[[#This Row],[Collector Singles CardMarket Profit BotBox]]/tbl_MTG_Set[[#This Row],[Collector Booster Cost]]</f>
        <v>#N/A</v>
      </c>
      <c r="CC85" s="10" t="b">
        <f>tbl_MTG_Set[[#This Row],[Collector Singles CardMarket Profit BotBox]]&gt;0</f>
        <v>0</v>
      </c>
      <c r="CD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" spans="1:86" hidden="1">
      <c r="A86">
        <v>94</v>
      </c>
      <c r="B86" t="s">
        <v>259</v>
      </c>
      <c r="C86">
        <v>54</v>
      </c>
      <c r="D86" s="3">
        <v>45506</v>
      </c>
      <c r="E86" t="s">
        <v>59</v>
      </c>
      <c r="F86" t="s">
        <v>174</v>
      </c>
      <c r="G86">
        <v>134</v>
      </c>
      <c r="H86">
        <f ca="1">MONTH(NOW())+12*YEAR(NOW())-MONTH(tbl_MTG_Set[[#This Row],[Released On]])-12*YEAR(tbl_MTG_Set[[#This Row],[Released On]])</f>
        <v>19</v>
      </c>
      <c r="I86">
        <f>_xlfn.XLOOKUP(tbl_MTG_Set[[#This Row],[Type Name]], tbl_MTG_Set_Type[Set Type], tbl_MTG_Set_Type[Index], "(Set Type not found)")</f>
        <v>1</v>
      </c>
      <c r="J86">
        <f>_xlfn.XLOOKUP(tbl_MTG_Set[[#This Row],[Type Name]], tbl_MTG_Set_Type[Set Type], tbl_MTG_Set_Type[Buy Window Month Start], "(Set Type not found)")</f>
        <v>18</v>
      </c>
      <c r="K86" s="3">
        <f>tbl_MTG_Set[[#This Row],[Released On]]+tbl_MTG_Set[[#This Row],[Buy Window Month Start]]*365.25/12</f>
        <v>46053.875</v>
      </c>
      <c r="L86">
        <f>_xlfn.XLOOKUP(tbl_MTG_Set[[#This Row],[Type Name]], tbl_MTG_Set_Type[Set Type], tbl_MTG_Set_Type[Buy Window Month End], "(Set Type not found)", 0, 1)</f>
        <v>24</v>
      </c>
      <c r="M86" s="3">
        <f>tbl_MTG_Set[[#This Row],[Released On]]+tbl_MTG_Set[[#This Row],[Buy Window Month End]]*365.25/12</f>
        <v>46236.5</v>
      </c>
      <c r="N86" s="3" t="b">
        <f ca="1">AND(NOW()&gt;=tbl_MTG_Set[[#This Row],[Buy Window Start]], NOW()&lt;=tbl_MTG_Set[[#This Row],[Buy Window End]])</f>
        <v>1</v>
      </c>
      <c r="O86">
        <f>_xlfn.XLOOKUP(tbl_MTG_Set[[#This Row],[Type Name]], tbl_MTG_Set_Type[Set Type], tbl_MTG_Set_Type[Heavy Printing Window Month Start], "(Set Type not found)", 0, 1)</f>
        <v>1</v>
      </c>
      <c r="P86" s="3">
        <f>tbl_MTG_Set[[#This Row],[Released On]]+tbl_MTG_Set[[#This Row],[Heavy Printing Window Month Start]]*365.25/12</f>
        <v>45536.4375</v>
      </c>
      <c r="Q86">
        <f>_xlfn.XLOOKUP(tbl_MTG_Set[[#This Row],[Type Name]], tbl_MTG_Set_Type[Set Type], tbl_MTG_Set_Type[Heavy Printing Window Month End], "(Set Type not found)", 0, 1)</f>
        <v>18</v>
      </c>
      <c r="R86" s="3">
        <f>tbl_MTG_Set[[#This Row],[Released On]]+tbl_MTG_Set[[#This Row],[Heavy Printing Window Month End]]*365.25/12</f>
        <v>46053.875</v>
      </c>
      <c r="S86" s="3" t="b">
        <f ca="1">AND(NOW()&gt;=tbl_MTG_Set[[#This Row],[Heavy Printing Window Start]], NOW()&lt;=tbl_MTG_Set[[#This Row],[Heavy Printing Window End]])</f>
        <v>0</v>
      </c>
      <c r="T86">
        <f>_xlfn.XLOOKUP(tbl_MTG_Set[[#This Row],[Type Name]], tbl_MTG_Set_Type[Set Type], tbl_MTG_Set_Type[Sell Window Month Start], "(Set Type not found)", 0, 1)</f>
        <v>36</v>
      </c>
      <c r="U86" s="3">
        <f>tbl_MTG_Set[[#This Row],[Released On]]+tbl_MTG_Set[[#This Row],[Sell Window Month Start]]*365.25/12</f>
        <v>46601.75</v>
      </c>
      <c r="V86">
        <f>_xlfn.XLOOKUP(tbl_MTG_Set[[#This Row],[Type Name]], tbl_MTG_Set_Type[Set Type], tbl_MTG_Set_Type[Sell Window Month End], "(Set Type not found)", 0, 1)</f>
        <v>48</v>
      </c>
      <c r="W86" s="3">
        <f>tbl_MTG_Set[[#This Row],[Released On]]+tbl_MTG_Set[[#This Row],[Sell Window Month End]]*365.25/12</f>
        <v>46967</v>
      </c>
      <c r="X86" s="3" t="b">
        <f ca="1">AND(NOW()&gt;=tbl_MTG_Set[[#This Row],[Sell Window Start]], NOW()&lt;=tbl_MTG_Set[[#This Row],[Sell Window End]])</f>
        <v>0</v>
      </c>
      <c r="AG86" s="10"/>
      <c r="AH86" s="10"/>
      <c r="AM86" s="10" t="str" cm="1">
        <f t="array" ref="AM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" s="10" t="str" cm="1">
        <f t="array" ref="AN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" s="4" t="e">
        <f>_xlfn.XLOOKUP(tbl_MTG_Set[[#This Row],[Play Booster Box Product Id]], tbl_Product[Product Id], tbl_Product[Pack Size])</f>
        <v>#N/A</v>
      </c>
      <c r="AP86" s="10" t="e">
        <f>(tbl_MTG_Set[[#This Row],[Play Booster Box Cost]]+v_Item_Shipping_Cost_In)/tbl_MTG_Set[[#This Row],[Play Booster Box Size]]</f>
        <v>#VALUE!</v>
      </c>
      <c r="AQ86" s="10" t="str" cm="1">
        <f t="array" ref="AQ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" s="10"/>
      <c r="AS86" s="10"/>
      <c r="AT86" s="17" t="e">
        <f>tbl_MTG_Set[[#This Row],[Play Booster CardMarket Profit]]/tbl_MTG_Set[[#This Row],[Play Booster Cost]]</f>
        <v>#VALUE!</v>
      </c>
      <c r="AU86" s="10" t="e">
        <f>_xlfn.XLOOKUP(tbl_MTG_Set[[#This Row],[Collector Booster Box Product Id]], tbl_Product[Product Id], tbl_Product[Min Cost])</f>
        <v>#N/A</v>
      </c>
      <c r="AV86" s="10" t="e">
        <f>_xlfn.XLOOKUP(tbl_MTG_Set[[#This Row],[Collector Booster Box Product Id]], tbl_Product[Product Id], tbl_Product[Best Source])</f>
        <v>#N/A</v>
      </c>
      <c r="AW86" s="4" t="e">
        <f>_xlfn.XLOOKUP(tbl_MTG_Set[[#This Row],[Collector Booster Box Product Id]], tbl_Product[Product Id], tbl_Product[Pack Size])</f>
        <v>#N/A</v>
      </c>
      <c r="AX86" s="10" t="e">
        <f>(tbl_MTG_Set[[#This Row],[Collector Booster Box Cost]] + v_Item_Shipping_Cost_In) / tbl_MTG_Set[[#This Row],[Collector Booster Box Size]]</f>
        <v>#N/A</v>
      </c>
      <c r="AY86" s="10" t="str" cm="1">
        <f t="array" ref="AY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" s="10"/>
      <c r="BA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" s="17" t="e">
        <f>tbl_MTG_Set[[#This Row],[Collector Booster CardMarket Profit]]/tbl_MTG_Set[[#This Row],[Collector Booster Cost]]</f>
        <v>#N/A</v>
      </c>
      <c r="BC86" s="10"/>
      <c r="BF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" s="11" t="e">
        <f>tbl_MTG_Set[[#This Row],[Play Singles CardMarket Profit MTG Stocks]]/tbl_MTG_Set[[#This Row],[Play Booster Cost]]</f>
        <v>#VALUE!</v>
      </c>
      <c r="BI86" s="11" t="b">
        <f>tbl_MTG_Set[[#This Row],[Play Singles CardMarket Profit MTG Stocks]]&gt;0</f>
        <v>0</v>
      </c>
      <c r="BM86" s="10" t="e">
        <f>tbl_MTG_Set[[#This Row],[Play Booster Sell Price CardMarket]]*tbl_MTG_Set[[#This Row],[Play Booster Expected Market Value BotBox]]/tbl_MTG_Set[[#This Row],[Play Booster Sealed Market Value BotBox]]</f>
        <v>#VALUE!</v>
      </c>
      <c r="BN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" s="10" t="e">
        <f>tbl_MTG_Set[[#This Row],[Play Singles CardMarket Profit BotBox]]/tbl_MTG_Set[[#This Row],[Play Booster Cost]]</f>
        <v>#VALUE!</v>
      </c>
      <c r="BP86" s="10" t="b">
        <f>tbl_MTG_Set[[#This Row],[Play Singles CardMarket Profit BotBox]]&gt;0</f>
        <v>0</v>
      </c>
      <c r="BQ86" s="10"/>
      <c r="BR86" s="10"/>
      <c r="BS86" s="10"/>
      <c r="BT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" s="19" t="e">
        <f>tbl_MTG_Set[[#This Row],[Collector Singles CardMarket Profit MTG Stocks]]/tbl_MTG_Set[[#This Row],[Collector Booster Cost]]</f>
        <v>#N/A</v>
      </c>
      <c r="BW86" s="10" t="b">
        <f>tbl_MTG_Set[[#This Row],[Collector Singles CardMarket Profit MTG Stocks]]&gt;0</f>
        <v>0</v>
      </c>
      <c r="BX86" s="10"/>
      <c r="BY86" s="10"/>
      <c r="BZ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" s="10" t="e">
        <f>tbl_MTG_Set[[#This Row],[Collector Singles CardMarket Profit BotBox]]/tbl_MTG_Set[[#This Row],[Collector Booster Cost]]</f>
        <v>#N/A</v>
      </c>
      <c r="CC86" s="10" t="b">
        <f>tbl_MTG_Set[[#This Row],[Collector Singles CardMarket Profit BotBox]]&gt;0</f>
        <v>0</v>
      </c>
      <c r="CD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" spans="1:86" hidden="1">
      <c r="A87">
        <v>95</v>
      </c>
      <c r="B87" t="s">
        <v>260</v>
      </c>
      <c r="C87">
        <v>356</v>
      </c>
      <c r="D87" s="3">
        <v>45506</v>
      </c>
      <c r="E87" t="s">
        <v>80</v>
      </c>
      <c r="F87" t="s">
        <v>174</v>
      </c>
      <c r="G87">
        <v>136</v>
      </c>
      <c r="H87">
        <f ca="1">MONTH(NOW())+12*YEAR(NOW())-MONTH(tbl_MTG_Set[[#This Row],[Released On]])-12*YEAR(tbl_MTG_Set[[#This Row],[Released On]])</f>
        <v>19</v>
      </c>
      <c r="I87">
        <f>_xlfn.XLOOKUP(tbl_MTG_Set[[#This Row],[Type Name]], tbl_MTG_Set_Type[Set Type], tbl_MTG_Set_Type[Index], "(Set Type not found)")</f>
        <v>5</v>
      </c>
      <c r="J87">
        <f>_xlfn.XLOOKUP(tbl_MTG_Set[[#This Row],[Type Name]], tbl_MTG_Set_Type[Set Type], tbl_MTG_Set_Type[Buy Window Month Start], "(Set Type not found)")</f>
        <v>3</v>
      </c>
      <c r="K87" s="3">
        <f>tbl_MTG_Set[[#This Row],[Released On]]+tbl_MTG_Set[[#This Row],[Buy Window Month Start]]*365.25/12</f>
        <v>45597.3125</v>
      </c>
      <c r="L87">
        <f>_xlfn.XLOOKUP(tbl_MTG_Set[[#This Row],[Type Name]], tbl_MTG_Set_Type[Set Type], tbl_MTG_Set_Type[Buy Window Month End], "(Set Type not found)", 0, 1)</f>
        <v>12</v>
      </c>
      <c r="M87" s="3">
        <f>tbl_MTG_Set[[#This Row],[Released On]]+tbl_MTG_Set[[#This Row],[Buy Window Month End]]*365.25/12</f>
        <v>45871.25</v>
      </c>
      <c r="N87" s="3" t="b">
        <f ca="1">AND(NOW()&gt;=tbl_MTG_Set[[#This Row],[Buy Window Start]], NOW()&lt;=tbl_MTG_Set[[#This Row],[Buy Window End]])</f>
        <v>0</v>
      </c>
      <c r="O87">
        <f>_xlfn.XLOOKUP(tbl_MTG_Set[[#This Row],[Type Name]], tbl_MTG_Set_Type[Set Type], tbl_MTG_Set_Type[Heavy Printing Window Month Start], "(Set Type not found)", 0, 1)</f>
        <v>12</v>
      </c>
      <c r="P87" s="3">
        <f>tbl_MTG_Set[[#This Row],[Released On]]+tbl_MTG_Set[[#This Row],[Heavy Printing Window Month Start]]*365.25/12</f>
        <v>45871.25</v>
      </c>
      <c r="Q87">
        <f>_xlfn.XLOOKUP(tbl_MTG_Set[[#This Row],[Type Name]], tbl_MTG_Set_Type[Set Type], tbl_MTG_Set_Type[Heavy Printing Window Month End], "(Set Type not found)", 0, 1)</f>
        <v>18</v>
      </c>
      <c r="R87" s="3">
        <f>tbl_MTG_Set[[#This Row],[Released On]]+tbl_MTG_Set[[#This Row],[Heavy Printing Window Month End]]*365.25/12</f>
        <v>46053.875</v>
      </c>
      <c r="S87" s="3" t="b">
        <f ca="1">AND(NOW()&gt;=tbl_MTG_Set[[#This Row],[Heavy Printing Window Start]], NOW()&lt;=tbl_MTG_Set[[#This Row],[Heavy Printing Window End]])</f>
        <v>0</v>
      </c>
      <c r="T87">
        <f>_xlfn.XLOOKUP(tbl_MTG_Set[[#This Row],[Type Name]], tbl_MTG_Set_Type[Set Type], tbl_MTG_Set_Type[Sell Window Month Start], "(Set Type not found)", 0, 1)</f>
        <v>24</v>
      </c>
      <c r="U87" s="3">
        <f>tbl_MTG_Set[[#This Row],[Released On]]+tbl_MTG_Set[[#This Row],[Sell Window Month Start]]*365.25/12</f>
        <v>46236.5</v>
      </c>
      <c r="V87">
        <f>_xlfn.XLOOKUP(tbl_MTG_Set[[#This Row],[Type Name]], tbl_MTG_Set_Type[Set Type], tbl_MTG_Set_Type[Sell Window Month End], "(Set Type not found)", 0, 1)</f>
        <v>24</v>
      </c>
      <c r="W87" s="3">
        <f>tbl_MTG_Set[[#This Row],[Released On]]+tbl_MTG_Set[[#This Row],[Sell Window Month End]]*365.25/12</f>
        <v>46236.5</v>
      </c>
      <c r="X87" s="3" t="b">
        <f ca="1">AND(NOW()&gt;=tbl_MTG_Set[[#This Row],[Sell Window Start]], NOW()&lt;=tbl_MTG_Set[[#This Row],[Sell Window End]])</f>
        <v>0</v>
      </c>
      <c r="AG87" s="10"/>
      <c r="AH87" s="10"/>
      <c r="AM87" s="10" t="str" cm="1">
        <f t="array" ref="AM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" s="10" t="str" cm="1">
        <f t="array" ref="AN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" s="4" t="e">
        <f>_xlfn.XLOOKUP(tbl_MTG_Set[[#This Row],[Play Booster Box Product Id]], tbl_Product[Product Id], tbl_Product[Pack Size])</f>
        <v>#N/A</v>
      </c>
      <c r="AP87" s="10" t="e">
        <f>(tbl_MTG_Set[[#This Row],[Play Booster Box Cost]]+v_Item_Shipping_Cost_In)/tbl_MTG_Set[[#This Row],[Play Booster Box Size]]</f>
        <v>#VALUE!</v>
      </c>
      <c r="AQ87" s="10" t="str" cm="1">
        <f t="array" ref="AQ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" s="10"/>
      <c r="AS87" s="10"/>
      <c r="AT87" s="17" t="e">
        <f>tbl_MTG_Set[[#This Row],[Play Booster CardMarket Profit]]/tbl_MTG_Set[[#This Row],[Play Booster Cost]]</f>
        <v>#VALUE!</v>
      </c>
      <c r="AU87" s="10" t="e">
        <f>_xlfn.XLOOKUP(tbl_MTG_Set[[#This Row],[Collector Booster Box Product Id]], tbl_Product[Product Id], tbl_Product[Min Cost])</f>
        <v>#N/A</v>
      </c>
      <c r="AV87" s="10" t="e">
        <f>_xlfn.XLOOKUP(tbl_MTG_Set[[#This Row],[Collector Booster Box Product Id]], tbl_Product[Product Id], tbl_Product[Best Source])</f>
        <v>#N/A</v>
      </c>
      <c r="AW87" s="4" t="e">
        <f>_xlfn.XLOOKUP(tbl_MTG_Set[[#This Row],[Collector Booster Box Product Id]], tbl_Product[Product Id], tbl_Product[Pack Size])</f>
        <v>#N/A</v>
      </c>
      <c r="AX87" s="10" t="e">
        <f>(tbl_MTG_Set[[#This Row],[Collector Booster Box Cost]] + v_Item_Shipping_Cost_In) / tbl_MTG_Set[[#This Row],[Collector Booster Box Size]]</f>
        <v>#N/A</v>
      </c>
      <c r="AY87" s="10" t="str" cm="1">
        <f t="array" ref="AY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" s="10"/>
      <c r="BA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" s="17" t="e">
        <f>tbl_MTG_Set[[#This Row],[Collector Booster CardMarket Profit]]/tbl_MTG_Set[[#This Row],[Collector Booster Cost]]</f>
        <v>#N/A</v>
      </c>
      <c r="BC87" s="10"/>
      <c r="BF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" s="11" t="e">
        <f>tbl_MTG_Set[[#This Row],[Play Singles CardMarket Profit MTG Stocks]]/tbl_MTG_Set[[#This Row],[Play Booster Cost]]</f>
        <v>#VALUE!</v>
      </c>
      <c r="BI87" s="11" t="b">
        <f>tbl_MTG_Set[[#This Row],[Play Singles CardMarket Profit MTG Stocks]]&gt;0</f>
        <v>0</v>
      </c>
      <c r="BM87" s="10" t="e">
        <f>tbl_MTG_Set[[#This Row],[Play Booster Sell Price CardMarket]]*tbl_MTG_Set[[#This Row],[Play Booster Expected Market Value BotBox]]/tbl_MTG_Set[[#This Row],[Play Booster Sealed Market Value BotBox]]</f>
        <v>#VALUE!</v>
      </c>
      <c r="BN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" s="10" t="e">
        <f>tbl_MTG_Set[[#This Row],[Play Singles CardMarket Profit BotBox]]/tbl_MTG_Set[[#This Row],[Play Booster Cost]]</f>
        <v>#VALUE!</v>
      </c>
      <c r="BP87" s="10" t="b">
        <f>tbl_MTG_Set[[#This Row],[Play Singles CardMarket Profit BotBox]]&gt;0</f>
        <v>0</v>
      </c>
      <c r="BQ87" s="10"/>
      <c r="BR87" s="10"/>
      <c r="BS87" s="10"/>
      <c r="BT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" s="19" t="e">
        <f>tbl_MTG_Set[[#This Row],[Collector Singles CardMarket Profit MTG Stocks]]/tbl_MTG_Set[[#This Row],[Collector Booster Cost]]</f>
        <v>#N/A</v>
      </c>
      <c r="BW87" s="10" t="b">
        <f>tbl_MTG_Set[[#This Row],[Collector Singles CardMarket Profit MTG Stocks]]&gt;0</f>
        <v>0</v>
      </c>
      <c r="BX87" s="10"/>
      <c r="BY87" s="10"/>
      <c r="BZ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" s="10" t="e">
        <f>tbl_MTG_Set[[#This Row],[Collector Singles CardMarket Profit BotBox]]/tbl_MTG_Set[[#This Row],[Collector Booster Cost]]</f>
        <v>#N/A</v>
      </c>
      <c r="CC87" s="10" t="b">
        <f>tbl_MTG_Set[[#This Row],[Collector Singles CardMarket Profit BotBox]]&gt;0</f>
        <v>0</v>
      </c>
      <c r="CD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" spans="1:86" hidden="1">
      <c r="A88">
        <v>96</v>
      </c>
      <c r="B88" t="s">
        <v>261</v>
      </c>
      <c r="C88">
        <v>41</v>
      </c>
      <c r="D88" s="3">
        <v>45506</v>
      </c>
      <c r="E88" t="s">
        <v>80</v>
      </c>
      <c r="F88" t="s">
        <v>174</v>
      </c>
      <c r="G88">
        <v>138</v>
      </c>
      <c r="H88">
        <f ca="1">MONTH(NOW())+12*YEAR(NOW())-MONTH(tbl_MTG_Set[[#This Row],[Released On]])-12*YEAR(tbl_MTG_Set[[#This Row],[Released On]])</f>
        <v>19</v>
      </c>
      <c r="I88">
        <f>_xlfn.XLOOKUP(tbl_MTG_Set[[#This Row],[Type Name]], tbl_MTG_Set_Type[Set Type], tbl_MTG_Set_Type[Index], "(Set Type not found)")</f>
        <v>5</v>
      </c>
      <c r="J88">
        <f>_xlfn.XLOOKUP(tbl_MTG_Set[[#This Row],[Type Name]], tbl_MTG_Set_Type[Set Type], tbl_MTG_Set_Type[Buy Window Month Start], "(Set Type not found)")</f>
        <v>3</v>
      </c>
      <c r="K88" s="3">
        <f>tbl_MTG_Set[[#This Row],[Released On]]+tbl_MTG_Set[[#This Row],[Buy Window Month Start]]*365.25/12</f>
        <v>45597.3125</v>
      </c>
      <c r="L88">
        <f>_xlfn.XLOOKUP(tbl_MTG_Set[[#This Row],[Type Name]], tbl_MTG_Set_Type[Set Type], tbl_MTG_Set_Type[Buy Window Month End], "(Set Type not found)", 0, 1)</f>
        <v>12</v>
      </c>
      <c r="M88" s="3">
        <f>tbl_MTG_Set[[#This Row],[Released On]]+tbl_MTG_Set[[#This Row],[Buy Window Month End]]*365.25/12</f>
        <v>45871.25</v>
      </c>
      <c r="N88" s="3" t="b">
        <f ca="1">AND(NOW()&gt;=tbl_MTG_Set[[#This Row],[Buy Window Start]], NOW()&lt;=tbl_MTG_Set[[#This Row],[Buy Window End]])</f>
        <v>0</v>
      </c>
      <c r="O88">
        <f>_xlfn.XLOOKUP(tbl_MTG_Set[[#This Row],[Type Name]], tbl_MTG_Set_Type[Set Type], tbl_MTG_Set_Type[Heavy Printing Window Month Start], "(Set Type not found)", 0, 1)</f>
        <v>12</v>
      </c>
      <c r="P88" s="3">
        <f>tbl_MTG_Set[[#This Row],[Released On]]+tbl_MTG_Set[[#This Row],[Heavy Printing Window Month Start]]*365.25/12</f>
        <v>45871.25</v>
      </c>
      <c r="Q88">
        <f>_xlfn.XLOOKUP(tbl_MTG_Set[[#This Row],[Type Name]], tbl_MTG_Set_Type[Set Type], tbl_MTG_Set_Type[Heavy Printing Window Month End], "(Set Type not found)", 0, 1)</f>
        <v>18</v>
      </c>
      <c r="R88" s="3">
        <f>tbl_MTG_Set[[#This Row],[Released On]]+tbl_MTG_Set[[#This Row],[Heavy Printing Window Month End]]*365.25/12</f>
        <v>46053.875</v>
      </c>
      <c r="S88" s="3" t="b">
        <f ca="1">AND(NOW()&gt;=tbl_MTG_Set[[#This Row],[Heavy Printing Window Start]], NOW()&lt;=tbl_MTG_Set[[#This Row],[Heavy Printing Window End]])</f>
        <v>0</v>
      </c>
      <c r="T88">
        <f>_xlfn.XLOOKUP(tbl_MTG_Set[[#This Row],[Type Name]], tbl_MTG_Set_Type[Set Type], tbl_MTG_Set_Type[Sell Window Month Start], "(Set Type not found)", 0, 1)</f>
        <v>24</v>
      </c>
      <c r="U88" s="3">
        <f>tbl_MTG_Set[[#This Row],[Released On]]+tbl_MTG_Set[[#This Row],[Sell Window Month Start]]*365.25/12</f>
        <v>46236.5</v>
      </c>
      <c r="V88">
        <f>_xlfn.XLOOKUP(tbl_MTG_Set[[#This Row],[Type Name]], tbl_MTG_Set_Type[Set Type], tbl_MTG_Set_Type[Sell Window Month End], "(Set Type not found)", 0, 1)</f>
        <v>24</v>
      </c>
      <c r="W88" s="3">
        <f>tbl_MTG_Set[[#This Row],[Released On]]+tbl_MTG_Set[[#This Row],[Sell Window Month End]]*365.25/12</f>
        <v>46236.5</v>
      </c>
      <c r="X88" s="3" t="b">
        <f ca="1">AND(NOW()&gt;=tbl_MTG_Set[[#This Row],[Sell Window Start]], NOW()&lt;=tbl_MTG_Set[[#This Row],[Sell Window End]])</f>
        <v>0</v>
      </c>
      <c r="AG88" s="10"/>
      <c r="AH88" s="10"/>
      <c r="AM88" s="10" t="str" cm="1">
        <f t="array" ref="AM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" s="10" t="str" cm="1">
        <f t="array" ref="AN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" s="4" t="e">
        <f>_xlfn.XLOOKUP(tbl_MTG_Set[[#This Row],[Play Booster Box Product Id]], tbl_Product[Product Id], tbl_Product[Pack Size])</f>
        <v>#N/A</v>
      </c>
      <c r="AP88" s="10" t="e">
        <f>(tbl_MTG_Set[[#This Row],[Play Booster Box Cost]]+v_Item_Shipping_Cost_In)/tbl_MTG_Set[[#This Row],[Play Booster Box Size]]</f>
        <v>#VALUE!</v>
      </c>
      <c r="AQ88" s="10" t="str" cm="1">
        <f t="array" ref="AQ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" s="10"/>
      <c r="AS88" s="10"/>
      <c r="AT88" s="17" t="e">
        <f>tbl_MTG_Set[[#This Row],[Play Booster CardMarket Profit]]/tbl_MTG_Set[[#This Row],[Play Booster Cost]]</f>
        <v>#VALUE!</v>
      </c>
      <c r="AU88" s="10" t="e">
        <f>_xlfn.XLOOKUP(tbl_MTG_Set[[#This Row],[Collector Booster Box Product Id]], tbl_Product[Product Id], tbl_Product[Min Cost])</f>
        <v>#N/A</v>
      </c>
      <c r="AV88" s="10" t="e">
        <f>_xlfn.XLOOKUP(tbl_MTG_Set[[#This Row],[Collector Booster Box Product Id]], tbl_Product[Product Id], tbl_Product[Best Source])</f>
        <v>#N/A</v>
      </c>
      <c r="AW88" s="4" t="e">
        <f>_xlfn.XLOOKUP(tbl_MTG_Set[[#This Row],[Collector Booster Box Product Id]], tbl_Product[Product Id], tbl_Product[Pack Size])</f>
        <v>#N/A</v>
      </c>
      <c r="AX88" s="10" t="e">
        <f>(tbl_MTG_Set[[#This Row],[Collector Booster Box Cost]] + v_Item_Shipping_Cost_In) / tbl_MTG_Set[[#This Row],[Collector Booster Box Size]]</f>
        <v>#N/A</v>
      </c>
      <c r="AY88" s="10" t="str" cm="1">
        <f t="array" ref="AY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" s="10"/>
      <c r="BA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" s="17" t="e">
        <f>tbl_MTG_Set[[#This Row],[Collector Booster CardMarket Profit]]/tbl_MTG_Set[[#This Row],[Collector Booster Cost]]</f>
        <v>#N/A</v>
      </c>
      <c r="BC88" s="10"/>
      <c r="BF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" s="11" t="e">
        <f>tbl_MTG_Set[[#This Row],[Play Singles CardMarket Profit MTG Stocks]]/tbl_MTG_Set[[#This Row],[Play Booster Cost]]</f>
        <v>#VALUE!</v>
      </c>
      <c r="BI88" s="11" t="b">
        <f>tbl_MTG_Set[[#This Row],[Play Singles CardMarket Profit MTG Stocks]]&gt;0</f>
        <v>0</v>
      </c>
      <c r="BM88" s="10" t="e">
        <f>tbl_MTG_Set[[#This Row],[Play Booster Sell Price CardMarket]]*tbl_MTG_Set[[#This Row],[Play Booster Expected Market Value BotBox]]/tbl_MTG_Set[[#This Row],[Play Booster Sealed Market Value BotBox]]</f>
        <v>#VALUE!</v>
      </c>
      <c r="BN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" s="10" t="e">
        <f>tbl_MTG_Set[[#This Row],[Play Singles CardMarket Profit BotBox]]/tbl_MTG_Set[[#This Row],[Play Booster Cost]]</f>
        <v>#VALUE!</v>
      </c>
      <c r="BP88" s="10" t="b">
        <f>tbl_MTG_Set[[#This Row],[Play Singles CardMarket Profit BotBox]]&gt;0</f>
        <v>0</v>
      </c>
      <c r="BQ88" s="10"/>
      <c r="BR88" s="10"/>
      <c r="BS88" s="10"/>
      <c r="BT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" s="19" t="e">
        <f>tbl_MTG_Set[[#This Row],[Collector Singles CardMarket Profit MTG Stocks]]/tbl_MTG_Set[[#This Row],[Collector Booster Cost]]</f>
        <v>#N/A</v>
      </c>
      <c r="BW88" s="10" t="b">
        <f>tbl_MTG_Set[[#This Row],[Collector Singles CardMarket Profit MTG Stocks]]&gt;0</f>
        <v>0</v>
      </c>
      <c r="BX88" s="10"/>
      <c r="BY88" s="10"/>
      <c r="BZ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" s="10" t="e">
        <f>tbl_MTG_Set[[#This Row],[Collector Singles CardMarket Profit BotBox]]/tbl_MTG_Set[[#This Row],[Collector Booster Cost]]</f>
        <v>#N/A</v>
      </c>
      <c r="CC88" s="10" t="b">
        <f>tbl_MTG_Set[[#This Row],[Collector Singles CardMarket Profit BotBox]]&gt;0</f>
        <v>0</v>
      </c>
      <c r="CD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" spans="1:86" hidden="1">
      <c r="A89">
        <v>97</v>
      </c>
      <c r="B89" t="s">
        <v>262</v>
      </c>
      <c r="C89">
        <v>5</v>
      </c>
      <c r="D89" s="3">
        <v>45506</v>
      </c>
      <c r="F89" t="s">
        <v>174</v>
      </c>
      <c r="G89">
        <v>140</v>
      </c>
      <c r="H89">
        <f ca="1">MONTH(NOW())+12*YEAR(NOW())-MONTH(tbl_MTG_Set[[#This Row],[Released On]])-12*YEAR(tbl_MTG_Set[[#This Row],[Released On]])</f>
        <v>19</v>
      </c>
      <c r="I89" t="str">
        <f>_xlfn.XLOOKUP(tbl_MTG_Set[[#This Row],[Type Name]], tbl_MTG_Set_Type[Set Type], tbl_MTG_Set_Type[Index], "(Set Type not found)")</f>
        <v>(Set Type not found)</v>
      </c>
      <c r="J89" t="str">
        <f>_xlfn.XLOOKUP(tbl_MTG_Set[[#This Row],[Type Name]], tbl_MTG_Set_Type[Set Type], tbl_MTG_Set_Type[Buy Window Month Start], "(Set Type not found)")</f>
        <v>(Set Type not found)</v>
      </c>
      <c r="K89" s="3" t="e">
        <f>tbl_MTG_Set[[#This Row],[Released On]]+tbl_MTG_Set[[#This Row],[Buy Window Month Start]]*365.25/12</f>
        <v>#VALUE!</v>
      </c>
      <c r="L89" t="str">
        <f>_xlfn.XLOOKUP(tbl_MTG_Set[[#This Row],[Type Name]], tbl_MTG_Set_Type[Set Type], tbl_MTG_Set_Type[Buy Window Month End], "(Set Type not found)", 0, 1)</f>
        <v>(Set Type not found)</v>
      </c>
      <c r="M89" s="3" t="e">
        <f>tbl_MTG_Set[[#This Row],[Released On]]+tbl_MTG_Set[[#This Row],[Buy Window Month End]]*365.25/12</f>
        <v>#VALUE!</v>
      </c>
      <c r="N89" s="3" t="e">
        <f ca="1">AND(NOW()&gt;=tbl_MTG_Set[[#This Row],[Buy Window Start]], NOW()&lt;=tbl_MTG_Set[[#This Row],[Buy Window End]])</f>
        <v>#VALUE!</v>
      </c>
      <c r="O89" t="str">
        <f>_xlfn.XLOOKUP(tbl_MTG_Set[[#This Row],[Type Name]], tbl_MTG_Set_Type[Set Type], tbl_MTG_Set_Type[Heavy Printing Window Month Start], "(Set Type not found)", 0, 1)</f>
        <v>(Set Type not found)</v>
      </c>
      <c r="P89" s="3" t="e">
        <f>tbl_MTG_Set[[#This Row],[Released On]]+tbl_MTG_Set[[#This Row],[Heavy Printing Window Month Start]]*365.25/12</f>
        <v>#VALUE!</v>
      </c>
      <c r="Q89" t="str">
        <f>_xlfn.XLOOKUP(tbl_MTG_Set[[#This Row],[Type Name]], tbl_MTG_Set_Type[Set Type], tbl_MTG_Set_Type[Heavy Printing Window Month End], "(Set Type not found)", 0, 1)</f>
        <v>(Set Type not found)</v>
      </c>
      <c r="R89" s="3" t="e">
        <f>tbl_MTG_Set[[#This Row],[Released On]]+tbl_MTG_Set[[#This Row],[Heavy Printing Window Month End]]*365.25/12</f>
        <v>#VALUE!</v>
      </c>
      <c r="S89" s="3" t="e">
        <f ca="1">AND(NOW()&gt;=tbl_MTG_Set[[#This Row],[Heavy Printing Window Start]], NOW()&lt;=tbl_MTG_Set[[#This Row],[Heavy Printing Window End]])</f>
        <v>#VALUE!</v>
      </c>
      <c r="T89" t="str">
        <f>_xlfn.XLOOKUP(tbl_MTG_Set[[#This Row],[Type Name]], tbl_MTG_Set_Type[Set Type], tbl_MTG_Set_Type[Sell Window Month Start], "(Set Type not found)", 0, 1)</f>
        <v>(Set Type not found)</v>
      </c>
      <c r="U89" s="3" t="e">
        <f>tbl_MTG_Set[[#This Row],[Released On]]+tbl_MTG_Set[[#This Row],[Sell Window Month Start]]*365.25/12</f>
        <v>#VALUE!</v>
      </c>
      <c r="V89" t="str">
        <f>_xlfn.XLOOKUP(tbl_MTG_Set[[#This Row],[Type Name]], tbl_MTG_Set_Type[Set Type], tbl_MTG_Set_Type[Sell Window Month End], "(Set Type not found)", 0, 1)</f>
        <v>(Set Type not found)</v>
      </c>
      <c r="W89" s="3" t="e">
        <f>tbl_MTG_Set[[#This Row],[Released On]]+tbl_MTG_Set[[#This Row],[Sell Window Month End]]*365.25/12</f>
        <v>#VALUE!</v>
      </c>
      <c r="X89" s="3" t="e">
        <f ca="1">AND(NOW()&gt;=tbl_MTG_Set[[#This Row],[Sell Window Start]], NOW()&lt;=tbl_MTG_Set[[#This Row],[Sell Window End]])</f>
        <v>#VALUE!</v>
      </c>
      <c r="AG89" s="10"/>
      <c r="AH89" s="10"/>
      <c r="AM89" s="10" t="str" cm="1">
        <f t="array" ref="AM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" s="10" t="str" cm="1">
        <f t="array" ref="AN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" s="4" t="e">
        <f>_xlfn.XLOOKUP(tbl_MTG_Set[[#This Row],[Play Booster Box Product Id]], tbl_Product[Product Id], tbl_Product[Pack Size])</f>
        <v>#N/A</v>
      </c>
      <c r="AP89" s="10" t="e">
        <f>(tbl_MTG_Set[[#This Row],[Play Booster Box Cost]]+v_Item_Shipping_Cost_In)/tbl_MTG_Set[[#This Row],[Play Booster Box Size]]</f>
        <v>#VALUE!</v>
      </c>
      <c r="AQ89" s="10" t="str" cm="1">
        <f t="array" ref="AQ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" s="10"/>
      <c r="AS89" s="10"/>
      <c r="AT89" s="17" t="e">
        <f>tbl_MTG_Set[[#This Row],[Play Booster CardMarket Profit]]/tbl_MTG_Set[[#This Row],[Play Booster Cost]]</f>
        <v>#VALUE!</v>
      </c>
      <c r="AU89" s="10" t="e">
        <f>_xlfn.XLOOKUP(tbl_MTG_Set[[#This Row],[Collector Booster Box Product Id]], tbl_Product[Product Id], tbl_Product[Min Cost])</f>
        <v>#N/A</v>
      </c>
      <c r="AV89" s="10" t="e">
        <f>_xlfn.XLOOKUP(tbl_MTG_Set[[#This Row],[Collector Booster Box Product Id]], tbl_Product[Product Id], tbl_Product[Best Source])</f>
        <v>#N/A</v>
      </c>
      <c r="AW89" s="4" t="e">
        <f>_xlfn.XLOOKUP(tbl_MTG_Set[[#This Row],[Collector Booster Box Product Id]], tbl_Product[Product Id], tbl_Product[Pack Size])</f>
        <v>#N/A</v>
      </c>
      <c r="AX89" s="10" t="e">
        <f>(tbl_MTG_Set[[#This Row],[Collector Booster Box Cost]] + v_Item_Shipping_Cost_In) / tbl_MTG_Set[[#This Row],[Collector Booster Box Size]]</f>
        <v>#N/A</v>
      </c>
      <c r="AY89" s="10" t="str" cm="1">
        <f t="array" ref="AY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" s="10"/>
      <c r="BA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" s="17" t="e">
        <f>tbl_MTG_Set[[#This Row],[Collector Booster CardMarket Profit]]/tbl_MTG_Set[[#This Row],[Collector Booster Cost]]</f>
        <v>#N/A</v>
      </c>
      <c r="BC89" s="10"/>
      <c r="BF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" s="11" t="e">
        <f>tbl_MTG_Set[[#This Row],[Play Singles CardMarket Profit MTG Stocks]]/tbl_MTG_Set[[#This Row],[Play Booster Cost]]</f>
        <v>#VALUE!</v>
      </c>
      <c r="BI89" s="11" t="b">
        <f>tbl_MTG_Set[[#This Row],[Play Singles CardMarket Profit MTG Stocks]]&gt;0</f>
        <v>0</v>
      </c>
      <c r="BM89" s="10" t="e">
        <f>tbl_MTG_Set[[#This Row],[Play Booster Sell Price CardMarket]]*tbl_MTG_Set[[#This Row],[Play Booster Expected Market Value BotBox]]/tbl_MTG_Set[[#This Row],[Play Booster Sealed Market Value BotBox]]</f>
        <v>#VALUE!</v>
      </c>
      <c r="BN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" s="10" t="e">
        <f>tbl_MTG_Set[[#This Row],[Play Singles CardMarket Profit BotBox]]/tbl_MTG_Set[[#This Row],[Play Booster Cost]]</f>
        <v>#VALUE!</v>
      </c>
      <c r="BP89" s="10" t="b">
        <f>tbl_MTG_Set[[#This Row],[Play Singles CardMarket Profit BotBox]]&gt;0</f>
        <v>0</v>
      </c>
      <c r="BQ89" s="10"/>
      <c r="BR89" s="10"/>
      <c r="BS89" s="10"/>
      <c r="BT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" s="19" t="e">
        <f>tbl_MTG_Set[[#This Row],[Collector Singles CardMarket Profit MTG Stocks]]/tbl_MTG_Set[[#This Row],[Collector Booster Cost]]</f>
        <v>#N/A</v>
      </c>
      <c r="BW89" s="10" t="b">
        <f>tbl_MTG_Set[[#This Row],[Collector Singles CardMarket Profit MTG Stocks]]&gt;0</f>
        <v>0</v>
      </c>
      <c r="BX89" s="10"/>
      <c r="BY89" s="10"/>
      <c r="BZ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" s="10" t="e">
        <f>tbl_MTG_Set[[#This Row],[Collector Singles CardMarket Profit BotBox]]/tbl_MTG_Set[[#This Row],[Collector Booster Cost]]</f>
        <v>#N/A</v>
      </c>
      <c r="CC89" s="10" t="b">
        <f>tbl_MTG_Set[[#This Row],[Collector Singles CardMarket Profit BotBox]]&gt;0</f>
        <v>0</v>
      </c>
      <c r="CD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" spans="1:86" hidden="1">
      <c r="A90">
        <v>99</v>
      </c>
      <c r="B90" t="s">
        <v>263</v>
      </c>
      <c r="C90">
        <v>8</v>
      </c>
      <c r="D90" s="3">
        <v>45478</v>
      </c>
      <c r="E90" t="s">
        <v>86</v>
      </c>
      <c r="F90" t="s">
        <v>174</v>
      </c>
      <c r="G90">
        <v>144</v>
      </c>
      <c r="H90">
        <f ca="1">MONTH(NOW())+12*YEAR(NOW())-MONTH(tbl_MTG_Set[[#This Row],[Released On]])-12*YEAR(tbl_MTG_Set[[#This Row],[Released On]])</f>
        <v>20</v>
      </c>
      <c r="I90">
        <f>_xlfn.XLOOKUP(tbl_MTG_Set[[#This Row],[Type Name]], tbl_MTG_Set_Type[Set Type], tbl_MTG_Set_Type[Index], "(Set Type not found)")</f>
        <v>6</v>
      </c>
      <c r="J90">
        <f>_xlfn.XLOOKUP(tbl_MTG_Set[[#This Row],[Type Name]], tbl_MTG_Set_Type[Set Type], tbl_MTG_Set_Type[Buy Window Month Start], "(Set Type not found)")</f>
        <v>3</v>
      </c>
      <c r="K90" s="3">
        <f>tbl_MTG_Set[[#This Row],[Released On]]+tbl_MTG_Set[[#This Row],[Buy Window Month Start]]*365.25/12</f>
        <v>45569.3125</v>
      </c>
      <c r="L90">
        <f>_xlfn.XLOOKUP(tbl_MTG_Set[[#This Row],[Type Name]], tbl_MTG_Set_Type[Set Type], tbl_MTG_Set_Type[Buy Window Month End], "(Set Type not found)", 0, 1)</f>
        <v>6</v>
      </c>
      <c r="M90" s="3">
        <f>tbl_MTG_Set[[#This Row],[Released On]]+tbl_MTG_Set[[#This Row],[Buy Window Month End]]*365.25/12</f>
        <v>45660.625</v>
      </c>
      <c r="N90" s="3" t="b">
        <f ca="1">AND(NOW()&gt;=tbl_MTG_Set[[#This Row],[Buy Window Start]], NOW()&lt;=tbl_MTG_Set[[#This Row],[Buy Window End]])</f>
        <v>0</v>
      </c>
      <c r="O90">
        <f>_xlfn.XLOOKUP(tbl_MTG_Set[[#This Row],[Type Name]], tbl_MTG_Set_Type[Set Type], tbl_MTG_Set_Type[Heavy Printing Window Month Start], "(Set Type not found)", 0, 1)</f>
        <v>0</v>
      </c>
      <c r="P90" s="3">
        <f>tbl_MTG_Set[[#This Row],[Released On]]+tbl_MTG_Set[[#This Row],[Heavy Printing Window Month Start]]*365.25/12</f>
        <v>45478</v>
      </c>
      <c r="Q90">
        <f>_xlfn.XLOOKUP(tbl_MTG_Set[[#This Row],[Type Name]], tbl_MTG_Set_Type[Set Type], tbl_MTG_Set_Type[Heavy Printing Window Month End], "(Set Type not found)", 0, 1)</f>
        <v>0</v>
      </c>
      <c r="R90" s="3">
        <f>tbl_MTG_Set[[#This Row],[Released On]]+tbl_MTG_Set[[#This Row],[Heavy Printing Window Month End]]*365.25/12</f>
        <v>45478</v>
      </c>
      <c r="S90" s="3" t="b">
        <f ca="1">AND(NOW()&gt;=tbl_MTG_Set[[#This Row],[Heavy Printing Window Start]], NOW()&lt;=tbl_MTG_Set[[#This Row],[Heavy Printing Window End]])</f>
        <v>0</v>
      </c>
      <c r="T90">
        <f>_xlfn.XLOOKUP(tbl_MTG_Set[[#This Row],[Type Name]], tbl_MTG_Set_Type[Set Type], tbl_MTG_Set_Type[Sell Window Month Start], "(Set Type not found)", 0, 1)</f>
        <v>0</v>
      </c>
      <c r="U90" s="3">
        <f>tbl_MTG_Set[[#This Row],[Released On]]+tbl_MTG_Set[[#This Row],[Sell Window Month Start]]*365.25/12</f>
        <v>45478</v>
      </c>
      <c r="V90">
        <f>_xlfn.XLOOKUP(tbl_MTG_Set[[#This Row],[Type Name]], tbl_MTG_Set_Type[Set Type], tbl_MTG_Set_Type[Sell Window Month End], "(Set Type not found)", 0, 1)</f>
        <v>0</v>
      </c>
      <c r="W90" s="3">
        <f>tbl_MTG_Set[[#This Row],[Released On]]+tbl_MTG_Set[[#This Row],[Sell Window Month End]]*365.25/12</f>
        <v>45478</v>
      </c>
      <c r="X90" s="3" t="b">
        <f ca="1">AND(NOW()&gt;=tbl_MTG_Set[[#This Row],[Sell Window Start]], NOW()&lt;=tbl_MTG_Set[[#This Row],[Sell Window End]])</f>
        <v>0</v>
      </c>
      <c r="AG90" s="10"/>
      <c r="AH90" s="10"/>
      <c r="AM90" s="10" t="str" cm="1">
        <f t="array" ref="AM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" s="10" t="str" cm="1">
        <f t="array" ref="AN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" s="4" t="e">
        <f>_xlfn.XLOOKUP(tbl_MTG_Set[[#This Row],[Play Booster Box Product Id]], tbl_Product[Product Id], tbl_Product[Pack Size])</f>
        <v>#N/A</v>
      </c>
      <c r="AP90" s="10" t="e">
        <f>(tbl_MTG_Set[[#This Row],[Play Booster Box Cost]]+v_Item_Shipping_Cost_In)/tbl_MTG_Set[[#This Row],[Play Booster Box Size]]</f>
        <v>#VALUE!</v>
      </c>
      <c r="AQ90" s="10" t="str" cm="1">
        <f t="array" ref="AQ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" s="10"/>
      <c r="AS90" s="10"/>
      <c r="AT90" s="17" t="e">
        <f>tbl_MTG_Set[[#This Row],[Play Booster CardMarket Profit]]/tbl_MTG_Set[[#This Row],[Play Booster Cost]]</f>
        <v>#VALUE!</v>
      </c>
      <c r="AU90" s="10" t="e">
        <f>_xlfn.XLOOKUP(tbl_MTG_Set[[#This Row],[Collector Booster Box Product Id]], tbl_Product[Product Id], tbl_Product[Min Cost])</f>
        <v>#N/A</v>
      </c>
      <c r="AV90" s="10" t="e">
        <f>_xlfn.XLOOKUP(tbl_MTG_Set[[#This Row],[Collector Booster Box Product Id]], tbl_Product[Product Id], tbl_Product[Best Source])</f>
        <v>#N/A</v>
      </c>
      <c r="AW90" s="4" t="e">
        <f>_xlfn.XLOOKUP(tbl_MTG_Set[[#This Row],[Collector Booster Box Product Id]], tbl_Product[Product Id], tbl_Product[Pack Size])</f>
        <v>#N/A</v>
      </c>
      <c r="AX90" s="10" t="e">
        <f>(tbl_MTG_Set[[#This Row],[Collector Booster Box Cost]] + v_Item_Shipping_Cost_In) / tbl_MTG_Set[[#This Row],[Collector Booster Box Size]]</f>
        <v>#N/A</v>
      </c>
      <c r="AY90" s="10" t="str" cm="1">
        <f t="array" ref="AY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" s="10"/>
      <c r="BA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" s="17" t="e">
        <f>tbl_MTG_Set[[#This Row],[Collector Booster CardMarket Profit]]/tbl_MTG_Set[[#This Row],[Collector Booster Cost]]</f>
        <v>#N/A</v>
      </c>
      <c r="BC90" s="10"/>
      <c r="BF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" s="11" t="e">
        <f>tbl_MTG_Set[[#This Row],[Play Singles CardMarket Profit MTG Stocks]]/tbl_MTG_Set[[#This Row],[Play Booster Cost]]</f>
        <v>#VALUE!</v>
      </c>
      <c r="BI90" s="11" t="b">
        <f>tbl_MTG_Set[[#This Row],[Play Singles CardMarket Profit MTG Stocks]]&gt;0</f>
        <v>0</v>
      </c>
      <c r="BM90" s="10" t="e">
        <f>tbl_MTG_Set[[#This Row],[Play Booster Sell Price CardMarket]]*tbl_MTG_Set[[#This Row],[Play Booster Expected Market Value BotBox]]/tbl_MTG_Set[[#This Row],[Play Booster Sealed Market Value BotBox]]</f>
        <v>#VALUE!</v>
      </c>
      <c r="BN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" s="10" t="e">
        <f>tbl_MTG_Set[[#This Row],[Play Singles CardMarket Profit BotBox]]/tbl_MTG_Set[[#This Row],[Play Booster Cost]]</f>
        <v>#VALUE!</v>
      </c>
      <c r="BP90" s="10" t="b">
        <f>tbl_MTG_Set[[#This Row],[Play Singles CardMarket Profit BotBox]]&gt;0</f>
        <v>0</v>
      </c>
      <c r="BQ90" s="10"/>
      <c r="BR90" s="10"/>
      <c r="BS90" s="10"/>
      <c r="BT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" s="19" t="e">
        <f>tbl_MTG_Set[[#This Row],[Collector Singles CardMarket Profit MTG Stocks]]/tbl_MTG_Set[[#This Row],[Collector Booster Cost]]</f>
        <v>#N/A</v>
      </c>
      <c r="BW90" s="10" t="b">
        <f>tbl_MTG_Set[[#This Row],[Collector Singles CardMarket Profit MTG Stocks]]&gt;0</f>
        <v>0</v>
      </c>
      <c r="BX90" s="10"/>
      <c r="BY90" s="10"/>
      <c r="BZ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" s="10" t="e">
        <f>tbl_MTG_Set[[#This Row],[Collector Singles CardMarket Profit BotBox]]/tbl_MTG_Set[[#This Row],[Collector Booster Cost]]</f>
        <v>#N/A</v>
      </c>
      <c r="CC90" s="10" t="b">
        <f>tbl_MTG_Set[[#This Row],[Collector Singles CardMarket Profit BotBox]]&gt;0</f>
        <v>0</v>
      </c>
      <c r="CD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" spans="1:86" hidden="1">
      <c r="A91">
        <v>100</v>
      </c>
      <c r="B91" t="s">
        <v>264</v>
      </c>
      <c r="C91">
        <v>3</v>
      </c>
      <c r="D91" s="3">
        <v>45478</v>
      </c>
      <c r="E91" t="s">
        <v>86</v>
      </c>
      <c r="F91" t="s">
        <v>174</v>
      </c>
      <c r="G91">
        <v>146</v>
      </c>
      <c r="H91">
        <f ca="1">MONTH(NOW())+12*YEAR(NOW())-MONTH(tbl_MTG_Set[[#This Row],[Released On]])-12*YEAR(tbl_MTG_Set[[#This Row],[Released On]])</f>
        <v>20</v>
      </c>
      <c r="I91">
        <f>_xlfn.XLOOKUP(tbl_MTG_Set[[#This Row],[Type Name]], tbl_MTG_Set_Type[Set Type], tbl_MTG_Set_Type[Index], "(Set Type not found)")</f>
        <v>6</v>
      </c>
      <c r="J91">
        <f>_xlfn.XLOOKUP(tbl_MTG_Set[[#This Row],[Type Name]], tbl_MTG_Set_Type[Set Type], tbl_MTG_Set_Type[Buy Window Month Start], "(Set Type not found)")</f>
        <v>3</v>
      </c>
      <c r="K91" s="3">
        <f>tbl_MTG_Set[[#This Row],[Released On]]+tbl_MTG_Set[[#This Row],[Buy Window Month Start]]*365.25/12</f>
        <v>45569.3125</v>
      </c>
      <c r="L91">
        <f>_xlfn.XLOOKUP(tbl_MTG_Set[[#This Row],[Type Name]], tbl_MTG_Set_Type[Set Type], tbl_MTG_Set_Type[Buy Window Month End], "(Set Type not found)", 0, 1)</f>
        <v>6</v>
      </c>
      <c r="M91" s="3">
        <f>tbl_MTG_Set[[#This Row],[Released On]]+tbl_MTG_Set[[#This Row],[Buy Window Month End]]*365.25/12</f>
        <v>45660.625</v>
      </c>
      <c r="N91" s="3" t="b">
        <f ca="1">AND(NOW()&gt;=tbl_MTG_Set[[#This Row],[Buy Window Start]], NOW()&lt;=tbl_MTG_Set[[#This Row],[Buy Window End]])</f>
        <v>0</v>
      </c>
      <c r="O91">
        <f>_xlfn.XLOOKUP(tbl_MTG_Set[[#This Row],[Type Name]], tbl_MTG_Set_Type[Set Type], tbl_MTG_Set_Type[Heavy Printing Window Month Start], "(Set Type not found)", 0, 1)</f>
        <v>0</v>
      </c>
      <c r="P91" s="3">
        <f>tbl_MTG_Set[[#This Row],[Released On]]+tbl_MTG_Set[[#This Row],[Heavy Printing Window Month Start]]*365.25/12</f>
        <v>45478</v>
      </c>
      <c r="Q91">
        <f>_xlfn.XLOOKUP(tbl_MTG_Set[[#This Row],[Type Name]], tbl_MTG_Set_Type[Set Type], tbl_MTG_Set_Type[Heavy Printing Window Month End], "(Set Type not found)", 0, 1)</f>
        <v>0</v>
      </c>
      <c r="R91" s="3">
        <f>tbl_MTG_Set[[#This Row],[Released On]]+tbl_MTG_Set[[#This Row],[Heavy Printing Window Month End]]*365.25/12</f>
        <v>45478</v>
      </c>
      <c r="S91" s="3" t="b">
        <f ca="1">AND(NOW()&gt;=tbl_MTG_Set[[#This Row],[Heavy Printing Window Start]], NOW()&lt;=tbl_MTG_Set[[#This Row],[Heavy Printing Window End]])</f>
        <v>0</v>
      </c>
      <c r="T91">
        <f>_xlfn.XLOOKUP(tbl_MTG_Set[[#This Row],[Type Name]], tbl_MTG_Set_Type[Set Type], tbl_MTG_Set_Type[Sell Window Month Start], "(Set Type not found)", 0, 1)</f>
        <v>0</v>
      </c>
      <c r="U91" s="3">
        <f>tbl_MTG_Set[[#This Row],[Released On]]+tbl_MTG_Set[[#This Row],[Sell Window Month Start]]*365.25/12</f>
        <v>45478</v>
      </c>
      <c r="V91">
        <f>_xlfn.XLOOKUP(tbl_MTG_Set[[#This Row],[Type Name]], tbl_MTG_Set_Type[Set Type], tbl_MTG_Set_Type[Sell Window Month End], "(Set Type not found)", 0, 1)</f>
        <v>0</v>
      </c>
      <c r="W91" s="3">
        <f>tbl_MTG_Set[[#This Row],[Released On]]+tbl_MTG_Set[[#This Row],[Sell Window Month End]]*365.25/12</f>
        <v>45478</v>
      </c>
      <c r="X91" s="3" t="b">
        <f ca="1">AND(NOW()&gt;=tbl_MTG_Set[[#This Row],[Sell Window Start]], NOW()&lt;=tbl_MTG_Set[[#This Row],[Sell Window End]])</f>
        <v>0</v>
      </c>
      <c r="AG91" s="10"/>
      <c r="AH91" s="10"/>
      <c r="AM91" s="10" t="str" cm="1">
        <f t="array" ref="AM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" s="10" t="str" cm="1">
        <f t="array" ref="AN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" s="4" t="e">
        <f>_xlfn.XLOOKUP(tbl_MTG_Set[[#This Row],[Play Booster Box Product Id]], tbl_Product[Product Id], tbl_Product[Pack Size])</f>
        <v>#N/A</v>
      </c>
      <c r="AP91" s="10" t="e">
        <f>(tbl_MTG_Set[[#This Row],[Play Booster Box Cost]]+v_Item_Shipping_Cost_In)/tbl_MTG_Set[[#This Row],[Play Booster Box Size]]</f>
        <v>#VALUE!</v>
      </c>
      <c r="AQ91" s="10" t="str" cm="1">
        <f t="array" ref="AQ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" s="10"/>
      <c r="AS91" s="10"/>
      <c r="AT91" s="17" t="e">
        <f>tbl_MTG_Set[[#This Row],[Play Booster CardMarket Profit]]/tbl_MTG_Set[[#This Row],[Play Booster Cost]]</f>
        <v>#VALUE!</v>
      </c>
      <c r="AU91" s="10" t="e">
        <f>_xlfn.XLOOKUP(tbl_MTG_Set[[#This Row],[Collector Booster Box Product Id]], tbl_Product[Product Id], tbl_Product[Min Cost])</f>
        <v>#N/A</v>
      </c>
      <c r="AV91" s="10" t="e">
        <f>_xlfn.XLOOKUP(tbl_MTG_Set[[#This Row],[Collector Booster Box Product Id]], tbl_Product[Product Id], tbl_Product[Best Source])</f>
        <v>#N/A</v>
      </c>
      <c r="AW91" s="4" t="e">
        <f>_xlfn.XLOOKUP(tbl_MTG_Set[[#This Row],[Collector Booster Box Product Id]], tbl_Product[Product Id], tbl_Product[Pack Size])</f>
        <v>#N/A</v>
      </c>
      <c r="AX91" s="10" t="e">
        <f>(tbl_MTG_Set[[#This Row],[Collector Booster Box Cost]] + v_Item_Shipping_Cost_In) / tbl_MTG_Set[[#This Row],[Collector Booster Box Size]]</f>
        <v>#N/A</v>
      </c>
      <c r="AY91" s="10" t="str" cm="1">
        <f t="array" ref="AY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" s="10"/>
      <c r="BA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" s="17" t="e">
        <f>tbl_MTG_Set[[#This Row],[Collector Booster CardMarket Profit]]/tbl_MTG_Set[[#This Row],[Collector Booster Cost]]</f>
        <v>#N/A</v>
      </c>
      <c r="BC91" s="10"/>
      <c r="BF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" s="11" t="e">
        <f>tbl_MTG_Set[[#This Row],[Play Singles CardMarket Profit MTG Stocks]]/tbl_MTG_Set[[#This Row],[Play Booster Cost]]</f>
        <v>#VALUE!</v>
      </c>
      <c r="BI91" s="11" t="b">
        <f>tbl_MTG_Set[[#This Row],[Play Singles CardMarket Profit MTG Stocks]]&gt;0</f>
        <v>0</v>
      </c>
      <c r="BM91" s="10" t="e">
        <f>tbl_MTG_Set[[#This Row],[Play Booster Sell Price CardMarket]]*tbl_MTG_Set[[#This Row],[Play Booster Expected Market Value BotBox]]/tbl_MTG_Set[[#This Row],[Play Booster Sealed Market Value BotBox]]</f>
        <v>#VALUE!</v>
      </c>
      <c r="BN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" s="10" t="e">
        <f>tbl_MTG_Set[[#This Row],[Play Singles CardMarket Profit BotBox]]/tbl_MTG_Set[[#This Row],[Play Booster Cost]]</f>
        <v>#VALUE!</v>
      </c>
      <c r="BP91" s="10" t="b">
        <f>tbl_MTG_Set[[#This Row],[Play Singles CardMarket Profit BotBox]]&gt;0</f>
        <v>0</v>
      </c>
      <c r="BQ91" s="10"/>
      <c r="BR91" s="10"/>
      <c r="BS91" s="10"/>
      <c r="BT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" s="19" t="e">
        <f>tbl_MTG_Set[[#This Row],[Collector Singles CardMarket Profit MTG Stocks]]/tbl_MTG_Set[[#This Row],[Collector Booster Cost]]</f>
        <v>#N/A</v>
      </c>
      <c r="BW91" s="10" t="b">
        <f>tbl_MTG_Set[[#This Row],[Collector Singles CardMarket Profit MTG Stocks]]&gt;0</f>
        <v>0</v>
      </c>
      <c r="BX91" s="10"/>
      <c r="BY91" s="10"/>
      <c r="BZ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" s="10" t="e">
        <f>tbl_MTG_Set[[#This Row],[Collector Singles CardMarket Profit BotBox]]/tbl_MTG_Set[[#This Row],[Collector Booster Cost]]</f>
        <v>#N/A</v>
      </c>
      <c r="CC91" s="10" t="b">
        <f>tbl_MTG_Set[[#This Row],[Collector Singles CardMarket Profit BotBox]]&gt;0</f>
        <v>0</v>
      </c>
      <c r="CD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" spans="1:86" hidden="1">
      <c r="A92">
        <v>101</v>
      </c>
      <c r="B92" t="s">
        <v>265</v>
      </c>
      <c r="C92">
        <v>20</v>
      </c>
      <c r="D92" s="3">
        <v>45478</v>
      </c>
      <c r="E92" t="s">
        <v>86</v>
      </c>
      <c r="F92" t="s">
        <v>174</v>
      </c>
      <c r="G92">
        <v>148</v>
      </c>
      <c r="H92">
        <f ca="1">MONTH(NOW())+12*YEAR(NOW())-MONTH(tbl_MTG_Set[[#This Row],[Released On]])-12*YEAR(tbl_MTG_Set[[#This Row],[Released On]])</f>
        <v>20</v>
      </c>
      <c r="I92">
        <f>_xlfn.XLOOKUP(tbl_MTG_Set[[#This Row],[Type Name]], tbl_MTG_Set_Type[Set Type], tbl_MTG_Set_Type[Index], "(Set Type not found)")</f>
        <v>6</v>
      </c>
      <c r="J92">
        <f>_xlfn.XLOOKUP(tbl_MTG_Set[[#This Row],[Type Name]], tbl_MTG_Set_Type[Set Type], tbl_MTG_Set_Type[Buy Window Month Start], "(Set Type not found)")</f>
        <v>3</v>
      </c>
      <c r="K92" s="3">
        <f>tbl_MTG_Set[[#This Row],[Released On]]+tbl_MTG_Set[[#This Row],[Buy Window Month Start]]*365.25/12</f>
        <v>45569.3125</v>
      </c>
      <c r="L92">
        <f>_xlfn.XLOOKUP(tbl_MTG_Set[[#This Row],[Type Name]], tbl_MTG_Set_Type[Set Type], tbl_MTG_Set_Type[Buy Window Month End], "(Set Type not found)", 0, 1)</f>
        <v>6</v>
      </c>
      <c r="M92" s="3">
        <f>tbl_MTG_Set[[#This Row],[Released On]]+tbl_MTG_Set[[#This Row],[Buy Window Month End]]*365.25/12</f>
        <v>45660.625</v>
      </c>
      <c r="N92" s="3" t="b">
        <f ca="1">AND(NOW()&gt;=tbl_MTG_Set[[#This Row],[Buy Window Start]], NOW()&lt;=tbl_MTG_Set[[#This Row],[Buy Window End]])</f>
        <v>0</v>
      </c>
      <c r="O92">
        <f>_xlfn.XLOOKUP(tbl_MTG_Set[[#This Row],[Type Name]], tbl_MTG_Set_Type[Set Type], tbl_MTG_Set_Type[Heavy Printing Window Month Start], "(Set Type not found)", 0, 1)</f>
        <v>0</v>
      </c>
      <c r="P92" s="3">
        <f>tbl_MTG_Set[[#This Row],[Released On]]+tbl_MTG_Set[[#This Row],[Heavy Printing Window Month Start]]*365.25/12</f>
        <v>45478</v>
      </c>
      <c r="Q92">
        <f>_xlfn.XLOOKUP(tbl_MTG_Set[[#This Row],[Type Name]], tbl_MTG_Set_Type[Set Type], tbl_MTG_Set_Type[Heavy Printing Window Month End], "(Set Type not found)", 0, 1)</f>
        <v>0</v>
      </c>
      <c r="R92" s="3">
        <f>tbl_MTG_Set[[#This Row],[Released On]]+tbl_MTG_Set[[#This Row],[Heavy Printing Window Month End]]*365.25/12</f>
        <v>45478</v>
      </c>
      <c r="S92" s="3" t="b">
        <f ca="1">AND(NOW()&gt;=tbl_MTG_Set[[#This Row],[Heavy Printing Window Start]], NOW()&lt;=tbl_MTG_Set[[#This Row],[Heavy Printing Window End]])</f>
        <v>0</v>
      </c>
      <c r="T92">
        <f>_xlfn.XLOOKUP(tbl_MTG_Set[[#This Row],[Type Name]], tbl_MTG_Set_Type[Set Type], tbl_MTG_Set_Type[Sell Window Month Start], "(Set Type not found)", 0, 1)</f>
        <v>0</v>
      </c>
      <c r="U92" s="3">
        <f>tbl_MTG_Set[[#This Row],[Released On]]+tbl_MTG_Set[[#This Row],[Sell Window Month Start]]*365.25/12</f>
        <v>45478</v>
      </c>
      <c r="V92">
        <f>_xlfn.XLOOKUP(tbl_MTG_Set[[#This Row],[Type Name]], tbl_MTG_Set_Type[Set Type], tbl_MTG_Set_Type[Sell Window Month End], "(Set Type not found)", 0, 1)</f>
        <v>0</v>
      </c>
      <c r="W92" s="3">
        <f>tbl_MTG_Set[[#This Row],[Released On]]+tbl_MTG_Set[[#This Row],[Sell Window Month End]]*365.25/12</f>
        <v>45478</v>
      </c>
      <c r="X92" s="3" t="b">
        <f ca="1">AND(NOW()&gt;=tbl_MTG_Set[[#This Row],[Sell Window Start]], NOW()&lt;=tbl_MTG_Set[[#This Row],[Sell Window End]])</f>
        <v>0</v>
      </c>
      <c r="AG92" s="10"/>
      <c r="AH92" s="10"/>
      <c r="AM92" s="10" t="str" cm="1">
        <f t="array" ref="AM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" s="10" t="str" cm="1">
        <f t="array" ref="AN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" s="4" t="e">
        <f>_xlfn.XLOOKUP(tbl_MTG_Set[[#This Row],[Play Booster Box Product Id]], tbl_Product[Product Id], tbl_Product[Pack Size])</f>
        <v>#N/A</v>
      </c>
      <c r="AP92" s="10" t="e">
        <f>(tbl_MTG_Set[[#This Row],[Play Booster Box Cost]]+v_Item_Shipping_Cost_In)/tbl_MTG_Set[[#This Row],[Play Booster Box Size]]</f>
        <v>#VALUE!</v>
      </c>
      <c r="AQ92" s="10" t="str" cm="1">
        <f t="array" ref="AQ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" s="10"/>
      <c r="AS92" s="10"/>
      <c r="AT92" s="17" t="e">
        <f>tbl_MTG_Set[[#This Row],[Play Booster CardMarket Profit]]/tbl_MTG_Set[[#This Row],[Play Booster Cost]]</f>
        <v>#VALUE!</v>
      </c>
      <c r="AU92" s="10" t="e">
        <f>_xlfn.XLOOKUP(tbl_MTG_Set[[#This Row],[Collector Booster Box Product Id]], tbl_Product[Product Id], tbl_Product[Min Cost])</f>
        <v>#N/A</v>
      </c>
      <c r="AV92" s="10" t="e">
        <f>_xlfn.XLOOKUP(tbl_MTG_Set[[#This Row],[Collector Booster Box Product Id]], tbl_Product[Product Id], tbl_Product[Best Source])</f>
        <v>#N/A</v>
      </c>
      <c r="AW92" s="4" t="e">
        <f>_xlfn.XLOOKUP(tbl_MTG_Set[[#This Row],[Collector Booster Box Product Id]], tbl_Product[Product Id], tbl_Product[Pack Size])</f>
        <v>#N/A</v>
      </c>
      <c r="AX92" s="10" t="e">
        <f>(tbl_MTG_Set[[#This Row],[Collector Booster Box Cost]] + v_Item_Shipping_Cost_In) / tbl_MTG_Set[[#This Row],[Collector Booster Box Size]]</f>
        <v>#N/A</v>
      </c>
      <c r="AY92" s="10" t="str" cm="1">
        <f t="array" ref="AY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" s="10"/>
      <c r="BA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" s="17" t="e">
        <f>tbl_MTG_Set[[#This Row],[Collector Booster CardMarket Profit]]/tbl_MTG_Set[[#This Row],[Collector Booster Cost]]</f>
        <v>#N/A</v>
      </c>
      <c r="BC92" s="10"/>
      <c r="BF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" s="11" t="e">
        <f>tbl_MTG_Set[[#This Row],[Play Singles CardMarket Profit MTG Stocks]]/tbl_MTG_Set[[#This Row],[Play Booster Cost]]</f>
        <v>#VALUE!</v>
      </c>
      <c r="BI92" s="11" t="b">
        <f>tbl_MTG_Set[[#This Row],[Play Singles CardMarket Profit MTG Stocks]]&gt;0</f>
        <v>0</v>
      </c>
      <c r="BM92" s="10" t="e">
        <f>tbl_MTG_Set[[#This Row],[Play Booster Sell Price CardMarket]]*tbl_MTG_Set[[#This Row],[Play Booster Expected Market Value BotBox]]/tbl_MTG_Set[[#This Row],[Play Booster Sealed Market Value BotBox]]</f>
        <v>#VALUE!</v>
      </c>
      <c r="BN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" s="10" t="e">
        <f>tbl_MTG_Set[[#This Row],[Play Singles CardMarket Profit BotBox]]/tbl_MTG_Set[[#This Row],[Play Booster Cost]]</f>
        <v>#VALUE!</v>
      </c>
      <c r="BP92" s="10" t="b">
        <f>tbl_MTG_Set[[#This Row],[Play Singles CardMarket Profit BotBox]]&gt;0</f>
        <v>0</v>
      </c>
      <c r="BQ92" s="10"/>
      <c r="BR92" s="10"/>
      <c r="BS92" s="10"/>
      <c r="BT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" s="19" t="e">
        <f>tbl_MTG_Set[[#This Row],[Collector Singles CardMarket Profit MTG Stocks]]/tbl_MTG_Set[[#This Row],[Collector Booster Cost]]</f>
        <v>#N/A</v>
      </c>
      <c r="BW92" s="10" t="b">
        <f>tbl_MTG_Set[[#This Row],[Collector Singles CardMarket Profit MTG Stocks]]&gt;0</f>
        <v>0</v>
      </c>
      <c r="BX92" s="10"/>
      <c r="BY92" s="10"/>
      <c r="BZ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" s="10" t="e">
        <f>tbl_MTG_Set[[#This Row],[Collector Singles CardMarket Profit BotBox]]/tbl_MTG_Set[[#This Row],[Collector Booster Cost]]</f>
        <v>#N/A</v>
      </c>
      <c r="CC92" s="10" t="b">
        <f>tbl_MTG_Set[[#This Row],[Collector Singles CardMarket Profit BotBox]]&gt;0</f>
        <v>0</v>
      </c>
      <c r="CD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" spans="1:86" hidden="1">
      <c r="A93">
        <v>103</v>
      </c>
      <c r="B93" t="s">
        <v>266</v>
      </c>
      <c r="C93">
        <v>85</v>
      </c>
      <c r="D93" s="3">
        <v>45457</v>
      </c>
      <c r="E93" t="s">
        <v>76</v>
      </c>
      <c r="F93" t="s">
        <v>174</v>
      </c>
      <c r="G93">
        <v>152</v>
      </c>
      <c r="H93">
        <f ca="1">MONTH(NOW())+12*YEAR(NOW())-MONTH(tbl_MTG_Set[[#This Row],[Released On]])-12*YEAR(tbl_MTG_Set[[#This Row],[Released On]])</f>
        <v>21</v>
      </c>
      <c r="I93">
        <f>_xlfn.XLOOKUP(tbl_MTG_Set[[#This Row],[Type Name]], tbl_MTG_Set_Type[Set Type], tbl_MTG_Set_Type[Index], "(Set Type not found)")</f>
        <v>4</v>
      </c>
      <c r="J93">
        <f>_xlfn.XLOOKUP(tbl_MTG_Set[[#This Row],[Type Name]], tbl_MTG_Set_Type[Set Type], tbl_MTG_Set_Type[Buy Window Month Start], "(Set Type not found)")</f>
        <v>6</v>
      </c>
      <c r="K93" s="3">
        <f>tbl_MTG_Set[[#This Row],[Released On]]+tbl_MTG_Set[[#This Row],[Buy Window Month Start]]*365.25/12</f>
        <v>45639.625</v>
      </c>
      <c r="L93">
        <f>_xlfn.XLOOKUP(tbl_MTG_Set[[#This Row],[Type Name]], tbl_MTG_Set_Type[Set Type], tbl_MTG_Set_Type[Buy Window Month End], "(Set Type not found)", 0, 1)</f>
        <v>12</v>
      </c>
      <c r="M93" s="3">
        <f>tbl_MTG_Set[[#This Row],[Released On]]+tbl_MTG_Set[[#This Row],[Buy Window Month End]]*365.25/12</f>
        <v>45822.25</v>
      </c>
      <c r="N93" s="3" t="b">
        <f ca="1">AND(NOW()&gt;=tbl_MTG_Set[[#This Row],[Buy Window Start]], NOW()&lt;=tbl_MTG_Set[[#This Row],[Buy Window End]])</f>
        <v>0</v>
      </c>
      <c r="O93">
        <f>_xlfn.XLOOKUP(tbl_MTG_Set[[#This Row],[Type Name]], tbl_MTG_Set_Type[Set Type], tbl_MTG_Set_Type[Heavy Printing Window Month Start], "(Set Type not found)", 0, 1)</f>
        <v>6</v>
      </c>
      <c r="P93" s="3">
        <f>tbl_MTG_Set[[#This Row],[Released On]]+tbl_MTG_Set[[#This Row],[Heavy Printing Window Month Start]]*365.25/12</f>
        <v>45639.625</v>
      </c>
      <c r="Q93">
        <f>_xlfn.XLOOKUP(tbl_MTG_Set[[#This Row],[Type Name]], tbl_MTG_Set_Type[Set Type], tbl_MTG_Set_Type[Heavy Printing Window Month End], "(Set Type not found)", 0, 1)</f>
        <v>12</v>
      </c>
      <c r="R93" s="3">
        <f>tbl_MTG_Set[[#This Row],[Released On]]+tbl_MTG_Set[[#This Row],[Heavy Printing Window Month End]]*365.25/12</f>
        <v>45822.25</v>
      </c>
      <c r="S93" s="3" t="b">
        <f ca="1">AND(NOW()&gt;=tbl_MTG_Set[[#This Row],[Heavy Printing Window Start]], NOW()&lt;=tbl_MTG_Set[[#This Row],[Heavy Printing Window End]])</f>
        <v>0</v>
      </c>
      <c r="T93">
        <f>_xlfn.XLOOKUP(tbl_MTG_Set[[#This Row],[Type Name]], tbl_MTG_Set_Type[Set Type], tbl_MTG_Set_Type[Sell Window Month Start], "(Set Type not found)", 0, 1)</f>
        <v>24</v>
      </c>
      <c r="U93" s="3">
        <f>tbl_MTG_Set[[#This Row],[Released On]]+tbl_MTG_Set[[#This Row],[Sell Window Month Start]]*365.25/12</f>
        <v>46187.5</v>
      </c>
      <c r="V93">
        <f>_xlfn.XLOOKUP(tbl_MTG_Set[[#This Row],[Type Name]], tbl_MTG_Set_Type[Set Type], tbl_MTG_Set_Type[Sell Window Month End], "(Set Type not found)", 0, 1)</f>
        <v>48</v>
      </c>
      <c r="W93" s="3">
        <f>tbl_MTG_Set[[#This Row],[Released On]]+tbl_MTG_Set[[#This Row],[Sell Window Month End]]*365.25/12</f>
        <v>46918</v>
      </c>
      <c r="X93" s="3" t="b">
        <f ca="1">AND(NOW()&gt;=tbl_MTG_Set[[#This Row],[Sell Window Start]], NOW()&lt;=tbl_MTG_Set[[#This Row],[Sell Window End]])</f>
        <v>0</v>
      </c>
      <c r="AG93" s="10"/>
      <c r="AH93" s="10"/>
      <c r="AM93" s="10" t="str" cm="1">
        <f t="array" ref="AM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" s="10" t="str" cm="1">
        <f t="array" ref="AN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" s="4" t="e">
        <f>_xlfn.XLOOKUP(tbl_MTG_Set[[#This Row],[Play Booster Box Product Id]], tbl_Product[Product Id], tbl_Product[Pack Size])</f>
        <v>#N/A</v>
      </c>
      <c r="AP93" s="10" t="e">
        <f>(tbl_MTG_Set[[#This Row],[Play Booster Box Cost]]+v_Item_Shipping_Cost_In)/tbl_MTG_Set[[#This Row],[Play Booster Box Size]]</f>
        <v>#VALUE!</v>
      </c>
      <c r="AQ93" s="10" t="str" cm="1">
        <f t="array" ref="AQ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" s="10"/>
      <c r="AS93" s="10"/>
      <c r="AT93" s="17" t="e">
        <f>tbl_MTG_Set[[#This Row],[Play Booster CardMarket Profit]]/tbl_MTG_Set[[#This Row],[Play Booster Cost]]</f>
        <v>#VALUE!</v>
      </c>
      <c r="AU93" s="10" t="e">
        <f>_xlfn.XLOOKUP(tbl_MTG_Set[[#This Row],[Collector Booster Box Product Id]], tbl_Product[Product Id], tbl_Product[Min Cost])</f>
        <v>#N/A</v>
      </c>
      <c r="AV93" s="10" t="e">
        <f>_xlfn.XLOOKUP(tbl_MTG_Set[[#This Row],[Collector Booster Box Product Id]], tbl_Product[Product Id], tbl_Product[Best Source])</f>
        <v>#N/A</v>
      </c>
      <c r="AW93" s="4" t="e">
        <f>_xlfn.XLOOKUP(tbl_MTG_Set[[#This Row],[Collector Booster Box Product Id]], tbl_Product[Product Id], tbl_Product[Pack Size])</f>
        <v>#N/A</v>
      </c>
      <c r="AX93" s="10" t="e">
        <f>(tbl_MTG_Set[[#This Row],[Collector Booster Box Cost]] + v_Item_Shipping_Cost_In) / tbl_MTG_Set[[#This Row],[Collector Booster Box Size]]</f>
        <v>#N/A</v>
      </c>
      <c r="AY93" s="10" t="str" cm="1">
        <f t="array" ref="AY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" s="10"/>
      <c r="BA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" s="17" t="e">
        <f>tbl_MTG_Set[[#This Row],[Collector Booster CardMarket Profit]]/tbl_MTG_Set[[#This Row],[Collector Booster Cost]]</f>
        <v>#N/A</v>
      </c>
      <c r="BC93" s="10"/>
      <c r="BF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" s="11" t="e">
        <f>tbl_MTG_Set[[#This Row],[Play Singles CardMarket Profit MTG Stocks]]/tbl_MTG_Set[[#This Row],[Play Booster Cost]]</f>
        <v>#VALUE!</v>
      </c>
      <c r="BI93" s="11" t="b">
        <f>tbl_MTG_Set[[#This Row],[Play Singles CardMarket Profit MTG Stocks]]&gt;0</f>
        <v>0</v>
      </c>
      <c r="BM93" s="10" t="e">
        <f>tbl_MTG_Set[[#This Row],[Play Booster Sell Price CardMarket]]*tbl_MTG_Set[[#This Row],[Play Booster Expected Market Value BotBox]]/tbl_MTG_Set[[#This Row],[Play Booster Sealed Market Value BotBox]]</f>
        <v>#VALUE!</v>
      </c>
      <c r="BN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" s="10" t="e">
        <f>tbl_MTG_Set[[#This Row],[Play Singles CardMarket Profit BotBox]]/tbl_MTG_Set[[#This Row],[Play Booster Cost]]</f>
        <v>#VALUE!</v>
      </c>
      <c r="BP93" s="10" t="b">
        <f>tbl_MTG_Set[[#This Row],[Play Singles CardMarket Profit BotBox]]&gt;0</f>
        <v>0</v>
      </c>
      <c r="BQ93" s="10"/>
      <c r="BR93" s="10"/>
      <c r="BS93" s="10"/>
      <c r="BT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" s="19" t="e">
        <f>tbl_MTG_Set[[#This Row],[Collector Singles CardMarket Profit MTG Stocks]]/tbl_MTG_Set[[#This Row],[Collector Booster Cost]]</f>
        <v>#N/A</v>
      </c>
      <c r="BW93" s="10" t="b">
        <f>tbl_MTG_Set[[#This Row],[Collector Singles CardMarket Profit MTG Stocks]]&gt;0</f>
        <v>0</v>
      </c>
      <c r="BX93" s="10"/>
      <c r="BY93" s="10"/>
      <c r="BZ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" s="10" t="e">
        <f>tbl_MTG_Set[[#This Row],[Collector Singles CardMarket Profit BotBox]]/tbl_MTG_Set[[#This Row],[Collector Booster Cost]]</f>
        <v>#N/A</v>
      </c>
      <c r="CC93" s="10" t="b">
        <f>tbl_MTG_Set[[#This Row],[Collector Singles CardMarket Profit BotBox]]&gt;0</f>
        <v>0</v>
      </c>
      <c r="CD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" spans="1:86" hidden="1">
      <c r="A94">
        <v>104</v>
      </c>
      <c r="B94" t="s">
        <v>267</v>
      </c>
      <c r="C94">
        <v>43</v>
      </c>
      <c r="D94" s="3">
        <v>45457</v>
      </c>
      <c r="E94" t="s">
        <v>76</v>
      </c>
      <c r="F94" t="s">
        <v>174</v>
      </c>
      <c r="G94">
        <v>154</v>
      </c>
      <c r="H94">
        <f ca="1">MONTH(NOW())+12*YEAR(NOW())-MONTH(tbl_MTG_Set[[#This Row],[Released On]])-12*YEAR(tbl_MTG_Set[[#This Row],[Released On]])</f>
        <v>21</v>
      </c>
      <c r="I94">
        <f>_xlfn.XLOOKUP(tbl_MTG_Set[[#This Row],[Type Name]], tbl_MTG_Set_Type[Set Type], tbl_MTG_Set_Type[Index], "(Set Type not found)")</f>
        <v>4</v>
      </c>
      <c r="J94">
        <f>_xlfn.XLOOKUP(tbl_MTG_Set[[#This Row],[Type Name]], tbl_MTG_Set_Type[Set Type], tbl_MTG_Set_Type[Buy Window Month Start], "(Set Type not found)")</f>
        <v>6</v>
      </c>
      <c r="K94" s="3">
        <f>tbl_MTG_Set[[#This Row],[Released On]]+tbl_MTG_Set[[#This Row],[Buy Window Month Start]]*365.25/12</f>
        <v>45639.625</v>
      </c>
      <c r="L94">
        <f>_xlfn.XLOOKUP(tbl_MTG_Set[[#This Row],[Type Name]], tbl_MTG_Set_Type[Set Type], tbl_MTG_Set_Type[Buy Window Month End], "(Set Type not found)", 0, 1)</f>
        <v>12</v>
      </c>
      <c r="M94" s="3">
        <f>tbl_MTG_Set[[#This Row],[Released On]]+tbl_MTG_Set[[#This Row],[Buy Window Month End]]*365.25/12</f>
        <v>45822.25</v>
      </c>
      <c r="N94" s="3" t="b">
        <f ca="1">AND(NOW()&gt;=tbl_MTG_Set[[#This Row],[Buy Window Start]], NOW()&lt;=tbl_MTG_Set[[#This Row],[Buy Window End]])</f>
        <v>0</v>
      </c>
      <c r="O94">
        <f>_xlfn.XLOOKUP(tbl_MTG_Set[[#This Row],[Type Name]], tbl_MTG_Set_Type[Set Type], tbl_MTG_Set_Type[Heavy Printing Window Month Start], "(Set Type not found)", 0, 1)</f>
        <v>6</v>
      </c>
      <c r="P94" s="3">
        <f>tbl_MTG_Set[[#This Row],[Released On]]+tbl_MTG_Set[[#This Row],[Heavy Printing Window Month Start]]*365.25/12</f>
        <v>45639.625</v>
      </c>
      <c r="Q94">
        <f>_xlfn.XLOOKUP(tbl_MTG_Set[[#This Row],[Type Name]], tbl_MTG_Set_Type[Set Type], tbl_MTG_Set_Type[Heavy Printing Window Month End], "(Set Type not found)", 0, 1)</f>
        <v>12</v>
      </c>
      <c r="R94" s="3">
        <f>tbl_MTG_Set[[#This Row],[Released On]]+tbl_MTG_Set[[#This Row],[Heavy Printing Window Month End]]*365.25/12</f>
        <v>45822.25</v>
      </c>
      <c r="S94" s="3" t="b">
        <f ca="1">AND(NOW()&gt;=tbl_MTG_Set[[#This Row],[Heavy Printing Window Start]], NOW()&lt;=tbl_MTG_Set[[#This Row],[Heavy Printing Window End]])</f>
        <v>0</v>
      </c>
      <c r="T94">
        <f>_xlfn.XLOOKUP(tbl_MTG_Set[[#This Row],[Type Name]], tbl_MTG_Set_Type[Set Type], tbl_MTG_Set_Type[Sell Window Month Start], "(Set Type not found)", 0, 1)</f>
        <v>24</v>
      </c>
      <c r="U94" s="3">
        <f>tbl_MTG_Set[[#This Row],[Released On]]+tbl_MTG_Set[[#This Row],[Sell Window Month Start]]*365.25/12</f>
        <v>46187.5</v>
      </c>
      <c r="V94">
        <f>_xlfn.XLOOKUP(tbl_MTG_Set[[#This Row],[Type Name]], tbl_MTG_Set_Type[Set Type], tbl_MTG_Set_Type[Sell Window Month End], "(Set Type not found)", 0, 1)</f>
        <v>48</v>
      </c>
      <c r="W94" s="3">
        <f>tbl_MTG_Set[[#This Row],[Released On]]+tbl_MTG_Set[[#This Row],[Sell Window Month End]]*365.25/12</f>
        <v>46918</v>
      </c>
      <c r="X94" s="3" t="b">
        <f ca="1">AND(NOW()&gt;=tbl_MTG_Set[[#This Row],[Sell Window Start]], NOW()&lt;=tbl_MTG_Set[[#This Row],[Sell Window End]])</f>
        <v>0</v>
      </c>
      <c r="AG94" s="10"/>
      <c r="AH94" s="10"/>
      <c r="AM94" s="10" t="str" cm="1">
        <f t="array" ref="AM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" s="10" t="str" cm="1">
        <f t="array" ref="AN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" s="4" t="e">
        <f>_xlfn.XLOOKUP(tbl_MTG_Set[[#This Row],[Play Booster Box Product Id]], tbl_Product[Product Id], tbl_Product[Pack Size])</f>
        <v>#N/A</v>
      </c>
      <c r="AP94" s="10" t="e">
        <f>(tbl_MTG_Set[[#This Row],[Play Booster Box Cost]]+v_Item_Shipping_Cost_In)/tbl_MTG_Set[[#This Row],[Play Booster Box Size]]</f>
        <v>#VALUE!</v>
      </c>
      <c r="AQ94" s="10" t="str" cm="1">
        <f t="array" ref="AQ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" s="10"/>
      <c r="AS94" s="10"/>
      <c r="AT94" s="17" t="e">
        <f>tbl_MTG_Set[[#This Row],[Play Booster CardMarket Profit]]/tbl_MTG_Set[[#This Row],[Play Booster Cost]]</f>
        <v>#VALUE!</v>
      </c>
      <c r="AU94" s="10" t="e">
        <f>_xlfn.XLOOKUP(tbl_MTG_Set[[#This Row],[Collector Booster Box Product Id]], tbl_Product[Product Id], tbl_Product[Min Cost])</f>
        <v>#N/A</v>
      </c>
      <c r="AV94" s="10" t="e">
        <f>_xlfn.XLOOKUP(tbl_MTG_Set[[#This Row],[Collector Booster Box Product Id]], tbl_Product[Product Id], tbl_Product[Best Source])</f>
        <v>#N/A</v>
      </c>
      <c r="AW94" s="4" t="e">
        <f>_xlfn.XLOOKUP(tbl_MTG_Set[[#This Row],[Collector Booster Box Product Id]], tbl_Product[Product Id], tbl_Product[Pack Size])</f>
        <v>#N/A</v>
      </c>
      <c r="AX94" s="10" t="e">
        <f>(tbl_MTG_Set[[#This Row],[Collector Booster Box Cost]] + v_Item_Shipping_Cost_In) / tbl_MTG_Set[[#This Row],[Collector Booster Box Size]]</f>
        <v>#N/A</v>
      </c>
      <c r="AY94" s="10" t="str" cm="1">
        <f t="array" ref="AY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" s="10"/>
      <c r="BA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" s="17" t="e">
        <f>tbl_MTG_Set[[#This Row],[Collector Booster CardMarket Profit]]/tbl_MTG_Set[[#This Row],[Collector Booster Cost]]</f>
        <v>#N/A</v>
      </c>
      <c r="BC94" s="10"/>
      <c r="BF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" s="11" t="e">
        <f>tbl_MTG_Set[[#This Row],[Play Singles CardMarket Profit MTG Stocks]]/tbl_MTG_Set[[#This Row],[Play Booster Cost]]</f>
        <v>#VALUE!</v>
      </c>
      <c r="BI94" s="11" t="b">
        <f>tbl_MTG_Set[[#This Row],[Play Singles CardMarket Profit MTG Stocks]]&gt;0</f>
        <v>0</v>
      </c>
      <c r="BM94" s="10" t="e">
        <f>tbl_MTG_Set[[#This Row],[Play Booster Sell Price CardMarket]]*tbl_MTG_Set[[#This Row],[Play Booster Expected Market Value BotBox]]/tbl_MTG_Set[[#This Row],[Play Booster Sealed Market Value BotBox]]</f>
        <v>#VALUE!</v>
      </c>
      <c r="BN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" s="10" t="e">
        <f>tbl_MTG_Set[[#This Row],[Play Singles CardMarket Profit BotBox]]/tbl_MTG_Set[[#This Row],[Play Booster Cost]]</f>
        <v>#VALUE!</v>
      </c>
      <c r="BP94" s="10" t="b">
        <f>tbl_MTG_Set[[#This Row],[Play Singles CardMarket Profit BotBox]]&gt;0</f>
        <v>0</v>
      </c>
      <c r="BQ94" s="10"/>
      <c r="BR94" s="10"/>
      <c r="BS94" s="10"/>
      <c r="BT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" s="19" t="e">
        <f>tbl_MTG_Set[[#This Row],[Collector Singles CardMarket Profit MTG Stocks]]/tbl_MTG_Set[[#This Row],[Collector Booster Cost]]</f>
        <v>#N/A</v>
      </c>
      <c r="BW94" s="10" t="b">
        <f>tbl_MTG_Set[[#This Row],[Collector Singles CardMarket Profit MTG Stocks]]&gt;0</f>
        <v>0</v>
      </c>
      <c r="BX94" s="10"/>
      <c r="BY94" s="10"/>
      <c r="BZ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" s="10" t="e">
        <f>tbl_MTG_Set[[#This Row],[Collector Singles CardMarket Profit BotBox]]/tbl_MTG_Set[[#This Row],[Collector Booster Cost]]</f>
        <v>#N/A</v>
      </c>
      <c r="CC94" s="10" t="b">
        <f>tbl_MTG_Set[[#This Row],[Collector Singles CardMarket Profit BotBox]]&gt;0</f>
        <v>0</v>
      </c>
      <c r="CD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" spans="1:86" hidden="1">
      <c r="A95">
        <v>105</v>
      </c>
      <c r="B95" t="s">
        <v>268</v>
      </c>
      <c r="C95">
        <v>1</v>
      </c>
      <c r="D95" s="3">
        <v>45457</v>
      </c>
      <c r="E95" t="s">
        <v>76</v>
      </c>
      <c r="F95" t="s">
        <v>174</v>
      </c>
      <c r="G95">
        <v>156</v>
      </c>
      <c r="H95">
        <f ca="1">MONTH(NOW())+12*YEAR(NOW())-MONTH(tbl_MTG_Set[[#This Row],[Released On]])-12*YEAR(tbl_MTG_Set[[#This Row],[Released On]])</f>
        <v>21</v>
      </c>
      <c r="I95">
        <f>_xlfn.XLOOKUP(tbl_MTG_Set[[#This Row],[Type Name]], tbl_MTG_Set_Type[Set Type], tbl_MTG_Set_Type[Index], "(Set Type not found)")</f>
        <v>4</v>
      </c>
      <c r="J95">
        <f>_xlfn.XLOOKUP(tbl_MTG_Set[[#This Row],[Type Name]], tbl_MTG_Set_Type[Set Type], tbl_MTG_Set_Type[Buy Window Month Start], "(Set Type not found)")</f>
        <v>6</v>
      </c>
      <c r="K95" s="3">
        <f>tbl_MTG_Set[[#This Row],[Released On]]+tbl_MTG_Set[[#This Row],[Buy Window Month Start]]*365.25/12</f>
        <v>45639.625</v>
      </c>
      <c r="L95">
        <f>_xlfn.XLOOKUP(tbl_MTG_Set[[#This Row],[Type Name]], tbl_MTG_Set_Type[Set Type], tbl_MTG_Set_Type[Buy Window Month End], "(Set Type not found)", 0, 1)</f>
        <v>12</v>
      </c>
      <c r="M95" s="3">
        <f>tbl_MTG_Set[[#This Row],[Released On]]+tbl_MTG_Set[[#This Row],[Buy Window Month End]]*365.25/12</f>
        <v>45822.25</v>
      </c>
      <c r="N95" s="3" t="b">
        <f ca="1">AND(NOW()&gt;=tbl_MTG_Set[[#This Row],[Buy Window Start]], NOW()&lt;=tbl_MTG_Set[[#This Row],[Buy Window End]])</f>
        <v>0</v>
      </c>
      <c r="O95">
        <f>_xlfn.XLOOKUP(tbl_MTG_Set[[#This Row],[Type Name]], tbl_MTG_Set_Type[Set Type], tbl_MTG_Set_Type[Heavy Printing Window Month Start], "(Set Type not found)", 0, 1)</f>
        <v>6</v>
      </c>
      <c r="P95" s="3">
        <f>tbl_MTG_Set[[#This Row],[Released On]]+tbl_MTG_Set[[#This Row],[Heavy Printing Window Month Start]]*365.25/12</f>
        <v>45639.625</v>
      </c>
      <c r="Q95">
        <f>_xlfn.XLOOKUP(tbl_MTG_Set[[#This Row],[Type Name]], tbl_MTG_Set_Type[Set Type], tbl_MTG_Set_Type[Heavy Printing Window Month End], "(Set Type not found)", 0, 1)</f>
        <v>12</v>
      </c>
      <c r="R95" s="3">
        <f>tbl_MTG_Set[[#This Row],[Released On]]+tbl_MTG_Set[[#This Row],[Heavy Printing Window Month End]]*365.25/12</f>
        <v>45822.25</v>
      </c>
      <c r="S95" s="3" t="b">
        <f ca="1">AND(NOW()&gt;=tbl_MTG_Set[[#This Row],[Heavy Printing Window Start]], NOW()&lt;=tbl_MTG_Set[[#This Row],[Heavy Printing Window End]])</f>
        <v>0</v>
      </c>
      <c r="T95">
        <f>_xlfn.XLOOKUP(tbl_MTG_Set[[#This Row],[Type Name]], tbl_MTG_Set_Type[Set Type], tbl_MTG_Set_Type[Sell Window Month Start], "(Set Type not found)", 0, 1)</f>
        <v>24</v>
      </c>
      <c r="U95" s="3">
        <f>tbl_MTG_Set[[#This Row],[Released On]]+tbl_MTG_Set[[#This Row],[Sell Window Month Start]]*365.25/12</f>
        <v>46187.5</v>
      </c>
      <c r="V95">
        <f>_xlfn.XLOOKUP(tbl_MTG_Set[[#This Row],[Type Name]], tbl_MTG_Set_Type[Set Type], tbl_MTG_Set_Type[Sell Window Month End], "(Set Type not found)", 0, 1)</f>
        <v>48</v>
      </c>
      <c r="W95" s="3">
        <f>tbl_MTG_Set[[#This Row],[Released On]]+tbl_MTG_Set[[#This Row],[Sell Window Month End]]*365.25/12</f>
        <v>46918</v>
      </c>
      <c r="X95" s="3" t="b">
        <f ca="1">AND(NOW()&gt;=tbl_MTG_Set[[#This Row],[Sell Window Start]], NOW()&lt;=tbl_MTG_Set[[#This Row],[Sell Window End]])</f>
        <v>0</v>
      </c>
      <c r="AG95" s="10"/>
      <c r="AH95" s="10"/>
      <c r="AM95" s="10" t="str" cm="1">
        <f t="array" ref="AM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" s="10" t="str" cm="1">
        <f t="array" ref="AN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" s="4" t="e">
        <f>_xlfn.XLOOKUP(tbl_MTG_Set[[#This Row],[Play Booster Box Product Id]], tbl_Product[Product Id], tbl_Product[Pack Size])</f>
        <v>#N/A</v>
      </c>
      <c r="AP95" s="10" t="e">
        <f>(tbl_MTG_Set[[#This Row],[Play Booster Box Cost]]+v_Item_Shipping_Cost_In)/tbl_MTG_Set[[#This Row],[Play Booster Box Size]]</f>
        <v>#VALUE!</v>
      </c>
      <c r="AQ95" s="10" t="str" cm="1">
        <f t="array" ref="AQ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" s="10"/>
      <c r="AS95" s="10"/>
      <c r="AT95" s="17" t="e">
        <f>tbl_MTG_Set[[#This Row],[Play Booster CardMarket Profit]]/tbl_MTG_Set[[#This Row],[Play Booster Cost]]</f>
        <v>#VALUE!</v>
      </c>
      <c r="AU95" s="10" t="e">
        <f>_xlfn.XLOOKUP(tbl_MTG_Set[[#This Row],[Collector Booster Box Product Id]], tbl_Product[Product Id], tbl_Product[Min Cost])</f>
        <v>#N/A</v>
      </c>
      <c r="AV95" s="10" t="e">
        <f>_xlfn.XLOOKUP(tbl_MTG_Set[[#This Row],[Collector Booster Box Product Id]], tbl_Product[Product Id], tbl_Product[Best Source])</f>
        <v>#N/A</v>
      </c>
      <c r="AW95" s="4" t="e">
        <f>_xlfn.XLOOKUP(tbl_MTG_Set[[#This Row],[Collector Booster Box Product Id]], tbl_Product[Product Id], tbl_Product[Pack Size])</f>
        <v>#N/A</v>
      </c>
      <c r="AX95" s="10" t="e">
        <f>(tbl_MTG_Set[[#This Row],[Collector Booster Box Cost]] + v_Item_Shipping_Cost_In) / tbl_MTG_Set[[#This Row],[Collector Booster Box Size]]</f>
        <v>#N/A</v>
      </c>
      <c r="AY95" s="10" t="str" cm="1">
        <f t="array" ref="AY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" s="10"/>
      <c r="BA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" s="17" t="e">
        <f>tbl_MTG_Set[[#This Row],[Collector Booster CardMarket Profit]]/tbl_MTG_Set[[#This Row],[Collector Booster Cost]]</f>
        <v>#N/A</v>
      </c>
      <c r="BC95" s="10"/>
      <c r="BF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" s="11" t="e">
        <f>tbl_MTG_Set[[#This Row],[Play Singles CardMarket Profit MTG Stocks]]/tbl_MTG_Set[[#This Row],[Play Booster Cost]]</f>
        <v>#VALUE!</v>
      </c>
      <c r="BI95" s="11" t="b">
        <f>tbl_MTG_Set[[#This Row],[Play Singles CardMarket Profit MTG Stocks]]&gt;0</f>
        <v>0</v>
      </c>
      <c r="BM95" s="10" t="e">
        <f>tbl_MTG_Set[[#This Row],[Play Booster Sell Price CardMarket]]*tbl_MTG_Set[[#This Row],[Play Booster Expected Market Value BotBox]]/tbl_MTG_Set[[#This Row],[Play Booster Sealed Market Value BotBox]]</f>
        <v>#VALUE!</v>
      </c>
      <c r="BN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" s="10" t="e">
        <f>tbl_MTG_Set[[#This Row],[Play Singles CardMarket Profit BotBox]]/tbl_MTG_Set[[#This Row],[Play Booster Cost]]</f>
        <v>#VALUE!</v>
      </c>
      <c r="BP95" s="10" t="b">
        <f>tbl_MTG_Set[[#This Row],[Play Singles CardMarket Profit BotBox]]&gt;0</f>
        <v>0</v>
      </c>
      <c r="BQ95" s="10"/>
      <c r="BR95" s="10"/>
      <c r="BS95" s="10"/>
      <c r="BT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" s="19" t="e">
        <f>tbl_MTG_Set[[#This Row],[Collector Singles CardMarket Profit MTG Stocks]]/tbl_MTG_Set[[#This Row],[Collector Booster Cost]]</f>
        <v>#N/A</v>
      </c>
      <c r="BW95" s="10" t="b">
        <f>tbl_MTG_Set[[#This Row],[Collector Singles CardMarket Profit MTG Stocks]]&gt;0</f>
        <v>0</v>
      </c>
      <c r="BX95" s="10"/>
      <c r="BY95" s="10"/>
      <c r="BZ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" s="10" t="e">
        <f>tbl_MTG_Set[[#This Row],[Collector Singles CardMarket Profit BotBox]]/tbl_MTG_Set[[#This Row],[Collector Booster Cost]]</f>
        <v>#N/A</v>
      </c>
      <c r="CC95" s="10" t="b">
        <f>tbl_MTG_Set[[#This Row],[Collector Singles CardMarket Profit BotBox]]&gt;0</f>
        <v>0</v>
      </c>
      <c r="CD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" spans="1:86" hidden="1">
      <c r="A96">
        <v>106</v>
      </c>
      <c r="B96" t="s">
        <v>269</v>
      </c>
      <c r="C96">
        <v>398</v>
      </c>
      <c r="D96" s="3">
        <v>45457</v>
      </c>
      <c r="E96" t="s">
        <v>80</v>
      </c>
      <c r="F96" t="s">
        <v>174</v>
      </c>
      <c r="G96">
        <v>158</v>
      </c>
      <c r="H96">
        <f ca="1">MONTH(NOW())+12*YEAR(NOW())-MONTH(tbl_MTG_Set[[#This Row],[Released On]])-12*YEAR(tbl_MTG_Set[[#This Row],[Released On]])</f>
        <v>21</v>
      </c>
      <c r="I96">
        <f>_xlfn.XLOOKUP(tbl_MTG_Set[[#This Row],[Type Name]], tbl_MTG_Set_Type[Set Type], tbl_MTG_Set_Type[Index], "(Set Type not found)")</f>
        <v>5</v>
      </c>
      <c r="J96">
        <f>_xlfn.XLOOKUP(tbl_MTG_Set[[#This Row],[Type Name]], tbl_MTG_Set_Type[Set Type], tbl_MTG_Set_Type[Buy Window Month Start], "(Set Type not found)")</f>
        <v>3</v>
      </c>
      <c r="K96" s="3">
        <f>tbl_MTG_Set[[#This Row],[Released On]]+tbl_MTG_Set[[#This Row],[Buy Window Month Start]]*365.25/12</f>
        <v>45548.3125</v>
      </c>
      <c r="L96">
        <f>_xlfn.XLOOKUP(tbl_MTG_Set[[#This Row],[Type Name]], tbl_MTG_Set_Type[Set Type], tbl_MTG_Set_Type[Buy Window Month End], "(Set Type not found)", 0, 1)</f>
        <v>12</v>
      </c>
      <c r="M96" s="3">
        <f>tbl_MTG_Set[[#This Row],[Released On]]+tbl_MTG_Set[[#This Row],[Buy Window Month End]]*365.25/12</f>
        <v>45822.25</v>
      </c>
      <c r="N96" s="3" t="b">
        <f ca="1">AND(NOW()&gt;=tbl_MTG_Set[[#This Row],[Buy Window Start]], NOW()&lt;=tbl_MTG_Set[[#This Row],[Buy Window End]])</f>
        <v>0</v>
      </c>
      <c r="O96">
        <f>_xlfn.XLOOKUP(tbl_MTG_Set[[#This Row],[Type Name]], tbl_MTG_Set_Type[Set Type], tbl_MTG_Set_Type[Heavy Printing Window Month Start], "(Set Type not found)", 0, 1)</f>
        <v>12</v>
      </c>
      <c r="P96" s="3">
        <f>tbl_MTG_Set[[#This Row],[Released On]]+tbl_MTG_Set[[#This Row],[Heavy Printing Window Month Start]]*365.25/12</f>
        <v>45822.25</v>
      </c>
      <c r="Q96">
        <f>_xlfn.XLOOKUP(tbl_MTG_Set[[#This Row],[Type Name]], tbl_MTG_Set_Type[Set Type], tbl_MTG_Set_Type[Heavy Printing Window Month End], "(Set Type not found)", 0, 1)</f>
        <v>18</v>
      </c>
      <c r="R96" s="3">
        <f>tbl_MTG_Set[[#This Row],[Released On]]+tbl_MTG_Set[[#This Row],[Heavy Printing Window Month End]]*365.25/12</f>
        <v>46004.875</v>
      </c>
      <c r="S96" s="3" t="b">
        <f ca="1">AND(NOW()&gt;=tbl_MTG_Set[[#This Row],[Heavy Printing Window Start]], NOW()&lt;=tbl_MTG_Set[[#This Row],[Heavy Printing Window End]])</f>
        <v>0</v>
      </c>
      <c r="T96">
        <f>_xlfn.XLOOKUP(tbl_MTG_Set[[#This Row],[Type Name]], tbl_MTG_Set_Type[Set Type], tbl_MTG_Set_Type[Sell Window Month Start], "(Set Type not found)", 0, 1)</f>
        <v>24</v>
      </c>
      <c r="U96" s="3">
        <f>tbl_MTG_Set[[#This Row],[Released On]]+tbl_MTG_Set[[#This Row],[Sell Window Month Start]]*365.25/12</f>
        <v>46187.5</v>
      </c>
      <c r="V96">
        <f>_xlfn.XLOOKUP(tbl_MTG_Set[[#This Row],[Type Name]], tbl_MTG_Set_Type[Set Type], tbl_MTG_Set_Type[Sell Window Month End], "(Set Type not found)", 0, 1)</f>
        <v>24</v>
      </c>
      <c r="W96" s="3">
        <f>tbl_MTG_Set[[#This Row],[Released On]]+tbl_MTG_Set[[#This Row],[Sell Window Month End]]*365.25/12</f>
        <v>46187.5</v>
      </c>
      <c r="X96" s="3" t="b">
        <f ca="1">AND(NOW()&gt;=tbl_MTG_Set[[#This Row],[Sell Window Start]], NOW()&lt;=tbl_MTG_Set[[#This Row],[Sell Window End]])</f>
        <v>0</v>
      </c>
      <c r="AG96" s="10"/>
      <c r="AH96" s="10"/>
      <c r="AM96" s="10" t="str" cm="1">
        <f t="array" ref="AM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" s="10" t="str" cm="1">
        <f t="array" ref="AN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" s="4" t="e">
        <f>_xlfn.XLOOKUP(tbl_MTG_Set[[#This Row],[Play Booster Box Product Id]], tbl_Product[Product Id], tbl_Product[Pack Size])</f>
        <v>#N/A</v>
      </c>
      <c r="AP96" s="10" t="e">
        <f>(tbl_MTG_Set[[#This Row],[Play Booster Box Cost]]+v_Item_Shipping_Cost_In)/tbl_MTG_Set[[#This Row],[Play Booster Box Size]]</f>
        <v>#VALUE!</v>
      </c>
      <c r="AQ96" s="10" t="str" cm="1">
        <f t="array" ref="AQ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" s="10"/>
      <c r="AS96" s="10"/>
      <c r="AT96" s="17" t="e">
        <f>tbl_MTG_Set[[#This Row],[Play Booster CardMarket Profit]]/tbl_MTG_Set[[#This Row],[Play Booster Cost]]</f>
        <v>#VALUE!</v>
      </c>
      <c r="AU96" s="10" t="e">
        <f>_xlfn.XLOOKUP(tbl_MTG_Set[[#This Row],[Collector Booster Box Product Id]], tbl_Product[Product Id], tbl_Product[Min Cost])</f>
        <v>#N/A</v>
      </c>
      <c r="AV96" s="10" t="e">
        <f>_xlfn.XLOOKUP(tbl_MTG_Set[[#This Row],[Collector Booster Box Product Id]], tbl_Product[Product Id], tbl_Product[Best Source])</f>
        <v>#N/A</v>
      </c>
      <c r="AW96" s="4" t="e">
        <f>_xlfn.XLOOKUP(tbl_MTG_Set[[#This Row],[Collector Booster Box Product Id]], tbl_Product[Product Id], tbl_Product[Pack Size])</f>
        <v>#N/A</v>
      </c>
      <c r="AX96" s="10" t="e">
        <f>(tbl_MTG_Set[[#This Row],[Collector Booster Box Cost]] + v_Item_Shipping_Cost_In) / tbl_MTG_Set[[#This Row],[Collector Booster Box Size]]</f>
        <v>#N/A</v>
      </c>
      <c r="AY96" s="10" t="str" cm="1">
        <f t="array" ref="AY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" s="10"/>
      <c r="BA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" s="17" t="e">
        <f>tbl_MTG_Set[[#This Row],[Collector Booster CardMarket Profit]]/tbl_MTG_Set[[#This Row],[Collector Booster Cost]]</f>
        <v>#N/A</v>
      </c>
      <c r="BC96" s="10"/>
      <c r="BF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" s="11" t="e">
        <f>tbl_MTG_Set[[#This Row],[Play Singles CardMarket Profit MTG Stocks]]/tbl_MTG_Set[[#This Row],[Play Booster Cost]]</f>
        <v>#VALUE!</v>
      </c>
      <c r="BI96" s="11" t="b">
        <f>tbl_MTG_Set[[#This Row],[Play Singles CardMarket Profit MTG Stocks]]&gt;0</f>
        <v>0</v>
      </c>
      <c r="BM96" s="10" t="e">
        <f>tbl_MTG_Set[[#This Row],[Play Booster Sell Price CardMarket]]*tbl_MTG_Set[[#This Row],[Play Booster Expected Market Value BotBox]]/tbl_MTG_Set[[#This Row],[Play Booster Sealed Market Value BotBox]]</f>
        <v>#VALUE!</v>
      </c>
      <c r="BN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" s="10" t="e">
        <f>tbl_MTG_Set[[#This Row],[Play Singles CardMarket Profit BotBox]]/tbl_MTG_Set[[#This Row],[Play Booster Cost]]</f>
        <v>#VALUE!</v>
      </c>
      <c r="BP96" s="10" t="b">
        <f>tbl_MTG_Set[[#This Row],[Play Singles CardMarket Profit BotBox]]&gt;0</f>
        <v>0</v>
      </c>
      <c r="BQ96" s="10"/>
      <c r="BR96" s="10"/>
      <c r="BS96" s="10"/>
      <c r="BT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" s="19" t="e">
        <f>tbl_MTG_Set[[#This Row],[Collector Singles CardMarket Profit MTG Stocks]]/tbl_MTG_Set[[#This Row],[Collector Booster Cost]]</f>
        <v>#N/A</v>
      </c>
      <c r="BW96" s="10" t="b">
        <f>tbl_MTG_Set[[#This Row],[Collector Singles CardMarket Profit MTG Stocks]]&gt;0</f>
        <v>0</v>
      </c>
      <c r="BX96" s="10"/>
      <c r="BY96" s="10"/>
      <c r="BZ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" s="10" t="e">
        <f>tbl_MTG_Set[[#This Row],[Collector Singles CardMarket Profit BotBox]]/tbl_MTG_Set[[#This Row],[Collector Booster Cost]]</f>
        <v>#N/A</v>
      </c>
      <c r="CC96" s="10" t="b">
        <f>tbl_MTG_Set[[#This Row],[Collector Singles CardMarket Profit BotBox]]&gt;0</f>
        <v>0</v>
      </c>
      <c r="CD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" spans="1:86" hidden="1">
      <c r="A97">
        <v>107</v>
      </c>
      <c r="B97" t="s">
        <v>270</v>
      </c>
      <c r="C97">
        <v>28</v>
      </c>
      <c r="D97" s="3">
        <v>45457</v>
      </c>
      <c r="E97" t="s">
        <v>80</v>
      </c>
      <c r="F97" t="s">
        <v>174</v>
      </c>
      <c r="G97">
        <v>160</v>
      </c>
      <c r="H97">
        <f ca="1">MONTH(NOW())+12*YEAR(NOW())-MONTH(tbl_MTG_Set[[#This Row],[Released On]])-12*YEAR(tbl_MTG_Set[[#This Row],[Released On]])</f>
        <v>21</v>
      </c>
      <c r="I97">
        <f>_xlfn.XLOOKUP(tbl_MTG_Set[[#This Row],[Type Name]], tbl_MTG_Set_Type[Set Type], tbl_MTG_Set_Type[Index], "(Set Type not found)")</f>
        <v>5</v>
      </c>
      <c r="J97">
        <f>_xlfn.XLOOKUP(tbl_MTG_Set[[#This Row],[Type Name]], tbl_MTG_Set_Type[Set Type], tbl_MTG_Set_Type[Buy Window Month Start], "(Set Type not found)")</f>
        <v>3</v>
      </c>
      <c r="K97" s="3">
        <f>tbl_MTG_Set[[#This Row],[Released On]]+tbl_MTG_Set[[#This Row],[Buy Window Month Start]]*365.25/12</f>
        <v>45548.3125</v>
      </c>
      <c r="L97">
        <f>_xlfn.XLOOKUP(tbl_MTG_Set[[#This Row],[Type Name]], tbl_MTG_Set_Type[Set Type], tbl_MTG_Set_Type[Buy Window Month End], "(Set Type not found)", 0, 1)</f>
        <v>12</v>
      </c>
      <c r="M97" s="3">
        <f>tbl_MTG_Set[[#This Row],[Released On]]+tbl_MTG_Set[[#This Row],[Buy Window Month End]]*365.25/12</f>
        <v>45822.25</v>
      </c>
      <c r="N97" s="3" t="b">
        <f ca="1">AND(NOW()&gt;=tbl_MTG_Set[[#This Row],[Buy Window Start]], NOW()&lt;=tbl_MTG_Set[[#This Row],[Buy Window End]])</f>
        <v>0</v>
      </c>
      <c r="O97">
        <f>_xlfn.XLOOKUP(tbl_MTG_Set[[#This Row],[Type Name]], tbl_MTG_Set_Type[Set Type], tbl_MTG_Set_Type[Heavy Printing Window Month Start], "(Set Type not found)", 0, 1)</f>
        <v>12</v>
      </c>
      <c r="P97" s="3">
        <f>tbl_MTG_Set[[#This Row],[Released On]]+tbl_MTG_Set[[#This Row],[Heavy Printing Window Month Start]]*365.25/12</f>
        <v>45822.25</v>
      </c>
      <c r="Q97">
        <f>_xlfn.XLOOKUP(tbl_MTG_Set[[#This Row],[Type Name]], tbl_MTG_Set_Type[Set Type], tbl_MTG_Set_Type[Heavy Printing Window Month End], "(Set Type not found)", 0, 1)</f>
        <v>18</v>
      </c>
      <c r="R97" s="3">
        <f>tbl_MTG_Set[[#This Row],[Released On]]+tbl_MTG_Set[[#This Row],[Heavy Printing Window Month End]]*365.25/12</f>
        <v>46004.875</v>
      </c>
      <c r="S97" s="3" t="b">
        <f ca="1">AND(NOW()&gt;=tbl_MTG_Set[[#This Row],[Heavy Printing Window Start]], NOW()&lt;=tbl_MTG_Set[[#This Row],[Heavy Printing Window End]])</f>
        <v>0</v>
      </c>
      <c r="T97">
        <f>_xlfn.XLOOKUP(tbl_MTG_Set[[#This Row],[Type Name]], tbl_MTG_Set_Type[Set Type], tbl_MTG_Set_Type[Sell Window Month Start], "(Set Type not found)", 0, 1)</f>
        <v>24</v>
      </c>
      <c r="U97" s="3">
        <f>tbl_MTG_Set[[#This Row],[Released On]]+tbl_MTG_Set[[#This Row],[Sell Window Month Start]]*365.25/12</f>
        <v>46187.5</v>
      </c>
      <c r="V97">
        <f>_xlfn.XLOOKUP(tbl_MTG_Set[[#This Row],[Type Name]], tbl_MTG_Set_Type[Set Type], tbl_MTG_Set_Type[Sell Window Month End], "(Set Type not found)", 0, 1)</f>
        <v>24</v>
      </c>
      <c r="W97" s="3">
        <f>tbl_MTG_Set[[#This Row],[Released On]]+tbl_MTG_Set[[#This Row],[Sell Window Month End]]*365.25/12</f>
        <v>46187.5</v>
      </c>
      <c r="X97" s="3" t="b">
        <f ca="1">AND(NOW()&gt;=tbl_MTG_Set[[#This Row],[Sell Window Start]], NOW()&lt;=tbl_MTG_Set[[#This Row],[Sell Window End]])</f>
        <v>0</v>
      </c>
      <c r="AG97" s="10"/>
      <c r="AH97" s="10"/>
      <c r="AM97" s="10" t="str" cm="1">
        <f t="array" ref="AM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" s="10" t="str" cm="1">
        <f t="array" ref="AN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" s="4" t="e">
        <f>_xlfn.XLOOKUP(tbl_MTG_Set[[#This Row],[Play Booster Box Product Id]], tbl_Product[Product Id], tbl_Product[Pack Size])</f>
        <v>#N/A</v>
      </c>
      <c r="AP97" s="10" t="e">
        <f>(tbl_MTG_Set[[#This Row],[Play Booster Box Cost]]+v_Item_Shipping_Cost_In)/tbl_MTG_Set[[#This Row],[Play Booster Box Size]]</f>
        <v>#VALUE!</v>
      </c>
      <c r="AQ97" s="10" t="str" cm="1">
        <f t="array" ref="AQ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" s="10"/>
      <c r="AS97" s="10"/>
      <c r="AT97" s="17" t="e">
        <f>tbl_MTG_Set[[#This Row],[Play Booster CardMarket Profit]]/tbl_MTG_Set[[#This Row],[Play Booster Cost]]</f>
        <v>#VALUE!</v>
      </c>
      <c r="AU97" s="10" t="e">
        <f>_xlfn.XLOOKUP(tbl_MTG_Set[[#This Row],[Collector Booster Box Product Id]], tbl_Product[Product Id], tbl_Product[Min Cost])</f>
        <v>#N/A</v>
      </c>
      <c r="AV97" s="10" t="e">
        <f>_xlfn.XLOOKUP(tbl_MTG_Set[[#This Row],[Collector Booster Box Product Id]], tbl_Product[Product Id], tbl_Product[Best Source])</f>
        <v>#N/A</v>
      </c>
      <c r="AW97" s="4" t="e">
        <f>_xlfn.XLOOKUP(tbl_MTG_Set[[#This Row],[Collector Booster Box Product Id]], tbl_Product[Product Id], tbl_Product[Pack Size])</f>
        <v>#N/A</v>
      </c>
      <c r="AX97" s="10" t="e">
        <f>(tbl_MTG_Set[[#This Row],[Collector Booster Box Cost]] + v_Item_Shipping_Cost_In) / tbl_MTG_Set[[#This Row],[Collector Booster Box Size]]</f>
        <v>#N/A</v>
      </c>
      <c r="AY97" s="10" t="str" cm="1">
        <f t="array" ref="AY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" s="10"/>
      <c r="BA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" s="17" t="e">
        <f>tbl_MTG_Set[[#This Row],[Collector Booster CardMarket Profit]]/tbl_MTG_Set[[#This Row],[Collector Booster Cost]]</f>
        <v>#N/A</v>
      </c>
      <c r="BC97" s="10"/>
      <c r="BF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" s="11" t="e">
        <f>tbl_MTG_Set[[#This Row],[Play Singles CardMarket Profit MTG Stocks]]/tbl_MTG_Set[[#This Row],[Play Booster Cost]]</f>
        <v>#VALUE!</v>
      </c>
      <c r="BI97" s="11" t="b">
        <f>tbl_MTG_Set[[#This Row],[Play Singles CardMarket Profit MTG Stocks]]&gt;0</f>
        <v>0</v>
      </c>
      <c r="BM97" s="10" t="e">
        <f>tbl_MTG_Set[[#This Row],[Play Booster Sell Price CardMarket]]*tbl_MTG_Set[[#This Row],[Play Booster Expected Market Value BotBox]]/tbl_MTG_Set[[#This Row],[Play Booster Sealed Market Value BotBox]]</f>
        <v>#VALUE!</v>
      </c>
      <c r="BN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" s="10" t="e">
        <f>tbl_MTG_Set[[#This Row],[Play Singles CardMarket Profit BotBox]]/tbl_MTG_Set[[#This Row],[Play Booster Cost]]</f>
        <v>#VALUE!</v>
      </c>
      <c r="BP97" s="10" t="b">
        <f>tbl_MTG_Set[[#This Row],[Play Singles CardMarket Profit BotBox]]&gt;0</f>
        <v>0</v>
      </c>
      <c r="BQ97" s="10"/>
      <c r="BR97" s="10"/>
      <c r="BS97" s="10"/>
      <c r="BT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" s="19" t="e">
        <f>tbl_MTG_Set[[#This Row],[Collector Singles CardMarket Profit MTG Stocks]]/tbl_MTG_Set[[#This Row],[Collector Booster Cost]]</f>
        <v>#N/A</v>
      </c>
      <c r="BW97" s="10" t="b">
        <f>tbl_MTG_Set[[#This Row],[Collector Singles CardMarket Profit MTG Stocks]]&gt;0</f>
        <v>0</v>
      </c>
      <c r="BX97" s="10"/>
      <c r="BY97" s="10"/>
      <c r="BZ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" s="10" t="e">
        <f>tbl_MTG_Set[[#This Row],[Collector Singles CardMarket Profit BotBox]]/tbl_MTG_Set[[#This Row],[Collector Booster Cost]]</f>
        <v>#N/A</v>
      </c>
      <c r="CC97" s="10" t="b">
        <f>tbl_MTG_Set[[#This Row],[Collector Singles CardMarket Profit BotBox]]&gt;0</f>
        <v>0</v>
      </c>
      <c r="CD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" spans="1:86" hidden="1">
      <c r="A98">
        <v>108</v>
      </c>
      <c r="B98" t="s">
        <v>271</v>
      </c>
      <c r="C98">
        <v>54</v>
      </c>
      <c r="D98" s="3">
        <v>45457</v>
      </c>
      <c r="E98" t="s">
        <v>76</v>
      </c>
      <c r="F98" t="s">
        <v>174</v>
      </c>
      <c r="G98">
        <v>162</v>
      </c>
      <c r="H98">
        <f ca="1">MONTH(NOW())+12*YEAR(NOW())-MONTH(tbl_MTG_Set[[#This Row],[Released On]])-12*YEAR(tbl_MTG_Set[[#This Row],[Released On]])</f>
        <v>21</v>
      </c>
      <c r="I98">
        <f>_xlfn.XLOOKUP(tbl_MTG_Set[[#This Row],[Type Name]], tbl_MTG_Set_Type[Set Type], tbl_MTG_Set_Type[Index], "(Set Type not found)")</f>
        <v>4</v>
      </c>
      <c r="J98">
        <f>_xlfn.XLOOKUP(tbl_MTG_Set[[#This Row],[Type Name]], tbl_MTG_Set_Type[Set Type], tbl_MTG_Set_Type[Buy Window Month Start], "(Set Type not found)")</f>
        <v>6</v>
      </c>
      <c r="K98" s="3">
        <f>tbl_MTG_Set[[#This Row],[Released On]]+tbl_MTG_Set[[#This Row],[Buy Window Month Start]]*365.25/12</f>
        <v>45639.625</v>
      </c>
      <c r="L98">
        <f>_xlfn.XLOOKUP(tbl_MTG_Set[[#This Row],[Type Name]], tbl_MTG_Set_Type[Set Type], tbl_MTG_Set_Type[Buy Window Month End], "(Set Type not found)", 0, 1)</f>
        <v>12</v>
      </c>
      <c r="M98" s="3">
        <f>tbl_MTG_Set[[#This Row],[Released On]]+tbl_MTG_Set[[#This Row],[Buy Window Month End]]*365.25/12</f>
        <v>45822.25</v>
      </c>
      <c r="N98" s="3" t="b">
        <f ca="1">AND(NOW()&gt;=tbl_MTG_Set[[#This Row],[Buy Window Start]], NOW()&lt;=tbl_MTG_Set[[#This Row],[Buy Window End]])</f>
        <v>0</v>
      </c>
      <c r="O98">
        <f>_xlfn.XLOOKUP(tbl_MTG_Set[[#This Row],[Type Name]], tbl_MTG_Set_Type[Set Type], tbl_MTG_Set_Type[Heavy Printing Window Month Start], "(Set Type not found)", 0, 1)</f>
        <v>6</v>
      </c>
      <c r="P98" s="3">
        <f>tbl_MTG_Set[[#This Row],[Released On]]+tbl_MTG_Set[[#This Row],[Heavy Printing Window Month Start]]*365.25/12</f>
        <v>45639.625</v>
      </c>
      <c r="Q98">
        <f>_xlfn.XLOOKUP(tbl_MTG_Set[[#This Row],[Type Name]], tbl_MTG_Set_Type[Set Type], tbl_MTG_Set_Type[Heavy Printing Window Month End], "(Set Type not found)", 0, 1)</f>
        <v>12</v>
      </c>
      <c r="R98" s="3">
        <f>tbl_MTG_Set[[#This Row],[Released On]]+tbl_MTG_Set[[#This Row],[Heavy Printing Window Month End]]*365.25/12</f>
        <v>45822.25</v>
      </c>
      <c r="S98" s="3" t="b">
        <f ca="1">AND(NOW()&gt;=tbl_MTG_Set[[#This Row],[Heavy Printing Window Start]], NOW()&lt;=tbl_MTG_Set[[#This Row],[Heavy Printing Window End]])</f>
        <v>0</v>
      </c>
      <c r="T98">
        <f>_xlfn.XLOOKUP(tbl_MTG_Set[[#This Row],[Type Name]], tbl_MTG_Set_Type[Set Type], tbl_MTG_Set_Type[Sell Window Month Start], "(Set Type not found)", 0, 1)</f>
        <v>24</v>
      </c>
      <c r="U98" s="3">
        <f>tbl_MTG_Set[[#This Row],[Released On]]+tbl_MTG_Set[[#This Row],[Sell Window Month Start]]*365.25/12</f>
        <v>46187.5</v>
      </c>
      <c r="V98">
        <f>_xlfn.XLOOKUP(tbl_MTG_Set[[#This Row],[Type Name]], tbl_MTG_Set_Type[Set Type], tbl_MTG_Set_Type[Sell Window Month End], "(Set Type not found)", 0, 1)</f>
        <v>48</v>
      </c>
      <c r="W98" s="3">
        <f>tbl_MTG_Set[[#This Row],[Released On]]+tbl_MTG_Set[[#This Row],[Sell Window Month End]]*365.25/12</f>
        <v>46918</v>
      </c>
      <c r="X98" s="3" t="b">
        <f ca="1">AND(NOW()&gt;=tbl_MTG_Set[[#This Row],[Sell Window Start]], NOW()&lt;=tbl_MTG_Set[[#This Row],[Sell Window End]])</f>
        <v>0</v>
      </c>
      <c r="AG98" s="10"/>
      <c r="AH98" s="10"/>
      <c r="AM98" s="10" t="str" cm="1">
        <f t="array" ref="AM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" s="10" t="str" cm="1">
        <f t="array" ref="AN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" s="4" t="e">
        <f>_xlfn.XLOOKUP(tbl_MTG_Set[[#This Row],[Play Booster Box Product Id]], tbl_Product[Product Id], tbl_Product[Pack Size])</f>
        <v>#N/A</v>
      </c>
      <c r="AP98" s="10" t="e">
        <f>(tbl_MTG_Set[[#This Row],[Play Booster Box Cost]]+v_Item_Shipping_Cost_In)/tbl_MTG_Set[[#This Row],[Play Booster Box Size]]</f>
        <v>#VALUE!</v>
      </c>
      <c r="AQ98" s="10" t="str" cm="1">
        <f t="array" ref="AQ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" s="10"/>
      <c r="AS98" s="10"/>
      <c r="AT98" s="17" t="e">
        <f>tbl_MTG_Set[[#This Row],[Play Booster CardMarket Profit]]/tbl_MTG_Set[[#This Row],[Play Booster Cost]]</f>
        <v>#VALUE!</v>
      </c>
      <c r="AU98" s="10" t="e">
        <f>_xlfn.XLOOKUP(tbl_MTG_Set[[#This Row],[Collector Booster Box Product Id]], tbl_Product[Product Id], tbl_Product[Min Cost])</f>
        <v>#N/A</v>
      </c>
      <c r="AV98" s="10" t="e">
        <f>_xlfn.XLOOKUP(tbl_MTG_Set[[#This Row],[Collector Booster Box Product Id]], tbl_Product[Product Id], tbl_Product[Best Source])</f>
        <v>#N/A</v>
      </c>
      <c r="AW98" s="4" t="e">
        <f>_xlfn.XLOOKUP(tbl_MTG_Set[[#This Row],[Collector Booster Box Product Id]], tbl_Product[Product Id], tbl_Product[Pack Size])</f>
        <v>#N/A</v>
      </c>
      <c r="AX98" s="10" t="e">
        <f>(tbl_MTG_Set[[#This Row],[Collector Booster Box Cost]] + v_Item_Shipping_Cost_In) / tbl_MTG_Set[[#This Row],[Collector Booster Box Size]]</f>
        <v>#N/A</v>
      </c>
      <c r="AY98" s="10" t="str" cm="1">
        <f t="array" ref="AY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" s="10"/>
      <c r="BA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" s="17" t="e">
        <f>tbl_MTG_Set[[#This Row],[Collector Booster CardMarket Profit]]/tbl_MTG_Set[[#This Row],[Collector Booster Cost]]</f>
        <v>#N/A</v>
      </c>
      <c r="BC98" s="10"/>
      <c r="BF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" s="11" t="e">
        <f>tbl_MTG_Set[[#This Row],[Play Singles CardMarket Profit MTG Stocks]]/tbl_MTG_Set[[#This Row],[Play Booster Cost]]</f>
        <v>#VALUE!</v>
      </c>
      <c r="BI98" s="11" t="b">
        <f>tbl_MTG_Set[[#This Row],[Play Singles CardMarket Profit MTG Stocks]]&gt;0</f>
        <v>0</v>
      </c>
      <c r="BM98" s="10" t="e">
        <f>tbl_MTG_Set[[#This Row],[Play Booster Sell Price CardMarket]]*tbl_MTG_Set[[#This Row],[Play Booster Expected Market Value BotBox]]/tbl_MTG_Set[[#This Row],[Play Booster Sealed Market Value BotBox]]</f>
        <v>#VALUE!</v>
      </c>
      <c r="BN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" s="10" t="e">
        <f>tbl_MTG_Set[[#This Row],[Play Singles CardMarket Profit BotBox]]/tbl_MTG_Set[[#This Row],[Play Booster Cost]]</f>
        <v>#VALUE!</v>
      </c>
      <c r="BP98" s="10" t="b">
        <f>tbl_MTG_Set[[#This Row],[Play Singles CardMarket Profit BotBox]]&gt;0</f>
        <v>0</v>
      </c>
      <c r="BQ98" s="10"/>
      <c r="BR98" s="10"/>
      <c r="BS98" s="10"/>
      <c r="BT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" s="19" t="e">
        <f>tbl_MTG_Set[[#This Row],[Collector Singles CardMarket Profit MTG Stocks]]/tbl_MTG_Set[[#This Row],[Collector Booster Cost]]</f>
        <v>#N/A</v>
      </c>
      <c r="BW98" s="10" t="b">
        <f>tbl_MTG_Set[[#This Row],[Collector Singles CardMarket Profit MTG Stocks]]&gt;0</f>
        <v>0</v>
      </c>
      <c r="BX98" s="10"/>
      <c r="BY98" s="10"/>
      <c r="BZ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" s="10" t="e">
        <f>tbl_MTG_Set[[#This Row],[Collector Singles CardMarket Profit BotBox]]/tbl_MTG_Set[[#This Row],[Collector Booster Cost]]</f>
        <v>#N/A</v>
      </c>
      <c r="CC98" s="10" t="b">
        <f>tbl_MTG_Set[[#This Row],[Collector Singles CardMarket Profit BotBox]]&gt;0</f>
        <v>0</v>
      </c>
      <c r="CD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9" spans="1:86" hidden="1">
      <c r="A99">
        <v>109</v>
      </c>
      <c r="B99" t="s">
        <v>272</v>
      </c>
      <c r="C99">
        <v>16</v>
      </c>
      <c r="D99" s="3">
        <v>45450</v>
      </c>
      <c r="E99" t="s">
        <v>76</v>
      </c>
      <c r="F99" t="s">
        <v>174</v>
      </c>
      <c r="G99">
        <v>164</v>
      </c>
      <c r="H99">
        <f ca="1">MONTH(NOW())+12*YEAR(NOW())-MONTH(tbl_MTG_Set[[#This Row],[Released On]])-12*YEAR(tbl_MTG_Set[[#This Row],[Released On]])</f>
        <v>21</v>
      </c>
      <c r="I99">
        <f>_xlfn.XLOOKUP(tbl_MTG_Set[[#This Row],[Type Name]], tbl_MTG_Set_Type[Set Type], tbl_MTG_Set_Type[Index], "(Set Type not found)")</f>
        <v>4</v>
      </c>
      <c r="J99">
        <f>_xlfn.XLOOKUP(tbl_MTG_Set[[#This Row],[Type Name]], tbl_MTG_Set_Type[Set Type], tbl_MTG_Set_Type[Buy Window Month Start], "(Set Type not found)")</f>
        <v>6</v>
      </c>
      <c r="K99" s="3">
        <f>tbl_MTG_Set[[#This Row],[Released On]]+tbl_MTG_Set[[#This Row],[Buy Window Month Start]]*365.25/12</f>
        <v>45632.625</v>
      </c>
      <c r="L99">
        <f>_xlfn.XLOOKUP(tbl_MTG_Set[[#This Row],[Type Name]], tbl_MTG_Set_Type[Set Type], tbl_MTG_Set_Type[Buy Window Month End], "(Set Type not found)", 0, 1)</f>
        <v>12</v>
      </c>
      <c r="M99" s="3">
        <f>tbl_MTG_Set[[#This Row],[Released On]]+tbl_MTG_Set[[#This Row],[Buy Window Month End]]*365.25/12</f>
        <v>45815.25</v>
      </c>
      <c r="N99" s="3" t="b">
        <f ca="1">AND(NOW()&gt;=tbl_MTG_Set[[#This Row],[Buy Window Start]], NOW()&lt;=tbl_MTG_Set[[#This Row],[Buy Window End]])</f>
        <v>0</v>
      </c>
      <c r="O99">
        <f>_xlfn.XLOOKUP(tbl_MTG_Set[[#This Row],[Type Name]], tbl_MTG_Set_Type[Set Type], tbl_MTG_Set_Type[Heavy Printing Window Month Start], "(Set Type not found)", 0, 1)</f>
        <v>6</v>
      </c>
      <c r="P99" s="3">
        <f>tbl_MTG_Set[[#This Row],[Released On]]+tbl_MTG_Set[[#This Row],[Heavy Printing Window Month Start]]*365.25/12</f>
        <v>45632.625</v>
      </c>
      <c r="Q99">
        <f>_xlfn.XLOOKUP(tbl_MTG_Set[[#This Row],[Type Name]], tbl_MTG_Set_Type[Set Type], tbl_MTG_Set_Type[Heavy Printing Window Month End], "(Set Type not found)", 0, 1)</f>
        <v>12</v>
      </c>
      <c r="R99" s="3">
        <f>tbl_MTG_Set[[#This Row],[Released On]]+tbl_MTG_Set[[#This Row],[Heavy Printing Window Month End]]*365.25/12</f>
        <v>45815.25</v>
      </c>
      <c r="S99" s="3" t="b">
        <f ca="1">AND(NOW()&gt;=tbl_MTG_Set[[#This Row],[Heavy Printing Window Start]], NOW()&lt;=tbl_MTG_Set[[#This Row],[Heavy Printing Window End]])</f>
        <v>0</v>
      </c>
      <c r="T99">
        <f>_xlfn.XLOOKUP(tbl_MTG_Set[[#This Row],[Type Name]], tbl_MTG_Set_Type[Set Type], tbl_MTG_Set_Type[Sell Window Month Start], "(Set Type not found)", 0, 1)</f>
        <v>24</v>
      </c>
      <c r="U99" s="3">
        <f>tbl_MTG_Set[[#This Row],[Released On]]+tbl_MTG_Set[[#This Row],[Sell Window Month Start]]*365.25/12</f>
        <v>46180.5</v>
      </c>
      <c r="V99">
        <f>_xlfn.XLOOKUP(tbl_MTG_Set[[#This Row],[Type Name]], tbl_MTG_Set_Type[Set Type], tbl_MTG_Set_Type[Sell Window Month End], "(Set Type not found)", 0, 1)</f>
        <v>48</v>
      </c>
      <c r="W99" s="3">
        <f>tbl_MTG_Set[[#This Row],[Released On]]+tbl_MTG_Set[[#This Row],[Sell Window Month End]]*365.25/12</f>
        <v>46911</v>
      </c>
      <c r="X99" s="3" t="b">
        <f ca="1">AND(NOW()&gt;=tbl_MTG_Set[[#This Row],[Sell Window Start]], NOW()&lt;=tbl_MTG_Set[[#This Row],[Sell Window End]])</f>
        <v>0</v>
      </c>
      <c r="AG99" s="10"/>
      <c r="AH99" s="10"/>
      <c r="AM99" s="10" t="str" cm="1">
        <f t="array" ref="AM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9" s="10" t="str" cm="1">
        <f t="array" ref="AN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9" s="4" t="e">
        <f>_xlfn.XLOOKUP(tbl_MTG_Set[[#This Row],[Play Booster Box Product Id]], tbl_Product[Product Id], tbl_Product[Pack Size])</f>
        <v>#N/A</v>
      </c>
      <c r="AP99" s="10" t="e">
        <f>(tbl_MTG_Set[[#This Row],[Play Booster Box Cost]]+v_Item_Shipping_Cost_In)/tbl_MTG_Set[[#This Row],[Play Booster Box Size]]</f>
        <v>#VALUE!</v>
      </c>
      <c r="AQ99" s="10" t="str" cm="1">
        <f t="array" ref="AQ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9" s="10"/>
      <c r="AS99" s="10"/>
      <c r="AT99" s="17" t="e">
        <f>tbl_MTG_Set[[#This Row],[Play Booster CardMarket Profit]]/tbl_MTG_Set[[#This Row],[Play Booster Cost]]</f>
        <v>#VALUE!</v>
      </c>
      <c r="AU99" s="10" t="e">
        <f>_xlfn.XLOOKUP(tbl_MTG_Set[[#This Row],[Collector Booster Box Product Id]], tbl_Product[Product Id], tbl_Product[Min Cost])</f>
        <v>#N/A</v>
      </c>
      <c r="AV99" s="10" t="e">
        <f>_xlfn.XLOOKUP(tbl_MTG_Set[[#This Row],[Collector Booster Box Product Id]], tbl_Product[Product Id], tbl_Product[Best Source])</f>
        <v>#N/A</v>
      </c>
      <c r="AW99" s="4" t="e">
        <f>_xlfn.XLOOKUP(tbl_MTG_Set[[#This Row],[Collector Booster Box Product Id]], tbl_Product[Product Id], tbl_Product[Pack Size])</f>
        <v>#N/A</v>
      </c>
      <c r="AX99" s="10" t="e">
        <f>(tbl_MTG_Set[[#This Row],[Collector Booster Box Cost]] + v_Item_Shipping_Cost_In) / tbl_MTG_Set[[#This Row],[Collector Booster Box Size]]</f>
        <v>#N/A</v>
      </c>
      <c r="AY99" s="10" t="str" cm="1">
        <f t="array" ref="AY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9" s="10"/>
      <c r="BA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9" s="17" t="e">
        <f>tbl_MTG_Set[[#This Row],[Collector Booster CardMarket Profit]]/tbl_MTG_Set[[#This Row],[Collector Booster Cost]]</f>
        <v>#N/A</v>
      </c>
      <c r="BC99" s="10"/>
      <c r="BF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9" s="11" t="e">
        <f>tbl_MTG_Set[[#This Row],[Play Singles CardMarket Profit MTG Stocks]]/tbl_MTG_Set[[#This Row],[Play Booster Cost]]</f>
        <v>#VALUE!</v>
      </c>
      <c r="BI99" s="11" t="b">
        <f>tbl_MTG_Set[[#This Row],[Play Singles CardMarket Profit MTG Stocks]]&gt;0</f>
        <v>0</v>
      </c>
      <c r="BM99" s="10" t="e">
        <f>tbl_MTG_Set[[#This Row],[Play Booster Sell Price CardMarket]]*tbl_MTG_Set[[#This Row],[Play Booster Expected Market Value BotBox]]/tbl_MTG_Set[[#This Row],[Play Booster Sealed Market Value BotBox]]</f>
        <v>#VALUE!</v>
      </c>
      <c r="BN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9" s="10" t="e">
        <f>tbl_MTG_Set[[#This Row],[Play Singles CardMarket Profit BotBox]]/tbl_MTG_Set[[#This Row],[Play Booster Cost]]</f>
        <v>#VALUE!</v>
      </c>
      <c r="BP99" s="10" t="b">
        <f>tbl_MTG_Set[[#This Row],[Play Singles CardMarket Profit BotBox]]&gt;0</f>
        <v>0</v>
      </c>
      <c r="BQ99" s="10"/>
      <c r="BR99" s="10"/>
      <c r="BS99" s="10"/>
      <c r="BT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" s="19" t="e">
        <f>tbl_MTG_Set[[#This Row],[Collector Singles CardMarket Profit MTG Stocks]]/tbl_MTG_Set[[#This Row],[Collector Booster Cost]]</f>
        <v>#N/A</v>
      </c>
      <c r="BW99" s="10" t="b">
        <f>tbl_MTG_Set[[#This Row],[Collector Singles CardMarket Profit MTG Stocks]]&gt;0</f>
        <v>0</v>
      </c>
      <c r="BX99" s="10"/>
      <c r="BY99" s="10"/>
      <c r="BZ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9" s="10" t="e">
        <f>tbl_MTG_Set[[#This Row],[Collector Singles CardMarket Profit BotBox]]/tbl_MTG_Set[[#This Row],[Collector Booster Cost]]</f>
        <v>#N/A</v>
      </c>
      <c r="CC99" s="10" t="b">
        <f>tbl_MTG_Set[[#This Row],[Collector Singles CardMarket Profit BotBox]]&gt;0</f>
        <v>0</v>
      </c>
      <c r="CD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0" spans="1:86" hidden="1">
      <c r="A100">
        <v>111</v>
      </c>
      <c r="B100" t="s">
        <v>273</v>
      </c>
      <c r="C100">
        <v>80</v>
      </c>
      <c r="D100" s="3">
        <v>45401</v>
      </c>
      <c r="E100" t="s">
        <v>90</v>
      </c>
      <c r="F100" t="s">
        <v>174</v>
      </c>
      <c r="G100">
        <v>168</v>
      </c>
      <c r="H100">
        <f ca="1">MONTH(NOW())+12*YEAR(NOW())-MONTH(tbl_MTG_Set[[#This Row],[Released On]])-12*YEAR(tbl_MTG_Set[[#This Row],[Released On]])</f>
        <v>23</v>
      </c>
      <c r="I100">
        <f>_xlfn.XLOOKUP(tbl_MTG_Set[[#This Row],[Type Name]], tbl_MTG_Set_Type[Set Type], tbl_MTG_Set_Type[Index], "(Set Type not found)")</f>
        <v>7</v>
      </c>
      <c r="J100">
        <f>_xlfn.XLOOKUP(tbl_MTG_Set[[#This Row],[Type Name]], tbl_MTG_Set_Type[Set Type], tbl_MTG_Set_Type[Buy Window Month Start], "(Set Type not found)")</f>
        <v>0</v>
      </c>
      <c r="K100" s="3">
        <f>tbl_MTG_Set[[#This Row],[Released On]]+tbl_MTG_Set[[#This Row],[Buy Window Month Start]]*365.25/12</f>
        <v>45401</v>
      </c>
      <c r="L100">
        <f>_xlfn.XLOOKUP(tbl_MTG_Set[[#This Row],[Type Name]], tbl_MTG_Set_Type[Set Type], tbl_MTG_Set_Type[Buy Window Month End], "(Set Type not found)", 0, 1)</f>
        <v>0</v>
      </c>
      <c r="M100" s="3">
        <f>tbl_MTG_Set[[#This Row],[Released On]]+tbl_MTG_Set[[#This Row],[Buy Window Month End]]*365.25/12</f>
        <v>45401</v>
      </c>
      <c r="N100" s="3" t="b">
        <f ca="1">AND(NOW()&gt;=tbl_MTG_Set[[#This Row],[Buy Window Start]], NOW()&lt;=tbl_MTG_Set[[#This Row],[Buy Window End]])</f>
        <v>0</v>
      </c>
      <c r="O100">
        <f>_xlfn.XLOOKUP(tbl_MTG_Set[[#This Row],[Type Name]], tbl_MTG_Set_Type[Set Type], tbl_MTG_Set_Type[Heavy Printing Window Month Start], "(Set Type not found)", 0, 1)</f>
        <v>3</v>
      </c>
      <c r="P100" s="3">
        <f>tbl_MTG_Set[[#This Row],[Released On]]+tbl_MTG_Set[[#This Row],[Heavy Printing Window Month Start]]*365.25/12</f>
        <v>45492.3125</v>
      </c>
      <c r="Q100">
        <f>_xlfn.XLOOKUP(tbl_MTG_Set[[#This Row],[Type Name]], tbl_MTG_Set_Type[Set Type], tbl_MTG_Set_Type[Heavy Printing Window Month End], "(Set Type not found)", 0, 1)</f>
        <v>6</v>
      </c>
      <c r="R100" s="3">
        <f>tbl_MTG_Set[[#This Row],[Released On]]+tbl_MTG_Set[[#This Row],[Heavy Printing Window Month End]]*365.25/12</f>
        <v>45583.625</v>
      </c>
      <c r="S100" s="3" t="b">
        <f ca="1">AND(NOW()&gt;=tbl_MTG_Set[[#This Row],[Heavy Printing Window Start]], NOW()&lt;=tbl_MTG_Set[[#This Row],[Heavy Printing Window End]])</f>
        <v>0</v>
      </c>
      <c r="T100">
        <f>_xlfn.XLOOKUP(tbl_MTG_Set[[#This Row],[Type Name]], tbl_MTG_Set_Type[Set Type], tbl_MTG_Set_Type[Sell Window Month Start], "(Set Type not found)", 0, 1)</f>
        <v>0</v>
      </c>
      <c r="U100" s="3">
        <f>tbl_MTG_Set[[#This Row],[Released On]]+tbl_MTG_Set[[#This Row],[Sell Window Month Start]]*365.25/12</f>
        <v>45401</v>
      </c>
      <c r="V100">
        <f>_xlfn.XLOOKUP(tbl_MTG_Set[[#This Row],[Type Name]], tbl_MTG_Set_Type[Set Type], tbl_MTG_Set_Type[Sell Window Month End], "(Set Type not found)", 0, 1)</f>
        <v>0</v>
      </c>
      <c r="W100" s="3">
        <f>tbl_MTG_Set[[#This Row],[Released On]]+tbl_MTG_Set[[#This Row],[Sell Window Month End]]*365.25/12</f>
        <v>45401</v>
      </c>
      <c r="X100" s="3" t="b">
        <f ca="1">AND(NOW()&gt;=tbl_MTG_Set[[#This Row],[Sell Window Start]], NOW()&lt;=tbl_MTG_Set[[#This Row],[Sell Window End]])</f>
        <v>0</v>
      </c>
      <c r="AG100" s="10"/>
      <c r="AH100" s="10"/>
      <c r="AM100" s="10" t="str" cm="1">
        <f t="array" ref="AM1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0" s="10" t="str" cm="1">
        <f t="array" ref="AN1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0" s="4" t="e">
        <f>_xlfn.XLOOKUP(tbl_MTG_Set[[#This Row],[Play Booster Box Product Id]], tbl_Product[Product Id], tbl_Product[Pack Size])</f>
        <v>#N/A</v>
      </c>
      <c r="AP100" s="10" t="e">
        <f>(tbl_MTG_Set[[#This Row],[Play Booster Box Cost]]+v_Item_Shipping_Cost_In)/tbl_MTG_Set[[#This Row],[Play Booster Box Size]]</f>
        <v>#VALUE!</v>
      </c>
      <c r="AQ100" s="10" t="str" cm="1">
        <f t="array" ref="AQ1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0" s="10"/>
      <c r="AS100" s="10"/>
      <c r="AT100" s="17" t="e">
        <f>tbl_MTG_Set[[#This Row],[Play Booster CardMarket Profit]]/tbl_MTG_Set[[#This Row],[Play Booster Cost]]</f>
        <v>#VALUE!</v>
      </c>
      <c r="AU100" s="10" t="e">
        <f>_xlfn.XLOOKUP(tbl_MTG_Set[[#This Row],[Collector Booster Box Product Id]], tbl_Product[Product Id], tbl_Product[Min Cost])</f>
        <v>#N/A</v>
      </c>
      <c r="AV100" s="10" t="e">
        <f>_xlfn.XLOOKUP(tbl_MTG_Set[[#This Row],[Collector Booster Box Product Id]], tbl_Product[Product Id], tbl_Product[Best Source])</f>
        <v>#N/A</v>
      </c>
      <c r="AW100" s="4" t="e">
        <f>_xlfn.XLOOKUP(tbl_MTG_Set[[#This Row],[Collector Booster Box Product Id]], tbl_Product[Product Id], tbl_Product[Pack Size])</f>
        <v>#N/A</v>
      </c>
      <c r="AX100" s="10" t="e">
        <f>(tbl_MTG_Set[[#This Row],[Collector Booster Box Cost]] + v_Item_Shipping_Cost_In) / tbl_MTG_Set[[#This Row],[Collector Booster Box Size]]</f>
        <v>#N/A</v>
      </c>
      <c r="AY100" s="10" t="str" cm="1">
        <f t="array" ref="AY1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0" s="10"/>
      <c r="BA1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0" s="17" t="e">
        <f>tbl_MTG_Set[[#This Row],[Collector Booster CardMarket Profit]]/tbl_MTG_Set[[#This Row],[Collector Booster Cost]]</f>
        <v>#N/A</v>
      </c>
      <c r="BC100" s="10"/>
      <c r="BF1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" s="11" t="e">
        <f>tbl_MTG_Set[[#This Row],[Play Singles CardMarket Profit MTG Stocks]]/tbl_MTG_Set[[#This Row],[Play Booster Cost]]</f>
        <v>#VALUE!</v>
      </c>
      <c r="BI100" s="11" t="b">
        <f>tbl_MTG_Set[[#This Row],[Play Singles CardMarket Profit MTG Stocks]]&gt;0</f>
        <v>0</v>
      </c>
      <c r="BM100" s="10" t="e">
        <f>tbl_MTG_Set[[#This Row],[Play Booster Sell Price CardMarket]]*tbl_MTG_Set[[#This Row],[Play Booster Expected Market Value BotBox]]/tbl_MTG_Set[[#This Row],[Play Booster Sealed Market Value BotBox]]</f>
        <v>#VALUE!</v>
      </c>
      <c r="BN1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0" s="10" t="e">
        <f>tbl_MTG_Set[[#This Row],[Play Singles CardMarket Profit BotBox]]/tbl_MTG_Set[[#This Row],[Play Booster Cost]]</f>
        <v>#VALUE!</v>
      </c>
      <c r="BP100" s="10" t="b">
        <f>tbl_MTG_Set[[#This Row],[Play Singles CardMarket Profit BotBox]]&gt;0</f>
        <v>0</v>
      </c>
      <c r="BQ100" s="10"/>
      <c r="BR100" s="10"/>
      <c r="BS100" s="10"/>
      <c r="BT1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" s="19" t="e">
        <f>tbl_MTG_Set[[#This Row],[Collector Singles CardMarket Profit MTG Stocks]]/tbl_MTG_Set[[#This Row],[Collector Booster Cost]]</f>
        <v>#N/A</v>
      </c>
      <c r="BW100" s="10" t="b">
        <f>tbl_MTG_Set[[#This Row],[Collector Singles CardMarket Profit MTG Stocks]]&gt;0</f>
        <v>0</v>
      </c>
      <c r="BX100" s="10"/>
      <c r="BY100" s="10"/>
      <c r="BZ1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0" s="10" t="e">
        <f>tbl_MTG_Set[[#This Row],[Collector Singles CardMarket Profit BotBox]]/tbl_MTG_Set[[#This Row],[Collector Booster Cost]]</f>
        <v>#N/A</v>
      </c>
      <c r="CC100" s="10" t="b">
        <f>tbl_MTG_Set[[#This Row],[Collector Singles CardMarket Profit BotBox]]&gt;0</f>
        <v>0</v>
      </c>
      <c r="CD1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1" spans="1:86" hidden="1">
      <c r="A101">
        <v>112</v>
      </c>
      <c r="B101" t="s">
        <v>274</v>
      </c>
      <c r="C101">
        <v>5</v>
      </c>
      <c r="D101" s="3">
        <v>45401</v>
      </c>
      <c r="E101" t="s">
        <v>90</v>
      </c>
      <c r="F101" t="s">
        <v>174</v>
      </c>
      <c r="G101">
        <v>170</v>
      </c>
      <c r="H101">
        <f ca="1">MONTH(NOW())+12*YEAR(NOW())-MONTH(tbl_MTG_Set[[#This Row],[Released On]])-12*YEAR(tbl_MTG_Set[[#This Row],[Released On]])</f>
        <v>23</v>
      </c>
      <c r="I101">
        <f>_xlfn.XLOOKUP(tbl_MTG_Set[[#This Row],[Type Name]], tbl_MTG_Set_Type[Set Type], tbl_MTG_Set_Type[Index], "(Set Type not found)")</f>
        <v>7</v>
      </c>
      <c r="J101">
        <f>_xlfn.XLOOKUP(tbl_MTG_Set[[#This Row],[Type Name]], tbl_MTG_Set_Type[Set Type], tbl_MTG_Set_Type[Buy Window Month Start], "(Set Type not found)")</f>
        <v>0</v>
      </c>
      <c r="K101" s="3">
        <f>tbl_MTG_Set[[#This Row],[Released On]]+tbl_MTG_Set[[#This Row],[Buy Window Month Start]]*365.25/12</f>
        <v>45401</v>
      </c>
      <c r="L101">
        <f>_xlfn.XLOOKUP(tbl_MTG_Set[[#This Row],[Type Name]], tbl_MTG_Set_Type[Set Type], tbl_MTG_Set_Type[Buy Window Month End], "(Set Type not found)", 0, 1)</f>
        <v>0</v>
      </c>
      <c r="M101" s="3">
        <f>tbl_MTG_Set[[#This Row],[Released On]]+tbl_MTG_Set[[#This Row],[Buy Window Month End]]*365.25/12</f>
        <v>45401</v>
      </c>
      <c r="N101" s="3" t="b">
        <f ca="1">AND(NOW()&gt;=tbl_MTG_Set[[#This Row],[Buy Window Start]], NOW()&lt;=tbl_MTG_Set[[#This Row],[Buy Window End]])</f>
        <v>0</v>
      </c>
      <c r="O101">
        <f>_xlfn.XLOOKUP(tbl_MTG_Set[[#This Row],[Type Name]], tbl_MTG_Set_Type[Set Type], tbl_MTG_Set_Type[Heavy Printing Window Month Start], "(Set Type not found)", 0, 1)</f>
        <v>3</v>
      </c>
      <c r="P101" s="3">
        <f>tbl_MTG_Set[[#This Row],[Released On]]+tbl_MTG_Set[[#This Row],[Heavy Printing Window Month Start]]*365.25/12</f>
        <v>45492.3125</v>
      </c>
      <c r="Q101">
        <f>_xlfn.XLOOKUP(tbl_MTG_Set[[#This Row],[Type Name]], tbl_MTG_Set_Type[Set Type], tbl_MTG_Set_Type[Heavy Printing Window Month End], "(Set Type not found)", 0, 1)</f>
        <v>6</v>
      </c>
      <c r="R101" s="3">
        <f>tbl_MTG_Set[[#This Row],[Released On]]+tbl_MTG_Set[[#This Row],[Heavy Printing Window Month End]]*365.25/12</f>
        <v>45583.625</v>
      </c>
      <c r="S101" s="3" t="b">
        <f ca="1">AND(NOW()&gt;=tbl_MTG_Set[[#This Row],[Heavy Printing Window Start]], NOW()&lt;=tbl_MTG_Set[[#This Row],[Heavy Printing Window End]])</f>
        <v>0</v>
      </c>
      <c r="T101">
        <f>_xlfn.XLOOKUP(tbl_MTG_Set[[#This Row],[Type Name]], tbl_MTG_Set_Type[Set Type], tbl_MTG_Set_Type[Sell Window Month Start], "(Set Type not found)", 0, 1)</f>
        <v>0</v>
      </c>
      <c r="U101" s="3">
        <f>tbl_MTG_Set[[#This Row],[Released On]]+tbl_MTG_Set[[#This Row],[Sell Window Month Start]]*365.25/12</f>
        <v>45401</v>
      </c>
      <c r="V101">
        <f>_xlfn.XLOOKUP(tbl_MTG_Set[[#This Row],[Type Name]], tbl_MTG_Set_Type[Set Type], tbl_MTG_Set_Type[Sell Window Month End], "(Set Type not found)", 0, 1)</f>
        <v>0</v>
      </c>
      <c r="W101" s="3">
        <f>tbl_MTG_Set[[#This Row],[Released On]]+tbl_MTG_Set[[#This Row],[Sell Window Month End]]*365.25/12</f>
        <v>45401</v>
      </c>
      <c r="X101" s="3" t="b">
        <f ca="1">AND(NOW()&gt;=tbl_MTG_Set[[#This Row],[Sell Window Start]], NOW()&lt;=tbl_MTG_Set[[#This Row],[Sell Window End]])</f>
        <v>0</v>
      </c>
      <c r="AG101" s="10"/>
      <c r="AH101" s="10"/>
      <c r="AM101" s="10" t="str" cm="1">
        <f t="array" ref="AM1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1" s="10" t="str" cm="1">
        <f t="array" ref="AN1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1" s="4" t="e">
        <f>_xlfn.XLOOKUP(tbl_MTG_Set[[#This Row],[Play Booster Box Product Id]], tbl_Product[Product Id], tbl_Product[Pack Size])</f>
        <v>#N/A</v>
      </c>
      <c r="AP101" s="10" t="e">
        <f>(tbl_MTG_Set[[#This Row],[Play Booster Box Cost]]+v_Item_Shipping_Cost_In)/tbl_MTG_Set[[#This Row],[Play Booster Box Size]]</f>
        <v>#VALUE!</v>
      </c>
      <c r="AQ101" s="10" t="str" cm="1">
        <f t="array" ref="AQ1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1" s="10"/>
      <c r="AS101" s="10"/>
      <c r="AT101" s="17" t="e">
        <f>tbl_MTG_Set[[#This Row],[Play Booster CardMarket Profit]]/tbl_MTG_Set[[#This Row],[Play Booster Cost]]</f>
        <v>#VALUE!</v>
      </c>
      <c r="AU101" s="10" t="e">
        <f>_xlfn.XLOOKUP(tbl_MTG_Set[[#This Row],[Collector Booster Box Product Id]], tbl_Product[Product Id], tbl_Product[Min Cost])</f>
        <v>#N/A</v>
      </c>
      <c r="AV101" s="10" t="e">
        <f>_xlfn.XLOOKUP(tbl_MTG_Set[[#This Row],[Collector Booster Box Product Id]], tbl_Product[Product Id], tbl_Product[Best Source])</f>
        <v>#N/A</v>
      </c>
      <c r="AW101" s="4" t="e">
        <f>_xlfn.XLOOKUP(tbl_MTG_Set[[#This Row],[Collector Booster Box Product Id]], tbl_Product[Product Id], tbl_Product[Pack Size])</f>
        <v>#N/A</v>
      </c>
      <c r="AX101" s="10" t="e">
        <f>(tbl_MTG_Set[[#This Row],[Collector Booster Box Cost]] + v_Item_Shipping_Cost_In) / tbl_MTG_Set[[#This Row],[Collector Booster Box Size]]</f>
        <v>#N/A</v>
      </c>
      <c r="AY101" s="10" t="str" cm="1">
        <f t="array" ref="AY1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1" s="10"/>
      <c r="BA1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1" s="17" t="e">
        <f>tbl_MTG_Set[[#This Row],[Collector Booster CardMarket Profit]]/tbl_MTG_Set[[#This Row],[Collector Booster Cost]]</f>
        <v>#N/A</v>
      </c>
      <c r="BC101" s="10"/>
      <c r="BF1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" s="11" t="e">
        <f>tbl_MTG_Set[[#This Row],[Play Singles CardMarket Profit MTG Stocks]]/tbl_MTG_Set[[#This Row],[Play Booster Cost]]</f>
        <v>#VALUE!</v>
      </c>
      <c r="BI101" s="11" t="b">
        <f>tbl_MTG_Set[[#This Row],[Play Singles CardMarket Profit MTG Stocks]]&gt;0</f>
        <v>0</v>
      </c>
      <c r="BM101" s="10" t="e">
        <f>tbl_MTG_Set[[#This Row],[Play Booster Sell Price CardMarket]]*tbl_MTG_Set[[#This Row],[Play Booster Expected Market Value BotBox]]/tbl_MTG_Set[[#This Row],[Play Booster Sealed Market Value BotBox]]</f>
        <v>#VALUE!</v>
      </c>
      <c r="BN1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1" s="10" t="e">
        <f>tbl_MTG_Set[[#This Row],[Play Singles CardMarket Profit BotBox]]/tbl_MTG_Set[[#This Row],[Play Booster Cost]]</f>
        <v>#VALUE!</v>
      </c>
      <c r="BP101" s="10" t="b">
        <f>tbl_MTG_Set[[#This Row],[Play Singles CardMarket Profit BotBox]]&gt;0</f>
        <v>0</v>
      </c>
      <c r="BQ101" s="10"/>
      <c r="BR101" s="10"/>
      <c r="BS101" s="10"/>
      <c r="BT1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" s="19" t="e">
        <f>tbl_MTG_Set[[#This Row],[Collector Singles CardMarket Profit MTG Stocks]]/tbl_MTG_Set[[#This Row],[Collector Booster Cost]]</f>
        <v>#N/A</v>
      </c>
      <c r="BW101" s="10" t="b">
        <f>tbl_MTG_Set[[#This Row],[Collector Singles CardMarket Profit MTG Stocks]]&gt;0</f>
        <v>0</v>
      </c>
      <c r="BX101" s="10"/>
      <c r="BY101" s="10"/>
      <c r="BZ1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1" s="10" t="e">
        <f>tbl_MTG_Set[[#This Row],[Collector Singles CardMarket Profit BotBox]]/tbl_MTG_Set[[#This Row],[Collector Booster Cost]]</f>
        <v>#N/A</v>
      </c>
      <c r="CC101" s="10" t="b">
        <f>tbl_MTG_Set[[#This Row],[Collector Singles CardMarket Profit BotBox]]&gt;0</f>
        <v>0</v>
      </c>
      <c r="CD1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2" spans="1:86" hidden="1">
      <c r="A102">
        <v>113</v>
      </c>
      <c r="B102" t="s">
        <v>275</v>
      </c>
      <c r="C102">
        <v>160</v>
      </c>
      <c r="D102" s="3">
        <v>45401</v>
      </c>
      <c r="E102" t="s">
        <v>59</v>
      </c>
      <c r="F102" t="s">
        <v>174</v>
      </c>
      <c r="G102">
        <v>172</v>
      </c>
      <c r="H102">
        <f ca="1">MONTH(NOW())+12*YEAR(NOW())-MONTH(tbl_MTG_Set[[#This Row],[Released On]])-12*YEAR(tbl_MTG_Set[[#This Row],[Released On]])</f>
        <v>23</v>
      </c>
      <c r="I102">
        <f>_xlfn.XLOOKUP(tbl_MTG_Set[[#This Row],[Type Name]], tbl_MTG_Set_Type[Set Type], tbl_MTG_Set_Type[Index], "(Set Type not found)")</f>
        <v>1</v>
      </c>
      <c r="J102">
        <f>_xlfn.XLOOKUP(tbl_MTG_Set[[#This Row],[Type Name]], tbl_MTG_Set_Type[Set Type], tbl_MTG_Set_Type[Buy Window Month Start], "(Set Type not found)")</f>
        <v>18</v>
      </c>
      <c r="K102" s="3">
        <f>tbl_MTG_Set[[#This Row],[Released On]]+tbl_MTG_Set[[#This Row],[Buy Window Month Start]]*365.25/12</f>
        <v>45948.875</v>
      </c>
      <c r="L102">
        <f>_xlfn.XLOOKUP(tbl_MTG_Set[[#This Row],[Type Name]], tbl_MTG_Set_Type[Set Type], tbl_MTG_Set_Type[Buy Window Month End], "(Set Type not found)", 0, 1)</f>
        <v>24</v>
      </c>
      <c r="M102" s="3">
        <f>tbl_MTG_Set[[#This Row],[Released On]]+tbl_MTG_Set[[#This Row],[Buy Window Month End]]*365.25/12</f>
        <v>46131.5</v>
      </c>
      <c r="N102" s="3" t="b">
        <f ca="1">AND(NOW()&gt;=tbl_MTG_Set[[#This Row],[Buy Window Start]], NOW()&lt;=tbl_MTG_Set[[#This Row],[Buy Window End]])</f>
        <v>1</v>
      </c>
      <c r="O102">
        <f>_xlfn.XLOOKUP(tbl_MTG_Set[[#This Row],[Type Name]], tbl_MTG_Set_Type[Set Type], tbl_MTG_Set_Type[Heavy Printing Window Month Start], "(Set Type not found)", 0, 1)</f>
        <v>1</v>
      </c>
      <c r="P102" s="3">
        <f>tbl_MTG_Set[[#This Row],[Released On]]+tbl_MTG_Set[[#This Row],[Heavy Printing Window Month Start]]*365.25/12</f>
        <v>45431.4375</v>
      </c>
      <c r="Q102">
        <f>_xlfn.XLOOKUP(tbl_MTG_Set[[#This Row],[Type Name]], tbl_MTG_Set_Type[Set Type], tbl_MTG_Set_Type[Heavy Printing Window Month End], "(Set Type not found)", 0, 1)</f>
        <v>18</v>
      </c>
      <c r="R102" s="3">
        <f>tbl_MTG_Set[[#This Row],[Released On]]+tbl_MTG_Set[[#This Row],[Heavy Printing Window Month End]]*365.25/12</f>
        <v>45948.875</v>
      </c>
      <c r="S102" s="3" t="b">
        <f ca="1">AND(NOW()&gt;=tbl_MTG_Set[[#This Row],[Heavy Printing Window Start]], NOW()&lt;=tbl_MTG_Set[[#This Row],[Heavy Printing Window End]])</f>
        <v>0</v>
      </c>
      <c r="T102">
        <f>_xlfn.XLOOKUP(tbl_MTG_Set[[#This Row],[Type Name]], tbl_MTG_Set_Type[Set Type], tbl_MTG_Set_Type[Sell Window Month Start], "(Set Type not found)", 0, 1)</f>
        <v>36</v>
      </c>
      <c r="U102" s="3">
        <f>tbl_MTG_Set[[#This Row],[Released On]]+tbl_MTG_Set[[#This Row],[Sell Window Month Start]]*365.25/12</f>
        <v>46496.75</v>
      </c>
      <c r="V102">
        <f>_xlfn.XLOOKUP(tbl_MTG_Set[[#This Row],[Type Name]], tbl_MTG_Set_Type[Set Type], tbl_MTG_Set_Type[Sell Window Month End], "(Set Type not found)", 0, 1)</f>
        <v>48</v>
      </c>
      <c r="W102" s="3">
        <f>tbl_MTG_Set[[#This Row],[Released On]]+tbl_MTG_Set[[#This Row],[Sell Window Month End]]*365.25/12</f>
        <v>46862</v>
      </c>
      <c r="X102" s="3" t="b">
        <f ca="1">AND(NOW()&gt;=tbl_MTG_Set[[#This Row],[Sell Window Start]], NOW()&lt;=tbl_MTG_Set[[#This Row],[Sell Window End]])</f>
        <v>0</v>
      </c>
      <c r="AG102" s="10"/>
      <c r="AH102" s="10"/>
      <c r="AM102" s="10" t="str" cm="1">
        <f t="array" ref="AM1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2" s="10" t="str" cm="1">
        <f t="array" ref="AN1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2" s="4" t="e">
        <f>_xlfn.XLOOKUP(tbl_MTG_Set[[#This Row],[Play Booster Box Product Id]], tbl_Product[Product Id], tbl_Product[Pack Size])</f>
        <v>#N/A</v>
      </c>
      <c r="AP102" s="10" t="e">
        <f>(tbl_MTG_Set[[#This Row],[Play Booster Box Cost]]+v_Item_Shipping_Cost_In)/tbl_MTG_Set[[#This Row],[Play Booster Box Size]]</f>
        <v>#VALUE!</v>
      </c>
      <c r="AQ102" s="10" t="str" cm="1">
        <f t="array" ref="AQ1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2" s="10"/>
      <c r="AS102" s="10"/>
      <c r="AT102" s="17" t="e">
        <f>tbl_MTG_Set[[#This Row],[Play Booster CardMarket Profit]]/tbl_MTG_Set[[#This Row],[Play Booster Cost]]</f>
        <v>#VALUE!</v>
      </c>
      <c r="AU102" s="10" t="e">
        <f>_xlfn.XLOOKUP(tbl_MTG_Set[[#This Row],[Collector Booster Box Product Id]], tbl_Product[Product Id], tbl_Product[Min Cost])</f>
        <v>#N/A</v>
      </c>
      <c r="AV102" s="10" t="e">
        <f>_xlfn.XLOOKUP(tbl_MTG_Set[[#This Row],[Collector Booster Box Product Id]], tbl_Product[Product Id], tbl_Product[Best Source])</f>
        <v>#N/A</v>
      </c>
      <c r="AW102" s="4" t="e">
        <f>_xlfn.XLOOKUP(tbl_MTG_Set[[#This Row],[Collector Booster Box Product Id]], tbl_Product[Product Id], tbl_Product[Pack Size])</f>
        <v>#N/A</v>
      </c>
      <c r="AX102" s="10" t="e">
        <f>(tbl_MTG_Set[[#This Row],[Collector Booster Box Cost]] + v_Item_Shipping_Cost_In) / tbl_MTG_Set[[#This Row],[Collector Booster Box Size]]</f>
        <v>#N/A</v>
      </c>
      <c r="AY102" s="10" t="str" cm="1">
        <f t="array" ref="AY1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2" s="10"/>
      <c r="BA1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2" s="17" t="e">
        <f>tbl_MTG_Set[[#This Row],[Collector Booster CardMarket Profit]]/tbl_MTG_Set[[#This Row],[Collector Booster Cost]]</f>
        <v>#N/A</v>
      </c>
      <c r="BC102" s="10"/>
      <c r="BF1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2" s="11" t="e">
        <f>tbl_MTG_Set[[#This Row],[Play Singles CardMarket Profit MTG Stocks]]/tbl_MTG_Set[[#This Row],[Play Booster Cost]]</f>
        <v>#VALUE!</v>
      </c>
      <c r="BI102" s="11" t="b">
        <f>tbl_MTG_Set[[#This Row],[Play Singles CardMarket Profit MTG Stocks]]&gt;0</f>
        <v>0</v>
      </c>
      <c r="BM102" s="10" t="e">
        <f>tbl_MTG_Set[[#This Row],[Play Booster Sell Price CardMarket]]*tbl_MTG_Set[[#This Row],[Play Booster Expected Market Value BotBox]]/tbl_MTG_Set[[#This Row],[Play Booster Sealed Market Value BotBox]]</f>
        <v>#VALUE!</v>
      </c>
      <c r="BN1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2" s="10" t="e">
        <f>tbl_MTG_Set[[#This Row],[Play Singles CardMarket Profit BotBox]]/tbl_MTG_Set[[#This Row],[Play Booster Cost]]</f>
        <v>#VALUE!</v>
      </c>
      <c r="BP102" s="10" t="b">
        <f>tbl_MTG_Set[[#This Row],[Play Singles CardMarket Profit BotBox]]&gt;0</f>
        <v>0</v>
      </c>
      <c r="BQ102" s="10"/>
      <c r="BR102" s="10"/>
      <c r="BS102" s="10"/>
      <c r="BT1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2" s="19" t="e">
        <f>tbl_MTG_Set[[#This Row],[Collector Singles CardMarket Profit MTG Stocks]]/tbl_MTG_Set[[#This Row],[Collector Booster Cost]]</f>
        <v>#N/A</v>
      </c>
      <c r="BW102" s="10" t="b">
        <f>tbl_MTG_Set[[#This Row],[Collector Singles CardMarket Profit MTG Stocks]]&gt;0</f>
        <v>0</v>
      </c>
      <c r="BX102" s="10"/>
      <c r="BY102" s="10"/>
      <c r="BZ1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2" s="10" t="e">
        <f>tbl_MTG_Set[[#This Row],[Collector Singles CardMarket Profit BotBox]]/tbl_MTG_Set[[#This Row],[Collector Booster Cost]]</f>
        <v>#N/A</v>
      </c>
      <c r="CC102" s="10" t="b">
        <f>tbl_MTG_Set[[#This Row],[Collector Singles CardMarket Profit BotBox]]&gt;0</f>
        <v>0</v>
      </c>
      <c r="CD1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3" spans="1:86" hidden="1">
      <c r="A103">
        <v>114</v>
      </c>
      <c r="B103" t="s">
        <v>276</v>
      </c>
      <c r="C103">
        <v>19</v>
      </c>
      <c r="D103" s="3">
        <v>45401</v>
      </c>
      <c r="E103" t="s">
        <v>59</v>
      </c>
      <c r="F103" t="s">
        <v>174</v>
      </c>
      <c r="G103">
        <v>174</v>
      </c>
      <c r="H103">
        <f ca="1">MONTH(NOW())+12*YEAR(NOW())-MONTH(tbl_MTG_Set[[#This Row],[Released On]])-12*YEAR(tbl_MTG_Set[[#This Row],[Released On]])</f>
        <v>23</v>
      </c>
      <c r="I103">
        <f>_xlfn.XLOOKUP(tbl_MTG_Set[[#This Row],[Type Name]], tbl_MTG_Set_Type[Set Type], tbl_MTG_Set_Type[Index], "(Set Type not found)")</f>
        <v>1</v>
      </c>
      <c r="J103">
        <f>_xlfn.XLOOKUP(tbl_MTG_Set[[#This Row],[Type Name]], tbl_MTG_Set_Type[Set Type], tbl_MTG_Set_Type[Buy Window Month Start], "(Set Type not found)")</f>
        <v>18</v>
      </c>
      <c r="K103" s="3">
        <f>tbl_MTG_Set[[#This Row],[Released On]]+tbl_MTG_Set[[#This Row],[Buy Window Month Start]]*365.25/12</f>
        <v>45948.875</v>
      </c>
      <c r="L103">
        <f>_xlfn.XLOOKUP(tbl_MTG_Set[[#This Row],[Type Name]], tbl_MTG_Set_Type[Set Type], tbl_MTG_Set_Type[Buy Window Month End], "(Set Type not found)", 0, 1)</f>
        <v>24</v>
      </c>
      <c r="M103" s="3">
        <f>tbl_MTG_Set[[#This Row],[Released On]]+tbl_MTG_Set[[#This Row],[Buy Window Month End]]*365.25/12</f>
        <v>46131.5</v>
      </c>
      <c r="N103" s="3" t="b">
        <f ca="1">AND(NOW()&gt;=tbl_MTG_Set[[#This Row],[Buy Window Start]], NOW()&lt;=tbl_MTG_Set[[#This Row],[Buy Window End]])</f>
        <v>1</v>
      </c>
      <c r="O103">
        <f>_xlfn.XLOOKUP(tbl_MTG_Set[[#This Row],[Type Name]], tbl_MTG_Set_Type[Set Type], tbl_MTG_Set_Type[Heavy Printing Window Month Start], "(Set Type not found)", 0, 1)</f>
        <v>1</v>
      </c>
      <c r="P103" s="3">
        <f>tbl_MTG_Set[[#This Row],[Released On]]+tbl_MTG_Set[[#This Row],[Heavy Printing Window Month Start]]*365.25/12</f>
        <v>45431.4375</v>
      </c>
      <c r="Q103">
        <f>_xlfn.XLOOKUP(tbl_MTG_Set[[#This Row],[Type Name]], tbl_MTG_Set_Type[Set Type], tbl_MTG_Set_Type[Heavy Printing Window Month End], "(Set Type not found)", 0, 1)</f>
        <v>18</v>
      </c>
      <c r="R103" s="3">
        <f>tbl_MTG_Set[[#This Row],[Released On]]+tbl_MTG_Set[[#This Row],[Heavy Printing Window Month End]]*365.25/12</f>
        <v>45948.875</v>
      </c>
      <c r="S103" s="3" t="b">
        <f ca="1">AND(NOW()&gt;=tbl_MTG_Set[[#This Row],[Heavy Printing Window Start]], NOW()&lt;=tbl_MTG_Set[[#This Row],[Heavy Printing Window End]])</f>
        <v>0</v>
      </c>
      <c r="T103">
        <f>_xlfn.XLOOKUP(tbl_MTG_Set[[#This Row],[Type Name]], tbl_MTG_Set_Type[Set Type], tbl_MTG_Set_Type[Sell Window Month Start], "(Set Type not found)", 0, 1)</f>
        <v>36</v>
      </c>
      <c r="U103" s="3">
        <f>tbl_MTG_Set[[#This Row],[Released On]]+tbl_MTG_Set[[#This Row],[Sell Window Month Start]]*365.25/12</f>
        <v>46496.75</v>
      </c>
      <c r="V103">
        <f>_xlfn.XLOOKUP(tbl_MTG_Set[[#This Row],[Type Name]], tbl_MTG_Set_Type[Set Type], tbl_MTG_Set_Type[Sell Window Month End], "(Set Type not found)", 0, 1)</f>
        <v>48</v>
      </c>
      <c r="W103" s="3">
        <f>tbl_MTG_Set[[#This Row],[Released On]]+tbl_MTG_Set[[#This Row],[Sell Window Month End]]*365.25/12</f>
        <v>46862</v>
      </c>
      <c r="X103" s="3" t="b">
        <f ca="1">AND(NOW()&gt;=tbl_MTG_Set[[#This Row],[Sell Window Start]], NOW()&lt;=tbl_MTG_Set[[#This Row],[Sell Window End]])</f>
        <v>0</v>
      </c>
      <c r="AG103" s="10"/>
      <c r="AH103" s="10"/>
      <c r="AM103" s="10" t="str" cm="1">
        <f t="array" ref="AM1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3" s="10" t="str" cm="1">
        <f t="array" ref="AN1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3" s="4" t="e">
        <f>_xlfn.XLOOKUP(tbl_MTG_Set[[#This Row],[Play Booster Box Product Id]], tbl_Product[Product Id], tbl_Product[Pack Size])</f>
        <v>#N/A</v>
      </c>
      <c r="AP103" s="10" t="e">
        <f>(tbl_MTG_Set[[#This Row],[Play Booster Box Cost]]+v_Item_Shipping_Cost_In)/tbl_MTG_Set[[#This Row],[Play Booster Box Size]]</f>
        <v>#VALUE!</v>
      </c>
      <c r="AQ103" s="10" t="str" cm="1">
        <f t="array" ref="AQ1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3" s="10"/>
      <c r="AS103" s="10"/>
      <c r="AT103" s="17" t="e">
        <f>tbl_MTG_Set[[#This Row],[Play Booster CardMarket Profit]]/tbl_MTG_Set[[#This Row],[Play Booster Cost]]</f>
        <v>#VALUE!</v>
      </c>
      <c r="AU103" s="10" t="e">
        <f>_xlfn.XLOOKUP(tbl_MTG_Set[[#This Row],[Collector Booster Box Product Id]], tbl_Product[Product Id], tbl_Product[Min Cost])</f>
        <v>#N/A</v>
      </c>
      <c r="AV103" s="10" t="e">
        <f>_xlfn.XLOOKUP(tbl_MTG_Set[[#This Row],[Collector Booster Box Product Id]], tbl_Product[Product Id], tbl_Product[Best Source])</f>
        <v>#N/A</v>
      </c>
      <c r="AW103" s="4" t="e">
        <f>_xlfn.XLOOKUP(tbl_MTG_Set[[#This Row],[Collector Booster Box Product Id]], tbl_Product[Product Id], tbl_Product[Pack Size])</f>
        <v>#N/A</v>
      </c>
      <c r="AX103" s="10" t="e">
        <f>(tbl_MTG_Set[[#This Row],[Collector Booster Box Cost]] + v_Item_Shipping_Cost_In) / tbl_MTG_Set[[#This Row],[Collector Booster Box Size]]</f>
        <v>#N/A</v>
      </c>
      <c r="AY103" s="10" t="str" cm="1">
        <f t="array" ref="AY1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3" s="10"/>
      <c r="BA1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3" s="17" t="e">
        <f>tbl_MTG_Set[[#This Row],[Collector Booster CardMarket Profit]]/tbl_MTG_Set[[#This Row],[Collector Booster Cost]]</f>
        <v>#N/A</v>
      </c>
      <c r="BC103" s="10"/>
      <c r="BF1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3" s="11" t="e">
        <f>tbl_MTG_Set[[#This Row],[Play Singles CardMarket Profit MTG Stocks]]/tbl_MTG_Set[[#This Row],[Play Booster Cost]]</f>
        <v>#VALUE!</v>
      </c>
      <c r="BI103" s="11" t="b">
        <f>tbl_MTG_Set[[#This Row],[Play Singles CardMarket Profit MTG Stocks]]&gt;0</f>
        <v>0</v>
      </c>
      <c r="BM103" s="10" t="e">
        <f>tbl_MTG_Set[[#This Row],[Play Booster Sell Price CardMarket]]*tbl_MTG_Set[[#This Row],[Play Booster Expected Market Value BotBox]]/tbl_MTG_Set[[#This Row],[Play Booster Sealed Market Value BotBox]]</f>
        <v>#VALUE!</v>
      </c>
      <c r="BN1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3" s="10" t="e">
        <f>tbl_MTG_Set[[#This Row],[Play Singles CardMarket Profit BotBox]]/tbl_MTG_Set[[#This Row],[Play Booster Cost]]</f>
        <v>#VALUE!</v>
      </c>
      <c r="BP103" s="10" t="b">
        <f>tbl_MTG_Set[[#This Row],[Play Singles CardMarket Profit BotBox]]&gt;0</f>
        <v>0</v>
      </c>
      <c r="BQ103" s="10"/>
      <c r="BR103" s="10"/>
      <c r="BS103" s="10"/>
      <c r="BT1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3" s="19" t="e">
        <f>tbl_MTG_Set[[#This Row],[Collector Singles CardMarket Profit MTG Stocks]]/tbl_MTG_Set[[#This Row],[Collector Booster Cost]]</f>
        <v>#N/A</v>
      </c>
      <c r="BW103" s="10" t="b">
        <f>tbl_MTG_Set[[#This Row],[Collector Singles CardMarket Profit MTG Stocks]]&gt;0</f>
        <v>0</v>
      </c>
      <c r="BX103" s="10"/>
      <c r="BY103" s="10"/>
      <c r="BZ1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3" s="10" t="e">
        <f>tbl_MTG_Set[[#This Row],[Collector Singles CardMarket Profit BotBox]]/tbl_MTG_Set[[#This Row],[Collector Booster Cost]]</f>
        <v>#N/A</v>
      </c>
      <c r="CC103" s="10" t="b">
        <f>tbl_MTG_Set[[#This Row],[Collector Singles CardMarket Profit BotBox]]&gt;0</f>
        <v>0</v>
      </c>
      <c r="CD1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4" spans="1:86" hidden="1">
      <c r="A104">
        <v>115</v>
      </c>
      <c r="B104" t="s">
        <v>277</v>
      </c>
      <c r="C104">
        <v>30</v>
      </c>
      <c r="D104" s="3">
        <v>45419</v>
      </c>
      <c r="E104" t="s">
        <v>59</v>
      </c>
      <c r="F104" t="s">
        <v>174</v>
      </c>
      <c r="G104">
        <v>176</v>
      </c>
      <c r="H104">
        <f ca="1">MONTH(NOW())+12*YEAR(NOW())-MONTH(tbl_MTG_Set[[#This Row],[Released On]])-12*YEAR(tbl_MTG_Set[[#This Row],[Released On]])</f>
        <v>22</v>
      </c>
      <c r="I104">
        <f>_xlfn.XLOOKUP(tbl_MTG_Set[[#This Row],[Type Name]], tbl_MTG_Set_Type[Set Type], tbl_MTG_Set_Type[Index], "(Set Type not found)")</f>
        <v>1</v>
      </c>
      <c r="J104">
        <f>_xlfn.XLOOKUP(tbl_MTG_Set[[#This Row],[Type Name]], tbl_MTG_Set_Type[Set Type], tbl_MTG_Set_Type[Buy Window Month Start], "(Set Type not found)")</f>
        <v>18</v>
      </c>
      <c r="K104" s="3">
        <f>tbl_MTG_Set[[#This Row],[Released On]]+tbl_MTG_Set[[#This Row],[Buy Window Month Start]]*365.25/12</f>
        <v>45966.875</v>
      </c>
      <c r="L104">
        <f>_xlfn.XLOOKUP(tbl_MTG_Set[[#This Row],[Type Name]], tbl_MTG_Set_Type[Set Type], tbl_MTG_Set_Type[Buy Window Month End], "(Set Type not found)", 0, 1)</f>
        <v>24</v>
      </c>
      <c r="M104" s="3">
        <f>tbl_MTG_Set[[#This Row],[Released On]]+tbl_MTG_Set[[#This Row],[Buy Window Month End]]*365.25/12</f>
        <v>46149.5</v>
      </c>
      <c r="N104" s="3" t="b">
        <f ca="1">AND(NOW()&gt;=tbl_MTG_Set[[#This Row],[Buy Window Start]], NOW()&lt;=tbl_MTG_Set[[#This Row],[Buy Window End]])</f>
        <v>1</v>
      </c>
      <c r="O104">
        <f>_xlfn.XLOOKUP(tbl_MTG_Set[[#This Row],[Type Name]], tbl_MTG_Set_Type[Set Type], tbl_MTG_Set_Type[Heavy Printing Window Month Start], "(Set Type not found)", 0, 1)</f>
        <v>1</v>
      </c>
      <c r="P104" s="3">
        <f>tbl_MTG_Set[[#This Row],[Released On]]+tbl_MTG_Set[[#This Row],[Heavy Printing Window Month Start]]*365.25/12</f>
        <v>45449.4375</v>
      </c>
      <c r="Q104">
        <f>_xlfn.XLOOKUP(tbl_MTG_Set[[#This Row],[Type Name]], tbl_MTG_Set_Type[Set Type], tbl_MTG_Set_Type[Heavy Printing Window Month End], "(Set Type not found)", 0, 1)</f>
        <v>18</v>
      </c>
      <c r="R104" s="3">
        <f>tbl_MTG_Set[[#This Row],[Released On]]+tbl_MTG_Set[[#This Row],[Heavy Printing Window Month End]]*365.25/12</f>
        <v>45966.875</v>
      </c>
      <c r="S104" s="3" t="b">
        <f ca="1">AND(NOW()&gt;=tbl_MTG_Set[[#This Row],[Heavy Printing Window Start]], NOW()&lt;=tbl_MTG_Set[[#This Row],[Heavy Printing Window End]])</f>
        <v>0</v>
      </c>
      <c r="T104">
        <f>_xlfn.XLOOKUP(tbl_MTG_Set[[#This Row],[Type Name]], tbl_MTG_Set_Type[Set Type], tbl_MTG_Set_Type[Sell Window Month Start], "(Set Type not found)", 0, 1)</f>
        <v>36</v>
      </c>
      <c r="U104" s="3">
        <f>tbl_MTG_Set[[#This Row],[Released On]]+tbl_MTG_Set[[#This Row],[Sell Window Month Start]]*365.25/12</f>
        <v>46514.75</v>
      </c>
      <c r="V104">
        <f>_xlfn.XLOOKUP(tbl_MTG_Set[[#This Row],[Type Name]], tbl_MTG_Set_Type[Set Type], tbl_MTG_Set_Type[Sell Window Month End], "(Set Type not found)", 0, 1)</f>
        <v>48</v>
      </c>
      <c r="W104" s="3">
        <f>tbl_MTG_Set[[#This Row],[Released On]]+tbl_MTG_Set[[#This Row],[Sell Window Month End]]*365.25/12</f>
        <v>46880</v>
      </c>
      <c r="X104" s="3" t="b">
        <f ca="1">AND(NOW()&gt;=tbl_MTG_Set[[#This Row],[Sell Window Start]], NOW()&lt;=tbl_MTG_Set[[#This Row],[Sell Window End]])</f>
        <v>0</v>
      </c>
      <c r="AG104" s="10"/>
      <c r="AH104" s="10"/>
      <c r="AM104" s="10" t="str" cm="1">
        <f t="array" ref="AM1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4" s="10" t="str" cm="1">
        <f t="array" ref="AN1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4" s="4" t="e">
        <f>_xlfn.XLOOKUP(tbl_MTG_Set[[#This Row],[Play Booster Box Product Id]], tbl_Product[Product Id], tbl_Product[Pack Size])</f>
        <v>#N/A</v>
      </c>
      <c r="AP104" s="10" t="e">
        <f>(tbl_MTG_Set[[#This Row],[Play Booster Box Cost]]+v_Item_Shipping_Cost_In)/tbl_MTG_Set[[#This Row],[Play Booster Box Size]]</f>
        <v>#VALUE!</v>
      </c>
      <c r="AQ104" s="10" t="str" cm="1">
        <f t="array" ref="AQ1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4" s="10"/>
      <c r="AS104" s="10"/>
      <c r="AT104" s="17" t="e">
        <f>tbl_MTG_Set[[#This Row],[Play Booster CardMarket Profit]]/tbl_MTG_Set[[#This Row],[Play Booster Cost]]</f>
        <v>#VALUE!</v>
      </c>
      <c r="AU104" s="10" t="e">
        <f>_xlfn.XLOOKUP(tbl_MTG_Set[[#This Row],[Collector Booster Box Product Id]], tbl_Product[Product Id], tbl_Product[Min Cost])</f>
        <v>#N/A</v>
      </c>
      <c r="AV104" s="10" t="e">
        <f>_xlfn.XLOOKUP(tbl_MTG_Set[[#This Row],[Collector Booster Box Product Id]], tbl_Product[Product Id], tbl_Product[Best Source])</f>
        <v>#N/A</v>
      </c>
      <c r="AW104" s="4" t="e">
        <f>_xlfn.XLOOKUP(tbl_MTG_Set[[#This Row],[Collector Booster Box Product Id]], tbl_Product[Product Id], tbl_Product[Pack Size])</f>
        <v>#N/A</v>
      </c>
      <c r="AX104" s="10" t="e">
        <f>(tbl_MTG_Set[[#This Row],[Collector Booster Box Cost]] + v_Item_Shipping_Cost_In) / tbl_MTG_Set[[#This Row],[Collector Booster Box Size]]</f>
        <v>#N/A</v>
      </c>
      <c r="AY104" s="10" t="str" cm="1">
        <f t="array" ref="AY1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4" s="10"/>
      <c r="BA1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4" s="17" t="e">
        <f>tbl_MTG_Set[[#This Row],[Collector Booster CardMarket Profit]]/tbl_MTG_Set[[#This Row],[Collector Booster Cost]]</f>
        <v>#N/A</v>
      </c>
      <c r="BC104" s="10"/>
      <c r="BF1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4" s="11" t="e">
        <f>tbl_MTG_Set[[#This Row],[Play Singles CardMarket Profit MTG Stocks]]/tbl_MTG_Set[[#This Row],[Play Booster Cost]]</f>
        <v>#VALUE!</v>
      </c>
      <c r="BI104" s="11" t="b">
        <f>tbl_MTG_Set[[#This Row],[Play Singles CardMarket Profit MTG Stocks]]&gt;0</f>
        <v>0</v>
      </c>
      <c r="BM104" s="10" t="e">
        <f>tbl_MTG_Set[[#This Row],[Play Booster Sell Price CardMarket]]*tbl_MTG_Set[[#This Row],[Play Booster Expected Market Value BotBox]]/tbl_MTG_Set[[#This Row],[Play Booster Sealed Market Value BotBox]]</f>
        <v>#VALUE!</v>
      </c>
      <c r="BN1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4" s="10" t="e">
        <f>tbl_MTG_Set[[#This Row],[Play Singles CardMarket Profit BotBox]]/tbl_MTG_Set[[#This Row],[Play Booster Cost]]</f>
        <v>#VALUE!</v>
      </c>
      <c r="BP104" s="10" t="b">
        <f>tbl_MTG_Set[[#This Row],[Play Singles CardMarket Profit BotBox]]&gt;0</f>
        <v>0</v>
      </c>
      <c r="BQ104" s="10"/>
      <c r="BR104" s="10"/>
      <c r="BS104" s="10"/>
      <c r="BT1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4" s="19" t="e">
        <f>tbl_MTG_Set[[#This Row],[Collector Singles CardMarket Profit MTG Stocks]]/tbl_MTG_Set[[#This Row],[Collector Booster Cost]]</f>
        <v>#N/A</v>
      </c>
      <c r="BW104" s="10" t="b">
        <f>tbl_MTG_Set[[#This Row],[Collector Singles CardMarket Profit MTG Stocks]]&gt;0</f>
        <v>0</v>
      </c>
      <c r="BX104" s="10"/>
      <c r="BY104" s="10"/>
      <c r="BZ1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4" s="10" t="e">
        <f>tbl_MTG_Set[[#This Row],[Collector Singles CardMarket Profit BotBox]]/tbl_MTG_Set[[#This Row],[Collector Booster Cost]]</f>
        <v>#N/A</v>
      </c>
      <c r="CC104" s="10" t="b">
        <f>tbl_MTG_Set[[#This Row],[Collector Singles CardMarket Profit BotBox]]&gt;0</f>
        <v>0</v>
      </c>
      <c r="CD1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5" spans="1:86" hidden="1">
      <c r="A105">
        <v>116</v>
      </c>
      <c r="B105" t="s">
        <v>278</v>
      </c>
      <c r="C105">
        <v>54</v>
      </c>
      <c r="D105" s="3">
        <v>45401</v>
      </c>
      <c r="E105" t="s">
        <v>59</v>
      </c>
      <c r="F105" t="s">
        <v>174</v>
      </c>
      <c r="G105">
        <v>178</v>
      </c>
      <c r="H105">
        <f ca="1">MONTH(NOW())+12*YEAR(NOW())-MONTH(tbl_MTG_Set[[#This Row],[Released On]])-12*YEAR(tbl_MTG_Set[[#This Row],[Released On]])</f>
        <v>23</v>
      </c>
      <c r="I105">
        <f>_xlfn.XLOOKUP(tbl_MTG_Set[[#This Row],[Type Name]], tbl_MTG_Set_Type[Set Type], tbl_MTG_Set_Type[Index], "(Set Type not found)")</f>
        <v>1</v>
      </c>
      <c r="J105">
        <f>_xlfn.XLOOKUP(tbl_MTG_Set[[#This Row],[Type Name]], tbl_MTG_Set_Type[Set Type], tbl_MTG_Set_Type[Buy Window Month Start], "(Set Type not found)")</f>
        <v>18</v>
      </c>
      <c r="K105" s="3">
        <f>tbl_MTG_Set[[#This Row],[Released On]]+tbl_MTG_Set[[#This Row],[Buy Window Month Start]]*365.25/12</f>
        <v>45948.875</v>
      </c>
      <c r="L105">
        <f>_xlfn.XLOOKUP(tbl_MTG_Set[[#This Row],[Type Name]], tbl_MTG_Set_Type[Set Type], tbl_MTG_Set_Type[Buy Window Month End], "(Set Type not found)", 0, 1)</f>
        <v>24</v>
      </c>
      <c r="M105" s="3">
        <f>tbl_MTG_Set[[#This Row],[Released On]]+tbl_MTG_Set[[#This Row],[Buy Window Month End]]*365.25/12</f>
        <v>46131.5</v>
      </c>
      <c r="N105" s="3" t="b">
        <f ca="1">AND(NOW()&gt;=tbl_MTG_Set[[#This Row],[Buy Window Start]], NOW()&lt;=tbl_MTG_Set[[#This Row],[Buy Window End]])</f>
        <v>1</v>
      </c>
      <c r="O105">
        <f>_xlfn.XLOOKUP(tbl_MTG_Set[[#This Row],[Type Name]], tbl_MTG_Set_Type[Set Type], tbl_MTG_Set_Type[Heavy Printing Window Month Start], "(Set Type not found)", 0, 1)</f>
        <v>1</v>
      </c>
      <c r="P105" s="3">
        <f>tbl_MTG_Set[[#This Row],[Released On]]+tbl_MTG_Set[[#This Row],[Heavy Printing Window Month Start]]*365.25/12</f>
        <v>45431.4375</v>
      </c>
      <c r="Q105">
        <f>_xlfn.XLOOKUP(tbl_MTG_Set[[#This Row],[Type Name]], tbl_MTG_Set_Type[Set Type], tbl_MTG_Set_Type[Heavy Printing Window Month End], "(Set Type not found)", 0, 1)</f>
        <v>18</v>
      </c>
      <c r="R105" s="3">
        <f>tbl_MTG_Set[[#This Row],[Released On]]+tbl_MTG_Set[[#This Row],[Heavy Printing Window Month End]]*365.25/12</f>
        <v>45948.875</v>
      </c>
      <c r="S105" s="3" t="b">
        <f ca="1">AND(NOW()&gt;=tbl_MTG_Set[[#This Row],[Heavy Printing Window Start]], NOW()&lt;=tbl_MTG_Set[[#This Row],[Heavy Printing Window End]])</f>
        <v>0</v>
      </c>
      <c r="T105">
        <f>_xlfn.XLOOKUP(tbl_MTG_Set[[#This Row],[Type Name]], tbl_MTG_Set_Type[Set Type], tbl_MTG_Set_Type[Sell Window Month Start], "(Set Type not found)", 0, 1)</f>
        <v>36</v>
      </c>
      <c r="U105" s="3">
        <f>tbl_MTG_Set[[#This Row],[Released On]]+tbl_MTG_Set[[#This Row],[Sell Window Month Start]]*365.25/12</f>
        <v>46496.75</v>
      </c>
      <c r="V105">
        <f>_xlfn.XLOOKUP(tbl_MTG_Set[[#This Row],[Type Name]], tbl_MTG_Set_Type[Set Type], tbl_MTG_Set_Type[Sell Window Month End], "(Set Type not found)", 0, 1)</f>
        <v>48</v>
      </c>
      <c r="W105" s="3">
        <f>tbl_MTG_Set[[#This Row],[Released On]]+tbl_MTG_Set[[#This Row],[Sell Window Month End]]*365.25/12</f>
        <v>46862</v>
      </c>
      <c r="X105" s="3" t="b">
        <f ca="1">AND(NOW()&gt;=tbl_MTG_Set[[#This Row],[Sell Window Start]], NOW()&lt;=tbl_MTG_Set[[#This Row],[Sell Window End]])</f>
        <v>0</v>
      </c>
      <c r="AG105" s="10"/>
      <c r="AH105" s="10"/>
      <c r="AM105" s="10" t="str" cm="1">
        <f t="array" ref="AM1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5" s="10" t="str" cm="1">
        <f t="array" ref="AN1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5" s="4" t="e">
        <f>_xlfn.XLOOKUP(tbl_MTG_Set[[#This Row],[Play Booster Box Product Id]], tbl_Product[Product Id], tbl_Product[Pack Size])</f>
        <v>#N/A</v>
      </c>
      <c r="AP105" s="10" t="e">
        <f>(tbl_MTG_Set[[#This Row],[Play Booster Box Cost]]+v_Item_Shipping_Cost_In)/tbl_MTG_Set[[#This Row],[Play Booster Box Size]]</f>
        <v>#VALUE!</v>
      </c>
      <c r="AQ105" s="10" t="str" cm="1">
        <f t="array" ref="AQ1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5" s="10"/>
      <c r="AS105" s="10"/>
      <c r="AT105" s="17" t="e">
        <f>tbl_MTG_Set[[#This Row],[Play Booster CardMarket Profit]]/tbl_MTG_Set[[#This Row],[Play Booster Cost]]</f>
        <v>#VALUE!</v>
      </c>
      <c r="AU105" s="10" t="e">
        <f>_xlfn.XLOOKUP(tbl_MTG_Set[[#This Row],[Collector Booster Box Product Id]], tbl_Product[Product Id], tbl_Product[Min Cost])</f>
        <v>#N/A</v>
      </c>
      <c r="AV105" s="10" t="e">
        <f>_xlfn.XLOOKUP(tbl_MTG_Set[[#This Row],[Collector Booster Box Product Id]], tbl_Product[Product Id], tbl_Product[Best Source])</f>
        <v>#N/A</v>
      </c>
      <c r="AW105" s="4" t="e">
        <f>_xlfn.XLOOKUP(tbl_MTG_Set[[#This Row],[Collector Booster Box Product Id]], tbl_Product[Product Id], tbl_Product[Pack Size])</f>
        <v>#N/A</v>
      </c>
      <c r="AX105" s="10" t="e">
        <f>(tbl_MTG_Set[[#This Row],[Collector Booster Box Cost]] + v_Item_Shipping_Cost_In) / tbl_MTG_Set[[#This Row],[Collector Booster Box Size]]</f>
        <v>#N/A</v>
      </c>
      <c r="AY105" s="10" t="str" cm="1">
        <f t="array" ref="AY1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5" s="10"/>
      <c r="BA1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5" s="17" t="e">
        <f>tbl_MTG_Set[[#This Row],[Collector Booster CardMarket Profit]]/tbl_MTG_Set[[#This Row],[Collector Booster Cost]]</f>
        <v>#N/A</v>
      </c>
      <c r="BC105" s="10"/>
      <c r="BF1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5" s="11" t="e">
        <f>tbl_MTG_Set[[#This Row],[Play Singles CardMarket Profit MTG Stocks]]/tbl_MTG_Set[[#This Row],[Play Booster Cost]]</f>
        <v>#VALUE!</v>
      </c>
      <c r="BI105" s="11" t="b">
        <f>tbl_MTG_Set[[#This Row],[Play Singles CardMarket Profit MTG Stocks]]&gt;0</f>
        <v>0</v>
      </c>
      <c r="BM105" s="10" t="e">
        <f>tbl_MTG_Set[[#This Row],[Play Booster Sell Price CardMarket]]*tbl_MTG_Set[[#This Row],[Play Booster Expected Market Value BotBox]]/tbl_MTG_Set[[#This Row],[Play Booster Sealed Market Value BotBox]]</f>
        <v>#VALUE!</v>
      </c>
      <c r="BN1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5" s="10" t="e">
        <f>tbl_MTG_Set[[#This Row],[Play Singles CardMarket Profit BotBox]]/tbl_MTG_Set[[#This Row],[Play Booster Cost]]</f>
        <v>#VALUE!</v>
      </c>
      <c r="BP105" s="10" t="b">
        <f>tbl_MTG_Set[[#This Row],[Play Singles CardMarket Profit BotBox]]&gt;0</f>
        <v>0</v>
      </c>
      <c r="BQ105" s="10"/>
      <c r="BR105" s="10"/>
      <c r="BS105" s="10"/>
      <c r="BT1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5" s="19" t="e">
        <f>tbl_MTG_Set[[#This Row],[Collector Singles CardMarket Profit MTG Stocks]]/tbl_MTG_Set[[#This Row],[Collector Booster Cost]]</f>
        <v>#N/A</v>
      </c>
      <c r="BW105" s="10" t="b">
        <f>tbl_MTG_Set[[#This Row],[Collector Singles CardMarket Profit MTG Stocks]]&gt;0</f>
        <v>0</v>
      </c>
      <c r="BX105" s="10"/>
      <c r="BY105" s="10"/>
      <c r="BZ1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5" s="10" t="e">
        <f>tbl_MTG_Set[[#This Row],[Collector Singles CardMarket Profit BotBox]]/tbl_MTG_Set[[#This Row],[Collector Booster Cost]]</f>
        <v>#N/A</v>
      </c>
      <c r="CC105" s="10" t="b">
        <f>tbl_MTG_Set[[#This Row],[Collector Singles CardMarket Profit BotBox]]&gt;0</f>
        <v>0</v>
      </c>
      <c r="CD1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6" spans="1:86" hidden="1">
      <c r="A106">
        <v>117</v>
      </c>
      <c r="B106" t="s">
        <v>279</v>
      </c>
      <c r="C106">
        <v>95</v>
      </c>
      <c r="D106" s="3">
        <v>45401</v>
      </c>
      <c r="E106" t="s">
        <v>90</v>
      </c>
      <c r="F106" t="s">
        <v>174</v>
      </c>
      <c r="G106">
        <v>180</v>
      </c>
      <c r="H106">
        <f ca="1">MONTH(NOW())+12*YEAR(NOW())-MONTH(tbl_MTG_Set[[#This Row],[Released On]])-12*YEAR(tbl_MTG_Set[[#This Row],[Released On]])</f>
        <v>23</v>
      </c>
      <c r="I106">
        <f>_xlfn.XLOOKUP(tbl_MTG_Set[[#This Row],[Type Name]], tbl_MTG_Set_Type[Set Type], tbl_MTG_Set_Type[Index], "(Set Type not found)")</f>
        <v>7</v>
      </c>
      <c r="J106">
        <f>_xlfn.XLOOKUP(tbl_MTG_Set[[#This Row],[Type Name]], tbl_MTG_Set_Type[Set Type], tbl_MTG_Set_Type[Buy Window Month Start], "(Set Type not found)")</f>
        <v>0</v>
      </c>
      <c r="K106" s="3">
        <f>tbl_MTG_Set[[#This Row],[Released On]]+tbl_MTG_Set[[#This Row],[Buy Window Month Start]]*365.25/12</f>
        <v>45401</v>
      </c>
      <c r="L106">
        <f>_xlfn.XLOOKUP(tbl_MTG_Set[[#This Row],[Type Name]], tbl_MTG_Set_Type[Set Type], tbl_MTG_Set_Type[Buy Window Month End], "(Set Type not found)", 0, 1)</f>
        <v>0</v>
      </c>
      <c r="M106" s="3">
        <f>tbl_MTG_Set[[#This Row],[Released On]]+tbl_MTG_Set[[#This Row],[Buy Window Month End]]*365.25/12</f>
        <v>45401</v>
      </c>
      <c r="N106" s="3" t="b">
        <f ca="1">AND(NOW()&gt;=tbl_MTG_Set[[#This Row],[Buy Window Start]], NOW()&lt;=tbl_MTG_Set[[#This Row],[Buy Window End]])</f>
        <v>0</v>
      </c>
      <c r="O106">
        <f>_xlfn.XLOOKUP(tbl_MTG_Set[[#This Row],[Type Name]], tbl_MTG_Set_Type[Set Type], tbl_MTG_Set_Type[Heavy Printing Window Month Start], "(Set Type not found)", 0, 1)</f>
        <v>3</v>
      </c>
      <c r="P106" s="3">
        <f>tbl_MTG_Set[[#This Row],[Released On]]+tbl_MTG_Set[[#This Row],[Heavy Printing Window Month Start]]*365.25/12</f>
        <v>45492.3125</v>
      </c>
      <c r="Q106">
        <f>_xlfn.XLOOKUP(tbl_MTG_Set[[#This Row],[Type Name]], tbl_MTG_Set_Type[Set Type], tbl_MTG_Set_Type[Heavy Printing Window Month End], "(Set Type not found)", 0, 1)</f>
        <v>6</v>
      </c>
      <c r="R106" s="3">
        <f>tbl_MTG_Set[[#This Row],[Released On]]+tbl_MTG_Set[[#This Row],[Heavy Printing Window Month End]]*365.25/12</f>
        <v>45583.625</v>
      </c>
      <c r="S106" s="3" t="b">
        <f ca="1">AND(NOW()&gt;=tbl_MTG_Set[[#This Row],[Heavy Printing Window Start]], NOW()&lt;=tbl_MTG_Set[[#This Row],[Heavy Printing Window End]])</f>
        <v>0</v>
      </c>
      <c r="T106">
        <f>_xlfn.XLOOKUP(tbl_MTG_Set[[#This Row],[Type Name]], tbl_MTG_Set_Type[Set Type], tbl_MTG_Set_Type[Sell Window Month Start], "(Set Type not found)", 0, 1)</f>
        <v>0</v>
      </c>
      <c r="U106" s="3">
        <f>tbl_MTG_Set[[#This Row],[Released On]]+tbl_MTG_Set[[#This Row],[Sell Window Month Start]]*365.25/12</f>
        <v>45401</v>
      </c>
      <c r="V106">
        <f>_xlfn.XLOOKUP(tbl_MTG_Set[[#This Row],[Type Name]], tbl_MTG_Set_Type[Set Type], tbl_MTG_Set_Type[Sell Window Month End], "(Set Type not found)", 0, 1)</f>
        <v>0</v>
      </c>
      <c r="W106" s="3">
        <f>tbl_MTG_Set[[#This Row],[Released On]]+tbl_MTG_Set[[#This Row],[Sell Window Month End]]*365.25/12</f>
        <v>45401</v>
      </c>
      <c r="X106" s="3" t="b">
        <f ca="1">AND(NOW()&gt;=tbl_MTG_Set[[#This Row],[Sell Window Start]], NOW()&lt;=tbl_MTG_Set[[#This Row],[Sell Window End]])</f>
        <v>0</v>
      </c>
      <c r="AG106" s="10"/>
      <c r="AH106" s="10"/>
      <c r="AM106" s="10" t="str" cm="1">
        <f t="array" ref="AM1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6" s="10" t="str" cm="1">
        <f t="array" ref="AN1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6" s="4" t="e">
        <f>_xlfn.XLOOKUP(tbl_MTG_Set[[#This Row],[Play Booster Box Product Id]], tbl_Product[Product Id], tbl_Product[Pack Size])</f>
        <v>#N/A</v>
      </c>
      <c r="AP106" s="10" t="e">
        <f>(tbl_MTG_Set[[#This Row],[Play Booster Box Cost]]+v_Item_Shipping_Cost_In)/tbl_MTG_Set[[#This Row],[Play Booster Box Size]]</f>
        <v>#VALUE!</v>
      </c>
      <c r="AQ106" s="10" t="str" cm="1">
        <f t="array" ref="AQ1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6" s="10"/>
      <c r="AS106" s="10"/>
      <c r="AT106" s="17" t="e">
        <f>tbl_MTG_Set[[#This Row],[Play Booster CardMarket Profit]]/tbl_MTG_Set[[#This Row],[Play Booster Cost]]</f>
        <v>#VALUE!</v>
      </c>
      <c r="AU106" s="10" t="e">
        <f>_xlfn.XLOOKUP(tbl_MTG_Set[[#This Row],[Collector Booster Box Product Id]], tbl_Product[Product Id], tbl_Product[Min Cost])</f>
        <v>#N/A</v>
      </c>
      <c r="AV106" s="10" t="e">
        <f>_xlfn.XLOOKUP(tbl_MTG_Set[[#This Row],[Collector Booster Box Product Id]], tbl_Product[Product Id], tbl_Product[Best Source])</f>
        <v>#N/A</v>
      </c>
      <c r="AW106" s="4" t="e">
        <f>_xlfn.XLOOKUP(tbl_MTG_Set[[#This Row],[Collector Booster Box Product Id]], tbl_Product[Product Id], tbl_Product[Pack Size])</f>
        <v>#N/A</v>
      </c>
      <c r="AX106" s="10" t="e">
        <f>(tbl_MTG_Set[[#This Row],[Collector Booster Box Cost]] + v_Item_Shipping_Cost_In) / tbl_MTG_Set[[#This Row],[Collector Booster Box Size]]</f>
        <v>#N/A</v>
      </c>
      <c r="AY106" s="10" t="str" cm="1">
        <f t="array" ref="AY1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6" s="10"/>
      <c r="BA1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6" s="17" t="e">
        <f>tbl_MTG_Set[[#This Row],[Collector Booster CardMarket Profit]]/tbl_MTG_Set[[#This Row],[Collector Booster Cost]]</f>
        <v>#N/A</v>
      </c>
      <c r="BC106" s="10"/>
      <c r="BF1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6" s="11" t="e">
        <f>tbl_MTG_Set[[#This Row],[Play Singles CardMarket Profit MTG Stocks]]/tbl_MTG_Set[[#This Row],[Play Booster Cost]]</f>
        <v>#VALUE!</v>
      </c>
      <c r="BI106" s="11" t="b">
        <f>tbl_MTG_Set[[#This Row],[Play Singles CardMarket Profit MTG Stocks]]&gt;0</f>
        <v>0</v>
      </c>
      <c r="BM106" s="10" t="e">
        <f>tbl_MTG_Set[[#This Row],[Play Booster Sell Price CardMarket]]*tbl_MTG_Set[[#This Row],[Play Booster Expected Market Value BotBox]]/tbl_MTG_Set[[#This Row],[Play Booster Sealed Market Value BotBox]]</f>
        <v>#VALUE!</v>
      </c>
      <c r="BN1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6" s="10" t="e">
        <f>tbl_MTG_Set[[#This Row],[Play Singles CardMarket Profit BotBox]]/tbl_MTG_Set[[#This Row],[Play Booster Cost]]</f>
        <v>#VALUE!</v>
      </c>
      <c r="BP106" s="10" t="b">
        <f>tbl_MTG_Set[[#This Row],[Play Singles CardMarket Profit BotBox]]&gt;0</f>
        <v>0</v>
      </c>
      <c r="BQ106" s="10"/>
      <c r="BR106" s="10"/>
      <c r="BS106" s="10"/>
      <c r="BT1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6" s="19" t="e">
        <f>tbl_MTG_Set[[#This Row],[Collector Singles CardMarket Profit MTG Stocks]]/tbl_MTG_Set[[#This Row],[Collector Booster Cost]]</f>
        <v>#N/A</v>
      </c>
      <c r="BW106" s="10" t="b">
        <f>tbl_MTG_Set[[#This Row],[Collector Singles CardMarket Profit MTG Stocks]]&gt;0</f>
        <v>0</v>
      </c>
      <c r="BX106" s="10"/>
      <c r="BY106" s="10"/>
      <c r="BZ1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6" s="10" t="e">
        <f>tbl_MTG_Set[[#This Row],[Collector Singles CardMarket Profit BotBox]]/tbl_MTG_Set[[#This Row],[Collector Booster Cost]]</f>
        <v>#N/A</v>
      </c>
      <c r="CC106" s="10" t="b">
        <f>tbl_MTG_Set[[#This Row],[Collector Singles CardMarket Profit BotBox]]&gt;0</f>
        <v>0</v>
      </c>
      <c r="CD1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7" spans="1:86" hidden="1">
      <c r="A107">
        <v>118</v>
      </c>
      <c r="B107" t="s">
        <v>280</v>
      </c>
      <c r="C107">
        <v>5</v>
      </c>
      <c r="D107" s="3">
        <v>45870</v>
      </c>
      <c r="E107" t="s">
        <v>90</v>
      </c>
      <c r="F107" t="s">
        <v>174</v>
      </c>
      <c r="G107">
        <v>182</v>
      </c>
      <c r="H107">
        <f ca="1">MONTH(NOW())+12*YEAR(NOW())-MONTH(tbl_MTG_Set[[#This Row],[Released On]])-12*YEAR(tbl_MTG_Set[[#This Row],[Released On]])</f>
        <v>7</v>
      </c>
      <c r="I107">
        <f>_xlfn.XLOOKUP(tbl_MTG_Set[[#This Row],[Type Name]], tbl_MTG_Set_Type[Set Type], tbl_MTG_Set_Type[Index], "(Set Type not found)")</f>
        <v>7</v>
      </c>
      <c r="J107">
        <f>_xlfn.XLOOKUP(tbl_MTG_Set[[#This Row],[Type Name]], tbl_MTG_Set_Type[Set Type], tbl_MTG_Set_Type[Buy Window Month Start], "(Set Type not found)")</f>
        <v>0</v>
      </c>
      <c r="K107" s="3">
        <f>tbl_MTG_Set[[#This Row],[Released On]]+tbl_MTG_Set[[#This Row],[Buy Window Month Start]]*365.25/12</f>
        <v>45870</v>
      </c>
      <c r="L107">
        <f>_xlfn.XLOOKUP(tbl_MTG_Set[[#This Row],[Type Name]], tbl_MTG_Set_Type[Set Type], tbl_MTG_Set_Type[Buy Window Month End], "(Set Type not found)", 0, 1)</f>
        <v>0</v>
      </c>
      <c r="M107" s="3">
        <f>tbl_MTG_Set[[#This Row],[Released On]]+tbl_MTG_Set[[#This Row],[Buy Window Month End]]*365.25/12</f>
        <v>45870</v>
      </c>
      <c r="N107" s="3" t="b">
        <f ca="1">AND(NOW()&gt;=tbl_MTG_Set[[#This Row],[Buy Window Start]], NOW()&lt;=tbl_MTG_Set[[#This Row],[Buy Window End]])</f>
        <v>0</v>
      </c>
      <c r="O107">
        <f>_xlfn.XLOOKUP(tbl_MTG_Set[[#This Row],[Type Name]], tbl_MTG_Set_Type[Set Type], tbl_MTG_Set_Type[Heavy Printing Window Month Start], "(Set Type not found)", 0, 1)</f>
        <v>3</v>
      </c>
      <c r="P107" s="3">
        <f>tbl_MTG_Set[[#This Row],[Released On]]+tbl_MTG_Set[[#This Row],[Heavy Printing Window Month Start]]*365.25/12</f>
        <v>45961.3125</v>
      </c>
      <c r="Q107">
        <f>_xlfn.XLOOKUP(tbl_MTG_Set[[#This Row],[Type Name]], tbl_MTG_Set_Type[Set Type], tbl_MTG_Set_Type[Heavy Printing Window Month End], "(Set Type not found)", 0, 1)</f>
        <v>6</v>
      </c>
      <c r="R107" s="3">
        <f>tbl_MTG_Set[[#This Row],[Released On]]+tbl_MTG_Set[[#This Row],[Heavy Printing Window Month End]]*365.25/12</f>
        <v>46052.625</v>
      </c>
      <c r="S107" s="3" t="b">
        <f ca="1">AND(NOW()&gt;=tbl_MTG_Set[[#This Row],[Heavy Printing Window Start]], NOW()&lt;=tbl_MTG_Set[[#This Row],[Heavy Printing Window End]])</f>
        <v>0</v>
      </c>
      <c r="T107">
        <f>_xlfn.XLOOKUP(tbl_MTG_Set[[#This Row],[Type Name]], tbl_MTG_Set_Type[Set Type], tbl_MTG_Set_Type[Sell Window Month Start], "(Set Type not found)", 0, 1)</f>
        <v>0</v>
      </c>
      <c r="U107" s="3">
        <f>tbl_MTG_Set[[#This Row],[Released On]]+tbl_MTG_Set[[#This Row],[Sell Window Month Start]]*365.25/12</f>
        <v>45870</v>
      </c>
      <c r="V107">
        <f>_xlfn.XLOOKUP(tbl_MTG_Set[[#This Row],[Type Name]], tbl_MTG_Set_Type[Set Type], tbl_MTG_Set_Type[Sell Window Month End], "(Set Type not found)", 0, 1)</f>
        <v>0</v>
      </c>
      <c r="W107" s="3">
        <f>tbl_MTG_Set[[#This Row],[Released On]]+tbl_MTG_Set[[#This Row],[Sell Window Month End]]*365.25/12</f>
        <v>45870</v>
      </c>
      <c r="X107" s="3" t="b">
        <f ca="1">AND(NOW()&gt;=tbl_MTG_Set[[#This Row],[Sell Window Start]], NOW()&lt;=tbl_MTG_Set[[#This Row],[Sell Window End]])</f>
        <v>0</v>
      </c>
      <c r="AG107" s="10"/>
      <c r="AH107" s="10"/>
      <c r="AM107" s="10" t="str" cm="1">
        <f t="array" ref="AM1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7" s="10" t="str" cm="1">
        <f t="array" ref="AN1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7" s="4" t="e">
        <f>_xlfn.XLOOKUP(tbl_MTG_Set[[#This Row],[Play Booster Box Product Id]], tbl_Product[Product Id], tbl_Product[Pack Size])</f>
        <v>#N/A</v>
      </c>
      <c r="AP107" s="10" t="e">
        <f>(tbl_MTG_Set[[#This Row],[Play Booster Box Cost]]+v_Item_Shipping_Cost_In)/tbl_MTG_Set[[#This Row],[Play Booster Box Size]]</f>
        <v>#VALUE!</v>
      </c>
      <c r="AQ107" s="10" t="str" cm="1">
        <f t="array" ref="AQ1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7" s="10"/>
      <c r="AS107" s="10"/>
      <c r="AT107" s="17" t="e">
        <f>tbl_MTG_Set[[#This Row],[Play Booster CardMarket Profit]]/tbl_MTG_Set[[#This Row],[Play Booster Cost]]</f>
        <v>#VALUE!</v>
      </c>
      <c r="AU107" s="10" t="e">
        <f>_xlfn.XLOOKUP(tbl_MTG_Set[[#This Row],[Collector Booster Box Product Id]], tbl_Product[Product Id], tbl_Product[Min Cost])</f>
        <v>#N/A</v>
      </c>
      <c r="AV107" s="10" t="e">
        <f>_xlfn.XLOOKUP(tbl_MTG_Set[[#This Row],[Collector Booster Box Product Id]], tbl_Product[Product Id], tbl_Product[Best Source])</f>
        <v>#N/A</v>
      </c>
      <c r="AW107" s="4" t="e">
        <f>_xlfn.XLOOKUP(tbl_MTG_Set[[#This Row],[Collector Booster Box Product Id]], tbl_Product[Product Id], tbl_Product[Pack Size])</f>
        <v>#N/A</v>
      </c>
      <c r="AX107" s="10" t="e">
        <f>(tbl_MTG_Set[[#This Row],[Collector Booster Box Cost]] + v_Item_Shipping_Cost_In) / tbl_MTG_Set[[#This Row],[Collector Booster Box Size]]</f>
        <v>#N/A</v>
      </c>
      <c r="AY107" s="10" t="str" cm="1">
        <f t="array" ref="AY1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7" s="10"/>
      <c r="BA1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7" s="17" t="e">
        <f>tbl_MTG_Set[[#This Row],[Collector Booster CardMarket Profit]]/tbl_MTG_Set[[#This Row],[Collector Booster Cost]]</f>
        <v>#N/A</v>
      </c>
      <c r="BC107" s="10"/>
      <c r="BF1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7" s="11" t="e">
        <f>tbl_MTG_Set[[#This Row],[Play Singles CardMarket Profit MTG Stocks]]/tbl_MTG_Set[[#This Row],[Play Booster Cost]]</f>
        <v>#VALUE!</v>
      </c>
      <c r="BI107" s="11" t="b">
        <f>tbl_MTG_Set[[#This Row],[Play Singles CardMarket Profit MTG Stocks]]&gt;0</f>
        <v>0</v>
      </c>
      <c r="BM107" s="10" t="e">
        <f>tbl_MTG_Set[[#This Row],[Play Booster Sell Price CardMarket]]*tbl_MTG_Set[[#This Row],[Play Booster Expected Market Value BotBox]]/tbl_MTG_Set[[#This Row],[Play Booster Sealed Market Value BotBox]]</f>
        <v>#VALUE!</v>
      </c>
      <c r="BN1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7" s="10" t="e">
        <f>tbl_MTG_Set[[#This Row],[Play Singles CardMarket Profit BotBox]]/tbl_MTG_Set[[#This Row],[Play Booster Cost]]</f>
        <v>#VALUE!</v>
      </c>
      <c r="BP107" s="10" t="b">
        <f>tbl_MTG_Set[[#This Row],[Play Singles CardMarket Profit BotBox]]&gt;0</f>
        <v>0</v>
      </c>
      <c r="BQ107" s="10"/>
      <c r="BR107" s="10"/>
      <c r="BS107" s="10"/>
      <c r="BT1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7" s="19" t="e">
        <f>tbl_MTG_Set[[#This Row],[Collector Singles CardMarket Profit MTG Stocks]]/tbl_MTG_Set[[#This Row],[Collector Booster Cost]]</f>
        <v>#N/A</v>
      </c>
      <c r="BW107" s="10" t="b">
        <f>tbl_MTG_Set[[#This Row],[Collector Singles CardMarket Profit MTG Stocks]]&gt;0</f>
        <v>0</v>
      </c>
      <c r="BX107" s="10"/>
      <c r="BY107" s="10"/>
      <c r="BZ1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7" s="10" t="e">
        <f>tbl_MTG_Set[[#This Row],[Collector Singles CardMarket Profit BotBox]]/tbl_MTG_Set[[#This Row],[Collector Booster Cost]]</f>
        <v>#N/A</v>
      </c>
      <c r="CC107" s="10" t="b">
        <f>tbl_MTG_Set[[#This Row],[Collector Singles CardMarket Profit BotBox]]&gt;0</f>
        <v>0</v>
      </c>
      <c r="CD1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8" spans="1:86" hidden="1">
      <c r="A108">
        <v>119</v>
      </c>
      <c r="B108" t="s">
        <v>281</v>
      </c>
      <c r="C108">
        <v>7</v>
      </c>
      <c r="D108" s="3">
        <v>45401</v>
      </c>
      <c r="E108" t="s">
        <v>90</v>
      </c>
      <c r="F108" t="s">
        <v>174</v>
      </c>
      <c r="G108">
        <v>184</v>
      </c>
      <c r="H108">
        <f ca="1">MONTH(NOW())+12*YEAR(NOW())-MONTH(tbl_MTG_Set[[#This Row],[Released On]])-12*YEAR(tbl_MTG_Set[[#This Row],[Released On]])</f>
        <v>23</v>
      </c>
      <c r="I108">
        <f>_xlfn.XLOOKUP(tbl_MTG_Set[[#This Row],[Type Name]], tbl_MTG_Set_Type[Set Type], tbl_MTG_Set_Type[Index], "(Set Type not found)")</f>
        <v>7</v>
      </c>
      <c r="J108">
        <f>_xlfn.XLOOKUP(tbl_MTG_Set[[#This Row],[Type Name]], tbl_MTG_Set_Type[Set Type], tbl_MTG_Set_Type[Buy Window Month Start], "(Set Type not found)")</f>
        <v>0</v>
      </c>
      <c r="K108" s="3">
        <f>tbl_MTG_Set[[#This Row],[Released On]]+tbl_MTG_Set[[#This Row],[Buy Window Month Start]]*365.25/12</f>
        <v>45401</v>
      </c>
      <c r="L108">
        <f>_xlfn.XLOOKUP(tbl_MTG_Set[[#This Row],[Type Name]], tbl_MTG_Set_Type[Set Type], tbl_MTG_Set_Type[Buy Window Month End], "(Set Type not found)", 0, 1)</f>
        <v>0</v>
      </c>
      <c r="M108" s="3">
        <f>tbl_MTG_Set[[#This Row],[Released On]]+tbl_MTG_Set[[#This Row],[Buy Window Month End]]*365.25/12</f>
        <v>45401</v>
      </c>
      <c r="N108" s="3" t="b">
        <f ca="1">AND(NOW()&gt;=tbl_MTG_Set[[#This Row],[Buy Window Start]], NOW()&lt;=tbl_MTG_Set[[#This Row],[Buy Window End]])</f>
        <v>0</v>
      </c>
      <c r="O108">
        <f>_xlfn.XLOOKUP(tbl_MTG_Set[[#This Row],[Type Name]], tbl_MTG_Set_Type[Set Type], tbl_MTG_Set_Type[Heavy Printing Window Month Start], "(Set Type not found)", 0, 1)</f>
        <v>3</v>
      </c>
      <c r="P108" s="3">
        <f>tbl_MTG_Set[[#This Row],[Released On]]+tbl_MTG_Set[[#This Row],[Heavy Printing Window Month Start]]*365.25/12</f>
        <v>45492.3125</v>
      </c>
      <c r="Q108">
        <f>_xlfn.XLOOKUP(tbl_MTG_Set[[#This Row],[Type Name]], tbl_MTG_Set_Type[Set Type], tbl_MTG_Set_Type[Heavy Printing Window Month End], "(Set Type not found)", 0, 1)</f>
        <v>6</v>
      </c>
      <c r="R108" s="3">
        <f>tbl_MTG_Set[[#This Row],[Released On]]+tbl_MTG_Set[[#This Row],[Heavy Printing Window Month End]]*365.25/12</f>
        <v>45583.625</v>
      </c>
      <c r="S108" s="3" t="b">
        <f ca="1">AND(NOW()&gt;=tbl_MTG_Set[[#This Row],[Heavy Printing Window Start]], NOW()&lt;=tbl_MTG_Set[[#This Row],[Heavy Printing Window End]])</f>
        <v>0</v>
      </c>
      <c r="T108">
        <f>_xlfn.XLOOKUP(tbl_MTG_Set[[#This Row],[Type Name]], tbl_MTG_Set_Type[Set Type], tbl_MTG_Set_Type[Sell Window Month Start], "(Set Type not found)", 0, 1)</f>
        <v>0</v>
      </c>
      <c r="U108" s="3">
        <f>tbl_MTG_Set[[#This Row],[Released On]]+tbl_MTG_Set[[#This Row],[Sell Window Month Start]]*365.25/12</f>
        <v>45401</v>
      </c>
      <c r="V108">
        <f>_xlfn.XLOOKUP(tbl_MTG_Set[[#This Row],[Type Name]], tbl_MTG_Set_Type[Set Type], tbl_MTG_Set_Type[Sell Window Month End], "(Set Type not found)", 0, 1)</f>
        <v>0</v>
      </c>
      <c r="W108" s="3">
        <f>tbl_MTG_Set[[#This Row],[Released On]]+tbl_MTG_Set[[#This Row],[Sell Window Month End]]*365.25/12</f>
        <v>45401</v>
      </c>
      <c r="X108" s="3" t="b">
        <f ca="1">AND(NOW()&gt;=tbl_MTG_Set[[#This Row],[Sell Window Start]], NOW()&lt;=tbl_MTG_Set[[#This Row],[Sell Window End]])</f>
        <v>0</v>
      </c>
      <c r="AG108" s="10"/>
      <c r="AH108" s="10"/>
      <c r="AM108" s="10" t="str" cm="1">
        <f t="array" ref="AM1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8" s="10" t="str" cm="1">
        <f t="array" ref="AN1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8" s="4" t="e">
        <f>_xlfn.XLOOKUP(tbl_MTG_Set[[#This Row],[Play Booster Box Product Id]], tbl_Product[Product Id], tbl_Product[Pack Size])</f>
        <v>#N/A</v>
      </c>
      <c r="AP108" s="10" t="e">
        <f>(tbl_MTG_Set[[#This Row],[Play Booster Box Cost]]+v_Item_Shipping_Cost_In)/tbl_MTG_Set[[#This Row],[Play Booster Box Size]]</f>
        <v>#VALUE!</v>
      </c>
      <c r="AQ108" s="10" t="str" cm="1">
        <f t="array" ref="AQ1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8" s="10"/>
      <c r="AS108" s="10"/>
      <c r="AT108" s="17" t="e">
        <f>tbl_MTG_Set[[#This Row],[Play Booster CardMarket Profit]]/tbl_MTG_Set[[#This Row],[Play Booster Cost]]</f>
        <v>#VALUE!</v>
      </c>
      <c r="AU108" s="10" t="e">
        <f>_xlfn.XLOOKUP(tbl_MTG_Set[[#This Row],[Collector Booster Box Product Id]], tbl_Product[Product Id], tbl_Product[Min Cost])</f>
        <v>#N/A</v>
      </c>
      <c r="AV108" s="10" t="e">
        <f>_xlfn.XLOOKUP(tbl_MTG_Set[[#This Row],[Collector Booster Box Product Id]], tbl_Product[Product Id], tbl_Product[Best Source])</f>
        <v>#N/A</v>
      </c>
      <c r="AW108" s="4" t="e">
        <f>_xlfn.XLOOKUP(tbl_MTG_Set[[#This Row],[Collector Booster Box Product Id]], tbl_Product[Product Id], tbl_Product[Pack Size])</f>
        <v>#N/A</v>
      </c>
      <c r="AX108" s="10" t="e">
        <f>(tbl_MTG_Set[[#This Row],[Collector Booster Box Cost]] + v_Item_Shipping_Cost_In) / tbl_MTG_Set[[#This Row],[Collector Booster Box Size]]</f>
        <v>#N/A</v>
      </c>
      <c r="AY108" s="10" t="str" cm="1">
        <f t="array" ref="AY1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8" s="10"/>
      <c r="BA1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8" s="17" t="e">
        <f>tbl_MTG_Set[[#This Row],[Collector Booster CardMarket Profit]]/tbl_MTG_Set[[#This Row],[Collector Booster Cost]]</f>
        <v>#N/A</v>
      </c>
      <c r="BC108" s="10"/>
      <c r="BF1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8" s="11" t="e">
        <f>tbl_MTG_Set[[#This Row],[Play Singles CardMarket Profit MTG Stocks]]/tbl_MTG_Set[[#This Row],[Play Booster Cost]]</f>
        <v>#VALUE!</v>
      </c>
      <c r="BI108" s="11" t="b">
        <f>tbl_MTG_Set[[#This Row],[Play Singles CardMarket Profit MTG Stocks]]&gt;0</f>
        <v>0</v>
      </c>
      <c r="BM108" s="10" t="e">
        <f>tbl_MTG_Set[[#This Row],[Play Booster Sell Price CardMarket]]*tbl_MTG_Set[[#This Row],[Play Booster Expected Market Value BotBox]]/tbl_MTG_Set[[#This Row],[Play Booster Sealed Market Value BotBox]]</f>
        <v>#VALUE!</v>
      </c>
      <c r="BN1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8" s="10" t="e">
        <f>tbl_MTG_Set[[#This Row],[Play Singles CardMarket Profit BotBox]]/tbl_MTG_Set[[#This Row],[Play Booster Cost]]</f>
        <v>#VALUE!</v>
      </c>
      <c r="BP108" s="10" t="b">
        <f>tbl_MTG_Set[[#This Row],[Play Singles CardMarket Profit BotBox]]&gt;0</f>
        <v>0</v>
      </c>
      <c r="BQ108" s="10"/>
      <c r="BR108" s="10"/>
      <c r="BS108" s="10"/>
      <c r="BT1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8" s="19" t="e">
        <f>tbl_MTG_Set[[#This Row],[Collector Singles CardMarket Profit MTG Stocks]]/tbl_MTG_Set[[#This Row],[Collector Booster Cost]]</f>
        <v>#N/A</v>
      </c>
      <c r="BW108" s="10" t="b">
        <f>tbl_MTG_Set[[#This Row],[Collector Singles CardMarket Profit MTG Stocks]]&gt;0</f>
        <v>0</v>
      </c>
      <c r="BX108" s="10"/>
      <c r="BY108" s="10"/>
      <c r="BZ1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8" s="10" t="e">
        <f>tbl_MTG_Set[[#This Row],[Collector Singles CardMarket Profit BotBox]]/tbl_MTG_Set[[#This Row],[Collector Booster Cost]]</f>
        <v>#N/A</v>
      </c>
      <c r="CC108" s="10" t="b">
        <f>tbl_MTG_Set[[#This Row],[Collector Singles CardMarket Profit BotBox]]&gt;0</f>
        <v>0</v>
      </c>
      <c r="CD1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09" spans="1:86" hidden="1">
      <c r="A109">
        <v>120</v>
      </c>
      <c r="B109" t="s">
        <v>282</v>
      </c>
      <c r="C109">
        <v>342</v>
      </c>
      <c r="D109" s="3">
        <v>45401</v>
      </c>
      <c r="E109" t="s">
        <v>80</v>
      </c>
      <c r="F109" t="s">
        <v>174</v>
      </c>
      <c r="G109">
        <v>186</v>
      </c>
      <c r="H109">
        <f ca="1">MONTH(NOW())+12*YEAR(NOW())-MONTH(tbl_MTG_Set[[#This Row],[Released On]])-12*YEAR(tbl_MTG_Set[[#This Row],[Released On]])</f>
        <v>23</v>
      </c>
      <c r="I109">
        <f>_xlfn.XLOOKUP(tbl_MTG_Set[[#This Row],[Type Name]], tbl_MTG_Set_Type[Set Type], tbl_MTG_Set_Type[Index], "(Set Type not found)")</f>
        <v>5</v>
      </c>
      <c r="J109">
        <f>_xlfn.XLOOKUP(tbl_MTG_Set[[#This Row],[Type Name]], tbl_MTG_Set_Type[Set Type], tbl_MTG_Set_Type[Buy Window Month Start], "(Set Type not found)")</f>
        <v>3</v>
      </c>
      <c r="K109" s="3">
        <f>tbl_MTG_Set[[#This Row],[Released On]]+tbl_MTG_Set[[#This Row],[Buy Window Month Start]]*365.25/12</f>
        <v>45492.3125</v>
      </c>
      <c r="L109">
        <f>_xlfn.XLOOKUP(tbl_MTG_Set[[#This Row],[Type Name]], tbl_MTG_Set_Type[Set Type], tbl_MTG_Set_Type[Buy Window Month End], "(Set Type not found)", 0, 1)</f>
        <v>12</v>
      </c>
      <c r="M109" s="3">
        <f>tbl_MTG_Set[[#This Row],[Released On]]+tbl_MTG_Set[[#This Row],[Buy Window Month End]]*365.25/12</f>
        <v>45766.25</v>
      </c>
      <c r="N109" s="3" t="b">
        <f ca="1">AND(NOW()&gt;=tbl_MTG_Set[[#This Row],[Buy Window Start]], NOW()&lt;=tbl_MTG_Set[[#This Row],[Buy Window End]])</f>
        <v>0</v>
      </c>
      <c r="O109">
        <f>_xlfn.XLOOKUP(tbl_MTG_Set[[#This Row],[Type Name]], tbl_MTG_Set_Type[Set Type], tbl_MTG_Set_Type[Heavy Printing Window Month Start], "(Set Type not found)", 0, 1)</f>
        <v>12</v>
      </c>
      <c r="P109" s="3">
        <f>tbl_MTG_Set[[#This Row],[Released On]]+tbl_MTG_Set[[#This Row],[Heavy Printing Window Month Start]]*365.25/12</f>
        <v>45766.25</v>
      </c>
      <c r="Q109">
        <f>_xlfn.XLOOKUP(tbl_MTG_Set[[#This Row],[Type Name]], tbl_MTG_Set_Type[Set Type], tbl_MTG_Set_Type[Heavy Printing Window Month End], "(Set Type not found)", 0, 1)</f>
        <v>18</v>
      </c>
      <c r="R109" s="3">
        <f>tbl_MTG_Set[[#This Row],[Released On]]+tbl_MTG_Set[[#This Row],[Heavy Printing Window Month End]]*365.25/12</f>
        <v>45948.875</v>
      </c>
      <c r="S109" s="3" t="b">
        <f ca="1">AND(NOW()&gt;=tbl_MTG_Set[[#This Row],[Heavy Printing Window Start]], NOW()&lt;=tbl_MTG_Set[[#This Row],[Heavy Printing Window End]])</f>
        <v>0</v>
      </c>
      <c r="T109">
        <f>_xlfn.XLOOKUP(tbl_MTG_Set[[#This Row],[Type Name]], tbl_MTG_Set_Type[Set Type], tbl_MTG_Set_Type[Sell Window Month Start], "(Set Type not found)", 0, 1)</f>
        <v>24</v>
      </c>
      <c r="U109" s="3">
        <f>tbl_MTG_Set[[#This Row],[Released On]]+tbl_MTG_Set[[#This Row],[Sell Window Month Start]]*365.25/12</f>
        <v>46131.5</v>
      </c>
      <c r="V109">
        <f>_xlfn.XLOOKUP(tbl_MTG_Set[[#This Row],[Type Name]], tbl_MTG_Set_Type[Set Type], tbl_MTG_Set_Type[Sell Window Month End], "(Set Type not found)", 0, 1)</f>
        <v>24</v>
      </c>
      <c r="W109" s="3">
        <f>tbl_MTG_Set[[#This Row],[Released On]]+tbl_MTG_Set[[#This Row],[Sell Window Month End]]*365.25/12</f>
        <v>46131.5</v>
      </c>
      <c r="X109" s="3" t="b">
        <f ca="1">AND(NOW()&gt;=tbl_MTG_Set[[#This Row],[Sell Window Start]], NOW()&lt;=tbl_MTG_Set[[#This Row],[Sell Window End]])</f>
        <v>0</v>
      </c>
      <c r="AG109" s="10"/>
      <c r="AH109" s="10"/>
      <c r="AM109" s="10" t="str" cm="1">
        <f t="array" ref="AM1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09" s="10" t="str" cm="1">
        <f t="array" ref="AN1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09" s="4" t="e">
        <f>_xlfn.XLOOKUP(tbl_MTG_Set[[#This Row],[Play Booster Box Product Id]], tbl_Product[Product Id], tbl_Product[Pack Size])</f>
        <v>#N/A</v>
      </c>
      <c r="AP109" s="10" t="e">
        <f>(tbl_MTG_Set[[#This Row],[Play Booster Box Cost]]+v_Item_Shipping_Cost_In)/tbl_MTG_Set[[#This Row],[Play Booster Box Size]]</f>
        <v>#VALUE!</v>
      </c>
      <c r="AQ109" s="10" t="str" cm="1">
        <f t="array" ref="AQ1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9" s="10"/>
      <c r="AS109" s="10"/>
      <c r="AT109" s="17" t="e">
        <f>tbl_MTG_Set[[#This Row],[Play Booster CardMarket Profit]]/tbl_MTG_Set[[#This Row],[Play Booster Cost]]</f>
        <v>#VALUE!</v>
      </c>
      <c r="AU109" s="10" t="e">
        <f>_xlfn.XLOOKUP(tbl_MTG_Set[[#This Row],[Collector Booster Box Product Id]], tbl_Product[Product Id], tbl_Product[Min Cost])</f>
        <v>#N/A</v>
      </c>
      <c r="AV109" s="10" t="e">
        <f>_xlfn.XLOOKUP(tbl_MTG_Set[[#This Row],[Collector Booster Box Product Id]], tbl_Product[Product Id], tbl_Product[Best Source])</f>
        <v>#N/A</v>
      </c>
      <c r="AW109" s="4" t="e">
        <f>_xlfn.XLOOKUP(tbl_MTG_Set[[#This Row],[Collector Booster Box Product Id]], tbl_Product[Product Id], tbl_Product[Pack Size])</f>
        <v>#N/A</v>
      </c>
      <c r="AX109" s="10" t="e">
        <f>(tbl_MTG_Set[[#This Row],[Collector Booster Box Cost]] + v_Item_Shipping_Cost_In) / tbl_MTG_Set[[#This Row],[Collector Booster Box Size]]</f>
        <v>#N/A</v>
      </c>
      <c r="AY109" s="10" t="str" cm="1">
        <f t="array" ref="AY1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09" s="10"/>
      <c r="BA1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09" s="17" t="e">
        <f>tbl_MTG_Set[[#This Row],[Collector Booster CardMarket Profit]]/tbl_MTG_Set[[#This Row],[Collector Booster Cost]]</f>
        <v>#N/A</v>
      </c>
      <c r="BC109" s="10"/>
      <c r="BF1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9" s="11" t="e">
        <f>tbl_MTG_Set[[#This Row],[Play Singles CardMarket Profit MTG Stocks]]/tbl_MTG_Set[[#This Row],[Play Booster Cost]]</f>
        <v>#VALUE!</v>
      </c>
      <c r="BI109" s="11" t="b">
        <f>tbl_MTG_Set[[#This Row],[Play Singles CardMarket Profit MTG Stocks]]&gt;0</f>
        <v>0</v>
      </c>
      <c r="BM109" s="10" t="e">
        <f>tbl_MTG_Set[[#This Row],[Play Booster Sell Price CardMarket]]*tbl_MTG_Set[[#This Row],[Play Booster Expected Market Value BotBox]]/tbl_MTG_Set[[#This Row],[Play Booster Sealed Market Value BotBox]]</f>
        <v>#VALUE!</v>
      </c>
      <c r="BN1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9" s="10" t="e">
        <f>tbl_MTG_Set[[#This Row],[Play Singles CardMarket Profit BotBox]]/tbl_MTG_Set[[#This Row],[Play Booster Cost]]</f>
        <v>#VALUE!</v>
      </c>
      <c r="BP109" s="10" t="b">
        <f>tbl_MTG_Set[[#This Row],[Play Singles CardMarket Profit BotBox]]&gt;0</f>
        <v>0</v>
      </c>
      <c r="BQ109" s="10"/>
      <c r="BR109" s="10"/>
      <c r="BS109" s="10"/>
      <c r="BT1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9" s="19" t="e">
        <f>tbl_MTG_Set[[#This Row],[Collector Singles CardMarket Profit MTG Stocks]]/tbl_MTG_Set[[#This Row],[Collector Booster Cost]]</f>
        <v>#N/A</v>
      </c>
      <c r="BW109" s="10" t="b">
        <f>tbl_MTG_Set[[#This Row],[Collector Singles CardMarket Profit MTG Stocks]]&gt;0</f>
        <v>0</v>
      </c>
      <c r="BX109" s="10"/>
      <c r="BY109" s="10"/>
      <c r="BZ1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9" s="10" t="e">
        <f>tbl_MTG_Set[[#This Row],[Collector Singles CardMarket Profit BotBox]]/tbl_MTG_Set[[#This Row],[Collector Booster Cost]]</f>
        <v>#N/A</v>
      </c>
      <c r="CC109" s="10" t="b">
        <f>tbl_MTG_Set[[#This Row],[Collector Singles CardMarket Profit BotBox]]&gt;0</f>
        <v>0</v>
      </c>
      <c r="CD1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0" spans="1:86" hidden="1">
      <c r="A110">
        <v>121</v>
      </c>
      <c r="B110" t="s">
        <v>283</v>
      </c>
      <c r="C110">
        <v>41</v>
      </c>
      <c r="D110" s="3">
        <v>45401</v>
      </c>
      <c r="E110" t="s">
        <v>80</v>
      </c>
      <c r="F110" t="s">
        <v>174</v>
      </c>
      <c r="G110">
        <v>188</v>
      </c>
      <c r="H110">
        <f ca="1">MONTH(NOW())+12*YEAR(NOW())-MONTH(tbl_MTG_Set[[#This Row],[Released On]])-12*YEAR(tbl_MTG_Set[[#This Row],[Released On]])</f>
        <v>23</v>
      </c>
      <c r="I110">
        <f>_xlfn.XLOOKUP(tbl_MTG_Set[[#This Row],[Type Name]], tbl_MTG_Set_Type[Set Type], tbl_MTG_Set_Type[Index], "(Set Type not found)")</f>
        <v>5</v>
      </c>
      <c r="J110">
        <f>_xlfn.XLOOKUP(tbl_MTG_Set[[#This Row],[Type Name]], tbl_MTG_Set_Type[Set Type], tbl_MTG_Set_Type[Buy Window Month Start], "(Set Type not found)")</f>
        <v>3</v>
      </c>
      <c r="K110" s="3">
        <f>tbl_MTG_Set[[#This Row],[Released On]]+tbl_MTG_Set[[#This Row],[Buy Window Month Start]]*365.25/12</f>
        <v>45492.3125</v>
      </c>
      <c r="L110">
        <f>_xlfn.XLOOKUP(tbl_MTG_Set[[#This Row],[Type Name]], tbl_MTG_Set_Type[Set Type], tbl_MTG_Set_Type[Buy Window Month End], "(Set Type not found)", 0, 1)</f>
        <v>12</v>
      </c>
      <c r="M110" s="3">
        <f>tbl_MTG_Set[[#This Row],[Released On]]+tbl_MTG_Set[[#This Row],[Buy Window Month End]]*365.25/12</f>
        <v>45766.25</v>
      </c>
      <c r="N110" s="3" t="b">
        <f ca="1">AND(NOW()&gt;=tbl_MTG_Set[[#This Row],[Buy Window Start]], NOW()&lt;=tbl_MTG_Set[[#This Row],[Buy Window End]])</f>
        <v>0</v>
      </c>
      <c r="O110">
        <f>_xlfn.XLOOKUP(tbl_MTG_Set[[#This Row],[Type Name]], tbl_MTG_Set_Type[Set Type], tbl_MTG_Set_Type[Heavy Printing Window Month Start], "(Set Type not found)", 0, 1)</f>
        <v>12</v>
      </c>
      <c r="P110" s="3">
        <f>tbl_MTG_Set[[#This Row],[Released On]]+tbl_MTG_Set[[#This Row],[Heavy Printing Window Month Start]]*365.25/12</f>
        <v>45766.25</v>
      </c>
      <c r="Q110">
        <f>_xlfn.XLOOKUP(tbl_MTG_Set[[#This Row],[Type Name]], tbl_MTG_Set_Type[Set Type], tbl_MTG_Set_Type[Heavy Printing Window Month End], "(Set Type not found)", 0, 1)</f>
        <v>18</v>
      </c>
      <c r="R110" s="3">
        <f>tbl_MTG_Set[[#This Row],[Released On]]+tbl_MTG_Set[[#This Row],[Heavy Printing Window Month End]]*365.25/12</f>
        <v>45948.875</v>
      </c>
      <c r="S110" s="3" t="b">
        <f ca="1">AND(NOW()&gt;=tbl_MTG_Set[[#This Row],[Heavy Printing Window Start]], NOW()&lt;=tbl_MTG_Set[[#This Row],[Heavy Printing Window End]])</f>
        <v>0</v>
      </c>
      <c r="T110">
        <f>_xlfn.XLOOKUP(tbl_MTG_Set[[#This Row],[Type Name]], tbl_MTG_Set_Type[Set Type], tbl_MTG_Set_Type[Sell Window Month Start], "(Set Type not found)", 0, 1)</f>
        <v>24</v>
      </c>
      <c r="U110" s="3">
        <f>tbl_MTG_Set[[#This Row],[Released On]]+tbl_MTG_Set[[#This Row],[Sell Window Month Start]]*365.25/12</f>
        <v>46131.5</v>
      </c>
      <c r="V110">
        <f>_xlfn.XLOOKUP(tbl_MTG_Set[[#This Row],[Type Name]], tbl_MTG_Set_Type[Set Type], tbl_MTG_Set_Type[Sell Window Month End], "(Set Type not found)", 0, 1)</f>
        <v>24</v>
      </c>
      <c r="W110" s="3">
        <f>tbl_MTG_Set[[#This Row],[Released On]]+tbl_MTG_Set[[#This Row],[Sell Window Month End]]*365.25/12</f>
        <v>46131.5</v>
      </c>
      <c r="X110" s="3" t="b">
        <f ca="1">AND(NOW()&gt;=tbl_MTG_Set[[#This Row],[Sell Window Start]], NOW()&lt;=tbl_MTG_Set[[#This Row],[Sell Window End]])</f>
        <v>0</v>
      </c>
      <c r="AG110" s="10"/>
      <c r="AH110" s="10"/>
      <c r="AM110" s="10" t="str" cm="1">
        <f t="array" ref="AM1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0" s="10" t="str" cm="1">
        <f t="array" ref="AN1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0" s="4" t="e">
        <f>_xlfn.XLOOKUP(tbl_MTG_Set[[#This Row],[Play Booster Box Product Id]], tbl_Product[Product Id], tbl_Product[Pack Size])</f>
        <v>#N/A</v>
      </c>
      <c r="AP110" s="10" t="e">
        <f>(tbl_MTG_Set[[#This Row],[Play Booster Box Cost]]+v_Item_Shipping_Cost_In)/tbl_MTG_Set[[#This Row],[Play Booster Box Size]]</f>
        <v>#VALUE!</v>
      </c>
      <c r="AQ110" s="10" t="str" cm="1">
        <f t="array" ref="AQ1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0" s="10"/>
      <c r="AS110" s="10"/>
      <c r="AT110" s="17" t="e">
        <f>tbl_MTG_Set[[#This Row],[Play Booster CardMarket Profit]]/tbl_MTG_Set[[#This Row],[Play Booster Cost]]</f>
        <v>#VALUE!</v>
      </c>
      <c r="AU110" s="10" t="e">
        <f>_xlfn.XLOOKUP(tbl_MTG_Set[[#This Row],[Collector Booster Box Product Id]], tbl_Product[Product Id], tbl_Product[Min Cost])</f>
        <v>#N/A</v>
      </c>
      <c r="AV110" s="10" t="e">
        <f>_xlfn.XLOOKUP(tbl_MTG_Set[[#This Row],[Collector Booster Box Product Id]], tbl_Product[Product Id], tbl_Product[Best Source])</f>
        <v>#N/A</v>
      </c>
      <c r="AW110" s="4" t="e">
        <f>_xlfn.XLOOKUP(tbl_MTG_Set[[#This Row],[Collector Booster Box Product Id]], tbl_Product[Product Id], tbl_Product[Pack Size])</f>
        <v>#N/A</v>
      </c>
      <c r="AX110" s="10" t="e">
        <f>(tbl_MTG_Set[[#This Row],[Collector Booster Box Cost]] + v_Item_Shipping_Cost_In) / tbl_MTG_Set[[#This Row],[Collector Booster Box Size]]</f>
        <v>#N/A</v>
      </c>
      <c r="AY110" s="10" t="str" cm="1">
        <f t="array" ref="AY1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0" s="10"/>
      <c r="BA1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0" s="17" t="e">
        <f>tbl_MTG_Set[[#This Row],[Collector Booster CardMarket Profit]]/tbl_MTG_Set[[#This Row],[Collector Booster Cost]]</f>
        <v>#N/A</v>
      </c>
      <c r="BC110" s="10"/>
      <c r="BF1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0" s="11" t="e">
        <f>tbl_MTG_Set[[#This Row],[Play Singles CardMarket Profit MTG Stocks]]/tbl_MTG_Set[[#This Row],[Play Booster Cost]]</f>
        <v>#VALUE!</v>
      </c>
      <c r="BI110" s="11" t="b">
        <f>tbl_MTG_Set[[#This Row],[Play Singles CardMarket Profit MTG Stocks]]&gt;0</f>
        <v>0</v>
      </c>
      <c r="BM110" s="10" t="e">
        <f>tbl_MTG_Set[[#This Row],[Play Booster Sell Price CardMarket]]*tbl_MTG_Set[[#This Row],[Play Booster Expected Market Value BotBox]]/tbl_MTG_Set[[#This Row],[Play Booster Sealed Market Value BotBox]]</f>
        <v>#VALUE!</v>
      </c>
      <c r="BN1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0" s="10" t="e">
        <f>tbl_MTG_Set[[#This Row],[Play Singles CardMarket Profit BotBox]]/tbl_MTG_Set[[#This Row],[Play Booster Cost]]</f>
        <v>#VALUE!</v>
      </c>
      <c r="BP110" s="10" t="b">
        <f>tbl_MTG_Set[[#This Row],[Play Singles CardMarket Profit BotBox]]&gt;0</f>
        <v>0</v>
      </c>
      <c r="BQ110" s="10"/>
      <c r="BR110" s="10"/>
      <c r="BS110" s="10"/>
      <c r="BT1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0" s="19" t="e">
        <f>tbl_MTG_Set[[#This Row],[Collector Singles CardMarket Profit MTG Stocks]]/tbl_MTG_Set[[#This Row],[Collector Booster Cost]]</f>
        <v>#N/A</v>
      </c>
      <c r="BW110" s="10" t="b">
        <f>tbl_MTG_Set[[#This Row],[Collector Singles CardMarket Profit MTG Stocks]]&gt;0</f>
        <v>0</v>
      </c>
      <c r="BX110" s="10"/>
      <c r="BY110" s="10"/>
      <c r="BZ1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0" s="10" t="e">
        <f>tbl_MTG_Set[[#This Row],[Collector Singles CardMarket Profit BotBox]]/tbl_MTG_Set[[#This Row],[Collector Booster Cost]]</f>
        <v>#N/A</v>
      </c>
      <c r="CC110" s="10" t="b">
        <f>tbl_MTG_Set[[#This Row],[Collector Singles CardMarket Profit BotBox]]&gt;0</f>
        <v>0</v>
      </c>
      <c r="CD1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1" spans="1:86" hidden="1">
      <c r="A111">
        <v>122</v>
      </c>
      <c r="B111" t="s">
        <v>284</v>
      </c>
      <c r="C111">
        <v>1068</v>
      </c>
      <c r="D111" s="3">
        <v>45359</v>
      </c>
      <c r="F111" t="s">
        <v>174</v>
      </c>
      <c r="G111">
        <v>190</v>
      </c>
      <c r="H111">
        <f ca="1">MONTH(NOW())+12*YEAR(NOW())-MONTH(tbl_MTG_Set[[#This Row],[Released On]])-12*YEAR(tbl_MTG_Set[[#This Row],[Released On]])</f>
        <v>24</v>
      </c>
      <c r="I111" t="str">
        <f>_xlfn.XLOOKUP(tbl_MTG_Set[[#This Row],[Type Name]], tbl_MTG_Set_Type[Set Type], tbl_MTG_Set_Type[Index], "(Set Type not found)")</f>
        <v>(Set Type not found)</v>
      </c>
      <c r="J111" t="str">
        <f>_xlfn.XLOOKUP(tbl_MTG_Set[[#This Row],[Type Name]], tbl_MTG_Set_Type[Set Type], tbl_MTG_Set_Type[Buy Window Month Start], "(Set Type not found)")</f>
        <v>(Set Type not found)</v>
      </c>
      <c r="K111" s="3" t="e">
        <f>tbl_MTG_Set[[#This Row],[Released On]]+tbl_MTG_Set[[#This Row],[Buy Window Month Start]]*365.25/12</f>
        <v>#VALUE!</v>
      </c>
      <c r="L111" t="str">
        <f>_xlfn.XLOOKUP(tbl_MTG_Set[[#This Row],[Type Name]], tbl_MTG_Set_Type[Set Type], tbl_MTG_Set_Type[Buy Window Month End], "(Set Type not found)", 0, 1)</f>
        <v>(Set Type not found)</v>
      </c>
      <c r="M111" s="3" t="e">
        <f>tbl_MTG_Set[[#This Row],[Released On]]+tbl_MTG_Set[[#This Row],[Buy Window Month End]]*365.25/12</f>
        <v>#VALUE!</v>
      </c>
      <c r="N111" s="3" t="e">
        <f ca="1">AND(NOW()&gt;=tbl_MTG_Set[[#This Row],[Buy Window Start]], NOW()&lt;=tbl_MTG_Set[[#This Row],[Buy Window End]])</f>
        <v>#VALUE!</v>
      </c>
      <c r="O111" t="str">
        <f>_xlfn.XLOOKUP(tbl_MTG_Set[[#This Row],[Type Name]], tbl_MTG_Set_Type[Set Type], tbl_MTG_Set_Type[Heavy Printing Window Month Start], "(Set Type not found)", 0, 1)</f>
        <v>(Set Type not found)</v>
      </c>
      <c r="P111" s="3" t="e">
        <f>tbl_MTG_Set[[#This Row],[Released On]]+tbl_MTG_Set[[#This Row],[Heavy Printing Window Month Start]]*365.25/12</f>
        <v>#VALUE!</v>
      </c>
      <c r="Q111" t="str">
        <f>_xlfn.XLOOKUP(tbl_MTG_Set[[#This Row],[Type Name]], tbl_MTG_Set_Type[Set Type], tbl_MTG_Set_Type[Heavy Printing Window Month End], "(Set Type not found)", 0, 1)</f>
        <v>(Set Type not found)</v>
      </c>
      <c r="R111" s="3" t="e">
        <f>tbl_MTG_Set[[#This Row],[Released On]]+tbl_MTG_Set[[#This Row],[Heavy Printing Window Month End]]*365.25/12</f>
        <v>#VALUE!</v>
      </c>
      <c r="S111" s="3" t="e">
        <f ca="1">AND(NOW()&gt;=tbl_MTG_Set[[#This Row],[Heavy Printing Window Start]], NOW()&lt;=tbl_MTG_Set[[#This Row],[Heavy Printing Window End]])</f>
        <v>#VALUE!</v>
      </c>
      <c r="T111" t="str">
        <f>_xlfn.XLOOKUP(tbl_MTG_Set[[#This Row],[Type Name]], tbl_MTG_Set_Type[Set Type], tbl_MTG_Set_Type[Sell Window Month Start], "(Set Type not found)", 0, 1)</f>
        <v>(Set Type not found)</v>
      </c>
      <c r="U111" s="3" t="e">
        <f>tbl_MTG_Set[[#This Row],[Released On]]+tbl_MTG_Set[[#This Row],[Sell Window Month Start]]*365.25/12</f>
        <v>#VALUE!</v>
      </c>
      <c r="V111" t="str">
        <f>_xlfn.XLOOKUP(tbl_MTG_Set[[#This Row],[Type Name]], tbl_MTG_Set_Type[Set Type], tbl_MTG_Set_Type[Sell Window Month End], "(Set Type not found)", 0, 1)</f>
        <v>(Set Type not found)</v>
      </c>
      <c r="W111" s="3" t="e">
        <f>tbl_MTG_Set[[#This Row],[Released On]]+tbl_MTG_Set[[#This Row],[Sell Window Month End]]*365.25/12</f>
        <v>#VALUE!</v>
      </c>
      <c r="X111" s="3" t="e">
        <f ca="1">AND(NOW()&gt;=tbl_MTG_Set[[#This Row],[Sell Window Start]], NOW()&lt;=tbl_MTG_Set[[#This Row],[Sell Window End]])</f>
        <v>#VALUE!</v>
      </c>
      <c r="AG111" s="10"/>
      <c r="AH111" s="10"/>
      <c r="AM111" s="10" t="str" cm="1">
        <f t="array" ref="AM1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1" s="10" t="str" cm="1">
        <f t="array" ref="AN1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1" s="4" t="e">
        <f>_xlfn.XLOOKUP(tbl_MTG_Set[[#This Row],[Play Booster Box Product Id]], tbl_Product[Product Id], tbl_Product[Pack Size])</f>
        <v>#N/A</v>
      </c>
      <c r="AP111" s="10" t="e">
        <f>(tbl_MTG_Set[[#This Row],[Play Booster Box Cost]]+v_Item_Shipping_Cost_In)/tbl_MTG_Set[[#This Row],[Play Booster Box Size]]</f>
        <v>#VALUE!</v>
      </c>
      <c r="AQ111" s="10" t="str" cm="1">
        <f t="array" ref="AQ1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1" s="10"/>
      <c r="AS111" s="10"/>
      <c r="AT111" s="17" t="e">
        <f>tbl_MTG_Set[[#This Row],[Play Booster CardMarket Profit]]/tbl_MTG_Set[[#This Row],[Play Booster Cost]]</f>
        <v>#VALUE!</v>
      </c>
      <c r="AU111" s="10" t="e">
        <f>_xlfn.XLOOKUP(tbl_MTG_Set[[#This Row],[Collector Booster Box Product Id]], tbl_Product[Product Id], tbl_Product[Min Cost])</f>
        <v>#N/A</v>
      </c>
      <c r="AV111" s="10" t="e">
        <f>_xlfn.XLOOKUP(tbl_MTG_Set[[#This Row],[Collector Booster Box Product Id]], tbl_Product[Product Id], tbl_Product[Best Source])</f>
        <v>#N/A</v>
      </c>
      <c r="AW111" s="4" t="e">
        <f>_xlfn.XLOOKUP(tbl_MTG_Set[[#This Row],[Collector Booster Box Product Id]], tbl_Product[Product Id], tbl_Product[Pack Size])</f>
        <v>#N/A</v>
      </c>
      <c r="AX111" s="10" t="e">
        <f>(tbl_MTG_Set[[#This Row],[Collector Booster Box Cost]] + v_Item_Shipping_Cost_In) / tbl_MTG_Set[[#This Row],[Collector Booster Box Size]]</f>
        <v>#N/A</v>
      </c>
      <c r="AY111" s="10" t="str" cm="1">
        <f t="array" ref="AY1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1" s="10"/>
      <c r="BA1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1" s="17" t="e">
        <f>tbl_MTG_Set[[#This Row],[Collector Booster CardMarket Profit]]/tbl_MTG_Set[[#This Row],[Collector Booster Cost]]</f>
        <v>#N/A</v>
      </c>
      <c r="BC111" s="10"/>
      <c r="BF1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1" s="11" t="e">
        <f>tbl_MTG_Set[[#This Row],[Play Singles CardMarket Profit MTG Stocks]]/tbl_MTG_Set[[#This Row],[Play Booster Cost]]</f>
        <v>#VALUE!</v>
      </c>
      <c r="BI111" s="11" t="b">
        <f>tbl_MTG_Set[[#This Row],[Play Singles CardMarket Profit MTG Stocks]]&gt;0</f>
        <v>0</v>
      </c>
      <c r="BM111" s="10" t="e">
        <f>tbl_MTG_Set[[#This Row],[Play Booster Sell Price CardMarket]]*tbl_MTG_Set[[#This Row],[Play Booster Expected Market Value BotBox]]/tbl_MTG_Set[[#This Row],[Play Booster Sealed Market Value BotBox]]</f>
        <v>#VALUE!</v>
      </c>
      <c r="BN1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1" s="10" t="e">
        <f>tbl_MTG_Set[[#This Row],[Play Singles CardMarket Profit BotBox]]/tbl_MTG_Set[[#This Row],[Play Booster Cost]]</f>
        <v>#VALUE!</v>
      </c>
      <c r="BP111" s="10" t="b">
        <f>tbl_MTG_Set[[#This Row],[Play Singles CardMarket Profit BotBox]]&gt;0</f>
        <v>0</v>
      </c>
      <c r="BQ111" s="10"/>
      <c r="BR111" s="10"/>
      <c r="BS111" s="10"/>
      <c r="BT1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1" s="19" t="e">
        <f>tbl_MTG_Set[[#This Row],[Collector Singles CardMarket Profit MTG Stocks]]/tbl_MTG_Set[[#This Row],[Collector Booster Cost]]</f>
        <v>#N/A</v>
      </c>
      <c r="BW111" s="10" t="b">
        <f>tbl_MTG_Set[[#This Row],[Collector Singles CardMarket Profit MTG Stocks]]&gt;0</f>
        <v>0</v>
      </c>
      <c r="BX111" s="10"/>
      <c r="BY111" s="10"/>
      <c r="BZ1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1" s="10" t="e">
        <f>tbl_MTG_Set[[#This Row],[Collector Singles CardMarket Profit BotBox]]/tbl_MTG_Set[[#This Row],[Collector Booster Cost]]</f>
        <v>#N/A</v>
      </c>
      <c r="CC111" s="10" t="b">
        <f>tbl_MTG_Set[[#This Row],[Collector Singles CardMarket Profit BotBox]]&gt;0</f>
        <v>0</v>
      </c>
      <c r="CD1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2" spans="1:86" hidden="1">
      <c r="A112">
        <v>123</v>
      </c>
      <c r="B112" t="s">
        <v>285</v>
      </c>
      <c r="C112">
        <v>22</v>
      </c>
      <c r="D112" s="3">
        <v>45359</v>
      </c>
      <c r="F112" t="s">
        <v>174</v>
      </c>
      <c r="G112">
        <v>192</v>
      </c>
      <c r="H112">
        <f ca="1">MONTH(NOW())+12*YEAR(NOW())-MONTH(tbl_MTG_Set[[#This Row],[Released On]])-12*YEAR(tbl_MTG_Set[[#This Row],[Released On]])</f>
        <v>24</v>
      </c>
      <c r="I112" t="str">
        <f>_xlfn.XLOOKUP(tbl_MTG_Set[[#This Row],[Type Name]], tbl_MTG_Set_Type[Set Type], tbl_MTG_Set_Type[Index], "(Set Type not found)")</f>
        <v>(Set Type not found)</v>
      </c>
      <c r="J112" t="str">
        <f>_xlfn.XLOOKUP(tbl_MTG_Set[[#This Row],[Type Name]], tbl_MTG_Set_Type[Set Type], tbl_MTG_Set_Type[Buy Window Month Start], "(Set Type not found)")</f>
        <v>(Set Type not found)</v>
      </c>
      <c r="K112" s="3" t="e">
        <f>tbl_MTG_Set[[#This Row],[Released On]]+tbl_MTG_Set[[#This Row],[Buy Window Month Start]]*365.25/12</f>
        <v>#VALUE!</v>
      </c>
      <c r="L112" t="str">
        <f>_xlfn.XLOOKUP(tbl_MTG_Set[[#This Row],[Type Name]], tbl_MTG_Set_Type[Set Type], tbl_MTG_Set_Type[Buy Window Month End], "(Set Type not found)", 0, 1)</f>
        <v>(Set Type not found)</v>
      </c>
      <c r="M112" s="3" t="e">
        <f>tbl_MTG_Set[[#This Row],[Released On]]+tbl_MTG_Set[[#This Row],[Buy Window Month End]]*365.25/12</f>
        <v>#VALUE!</v>
      </c>
      <c r="N112" s="3" t="e">
        <f ca="1">AND(NOW()&gt;=tbl_MTG_Set[[#This Row],[Buy Window Start]], NOW()&lt;=tbl_MTG_Set[[#This Row],[Buy Window End]])</f>
        <v>#VALUE!</v>
      </c>
      <c r="O112" t="str">
        <f>_xlfn.XLOOKUP(tbl_MTG_Set[[#This Row],[Type Name]], tbl_MTG_Set_Type[Set Type], tbl_MTG_Set_Type[Heavy Printing Window Month Start], "(Set Type not found)", 0, 1)</f>
        <v>(Set Type not found)</v>
      </c>
      <c r="P112" s="3" t="e">
        <f>tbl_MTG_Set[[#This Row],[Released On]]+tbl_MTG_Set[[#This Row],[Heavy Printing Window Month Start]]*365.25/12</f>
        <v>#VALUE!</v>
      </c>
      <c r="Q112" t="str">
        <f>_xlfn.XLOOKUP(tbl_MTG_Set[[#This Row],[Type Name]], tbl_MTG_Set_Type[Set Type], tbl_MTG_Set_Type[Heavy Printing Window Month End], "(Set Type not found)", 0, 1)</f>
        <v>(Set Type not found)</v>
      </c>
      <c r="R112" s="3" t="e">
        <f>tbl_MTG_Set[[#This Row],[Released On]]+tbl_MTG_Set[[#This Row],[Heavy Printing Window Month End]]*365.25/12</f>
        <v>#VALUE!</v>
      </c>
      <c r="S112" s="3" t="e">
        <f ca="1">AND(NOW()&gt;=tbl_MTG_Set[[#This Row],[Heavy Printing Window Start]], NOW()&lt;=tbl_MTG_Set[[#This Row],[Heavy Printing Window End]])</f>
        <v>#VALUE!</v>
      </c>
      <c r="T112" t="str">
        <f>_xlfn.XLOOKUP(tbl_MTG_Set[[#This Row],[Type Name]], tbl_MTG_Set_Type[Set Type], tbl_MTG_Set_Type[Sell Window Month Start], "(Set Type not found)", 0, 1)</f>
        <v>(Set Type not found)</v>
      </c>
      <c r="U112" s="3" t="e">
        <f>tbl_MTG_Set[[#This Row],[Released On]]+tbl_MTG_Set[[#This Row],[Sell Window Month Start]]*365.25/12</f>
        <v>#VALUE!</v>
      </c>
      <c r="V112" t="str">
        <f>_xlfn.XLOOKUP(tbl_MTG_Set[[#This Row],[Type Name]], tbl_MTG_Set_Type[Set Type], tbl_MTG_Set_Type[Sell Window Month End], "(Set Type not found)", 0, 1)</f>
        <v>(Set Type not found)</v>
      </c>
      <c r="W112" s="3" t="e">
        <f>tbl_MTG_Set[[#This Row],[Released On]]+tbl_MTG_Set[[#This Row],[Sell Window Month End]]*365.25/12</f>
        <v>#VALUE!</v>
      </c>
      <c r="X112" s="3" t="e">
        <f ca="1">AND(NOW()&gt;=tbl_MTG_Set[[#This Row],[Sell Window Start]], NOW()&lt;=tbl_MTG_Set[[#This Row],[Sell Window End]])</f>
        <v>#VALUE!</v>
      </c>
      <c r="AG112" s="10"/>
      <c r="AH112" s="10"/>
      <c r="AM112" s="10" t="str" cm="1">
        <f t="array" ref="AM1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2" s="10" t="str" cm="1">
        <f t="array" ref="AN1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2" s="4" t="e">
        <f>_xlfn.XLOOKUP(tbl_MTG_Set[[#This Row],[Play Booster Box Product Id]], tbl_Product[Product Id], tbl_Product[Pack Size])</f>
        <v>#N/A</v>
      </c>
      <c r="AP112" s="10" t="e">
        <f>(tbl_MTG_Set[[#This Row],[Play Booster Box Cost]]+v_Item_Shipping_Cost_In)/tbl_MTG_Set[[#This Row],[Play Booster Box Size]]</f>
        <v>#VALUE!</v>
      </c>
      <c r="AQ112" s="10" t="str" cm="1">
        <f t="array" ref="AQ1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2" s="10"/>
      <c r="AS112" s="10"/>
      <c r="AT112" s="17" t="e">
        <f>tbl_MTG_Set[[#This Row],[Play Booster CardMarket Profit]]/tbl_MTG_Set[[#This Row],[Play Booster Cost]]</f>
        <v>#VALUE!</v>
      </c>
      <c r="AU112" s="10" t="e">
        <f>_xlfn.XLOOKUP(tbl_MTG_Set[[#This Row],[Collector Booster Box Product Id]], tbl_Product[Product Id], tbl_Product[Min Cost])</f>
        <v>#N/A</v>
      </c>
      <c r="AV112" s="10" t="e">
        <f>_xlfn.XLOOKUP(tbl_MTG_Set[[#This Row],[Collector Booster Box Product Id]], tbl_Product[Product Id], tbl_Product[Best Source])</f>
        <v>#N/A</v>
      </c>
      <c r="AW112" s="4" t="e">
        <f>_xlfn.XLOOKUP(tbl_MTG_Set[[#This Row],[Collector Booster Box Product Id]], tbl_Product[Product Id], tbl_Product[Pack Size])</f>
        <v>#N/A</v>
      </c>
      <c r="AX112" s="10" t="e">
        <f>(tbl_MTG_Set[[#This Row],[Collector Booster Box Cost]] + v_Item_Shipping_Cost_In) / tbl_MTG_Set[[#This Row],[Collector Booster Box Size]]</f>
        <v>#N/A</v>
      </c>
      <c r="AY112" s="10" t="str" cm="1">
        <f t="array" ref="AY1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2" s="10"/>
      <c r="BA1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2" s="17" t="e">
        <f>tbl_MTG_Set[[#This Row],[Collector Booster CardMarket Profit]]/tbl_MTG_Set[[#This Row],[Collector Booster Cost]]</f>
        <v>#N/A</v>
      </c>
      <c r="BC112" s="10"/>
      <c r="BF1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2" s="11" t="e">
        <f>tbl_MTG_Set[[#This Row],[Play Singles CardMarket Profit MTG Stocks]]/tbl_MTG_Set[[#This Row],[Play Booster Cost]]</f>
        <v>#VALUE!</v>
      </c>
      <c r="BI112" s="11" t="b">
        <f>tbl_MTG_Set[[#This Row],[Play Singles CardMarket Profit MTG Stocks]]&gt;0</f>
        <v>0</v>
      </c>
      <c r="BM112" s="10" t="e">
        <f>tbl_MTG_Set[[#This Row],[Play Booster Sell Price CardMarket]]*tbl_MTG_Set[[#This Row],[Play Booster Expected Market Value BotBox]]/tbl_MTG_Set[[#This Row],[Play Booster Sealed Market Value BotBox]]</f>
        <v>#VALUE!</v>
      </c>
      <c r="BN1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2" s="10" t="e">
        <f>tbl_MTG_Set[[#This Row],[Play Singles CardMarket Profit BotBox]]/tbl_MTG_Set[[#This Row],[Play Booster Cost]]</f>
        <v>#VALUE!</v>
      </c>
      <c r="BP112" s="10" t="b">
        <f>tbl_MTG_Set[[#This Row],[Play Singles CardMarket Profit BotBox]]&gt;0</f>
        <v>0</v>
      </c>
      <c r="BQ112" s="10"/>
      <c r="BR112" s="10"/>
      <c r="BS112" s="10"/>
      <c r="BT1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2" s="19" t="e">
        <f>tbl_MTG_Set[[#This Row],[Collector Singles CardMarket Profit MTG Stocks]]/tbl_MTG_Set[[#This Row],[Collector Booster Cost]]</f>
        <v>#N/A</v>
      </c>
      <c r="BW112" s="10" t="b">
        <f>tbl_MTG_Set[[#This Row],[Collector Singles CardMarket Profit MTG Stocks]]&gt;0</f>
        <v>0</v>
      </c>
      <c r="BX112" s="10"/>
      <c r="BY112" s="10"/>
      <c r="BZ1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2" s="10" t="e">
        <f>tbl_MTG_Set[[#This Row],[Collector Singles CardMarket Profit BotBox]]/tbl_MTG_Set[[#This Row],[Collector Booster Cost]]</f>
        <v>#N/A</v>
      </c>
      <c r="CC112" s="10" t="b">
        <f>tbl_MTG_Set[[#This Row],[Collector Singles CardMarket Profit BotBox]]&gt;0</f>
        <v>0</v>
      </c>
      <c r="CD1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3" spans="1:86" hidden="1">
      <c r="A113">
        <v>125</v>
      </c>
      <c r="B113" t="s">
        <v>286</v>
      </c>
      <c r="C113">
        <v>180</v>
      </c>
      <c r="D113" s="3">
        <v>45331</v>
      </c>
      <c r="E113" t="s">
        <v>59</v>
      </c>
      <c r="F113" t="s">
        <v>174</v>
      </c>
      <c r="G113">
        <v>196</v>
      </c>
      <c r="H113">
        <f ca="1">MONTH(NOW())+12*YEAR(NOW())-MONTH(tbl_MTG_Set[[#This Row],[Released On]])-12*YEAR(tbl_MTG_Set[[#This Row],[Released On]])</f>
        <v>25</v>
      </c>
      <c r="I113">
        <f>_xlfn.XLOOKUP(tbl_MTG_Set[[#This Row],[Type Name]], tbl_MTG_Set_Type[Set Type], tbl_MTG_Set_Type[Index], "(Set Type not found)")</f>
        <v>1</v>
      </c>
      <c r="J113">
        <f>_xlfn.XLOOKUP(tbl_MTG_Set[[#This Row],[Type Name]], tbl_MTG_Set_Type[Set Type], tbl_MTG_Set_Type[Buy Window Month Start], "(Set Type not found)")</f>
        <v>18</v>
      </c>
      <c r="K113" s="3">
        <f>tbl_MTG_Set[[#This Row],[Released On]]+tbl_MTG_Set[[#This Row],[Buy Window Month Start]]*365.25/12</f>
        <v>45878.875</v>
      </c>
      <c r="L113">
        <f>_xlfn.XLOOKUP(tbl_MTG_Set[[#This Row],[Type Name]], tbl_MTG_Set_Type[Set Type], tbl_MTG_Set_Type[Buy Window Month End], "(Set Type not found)", 0, 1)</f>
        <v>24</v>
      </c>
      <c r="M113" s="3">
        <f>tbl_MTG_Set[[#This Row],[Released On]]+tbl_MTG_Set[[#This Row],[Buy Window Month End]]*365.25/12</f>
        <v>46061.5</v>
      </c>
      <c r="N113" s="3" t="b">
        <f ca="1">AND(NOW()&gt;=tbl_MTG_Set[[#This Row],[Buy Window Start]], NOW()&lt;=tbl_MTG_Set[[#This Row],[Buy Window End]])</f>
        <v>0</v>
      </c>
      <c r="O113">
        <f>_xlfn.XLOOKUP(tbl_MTG_Set[[#This Row],[Type Name]], tbl_MTG_Set_Type[Set Type], tbl_MTG_Set_Type[Heavy Printing Window Month Start], "(Set Type not found)", 0, 1)</f>
        <v>1</v>
      </c>
      <c r="P113" s="3">
        <f>tbl_MTG_Set[[#This Row],[Released On]]+tbl_MTG_Set[[#This Row],[Heavy Printing Window Month Start]]*365.25/12</f>
        <v>45361.4375</v>
      </c>
      <c r="Q113">
        <f>_xlfn.XLOOKUP(tbl_MTG_Set[[#This Row],[Type Name]], tbl_MTG_Set_Type[Set Type], tbl_MTG_Set_Type[Heavy Printing Window Month End], "(Set Type not found)", 0, 1)</f>
        <v>18</v>
      </c>
      <c r="R113" s="3">
        <f>tbl_MTG_Set[[#This Row],[Released On]]+tbl_MTG_Set[[#This Row],[Heavy Printing Window Month End]]*365.25/12</f>
        <v>45878.875</v>
      </c>
      <c r="S113" s="3" t="b">
        <f ca="1">AND(NOW()&gt;=tbl_MTG_Set[[#This Row],[Heavy Printing Window Start]], NOW()&lt;=tbl_MTG_Set[[#This Row],[Heavy Printing Window End]])</f>
        <v>0</v>
      </c>
      <c r="T113">
        <f>_xlfn.XLOOKUP(tbl_MTG_Set[[#This Row],[Type Name]], tbl_MTG_Set_Type[Set Type], tbl_MTG_Set_Type[Sell Window Month Start], "(Set Type not found)", 0, 1)</f>
        <v>36</v>
      </c>
      <c r="U113" s="3">
        <f>tbl_MTG_Set[[#This Row],[Released On]]+tbl_MTG_Set[[#This Row],[Sell Window Month Start]]*365.25/12</f>
        <v>46426.75</v>
      </c>
      <c r="V113">
        <f>_xlfn.XLOOKUP(tbl_MTG_Set[[#This Row],[Type Name]], tbl_MTG_Set_Type[Set Type], tbl_MTG_Set_Type[Sell Window Month End], "(Set Type not found)", 0, 1)</f>
        <v>48</v>
      </c>
      <c r="W113" s="3">
        <f>tbl_MTG_Set[[#This Row],[Released On]]+tbl_MTG_Set[[#This Row],[Sell Window Month End]]*365.25/12</f>
        <v>46792</v>
      </c>
      <c r="X113" s="3" t="b">
        <f ca="1">AND(NOW()&gt;=tbl_MTG_Set[[#This Row],[Sell Window Start]], NOW()&lt;=tbl_MTG_Set[[#This Row],[Sell Window End]])</f>
        <v>0</v>
      </c>
      <c r="AG113" s="10"/>
      <c r="AH113" s="10"/>
      <c r="AM113" s="10" t="str" cm="1">
        <f t="array" ref="AM1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3" s="10" t="str" cm="1">
        <f t="array" ref="AN1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3" s="4" t="e">
        <f>_xlfn.XLOOKUP(tbl_MTG_Set[[#This Row],[Play Booster Box Product Id]], tbl_Product[Product Id], tbl_Product[Pack Size])</f>
        <v>#N/A</v>
      </c>
      <c r="AP113" s="10" t="e">
        <f>(tbl_MTG_Set[[#This Row],[Play Booster Box Cost]]+v_Item_Shipping_Cost_In)/tbl_MTG_Set[[#This Row],[Play Booster Box Size]]</f>
        <v>#VALUE!</v>
      </c>
      <c r="AQ113" s="10" t="str" cm="1">
        <f t="array" ref="AQ1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3" s="10"/>
      <c r="AS113" s="10"/>
      <c r="AT113" s="17" t="e">
        <f>tbl_MTG_Set[[#This Row],[Play Booster CardMarket Profit]]/tbl_MTG_Set[[#This Row],[Play Booster Cost]]</f>
        <v>#VALUE!</v>
      </c>
      <c r="AU113" s="10" t="e">
        <f>_xlfn.XLOOKUP(tbl_MTG_Set[[#This Row],[Collector Booster Box Product Id]], tbl_Product[Product Id], tbl_Product[Min Cost])</f>
        <v>#N/A</v>
      </c>
      <c r="AV113" s="10" t="e">
        <f>_xlfn.XLOOKUP(tbl_MTG_Set[[#This Row],[Collector Booster Box Product Id]], tbl_Product[Product Id], tbl_Product[Best Source])</f>
        <v>#N/A</v>
      </c>
      <c r="AW113" s="4" t="e">
        <f>_xlfn.XLOOKUP(tbl_MTG_Set[[#This Row],[Collector Booster Box Product Id]], tbl_Product[Product Id], tbl_Product[Pack Size])</f>
        <v>#N/A</v>
      </c>
      <c r="AX113" s="10" t="e">
        <f>(tbl_MTG_Set[[#This Row],[Collector Booster Box Cost]] + v_Item_Shipping_Cost_In) / tbl_MTG_Set[[#This Row],[Collector Booster Box Size]]</f>
        <v>#N/A</v>
      </c>
      <c r="AY113" s="10" t="str" cm="1">
        <f t="array" ref="AY1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3" s="10"/>
      <c r="BA1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3" s="17" t="e">
        <f>tbl_MTG_Set[[#This Row],[Collector Booster CardMarket Profit]]/tbl_MTG_Set[[#This Row],[Collector Booster Cost]]</f>
        <v>#N/A</v>
      </c>
      <c r="BC113" s="10"/>
      <c r="BF1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3" s="11" t="e">
        <f>tbl_MTG_Set[[#This Row],[Play Singles CardMarket Profit MTG Stocks]]/tbl_MTG_Set[[#This Row],[Play Booster Cost]]</f>
        <v>#VALUE!</v>
      </c>
      <c r="BI113" s="11" t="b">
        <f>tbl_MTG_Set[[#This Row],[Play Singles CardMarket Profit MTG Stocks]]&gt;0</f>
        <v>0</v>
      </c>
      <c r="BM113" s="10" t="e">
        <f>tbl_MTG_Set[[#This Row],[Play Booster Sell Price CardMarket]]*tbl_MTG_Set[[#This Row],[Play Booster Expected Market Value BotBox]]/tbl_MTG_Set[[#This Row],[Play Booster Sealed Market Value BotBox]]</f>
        <v>#VALUE!</v>
      </c>
      <c r="BN1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3" s="10" t="e">
        <f>tbl_MTG_Set[[#This Row],[Play Singles CardMarket Profit BotBox]]/tbl_MTG_Set[[#This Row],[Play Booster Cost]]</f>
        <v>#VALUE!</v>
      </c>
      <c r="BP113" s="10" t="b">
        <f>tbl_MTG_Set[[#This Row],[Play Singles CardMarket Profit BotBox]]&gt;0</f>
        <v>0</v>
      </c>
      <c r="BQ113" s="10"/>
      <c r="BR113" s="10"/>
      <c r="BS113" s="10"/>
      <c r="BT1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3" s="19" t="e">
        <f>tbl_MTG_Set[[#This Row],[Collector Singles CardMarket Profit MTG Stocks]]/tbl_MTG_Set[[#This Row],[Collector Booster Cost]]</f>
        <v>#N/A</v>
      </c>
      <c r="BW113" s="10" t="b">
        <f>tbl_MTG_Set[[#This Row],[Collector Singles CardMarket Profit MTG Stocks]]&gt;0</f>
        <v>0</v>
      </c>
      <c r="BX113" s="10"/>
      <c r="BY113" s="10"/>
      <c r="BZ1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3" s="10" t="e">
        <f>tbl_MTG_Set[[#This Row],[Collector Singles CardMarket Profit BotBox]]/tbl_MTG_Set[[#This Row],[Collector Booster Cost]]</f>
        <v>#N/A</v>
      </c>
      <c r="CC113" s="10" t="b">
        <f>tbl_MTG_Set[[#This Row],[Collector Singles CardMarket Profit BotBox]]&gt;0</f>
        <v>0</v>
      </c>
      <c r="CD1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4" spans="1:86" hidden="1">
      <c r="A114">
        <v>126</v>
      </c>
      <c r="B114" t="s">
        <v>287</v>
      </c>
      <c r="C114">
        <v>22</v>
      </c>
      <c r="D114" s="3">
        <v>45331</v>
      </c>
      <c r="E114" t="s">
        <v>59</v>
      </c>
      <c r="F114" t="s">
        <v>174</v>
      </c>
      <c r="G114">
        <v>198</v>
      </c>
      <c r="H114">
        <f ca="1">MONTH(NOW())+12*YEAR(NOW())-MONTH(tbl_MTG_Set[[#This Row],[Released On]])-12*YEAR(tbl_MTG_Set[[#This Row],[Released On]])</f>
        <v>25</v>
      </c>
      <c r="I114">
        <f>_xlfn.XLOOKUP(tbl_MTG_Set[[#This Row],[Type Name]], tbl_MTG_Set_Type[Set Type], tbl_MTG_Set_Type[Index], "(Set Type not found)")</f>
        <v>1</v>
      </c>
      <c r="J114">
        <f>_xlfn.XLOOKUP(tbl_MTG_Set[[#This Row],[Type Name]], tbl_MTG_Set_Type[Set Type], tbl_MTG_Set_Type[Buy Window Month Start], "(Set Type not found)")</f>
        <v>18</v>
      </c>
      <c r="K114" s="3">
        <f>tbl_MTG_Set[[#This Row],[Released On]]+tbl_MTG_Set[[#This Row],[Buy Window Month Start]]*365.25/12</f>
        <v>45878.875</v>
      </c>
      <c r="L114">
        <f>_xlfn.XLOOKUP(tbl_MTG_Set[[#This Row],[Type Name]], tbl_MTG_Set_Type[Set Type], tbl_MTG_Set_Type[Buy Window Month End], "(Set Type not found)", 0, 1)</f>
        <v>24</v>
      </c>
      <c r="M114" s="3">
        <f>tbl_MTG_Set[[#This Row],[Released On]]+tbl_MTG_Set[[#This Row],[Buy Window Month End]]*365.25/12</f>
        <v>46061.5</v>
      </c>
      <c r="N114" s="3" t="b">
        <f ca="1">AND(NOW()&gt;=tbl_MTG_Set[[#This Row],[Buy Window Start]], NOW()&lt;=tbl_MTG_Set[[#This Row],[Buy Window End]])</f>
        <v>0</v>
      </c>
      <c r="O114">
        <f>_xlfn.XLOOKUP(tbl_MTG_Set[[#This Row],[Type Name]], tbl_MTG_Set_Type[Set Type], tbl_MTG_Set_Type[Heavy Printing Window Month Start], "(Set Type not found)", 0, 1)</f>
        <v>1</v>
      </c>
      <c r="P114" s="3">
        <f>tbl_MTG_Set[[#This Row],[Released On]]+tbl_MTG_Set[[#This Row],[Heavy Printing Window Month Start]]*365.25/12</f>
        <v>45361.4375</v>
      </c>
      <c r="Q114">
        <f>_xlfn.XLOOKUP(tbl_MTG_Set[[#This Row],[Type Name]], tbl_MTG_Set_Type[Set Type], tbl_MTG_Set_Type[Heavy Printing Window Month End], "(Set Type not found)", 0, 1)</f>
        <v>18</v>
      </c>
      <c r="R114" s="3">
        <f>tbl_MTG_Set[[#This Row],[Released On]]+tbl_MTG_Set[[#This Row],[Heavy Printing Window Month End]]*365.25/12</f>
        <v>45878.875</v>
      </c>
      <c r="S114" s="3" t="b">
        <f ca="1">AND(NOW()&gt;=tbl_MTG_Set[[#This Row],[Heavy Printing Window Start]], NOW()&lt;=tbl_MTG_Set[[#This Row],[Heavy Printing Window End]])</f>
        <v>0</v>
      </c>
      <c r="T114">
        <f>_xlfn.XLOOKUP(tbl_MTG_Set[[#This Row],[Type Name]], tbl_MTG_Set_Type[Set Type], tbl_MTG_Set_Type[Sell Window Month Start], "(Set Type not found)", 0, 1)</f>
        <v>36</v>
      </c>
      <c r="U114" s="3">
        <f>tbl_MTG_Set[[#This Row],[Released On]]+tbl_MTG_Set[[#This Row],[Sell Window Month Start]]*365.25/12</f>
        <v>46426.75</v>
      </c>
      <c r="V114">
        <f>_xlfn.XLOOKUP(tbl_MTG_Set[[#This Row],[Type Name]], tbl_MTG_Set_Type[Set Type], tbl_MTG_Set_Type[Sell Window Month End], "(Set Type not found)", 0, 1)</f>
        <v>48</v>
      </c>
      <c r="W114" s="3">
        <f>tbl_MTG_Set[[#This Row],[Released On]]+tbl_MTG_Set[[#This Row],[Sell Window Month End]]*365.25/12</f>
        <v>46792</v>
      </c>
      <c r="X114" s="3" t="b">
        <f ca="1">AND(NOW()&gt;=tbl_MTG_Set[[#This Row],[Sell Window Start]], NOW()&lt;=tbl_MTG_Set[[#This Row],[Sell Window End]])</f>
        <v>0</v>
      </c>
      <c r="AG114" s="10"/>
      <c r="AH114" s="10"/>
      <c r="AM114" s="10" t="str" cm="1">
        <f t="array" ref="AM1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4" s="10" t="str" cm="1">
        <f t="array" ref="AN1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4" s="4" t="e">
        <f>_xlfn.XLOOKUP(tbl_MTG_Set[[#This Row],[Play Booster Box Product Id]], tbl_Product[Product Id], tbl_Product[Pack Size])</f>
        <v>#N/A</v>
      </c>
      <c r="AP114" s="10" t="e">
        <f>(tbl_MTG_Set[[#This Row],[Play Booster Box Cost]]+v_Item_Shipping_Cost_In)/tbl_MTG_Set[[#This Row],[Play Booster Box Size]]</f>
        <v>#VALUE!</v>
      </c>
      <c r="AQ114" s="10" t="str" cm="1">
        <f t="array" ref="AQ1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4" s="10"/>
      <c r="AS114" s="10"/>
      <c r="AT114" s="17" t="e">
        <f>tbl_MTG_Set[[#This Row],[Play Booster CardMarket Profit]]/tbl_MTG_Set[[#This Row],[Play Booster Cost]]</f>
        <v>#VALUE!</v>
      </c>
      <c r="AU114" s="10" t="e">
        <f>_xlfn.XLOOKUP(tbl_MTG_Set[[#This Row],[Collector Booster Box Product Id]], tbl_Product[Product Id], tbl_Product[Min Cost])</f>
        <v>#N/A</v>
      </c>
      <c r="AV114" s="10" t="e">
        <f>_xlfn.XLOOKUP(tbl_MTG_Set[[#This Row],[Collector Booster Box Product Id]], tbl_Product[Product Id], tbl_Product[Best Source])</f>
        <v>#N/A</v>
      </c>
      <c r="AW114" s="4" t="e">
        <f>_xlfn.XLOOKUP(tbl_MTG_Set[[#This Row],[Collector Booster Box Product Id]], tbl_Product[Product Id], tbl_Product[Pack Size])</f>
        <v>#N/A</v>
      </c>
      <c r="AX114" s="10" t="e">
        <f>(tbl_MTG_Set[[#This Row],[Collector Booster Box Cost]] + v_Item_Shipping_Cost_In) / tbl_MTG_Set[[#This Row],[Collector Booster Box Size]]</f>
        <v>#N/A</v>
      </c>
      <c r="AY114" s="10" t="str" cm="1">
        <f t="array" ref="AY1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4" s="10"/>
      <c r="BA1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4" s="17" t="e">
        <f>tbl_MTG_Set[[#This Row],[Collector Booster CardMarket Profit]]/tbl_MTG_Set[[#This Row],[Collector Booster Cost]]</f>
        <v>#N/A</v>
      </c>
      <c r="BC114" s="10"/>
      <c r="BF1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4" s="11" t="e">
        <f>tbl_MTG_Set[[#This Row],[Play Singles CardMarket Profit MTG Stocks]]/tbl_MTG_Set[[#This Row],[Play Booster Cost]]</f>
        <v>#VALUE!</v>
      </c>
      <c r="BI114" s="11" t="b">
        <f>tbl_MTG_Set[[#This Row],[Play Singles CardMarket Profit MTG Stocks]]&gt;0</f>
        <v>0</v>
      </c>
      <c r="BM114" s="10" t="e">
        <f>tbl_MTG_Set[[#This Row],[Play Booster Sell Price CardMarket]]*tbl_MTG_Set[[#This Row],[Play Booster Expected Market Value BotBox]]/tbl_MTG_Set[[#This Row],[Play Booster Sealed Market Value BotBox]]</f>
        <v>#VALUE!</v>
      </c>
      <c r="BN1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4" s="10" t="e">
        <f>tbl_MTG_Set[[#This Row],[Play Singles CardMarket Profit BotBox]]/tbl_MTG_Set[[#This Row],[Play Booster Cost]]</f>
        <v>#VALUE!</v>
      </c>
      <c r="BP114" s="10" t="b">
        <f>tbl_MTG_Set[[#This Row],[Play Singles CardMarket Profit BotBox]]&gt;0</f>
        <v>0</v>
      </c>
      <c r="BQ114" s="10"/>
      <c r="BR114" s="10"/>
      <c r="BS114" s="10"/>
      <c r="BT1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4" s="19" t="e">
        <f>tbl_MTG_Set[[#This Row],[Collector Singles CardMarket Profit MTG Stocks]]/tbl_MTG_Set[[#This Row],[Collector Booster Cost]]</f>
        <v>#N/A</v>
      </c>
      <c r="BW114" s="10" t="b">
        <f>tbl_MTG_Set[[#This Row],[Collector Singles CardMarket Profit MTG Stocks]]&gt;0</f>
        <v>0</v>
      </c>
      <c r="BX114" s="10"/>
      <c r="BY114" s="10"/>
      <c r="BZ1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4" s="10" t="e">
        <f>tbl_MTG_Set[[#This Row],[Collector Singles CardMarket Profit BotBox]]/tbl_MTG_Set[[#This Row],[Collector Booster Cost]]</f>
        <v>#N/A</v>
      </c>
      <c r="CC114" s="10" t="b">
        <f>tbl_MTG_Set[[#This Row],[Collector Singles CardMarket Profit BotBox]]&gt;0</f>
        <v>0</v>
      </c>
      <c r="CD1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5" spans="1:86" hidden="1">
      <c r="A115">
        <v>127</v>
      </c>
      <c r="B115" t="s">
        <v>288</v>
      </c>
      <c r="C115">
        <v>30</v>
      </c>
      <c r="D115" s="3">
        <v>45356</v>
      </c>
      <c r="E115" t="s">
        <v>59</v>
      </c>
      <c r="F115" t="s">
        <v>174</v>
      </c>
      <c r="G115">
        <v>200</v>
      </c>
      <c r="H115">
        <f ca="1">MONTH(NOW())+12*YEAR(NOW())-MONTH(tbl_MTG_Set[[#This Row],[Released On]])-12*YEAR(tbl_MTG_Set[[#This Row],[Released On]])</f>
        <v>24</v>
      </c>
      <c r="I115">
        <f>_xlfn.XLOOKUP(tbl_MTG_Set[[#This Row],[Type Name]], tbl_MTG_Set_Type[Set Type], tbl_MTG_Set_Type[Index], "(Set Type not found)")</f>
        <v>1</v>
      </c>
      <c r="J115">
        <f>_xlfn.XLOOKUP(tbl_MTG_Set[[#This Row],[Type Name]], tbl_MTG_Set_Type[Set Type], tbl_MTG_Set_Type[Buy Window Month Start], "(Set Type not found)")</f>
        <v>18</v>
      </c>
      <c r="K115" s="3">
        <f>tbl_MTG_Set[[#This Row],[Released On]]+tbl_MTG_Set[[#This Row],[Buy Window Month Start]]*365.25/12</f>
        <v>45903.875</v>
      </c>
      <c r="L115">
        <f>_xlfn.XLOOKUP(tbl_MTG_Set[[#This Row],[Type Name]], tbl_MTG_Set_Type[Set Type], tbl_MTG_Set_Type[Buy Window Month End], "(Set Type not found)", 0, 1)</f>
        <v>24</v>
      </c>
      <c r="M115" s="3">
        <f>tbl_MTG_Set[[#This Row],[Released On]]+tbl_MTG_Set[[#This Row],[Buy Window Month End]]*365.25/12</f>
        <v>46086.5</v>
      </c>
      <c r="N115" s="3" t="b">
        <f ca="1">AND(NOW()&gt;=tbl_MTG_Set[[#This Row],[Buy Window Start]], NOW()&lt;=tbl_MTG_Set[[#This Row],[Buy Window End]])</f>
        <v>0</v>
      </c>
      <c r="O115">
        <f>_xlfn.XLOOKUP(tbl_MTG_Set[[#This Row],[Type Name]], tbl_MTG_Set_Type[Set Type], tbl_MTG_Set_Type[Heavy Printing Window Month Start], "(Set Type not found)", 0, 1)</f>
        <v>1</v>
      </c>
      <c r="P115" s="3">
        <f>tbl_MTG_Set[[#This Row],[Released On]]+tbl_MTG_Set[[#This Row],[Heavy Printing Window Month Start]]*365.25/12</f>
        <v>45386.4375</v>
      </c>
      <c r="Q115">
        <f>_xlfn.XLOOKUP(tbl_MTG_Set[[#This Row],[Type Name]], tbl_MTG_Set_Type[Set Type], tbl_MTG_Set_Type[Heavy Printing Window Month End], "(Set Type not found)", 0, 1)</f>
        <v>18</v>
      </c>
      <c r="R115" s="3">
        <f>tbl_MTG_Set[[#This Row],[Released On]]+tbl_MTG_Set[[#This Row],[Heavy Printing Window Month End]]*365.25/12</f>
        <v>45903.875</v>
      </c>
      <c r="S115" s="3" t="b">
        <f ca="1">AND(NOW()&gt;=tbl_MTG_Set[[#This Row],[Heavy Printing Window Start]], NOW()&lt;=tbl_MTG_Set[[#This Row],[Heavy Printing Window End]])</f>
        <v>0</v>
      </c>
      <c r="T115">
        <f>_xlfn.XLOOKUP(tbl_MTG_Set[[#This Row],[Type Name]], tbl_MTG_Set_Type[Set Type], tbl_MTG_Set_Type[Sell Window Month Start], "(Set Type not found)", 0, 1)</f>
        <v>36</v>
      </c>
      <c r="U115" s="3">
        <f>tbl_MTG_Set[[#This Row],[Released On]]+tbl_MTG_Set[[#This Row],[Sell Window Month Start]]*365.25/12</f>
        <v>46451.75</v>
      </c>
      <c r="V115">
        <f>_xlfn.XLOOKUP(tbl_MTG_Set[[#This Row],[Type Name]], tbl_MTG_Set_Type[Set Type], tbl_MTG_Set_Type[Sell Window Month End], "(Set Type not found)", 0, 1)</f>
        <v>48</v>
      </c>
      <c r="W115" s="3">
        <f>tbl_MTG_Set[[#This Row],[Released On]]+tbl_MTG_Set[[#This Row],[Sell Window Month End]]*365.25/12</f>
        <v>46817</v>
      </c>
      <c r="X115" s="3" t="b">
        <f ca="1">AND(NOW()&gt;=tbl_MTG_Set[[#This Row],[Sell Window Start]], NOW()&lt;=tbl_MTG_Set[[#This Row],[Sell Window End]])</f>
        <v>0</v>
      </c>
      <c r="AG115" s="10"/>
      <c r="AH115" s="10"/>
      <c r="AM115" s="10" t="str" cm="1">
        <f t="array" ref="AM1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5" s="10" t="str" cm="1">
        <f t="array" ref="AN1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5" s="4" t="e">
        <f>_xlfn.XLOOKUP(tbl_MTG_Set[[#This Row],[Play Booster Box Product Id]], tbl_Product[Product Id], tbl_Product[Pack Size])</f>
        <v>#N/A</v>
      </c>
      <c r="AP115" s="10" t="e">
        <f>(tbl_MTG_Set[[#This Row],[Play Booster Box Cost]]+v_Item_Shipping_Cost_In)/tbl_MTG_Set[[#This Row],[Play Booster Box Size]]</f>
        <v>#VALUE!</v>
      </c>
      <c r="AQ115" s="10" t="str" cm="1">
        <f t="array" ref="AQ1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5" s="10"/>
      <c r="AS115" s="10"/>
      <c r="AT115" s="17" t="e">
        <f>tbl_MTG_Set[[#This Row],[Play Booster CardMarket Profit]]/tbl_MTG_Set[[#This Row],[Play Booster Cost]]</f>
        <v>#VALUE!</v>
      </c>
      <c r="AU115" s="10" t="e">
        <f>_xlfn.XLOOKUP(tbl_MTG_Set[[#This Row],[Collector Booster Box Product Id]], tbl_Product[Product Id], tbl_Product[Min Cost])</f>
        <v>#N/A</v>
      </c>
      <c r="AV115" s="10" t="e">
        <f>_xlfn.XLOOKUP(tbl_MTG_Set[[#This Row],[Collector Booster Box Product Id]], tbl_Product[Product Id], tbl_Product[Best Source])</f>
        <v>#N/A</v>
      </c>
      <c r="AW115" s="4" t="e">
        <f>_xlfn.XLOOKUP(tbl_MTG_Set[[#This Row],[Collector Booster Box Product Id]], tbl_Product[Product Id], tbl_Product[Pack Size])</f>
        <v>#N/A</v>
      </c>
      <c r="AX115" s="10" t="e">
        <f>(tbl_MTG_Set[[#This Row],[Collector Booster Box Cost]] + v_Item_Shipping_Cost_In) / tbl_MTG_Set[[#This Row],[Collector Booster Box Size]]</f>
        <v>#N/A</v>
      </c>
      <c r="AY115" s="10" t="str" cm="1">
        <f t="array" ref="AY1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5" s="10"/>
      <c r="BA1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5" s="17" t="e">
        <f>tbl_MTG_Set[[#This Row],[Collector Booster CardMarket Profit]]/tbl_MTG_Set[[#This Row],[Collector Booster Cost]]</f>
        <v>#N/A</v>
      </c>
      <c r="BC115" s="10"/>
      <c r="BF1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5" s="11" t="e">
        <f>tbl_MTG_Set[[#This Row],[Play Singles CardMarket Profit MTG Stocks]]/tbl_MTG_Set[[#This Row],[Play Booster Cost]]</f>
        <v>#VALUE!</v>
      </c>
      <c r="BI115" s="11" t="b">
        <f>tbl_MTG_Set[[#This Row],[Play Singles CardMarket Profit MTG Stocks]]&gt;0</f>
        <v>0</v>
      </c>
      <c r="BM115" s="10" t="e">
        <f>tbl_MTG_Set[[#This Row],[Play Booster Sell Price CardMarket]]*tbl_MTG_Set[[#This Row],[Play Booster Expected Market Value BotBox]]/tbl_MTG_Set[[#This Row],[Play Booster Sealed Market Value BotBox]]</f>
        <v>#VALUE!</v>
      </c>
      <c r="BN1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5" s="10" t="e">
        <f>tbl_MTG_Set[[#This Row],[Play Singles CardMarket Profit BotBox]]/tbl_MTG_Set[[#This Row],[Play Booster Cost]]</f>
        <v>#VALUE!</v>
      </c>
      <c r="BP115" s="10" t="b">
        <f>tbl_MTG_Set[[#This Row],[Play Singles CardMarket Profit BotBox]]&gt;0</f>
        <v>0</v>
      </c>
      <c r="BQ115" s="10"/>
      <c r="BR115" s="10"/>
      <c r="BS115" s="10"/>
      <c r="BT1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5" s="19" t="e">
        <f>tbl_MTG_Set[[#This Row],[Collector Singles CardMarket Profit MTG Stocks]]/tbl_MTG_Set[[#This Row],[Collector Booster Cost]]</f>
        <v>#N/A</v>
      </c>
      <c r="BW115" s="10" t="b">
        <f>tbl_MTG_Set[[#This Row],[Collector Singles CardMarket Profit MTG Stocks]]&gt;0</f>
        <v>0</v>
      </c>
      <c r="BX115" s="10"/>
      <c r="BY115" s="10"/>
      <c r="BZ1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5" s="10" t="e">
        <f>tbl_MTG_Set[[#This Row],[Collector Singles CardMarket Profit BotBox]]/tbl_MTG_Set[[#This Row],[Collector Booster Cost]]</f>
        <v>#N/A</v>
      </c>
      <c r="CC115" s="10" t="b">
        <f>tbl_MTG_Set[[#This Row],[Collector Singles CardMarket Profit BotBox]]&gt;0</f>
        <v>0</v>
      </c>
      <c r="CD1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6" spans="1:86" hidden="1">
      <c r="A116">
        <v>128</v>
      </c>
      <c r="B116" t="s">
        <v>289</v>
      </c>
      <c r="C116">
        <v>284</v>
      </c>
      <c r="D116" s="3">
        <v>45345</v>
      </c>
      <c r="E116" t="s">
        <v>90</v>
      </c>
      <c r="F116" t="s">
        <v>174</v>
      </c>
      <c r="G116">
        <v>202</v>
      </c>
      <c r="H116">
        <f ca="1">MONTH(NOW())+12*YEAR(NOW())-MONTH(tbl_MTG_Set[[#This Row],[Released On]])-12*YEAR(tbl_MTG_Set[[#This Row],[Released On]])</f>
        <v>25</v>
      </c>
      <c r="I116">
        <f>_xlfn.XLOOKUP(tbl_MTG_Set[[#This Row],[Type Name]], tbl_MTG_Set_Type[Set Type], tbl_MTG_Set_Type[Index], "(Set Type not found)")</f>
        <v>7</v>
      </c>
      <c r="J116">
        <f>_xlfn.XLOOKUP(tbl_MTG_Set[[#This Row],[Type Name]], tbl_MTG_Set_Type[Set Type], tbl_MTG_Set_Type[Buy Window Month Start], "(Set Type not found)")</f>
        <v>0</v>
      </c>
      <c r="K116" s="3">
        <f>tbl_MTG_Set[[#This Row],[Released On]]+tbl_MTG_Set[[#This Row],[Buy Window Month Start]]*365.25/12</f>
        <v>45345</v>
      </c>
      <c r="L116">
        <f>_xlfn.XLOOKUP(tbl_MTG_Set[[#This Row],[Type Name]], tbl_MTG_Set_Type[Set Type], tbl_MTG_Set_Type[Buy Window Month End], "(Set Type not found)", 0, 1)</f>
        <v>0</v>
      </c>
      <c r="M116" s="3">
        <f>tbl_MTG_Set[[#This Row],[Released On]]+tbl_MTG_Set[[#This Row],[Buy Window Month End]]*365.25/12</f>
        <v>45345</v>
      </c>
      <c r="N116" s="3" t="b">
        <f ca="1">AND(NOW()&gt;=tbl_MTG_Set[[#This Row],[Buy Window Start]], NOW()&lt;=tbl_MTG_Set[[#This Row],[Buy Window End]])</f>
        <v>0</v>
      </c>
      <c r="O116">
        <f>_xlfn.XLOOKUP(tbl_MTG_Set[[#This Row],[Type Name]], tbl_MTG_Set_Type[Set Type], tbl_MTG_Set_Type[Heavy Printing Window Month Start], "(Set Type not found)", 0, 1)</f>
        <v>3</v>
      </c>
      <c r="P116" s="3">
        <f>tbl_MTG_Set[[#This Row],[Released On]]+tbl_MTG_Set[[#This Row],[Heavy Printing Window Month Start]]*365.25/12</f>
        <v>45436.3125</v>
      </c>
      <c r="Q116">
        <f>_xlfn.XLOOKUP(tbl_MTG_Set[[#This Row],[Type Name]], tbl_MTG_Set_Type[Set Type], tbl_MTG_Set_Type[Heavy Printing Window Month End], "(Set Type not found)", 0, 1)</f>
        <v>6</v>
      </c>
      <c r="R116" s="3">
        <f>tbl_MTG_Set[[#This Row],[Released On]]+tbl_MTG_Set[[#This Row],[Heavy Printing Window Month End]]*365.25/12</f>
        <v>45527.625</v>
      </c>
      <c r="S116" s="3" t="b">
        <f ca="1">AND(NOW()&gt;=tbl_MTG_Set[[#This Row],[Heavy Printing Window Start]], NOW()&lt;=tbl_MTG_Set[[#This Row],[Heavy Printing Window End]])</f>
        <v>0</v>
      </c>
      <c r="T116">
        <f>_xlfn.XLOOKUP(tbl_MTG_Set[[#This Row],[Type Name]], tbl_MTG_Set_Type[Set Type], tbl_MTG_Set_Type[Sell Window Month Start], "(Set Type not found)", 0, 1)</f>
        <v>0</v>
      </c>
      <c r="U116" s="3">
        <f>tbl_MTG_Set[[#This Row],[Released On]]+tbl_MTG_Set[[#This Row],[Sell Window Month Start]]*365.25/12</f>
        <v>45345</v>
      </c>
      <c r="V116">
        <f>_xlfn.XLOOKUP(tbl_MTG_Set[[#This Row],[Type Name]], tbl_MTG_Set_Type[Set Type], tbl_MTG_Set_Type[Sell Window Month End], "(Set Type not found)", 0, 1)</f>
        <v>0</v>
      </c>
      <c r="W116" s="3">
        <f>tbl_MTG_Set[[#This Row],[Released On]]+tbl_MTG_Set[[#This Row],[Sell Window Month End]]*365.25/12</f>
        <v>45345</v>
      </c>
      <c r="X116" s="3" t="b">
        <f ca="1">AND(NOW()&gt;=tbl_MTG_Set[[#This Row],[Sell Window Start]], NOW()&lt;=tbl_MTG_Set[[#This Row],[Sell Window End]])</f>
        <v>0</v>
      </c>
      <c r="AG116" s="10"/>
      <c r="AH116" s="10"/>
      <c r="AM116" s="10" t="str" cm="1">
        <f t="array" ref="AM1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6" s="10" t="str" cm="1">
        <f t="array" ref="AN1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6" s="4" t="e">
        <f>_xlfn.XLOOKUP(tbl_MTG_Set[[#This Row],[Play Booster Box Product Id]], tbl_Product[Product Id], tbl_Product[Pack Size])</f>
        <v>#N/A</v>
      </c>
      <c r="AP116" s="10" t="e">
        <f>(tbl_MTG_Set[[#This Row],[Play Booster Box Cost]]+v_Item_Shipping_Cost_In)/tbl_MTG_Set[[#This Row],[Play Booster Box Size]]</f>
        <v>#VALUE!</v>
      </c>
      <c r="AQ116" s="10" t="str" cm="1">
        <f t="array" ref="AQ1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6" s="10"/>
      <c r="AS116" s="10"/>
      <c r="AT116" s="17" t="e">
        <f>tbl_MTG_Set[[#This Row],[Play Booster CardMarket Profit]]/tbl_MTG_Set[[#This Row],[Play Booster Cost]]</f>
        <v>#VALUE!</v>
      </c>
      <c r="AU116" s="10" t="e">
        <f>_xlfn.XLOOKUP(tbl_MTG_Set[[#This Row],[Collector Booster Box Product Id]], tbl_Product[Product Id], tbl_Product[Min Cost])</f>
        <v>#N/A</v>
      </c>
      <c r="AV116" s="10" t="e">
        <f>_xlfn.XLOOKUP(tbl_MTG_Set[[#This Row],[Collector Booster Box Product Id]], tbl_Product[Product Id], tbl_Product[Best Source])</f>
        <v>#N/A</v>
      </c>
      <c r="AW116" s="4" t="e">
        <f>_xlfn.XLOOKUP(tbl_MTG_Set[[#This Row],[Collector Booster Box Product Id]], tbl_Product[Product Id], tbl_Product[Pack Size])</f>
        <v>#N/A</v>
      </c>
      <c r="AX116" s="10" t="e">
        <f>(tbl_MTG_Set[[#This Row],[Collector Booster Box Cost]] + v_Item_Shipping_Cost_In) / tbl_MTG_Set[[#This Row],[Collector Booster Box Size]]</f>
        <v>#N/A</v>
      </c>
      <c r="AY116" s="10" t="str" cm="1">
        <f t="array" ref="AY1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6" s="10"/>
      <c r="BA1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6" s="17" t="e">
        <f>tbl_MTG_Set[[#This Row],[Collector Booster CardMarket Profit]]/tbl_MTG_Set[[#This Row],[Collector Booster Cost]]</f>
        <v>#N/A</v>
      </c>
      <c r="BC116" s="10"/>
      <c r="BF1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6" s="11" t="e">
        <f>tbl_MTG_Set[[#This Row],[Play Singles CardMarket Profit MTG Stocks]]/tbl_MTG_Set[[#This Row],[Play Booster Cost]]</f>
        <v>#VALUE!</v>
      </c>
      <c r="BI116" s="11" t="b">
        <f>tbl_MTG_Set[[#This Row],[Play Singles CardMarket Profit MTG Stocks]]&gt;0</f>
        <v>0</v>
      </c>
      <c r="BM116" s="10" t="e">
        <f>tbl_MTG_Set[[#This Row],[Play Booster Sell Price CardMarket]]*tbl_MTG_Set[[#This Row],[Play Booster Expected Market Value BotBox]]/tbl_MTG_Set[[#This Row],[Play Booster Sealed Market Value BotBox]]</f>
        <v>#VALUE!</v>
      </c>
      <c r="BN1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6" s="10" t="e">
        <f>tbl_MTG_Set[[#This Row],[Play Singles CardMarket Profit BotBox]]/tbl_MTG_Set[[#This Row],[Play Booster Cost]]</f>
        <v>#VALUE!</v>
      </c>
      <c r="BP116" s="10" t="b">
        <f>tbl_MTG_Set[[#This Row],[Play Singles CardMarket Profit BotBox]]&gt;0</f>
        <v>0</v>
      </c>
      <c r="BQ116" s="10"/>
      <c r="BR116" s="10"/>
      <c r="BS116" s="10"/>
      <c r="BT1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6" s="19" t="e">
        <f>tbl_MTG_Set[[#This Row],[Collector Singles CardMarket Profit MTG Stocks]]/tbl_MTG_Set[[#This Row],[Collector Booster Cost]]</f>
        <v>#N/A</v>
      </c>
      <c r="BW116" s="10" t="b">
        <f>tbl_MTG_Set[[#This Row],[Collector Singles CardMarket Profit MTG Stocks]]&gt;0</f>
        <v>0</v>
      </c>
      <c r="BX116" s="10"/>
      <c r="BY116" s="10"/>
      <c r="BZ1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6" s="10" t="e">
        <f>tbl_MTG_Set[[#This Row],[Collector Singles CardMarket Profit BotBox]]/tbl_MTG_Set[[#This Row],[Collector Booster Cost]]</f>
        <v>#N/A</v>
      </c>
      <c r="CC116" s="10" t="b">
        <f>tbl_MTG_Set[[#This Row],[Collector Singles CardMarket Profit BotBox]]&gt;0</f>
        <v>0</v>
      </c>
      <c r="CD1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7" spans="1:86" hidden="1">
      <c r="A117">
        <v>129</v>
      </c>
      <c r="B117" t="s">
        <v>290</v>
      </c>
      <c r="C117">
        <v>10</v>
      </c>
      <c r="D117" s="3">
        <v>45345</v>
      </c>
      <c r="E117" t="s">
        <v>90</v>
      </c>
      <c r="F117" t="s">
        <v>174</v>
      </c>
      <c r="G117">
        <v>204</v>
      </c>
      <c r="H117">
        <f ca="1">MONTH(NOW())+12*YEAR(NOW())-MONTH(tbl_MTG_Set[[#This Row],[Released On]])-12*YEAR(tbl_MTG_Set[[#This Row],[Released On]])</f>
        <v>25</v>
      </c>
      <c r="I117">
        <f>_xlfn.XLOOKUP(tbl_MTG_Set[[#This Row],[Type Name]], tbl_MTG_Set_Type[Set Type], tbl_MTG_Set_Type[Index], "(Set Type not found)")</f>
        <v>7</v>
      </c>
      <c r="J117">
        <f>_xlfn.XLOOKUP(tbl_MTG_Set[[#This Row],[Type Name]], tbl_MTG_Set_Type[Set Type], tbl_MTG_Set_Type[Buy Window Month Start], "(Set Type not found)")</f>
        <v>0</v>
      </c>
      <c r="K117" s="3">
        <f>tbl_MTG_Set[[#This Row],[Released On]]+tbl_MTG_Set[[#This Row],[Buy Window Month Start]]*365.25/12</f>
        <v>45345</v>
      </c>
      <c r="L117">
        <f>_xlfn.XLOOKUP(tbl_MTG_Set[[#This Row],[Type Name]], tbl_MTG_Set_Type[Set Type], tbl_MTG_Set_Type[Buy Window Month End], "(Set Type not found)", 0, 1)</f>
        <v>0</v>
      </c>
      <c r="M117" s="3">
        <f>tbl_MTG_Set[[#This Row],[Released On]]+tbl_MTG_Set[[#This Row],[Buy Window Month End]]*365.25/12</f>
        <v>45345</v>
      </c>
      <c r="N117" s="3" t="b">
        <f ca="1">AND(NOW()&gt;=tbl_MTG_Set[[#This Row],[Buy Window Start]], NOW()&lt;=tbl_MTG_Set[[#This Row],[Buy Window End]])</f>
        <v>0</v>
      </c>
      <c r="O117">
        <f>_xlfn.XLOOKUP(tbl_MTG_Set[[#This Row],[Type Name]], tbl_MTG_Set_Type[Set Type], tbl_MTG_Set_Type[Heavy Printing Window Month Start], "(Set Type not found)", 0, 1)</f>
        <v>3</v>
      </c>
      <c r="P117" s="3">
        <f>tbl_MTG_Set[[#This Row],[Released On]]+tbl_MTG_Set[[#This Row],[Heavy Printing Window Month Start]]*365.25/12</f>
        <v>45436.3125</v>
      </c>
      <c r="Q117">
        <f>_xlfn.XLOOKUP(tbl_MTG_Set[[#This Row],[Type Name]], tbl_MTG_Set_Type[Set Type], tbl_MTG_Set_Type[Heavy Printing Window Month End], "(Set Type not found)", 0, 1)</f>
        <v>6</v>
      </c>
      <c r="R117" s="3">
        <f>tbl_MTG_Set[[#This Row],[Released On]]+tbl_MTG_Set[[#This Row],[Heavy Printing Window Month End]]*365.25/12</f>
        <v>45527.625</v>
      </c>
      <c r="S117" s="3" t="b">
        <f ca="1">AND(NOW()&gt;=tbl_MTG_Set[[#This Row],[Heavy Printing Window Start]], NOW()&lt;=tbl_MTG_Set[[#This Row],[Heavy Printing Window End]])</f>
        <v>0</v>
      </c>
      <c r="T117">
        <f>_xlfn.XLOOKUP(tbl_MTG_Set[[#This Row],[Type Name]], tbl_MTG_Set_Type[Set Type], tbl_MTG_Set_Type[Sell Window Month Start], "(Set Type not found)", 0, 1)</f>
        <v>0</v>
      </c>
      <c r="U117" s="3">
        <f>tbl_MTG_Set[[#This Row],[Released On]]+tbl_MTG_Set[[#This Row],[Sell Window Month Start]]*365.25/12</f>
        <v>45345</v>
      </c>
      <c r="V117">
        <f>_xlfn.XLOOKUP(tbl_MTG_Set[[#This Row],[Type Name]], tbl_MTG_Set_Type[Set Type], tbl_MTG_Set_Type[Sell Window Month End], "(Set Type not found)", 0, 1)</f>
        <v>0</v>
      </c>
      <c r="W117" s="3">
        <f>tbl_MTG_Set[[#This Row],[Released On]]+tbl_MTG_Set[[#This Row],[Sell Window Month End]]*365.25/12</f>
        <v>45345</v>
      </c>
      <c r="X117" s="3" t="b">
        <f ca="1">AND(NOW()&gt;=tbl_MTG_Set[[#This Row],[Sell Window Start]], NOW()&lt;=tbl_MTG_Set[[#This Row],[Sell Window End]])</f>
        <v>0</v>
      </c>
      <c r="AG117" s="10"/>
      <c r="AH117" s="10"/>
      <c r="AM117" s="10" t="str" cm="1">
        <f t="array" ref="AM1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7" s="10" t="str" cm="1">
        <f t="array" ref="AN1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7" s="4" t="e">
        <f>_xlfn.XLOOKUP(tbl_MTG_Set[[#This Row],[Play Booster Box Product Id]], tbl_Product[Product Id], tbl_Product[Pack Size])</f>
        <v>#N/A</v>
      </c>
      <c r="AP117" s="10" t="e">
        <f>(tbl_MTG_Set[[#This Row],[Play Booster Box Cost]]+v_Item_Shipping_Cost_In)/tbl_MTG_Set[[#This Row],[Play Booster Box Size]]</f>
        <v>#VALUE!</v>
      </c>
      <c r="AQ117" s="10" t="str" cm="1">
        <f t="array" ref="AQ1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7" s="10"/>
      <c r="AS117" s="10"/>
      <c r="AT117" s="17" t="e">
        <f>tbl_MTG_Set[[#This Row],[Play Booster CardMarket Profit]]/tbl_MTG_Set[[#This Row],[Play Booster Cost]]</f>
        <v>#VALUE!</v>
      </c>
      <c r="AU117" s="10" t="e">
        <f>_xlfn.XLOOKUP(tbl_MTG_Set[[#This Row],[Collector Booster Box Product Id]], tbl_Product[Product Id], tbl_Product[Min Cost])</f>
        <v>#N/A</v>
      </c>
      <c r="AV117" s="10" t="e">
        <f>_xlfn.XLOOKUP(tbl_MTG_Set[[#This Row],[Collector Booster Box Product Id]], tbl_Product[Product Id], tbl_Product[Best Source])</f>
        <v>#N/A</v>
      </c>
      <c r="AW117" s="4" t="e">
        <f>_xlfn.XLOOKUP(tbl_MTG_Set[[#This Row],[Collector Booster Box Product Id]], tbl_Product[Product Id], tbl_Product[Pack Size])</f>
        <v>#N/A</v>
      </c>
      <c r="AX117" s="10" t="e">
        <f>(tbl_MTG_Set[[#This Row],[Collector Booster Box Cost]] + v_Item_Shipping_Cost_In) / tbl_MTG_Set[[#This Row],[Collector Booster Box Size]]</f>
        <v>#N/A</v>
      </c>
      <c r="AY117" s="10" t="str" cm="1">
        <f t="array" ref="AY1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7" s="10"/>
      <c r="BA1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7" s="17" t="e">
        <f>tbl_MTG_Set[[#This Row],[Collector Booster CardMarket Profit]]/tbl_MTG_Set[[#This Row],[Collector Booster Cost]]</f>
        <v>#N/A</v>
      </c>
      <c r="BC117" s="10"/>
      <c r="BF1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7" s="11" t="e">
        <f>tbl_MTG_Set[[#This Row],[Play Singles CardMarket Profit MTG Stocks]]/tbl_MTG_Set[[#This Row],[Play Booster Cost]]</f>
        <v>#VALUE!</v>
      </c>
      <c r="BI117" s="11" t="b">
        <f>tbl_MTG_Set[[#This Row],[Play Singles CardMarket Profit MTG Stocks]]&gt;0</f>
        <v>0</v>
      </c>
      <c r="BM117" s="10" t="e">
        <f>tbl_MTG_Set[[#This Row],[Play Booster Sell Price CardMarket]]*tbl_MTG_Set[[#This Row],[Play Booster Expected Market Value BotBox]]/tbl_MTG_Set[[#This Row],[Play Booster Sealed Market Value BotBox]]</f>
        <v>#VALUE!</v>
      </c>
      <c r="BN1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7" s="10" t="e">
        <f>tbl_MTG_Set[[#This Row],[Play Singles CardMarket Profit BotBox]]/tbl_MTG_Set[[#This Row],[Play Booster Cost]]</f>
        <v>#VALUE!</v>
      </c>
      <c r="BP117" s="10" t="b">
        <f>tbl_MTG_Set[[#This Row],[Play Singles CardMarket Profit BotBox]]&gt;0</f>
        <v>0</v>
      </c>
      <c r="BQ117" s="10"/>
      <c r="BR117" s="10"/>
      <c r="BS117" s="10"/>
      <c r="BT1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7" s="19" t="e">
        <f>tbl_MTG_Set[[#This Row],[Collector Singles CardMarket Profit MTG Stocks]]/tbl_MTG_Set[[#This Row],[Collector Booster Cost]]</f>
        <v>#N/A</v>
      </c>
      <c r="BW117" s="10" t="b">
        <f>tbl_MTG_Set[[#This Row],[Collector Singles CardMarket Profit MTG Stocks]]&gt;0</f>
        <v>0</v>
      </c>
      <c r="BX117" s="10"/>
      <c r="BY117" s="10"/>
      <c r="BZ1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7" s="10" t="e">
        <f>tbl_MTG_Set[[#This Row],[Collector Singles CardMarket Profit BotBox]]/tbl_MTG_Set[[#This Row],[Collector Booster Cost]]</f>
        <v>#N/A</v>
      </c>
      <c r="CC117" s="10" t="b">
        <f>tbl_MTG_Set[[#This Row],[Collector Singles CardMarket Profit BotBox]]&gt;0</f>
        <v>0</v>
      </c>
      <c r="CD1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8" spans="1:86" hidden="1">
      <c r="A118">
        <v>130</v>
      </c>
      <c r="B118" t="s">
        <v>291</v>
      </c>
      <c r="C118">
        <v>5</v>
      </c>
      <c r="D118" s="3">
        <v>45332</v>
      </c>
      <c r="E118" t="s">
        <v>59</v>
      </c>
      <c r="F118" t="s">
        <v>174</v>
      </c>
      <c r="G118">
        <v>206</v>
      </c>
      <c r="H118">
        <f ca="1">MONTH(NOW())+12*YEAR(NOW())-MONTH(tbl_MTG_Set[[#This Row],[Released On]])-12*YEAR(tbl_MTG_Set[[#This Row],[Released On]])</f>
        <v>25</v>
      </c>
      <c r="I118">
        <f>_xlfn.XLOOKUP(tbl_MTG_Set[[#This Row],[Type Name]], tbl_MTG_Set_Type[Set Type], tbl_MTG_Set_Type[Index], "(Set Type not found)")</f>
        <v>1</v>
      </c>
      <c r="J118">
        <f>_xlfn.XLOOKUP(tbl_MTG_Set[[#This Row],[Type Name]], tbl_MTG_Set_Type[Set Type], tbl_MTG_Set_Type[Buy Window Month Start], "(Set Type not found)")</f>
        <v>18</v>
      </c>
      <c r="K118" s="3">
        <f>tbl_MTG_Set[[#This Row],[Released On]]+tbl_MTG_Set[[#This Row],[Buy Window Month Start]]*365.25/12</f>
        <v>45879.875</v>
      </c>
      <c r="L118">
        <f>_xlfn.XLOOKUP(tbl_MTG_Set[[#This Row],[Type Name]], tbl_MTG_Set_Type[Set Type], tbl_MTG_Set_Type[Buy Window Month End], "(Set Type not found)", 0, 1)</f>
        <v>24</v>
      </c>
      <c r="M118" s="3">
        <f>tbl_MTG_Set[[#This Row],[Released On]]+tbl_MTG_Set[[#This Row],[Buy Window Month End]]*365.25/12</f>
        <v>46062.5</v>
      </c>
      <c r="N118" s="3" t="b">
        <f ca="1">AND(NOW()&gt;=tbl_MTG_Set[[#This Row],[Buy Window Start]], NOW()&lt;=tbl_MTG_Set[[#This Row],[Buy Window End]])</f>
        <v>0</v>
      </c>
      <c r="O118">
        <f>_xlfn.XLOOKUP(tbl_MTG_Set[[#This Row],[Type Name]], tbl_MTG_Set_Type[Set Type], tbl_MTG_Set_Type[Heavy Printing Window Month Start], "(Set Type not found)", 0, 1)</f>
        <v>1</v>
      </c>
      <c r="P118" s="3">
        <f>tbl_MTG_Set[[#This Row],[Released On]]+tbl_MTG_Set[[#This Row],[Heavy Printing Window Month Start]]*365.25/12</f>
        <v>45362.4375</v>
      </c>
      <c r="Q118">
        <f>_xlfn.XLOOKUP(tbl_MTG_Set[[#This Row],[Type Name]], tbl_MTG_Set_Type[Set Type], tbl_MTG_Set_Type[Heavy Printing Window Month End], "(Set Type not found)", 0, 1)</f>
        <v>18</v>
      </c>
      <c r="R118" s="3">
        <f>tbl_MTG_Set[[#This Row],[Released On]]+tbl_MTG_Set[[#This Row],[Heavy Printing Window Month End]]*365.25/12</f>
        <v>45879.875</v>
      </c>
      <c r="S118" s="3" t="b">
        <f ca="1">AND(NOW()&gt;=tbl_MTG_Set[[#This Row],[Heavy Printing Window Start]], NOW()&lt;=tbl_MTG_Set[[#This Row],[Heavy Printing Window End]])</f>
        <v>0</v>
      </c>
      <c r="T118">
        <f>_xlfn.XLOOKUP(tbl_MTG_Set[[#This Row],[Type Name]], tbl_MTG_Set_Type[Set Type], tbl_MTG_Set_Type[Sell Window Month Start], "(Set Type not found)", 0, 1)</f>
        <v>36</v>
      </c>
      <c r="U118" s="3">
        <f>tbl_MTG_Set[[#This Row],[Released On]]+tbl_MTG_Set[[#This Row],[Sell Window Month Start]]*365.25/12</f>
        <v>46427.75</v>
      </c>
      <c r="V118">
        <f>_xlfn.XLOOKUP(tbl_MTG_Set[[#This Row],[Type Name]], tbl_MTG_Set_Type[Set Type], tbl_MTG_Set_Type[Sell Window Month End], "(Set Type not found)", 0, 1)</f>
        <v>48</v>
      </c>
      <c r="W118" s="3">
        <f>tbl_MTG_Set[[#This Row],[Released On]]+tbl_MTG_Set[[#This Row],[Sell Window Month End]]*365.25/12</f>
        <v>46793</v>
      </c>
      <c r="X118" s="3" t="b">
        <f ca="1">AND(NOW()&gt;=tbl_MTG_Set[[#This Row],[Sell Window Start]], NOW()&lt;=tbl_MTG_Set[[#This Row],[Sell Window End]])</f>
        <v>0</v>
      </c>
      <c r="AG118" s="10"/>
      <c r="AH118" s="10"/>
      <c r="AM118" s="10" t="str" cm="1">
        <f t="array" ref="AM1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8" s="10" t="str" cm="1">
        <f t="array" ref="AN1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8" s="4" t="e">
        <f>_xlfn.XLOOKUP(tbl_MTG_Set[[#This Row],[Play Booster Box Product Id]], tbl_Product[Product Id], tbl_Product[Pack Size])</f>
        <v>#N/A</v>
      </c>
      <c r="AP118" s="10" t="e">
        <f>(tbl_MTG_Set[[#This Row],[Play Booster Box Cost]]+v_Item_Shipping_Cost_In)/tbl_MTG_Set[[#This Row],[Play Booster Box Size]]</f>
        <v>#VALUE!</v>
      </c>
      <c r="AQ118" s="10" t="str" cm="1">
        <f t="array" ref="AQ1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8" s="10"/>
      <c r="AS118" s="10"/>
      <c r="AT118" s="17" t="e">
        <f>tbl_MTG_Set[[#This Row],[Play Booster CardMarket Profit]]/tbl_MTG_Set[[#This Row],[Play Booster Cost]]</f>
        <v>#VALUE!</v>
      </c>
      <c r="AU118" s="10" t="e">
        <f>_xlfn.XLOOKUP(tbl_MTG_Set[[#This Row],[Collector Booster Box Product Id]], tbl_Product[Product Id], tbl_Product[Min Cost])</f>
        <v>#N/A</v>
      </c>
      <c r="AV118" s="10" t="e">
        <f>_xlfn.XLOOKUP(tbl_MTG_Set[[#This Row],[Collector Booster Box Product Id]], tbl_Product[Product Id], tbl_Product[Best Source])</f>
        <v>#N/A</v>
      </c>
      <c r="AW118" s="4" t="e">
        <f>_xlfn.XLOOKUP(tbl_MTG_Set[[#This Row],[Collector Booster Box Product Id]], tbl_Product[Product Id], tbl_Product[Pack Size])</f>
        <v>#N/A</v>
      </c>
      <c r="AX118" s="10" t="e">
        <f>(tbl_MTG_Set[[#This Row],[Collector Booster Box Cost]] + v_Item_Shipping_Cost_In) / tbl_MTG_Set[[#This Row],[Collector Booster Box Size]]</f>
        <v>#N/A</v>
      </c>
      <c r="AY118" s="10" t="str" cm="1">
        <f t="array" ref="AY1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8" s="10"/>
      <c r="BA1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8" s="17" t="e">
        <f>tbl_MTG_Set[[#This Row],[Collector Booster CardMarket Profit]]/tbl_MTG_Set[[#This Row],[Collector Booster Cost]]</f>
        <v>#N/A</v>
      </c>
      <c r="BC118" s="10"/>
      <c r="BF1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8" s="11" t="e">
        <f>tbl_MTG_Set[[#This Row],[Play Singles CardMarket Profit MTG Stocks]]/tbl_MTG_Set[[#This Row],[Play Booster Cost]]</f>
        <v>#VALUE!</v>
      </c>
      <c r="BI118" s="11" t="b">
        <f>tbl_MTG_Set[[#This Row],[Play Singles CardMarket Profit MTG Stocks]]&gt;0</f>
        <v>0</v>
      </c>
      <c r="BM118" s="10" t="e">
        <f>tbl_MTG_Set[[#This Row],[Play Booster Sell Price CardMarket]]*tbl_MTG_Set[[#This Row],[Play Booster Expected Market Value BotBox]]/tbl_MTG_Set[[#This Row],[Play Booster Sealed Market Value BotBox]]</f>
        <v>#VALUE!</v>
      </c>
      <c r="BN1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8" s="10" t="e">
        <f>tbl_MTG_Set[[#This Row],[Play Singles CardMarket Profit BotBox]]/tbl_MTG_Set[[#This Row],[Play Booster Cost]]</f>
        <v>#VALUE!</v>
      </c>
      <c r="BP118" s="10" t="b">
        <f>tbl_MTG_Set[[#This Row],[Play Singles CardMarket Profit BotBox]]&gt;0</f>
        <v>0</v>
      </c>
      <c r="BQ118" s="10"/>
      <c r="BR118" s="10"/>
      <c r="BS118" s="10"/>
      <c r="BT1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8" s="19" t="e">
        <f>tbl_MTG_Set[[#This Row],[Collector Singles CardMarket Profit MTG Stocks]]/tbl_MTG_Set[[#This Row],[Collector Booster Cost]]</f>
        <v>#N/A</v>
      </c>
      <c r="BW118" s="10" t="b">
        <f>tbl_MTG_Set[[#This Row],[Collector Singles CardMarket Profit MTG Stocks]]&gt;0</f>
        <v>0</v>
      </c>
      <c r="BX118" s="10"/>
      <c r="BY118" s="10"/>
      <c r="BZ1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8" s="10" t="e">
        <f>tbl_MTG_Set[[#This Row],[Collector Singles CardMarket Profit BotBox]]/tbl_MTG_Set[[#This Row],[Collector Booster Cost]]</f>
        <v>#N/A</v>
      </c>
      <c r="CC118" s="10" t="b">
        <f>tbl_MTG_Set[[#This Row],[Collector Singles CardMarket Profit BotBox]]&gt;0</f>
        <v>0</v>
      </c>
      <c r="CD1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19" spans="1:86" hidden="1">
      <c r="A119">
        <v>131</v>
      </c>
      <c r="B119" t="s">
        <v>292</v>
      </c>
      <c r="C119">
        <v>49</v>
      </c>
      <c r="D119" s="3">
        <v>45331</v>
      </c>
      <c r="E119" t="s">
        <v>59</v>
      </c>
      <c r="F119" t="s">
        <v>174</v>
      </c>
      <c r="G119">
        <v>208</v>
      </c>
      <c r="H119">
        <f ca="1">MONTH(NOW())+12*YEAR(NOW())-MONTH(tbl_MTG_Set[[#This Row],[Released On]])-12*YEAR(tbl_MTG_Set[[#This Row],[Released On]])</f>
        <v>25</v>
      </c>
      <c r="I119">
        <f>_xlfn.XLOOKUP(tbl_MTG_Set[[#This Row],[Type Name]], tbl_MTG_Set_Type[Set Type], tbl_MTG_Set_Type[Index], "(Set Type not found)")</f>
        <v>1</v>
      </c>
      <c r="J119">
        <f>_xlfn.XLOOKUP(tbl_MTG_Set[[#This Row],[Type Name]], tbl_MTG_Set_Type[Set Type], tbl_MTG_Set_Type[Buy Window Month Start], "(Set Type not found)")</f>
        <v>18</v>
      </c>
      <c r="K119" s="3">
        <f>tbl_MTG_Set[[#This Row],[Released On]]+tbl_MTG_Set[[#This Row],[Buy Window Month Start]]*365.25/12</f>
        <v>45878.875</v>
      </c>
      <c r="L119">
        <f>_xlfn.XLOOKUP(tbl_MTG_Set[[#This Row],[Type Name]], tbl_MTG_Set_Type[Set Type], tbl_MTG_Set_Type[Buy Window Month End], "(Set Type not found)", 0, 1)</f>
        <v>24</v>
      </c>
      <c r="M119" s="3">
        <f>tbl_MTG_Set[[#This Row],[Released On]]+tbl_MTG_Set[[#This Row],[Buy Window Month End]]*365.25/12</f>
        <v>46061.5</v>
      </c>
      <c r="N119" s="3" t="b">
        <f ca="1">AND(NOW()&gt;=tbl_MTG_Set[[#This Row],[Buy Window Start]], NOW()&lt;=tbl_MTG_Set[[#This Row],[Buy Window End]])</f>
        <v>0</v>
      </c>
      <c r="O119">
        <f>_xlfn.XLOOKUP(tbl_MTG_Set[[#This Row],[Type Name]], tbl_MTG_Set_Type[Set Type], tbl_MTG_Set_Type[Heavy Printing Window Month Start], "(Set Type not found)", 0, 1)</f>
        <v>1</v>
      </c>
      <c r="P119" s="3">
        <f>tbl_MTG_Set[[#This Row],[Released On]]+tbl_MTG_Set[[#This Row],[Heavy Printing Window Month Start]]*365.25/12</f>
        <v>45361.4375</v>
      </c>
      <c r="Q119">
        <f>_xlfn.XLOOKUP(tbl_MTG_Set[[#This Row],[Type Name]], tbl_MTG_Set_Type[Set Type], tbl_MTG_Set_Type[Heavy Printing Window Month End], "(Set Type not found)", 0, 1)</f>
        <v>18</v>
      </c>
      <c r="R119" s="3">
        <f>tbl_MTG_Set[[#This Row],[Released On]]+tbl_MTG_Set[[#This Row],[Heavy Printing Window Month End]]*365.25/12</f>
        <v>45878.875</v>
      </c>
      <c r="S119" s="3" t="b">
        <f ca="1">AND(NOW()&gt;=tbl_MTG_Set[[#This Row],[Heavy Printing Window Start]], NOW()&lt;=tbl_MTG_Set[[#This Row],[Heavy Printing Window End]])</f>
        <v>0</v>
      </c>
      <c r="T119">
        <f>_xlfn.XLOOKUP(tbl_MTG_Set[[#This Row],[Type Name]], tbl_MTG_Set_Type[Set Type], tbl_MTG_Set_Type[Sell Window Month Start], "(Set Type not found)", 0, 1)</f>
        <v>36</v>
      </c>
      <c r="U119" s="3">
        <f>tbl_MTG_Set[[#This Row],[Released On]]+tbl_MTG_Set[[#This Row],[Sell Window Month Start]]*365.25/12</f>
        <v>46426.75</v>
      </c>
      <c r="V119">
        <f>_xlfn.XLOOKUP(tbl_MTG_Set[[#This Row],[Type Name]], tbl_MTG_Set_Type[Set Type], tbl_MTG_Set_Type[Sell Window Month End], "(Set Type not found)", 0, 1)</f>
        <v>48</v>
      </c>
      <c r="W119" s="3">
        <f>tbl_MTG_Set[[#This Row],[Released On]]+tbl_MTG_Set[[#This Row],[Sell Window Month End]]*365.25/12</f>
        <v>46792</v>
      </c>
      <c r="X119" s="3" t="b">
        <f ca="1">AND(NOW()&gt;=tbl_MTG_Set[[#This Row],[Sell Window Start]], NOW()&lt;=tbl_MTG_Set[[#This Row],[Sell Window End]])</f>
        <v>0</v>
      </c>
      <c r="AG119" s="10"/>
      <c r="AH119" s="10"/>
      <c r="AM119" s="10" t="str" cm="1">
        <f t="array" ref="AM1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19" s="10" t="str" cm="1">
        <f t="array" ref="AN1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19" s="4" t="e">
        <f>_xlfn.XLOOKUP(tbl_MTG_Set[[#This Row],[Play Booster Box Product Id]], tbl_Product[Product Id], tbl_Product[Pack Size])</f>
        <v>#N/A</v>
      </c>
      <c r="AP119" s="10" t="e">
        <f>(tbl_MTG_Set[[#This Row],[Play Booster Box Cost]]+v_Item_Shipping_Cost_In)/tbl_MTG_Set[[#This Row],[Play Booster Box Size]]</f>
        <v>#VALUE!</v>
      </c>
      <c r="AQ119" s="10" t="str" cm="1">
        <f t="array" ref="AQ1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19" s="10"/>
      <c r="AS119" s="10"/>
      <c r="AT119" s="17" t="e">
        <f>tbl_MTG_Set[[#This Row],[Play Booster CardMarket Profit]]/tbl_MTG_Set[[#This Row],[Play Booster Cost]]</f>
        <v>#VALUE!</v>
      </c>
      <c r="AU119" s="10" t="e">
        <f>_xlfn.XLOOKUP(tbl_MTG_Set[[#This Row],[Collector Booster Box Product Id]], tbl_Product[Product Id], tbl_Product[Min Cost])</f>
        <v>#N/A</v>
      </c>
      <c r="AV119" s="10" t="e">
        <f>_xlfn.XLOOKUP(tbl_MTG_Set[[#This Row],[Collector Booster Box Product Id]], tbl_Product[Product Id], tbl_Product[Best Source])</f>
        <v>#N/A</v>
      </c>
      <c r="AW119" s="4" t="e">
        <f>_xlfn.XLOOKUP(tbl_MTG_Set[[#This Row],[Collector Booster Box Product Id]], tbl_Product[Product Id], tbl_Product[Pack Size])</f>
        <v>#N/A</v>
      </c>
      <c r="AX119" s="10" t="e">
        <f>(tbl_MTG_Set[[#This Row],[Collector Booster Box Cost]] + v_Item_Shipping_Cost_In) / tbl_MTG_Set[[#This Row],[Collector Booster Box Size]]</f>
        <v>#N/A</v>
      </c>
      <c r="AY119" s="10" t="str" cm="1">
        <f t="array" ref="AY1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19" s="10"/>
      <c r="BA1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19" s="17" t="e">
        <f>tbl_MTG_Set[[#This Row],[Collector Booster CardMarket Profit]]/tbl_MTG_Set[[#This Row],[Collector Booster Cost]]</f>
        <v>#N/A</v>
      </c>
      <c r="BC119" s="10"/>
      <c r="BF1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19" s="11" t="e">
        <f>tbl_MTG_Set[[#This Row],[Play Singles CardMarket Profit MTG Stocks]]/tbl_MTG_Set[[#This Row],[Play Booster Cost]]</f>
        <v>#VALUE!</v>
      </c>
      <c r="BI119" s="11" t="b">
        <f>tbl_MTG_Set[[#This Row],[Play Singles CardMarket Profit MTG Stocks]]&gt;0</f>
        <v>0</v>
      </c>
      <c r="BM119" s="10" t="e">
        <f>tbl_MTG_Set[[#This Row],[Play Booster Sell Price CardMarket]]*tbl_MTG_Set[[#This Row],[Play Booster Expected Market Value BotBox]]/tbl_MTG_Set[[#This Row],[Play Booster Sealed Market Value BotBox]]</f>
        <v>#VALUE!</v>
      </c>
      <c r="BN1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19" s="10" t="e">
        <f>tbl_MTG_Set[[#This Row],[Play Singles CardMarket Profit BotBox]]/tbl_MTG_Set[[#This Row],[Play Booster Cost]]</f>
        <v>#VALUE!</v>
      </c>
      <c r="BP119" s="10" t="b">
        <f>tbl_MTG_Set[[#This Row],[Play Singles CardMarket Profit BotBox]]&gt;0</f>
        <v>0</v>
      </c>
      <c r="BQ119" s="10"/>
      <c r="BR119" s="10"/>
      <c r="BS119" s="10"/>
      <c r="BT1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19" s="19" t="e">
        <f>tbl_MTG_Set[[#This Row],[Collector Singles CardMarket Profit MTG Stocks]]/tbl_MTG_Set[[#This Row],[Collector Booster Cost]]</f>
        <v>#N/A</v>
      </c>
      <c r="BW119" s="10" t="b">
        <f>tbl_MTG_Set[[#This Row],[Collector Singles CardMarket Profit MTG Stocks]]&gt;0</f>
        <v>0</v>
      </c>
      <c r="BX119" s="10"/>
      <c r="BY119" s="10"/>
      <c r="BZ1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19" s="10" t="e">
        <f>tbl_MTG_Set[[#This Row],[Collector Singles CardMarket Profit BotBox]]/tbl_MTG_Set[[#This Row],[Collector Booster Cost]]</f>
        <v>#N/A</v>
      </c>
      <c r="CC119" s="10" t="b">
        <f>tbl_MTG_Set[[#This Row],[Collector Singles CardMarket Profit BotBox]]&gt;0</f>
        <v>0</v>
      </c>
      <c r="CD1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0" spans="1:86" hidden="1">
      <c r="A120">
        <v>132</v>
      </c>
      <c r="B120" t="s">
        <v>293</v>
      </c>
      <c r="C120">
        <v>4</v>
      </c>
      <c r="D120" s="3">
        <v>45331</v>
      </c>
      <c r="E120" t="s">
        <v>59</v>
      </c>
      <c r="F120" t="s">
        <v>174</v>
      </c>
      <c r="G120">
        <v>210</v>
      </c>
      <c r="H120">
        <f ca="1">MONTH(NOW())+12*YEAR(NOW())-MONTH(tbl_MTG_Set[[#This Row],[Released On]])-12*YEAR(tbl_MTG_Set[[#This Row],[Released On]])</f>
        <v>25</v>
      </c>
      <c r="I120">
        <f>_xlfn.XLOOKUP(tbl_MTG_Set[[#This Row],[Type Name]], tbl_MTG_Set_Type[Set Type], tbl_MTG_Set_Type[Index], "(Set Type not found)")</f>
        <v>1</v>
      </c>
      <c r="J120">
        <f>_xlfn.XLOOKUP(tbl_MTG_Set[[#This Row],[Type Name]], tbl_MTG_Set_Type[Set Type], tbl_MTG_Set_Type[Buy Window Month Start], "(Set Type not found)")</f>
        <v>18</v>
      </c>
      <c r="K120" s="3">
        <f>tbl_MTG_Set[[#This Row],[Released On]]+tbl_MTG_Set[[#This Row],[Buy Window Month Start]]*365.25/12</f>
        <v>45878.875</v>
      </c>
      <c r="L120">
        <f>_xlfn.XLOOKUP(tbl_MTG_Set[[#This Row],[Type Name]], tbl_MTG_Set_Type[Set Type], tbl_MTG_Set_Type[Buy Window Month End], "(Set Type not found)", 0, 1)</f>
        <v>24</v>
      </c>
      <c r="M120" s="3">
        <f>tbl_MTG_Set[[#This Row],[Released On]]+tbl_MTG_Set[[#This Row],[Buy Window Month End]]*365.25/12</f>
        <v>46061.5</v>
      </c>
      <c r="N120" s="3" t="b">
        <f ca="1">AND(NOW()&gt;=tbl_MTG_Set[[#This Row],[Buy Window Start]], NOW()&lt;=tbl_MTG_Set[[#This Row],[Buy Window End]])</f>
        <v>0</v>
      </c>
      <c r="O120">
        <f>_xlfn.XLOOKUP(tbl_MTG_Set[[#This Row],[Type Name]], tbl_MTG_Set_Type[Set Type], tbl_MTG_Set_Type[Heavy Printing Window Month Start], "(Set Type not found)", 0, 1)</f>
        <v>1</v>
      </c>
      <c r="P120" s="3">
        <f>tbl_MTG_Set[[#This Row],[Released On]]+tbl_MTG_Set[[#This Row],[Heavy Printing Window Month Start]]*365.25/12</f>
        <v>45361.4375</v>
      </c>
      <c r="Q120">
        <f>_xlfn.XLOOKUP(tbl_MTG_Set[[#This Row],[Type Name]], tbl_MTG_Set_Type[Set Type], tbl_MTG_Set_Type[Heavy Printing Window Month End], "(Set Type not found)", 0, 1)</f>
        <v>18</v>
      </c>
      <c r="R120" s="3">
        <f>tbl_MTG_Set[[#This Row],[Released On]]+tbl_MTG_Set[[#This Row],[Heavy Printing Window Month End]]*365.25/12</f>
        <v>45878.875</v>
      </c>
      <c r="S120" s="3" t="b">
        <f ca="1">AND(NOW()&gt;=tbl_MTG_Set[[#This Row],[Heavy Printing Window Start]], NOW()&lt;=tbl_MTG_Set[[#This Row],[Heavy Printing Window End]])</f>
        <v>0</v>
      </c>
      <c r="T120">
        <f>_xlfn.XLOOKUP(tbl_MTG_Set[[#This Row],[Type Name]], tbl_MTG_Set_Type[Set Type], tbl_MTG_Set_Type[Sell Window Month Start], "(Set Type not found)", 0, 1)</f>
        <v>36</v>
      </c>
      <c r="U120" s="3">
        <f>tbl_MTG_Set[[#This Row],[Released On]]+tbl_MTG_Set[[#This Row],[Sell Window Month Start]]*365.25/12</f>
        <v>46426.75</v>
      </c>
      <c r="V120">
        <f>_xlfn.XLOOKUP(tbl_MTG_Set[[#This Row],[Type Name]], tbl_MTG_Set_Type[Set Type], tbl_MTG_Set_Type[Sell Window Month End], "(Set Type not found)", 0, 1)</f>
        <v>48</v>
      </c>
      <c r="W120" s="3">
        <f>tbl_MTG_Set[[#This Row],[Released On]]+tbl_MTG_Set[[#This Row],[Sell Window Month End]]*365.25/12</f>
        <v>46792</v>
      </c>
      <c r="X120" s="3" t="b">
        <f ca="1">AND(NOW()&gt;=tbl_MTG_Set[[#This Row],[Sell Window Start]], NOW()&lt;=tbl_MTG_Set[[#This Row],[Sell Window End]])</f>
        <v>0</v>
      </c>
      <c r="AG120" s="10"/>
      <c r="AH120" s="10"/>
      <c r="AM120" s="10" t="str" cm="1">
        <f t="array" ref="AM1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0" s="10" t="str" cm="1">
        <f t="array" ref="AN1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0" s="4" t="e">
        <f>_xlfn.XLOOKUP(tbl_MTG_Set[[#This Row],[Play Booster Box Product Id]], tbl_Product[Product Id], tbl_Product[Pack Size])</f>
        <v>#N/A</v>
      </c>
      <c r="AP120" s="10" t="e">
        <f>(tbl_MTG_Set[[#This Row],[Play Booster Box Cost]]+v_Item_Shipping_Cost_In)/tbl_MTG_Set[[#This Row],[Play Booster Box Size]]</f>
        <v>#VALUE!</v>
      </c>
      <c r="AQ120" s="10" t="str" cm="1">
        <f t="array" ref="AQ1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0" s="10"/>
      <c r="AS120" s="10"/>
      <c r="AT120" s="17" t="e">
        <f>tbl_MTG_Set[[#This Row],[Play Booster CardMarket Profit]]/tbl_MTG_Set[[#This Row],[Play Booster Cost]]</f>
        <v>#VALUE!</v>
      </c>
      <c r="AU120" s="10" t="e">
        <f>_xlfn.XLOOKUP(tbl_MTG_Set[[#This Row],[Collector Booster Box Product Id]], tbl_Product[Product Id], tbl_Product[Min Cost])</f>
        <v>#N/A</v>
      </c>
      <c r="AV120" s="10" t="e">
        <f>_xlfn.XLOOKUP(tbl_MTG_Set[[#This Row],[Collector Booster Box Product Id]], tbl_Product[Product Id], tbl_Product[Best Source])</f>
        <v>#N/A</v>
      </c>
      <c r="AW120" s="4" t="e">
        <f>_xlfn.XLOOKUP(tbl_MTG_Set[[#This Row],[Collector Booster Box Product Id]], tbl_Product[Product Id], tbl_Product[Pack Size])</f>
        <v>#N/A</v>
      </c>
      <c r="AX120" s="10" t="e">
        <f>(tbl_MTG_Set[[#This Row],[Collector Booster Box Cost]] + v_Item_Shipping_Cost_In) / tbl_MTG_Set[[#This Row],[Collector Booster Box Size]]</f>
        <v>#N/A</v>
      </c>
      <c r="AY120" s="10" t="str" cm="1">
        <f t="array" ref="AY1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0" s="10"/>
      <c r="BA1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0" s="17" t="e">
        <f>tbl_MTG_Set[[#This Row],[Collector Booster CardMarket Profit]]/tbl_MTG_Set[[#This Row],[Collector Booster Cost]]</f>
        <v>#N/A</v>
      </c>
      <c r="BC120" s="10"/>
      <c r="BF1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0" s="11" t="e">
        <f>tbl_MTG_Set[[#This Row],[Play Singles CardMarket Profit MTG Stocks]]/tbl_MTG_Set[[#This Row],[Play Booster Cost]]</f>
        <v>#VALUE!</v>
      </c>
      <c r="BI120" s="11" t="b">
        <f>tbl_MTG_Set[[#This Row],[Play Singles CardMarket Profit MTG Stocks]]&gt;0</f>
        <v>0</v>
      </c>
      <c r="BM120" s="10" t="e">
        <f>tbl_MTG_Set[[#This Row],[Play Booster Sell Price CardMarket]]*tbl_MTG_Set[[#This Row],[Play Booster Expected Market Value BotBox]]/tbl_MTG_Set[[#This Row],[Play Booster Sealed Market Value BotBox]]</f>
        <v>#VALUE!</v>
      </c>
      <c r="BN1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0" s="10" t="e">
        <f>tbl_MTG_Set[[#This Row],[Play Singles CardMarket Profit BotBox]]/tbl_MTG_Set[[#This Row],[Play Booster Cost]]</f>
        <v>#VALUE!</v>
      </c>
      <c r="BP120" s="10" t="b">
        <f>tbl_MTG_Set[[#This Row],[Play Singles CardMarket Profit BotBox]]&gt;0</f>
        <v>0</v>
      </c>
      <c r="BQ120" s="10"/>
      <c r="BR120" s="10"/>
      <c r="BS120" s="10"/>
      <c r="BT1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0" s="19" t="e">
        <f>tbl_MTG_Set[[#This Row],[Collector Singles CardMarket Profit MTG Stocks]]/tbl_MTG_Set[[#This Row],[Collector Booster Cost]]</f>
        <v>#N/A</v>
      </c>
      <c r="BW120" s="10" t="b">
        <f>tbl_MTG_Set[[#This Row],[Collector Singles CardMarket Profit MTG Stocks]]&gt;0</f>
        <v>0</v>
      </c>
      <c r="BX120" s="10"/>
      <c r="BY120" s="10"/>
      <c r="BZ1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0" s="10" t="e">
        <f>tbl_MTG_Set[[#This Row],[Collector Singles CardMarket Profit BotBox]]/tbl_MTG_Set[[#This Row],[Collector Booster Cost]]</f>
        <v>#N/A</v>
      </c>
      <c r="CC120" s="10" t="b">
        <f>tbl_MTG_Set[[#This Row],[Collector Singles CardMarket Profit BotBox]]&gt;0</f>
        <v>0</v>
      </c>
      <c r="CD1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1" spans="1:86" hidden="1">
      <c r="A121">
        <v>133</v>
      </c>
      <c r="B121" t="s">
        <v>294</v>
      </c>
      <c r="C121">
        <v>358</v>
      </c>
      <c r="D121" s="3">
        <v>45331</v>
      </c>
      <c r="E121" t="s">
        <v>80</v>
      </c>
      <c r="F121" t="s">
        <v>174</v>
      </c>
      <c r="G121">
        <v>212</v>
      </c>
      <c r="H121">
        <f ca="1">MONTH(NOW())+12*YEAR(NOW())-MONTH(tbl_MTG_Set[[#This Row],[Released On]])-12*YEAR(tbl_MTG_Set[[#This Row],[Released On]])</f>
        <v>25</v>
      </c>
      <c r="I121">
        <f>_xlfn.XLOOKUP(tbl_MTG_Set[[#This Row],[Type Name]], tbl_MTG_Set_Type[Set Type], tbl_MTG_Set_Type[Index], "(Set Type not found)")</f>
        <v>5</v>
      </c>
      <c r="J121">
        <f>_xlfn.XLOOKUP(tbl_MTG_Set[[#This Row],[Type Name]], tbl_MTG_Set_Type[Set Type], tbl_MTG_Set_Type[Buy Window Month Start], "(Set Type not found)")</f>
        <v>3</v>
      </c>
      <c r="K121" s="3">
        <f>tbl_MTG_Set[[#This Row],[Released On]]+tbl_MTG_Set[[#This Row],[Buy Window Month Start]]*365.25/12</f>
        <v>45422.3125</v>
      </c>
      <c r="L121">
        <f>_xlfn.XLOOKUP(tbl_MTG_Set[[#This Row],[Type Name]], tbl_MTG_Set_Type[Set Type], tbl_MTG_Set_Type[Buy Window Month End], "(Set Type not found)", 0, 1)</f>
        <v>12</v>
      </c>
      <c r="M121" s="3">
        <f>tbl_MTG_Set[[#This Row],[Released On]]+tbl_MTG_Set[[#This Row],[Buy Window Month End]]*365.25/12</f>
        <v>45696.25</v>
      </c>
      <c r="N121" s="3" t="b">
        <f ca="1">AND(NOW()&gt;=tbl_MTG_Set[[#This Row],[Buy Window Start]], NOW()&lt;=tbl_MTG_Set[[#This Row],[Buy Window End]])</f>
        <v>0</v>
      </c>
      <c r="O121">
        <f>_xlfn.XLOOKUP(tbl_MTG_Set[[#This Row],[Type Name]], tbl_MTG_Set_Type[Set Type], tbl_MTG_Set_Type[Heavy Printing Window Month Start], "(Set Type not found)", 0, 1)</f>
        <v>12</v>
      </c>
      <c r="P121" s="3">
        <f>tbl_MTG_Set[[#This Row],[Released On]]+tbl_MTG_Set[[#This Row],[Heavy Printing Window Month Start]]*365.25/12</f>
        <v>45696.25</v>
      </c>
      <c r="Q121">
        <f>_xlfn.XLOOKUP(tbl_MTG_Set[[#This Row],[Type Name]], tbl_MTG_Set_Type[Set Type], tbl_MTG_Set_Type[Heavy Printing Window Month End], "(Set Type not found)", 0, 1)</f>
        <v>18</v>
      </c>
      <c r="R121" s="3">
        <f>tbl_MTG_Set[[#This Row],[Released On]]+tbl_MTG_Set[[#This Row],[Heavy Printing Window Month End]]*365.25/12</f>
        <v>45878.875</v>
      </c>
      <c r="S121" s="3" t="b">
        <f ca="1">AND(NOW()&gt;=tbl_MTG_Set[[#This Row],[Heavy Printing Window Start]], NOW()&lt;=tbl_MTG_Set[[#This Row],[Heavy Printing Window End]])</f>
        <v>0</v>
      </c>
      <c r="T121">
        <f>_xlfn.XLOOKUP(tbl_MTG_Set[[#This Row],[Type Name]], tbl_MTG_Set_Type[Set Type], tbl_MTG_Set_Type[Sell Window Month Start], "(Set Type not found)", 0, 1)</f>
        <v>24</v>
      </c>
      <c r="U121" s="3">
        <f>tbl_MTG_Set[[#This Row],[Released On]]+tbl_MTG_Set[[#This Row],[Sell Window Month Start]]*365.25/12</f>
        <v>46061.5</v>
      </c>
      <c r="V121">
        <f>_xlfn.XLOOKUP(tbl_MTG_Set[[#This Row],[Type Name]], tbl_MTG_Set_Type[Set Type], tbl_MTG_Set_Type[Sell Window Month End], "(Set Type not found)", 0, 1)</f>
        <v>24</v>
      </c>
      <c r="W121" s="3">
        <f>tbl_MTG_Set[[#This Row],[Released On]]+tbl_MTG_Set[[#This Row],[Sell Window Month End]]*365.25/12</f>
        <v>46061.5</v>
      </c>
      <c r="X121" s="3" t="b">
        <f ca="1">AND(NOW()&gt;=tbl_MTG_Set[[#This Row],[Sell Window Start]], NOW()&lt;=tbl_MTG_Set[[#This Row],[Sell Window End]])</f>
        <v>0</v>
      </c>
      <c r="AG121" s="10"/>
      <c r="AH121" s="10"/>
      <c r="AM121" s="10" t="str" cm="1">
        <f t="array" ref="AM1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1" s="10" t="str" cm="1">
        <f t="array" ref="AN1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1" s="4" t="e">
        <f>_xlfn.XLOOKUP(tbl_MTG_Set[[#This Row],[Play Booster Box Product Id]], tbl_Product[Product Id], tbl_Product[Pack Size])</f>
        <v>#N/A</v>
      </c>
      <c r="AP121" s="10" t="e">
        <f>(tbl_MTG_Set[[#This Row],[Play Booster Box Cost]]+v_Item_Shipping_Cost_In)/tbl_MTG_Set[[#This Row],[Play Booster Box Size]]</f>
        <v>#VALUE!</v>
      </c>
      <c r="AQ121" s="10" t="str" cm="1">
        <f t="array" ref="AQ1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1" s="10"/>
      <c r="AS121" s="10"/>
      <c r="AT121" s="17" t="e">
        <f>tbl_MTG_Set[[#This Row],[Play Booster CardMarket Profit]]/tbl_MTG_Set[[#This Row],[Play Booster Cost]]</f>
        <v>#VALUE!</v>
      </c>
      <c r="AU121" s="10" t="e">
        <f>_xlfn.XLOOKUP(tbl_MTG_Set[[#This Row],[Collector Booster Box Product Id]], tbl_Product[Product Id], tbl_Product[Min Cost])</f>
        <v>#N/A</v>
      </c>
      <c r="AV121" s="10" t="e">
        <f>_xlfn.XLOOKUP(tbl_MTG_Set[[#This Row],[Collector Booster Box Product Id]], tbl_Product[Product Id], tbl_Product[Best Source])</f>
        <v>#N/A</v>
      </c>
      <c r="AW121" s="4" t="e">
        <f>_xlfn.XLOOKUP(tbl_MTG_Set[[#This Row],[Collector Booster Box Product Id]], tbl_Product[Product Id], tbl_Product[Pack Size])</f>
        <v>#N/A</v>
      </c>
      <c r="AX121" s="10" t="e">
        <f>(tbl_MTG_Set[[#This Row],[Collector Booster Box Cost]] + v_Item_Shipping_Cost_In) / tbl_MTG_Set[[#This Row],[Collector Booster Box Size]]</f>
        <v>#N/A</v>
      </c>
      <c r="AY121" s="10" t="str" cm="1">
        <f t="array" ref="AY1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1" s="10"/>
      <c r="BA1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1" s="17" t="e">
        <f>tbl_MTG_Set[[#This Row],[Collector Booster CardMarket Profit]]/tbl_MTG_Set[[#This Row],[Collector Booster Cost]]</f>
        <v>#N/A</v>
      </c>
      <c r="BC121" s="10"/>
      <c r="BF1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1" s="11" t="e">
        <f>tbl_MTG_Set[[#This Row],[Play Singles CardMarket Profit MTG Stocks]]/tbl_MTG_Set[[#This Row],[Play Booster Cost]]</f>
        <v>#VALUE!</v>
      </c>
      <c r="BI121" s="11" t="b">
        <f>tbl_MTG_Set[[#This Row],[Play Singles CardMarket Profit MTG Stocks]]&gt;0</f>
        <v>0</v>
      </c>
      <c r="BM121" s="10" t="e">
        <f>tbl_MTG_Set[[#This Row],[Play Booster Sell Price CardMarket]]*tbl_MTG_Set[[#This Row],[Play Booster Expected Market Value BotBox]]/tbl_MTG_Set[[#This Row],[Play Booster Sealed Market Value BotBox]]</f>
        <v>#VALUE!</v>
      </c>
      <c r="BN1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1" s="10" t="e">
        <f>tbl_MTG_Set[[#This Row],[Play Singles CardMarket Profit BotBox]]/tbl_MTG_Set[[#This Row],[Play Booster Cost]]</f>
        <v>#VALUE!</v>
      </c>
      <c r="BP121" s="10" t="b">
        <f>tbl_MTG_Set[[#This Row],[Play Singles CardMarket Profit BotBox]]&gt;0</f>
        <v>0</v>
      </c>
      <c r="BQ121" s="10"/>
      <c r="BR121" s="10"/>
      <c r="BS121" s="10"/>
      <c r="BT1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1" s="19" t="e">
        <f>tbl_MTG_Set[[#This Row],[Collector Singles CardMarket Profit MTG Stocks]]/tbl_MTG_Set[[#This Row],[Collector Booster Cost]]</f>
        <v>#N/A</v>
      </c>
      <c r="BW121" s="10" t="b">
        <f>tbl_MTG_Set[[#This Row],[Collector Singles CardMarket Profit MTG Stocks]]&gt;0</f>
        <v>0</v>
      </c>
      <c r="BX121" s="10"/>
      <c r="BY121" s="10"/>
      <c r="BZ1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1" s="10" t="e">
        <f>tbl_MTG_Set[[#This Row],[Collector Singles CardMarket Profit BotBox]]/tbl_MTG_Set[[#This Row],[Collector Booster Cost]]</f>
        <v>#N/A</v>
      </c>
      <c r="CC121" s="10" t="b">
        <f>tbl_MTG_Set[[#This Row],[Collector Singles CardMarket Profit BotBox]]&gt;0</f>
        <v>0</v>
      </c>
      <c r="CD1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2" spans="1:86" hidden="1">
      <c r="A122">
        <v>134</v>
      </c>
      <c r="B122" t="s">
        <v>295</v>
      </c>
      <c r="C122">
        <v>31</v>
      </c>
      <c r="D122" s="3">
        <v>45331</v>
      </c>
      <c r="E122" t="s">
        <v>80</v>
      </c>
      <c r="F122" t="s">
        <v>174</v>
      </c>
      <c r="G122">
        <v>214</v>
      </c>
      <c r="H122">
        <f ca="1">MONTH(NOW())+12*YEAR(NOW())-MONTH(tbl_MTG_Set[[#This Row],[Released On]])-12*YEAR(tbl_MTG_Set[[#This Row],[Released On]])</f>
        <v>25</v>
      </c>
      <c r="I122">
        <f>_xlfn.XLOOKUP(tbl_MTG_Set[[#This Row],[Type Name]], tbl_MTG_Set_Type[Set Type], tbl_MTG_Set_Type[Index], "(Set Type not found)")</f>
        <v>5</v>
      </c>
      <c r="J122">
        <f>_xlfn.XLOOKUP(tbl_MTG_Set[[#This Row],[Type Name]], tbl_MTG_Set_Type[Set Type], tbl_MTG_Set_Type[Buy Window Month Start], "(Set Type not found)")</f>
        <v>3</v>
      </c>
      <c r="K122" s="3">
        <f>tbl_MTG_Set[[#This Row],[Released On]]+tbl_MTG_Set[[#This Row],[Buy Window Month Start]]*365.25/12</f>
        <v>45422.3125</v>
      </c>
      <c r="L122">
        <f>_xlfn.XLOOKUP(tbl_MTG_Set[[#This Row],[Type Name]], tbl_MTG_Set_Type[Set Type], tbl_MTG_Set_Type[Buy Window Month End], "(Set Type not found)", 0, 1)</f>
        <v>12</v>
      </c>
      <c r="M122" s="3">
        <f>tbl_MTG_Set[[#This Row],[Released On]]+tbl_MTG_Set[[#This Row],[Buy Window Month End]]*365.25/12</f>
        <v>45696.25</v>
      </c>
      <c r="N122" s="3" t="b">
        <f ca="1">AND(NOW()&gt;=tbl_MTG_Set[[#This Row],[Buy Window Start]], NOW()&lt;=tbl_MTG_Set[[#This Row],[Buy Window End]])</f>
        <v>0</v>
      </c>
      <c r="O122">
        <f>_xlfn.XLOOKUP(tbl_MTG_Set[[#This Row],[Type Name]], tbl_MTG_Set_Type[Set Type], tbl_MTG_Set_Type[Heavy Printing Window Month Start], "(Set Type not found)", 0, 1)</f>
        <v>12</v>
      </c>
      <c r="P122" s="3">
        <f>tbl_MTG_Set[[#This Row],[Released On]]+tbl_MTG_Set[[#This Row],[Heavy Printing Window Month Start]]*365.25/12</f>
        <v>45696.25</v>
      </c>
      <c r="Q122">
        <f>_xlfn.XLOOKUP(tbl_MTG_Set[[#This Row],[Type Name]], tbl_MTG_Set_Type[Set Type], tbl_MTG_Set_Type[Heavy Printing Window Month End], "(Set Type not found)", 0, 1)</f>
        <v>18</v>
      </c>
      <c r="R122" s="3">
        <f>tbl_MTG_Set[[#This Row],[Released On]]+tbl_MTG_Set[[#This Row],[Heavy Printing Window Month End]]*365.25/12</f>
        <v>45878.875</v>
      </c>
      <c r="S122" s="3" t="b">
        <f ca="1">AND(NOW()&gt;=tbl_MTG_Set[[#This Row],[Heavy Printing Window Start]], NOW()&lt;=tbl_MTG_Set[[#This Row],[Heavy Printing Window End]])</f>
        <v>0</v>
      </c>
      <c r="T122">
        <f>_xlfn.XLOOKUP(tbl_MTG_Set[[#This Row],[Type Name]], tbl_MTG_Set_Type[Set Type], tbl_MTG_Set_Type[Sell Window Month Start], "(Set Type not found)", 0, 1)</f>
        <v>24</v>
      </c>
      <c r="U122" s="3">
        <f>tbl_MTG_Set[[#This Row],[Released On]]+tbl_MTG_Set[[#This Row],[Sell Window Month Start]]*365.25/12</f>
        <v>46061.5</v>
      </c>
      <c r="V122">
        <f>_xlfn.XLOOKUP(tbl_MTG_Set[[#This Row],[Type Name]], tbl_MTG_Set_Type[Set Type], tbl_MTG_Set_Type[Sell Window Month End], "(Set Type not found)", 0, 1)</f>
        <v>24</v>
      </c>
      <c r="W122" s="3">
        <f>tbl_MTG_Set[[#This Row],[Released On]]+tbl_MTG_Set[[#This Row],[Sell Window Month End]]*365.25/12</f>
        <v>46061.5</v>
      </c>
      <c r="X122" s="3" t="b">
        <f ca="1">AND(NOW()&gt;=tbl_MTG_Set[[#This Row],[Sell Window Start]], NOW()&lt;=tbl_MTG_Set[[#This Row],[Sell Window End]])</f>
        <v>0</v>
      </c>
      <c r="AG122" s="10"/>
      <c r="AH122" s="10"/>
      <c r="AM122" s="10" t="str" cm="1">
        <f t="array" ref="AM1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2" s="10" t="str" cm="1">
        <f t="array" ref="AN1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2" s="4" t="e">
        <f>_xlfn.XLOOKUP(tbl_MTG_Set[[#This Row],[Play Booster Box Product Id]], tbl_Product[Product Id], tbl_Product[Pack Size])</f>
        <v>#N/A</v>
      </c>
      <c r="AP122" s="10" t="e">
        <f>(tbl_MTG_Set[[#This Row],[Play Booster Box Cost]]+v_Item_Shipping_Cost_In)/tbl_MTG_Set[[#This Row],[Play Booster Box Size]]</f>
        <v>#VALUE!</v>
      </c>
      <c r="AQ122" s="10" t="str" cm="1">
        <f t="array" ref="AQ1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2" s="10"/>
      <c r="AS122" s="10"/>
      <c r="AT122" s="17" t="e">
        <f>tbl_MTG_Set[[#This Row],[Play Booster CardMarket Profit]]/tbl_MTG_Set[[#This Row],[Play Booster Cost]]</f>
        <v>#VALUE!</v>
      </c>
      <c r="AU122" s="10" t="e">
        <f>_xlfn.XLOOKUP(tbl_MTG_Set[[#This Row],[Collector Booster Box Product Id]], tbl_Product[Product Id], tbl_Product[Min Cost])</f>
        <v>#N/A</v>
      </c>
      <c r="AV122" s="10" t="e">
        <f>_xlfn.XLOOKUP(tbl_MTG_Set[[#This Row],[Collector Booster Box Product Id]], tbl_Product[Product Id], tbl_Product[Best Source])</f>
        <v>#N/A</v>
      </c>
      <c r="AW122" s="4" t="e">
        <f>_xlfn.XLOOKUP(tbl_MTG_Set[[#This Row],[Collector Booster Box Product Id]], tbl_Product[Product Id], tbl_Product[Pack Size])</f>
        <v>#N/A</v>
      </c>
      <c r="AX122" s="10" t="e">
        <f>(tbl_MTG_Set[[#This Row],[Collector Booster Box Cost]] + v_Item_Shipping_Cost_In) / tbl_MTG_Set[[#This Row],[Collector Booster Box Size]]</f>
        <v>#N/A</v>
      </c>
      <c r="AY122" s="10" t="str" cm="1">
        <f t="array" ref="AY1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2" s="10"/>
      <c r="BA1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2" s="17" t="e">
        <f>tbl_MTG_Set[[#This Row],[Collector Booster CardMarket Profit]]/tbl_MTG_Set[[#This Row],[Collector Booster Cost]]</f>
        <v>#N/A</v>
      </c>
      <c r="BC122" s="10"/>
      <c r="BF1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2" s="11" t="e">
        <f>tbl_MTG_Set[[#This Row],[Play Singles CardMarket Profit MTG Stocks]]/tbl_MTG_Set[[#This Row],[Play Booster Cost]]</f>
        <v>#VALUE!</v>
      </c>
      <c r="BI122" s="11" t="b">
        <f>tbl_MTG_Set[[#This Row],[Play Singles CardMarket Profit MTG Stocks]]&gt;0</f>
        <v>0</v>
      </c>
      <c r="BM122" s="10" t="e">
        <f>tbl_MTG_Set[[#This Row],[Play Booster Sell Price CardMarket]]*tbl_MTG_Set[[#This Row],[Play Booster Expected Market Value BotBox]]/tbl_MTG_Set[[#This Row],[Play Booster Sealed Market Value BotBox]]</f>
        <v>#VALUE!</v>
      </c>
      <c r="BN1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2" s="10" t="e">
        <f>tbl_MTG_Set[[#This Row],[Play Singles CardMarket Profit BotBox]]/tbl_MTG_Set[[#This Row],[Play Booster Cost]]</f>
        <v>#VALUE!</v>
      </c>
      <c r="BP122" s="10" t="b">
        <f>tbl_MTG_Set[[#This Row],[Play Singles CardMarket Profit BotBox]]&gt;0</f>
        <v>0</v>
      </c>
      <c r="BQ122" s="10"/>
      <c r="BR122" s="10"/>
      <c r="BS122" s="10"/>
      <c r="BT1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2" s="19" t="e">
        <f>tbl_MTG_Set[[#This Row],[Collector Singles CardMarket Profit MTG Stocks]]/tbl_MTG_Set[[#This Row],[Collector Booster Cost]]</f>
        <v>#N/A</v>
      </c>
      <c r="BW122" s="10" t="b">
        <f>tbl_MTG_Set[[#This Row],[Collector Singles CardMarket Profit MTG Stocks]]&gt;0</f>
        <v>0</v>
      </c>
      <c r="BX122" s="10"/>
      <c r="BY122" s="10"/>
      <c r="BZ1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2" s="10" t="e">
        <f>tbl_MTG_Set[[#This Row],[Collector Singles CardMarket Profit BotBox]]/tbl_MTG_Set[[#This Row],[Collector Booster Cost]]</f>
        <v>#N/A</v>
      </c>
      <c r="CC122" s="10" t="b">
        <f>tbl_MTG_Set[[#This Row],[Collector Singles CardMarket Profit BotBox]]&gt;0</f>
        <v>0</v>
      </c>
      <c r="CD1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3" spans="1:86" hidden="1">
      <c r="A123">
        <v>135</v>
      </c>
      <c r="B123" t="s">
        <v>296</v>
      </c>
      <c r="C123">
        <v>7</v>
      </c>
      <c r="D123" s="3">
        <v>45330</v>
      </c>
      <c r="F123" t="s">
        <v>174</v>
      </c>
      <c r="G123">
        <v>216</v>
      </c>
      <c r="H123">
        <f ca="1">MONTH(NOW())+12*YEAR(NOW())-MONTH(tbl_MTG_Set[[#This Row],[Released On]])-12*YEAR(tbl_MTG_Set[[#This Row],[Released On]])</f>
        <v>25</v>
      </c>
      <c r="I123" t="str">
        <f>_xlfn.XLOOKUP(tbl_MTG_Set[[#This Row],[Type Name]], tbl_MTG_Set_Type[Set Type], tbl_MTG_Set_Type[Index], "(Set Type not found)")</f>
        <v>(Set Type not found)</v>
      </c>
      <c r="J123" t="str">
        <f>_xlfn.XLOOKUP(tbl_MTG_Set[[#This Row],[Type Name]], tbl_MTG_Set_Type[Set Type], tbl_MTG_Set_Type[Buy Window Month Start], "(Set Type not found)")</f>
        <v>(Set Type not found)</v>
      </c>
      <c r="K123" s="3" t="e">
        <f>tbl_MTG_Set[[#This Row],[Released On]]+tbl_MTG_Set[[#This Row],[Buy Window Month Start]]*365.25/12</f>
        <v>#VALUE!</v>
      </c>
      <c r="L123" t="str">
        <f>_xlfn.XLOOKUP(tbl_MTG_Set[[#This Row],[Type Name]], tbl_MTG_Set_Type[Set Type], tbl_MTG_Set_Type[Buy Window Month End], "(Set Type not found)", 0, 1)</f>
        <v>(Set Type not found)</v>
      </c>
      <c r="M123" s="3" t="e">
        <f>tbl_MTG_Set[[#This Row],[Released On]]+tbl_MTG_Set[[#This Row],[Buy Window Month End]]*365.25/12</f>
        <v>#VALUE!</v>
      </c>
      <c r="N123" s="3" t="e">
        <f ca="1">AND(NOW()&gt;=tbl_MTG_Set[[#This Row],[Buy Window Start]], NOW()&lt;=tbl_MTG_Set[[#This Row],[Buy Window End]])</f>
        <v>#VALUE!</v>
      </c>
      <c r="O123" t="str">
        <f>_xlfn.XLOOKUP(tbl_MTG_Set[[#This Row],[Type Name]], tbl_MTG_Set_Type[Set Type], tbl_MTG_Set_Type[Heavy Printing Window Month Start], "(Set Type not found)", 0, 1)</f>
        <v>(Set Type not found)</v>
      </c>
      <c r="P123" s="3" t="e">
        <f>tbl_MTG_Set[[#This Row],[Released On]]+tbl_MTG_Set[[#This Row],[Heavy Printing Window Month Start]]*365.25/12</f>
        <v>#VALUE!</v>
      </c>
      <c r="Q123" t="str">
        <f>_xlfn.XLOOKUP(tbl_MTG_Set[[#This Row],[Type Name]], tbl_MTG_Set_Type[Set Type], tbl_MTG_Set_Type[Heavy Printing Window Month End], "(Set Type not found)", 0, 1)</f>
        <v>(Set Type not found)</v>
      </c>
      <c r="R123" s="3" t="e">
        <f>tbl_MTG_Set[[#This Row],[Released On]]+tbl_MTG_Set[[#This Row],[Heavy Printing Window Month End]]*365.25/12</f>
        <v>#VALUE!</v>
      </c>
      <c r="S123" s="3" t="e">
        <f ca="1">AND(NOW()&gt;=tbl_MTG_Set[[#This Row],[Heavy Printing Window Start]], NOW()&lt;=tbl_MTG_Set[[#This Row],[Heavy Printing Window End]])</f>
        <v>#VALUE!</v>
      </c>
      <c r="T123" t="str">
        <f>_xlfn.XLOOKUP(tbl_MTG_Set[[#This Row],[Type Name]], tbl_MTG_Set_Type[Set Type], tbl_MTG_Set_Type[Sell Window Month Start], "(Set Type not found)", 0, 1)</f>
        <v>(Set Type not found)</v>
      </c>
      <c r="U123" s="3" t="e">
        <f>tbl_MTG_Set[[#This Row],[Released On]]+tbl_MTG_Set[[#This Row],[Sell Window Month Start]]*365.25/12</f>
        <v>#VALUE!</v>
      </c>
      <c r="V123" t="str">
        <f>_xlfn.XLOOKUP(tbl_MTG_Set[[#This Row],[Type Name]], tbl_MTG_Set_Type[Set Type], tbl_MTG_Set_Type[Sell Window Month End], "(Set Type not found)", 0, 1)</f>
        <v>(Set Type not found)</v>
      </c>
      <c r="W123" s="3" t="e">
        <f>tbl_MTG_Set[[#This Row],[Released On]]+tbl_MTG_Set[[#This Row],[Sell Window Month End]]*365.25/12</f>
        <v>#VALUE!</v>
      </c>
      <c r="X123" s="3" t="e">
        <f ca="1">AND(NOW()&gt;=tbl_MTG_Set[[#This Row],[Sell Window Start]], NOW()&lt;=tbl_MTG_Set[[#This Row],[Sell Window End]])</f>
        <v>#VALUE!</v>
      </c>
      <c r="AG123" s="10"/>
      <c r="AH123" s="10"/>
      <c r="AM123" s="10" t="str" cm="1">
        <f t="array" ref="AM1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3" s="10" t="str" cm="1">
        <f t="array" ref="AN1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3" s="4" t="e">
        <f>_xlfn.XLOOKUP(tbl_MTG_Set[[#This Row],[Play Booster Box Product Id]], tbl_Product[Product Id], tbl_Product[Pack Size])</f>
        <v>#N/A</v>
      </c>
      <c r="AP123" s="10" t="e">
        <f>(tbl_MTG_Set[[#This Row],[Play Booster Box Cost]]+v_Item_Shipping_Cost_In)/tbl_MTG_Set[[#This Row],[Play Booster Box Size]]</f>
        <v>#VALUE!</v>
      </c>
      <c r="AQ123" s="10" t="str" cm="1">
        <f t="array" ref="AQ1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3" s="10"/>
      <c r="AS123" s="10"/>
      <c r="AT123" s="17" t="e">
        <f>tbl_MTG_Set[[#This Row],[Play Booster CardMarket Profit]]/tbl_MTG_Set[[#This Row],[Play Booster Cost]]</f>
        <v>#VALUE!</v>
      </c>
      <c r="AU123" s="10" t="e">
        <f>_xlfn.XLOOKUP(tbl_MTG_Set[[#This Row],[Collector Booster Box Product Id]], tbl_Product[Product Id], tbl_Product[Min Cost])</f>
        <v>#N/A</v>
      </c>
      <c r="AV123" s="10" t="e">
        <f>_xlfn.XLOOKUP(tbl_MTG_Set[[#This Row],[Collector Booster Box Product Id]], tbl_Product[Product Id], tbl_Product[Best Source])</f>
        <v>#N/A</v>
      </c>
      <c r="AW123" s="4" t="e">
        <f>_xlfn.XLOOKUP(tbl_MTG_Set[[#This Row],[Collector Booster Box Product Id]], tbl_Product[Product Id], tbl_Product[Pack Size])</f>
        <v>#N/A</v>
      </c>
      <c r="AX123" s="10" t="e">
        <f>(tbl_MTG_Set[[#This Row],[Collector Booster Box Cost]] + v_Item_Shipping_Cost_In) / tbl_MTG_Set[[#This Row],[Collector Booster Box Size]]</f>
        <v>#N/A</v>
      </c>
      <c r="AY123" s="10" t="str" cm="1">
        <f t="array" ref="AY1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3" s="10"/>
      <c r="BA1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3" s="17" t="e">
        <f>tbl_MTG_Set[[#This Row],[Collector Booster CardMarket Profit]]/tbl_MTG_Set[[#This Row],[Collector Booster Cost]]</f>
        <v>#N/A</v>
      </c>
      <c r="BC123" s="10"/>
      <c r="BF1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3" s="11" t="e">
        <f>tbl_MTG_Set[[#This Row],[Play Singles CardMarket Profit MTG Stocks]]/tbl_MTG_Set[[#This Row],[Play Booster Cost]]</f>
        <v>#VALUE!</v>
      </c>
      <c r="BI123" s="11" t="b">
        <f>tbl_MTG_Set[[#This Row],[Play Singles CardMarket Profit MTG Stocks]]&gt;0</f>
        <v>0</v>
      </c>
      <c r="BM123" s="10" t="e">
        <f>tbl_MTG_Set[[#This Row],[Play Booster Sell Price CardMarket]]*tbl_MTG_Set[[#This Row],[Play Booster Expected Market Value BotBox]]/tbl_MTG_Set[[#This Row],[Play Booster Sealed Market Value BotBox]]</f>
        <v>#VALUE!</v>
      </c>
      <c r="BN1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3" s="10" t="e">
        <f>tbl_MTG_Set[[#This Row],[Play Singles CardMarket Profit BotBox]]/tbl_MTG_Set[[#This Row],[Play Booster Cost]]</f>
        <v>#VALUE!</v>
      </c>
      <c r="BP123" s="10" t="b">
        <f>tbl_MTG_Set[[#This Row],[Play Singles CardMarket Profit BotBox]]&gt;0</f>
        <v>0</v>
      </c>
      <c r="BQ123" s="10"/>
      <c r="BR123" s="10"/>
      <c r="BS123" s="10"/>
      <c r="BT1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3" s="19" t="e">
        <f>tbl_MTG_Set[[#This Row],[Collector Singles CardMarket Profit MTG Stocks]]/tbl_MTG_Set[[#This Row],[Collector Booster Cost]]</f>
        <v>#N/A</v>
      </c>
      <c r="BW123" s="10" t="b">
        <f>tbl_MTG_Set[[#This Row],[Collector Singles CardMarket Profit MTG Stocks]]&gt;0</f>
        <v>0</v>
      </c>
      <c r="BX123" s="10"/>
      <c r="BY123" s="10"/>
      <c r="BZ1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3" s="10" t="e">
        <f>tbl_MTG_Set[[#This Row],[Collector Singles CardMarket Profit BotBox]]/tbl_MTG_Set[[#This Row],[Collector Booster Cost]]</f>
        <v>#N/A</v>
      </c>
      <c r="CC123" s="10" t="b">
        <f>tbl_MTG_Set[[#This Row],[Collector Singles CardMarket Profit BotBox]]&gt;0</f>
        <v>0</v>
      </c>
      <c r="CD1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4" spans="1:86" hidden="1">
      <c r="A124">
        <v>137</v>
      </c>
      <c r="B124" t="s">
        <v>297</v>
      </c>
      <c r="C124">
        <v>20</v>
      </c>
      <c r="D124" s="3">
        <v>45303</v>
      </c>
      <c r="E124" t="s">
        <v>66</v>
      </c>
      <c r="F124" t="s">
        <v>174</v>
      </c>
      <c r="G124">
        <v>220</v>
      </c>
      <c r="H124">
        <f ca="1">MONTH(NOW())+12*YEAR(NOW())-MONTH(tbl_MTG_Set[[#This Row],[Released On]])-12*YEAR(tbl_MTG_Set[[#This Row],[Released On]])</f>
        <v>26</v>
      </c>
      <c r="I124">
        <f>_xlfn.XLOOKUP(tbl_MTG_Set[[#This Row],[Type Name]], tbl_MTG_Set_Type[Set Type], tbl_MTG_Set_Type[Index], "(Set Type not found)")</f>
        <v>2</v>
      </c>
      <c r="J124">
        <f>_xlfn.XLOOKUP(tbl_MTG_Set[[#This Row],[Type Name]], tbl_MTG_Set_Type[Set Type], tbl_MTG_Set_Type[Buy Window Month Start], "(Set Type not found)")</f>
        <v>3</v>
      </c>
      <c r="K124" s="3">
        <f>tbl_MTG_Set[[#This Row],[Released On]]+tbl_MTG_Set[[#This Row],[Buy Window Month Start]]*365.25/12</f>
        <v>45394.3125</v>
      </c>
      <c r="L124">
        <f>_xlfn.XLOOKUP(tbl_MTG_Set[[#This Row],[Type Name]], tbl_MTG_Set_Type[Set Type], tbl_MTG_Set_Type[Buy Window Month End], "(Set Type not found)", 0, 1)</f>
        <v>6</v>
      </c>
      <c r="M124" s="3">
        <f>tbl_MTG_Set[[#This Row],[Released On]]+tbl_MTG_Set[[#This Row],[Buy Window Month End]]*365.25/12</f>
        <v>45485.625</v>
      </c>
      <c r="N124" s="3" t="b">
        <f ca="1">AND(NOW()&gt;=tbl_MTG_Set[[#This Row],[Buy Window Start]], NOW()&lt;=tbl_MTG_Set[[#This Row],[Buy Window End]])</f>
        <v>0</v>
      </c>
      <c r="O124">
        <f>_xlfn.XLOOKUP(tbl_MTG_Set[[#This Row],[Type Name]], tbl_MTG_Set_Type[Set Type], tbl_MTG_Set_Type[Heavy Printing Window Month Start], "(Set Type not found)", 0, 1)</f>
        <v>6</v>
      </c>
      <c r="P124" s="3">
        <f>tbl_MTG_Set[[#This Row],[Released On]]+tbl_MTG_Set[[#This Row],[Heavy Printing Window Month Start]]*365.25/12</f>
        <v>45485.625</v>
      </c>
      <c r="Q124">
        <f>_xlfn.XLOOKUP(tbl_MTG_Set[[#This Row],[Type Name]], tbl_MTG_Set_Type[Set Type], tbl_MTG_Set_Type[Heavy Printing Window Month End], "(Set Type not found)", 0, 1)</f>
        <v>12</v>
      </c>
      <c r="R124" s="3">
        <f>tbl_MTG_Set[[#This Row],[Released On]]+tbl_MTG_Set[[#This Row],[Heavy Printing Window Month End]]*365.25/12</f>
        <v>45668.25</v>
      </c>
      <c r="S124" s="3" t="b">
        <f ca="1">AND(NOW()&gt;=tbl_MTG_Set[[#This Row],[Heavy Printing Window Start]], NOW()&lt;=tbl_MTG_Set[[#This Row],[Heavy Printing Window End]])</f>
        <v>0</v>
      </c>
      <c r="T124">
        <f>_xlfn.XLOOKUP(tbl_MTG_Set[[#This Row],[Type Name]], tbl_MTG_Set_Type[Set Type], tbl_MTG_Set_Type[Sell Window Month Start], "(Set Type not found)", 0, 1)</f>
        <v>18</v>
      </c>
      <c r="U124" s="3">
        <f>tbl_MTG_Set[[#This Row],[Released On]]+tbl_MTG_Set[[#This Row],[Sell Window Month Start]]*365.25/12</f>
        <v>45850.875</v>
      </c>
      <c r="V124">
        <f>_xlfn.XLOOKUP(tbl_MTG_Set[[#This Row],[Type Name]], tbl_MTG_Set_Type[Set Type], tbl_MTG_Set_Type[Sell Window Month End], "(Set Type not found)", 0, 1)</f>
        <v>36</v>
      </c>
      <c r="W124" s="3">
        <f>tbl_MTG_Set[[#This Row],[Released On]]+tbl_MTG_Set[[#This Row],[Sell Window Month End]]*365.25/12</f>
        <v>46398.75</v>
      </c>
      <c r="X124" s="3" t="b">
        <f ca="1">AND(NOW()&gt;=tbl_MTG_Set[[#This Row],[Sell Window Start]], NOW()&lt;=tbl_MTG_Set[[#This Row],[Sell Window End]])</f>
        <v>1</v>
      </c>
      <c r="AG124" s="10"/>
      <c r="AH124" s="10"/>
      <c r="AM124" s="10" t="str" cm="1">
        <f t="array" ref="AM1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4" s="10" t="str" cm="1">
        <f t="array" ref="AN1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4" s="4" t="e">
        <f>_xlfn.XLOOKUP(tbl_MTG_Set[[#This Row],[Play Booster Box Product Id]], tbl_Product[Product Id], tbl_Product[Pack Size])</f>
        <v>#N/A</v>
      </c>
      <c r="AP124" s="10" t="e">
        <f>(tbl_MTG_Set[[#This Row],[Play Booster Box Cost]]+v_Item_Shipping_Cost_In)/tbl_MTG_Set[[#This Row],[Play Booster Box Size]]</f>
        <v>#VALUE!</v>
      </c>
      <c r="AQ124" s="10" t="str" cm="1">
        <f t="array" ref="AQ1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4" s="10"/>
      <c r="AS124" s="10"/>
      <c r="AT124" s="17" t="e">
        <f>tbl_MTG_Set[[#This Row],[Play Booster CardMarket Profit]]/tbl_MTG_Set[[#This Row],[Play Booster Cost]]</f>
        <v>#VALUE!</v>
      </c>
      <c r="AU124" s="10" t="e">
        <f>_xlfn.XLOOKUP(tbl_MTG_Set[[#This Row],[Collector Booster Box Product Id]], tbl_Product[Product Id], tbl_Product[Min Cost])</f>
        <v>#N/A</v>
      </c>
      <c r="AV124" s="10" t="e">
        <f>_xlfn.XLOOKUP(tbl_MTG_Set[[#This Row],[Collector Booster Box Product Id]], tbl_Product[Product Id], tbl_Product[Best Source])</f>
        <v>#N/A</v>
      </c>
      <c r="AW124" s="4" t="e">
        <f>_xlfn.XLOOKUP(tbl_MTG_Set[[#This Row],[Collector Booster Box Product Id]], tbl_Product[Product Id], tbl_Product[Pack Size])</f>
        <v>#N/A</v>
      </c>
      <c r="AX124" s="10" t="e">
        <f>(tbl_MTG_Set[[#This Row],[Collector Booster Box Cost]] + v_Item_Shipping_Cost_In) / tbl_MTG_Set[[#This Row],[Collector Booster Box Size]]</f>
        <v>#N/A</v>
      </c>
      <c r="AY124" s="10" t="str" cm="1">
        <f t="array" ref="AY1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4" s="10"/>
      <c r="BA1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4" s="17" t="e">
        <f>tbl_MTG_Set[[#This Row],[Collector Booster CardMarket Profit]]/tbl_MTG_Set[[#This Row],[Collector Booster Cost]]</f>
        <v>#N/A</v>
      </c>
      <c r="BC124" s="10"/>
      <c r="BF1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4" s="11" t="e">
        <f>tbl_MTG_Set[[#This Row],[Play Singles CardMarket Profit MTG Stocks]]/tbl_MTG_Set[[#This Row],[Play Booster Cost]]</f>
        <v>#VALUE!</v>
      </c>
      <c r="BI124" s="11" t="b">
        <f>tbl_MTG_Set[[#This Row],[Play Singles CardMarket Profit MTG Stocks]]&gt;0</f>
        <v>0</v>
      </c>
      <c r="BM124" s="10" t="e">
        <f>tbl_MTG_Set[[#This Row],[Play Booster Sell Price CardMarket]]*tbl_MTG_Set[[#This Row],[Play Booster Expected Market Value BotBox]]/tbl_MTG_Set[[#This Row],[Play Booster Sealed Market Value BotBox]]</f>
        <v>#VALUE!</v>
      </c>
      <c r="BN1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4" s="10" t="e">
        <f>tbl_MTG_Set[[#This Row],[Play Singles CardMarket Profit BotBox]]/tbl_MTG_Set[[#This Row],[Play Booster Cost]]</f>
        <v>#VALUE!</v>
      </c>
      <c r="BP124" s="10" t="b">
        <f>tbl_MTG_Set[[#This Row],[Play Singles CardMarket Profit BotBox]]&gt;0</f>
        <v>0</v>
      </c>
      <c r="BQ124" s="10"/>
      <c r="BR124" s="10"/>
      <c r="BS124" s="10"/>
      <c r="BT1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4" s="19" t="e">
        <f>tbl_MTG_Set[[#This Row],[Collector Singles CardMarket Profit MTG Stocks]]/tbl_MTG_Set[[#This Row],[Collector Booster Cost]]</f>
        <v>#N/A</v>
      </c>
      <c r="BW124" s="10" t="b">
        <f>tbl_MTG_Set[[#This Row],[Collector Singles CardMarket Profit MTG Stocks]]&gt;0</f>
        <v>0</v>
      </c>
      <c r="BX124" s="10"/>
      <c r="BY124" s="10"/>
      <c r="BZ1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4" s="10" t="e">
        <f>tbl_MTG_Set[[#This Row],[Collector Singles CardMarket Profit BotBox]]/tbl_MTG_Set[[#This Row],[Collector Booster Cost]]</f>
        <v>#N/A</v>
      </c>
      <c r="CC124" s="10" t="b">
        <f>tbl_MTG_Set[[#This Row],[Collector Singles CardMarket Profit BotBox]]&gt;0</f>
        <v>0</v>
      </c>
      <c r="CD1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5" spans="1:86" hidden="1">
      <c r="A125">
        <v>138</v>
      </c>
      <c r="B125" t="s">
        <v>298</v>
      </c>
      <c r="C125">
        <v>2</v>
      </c>
      <c r="D125" s="3">
        <v>45292</v>
      </c>
      <c r="F125" t="s">
        <v>174</v>
      </c>
      <c r="G125">
        <v>222</v>
      </c>
      <c r="H125">
        <f ca="1">MONTH(NOW())+12*YEAR(NOW())-MONTH(tbl_MTG_Set[[#This Row],[Released On]])-12*YEAR(tbl_MTG_Set[[#This Row],[Released On]])</f>
        <v>26</v>
      </c>
      <c r="I125" t="str">
        <f>_xlfn.XLOOKUP(tbl_MTG_Set[[#This Row],[Type Name]], tbl_MTG_Set_Type[Set Type], tbl_MTG_Set_Type[Index], "(Set Type not found)")</f>
        <v>(Set Type not found)</v>
      </c>
      <c r="J125" t="str">
        <f>_xlfn.XLOOKUP(tbl_MTG_Set[[#This Row],[Type Name]], tbl_MTG_Set_Type[Set Type], tbl_MTG_Set_Type[Buy Window Month Start], "(Set Type not found)")</f>
        <v>(Set Type not found)</v>
      </c>
      <c r="K125" s="3" t="e">
        <f>tbl_MTG_Set[[#This Row],[Released On]]+tbl_MTG_Set[[#This Row],[Buy Window Month Start]]*365.25/12</f>
        <v>#VALUE!</v>
      </c>
      <c r="L125" t="str">
        <f>_xlfn.XLOOKUP(tbl_MTG_Set[[#This Row],[Type Name]], tbl_MTG_Set_Type[Set Type], tbl_MTG_Set_Type[Buy Window Month End], "(Set Type not found)", 0, 1)</f>
        <v>(Set Type not found)</v>
      </c>
      <c r="M125" s="3" t="e">
        <f>tbl_MTG_Set[[#This Row],[Released On]]+tbl_MTG_Set[[#This Row],[Buy Window Month End]]*365.25/12</f>
        <v>#VALUE!</v>
      </c>
      <c r="N125" s="3" t="e">
        <f ca="1">AND(NOW()&gt;=tbl_MTG_Set[[#This Row],[Buy Window Start]], NOW()&lt;=tbl_MTG_Set[[#This Row],[Buy Window End]])</f>
        <v>#VALUE!</v>
      </c>
      <c r="O125" t="str">
        <f>_xlfn.XLOOKUP(tbl_MTG_Set[[#This Row],[Type Name]], tbl_MTG_Set_Type[Set Type], tbl_MTG_Set_Type[Heavy Printing Window Month Start], "(Set Type not found)", 0, 1)</f>
        <v>(Set Type not found)</v>
      </c>
      <c r="P125" s="3" t="e">
        <f>tbl_MTG_Set[[#This Row],[Released On]]+tbl_MTG_Set[[#This Row],[Heavy Printing Window Month Start]]*365.25/12</f>
        <v>#VALUE!</v>
      </c>
      <c r="Q125" t="str">
        <f>_xlfn.XLOOKUP(tbl_MTG_Set[[#This Row],[Type Name]], tbl_MTG_Set_Type[Set Type], tbl_MTG_Set_Type[Heavy Printing Window Month End], "(Set Type not found)", 0, 1)</f>
        <v>(Set Type not found)</v>
      </c>
      <c r="R125" s="3" t="e">
        <f>tbl_MTG_Set[[#This Row],[Released On]]+tbl_MTG_Set[[#This Row],[Heavy Printing Window Month End]]*365.25/12</f>
        <v>#VALUE!</v>
      </c>
      <c r="S125" s="3" t="e">
        <f ca="1">AND(NOW()&gt;=tbl_MTG_Set[[#This Row],[Heavy Printing Window Start]], NOW()&lt;=tbl_MTG_Set[[#This Row],[Heavy Printing Window End]])</f>
        <v>#VALUE!</v>
      </c>
      <c r="T125" t="str">
        <f>_xlfn.XLOOKUP(tbl_MTG_Set[[#This Row],[Type Name]], tbl_MTG_Set_Type[Set Type], tbl_MTG_Set_Type[Sell Window Month Start], "(Set Type not found)", 0, 1)</f>
        <v>(Set Type not found)</v>
      </c>
      <c r="U125" s="3" t="e">
        <f>tbl_MTG_Set[[#This Row],[Released On]]+tbl_MTG_Set[[#This Row],[Sell Window Month Start]]*365.25/12</f>
        <v>#VALUE!</v>
      </c>
      <c r="V125" t="str">
        <f>_xlfn.XLOOKUP(tbl_MTG_Set[[#This Row],[Type Name]], tbl_MTG_Set_Type[Set Type], tbl_MTG_Set_Type[Sell Window Month End], "(Set Type not found)", 0, 1)</f>
        <v>(Set Type not found)</v>
      </c>
      <c r="W125" s="3" t="e">
        <f>tbl_MTG_Set[[#This Row],[Released On]]+tbl_MTG_Set[[#This Row],[Sell Window Month End]]*365.25/12</f>
        <v>#VALUE!</v>
      </c>
      <c r="X125" s="3" t="e">
        <f ca="1">AND(NOW()&gt;=tbl_MTG_Set[[#This Row],[Sell Window Start]], NOW()&lt;=tbl_MTG_Set[[#This Row],[Sell Window End]])</f>
        <v>#VALUE!</v>
      </c>
      <c r="AG125" s="10"/>
      <c r="AH125" s="10"/>
      <c r="AM125" s="10" t="str" cm="1">
        <f t="array" ref="AM1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5" s="10" t="str" cm="1">
        <f t="array" ref="AN1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5" s="4" t="e">
        <f>_xlfn.XLOOKUP(tbl_MTG_Set[[#This Row],[Play Booster Box Product Id]], tbl_Product[Product Id], tbl_Product[Pack Size])</f>
        <v>#N/A</v>
      </c>
      <c r="AP125" s="10" t="e">
        <f>(tbl_MTG_Set[[#This Row],[Play Booster Box Cost]]+v_Item_Shipping_Cost_In)/tbl_MTG_Set[[#This Row],[Play Booster Box Size]]</f>
        <v>#VALUE!</v>
      </c>
      <c r="AQ125" s="10" t="str" cm="1">
        <f t="array" ref="AQ1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5" s="10"/>
      <c r="AS125" s="10"/>
      <c r="AT125" s="17" t="e">
        <f>tbl_MTG_Set[[#This Row],[Play Booster CardMarket Profit]]/tbl_MTG_Set[[#This Row],[Play Booster Cost]]</f>
        <v>#VALUE!</v>
      </c>
      <c r="AU125" s="10" t="e">
        <f>_xlfn.XLOOKUP(tbl_MTG_Set[[#This Row],[Collector Booster Box Product Id]], tbl_Product[Product Id], tbl_Product[Min Cost])</f>
        <v>#N/A</v>
      </c>
      <c r="AV125" s="10" t="e">
        <f>_xlfn.XLOOKUP(tbl_MTG_Set[[#This Row],[Collector Booster Box Product Id]], tbl_Product[Product Id], tbl_Product[Best Source])</f>
        <v>#N/A</v>
      </c>
      <c r="AW125" s="4" t="e">
        <f>_xlfn.XLOOKUP(tbl_MTG_Set[[#This Row],[Collector Booster Box Product Id]], tbl_Product[Product Id], tbl_Product[Pack Size])</f>
        <v>#N/A</v>
      </c>
      <c r="AX125" s="10" t="e">
        <f>(tbl_MTG_Set[[#This Row],[Collector Booster Box Cost]] + v_Item_Shipping_Cost_In) / tbl_MTG_Set[[#This Row],[Collector Booster Box Size]]</f>
        <v>#N/A</v>
      </c>
      <c r="AY125" s="10" t="str" cm="1">
        <f t="array" ref="AY1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5" s="10"/>
      <c r="BA1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5" s="17" t="e">
        <f>tbl_MTG_Set[[#This Row],[Collector Booster CardMarket Profit]]/tbl_MTG_Set[[#This Row],[Collector Booster Cost]]</f>
        <v>#N/A</v>
      </c>
      <c r="BC125" s="10"/>
      <c r="BF1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5" s="11" t="e">
        <f>tbl_MTG_Set[[#This Row],[Play Singles CardMarket Profit MTG Stocks]]/tbl_MTG_Set[[#This Row],[Play Booster Cost]]</f>
        <v>#VALUE!</v>
      </c>
      <c r="BI125" s="11" t="b">
        <f>tbl_MTG_Set[[#This Row],[Play Singles CardMarket Profit MTG Stocks]]&gt;0</f>
        <v>0</v>
      </c>
      <c r="BM125" s="10" t="e">
        <f>tbl_MTG_Set[[#This Row],[Play Booster Sell Price CardMarket]]*tbl_MTG_Set[[#This Row],[Play Booster Expected Market Value BotBox]]/tbl_MTG_Set[[#This Row],[Play Booster Sealed Market Value BotBox]]</f>
        <v>#VALUE!</v>
      </c>
      <c r="BN1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5" s="10" t="e">
        <f>tbl_MTG_Set[[#This Row],[Play Singles CardMarket Profit BotBox]]/tbl_MTG_Set[[#This Row],[Play Booster Cost]]</f>
        <v>#VALUE!</v>
      </c>
      <c r="BP125" s="10" t="b">
        <f>tbl_MTG_Set[[#This Row],[Play Singles CardMarket Profit BotBox]]&gt;0</f>
        <v>0</v>
      </c>
      <c r="BQ125" s="10"/>
      <c r="BR125" s="10"/>
      <c r="BS125" s="10"/>
      <c r="BT1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5" s="19" t="e">
        <f>tbl_MTG_Set[[#This Row],[Collector Singles CardMarket Profit MTG Stocks]]/tbl_MTG_Set[[#This Row],[Collector Booster Cost]]</f>
        <v>#N/A</v>
      </c>
      <c r="BW125" s="10" t="b">
        <f>tbl_MTG_Set[[#This Row],[Collector Singles CardMarket Profit MTG Stocks]]&gt;0</f>
        <v>0</v>
      </c>
      <c r="BX125" s="10"/>
      <c r="BY125" s="10"/>
      <c r="BZ1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5" s="10" t="e">
        <f>tbl_MTG_Set[[#This Row],[Collector Singles CardMarket Profit BotBox]]/tbl_MTG_Set[[#This Row],[Collector Booster Cost]]</f>
        <v>#N/A</v>
      </c>
      <c r="CC125" s="10" t="b">
        <f>tbl_MTG_Set[[#This Row],[Collector Singles CardMarket Profit BotBox]]&gt;0</f>
        <v>0</v>
      </c>
      <c r="CD1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6" spans="1:86" hidden="1">
      <c r="A126">
        <v>139</v>
      </c>
      <c r="B126" t="s">
        <v>299</v>
      </c>
      <c r="C126">
        <v>18</v>
      </c>
      <c r="D126" s="3">
        <v>45292</v>
      </c>
      <c r="F126" t="s">
        <v>174</v>
      </c>
      <c r="G126">
        <v>224</v>
      </c>
      <c r="H126">
        <f ca="1">MONTH(NOW())+12*YEAR(NOW())-MONTH(tbl_MTG_Set[[#This Row],[Released On]])-12*YEAR(tbl_MTG_Set[[#This Row],[Released On]])</f>
        <v>26</v>
      </c>
      <c r="I126" t="str">
        <f>_xlfn.XLOOKUP(tbl_MTG_Set[[#This Row],[Type Name]], tbl_MTG_Set_Type[Set Type], tbl_MTG_Set_Type[Index], "(Set Type not found)")</f>
        <v>(Set Type not found)</v>
      </c>
      <c r="J126" t="str">
        <f>_xlfn.XLOOKUP(tbl_MTG_Set[[#This Row],[Type Name]], tbl_MTG_Set_Type[Set Type], tbl_MTG_Set_Type[Buy Window Month Start], "(Set Type not found)")</f>
        <v>(Set Type not found)</v>
      </c>
      <c r="K126" s="3" t="e">
        <f>tbl_MTG_Set[[#This Row],[Released On]]+tbl_MTG_Set[[#This Row],[Buy Window Month Start]]*365.25/12</f>
        <v>#VALUE!</v>
      </c>
      <c r="L126" t="str">
        <f>_xlfn.XLOOKUP(tbl_MTG_Set[[#This Row],[Type Name]], tbl_MTG_Set_Type[Set Type], tbl_MTG_Set_Type[Buy Window Month End], "(Set Type not found)", 0, 1)</f>
        <v>(Set Type not found)</v>
      </c>
      <c r="M126" s="3" t="e">
        <f>tbl_MTG_Set[[#This Row],[Released On]]+tbl_MTG_Set[[#This Row],[Buy Window Month End]]*365.25/12</f>
        <v>#VALUE!</v>
      </c>
      <c r="N126" s="3" t="e">
        <f ca="1">AND(NOW()&gt;=tbl_MTG_Set[[#This Row],[Buy Window Start]], NOW()&lt;=tbl_MTG_Set[[#This Row],[Buy Window End]])</f>
        <v>#VALUE!</v>
      </c>
      <c r="O126" t="str">
        <f>_xlfn.XLOOKUP(tbl_MTG_Set[[#This Row],[Type Name]], tbl_MTG_Set_Type[Set Type], tbl_MTG_Set_Type[Heavy Printing Window Month Start], "(Set Type not found)", 0, 1)</f>
        <v>(Set Type not found)</v>
      </c>
      <c r="P126" s="3" t="e">
        <f>tbl_MTG_Set[[#This Row],[Released On]]+tbl_MTG_Set[[#This Row],[Heavy Printing Window Month Start]]*365.25/12</f>
        <v>#VALUE!</v>
      </c>
      <c r="Q126" t="str">
        <f>_xlfn.XLOOKUP(tbl_MTG_Set[[#This Row],[Type Name]], tbl_MTG_Set_Type[Set Type], tbl_MTG_Set_Type[Heavy Printing Window Month End], "(Set Type not found)", 0, 1)</f>
        <v>(Set Type not found)</v>
      </c>
      <c r="R126" s="3" t="e">
        <f>tbl_MTG_Set[[#This Row],[Released On]]+tbl_MTG_Set[[#This Row],[Heavy Printing Window Month End]]*365.25/12</f>
        <v>#VALUE!</v>
      </c>
      <c r="S126" s="3" t="e">
        <f ca="1">AND(NOW()&gt;=tbl_MTG_Set[[#This Row],[Heavy Printing Window Start]], NOW()&lt;=tbl_MTG_Set[[#This Row],[Heavy Printing Window End]])</f>
        <v>#VALUE!</v>
      </c>
      <c r="T126" t="str">
        <f>_xlfn.XLOOKUP(tbl_MTG_Set[[#This Row],[Type Name]], tbl_MTG_Set_Type[Set Type], tbl_MTG_Set_Type[Sell Window Month Start], "(Set Type not found)", 0, 1)</f>
        <v>(Set Type not found)</v>
      </c>
      <c r="U126" s="3" t="e">
        <f>tbl_MTG_Set[[#This Row],[Released On]]+tbl_MTG_Set[[#This Row],[Sell Window Month Start]]*365.25/12</f>
        <v>#VALUE!</v>
      </c>
      <c r="V126" t="str">
        <f>_xlfn.XLOOKUP(tbl_MTG_Set[[#This Row],[Type Name]], tbl_MTG_Set_Type[Set Type], tbl_MTG_Set_Type[Sell Window Month End], "(Set Type not found)", 0, 1)</f>
        <v>(Set Type not found)</v>
      </c>
      <c r="W126" s="3" t="e">
        <f>tbl_MTG_Set[[#This Row],[Released On]]+tbl_MTG_Set[[#This Row],[Sell Window Month End]]*365.25/12</f>
        <v>#VALUE!</v>
      </c>
      <c r="X126" s="3" t="e">
        <f ca="1">AND(NOW()&gt;=tbl_MTG_Set[[#This Row],[Sell Window Start]], NOW()&lt;=tbl_MTG_Set[[#This Row],[Sell Window End]])</f>
        <v>#VALUE!</v>
      </c>
      <c r="AG126" s="10"/>
      <c r="AH126" s="10"/>
      <c r="AM126" s="10" t="str" cm="1">
        <f t="array" ref="AM1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6" s="10" t="str" cm="1">
        <f t="array" ref="AN1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6" s="4" t="e">
        <f>_xlfn.XLOOKUP(tbl_MTG_Set[[#This Row],[Play Booster Box Product Id]], tbl_Product[Product Id], tbl_Product[Pack Size])</f>
        <v>#N/A</v>
      </c>
      <c r="AP126" s="10" t="e">
        <f>(tbl_MTG_Set[[#This Row],[Play Booster Box Cost]]+v_Item_Shipping_Cost_In)/tbl_MTG_Set[[#This Row],[Play Booster Box Size]]</f>
        <v>#VALUE!</v>
      </c>
      <c r="AQ126" s="10" t="str" cm="1">
        <f t="array" ref="AQ1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6" s="10"/>
      <c r="AS126" s="10"/>
      <c r="AT126" s="17" t="e">
        <f>tbl_MTG_Set[[#This Row],[Play Booster CardMarket Profit]]/tbl_MTG_Set[[#This Row],[Play Booster Cost]]</f>
        <v>#VALUE!</v>
      </c>
      <c r="AU126" s="10" t="e">
        <f>_xlfn.XLOOKUP(tbl_MTG_Set[[#This Row],[Collector Booster Box Product Id]], tbl_Product[Product Id], tbl_Product[Min Cost])</f>
        <v>#N/A</v>
      </c>
      <c r="AV126" s="10" t="e">
        <f>_xlfn.XLOOKUP(tbl_MTG_Set[[#This Row],[Collector Booster Box Product Id]], tbl_Product[Product Id], tbl_Product[Best Source])</f>
        <v>#N/A</v>
      </c>
      <c r="AW126" s="4" t="e">
        <f>_xlfn.XLOOKUP(tbl_MTG_Set[[#This Row],[Collector Booster Box Product Id]], tbl_Product[Product Id], tbl_Product[Pack Size])</f>
        <v>#N/A</v>
      </c>
      <c r="AX126" s="10" t="e">
        <f>(tbl_MTG_Set[[#This Row],[Collector Booster Box Cost]] + v_Item_Shipping_Cost_In) / tbl_MTG_Set[[#This Row],[Collector Booster Box Size]]</f>
        <v>#N/A</v>
      </c>
      <c r="AY126" s="10" t="str" cm="1">
        <f t="array" ref="AY1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6" s="10"/>
      <c r="BA1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6" s="17" t="e">
        <f>tbl_MTG_Set[[#This Row],[Collector Booster CardMarket Profit]]/tbl_MTG_Set[[#This Row],[Collector Booster Cost]]</f>
        <v>#N/A</v>
      </c>
      <c r="BC126" s="10"/>
      <c r="BF1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6" s="11" t="e">
        <f>tbl_MTG_Set[[#This Row],[Play Singles CardMarket Profit MTG Stocks]]/tbl_MTG_Set[[#This Row],[Play Booster Cost]]</f>
        <v>#VALUE!</v>
      </c>
      <c r="BI126" s="11" t="b">
        <f>tbl_MTG_Set[[#This Row],[Play Singles CardMarket Profit MTG Stocks]]&gt;0</f>
        <v>0</v>
      </c>
      <c r="BM126" s="10" t="e">
        <f>tbl_MTG_Set[[#This Row],[Play Booster Sell Price CardMarket]]*tbl_MTG_Set[[#This Row],[Play Booster Expected Market Value BotBox]]/tbl_MTG_Set[[#This Row],[Play Booster Sealed Market Value BotBox]]</f>
        <v>#VALUE!</v>
      </c>
      <c r="BN1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6" s="10" t="e">
        <f>tbl_MTG_Set[[#This Row],[Play Singles CardMarket Profit BotBox]]/tbl_MTG_Set[[#This Row],[Play Booster Cost]]</f>
        <v>#VALUE!</v>
      </c>
      <c r="BP126" s="10" t="b">
        <f>tbl_MTG_Set[[#This Row],[Play Singles CardMarket Profit BotBox]]&gt;0</f>
        <v>0</v>
      </c>
      <c r="BQ126" s="10"/>
      <c r="BR126" s="10"/>
      <c r="BS126" s="10"/>
      <c r="BT1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6" s="19" t="e">
        <f>tbl_MTG_Set[[#This Row],[Collector Singles CardMarket Profit MTG Stocks]]/tbl_MTG_Set[[#This Row],[Collector Booster Cost]]</f>
        <v>#N/A</v>
      </c>
      <c r="BW126" s="10" t="b">
        <f>tbl_MTG_Set[[#This Row],[Collector Singles CardMarket Profit MTG Stocks]]&gt;0</f>
        <v>0</v>
      </c>
      <c r="BX126" s="10"/>
      <c r="BY126" s="10"/>
      <c r="BZ1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6" s="10" t="e">
        <f>tbl_MTG_Set[[#This Row],[Collector Singles CardMarket Profit BotBox]]/tbl_MTG_Set[[#This Row],[Collector Booster Cost]]</f>
        <v>#N/A</v>
      </c>
      <c r="CC126" s="10" t="b">
        <f>tbl_MTG_Set[[#This Row],[Collector Singles CardMarket Profit BotBox]]&gt;0</f>
        <v>0</v>
      </c>
      <c r="CD1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7" spans="1:86" hidden="1">
      <c r="A127">
        <v>140</v>
      </c>
      <c r="B127" t="s">
        <v>300</v>
      </c>
      <c r="C127">
        <v>134</v>
      </c>
      <c r="D127" s="3">
        <v>45247</v>
      </c>
      <c r="F127" t="s">
        <v>174</v>
      </c>
      <c r="G127">
        <v>226</v>
      </c>
      <c r="H127">
        <f ca="1">MONTH(NOW())+12*YEAR(NOW())-MONTH(tbl_MTG_Set[[#This Row],[Released On]])-12*YEAR(tbl_MTG_Set[[#This Row],[Released On]])</f>
        <v>28</v>
      </c>
      <c r="I127" t="str">
        <f>_xlfn.XLOOKUP(tbl_MTG_Set[[#This Row],[Type Name]], tbl_MTG_Set_Type[Set Type], tbl_MTG_Set_Type[Index], "(Set Type not found)")</f>
        <v>(Set Type not found)</v>
      </c>
      <c r="J127" t="str">
        <f>_xlfn.XLOOKUP(tbl_MTG_Set[[#This Row],[Type Name]], tbl_MTG_Set_Type[Set Type], tbl_MTG_Set_Type[Buy Window Month Start], "(Set Type not found)")</f>
        <v>(Set Type not found)</v>
      </c>
      <c r="K127" s="3" t="e">
        <f>tbl_MTG_Set[[#This Row],[Released On]]+tbl_MTG_Set[[#This Row],[Buy Window Month Start]]*365.25/12</f>
        <v>#VALUE!</v>
      </c>
      <c r="L127" t="str">
        <f>_xlfn.XLOOKUP(tbl_MTG_Set[[#This Row],[Type Name]], tbl_MTG_Set_Type[Set Type], tbl_MTG_Set_Type[Buy Window Month End], "(Set Type not found)", 0, 1)</f>
        <v>(Set Type not found)</v>
      </c>
      <c r="M127" s="3" t="e">
        <f>tbl_MTG_Set[[#This Row],[Released On]]+tbl_MTG_Set[[#This Row],[Buy Window Month End]]*365.25/12</f>
        <v>#VALUE!</v>
      </c>
      <c r="N127" s="3" t="e">
        <f ca="1">AND(NOW()&gt;=tbl_MTG_Set[[#This Row],[Buy Window Start]], NOW()&lt;=tbl_MTG_Set[[#This Row],[Buy Window End]])</f>
        <v>#VALUE!</v>
      </c>
      <c r="O127" t="str">
        <f>_xlfn.XLOOKUP(tbl_MTG_Set[[#This Row],[Type Name]], tbl_MTG_Set_Type[Set Type], tbl_MTG_Set_Type[Heavy Printing Window Month Start], "(Set Type not found)", 0, 1)</f>
        <v>(Set Type not found)</v>
      </c>
      <c r="P127" s="3" t="e">
        <f>tbl_MTG_Set[[#This Row],[Released On]]+tbl_MTG_Set[[#This Row],[Heavy Printing Window Month Start]]*365.25/12</f>
        <v>#VALUE!</v>
      </c>
      <c r="Q127" t="str">
        <f>_xlfn.XLOOKUP(tbl_MTG_Set[[#This Row],[Type Name]], tbl_MTG_Set_Type[Set Type], tbl_MTG_Set_Type[Heavy Printing Window Month End], "(Set Type not found)", 0, 1)</f>
        <v>(Set Type not found)</v>
      </c>
      <c r="R127" s="3" t="e">
        <f>tbl_MTG_Set[[#This Row],[Released On]]+tbl_MTG_Set[[#This Row],[Heavy Printing Window Month End]]*365.25/12</f>
        <v>#VALUE!</v>
      </c>
      <c r="S127" s="3" t="e">
        <f ca="1">AND(NOW()&gt;=tbl_MTG_Set[[#This Row],[Heavy Printing Window Start]], NOW()&lt;=tbl_MTG_Set[[#This Row],[Heavy Printing Window End]])</f>
        <v>#VALUE!</v>
      </c>
      <c r="T127" t="str">
        <f>_xlfn.XLOOKUP(tbl_MTG_Set[[#This Row],[Type Name]], tbl_MTG_Set_Type[Set Type], tbl_MTG_Set_Type[Sell Window Month Start], "(Set Type not found)", 0, 1)</f>
        <v>(Set Type not found)</v>
      </c>
      <c r="U127" s="3" t="e">
        <f>tbl_MTG_Set[[#This Row],[Released On]]+tbl_MTG_Set[[#This Row],[Sell Window Month Start]]*365.25/12</f>
        <v>#VALUE!</v>
      </c>
      <c r="V127" t="str">
        <f>_xlfn.XLOOKUP(tbl_MTG_Set[[#This Row],[Type Name]], tbl_MTG_Set_Type[Set Type], tbl_MTG_Set_Type[Sell Window Month End], "(Set Type not found)", 0, 1)</f>
        <v>(Set Type not found)</v>
      </c>
      <c r="W127" s="3" t="e">
        <f>tbl_MTG_Set[[#This Row],[Released On]]+tbl_MTG_Set[[#This Row],[Sell Window Month End]]*365.25/12</f>
        <v>#VALUE!</v>
      </c>
      <c r="X127" s="3" t="e">
        <f ca="1">AND(NOW()&gt;=tbl_MTG_Set[[#This Row],[Sell Window Start]], NOW()&lt;=tbl_MTG_Set[[#This Row],[Sell Window End]])</f>
        <v>#VALUE!</v>
      </c>
      <c r="AG127" s="10"/>
      <c r="AH127" s="10"/>
      <c r="AM127" s="10" t="str" cm="1">
        <f t="array" ref="AM1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7" s="10" t="str" cm="1">
        <f t="array" ref="AN1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7" s="4" t="e">
        <f>_xlfn.XLOOKUP(tbl_MTG_Set[[#This Row],[Play Booster Box Product Id]], tbl_Product[Product Id], tbl_Product[Pack Size])</f>
        <v>#N/A</v>
      </c>
      <c r="AP127" s="10" t="e">
        <f>(tbl_MTG_Set[[#This Row],[Play Booster Box Cost]]+v_Item_Shipping_Cost_In)/tbl_MTG_Set[[#This Row],[Play Booster Box Size]]</f>
        <v>#VALUE!</v>
      </c>
      <c r="AQ127" s="10" t="str" cm="1">
        <f t="array" ref="AQ1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7" s="10"/>
      <c r="AS127" s="10"/>
      <c r="AT127" s="17" t="e">
        <f>tbl_MTG_Set[[#This Row],[Play Booster CardMarket Profit]]/tbl_MTG_Set[[#This Row],[Play Booster Cost]]</f>
        <v>#VALUE!</v>
      </c>
      <c r="AU127" s="10" t="e">
        <f>_xlfn.XLOOKUP(tbl_MTG_Set[[#This Row],[Collector Booster Box Product Id]], tbl_Product[Product Id], tbl_Product[Min Cost])</f>
        <v>#N/A</v>
      </c>
      <c r="AV127" s="10" t="e">
        <f>_xlfn.XLOOKUP(tbl_MTG_Set[[#This Row],[Collector Booster Box Product Id]], tbl_Product[Product Id], tbl_Product[Best Source])</f>
        <v>#N/A</v>
      </c>
      <c r="AW127" s="4" t="e">
        <f>_xlfn.XLOOKUP(tbl_MTG_Set[[#This Row],[Collector Booster Box Product Id]], tbl_Product[Product Id], tbl_Product[Pack Size])</f>
        <v>#N/A</v>
      </c>
      <c r="AX127" s="10" t="e">
        <f>(tbl_MTG_Set[[#This Row],[Collector Booster Box Cost]] + v_Item_Shipping_Cost_In) / tbl_MTG_Set[[#This Row],[Collector Booster Box Size]]</f>
        <v>#N/A</v>
      </c>
      <c r="AY127" s="10" t="str" cm="1">
        <f t="array" ref="AY1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7" s="10"/>
      <c r="BA1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7" s="17" t="e">
        <f>tbl_MTG_Set[[#This Row],[Collector Booster CardMarket Profit]]/tbl_MTG_Set[[#This Row],[Collector Booster Cost]]</f>
        <v>#N/A</v>
      </c>
      <c r="BC127" s="10"/>
      <c r="BF1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7" s="11" t="e">
        <f>tbl_MTG_Set[[#This Row],[Play Singles CardMarket Profit MTG Stocks]]/tbl_MTG_Set[[#This Row],[Play Booster Cost]]</f>
        <v>#VALUE!</v>
      </c>
      <c r="BI127" s="11" t="b">
        <f>tbl_MTG_Set[[#This Row],[Play Singles CardMarket Profit MTG Stocks]]&gt;0</f>
        <v>0</v>
      </c>
      <c r="BM127" s="10" t="e">
        <f>tbl_MTG_Set[[#This Row],[Play Booster Sell Price CardMarket]]*tbl_MTG_Set[[#This Row],[Play Booster Expected Market Value BotBox]]/tbl_MTG_Set[[#This Row],[Play Booster Sealed Market Value BotBox]]</f>
        <v>#VALUE!</v>
      </c>
      <c r="BN1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7" s="10" t="e">
        <f>tbl_MTG_Set[[#This Row],[Play Singles CardMarket Profit BotBox]]/tbl_MTG_Set[[#This Row],[Play Booster Cost]]</f>
        <v>#VALUE!</v>
      </c>
      <c r="BP127" s="10" t="b">
        <f>tbl_MTG_Set[[#This Row],[Play Singles CardMarket Profit BotBox]]&gt;0</f>
        <v>0</v>
      </c>
      <c r="BQ127" s="10"/>
      <c r="BR127" s="10"/>
      <c r="BS127" s="10"/>
      <c r="BT1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7" s="19" t="e">
        <f>tbl_MTG_Set[[#This Row],[Collector Singles CardMarket Profit MTG Stocks]]/tbl_MTG_Set[[#This Row],[Collector Booster Cost]]</f>
        <v>#N/A</v>
      </c>
      <c r="BW127" s="10" t="b">
        <f>tbl_MTG_Set[[#This Row],[Collector Singles CardMarket Profit MTG Stocks]]&gt;0</f>
        <v>0</v>
      </c>
      <c r="BX127" s="10"/>
      <c r="BY127" s="10"/>
      <c r="BZ1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7" s="10" t="e">
        <f>tbl_MTG_Set[[#This Row],[Collector Singles CardMarket Profit BotBox]]/tbl_MTG_Set[[#This Row],[Collector Booster Cost]]</f>
        <v>#N/A</v>
      </c>
      <c r="CC127" s="10" t="b">
        <f>tbl_MTG_Set[[#This Row],[Collector Singles CardMarket Profit BotBox]]&gt;0</f>
        <v>0</v>
      </c>
      <c r="CD1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8" spans="1:86" hidden="1">
      <c r="A128">
        <v>142</v>
      </c>
      <c r="B128" t="s">
        <v>301</v>
      </c>
      <c r="C128">
        <v>136</v>
      </c>
      <c r="D128" s="3">
        <v>45247</v>
      </c>
      <c r="E128" t="s">
        <v>59</v>
      </c>
      <c r="F128" t="s">
        <v>174</v>
      </c>
      <c r="G128">
        <v>230</v>
      </c>
      <c r="H128">
        <f ca="1">MONTH(NOW())+12*YEAR(NOW())-MONTH(tbl_MTG_Set[[#This Row],[Released On]])-12*YEAR(tbl_MTG_Set[[#This Row],[Released On]])</f>
        <v>28</v>
      </c>
      <c r="I128">
        <f>_xlfn.XLOOKUP(tbl_MTG_Set[[#This Row],[Type Name]], tbl_MTG_Set_Type[Set Type], tbl_MTG_Set_Type[Index], "(Set Type not found)")</f>
        <v>1</v>
      </c>
      <c r="J128">
        <f>_xlfn.XLOOKUP(tbl_MTG_Set[[#This Row],[Type Name]], tbl_MTG_Set_Type[Set Type], tbl_MTG_Set_Type[Buy Window Month Start], "(Set Type not found)")</f>
        <v>18</v>
      </c>
      <c r="K128" s="3">
        <f>tbl_MTG_Set[[#This Row],[Released On]]+tbl_MTG_Set[[#This Row],[Buy Window Month Start]]*365.25/12</f>
        <v>45794.875</v>
      </c>
      <c r="L128">
        <f>_xlfn.XLOOKUP(tbl_MTG_Set[[#This Row],[Type Name]], tbl_MTG_Set_Type[Set Type], tbl_MTG_Set_Type[Buy Window Month End], "(Set Type not found)", 0, 1)</f>
        <v>24</v>
      </c>
      <c r="M128" s="3">
        <f>tbl_MTG_Set[[#This Row],[Released On]]+tbl_MTG_Set[[#This Row],[Buy Window Month End]]*365.25/12</f>
        <v>45977.5</v>
      </c>
      <c r="N128" s="3" t="b">
        <f ca="1">AND(NOW()&gt;=tbl_MTG_Set[[#This Row],[Buy Window Start]], NOW()&lt;=tbl_MTG_Set[[#This Row],[Buy Window End]])</f>
        <v>0</v>
      </c>
      <c r="O128">
        <f>_xlfn.XLOOKUP(tbl_MTG_Set[[#This Row],[Type Name]], tbl_MTG_Set_Type[Set Type], tbl_MTG_Set_Type[Heavy Printing Window Month Start], "(Set Type not found)", 0, 1)</f>
        <v>1</v>
      </c>
      <c r="P128" s="3">
        <f>tbl_MTG_Set[[#This Row],[Released On]]+tbl_MTG_Set[[#This Row],[Heavy Printing Window Month Start]]*365.25/12</f>
        <v>45277.4375</v>
      </c>
      <c r="Q128">
        <f>_xlfn.XLOOKUP(tbl_MTG_Set[[#This Row],[Type Name]], tbl_MTG_Set_Type[Set Type], tbl_MTG_Set_Type[Heavy Printing Window Month End], "(Set Type not found)", 0, 1)</f>
        <v>18</v>
      </c>
      <c r="R128" s="3">
        <f>tbl_MTG_Set[[#This Row],[Released On]]+tbl_MTG_Set[[#This Row],[Heavy Printing Window Month End]]*365.25/12</f>
        <v>45794.875</v>
      </c>
      <c r="S128" s="3" t="b">
        <f ca="1">AND(NOW()&gt;=tbl_MTG_Set[[#This Row],[Heavy Printing Window Start]], NOW()&lt;=tbl_MTG_Set[[#This Row],[Heavy Printing Window End]])</f>
        <v>0</v>
      </c>
      <c r="T128">
        <f>_xlfn.XLOOKUP(tbl_MTG_Set[[#This Row],[Type Name]], tbl_MTG_Set_Type[Set Type], tbl_MTG_Set_Type[Sell Window Month Start], "(Set Type not found)", 0, 1)</f>
        <v>36</v>
      </c>
      <c r="U128" s="3">
        <f>tbl_MTG_Set[[#This Row],[Released On]]+tbl_MTG_Set[[#This Row],[Sell Window Month Start]]*365.25/12</f>
        <v>46342.75</v>
      </c>
      <c r="V128">
        <f>_xlfn.XLOOKUP(tbl_MTG_Set[[#This Row],[Type Name]], tbl_MTG_Set_Type[Set Type], tbl_MTG_Set_Type[Sell Window Month End], "(Set Type not found)", 0, 1)</f>
        <v>48</v>
      </c>
      <c r="W128" s="3">
        <f>tbl_MTG_Set[[#This Row],[Released On]]+tbl_MTG_Set[[#This Row],[Sell Window Month End]]*365.25/12</f>
        <v>46708</v>
      </c>
      <c r="X128" s="3" t="b">
        <f ca="1">AND(NOW()&gt;=tbl_MTG_Set[[#This Row],[Sell Window Start]], NOW()&lt;=tbl_MTG_Set[[#This Row],[Sell Window End]])</f>
        <v>0</v>
      </c>
      <c r="AG128" s="10"/>
      <c r="AH128" s="10"/>
      <c r="AM128" s="10" t="str" cm="1">
        <f t="array" ref="AM1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8" s="10" t="str" cm="1">
        <f t="array" ref="AN1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8" s="4" t="e">
        <f>_xlfn.XLOOKUP(tbl_MTG_Set[[#This Row],[Play Booster Box Product Id]], tbl_Product[Product Id], tbl_Product[Pack Size])</f>
        <v>#N/A</v>
      </c>
      <c r="AP128" s="10" t="e">
        <f>(tbl_MTG_Set[[#This Row],[Play Booster Box Cost]]+v_Item_Shipping_Cost_In)/tbl_MTG_Set[[#This Row],[Play Booster Box Size]]</f>
        <v>#VALUE!</v>
      </c>
      <c r="AQ128" s="10" t="str" cm="1">
        <f t="array" ref="AQ1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8" s="10"/>
      <c r="AS128" s="10"/>
      <c r="AT128" s="17" t="e">
        <f>tbl_MTG_Set[[#This Row],[Play Booster CardMarket Profit]]/tbl_MTG_Set[[#This Row],[Play Booster Cost]]</f>
        <v>#VALUE!</v>
      </c>
      <c r="AU128" s="10" t="e">
        <f>_xlfn.XLOOKUP(tbl_MTG_Set[[#This Row],[Collector Booster Box Product Id]], tbl_Product[Product Id], tbl_Product[Min Cost])</f>
        <v>#N/A</v>
      </c>
      <c r="AV128" s="10" t="e">
        <f>_xlfn.XLOOKUP(tbl_MTG_Set[[#This Row],[Collector Booster Box Product Id]], tbl_Product[Product Id], tbl_Product[Best Source])</f>
        <v>#N/A</v>
      </c>
      <c r="AW128" s="4" t="e">
        <f>_xlfn.XLOOKUP(tbl_MTG_Set[[#This Row],[Collector Booster Box Product Id]], tbl_Product[Product Id], tbl_Product[Pack Size])</f>
        <v>#N/A</v>
      </c>
      <c r="AX128" s="10" t="e">
        <f>(tbl_MTG_Set[[#This Row],[Collector Booster Box Cost]] + v_Item_Shipping_Cost_In) / tbl_MTG_Set[[#This Row],[Collector Booster Box Size]]</f>
        <v>#N/A</v>
      </c>
      <c r="AY128" s="10" t="str" cm="1">
        <f t="array" ref="AY1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8" s="10"/>
      <c r="BA1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8" s="17" t="e">
        <f>tbl_MTG_Set[[#This Row],[Collector Booster CardMarket Profit]]/tbl_MTG_Set[[#This Row],[Collector Booster Cost]]</f>
        <v>#N/A</v>
      </c>
      <c r="BC128" s="10"/>
      <c r="BF1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8" s="11" t="e">
        <f>tbl_MTG_Set[[#This Row],[Play Singles CardMarket Profit MTG Stocks]]/tbl_MTG_Set[[#This Row],[Play Booster Cost]]</f>
        <v>#VALUE!</v>
      </c>
      <c r="BI128" s="11" t="b">
        <f>tbl_MTG_Set[[#This Row],[Play Singles CardMarket Profit MTG Stocks]]&gt;0</f>
        <v>0</v>
      </c>
      <c r="BM128" s="10" t="e">
        <f>tbl_MTG_Set[[#This Row],[Play Booster Sell Price CardMarket]]*tbl_MTG_Set[[#This Row],[Play Booster Expected Market Value BotBox]]/tbl_MTG_Set[[#This Row],[Play Booster Sealed Market Value BotBox]]</f>
        <v>#VALUE!</v>
      </c>
      <c r="BN1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8" s="10" t="e">
        <f>tbl_MTG_Set[[#This Row],[Play Singles CardMarket Profit BotBox]]/tbl_MTG_Set[[#This Row],[Play Booster Cost]]</f>
        <v>#VALUE!</v>
      </c>
      <c r="BP128" s="10" t="b">
        <f>tbl_MTG_Set[[#This Row],[Play Singles CardMarket Profit BotBox]]&gt;0</f>
        <v>0</v>
      </c>
      <c r="BQ128" s="10"/>
      <c r="BR128" s="10"/>
      <c r="BS128" s="10"/>
      <c r="BT1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8" s="19" t="e">
        <f>tbl_MTG_Set[[#This Row],[Collector Singles CardMarket Profit MTG Stocks]]/tbl_MTG_Set[[#This Row],[Collector Booster Cost]]</f>
        <v>#N/A</v>
      </c>
      <c r="BW128" s="10" t="b">
        <f>tbl_MTG_Set[[#This Row],[Collector Singles CardMarket Profit MTG Stocks]]&gt;0</f>
        <v>0</v>
      </c>
      <c r="BX128" s="10"/>
      <c r="BY128" s="10"/>
      <c r="BZ1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8" s="10" t="e">
        <f>tbl_MTG_Set[[#This Row],[Collector Singles CardMarket Profit BotBox]]/tbl_MTG_Set[[#This Row],[Collector Booster Cost]]</f>
        <v>#N/A</v>
      </c>
      <c r="CC128" s="10" t="b">
        <f>tbl_MTG_Set[[#This Row],[Collector Singles CardMarket Profit BotBox]]&gt;0</f>
        <v>0</v>
      </c>
      <c r="CD1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29" spans="1:86" hidden="1">
      <c r="A129">
        <v>143</v>
      </c>
      <c r="B129" t="s">
        <v>302</v>
      </c>
      <c r="C129">
        <v>19</v>
      </c>
      <c r="D129" s="3">
        <v>45247</v>
      </c>
      <c r="E129" t="s">
        <v>59</v>
      </c>
      <c r="F129" t="s">
        <v>174</v>
      </c>
      <c r="G129">
        <v>232</v>
      </c>
      <c r="H129">
        <f ca="1">MONTH(NOW())+12*YEAR(NOW())-MONTH(tbl_MTG_Set[[#This Row],[Released On]])-12*YEAR(tbl_MTG_Set[[#This Row],[Released On]])</f>
        <v>28</v>
      </c>
      <c r="I129">
        <f>_xlfn.XLOOKUP(tbl_MTG_Set[[#This Row],[Type Name]], tbl_MTG_Set_Type[Set Type], tbl_MTG_Set_Type[Index], "(Set Type not found)")</f>
        <v>1</v>
      </c>
      <c r="J129">
        <f>_xlfn.XLOOKUP(tbl_MTG_Set[[#This Row],[Type Name]], tbl_MTG_Set_Type[Set Type], tbl_MTG_Set_Type[Buy Window Month Start], "(Set Type not found)")</f>
        <v>18</v>
      </c>
      <c r="K129" s="3">
        <f>tbl_MTG_Set[[#This Row],[Released On]]+tbl_MTG_Set[[#This Row],[Buy Window Month Start]]*365.25/12</f>
        <v>45794.875</v>
      </c>
      <c r="L129">
        <f>_xlfn.XLOOKUP(tbl_MTG_Set[[#This Row],[Type Name]], tbl_MTG_Set_Type[Set Type], tbl_MTG_Set_Type[Buy Window Month End], "(Set Type not found)", 0, 1)</f>
        <v>24</v>
      </c>
      <c r="M129" s="3">
        <f>tbl_MTG_Set[[#This Row],[Released On]]+tbl_MTG_Set[[#This Row],[Buy Window Month End]]*365.25/12</f>
        <v>45977.5</v>
      </c>
      <c r="N129" s="3" t="b">
        <f ca="1">AND(NOW()&gt;=tbl_MTG_Set[[#This Row],[Buy Window Start]], NOW()&lt;=tbl_MTG_Set[[#This Row],[Buy Window End]])</f>
        <v>0</v>
      </c>
      <c r="O129">
        <f>_xlfn.XLOOKUP(tbl_MTG_Set[[#This Row],[Type Name]], tbl_MTG_Set_Type[Set Type], tbl_MTG_Set_Type[Heavy Printing Window Month Start], "(Set Type not found)", 0, 1)</f>
        <v>1</v>
      </c>
      <c r="P129" s="3">
        <f>tbl_MTG_Set[[#This Row],[Released On]]+tbl_MTG_Set[[#This Row],[Heavy Printing Window Month Start]]*365.25/12</f>
        <v>45277.4375</v>
      </c>
      <c r="Q129">
        <f>_xlfn.XLOOKUP(tbl_MTG_Set[[#This Row],[Type Name]], tbl_MTG_Set_Type[Set Type], tbl_MTG_Set_Type[Heavy Printing Window Month End], "(Set Type not found)", 0, 1)</f>
        <v>18</v>
      </c>
      <c r="R129" s="3">
        <f>tbl_MTG_Set[[#This Row],[Released On]]+tbl_MTG_Set[[#This Row],[Heavy Printing Window Month End]]*365.25/12</f>
        <v>45794.875</v>
      </c>
      <c r="S129" s="3" t="b">
        <f ca="1">AND(NOW()&gt;=tbl_MTG_Set[[#This Row],[Heavy Printing Window Start]], NOW()&lt;=tbl_MTG_Set[[#This Row],[Heavy Printing Window End]])</f>
        <v>0</v>
      </c>
      <c r="T129">
        <f>_xlfn.XLOOKUP(tbl_MTG_Set[[#This Row],[Type Name]], tbl_MTG_Set_Type[Set Type], tbl_MTG_Set_Type[Sell Window Month Start], "(Set Type not found)", 0, 1)</f>
        <v>36</v>
      </c>
      <c r="U129" s="3">
        <f>tbl_MTG_Set[[#This Row],[Released On]]+tbl_MTG_Set[[#This Row],[Sell Window Month Start]]*365.25/12</f>
        <v>46342.75</v>
      </c>
      <c r="V129">
        <f>_xlfn.XLOOKUP(tbl_MTG_Set[[#This Row],[Type Name]], tbl_MTG_Set_Type[Set Type], tbl_MTG_Set_Type[Sell Window Month End], "(Set Type not found)", 0, 1)</f>
        <v>48</v>
      </c>
      <c r="W129" s="3">
        <f>tbl_MTG_Set[[#This Row],[Released On]]+tbl_MTG_Set[[#This Row],[Sell Window Month End]]*365.25/12</f>
        <v>46708</v>
      </c>
      <c r="X129" s="3" t="b">
        <f ca="1">AND(NOW()&gt;=tbl_MTG_Set[[#This Row],[Sell Window Start]], NOW()&lt;=tbl_MTG_Set[[#This Row],[Sell Window End]])</f>
        <v>0</v>
      </c>
      <c r="AG129" s="10"/>
      <c r="AH129" s="10"/>
      <c r="AM129" s="10" t="str" cm="1">
        <f t="array" ref="AM1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29" s="10" t="str" cm="1">
        <f t="array" ref="AN1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29" s="4" t="e">
        <f>_xlfn.XLOOKUP(tbl_MTG_Set[[#This Row],[Play Booster Box Product Id]], tbl_Product[Product Id], tbl_Product[Pack Size])</f>
        <v>#N/A</v>
      </c>
      <c r="AP129" s="10" t="e">
        <f>(tbl_MTG_Set[[#This Row],[Play Booster Box Cost]]+v_Item_Shipping_Cost_In)/tbl_MTG_Set[[#This Row],[Play Booster Box Size]]</f>
        <v>#VALUE!</v>
      </c>
      <c r="AQ129" s="10" t="str" cm="1">
        <f t="array" ref="AQ1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29" s="10"/>
      <c r="AS129" s="10"/>
      <c r="AT129" s="17" t="e">
        <f>tbl_MTG_Set[[#This Row],[Play Booster CardMarket Profit]]/tbl_MTG_Set[[#This Row],[Play Booster Cost]]</f>
        <v>#VALUE!</v>
      </c>
      <c r="AU129" s="10" t="e">
        <f>_xlfn.XLOOKUP(tbl_MTG_Set[[#This Row],[Collector Booster Box Product Id]], tbl_Product[Product Id], tbl_Product[Min Cost])</f>
        <v>#N/A</v>
      </c>
      <c r="AV129" s="10" t="e">
        <f>_xlfn.XLOOKUP(tbl_MTG_Set[[#This Row],[Collector Booster Box Product Id]], tbl_Product[Product Id], tbl_Product[Best Source])</f>
        <v>#N/A</v>
      </c>
      <c r="AW129" s="4" t="e">
        <f>_xlfn.XLOOKUP(tbl_MTG_Set[[#This Row],[Collector Booster Box Product Id]], tbl_Product[Product Id], tbl_Product[Pack Size])</f>
        <v>#N/A</v>
      </c>
      <c r="AX129" s="10" t="e">
        <f>(tbl_MTG_Set[[#This Row],[Collector Booster Box Cost]] + v_Item_Shipping_Cost_In) / tbl_MTG_Set[[#This Row],[Collector Booster Box Size]]</f>
        <v>#N/A</v>
      </c>
      <c r="AY129" s="10" t="str" cm="1">
        <f t="array" ref="AY1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29" s="10"/>
      <c r="BA1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29" s="17" t="e">
        <f>tbl_MTG_Set[[#This Row],[Collector Booster CardMarket Profit]]/tbl_MTG_Set[[#This Row],[Collector Booster Cost]]</f>
        <v>#N/A</v>
      </c>
      <c r="BC129" s="10"/>
      <c r="BF1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29" s="11" t="e">
        <f>tbl_MTG_Set[[#This Row],[Play Singles CardMarket Profit MTG Stocks]]/tbl_MTG_Set[[#This Row],[Play Booster Cost]]</f>
        <v>#VALUE!</v>
      </c>
      <c r="BI129" s="11" t="b">
        <f>tbl_MTG_Set[[#This Row],[Play Singles CardMarket Profit MTG Stocks]]&gt;0</f>
        <v>0</v>
      </c>
      <c r="BM129" s="10" t="e">
        <f>tbl_MTG_Set[[#This Row],[Play Booster Sell Price CardMarket]]*tbl_MTG_Set[[#This Row],[Play Booster Expected Market Value BotBox]]/tbl_MTG_Set[[#This Row],[Play Booster Sealed Market Value BotBox]]</f>
        <v>#VALUE!</v>
      </c>
      <c r="BN1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29" s="10" t="e">
        <f>tbl_MTG_Set[[#This Row],[Play Singles CardMarket Profit BotBox]]/tbl_MTG_Set[[#This Row],[Play Booster Cost]]</f>
        <v>#VALUE!</v>
      </c>
      <c r="BP129" s="10" t="b">
        <f>tbl_MTG_Set[[#This Row],[Play Singles CardMarket Profit BotBox]]&gt;0</f>
        <v>0</v>
      </c>
      <c r="BQ129" s="10"/>
      <c r="BR129" s="10"/>
      <c r="BS129" s="10"/>
      <c r="BT1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29" s="19" t="e">
        <f>tbl_MTG_Set[[#This Row],[Collector Singles CardMarket Profit MTG Stocks]]/tbl_MTG_Set[[#This Row],[Collector Booster Cost]]</f>
        <v>#N/A</v>
      </c>
      <c r="BW129" s="10" t="b">
        <f>tbl_MTG_Set[[#This Row],[Collector Singles CardMarket Profit MTG Stocks]]&gt;0</f>
        <v>0</v>
      </c>
      <c r="BX129" s="10"/>
      <c r="BY129" s="10"/>
      <c r="BZ1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29" s="10" t="e">
        <f>tbl_MTG_Set[[#This Row],[Collector Singles CardMarket Profit BotBox]]/tbl_MTG_Set[[#This Row],[Collector Booster Cost]]</f>
        <v>#N/A</v>
      </c>
      <c r="CC129" s="10" t="b">
        <f>tbl_MTG_Set[[#This Row],[Collector Singles CardMarket Profit BotBox]]&gt;0</f>
        <v>0</v>
      </c>
      <c r="CD1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0" spans="1:86" hidden="1">
      <c r="A130">
        <v>144</v>
      </c>
      <c r="B130" t="s">
        <v>303</v>
      </c>
      <c r="C130">
        <v>30</v>
      </c>
      <c r="D130" s="3">
        <v>45265</v>
      </c>
      <c r="F130" t="s">
        <v>174</v>
      </c>
      <c r="G130">
        <v>234</v>
      </c>
      <c r="H130">
        <f ca="1">MONTH(NOW())+12*YEAR(NOW())-MONTH(tbl_MTG_Set[[#This Row],[Released On]])-12*YEAR(tbl_MTG_Set[[#This Row],[Released On]])</f>
        <v>27</v>
      </c>
      <c r="I130" t="str">
        <f>_xlfn.XLOOKUP(tbl_MTG_Set[[#This Row],[Type Name]], tbl_MTG_Set_Type[Set Type], tbl_MTG_Set_Type[Index], "(Set Type not found)")</f>
        <v>(Set Type not found)</v>
      </c>
      <c r="J130" t="str">
        <f>_xlfn.XLOOKUP(tbl_MTG_Set[[#This Row],[Type Name]], tbl_MTG_Set_Type[Set Type], tbl_MTG_Set_Type[Buy Window Month Start], "(Set Type not found)")</f>
        <v>(Set Type not found)</v>
      </c>
      <c r="K130" s="3" t="e">
        <f>tbl_MTG_Set[[#This Row],[Released On]]+tbl_MTG_Set[[#This Row],[Buy Window Month Start]]*365.25/12</f>
        <v>#VALUE!</v>
      </c>
      <c r="L130" t="str">
        <f>_xlfn.XLOOKUP(tbl_MTG_Set[[#This Row],[Type Name]], tbl_MTG_Set_Type[Set Type], tbl_MTG_Set_Type[Buy Window Month End], "(Set Type not found)", 0, 1)</f>
        <v>(Set Type not found)</v>
      </c>
      <c r="M130" s="3" t="e">
        <f>tbl_MTG_Set[[#This Row],[Released On]]+tbl_MTG_Set[[#This Row],[Buy Window Month End]]*365.25/12</f>
        <v>#VALUE!</v>
      </c>
      <c r="N130" s="3" t="e">
        <f ca="1">AND(NOW()&gt;=tbl_MTG_Set[[#This Row],[Buy Window Start]], NOW()&lt;=tbl_MTG_Set[[#This Row],[Buy Window End]])</f>
        <v>#VALUE!</v>
      </c>
      <c r="O130" t="str">
        <f>_xlfn.XLOOKUP(tbl_MTG_Set[[#This Row],[Type Name]], tbl_MTG_Set_Type[Set Type], tbl_MTG_Set_Type[Heavy Printing Window Month Start], "(Set Type not found)", 0, 1)</f>
        <v>(Set Type not found)</v>
      </c>
      <c r="P130" s="3" t="e">
        <f>tbl_MTG_Set[[#This Row],[Released On]]+tbl_MTG_Set[[#This Row],[Heavy Printing Window Month Start]]*365.25/12</f>
        <v>#VALUE!</v>
      </c>
      <c r="Q130" t="str">
        <f>_xlfn.XLOOKUP(tbl_MTG_Set[[#This Row],[Type Name]], tbl_MTG_Set_Type[Set Type], tbl_MTG_Set_Type[Heavy Printing Window Month End], "(Set Type not found)", 0, 1)</f>
        <v>(Set Type not found)</v>
      </c>
      <c r="R130" s="3" t="e">
        <f>tbl_MTG_Set[[#This Row],[Released On]]+tbl_MTG_Set[[#This Row],[Heavy Printing Window Month End]]*365.25/12</f>
        <v>#VALUE!</v>
      </c>
      <c r="S130" s="3" t="e">
        <f ca="1">AND(NOW()&gt;=tbl_MTG_Set[[#This Row],[Heavy Printing Window Start]], NOW()&lt;=tbl_MTG_Set[[#This Row],[Heavy Printing Window End]])</f>
        <v>#VALUE!</v>
      </c>
      <c r="T130" t="str">
        <f>_xlfn.XLOOKUP(tbl_MTG_Set[[#This Row],[Type Name]], tbl_MTG_Set_Type[Set Type], tbl_MTG_Set_Type[Sell Window Month Start], "(Set Type not found)", 0, 1)</f>
        <v>(Set Type not found)</v>
      </c>
      <c r="U130" s="3" t="e">
        <f>tbl_MTG_Set[[#This Row],[Released On]]+tbl_MTG_Set[[#This Row],[Sell Window Month Start]]*365.25/12</f>
        <v>#VALUE!</v>
      </c>
      <c r="V130" t="str">
        <f>_xlfn.XLOOKUP(tbl_MTG_Set[[#This Row],[Type Name]], tbl_MTG_Set_Type[Set Type], tbl_MTG_Set_Type[Sell Window Month End], "(Set Type not found)", 0, 1)</f>
        <v>(Set Type not found)</v>
      </c>
      <c r="W130" s="3" t="e">
        <f>tbl_MTG_Set[[#This Row],[Released On]]+tbl_MTG_Set[[#This Row],[Sell Window Month End]]*365.25/12</f>
        <v>#VALUE!</v>
      </c>
      <c r="X130" s="3" t="e">
        <f ca="1">AND(NOW()&gt;=tbl_MTG_Set[[#This Row],[Sell Window Start]], NOW()&lt;=tbl_MTG_Set[[#This Row],[Sell Window End]])</f>
        <v>#VALUE!</v>
      </c>
      <c r="AG130" s="10"/>
      <c r="AH130" s="10"/>
      <c r="AM130" s="10" t="str" cm="1">
        <f t="array" ref="AM1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0" s="10" t="str" cm="1">
        <f t="array" ref="AN1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0" s="4" t="e">
        <f>_xlfn.XLOOKUP(tbl_MTG_Set[[#This Row],[Play Booster Box Product Id]], tbl_Product[Product Id], tbl_Product[Pack Size])</f>
        <v>#N/A</v>
      </c>
      <c r="AP130" s="10" t="e">
        <f>(tbl_MTG_Set[[#This Row],[Play Booster Box Cost]]+v_Item_Shipping_Cost_In)/tbl_MTG_Set[[#This Row],[Play Booster Box Size]]</f>
        <v>#VALUE!</v>
      </c>
      <c r="AQ130" s="10" t="str" cm="1">
        <f t="array" ref="AQ1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0" s="10"/>
      <c r="AS130" s="10"/>
      <c r="AT130" s="17" t="e">
        <f>tbl_MTG_Set[[#This Row],[Play Booster CardMarket Profit]]/tbl_MTG_Set[[#This Row],[Play Booster Cost]]</f>
        <v>#VALUE!</v>
      </c>
      <c r="AU130" s="10" t="e">
        <f>_xlfn.XLOOKUP(tbl_MTG_Set[[#This Row],[Collector Booster Box Product Id]], tbl_Product[Product Id], tbl_Product[Min Cost])</f>
        <v>#N/A</v>
      </c>
      <c r="AV130" s="10" t="e">
        <f>_xlfn.XLOOKUP(tbl_MTG_Set[[#This Row],[Collector Booster Box Product Id]], tbl_Product[Product Id], tbl_Product[Best Source])</f>
        <v>#N/A</v>
      </c>
      <c r="AW130" s="4" t="e">
        <f>_xlfn.XLOOKUP(tbl_MTG_Set[[#This Row],[Collector Booster Box Product Id]], tbl_Product[Product Id], tbl_Product[Pack Size])</f>
        <v>#N/A</v>
      </c>
      <c r="AX130" s="10" t="e">
        <f>(tbl_MTG_Set[[#This Row],[Collector Booster Box Cost]] + v_Item_Shipping_Cost_In) / tbl_MTG_Set[[#This Row],[Collector Booster Box Size]]</f>
        <v>#N/A</v>
      </c>
      <c r="AY130" s="10" t="str" cm="1">
        <f t="array" ref="AY1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0" s="10"/>
      <c r="BA1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0" s="17" t="e">
        <f>tbl_MTG_Set[[#This Row],[Collector Booster CardMarket Profit]]/tbl_MTG_Set[[#This Row],[Collector Booster Cost]]</f>
        <v>#N/A</v>
      </c>
      <c r="BC130" s="10"/>
      <c r="BF1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0" s="11" t="e">
        <f>tbl_MTG_Set[[#This Row],[Play Singles CardMarket Profit MTG Stocks]]/tbl_MTG_Set[[#This Row],[Play Booster Cost]]</f>
        <v>#VALUE!</v>
      </c>
      <c r="BI130" s="11" t="b">
        <f>tbl_MTG_Set[[#This Row],[Play Singles CardMarket Profit MTG Stocks]]&gt;0</f>
        <v>0</v>
      </c>
      <c r="BM130" s="10" t="e">
        <f>tbl_MTG_Set[[#This Row],[Play Booster Sell Price CardMarket]]*tbl_MTG_Set[[#This Row],[Play Booster Expected Market Value BotBox]]/tbl_MTG_Set[[#This Row],[Play Booster Sealed Market Value BotBox]]</f>
        <v>#VALUE!</v>
      </c>
      <c r="BN1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0" s="10" t="e">
        <f>tbl_MTG_Set[[#This Row],[Play Singles CardMarket Profit BotBox]]/tbl_MTG_Set[[#This Row],[Play Booster Cost]]</f>
        <v>#VALUE!</v>
      </c>
      <c r="BP130" s="10" t="b">
        <f>tbl_MTG_Set[[#This Row],[Play Singles CardMarket Profit BotBox]]&gt;0</f>
        <v>0</v>
      </c>
      <c r="BQ130" s="10"/>
      <c r="BR130" s="10"/>
      <c r="BS130" s="10"/>
      <c r="BT1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0" s="19" t="e">
        <f>tbl_MTG_Set[[#This Row],[Collector Singles CardMarket Profit MTG Stocks]]/tbl_MTG_Set[[#This Row],[Collector Booster Cost]]</f>
        <v>#N/A</v>
      </c>
      <c r="BW130" s="10" t="b">
        <f>tbl_MTG_Set[[#This Row],[Collector Singles CardMarket Profit MTG Stocks]]&gt;0</f>
        <v>0</v>
      </c>
      <c r="BX130" s="10"/>
      <c r="BY130" s="10"/>
      <c r="BZ1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0" s="10" t="e">
        <f>tbl_MTG_Set[[#This Row],[Collector Singles CardMarket Profit BotBox]]/tbl_MTG_Set[[#This Row],[Collector Booster Cost]]</f>
        <v>#N/A</v>
      </c>
      <c r="CC130" s="10" t="b">
        <f>tbl_MTG_Set[[#This Row],[Collector Singles CardMarket Profit BotBox]]&gt;0</f>
        <v>0</v>
      </c>
      <c r="CD1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1" spans="1:86" hidden="1">
      <c r="A131">
        <v>145</v>
      </c>
      <c r="B131" t="s">
        <v>304</v>
      </c>
      <c r="C131">
        <v>81</v>
      </c>
      <c r="D131" s="3">
        <v>45247</v>
      </c>
      <c r="E131" t="s">
        <v>59</v>
      </c>
      <c r="F131" t="s">
        <v>174</v>
      </c>
      <c r="G131">
        <v>236</v>
      </c>
      <c r="H131">
        <f ca="1">MONTH(NOW())+12*YEAR(NOW())-MONTH(tbl_MTG_Set[[#This Row],[Released On]])-12*YEAR(tbl_MTG_Set[[#This Row],[Released On]])</f>
        <v>28</v>
      </c>
      <c r="I131">
        <f>_xlfn.XLOOKUP(tbl_MTG_Set[[#This Row],[Type Name]], tbl_MTG_Set_Type[Set Type], tbl_MTG_Set_Type[Index], "(Set Type not found)")</f>
        <v>1</v>
      </c>
      <c r="J131">
        <f>_xlfn.XLOOKUP(tbl_MTG_Set[[#This Row],[Type Name]], tbl_MTG_Set_Type[Set Type], tbl_MTG_Set_Type[Buy Window Month Start], "(Set Type not found)")</f>
        <v>18</v>
      </c>
      <c r="K131" s="3">
        <f>tbl_MTG_Set[[#This Row],[Released On]]+tbl_MTG_Set[[#This Row],[Buy Window Month Start]]*365.25/12</f>
        <v>45794.875</v>
      </c>
      <c r="L131">
        <f>_xlfn.XLOOKUP(tbl_MTG_Set[[#This Row],[Type Name]], tbl_MTG_Set_Type[Set Type], tbl_MTG_Set_Type[Buy Window Month End], "(Set Type not found)", 0, 1)</f>
        <v>24</v>
      </c>
      <c r="M131" s="3">
        <f>tbl_MTG_Set[[#This Row],[Released On]]+tbl_MTG_Set[[#This Row],[Buy Window Month End]]*365.25/12</f>
        <v>45977.5</v>
      </c>
      <c r="N131" s="3" t="b">
        <f ca="1">AND(NOW()&gt;=tbl_MTG_Set[[#This Row],[Buy Window Start]], NOW()&lt;=tbl_MTG_Set[[#This Row],[Buy Window End]])</f>
        <v>0</v>
      </c>
      <c r="O131">
        <f>_xlfn.XLOOKUP(tbl_MTG_Set[[#This Row],[Type Name]], tbl_MTG_Set_Type[Set Type], tbl_MTG_Set_Type[Heavy Printing Window Month Start], "(Set Type not found)", 0, 1)</f>
        <v>1</v>
      </c>
      <c r="P131" s="3">
        <f>tbl_MTG_Set[[#This Row],[Released On]]+tbl_MTG_Set[[#This Row],[Heavy Printing Window Month Start]]*365.25/12</f>
        <v>45277.4375</v>
      </c>
      <c r="Q131">
        <f>_xlfn.XLOOKUP(tbl_MTG_Set[[#This Row],[Type Name]], tbl_MTG_Set_Type[Set Type], tbl_MTG_Set_Type[Heavy Printing Window Month End], "(Set Type not found)", 0, 1)</f>
        <v>18</v>
      </c>
      <c r="R131" s="3">
        <f>tbl_MTG_Set[[#This Row],[Released On]]+tbl_MTG_Set[[#This Row],[Heavy Printing Window Month End]]*365.25/12</f>
        <v>45794.875</v>
      </c>
      <c r="S131" s="3" t="b">
        <f ca="1">AND(NOW()&gt;=tbl_MTG_Set[[#This Row],[Heavy Printing Window Start]], NOW()&lt;=tbl_MTG_Set[[#This Row],[Heavy Printing Window End]])</f>
        <v>0</v>
      </c>
      <c r="T131">
        <f>_xlfn.XLOOKUP(tbl_MTG_Set[[#This Row],[Type Name]], tbl_MTG_Set_Type[Set Type], tbl_MTG_Set_Type[Sell Window Month Start], "(Set Type not found)", 0, 1)</f>
        <v>36</v>
      </c>
      <c r="U131" s="3">
        <f>tbl_MTG_Set[[#This Row],[Released On]]+tbl_MTG_Set[[#This Row],[Sell Window Month Start]]*365.25/12</f>
        <v>46342.75</v>
      </c>
      <c r="V131">
        <f>_xlfn.XLOOKUP(tbl_MTG_Set[[#This Row],[Type Name]], tbl_MTG_Set_Type[Set Type], tbl_MTG_Set_Type[Sell Window Month End], "(Set Type not found)", 0, 1)</f>
        <v>48</v>
      </c>
      <c r="W131" s="3">
        <f>tbl_MTG_Set[[#This Row],[Released On]]+tbl_MTG_Set[[#This Row],[Sell Window Month End]]*365.25/12</f>
        <v>46708</v>
      </c>
      <c r="X131" s="3" t="b">
        <f ca="1">AND(NOW()&gt;=tbl_MTG_Set[[#This Row],[Sell Window Start]], NOW()&lt;=tbl_MTG_Set[[#This Row],[Sell Window End]])</f>
        <v>0</v>
      </c>
      <c r="AG131" s="10"/>
      <c r="AH131" s="10"/>
      <c r="AM131" s="10" t="str" cm="1">
        <f t="array" ref="AM1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1" s="10" t="str" cm="1">
        <f t="array" ref="AN1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1" s="4" t="e">
        <f>_xlfn.XLOOKUP(tbl_MTG_Set[[#This Row],[Play Booster Box Product Id]], tbl_Product[Product Id], tbl_Product[Pack Size])</f>
        <v>#N/A</v>
      </c>
      <c r="AP131" s="10" t="e">
        <f>(tbl_MTG_Set[[#This Row],[Play Booster Box Cost]]+v_Item_Shipping_Cost_In)/tbl_MTG_Set[[#This Row],[Play Booster Box Size]]</f>
        <v>#VALUE!</v>
      </c>
      <c r="AQ131" s="10" t="str" cm="1">
        <f t="array" ref="AQ1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1" s="10"/>
      <c r="AS131" s="10"/>
      <c r="AT131" s="17" t="e">
        <f>tbl_MTG_Set[[#This Row],[Play Booster CardMarket Profit]]/tbl_MTG_Set[[#This Row],[Play Booster Cost]]</f>
        <v>#VALUE!</v>
      </c>
      <c r="AU131" s="10" t="e">
        <f>_xlfn.XLOOKUP(tbl_MTG_Set[[#This Row],[Collector Booster Box Product Id]], tbl_Product[Product Id], tbl_Product[Min Cost])</f>
        <v>#N/A</v>
      </c>
      <c r="AV131" s="10" t="e">
        <f>_xlfn.XLOOKUP(tbl_MTG_Set[[#This Row],[Collector Booster Box Product Id]], tbl_Product[Product Id], tbl_Product[Best Source])</f>
        <v>#N/A</v>
      </c>
      <c r="AW131" s="4" t="e">
        <f>_xlfn.XLOOKUP(tbl_MTG_Set[[#This Row],[Collector Booster Box Product Id]], tbl_Product[Product Id], tbl_Product[Pack Size])</f>
        <v>#N/A</v>
      </c>
      <c r="AX131" s="10" t="e">
        <f>(tbl_MTG_Set[[#This Row],[Collector Booster Box Cost]] + v_Item_Shipping_Cost_In) / tbl_MTG_Set[[#This Row],[Collector Booster Box Size]]</f>
        <v>#N/A</v>
      </c>
      <c r="AY131" s="10" t="str" cm="1">
        <f t="array" ref="AY1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1" s="10"/>
      <c r="BA1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1" s="17" t="e">
        <f>tbl_MTG_Set[[#This Row],[Collector Booster CardMarket Profit]]/tbl_MTG_Set[[#This Row],[Collector Booster Cost]]</f>
        <v>#N/A</v>
      </c>
      <c r="BC131" s="10"/>
      <c r="BF1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1" s="11" t="e">
        <f>tbl_MTG_Set[[#This Row],[Play Singles CardMarket Profit MTG Stocks]]/tbl_MTG_Set[[#This Row],[Play Booster Cost]]</f>
        <v>#VALUE!</v>
      </c>
      <c r="BI131" s="11" t="b">
        <f>tbl_MTG_Set[[#This Row],[Play Singles CardMarket Profit MTG Stocks]]&gt;0</f>
        <v>0</v>
      </c>
      <c r="BM131" s="10" t="e">
        <f>tbl_MTG_Set[[#This Row],[Play Booster Sell Price CardMarket]]*tbl_MTG_Set[[#This Row],[Play Booster Expected Market Value BotBox]]/tbl_MTG_Set[[#This Row],[Play Booster Sealed Market Value BotBox]]</f>
        <v>#VALUE!</v>
      </c>
      <c r="BN1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1" s="10" t="e">
        <f>tbl_MTG_Set[[#This Row],[Play Singles CardMarket Profit BotBox]]/tbl_MTG_Set[[#This Row],[Play Booster Cost]]</f>
        <v>#VALUE!</v>
      </c>
      <c r="BP131" s="10" t="b">
        <f>tbl_MTG_Set[[#This Row],[Play Singles CardMarket Profit BotBox]]&gt;0</f>
        <v>0</v>
      </c>
      <c r="BQ131" s="10"/>
      <c r="BR131" s="10"/>
      <c r="BS131" s="10"/>
      <c r="BT1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1" s="19" t="e">
        <f>tbl_MTG_Set[[#This Row],[Collector Singles CardMarket Profit MTG Stocks]]/tbl_MTG_Set[[#This Row],[Collector Booster Cost]]</f>
        <v>#N/A</v>
      </c>
      <c r="BW131" s="10" t="b">
        <f>tbl_MTG_Set[[#This Row],[Collector Singles CardMarket Profit MTG Stocks]]&gt;0</f>
        <v>0</v>
      </c>
      <c r="BX131" s="10"/>
      <c r="BY131" s="10"/>
      <c r="BZ1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1" s="10" t="e">
        <f>tbl_MTG_Set[[#This Row],[Collector Singles CardMarket Profit BotBox]]/tbl_MTG_Set[[#This Row],[Collector Booster Cost]]</f>
        <v>#N/A</v>
      </c>
      <c r="CC131" s="10" t="b">
        <f>tbl_MTG_Set[[#This Row],[Collector Singles CardMarket Profit BotBox]]&gt;0</f>
        <v>0</v>
      </c>
      <c r="CD1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2" spans="1:86" hidden="1">
      <c r="A132">
        <v>146</v>
      </c>
      <c r="B132" t="s">
        <v>305</v>
      </c>
      <c r="C132">
        <v>1</v>
      </c>
      <c r="D132" s="3">
        <v>45247</v>
      </c>
      <c r="E132" t="s">
        <v>59</v>
      </c>
      <c r="F132" t="s">
        <v>174</v>
      </c>
      <c r="G132">
        <v>238</v>
      </c>
      <c r="H132">
        <f ca="1">MONTH(NOW())+12*YEAR(NOW())-MONTH(tbl_MTG_Set[[#This Row],[Released On]])-12*YEAR(tbl_MTG_Set[[#This Row],[Released On]])</f>
        <v>28</v>
      </c>
      <c r="I132">
        <f>_xlfn.XLOOKUP(tbl_MTG_Set[[#This Row],[Type Name]], tbl_MTG_Set_Type[Set Type], tbl_MTG_Set_Type[Index], "(Set Type not found)")</f>
        <v>1</v>
      </c>
      <c r="J132">
        <f>_xlfn.XLOOKUP(tbl_MTG_Set[[#This Row],[Type Name]], tbl_MTG_Set_Type[Set Type], tbl_MTG_Set_Type[Buy Window Month Start], "(Set Type not found)")</f>
        <v>18</v>
      </c>
      <c r="K132" s="3">
        <f>tbl_MTG_Set[[#This Row],[Released On]]+tbl_MTG_Set[[#This Row],[Buy Window Month Start]]*365.25/12</f>
        <v>45794.875</v>
      </c>
      <c r="L132">
        <f>_xlfn.XLOOKUP(tbl_MTG_Set[[#This Row],[Type Name]], tbl_MTG_Set_Type[Set Type], tbl_MTG_Set_Type[Buy Window Month End], "(Set Type not found)", 0, 1)</f>
        <v>24</v>
      </c>
      <c r="M132" s="3">
        <f>tbl_MTG_Set[[#This Row],[Released On]]+tbl_MTG_Set[[#This Row],[Buy Window Month End]]*365.25/12</f>
        <v>45977.5</v>
      </c>
      <c r="N132" s="3" t="b">
        <f ca="1">AND(NOW()&gt;=tbl_MTG_Set[[#This Row],[Buy Window Start]], NOW()&lt;=tbl_MTG_Set[[#This Row],[Buy Window End]])</f>
        <v>0</v>
      </c>
      <c r="O132">
        <f>_xlfn.XLOOKUP(tbl_MTG_Set[[#This Row],[Type Name]], tbl_MTG_Set_Type[Set Type], tbl_MTG_Set_Type[Heavy Printing Window Month Start], "(Set Type not found)", 0, 1)</f>
        <v>1</v>
      </c>
      <c r="P132" s="3">
        <f>tbl_MTG_Set[[#This Row],[Released On]]+tbl_MTG_Set[[#This Row],[Heavy Printing Window Month Start]]*365.25/12</f>
        <v>45277.4375</v>
      </c>
      <c r="Q132">
        <f>_xlfn.XLOOKUP(tbl_MTG_Set[[#This Row],[Type Name]], tbl_MTG_Set_Type[Set Type], tbl_MTG_Set_Type[Heavy Printing Window Month End], "(Set Type not found)", 0, 1)</f>
        <v>18</v>
      </c>
      <c r="R132" s="3">
        <f>tbl_MTG_Set[[#This Row],[Released On]]+tbl_MTG_Set[[#This Row],[Heavy Printing Window Month End]]*365.25/12</f>
        <v>45794.875</v>
      </c>
      <c r="S132" s="3" t="b">
        <f ca="1">AND(NOW()&gt;=tbl_MTG_Set[[#This Row],[Heavy Printing Window Start]], NOW()&lt;=tbl_MTG_Set[[#This Row],[Heavy Printing Window End]])</f>
        <v>0</v>
      </c>
      <c r="T132">
        <f>_xlfn.XLOOKUP(tbl_MTG_Set[[#This Row],[Type Name]], tbl_MTG_Set_Type[Set Type], tbl_MTG_Set_Type[Sell Window Month Start], "(Set Type not found)", 0, 1)</f>
        <v>36</v>
      </c>
      <c r="U132" s="3">
        <f>tbl_MTG_Set[[#This Row],[Released On]]+tbl_MTG_Set[[#This Row],[Sell Window Month Start]]*365.25/12</f>
        <v>46342.75</v>
      </c>
      <c r="V132">
        <f>_xlfn.XLOOKUP(tbl_MTG_Set[[#This Row],[Type Name]], tbl_MTG_Set_Type[Set Type], tbl_MTG_Set_Type[Sell Window Month End], "(Set Type not found)", 0, 1)</f>
        <v>48</v>
      </c>
      <c r="W132" s="3">
        <f>tbl_MTG_Set[[#This Row],[Released On]]+tbl_MTG_Set[[#This Row],[Sell Window Month End]]*365.25/12</f>
        <v>46708</v>
      </c>
      <c r="X132" s="3" t="b">
        <f ca="1">AND(NOW()&gt;=tbl_MTG_Set[[#This Row],[Sell Window Start]], NOW()&lt;=tbl_MTG_Set[[#This Row],[Sell Window End]])</f>
        <v>0</v>
      </c>
      <c r="AG132" s="10"/>
      <c r="AH132" s="10"/>
      <c r="AM132" s="10" t="str" cm="1">
        <f t="array" ref="AM1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2" s="10" t="str" cm="1">
        <f t="array" ref="AN1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2" s="4" t="e">
        <f>_xlfn.XLOOKUP(tbl_MTG_Set[[#This Row],[Play Booster Box Product Id]], tbl_Product[Product Id], tbl_Product[Pack Size])</f>
        <v>#N/A</v>
      </c>
      <c r="AP132" s="10" t="e">
        <f>(tbl_MTG_Set[[#This Row],[Play Booster Box Cost]]+v_Item_Shipping_Cost_In)/tbl_MTG_Set[[#This Row],[Play Booster Box Size]]</f>
        <v>#VALUE!</v>
      </c>
      <c r="AQ132" s="10" t="str" cm="1">
        <f t="array" ref="AQ1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2" s="10"/>
      <c r="AS132" s="10"/>
      <c r="AT132" s="17" t="e">
        <f>tbl_MTG_Set[[#This Row],[Play Booster CardMarket Profit]]/tbl_MTG_Set[[#This Row],[Play Booster Cost]]</f>
        <v>#VALUE!</v>
      </c>
      <c r="AU132" s="10" t="e">
        <f>_xlfn.XLOOKUP(tbl_MTG_Set[[#This Row],[Collector Booster Box Product Id]], tbl_Product[Product Id], tbl_Product[Min Cost])</f>
        <v>#N/A</v>
      </c>
      <c r="AV132" s="10" t="e">
        <f>_xlfn.XLOOKUP(tbl_MTG_Set[[#This Row],[Collector Booster Box Product Id]], tbl_Product[Product Id], tbl_Product[Best Source])</f>
        <v>#N/A</v>
      </c>
      <c r="AW132" s="4" t="e">
        <f>_xlfn.XLOOKUP(tbl_MTG_Set[[#This Row],[Collector Booster Box Product Id]], tbl_Product[Product Id], tbl_Product[Pack Size])</f>
        <v>#N/A</v>
      </c>
      <c r="AX132" s="10" t="e">
        <f>(tbl_MTG_Set[[#This Row],[Collector Booster Box Cost]] + v_Item_Shipping_Cost_In) / tbl_MTG_Set[[#This Row],[Collector Booster Box Size]]</f>
        <v>#N/A</v>
      </c>
      <c r="AY132" s="10" t="str" cm="1">
        <f t="array" ref="AY1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2" s="10"/>
      <c r="BA1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2" s="17" t="e">
        <f>tbl_MTG_Set[[#This Row],[Collector Booster CardMarket Profit]]/tbl_MTG_Set[[#This Row],[Collector Booster Cost]]</f>
        <v>#N/A</v>
      </c>
      <c r="BC132" s="10"/>
      <c r="BF1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2" s="11" t="e">
        <f>tbl_MTG_Set[[#This Row],[Play Singles CardMarket Profit MTG Stocks]]/tbl_MTG_Set[[#This Row],[Play Booster Cost]]</f>
        <v>#VALUE!</v>
      </c>
      <c r="BI132" s="11" t="b">
        <f>tbl_MTG_Set[[#This Row],[Play Singles CardMarket Profit MTG Stocks]]&gt;0</f>
        <v>0</v>
      </c>
      <c r="BM132" s="10" t="e">
        <f>tbl_MTG_Set[[#This Row],[Play Booster Sell Price CardMarket]]*tbl_MTG_Set[[#This Row],[Play Booster Expected Market Value BotBox]]/tbl_MTG_Set[[#This Row],[Play Booster Sealed Market Value BotBox]]</f>
        <v>#VALUE!</v>
      </c>
      <c r="BN1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2" s="10" t="e">
        <f>tbl_MTG_Set[[#This Row],[Play Singles CardMarket Profit BotBox]]/tbl_MTG_Set[[#This Row],[Play Booster Cost]]</f>
        <v>#VALUE!</v>
      </c>
      <c r="BP132" s="10" t="b">
        <f>tbl_MTG_Set[[#This Row],[Play Singles CardMarket Profit BotBox]]&gt;0</f>
        <v>0</v>
      </c>
      <c r="BQ132" s="10"/>
      <c r="BR132" s="10"/>
      <c r="BS132" s="10"/>
      <c r="BT1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2" s="19" t="e">
        <f>tbl_MTG_Set[[#This Row],[Collector Singles CardMarket Profit MTG Stocks]]/tbl_MTG_Set[[#This Row],[Collector Booster Cost]]</f>
        <v>#N/A</v>
      </c>
      <c r="BW132" s="10" t="b">
        <f>tbl_MTG_Set[[#This Row],[Collector Singles CardMarket Profit MTG Stocks]]&gt;0</f>
        <v>0</v>
      </c>
      <c r="BX132" s="10"/>
      <c r="BY132" s="10"/>
      <c r="BZ1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2" s="10" t="e">
        <f>tbl_MTG_Set[[#This Row],[Collector Singles CardMarket Profit BotBox]]/tbl_MTG_Set[[#This Row],[Collector Booster Cost]]</f>
        <v>#N/A</v>
      </c>
      <c r="CC132" s="10" t="b">
        <f>tbl_MTG_Set[[#This Row],[Collector Singles CardMarket Profit BotBox]]&gt;0</f>
        <v>0</v>
      </c>
      <c r="CD1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3" spans="1:86" hidden="1">
      <c r="A133">
        <v>147</v>
      </c>
      <c r="B133" t="s">
        <v>306</v>
      </c>
      <c r="C133">
        <v>45</v>
      </c>
      <c r="D133" s="3">
        <v>45247</v>
      </c>
      <c r="E133" t="s">
        <v>86</v>
      </c>
      <c r="F133" t="s">
        <v>174</v>
      </c>
      <c r="G133">
        <v>240</v>
      </c>
      <c r="H133">
        <f ca="1">MONTH(NOW())+12*YEAR(NOW())-MONTH(tbl_MTG_Set[[#This Row],[Released On]])-12*YEAR(tbl_MTG_Set[[#This Row],[Released On]])</f>
        <v>28</v>
      </c>
      <c r="I133">
        <f>_xlfn.XLOOKUP(tbl_MTG_Set[[#This Row],[Type Name]], tbl_MTG_Set_Type[Set Type], tbl_MTG_Set_Type[Index], "(Set Type not found)")</f>
        <v>6</v>
      </c>
      <c r="J133">
        <f>_xlfn.XLOOKUP(tbl_MTG_Set[[#This Row],[Type Name]], tbl_MTG_Set_Type[Set Type], tbl_MTG_Set_Type[Buy Window Month Start], "(Set Type not found)")</f>
        <v>3</v>
      </c>
      <c r="K133" s="3">
        <f>tbl_MTG_Set[[#This Row],[Released On]]+tbl_MTG_Set[[#This Row],[Buy Window Month Start]]*365.25/12</f>
        <v>45338.3125</v>
      </c>
      <c r="L133">
        <f>_xlfn.XLOOKUP(tbl_MTG_Set[[#This Row],[Type Name]], tbl_MTG_Set_Type[Set Type], tbl_MTG_Set_Type[Buy Window Month End], "(Set Type not found)", 0, 1)</f>
        <v>6</v>
      </c>
      <c r="M133" s="3">
        <f>tbl_MTG_Set[[#This Row],[Released On]]+tbl_MTG_Set[[#This Row],[Buy Window Month End]]*365.25/12</f>
        <v>45429.625</v>
      </c>
      <c r="N133" s="3" t="b">
        <f ca="1">AND(NOW()&gt;=tbl_MTG_Set[[#This Row],[Buy Window Start]], NOW()&lt;=tbl_MTG_Set[[#This Row],[Buy Window End]])</f>
        <v>0</v>
      </c>
      <c r="O133">
        <f>_xlfn.XLOOKUP(tbl_MTG_Set[[#This Row],[Type Name]], tbl_MTG_Set_Type[Set Type], tbl_MTG_Set_Type[Heavy Printing Window Month Start], "(Set Type not found)", 0, 1)</f>
        <v>0</v>
      </c>
      <c r="P133" s="3">
        <f>tbl_MTG_Set[[#This Row],[Released On]]+tbl_MTG_Set[[#This Row],[Heavy Printing Window Month Start]]*365.25/12</f>
        <v>45247</v>
      </c>
      <c r="Q133">
        <f>_xlfn.XLOOKUP(tbl_MTG_Set[[#This Row],[Type Name]], tbl_MTG_Set_Type[Set Type], tbl_MTG_Set_Type[Heavy Printing Window Month End], "(Set Type not found)", 0, 1)</f>
        <v>0</v>
      </c>
      <c r="R133" s="3">
        <f>tbl_MTG_Set[[#This Row],[Released On]]+tbl_MTG_Set[[#This Row],[Heavy Printing Window Month End]]*365.25/12</f>
        <v>45247</v>
      </c>
      <c r="S133" s="3" t="b">
        <f ca="1">AND(NOW()&gt;=tbl_MTG_Set[[#This Row],[Heavy Printing Window Start]], NOW()&lt;=tbl_MTG_Set[[#This Row],[Heavy Printing Window End]])</f>
        <v>0</v>
      </c>
      <c r="T133">
        <f>_xlfn.XLOOKUP(tbl_MTG_Set[[#This Row],[Type Name]], tbl_MTG_Set_Type[Set Type], tbl_MTG_Set_Type[Sell Window Month Start], "(Set Type not found)", 0, 1)</f>
        <v>0</v>
      </c>
      <c r="U133" s="3">
        <f>tbl_MTG_Set[[#This Row],[Released On]]+tbl_MTG_Set[[#This Row],[Sell Window Month Start]]*365.25/12</f>
        <v>45247</v>
      </c>
      <c r="V133">
        <f>_xlfn.XLOOKUP(tbl_MTG_Set[[#This Row],[Type Name]], tbl_MTG_Set_Type[Set Type], tbl_MTG_Set_Type[Sell Window Month End], "(Set Type not found)", 0, 1)</f>
        <v>0</v>
      </c>
      <c r="W133" s="3">
        <f>tbl_MTG_Set[[#This Row],[Released On]]+tbl_MTG_Set[[#This Row],[Sell Window Month End]]*365.25/12</f>
        <v>45247</v>
      </c>
      <c r="X133" s="3" t="b">
        <f ca="1">AND(NOW()&gt;=tbl_MTG_Set[[#This Row],[Sell Window Start]], NOW()&lt;=tbl_MTG_Set[[#This Row],[Sell Window End]])</f>
        <v>0</v>
      </c>
      <c r="AG133" s="10"/>
      <c r="AH133" s="10"/>
      <c r="AM133" s="10" t="str" cm="1">
        <f t="array" ref="AM1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3" s="10" t="str" cm="1">
        <f t="array" ref="AN1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3" s="4" t="e">
        <f>_xlfn.XLOOKUP(tbl_MTG_Set[[#This Row],[Play Booster Box Product Id]], tbl_Product[Product Id], tbl_Product[Pack Size])</f>
        <v>#N/A</v>
      </c>
      <c r="AP133" s="10" t="e">
        <f>(tbl_MTG_Set[[#This Row],[Play Booster Box Cost]]+v_Item_Shipping_Cost_In)/tbl_MTG_Set[[#This Row],[Play Booster Box Size]]</f>
        <v>#VALUE!</v>
      </c>
      <c r="AQ133" s="10" t="str" cm="1">
        <f t="array" ref="AQ1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3" s="10"/>
      <c r="AS133" s="10"/>
      <c r="AT133" s="17" t="e">
        <f>tbl_MTG_Set[[#This Row],[Play Booster CardMarket Profit]]/tbl_MTG_Set[[#This Row],[Play Booster Cost]]</f>
        <v>#VALUE!</v>
      </c>
      <c r="AU133" s="10" t="e">
        <f>_xlfn.XLOOKUP(tbl_MTG_Set[[#This Row],[Collector Booster Box Product Id]], tbl_Product[Product Id], tbl_Product[Min Cost])</f>
        <v>#N/A</v>
      </c>
      <c r="AV133" s="10" t="e">
        <f>_xlfn.XLOOKUP(tbl_MTG_Set[[#This Row],[Collector Booster Box Product Id]], tbl_Product[Product Id], tbl_Product[Best Source])</f>
        <v>#N/A</v>
      </c>
      <c r="AW133" s="4" t="e">
        <f>_xlfn.XLOOKUP(tbl_MTG_Set[[#This Row],[Collector Booster Box Product Id]], tbl_Product[Product Id], tbl_Product[Pack Size])</f>
        <v>#N/A</v>
      </c>
      <c r="AX133" s="10" t="e">
        <f>(tbl_MTG_Set[[#This Row],[Collector Booster Box Cost]] + v_Item_Shipping_Cost_In) / tbl_MTG_Set[[#This Row],[Collector Booster Box Size]]</f>
        <v>#N/A</v>
      </c>
      <c r="AY133" s="10" t="str" cm="1">
        <f t="array" ref="AY1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3" s="10"/>
      <c r="BA1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3" s="17" t="e">
        <f>tbl_MTG_Set[[#This Row],[Collector Booster CardMarket Profit]]/tbl_MTG_Set[[#This Row],[Collector Booster Cost]]</f>
        <v>#N/A</v>
      </c>
      <c r="BC133" s="10"/>
      <c r="BF1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3" s="11" t="e">
        <f>tbl_MTG_Set[[#This Row],[Play Singles CardMarket Profit MTG Stocks]]/tbl_MTG_Set[[#This Row],[Play Booster Cost]]</f>
        <v>#VALUE!</v>
      </c>
      <c r="BI133" s="11" t="b">
        <f>tbl_MTG_Set[[#This Row],[Play Singles CardMarket Profit MTG Stocks]]&gt;0</f>
        <v>0</v>
      </c>
      <c r="BM133" s="10" t="e">
        <f>tbl_MTG_Set[[#This Row],[Play Booster Sell Price CardMarket]]*tbl_MTG_Set[[#This Row],[Play Booster Expected Market Value BotBox]]/tbl_MTG_Set[[#This Row],[Play Booster Sealed Market Value BotBox]]</f>
        <v>#VALUE!</v>
      </c>
      <c r="BN1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3" s="10" t="e">
        <f>tbl_MTG_Set[[#This Row],[Play Singles CardMarket Profit BotBox]]/tbl_MTG_Set[[#This Row],[Play Booster Cost]]</f>
        <v>#VALUE!</v>
      </c>
      <c r="BP133" s="10" t="b">
        <f>tbl_MTG_Set[[#This Row],[Play Singles CardMarket Profit BotBox]]&gt;0</f>
        <v>0</v>
      </c>
      <c r="BQ133" s="10"/>
      <c r="BR133" s="10"/>
      <c r="BS133" s="10"/>
      <c r="BT1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3" s="19" t="e">
        <f>tbl_MTG_Set[[#This Row],[Collector Singles CardMarket Profit MTG Stocks]]/tbl_MTG_Set[[#This Row],[Collector Booster Cost]]</f>
        <v>#N/A</v>
      </c>
      <c r="BW133" s="10" t="b">
        <f>tbl_MTG_Set[[#This Row],[Collector Singles CardMarket Profit MTG Stocks]]&gt;0</f>
        <v>0</v>
      </c>
      <c r="BX133" s="10"/>
      <c r="BY133" s="10"/>
      <c r="BZ1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3" s="10" t="e">
        <f>tbl_MTG_Set[[#This Row],[Collector Singles CardMarket Profit BotBox]]/tbl_MTG_Set[[#This Row],[Collector Booster Cost]]</f>
        <v>#N/A</v>
      </c>
      <c r="CC133" s="10" t="b">
        <f>tbl_MTG_Set[[#This Row],[Collector Singles CardMarket Profit BotBox]]&gt;0</f>
        <v>0</v>
      </c>
      <c r="CD1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4" spans="1:86" hidden="1">
      <c r="A134">
        <v>148</v>
      </c>
      <c r="B134" t="s">
        <v>307</v>
      </c>
      <c r="C134">
        <v>2</v>
      </c>
      <c r="D134" s="3">
        <v>45247</v>
      </c>
      <c r="E134" t="s">
        <v>86</v>
      </c>
      <c r="F134" t="s">
        <v>174</v>
      </c>
      <c r="G134">
        <v>242</v>
      </c>
      <c r="H134">
        <f ca="1">MONTH(NOW())+12*YEAR(NOW())-MONTH(tbl_MTG_Set[[#This Row],[Released On]])-12*YEAR(tbl_MTG_Set[[#This Row],[Released On]])</f>
        <v>28</v>
      </c>
      <c r="I134">
        <f>_xlfn.XLOOKUP(tbl_MTG_Set[[#This Row],[Type Name]], tbl_MTG_Set_Type[Set Type], tbl_MTG_Set_Type[Index], "(Set Type not found)")</f>
        <v>6</v>
      </c>
      <c r="J134">
        <f>_xlfn.XLOOKUP(tbl_MTG_Set[[#This Row],[Type Name]], tbl_MTG_Set_Type[Set Type], tbl_MTG_Set_Type[Buy Window Month Start], "(Set Type not found)")</f>
        <v>3</v>
      </c>
      <c r="K134" s="3">
        <f>tbl_MTG_Set[[#This Row],[Released On]]+tbl_MTG_Set[[#This Row],[Buy Window Month Start]]*365.25/12</f>
        <v>45338.3125</v>
      </c>
      <c r="L134">
        <f>_xlfn.XLOOKUP(tbl_MTG_Set[[#This Row],[Type Name]], tbl_MTG_Set_Type[Set Type], tbl_MTG_Set_Type[Buy Window Month End], "(Set Type not found)", 0, 1)</f>
        <v>6</v>
      </c>
      <c r="M134" s="3">
        <f>tbl_MTG_Set[[#This Row],[Released On]]+tbl_MTG_Set[[#This Row],[Buy Window Month End]]*365.25/12</f>
        <v>45429.625</v>
      </c>
      <c r="N134" s="3" t="b">
        <f ca="1">AND(NOW()&gt;=tbl_MTG_Set[[#This Row],[Buy Window Start]], NOW()&lt;=tbl_MTG_Set[[#This Row],[Buy Window End]])</f>
        <v>0</v>
      </c>
      <c r="O134">
        <f>_xlfn.XLOOKUP(tbl_MTG_Set[[#This Row],[Type Name]], tbl_MTG_Set_Type[Set Type], tbl_MTG_Set_Type[Heavy Printing Window Month Start], "(Set Type not found)", 0, 1)</f>
        <v>0</v>
      </c>
      <c r="P134" s="3">
        <f>tbl_MTG_Set[[#This Row],[Released On]]+tbl_MTG_Set[[#This Row],[Heavy Printing Window Month Start]]*365.25/12</f>
        <v>45247</v>
      </c>
      <c r="Q134">
        <f>_xlfn.XLOOKUP(tbl_MTG_Set[[#This Row],[Type Name]], tbl_MTG_Set_Type[Set Type], tbl_MTG_Set_Type[Heavy Printing Window Month End], "(Set Type not found)", 0, 1)</f>
        <v>0</v>
      </c>
      <c r="R134" s="3">
        <f>tbl_MTG_Set[[#This Row],[Released On]]+tbl_MTG_Set[[#This Row],[Heavy Printing Window Month End]]*365.25/12</f>
        <v>45247</v>
      </c>
      <c r="S134" s="3" t="b">
        <f ca="1">AND(NOW()&gt;=tbl_MTG_Set[[#This Row],[Heavy Printing Window Start]], NOW()&lt;=tbl_MTG_Set[[#This Row],[Heavy Printing Window End]])</f>
        <v>0</v>
      </c>
      <c r="T134">
        <f>_xlfn.XLOOKUP(tbl_MTG_Set[[#This Row],[Type Name]], tbl_MTG_Set_Type[Set Type], tbl_MTG_Set_Type[Sell Window Month Start], "(Set Type not found)", 0, 1)</f>
        <v>0</v>
      </c>
      <c r="U134" s="3">
        <f>tbl_MTG_Set[[#This Row],[Released On]]+tbl_MTG_Set[[#This Row],[Sell Window Month Start]]*365.25/12</f>
        <v>45247</v>
      </c>
      <c r="V134">
        <f>_xlfn.XLOOKUP(tbl_MTG_Set[[#This Row],[Type Name]], tbl_MTG_Set_Type[Set Type], tbl_MTG_Set_Type[Sell Window Month End], "(Set Type not found)", 0, 1)</f>
        <v>0</v>
      </c>
      <c r="W134" s="3">
        <f>tbl_MTG_Set[[#This Row],[Released On]]+tbl_MTG_Set[[#This Row],[Sell Window Month End]]*365.25/12</f>
        <v>45247</v>
      </c>
      <c r="X134" s="3" t="b">
        <f ca="1">AND(NOW()&gt;=tbl_MTG_Set[[#This Row],[Sell Window Start]], NOW()&lt;=tbl_MTG_Set[[#This Row],[Sell Window End]])</f>
        <v>0</v>
      </c>
      <c r="AG134" s="10"/>
      <c r="AH134" s="10"/>
      <c r="AM134" s="10" t="str" cm="1">
        <f t="array" ref="AM1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4" s="10" t="str" cm="1">
        <f t="array" ref="AN1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4" s="4" t="e">
        <f>_xlfn.XLOOKUP(tbl_MTG_Set[[#This Row],[Play Booster Box Product Id]], tbl_Product[Product Id], tbl_Product[Pack Size])</f>
        <v>#N/A</v>
      </c>
      <c r="AP134" s="10" t="e">
        <f>(tbl_MTG_Set[[#This Row],[Play Booster Box Cost]]+v_Item_Shipping_Cost_In)/tbl_MTG_Set[[#This Row],[Play Booster Box Size]]</f>
        <v>#VALUE!</v>
      </c>
      <c r="AQ134" s="10" t="str" cm="1">
        <f t="array" ref="AQ1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4" s="10"/>
      <c r="AS134" s="10"/>
      <c r="AT134" s="17" t="e">
        <f>tbl_MTG_Set[[#This Row],[Play Booster CardMarket Profit]]/tbl_MTG_Set[[#This Row],[Play Booster Cost]]</f>
        <v>#VALUE!</v>
      </c>
      <c r="AU134" s="10" t="e">
        <f>_xlfn.XLOOKUP(tbl_MTG_Set[[#This Row],[Collector Booster Box Product Id]], tbl_Product[Product Id], tbl_Product[Min Cost])</f>
        <v>#N/A</v>
      </c>
      <c r="AV134" s="10" t="e">
        <f>_xlfn.XLOOKUP(tbl_MTG_Set[[#This Row],[Collector Booster Box Product Id]], tbl_Product[Product Id], tbl_Product[Best Source])</f>
        <v>#N/A</v>
      </c>
      <c r="AW134" s="4" t="e">
        <f>_xlfn.XLOOKUP(tbl_MTG_Set[[#This Row],[Collector Booster Box Product Id]], tbl_Product[Product Id], tbl_Product[Pack Size])</f>
        <v>#N/A</v>
      </c>
      <c r="AX134" s="10" t="e">
        <f>(tbl_MTG_Set[[#This Row],[Collector Booster Box Cost]] + v_Item_Shipping_Cost_In) / tbl_MTG_Set[[#This Row],[Collector Booster Box Size]]</f>
        <v>#N/A</v>
      </c>
      <c r="AY134" s="10" t="str" cm="1">
        <f t="array" ref="AY1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4" s="10"/>
      <c r="BA1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4" s="17" t="e">
        <f>tbl_MTG_Set[[#This Row],[Collector Booster CardMarket Profit]]/tbl_MTG_Set[[#This Row],[Collector Booster Cost]]</f>
        <v>#N/A</v>
      </c>
      <c r="BC134" s="10"/>
      <c r="BF1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4" s="11" t="e">
        <f>tbl_MTG_Set[[#This Row],[Play Singles CardMarket Profit MTG Stocks]]/tbl_MTG_Set[[#This Row],[Play Booster Cost]]</f>
        <v>#VALUE!</v>
      </c>
      <c r="BI134" s="11" t="b">
        <f>tbl_MTG_Set[[#This Row],[Play Singles CardMarket Profit MTG Stocks]]&gt;0</f>
        <v>0</v>
      </c>
      <c r="BM134" s="10" t="e">
        <f>tbl_MTG_Set[[#This Row],[Play Booster Sell Price CardMarket]]*tbl_MTG_Set[[#This Row],[Play Booster Expected Market Value BotBox]]/tbl_MTG_Set[[#This Row],[Play Booster Sealed Market Value BotBox]]</f>
        <v>#VALUE!</v>
      </c>
      <c r="BN1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4" s="10" t="e">
        <f>tbl_MTG_Set[[#This Row],[Play Singles CardMarket Profit BotBox]]/tbl_MTG_Set[[#This Row],[Play Booster Cost]]</f>
        <v>#VALUE!</v>
      </c>
      <c r="BP134" s="10" t="b">
        <f>tbl_MTG_Set[[#This Row],[Play Singles CardMarket Profit BotBox]]&gt;0</f>
        <v>0</v>
      </c>
      <c r="BQ134" s="10"/>
      <c r="BR134" s="10"/>
      <c r="BS134" s="10"/>
      <c r="BT1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4" s="19" t="e">
        <f>tbl_MTG_Set[[#This Row],[Collector Singles CardMarket Profit MTG Stocks]]/tbl_MTG_Set[[#This Row],[Collector Booster Cost]]</f>
        <v>#N/A</v>
      </c>
      <c r="BW134" s="10" t="b">
        <f>tbl_MTG_Set[[#This Row],[Collector Singles CardMarket Profit MTG Stocks]]&gt;0</f>
        <v>0</v>
      </c>
      <c r="BX134" s="10"/>
      <c r="BY134" s="10"/>
      <c r="BZ1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4" s="10" t="e">
        <f>tbl_MTG_Set[[#This Row],[Collector Singles CardMarket Profit BotBox]]/tbl_MTG_Set[[#This Row],[Collector Booster Cost]]</f>
        <v>#N/A</v>
      </c>
      <c r="CC134" s="10" t="b">
        <f>tbl_MTG_Set[[#This Row],[Collector Singles CardMarket Profit BotBox]]&gt;0</f>
        <v>0</v>
      </c>
      <c r="CD1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5" spans="1:86" hidden="1">
      <c r="A135">
        <v>149</v>
      </c>
      <c r="B135" t="s">
        <v>308</v>
      </c>
      <c r="C135">
        <v>370</v>
      </c>
      <c r="D135" s="3">
        <v>45247</v>
      </c>
      <c r="E135" t="s">
        <v>80</v>
      </c>
      <c r="F135" t="s">
        <v>174</v>
      </c>
      <c r="G135">
        <v>244</v>
      </c>
      <c r="H135">
        <f ca="1">MONTH(NOW())+12*YEAR(NOW())-MONTH(tbl_MTG_Set[[#This Row],[Released On]])-12*YEAR(tbl_MTG_Set[[#This Row],[Released On]])</f>
        <v>28</v>
      </c>
      <c r="I135">
        <f>_xlfn.XLOOKUP(tbl_MTG_Set[[#This Row],[Type Name]], tbl_MTG_Set_Type[Set Type], tbl_MTG_Set_Type[Index], "(Set Type not found)")</f>
        <v>5</v>
      </c>
      <c r="J135">
        <f>_xlfn.XLOOKUP(tbl_MTG_Set[[#This Row],[Type Name]], tbl_MTG_Set_Type[Set Type], tbl_MTG_Set_Type[Buy Window Month Start], "(Set Type not found)")</f>
        <v>3</v>
      </c>
      <c r="K135" s="3">
        <f>tbl_MTG_Set[[#This Row],[Released On]]+tbl_MTG_Set[[#This Row],[Buy Window Month Start]]*365.25/12</f>
        <v>45338.3125</v>
      </c>
      <c r="L135">
        <f>_xlfn.XLOOKUP(tbl_MTG_Set[[#This Row],[Type Name]], tbl_MTG_Set_Type[Set Type], tbl_MTG_Set_Type[Buy Window Month End], "(Set Type not found)", 0, 1)</f>
        <v>12</v>
      </c>
      <c r="M135" s="3">
        <f>tbl_MTG_Set[[#This Row],[Released On]]+tbl_MTG_Set[[#This Row],[Buy Window Month End]]*365.25/12</f>
        <v>45612.25</v>
      </c>
      <c r="N135" s="3" t="b">
        <f ca="1">AND(NOW()&gt;=tbl_MTG_Set[[#This Row],[Buy Window Start]], NOW()&lt;=tbl_MTG_Set[[#This Row],[Buy Window End]])</f>
        <v>0</v>
      </c>
      <c r="O135">
        <f>_xlfn.XLOOKUP(tbl_MTG_Set[[#This Row],[Type Name]], tbl_MTG_Set_Type[Set Type], tbl_MTG_Set_Type[Heavy Printing Window Month Start], "(Set Type not found)", 0, 1)</f>
        <v>12</v>
      </c>
      <c r="P135" s="3">
        <f>tbl_MTG_Set[[#This Row],[Released On]]+tbl_MTG_Set[[#This Row],[Heavy Printing Window Month Start]]*365.25/12</f>
        <v>45612.25</v>
      </c>
      <c r="Q135">
        <f>_xlfn.XLOOKUP(tbl_MTG_Set[[#This Row],[Type Name]], tbl_MTG_Set_Type[Set Type], tbl_MTG_Set_Type[Heavy Printing Window Month End], "(Set Type not found)", 0, 1)</f>
        <v>18</v>
      </c>
      <c r="R135" s="3">
        <f>tbl_MTG_Set[[#This Row],[Released On]]+tbl_MTG_Set[[#This Row],[Heavy Printing Window Month End]]*365.25/12</f>
        <v>45794.875</v>
      </c>
      <c r="S135" s="3" t="b">
        <f ca="1">AND(NOW()&gt;=tbl_MTG_Set[[#This Row],[Heavy Printing Window Start]], NOW()&lt;=tbl_MTG_Set[[#This Row],[Heavy Printing Window End]])</f>
        <v>0</v>
      </c>
      <c r="T135">
        <f>_xlfn.XLOOKUP(tbl_MTG_Set[[#This Row],[Type Name]], tbl_MTG_Set_Type[Set Type], tbl_MTG_Set_Type[Sell Window Month Start], "(Set Type not found)", 0, 1)</f>
        <v>24</v>
      </c>
      <c r="U135" s="3">
        <f>tbl_MTG_Set[[#This Row],[Released On]]+tbl_MTG_Set[[#This Row],[Sell Window Month Start]]*365.25/12</f>
        <v>45977.5</v>
      </c>
      <c r="V135">
        <f>_xlfn.XLOOKUP(tbl_MTG_Set[[#This Row],[Type Name]], tbl_MTG_Set_Type[Set Type], tbl_MTG_Set_Type[Sell Window Month End], "(Set Type not found)", 0, 1)</f>
        <v>24</v>
      </c>
      <c r="W135" s="3">
        <f>tbl_MTG_Set[[#This Row],[Released On]]+tbl_MTG_Set[[#This Row],[Sell Window Month End]]*365.25/12</f>
        <v>45977.5</v>
      </c>
      <c r="X135" s="3" t="b">
        <f ca="1">AND(NOW()&gt;=tbl_MTG_Set[[#This Row],[Sell Window Start]], NOW()&lt;=tbl_MTG_Set[[#This Row],[Sell Window End]])</f>
        <v>0</v>
      </c>
      <c r="AG135" s="10"/>
      <c r="AH135" s="10"/>
      <c r="AM135" s="10" t="str" cm="1">
        <f t="array" ref="AM1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5" s="10" t="str" cm="1">
        <f t="array" ref="AN1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5" s="4" t="e">
        <f>_xlfn.XLOOKUP(tbl_MTG_Set[[#This Row],[Play Booster Box Product Id]], tbl_Product[Product Id], tbl_Product[Pack Size])</f>
        <v>#N/A</v>
      </c>
      <c r="AP135" s="10" t="e">
        <f>(tbl_MTG_Set[[#This Row],[Play Booster Box Cost]]+v_Item_Shipping_Cost_In)/tbl_MTG_Set[[#This Row],[Play Booster Box Size]]</f>
        <v>#VALUE!</v>
      </c>
      <c r="AQ135" s="10" t="str" cm="1">
        <f t="array" ref="AQ1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5" s="10"/>
      <c r="AS135" s="10"/>
      <c r="AT135" s="17" t="e">
        <f>tbl_MTG_Set[[#This Row],[Play Booster CardMarket Profit]]/tbl_MTG_Set[[#This Row],[Play Booster Cost]]</f>
        <v>#VALUE!</v>
      </c>
      <c r="AU135" s="10" t="e">
        <f>_xlfn.XLOOKUP(tbl_MTG_Set[[#This Row],[Collector Booster Box Product Id]], tbl_Product[Product Id], tbl_Product[Min Cost])</f>
        <v>#N/A</v>
      </c>
      <c r="AV135" s="10" t="e">
        <f>_xlfn.XLOOKUP(tbl_MTG_Set[[#This Row],[Collector Booster Box Product Id]], tbl_Product[Product Id], tbl_Product[Best Source])</f>
        <v>#N/A</v>
      </c>
      <c r="AW135" s="4" t="e">
        <f>_xlfn.XLOOKUP(tbl_MTG_Set[[#This Row],[Collector Booster Box Product Id]], tbl_Product[Product Id], tbl_Product[Pack Size])</f>
        <v>#N/A</v>
      </c>
      <c r="AX135" s="10" t="e">
        <f>(tbl_MTG_Set[[#This Row],[Collector Booster Box Cost]] + v_Item_Shipping_Cost_In) / tbl_MTG_Set[[#This Row],[Collector Booster Box Size]]</f>
        <v>#N/A</v>
      </c>
      <c r="AY135" s="10" t="str" cm="1">
        <f t="array" ref="AY1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5" s="10"/>
      <c r="BA1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5" s="17" t="e">
        <f>tbl_MTG_Set[[#This Row],[Collector Booster CardMarket Profit]]/tbl_MTG_Set[[#This Row],[Collector Booster Cost]]</f>
        <v>#N/A</v>
      </c>
      <c r="BC135" s="10"/>
      <c r="BF1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5" s="11" t="e">
        <f>tbl_MTG_Set[[#This Row],[Play Singles CardMarket Profit MTG Stocks]]/tbl_MTG_Set[[#This Row],[Play Booster Cost]]</f>
        <v>#VALUE!</v>
      </c>
      <c r="BI135" s="11" t="b">
        <f>tbl_MTG_Set[[#This Row],[Play Singles CardMarket Profit MTG Stocks]]&gt;0</f>
        <v>0</v>
      </c>
      <c r="BM135" s="10" t="e">
        <f>tbl_MTG_Set[[#This Row],[Play Booster Sell Price CardMarket]]*tbl_MTG_Set[[#This Row],[Play Booster Expected Market Value BotBox]]/tbl_MTG_Set[[#This Row],[Play Booster Sealed Market Value BotBox]]</f>
        <v>#VALUE!</v>
      </c>
      <c r="BN1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5" s="10" t="e">
        <f>tbl_MTG_Set[[#This Row],[Play Singles CardMarket Profit BotBox]]/tbl_MTG_Set[[#This Row],[Play Booster Cost]]</f>
        <v>#VALUE!</v>
      </c>
      <c r="BP135" s="10" t="b">
        <f>tbl_MTG_Set[[#This Row],[Play Singles CardMarket Profit BotBox]]&gt;0</f>
        <v>0</v>
      </c>
      <c r="BQ135" s="10"/>
      <c r="BR135" s="10"/>
      <c r="BS135" s="10"/>
      <c r="BT1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5" s="19" t="e">
        <f>tbl_MTG_Set[[#This Row],[Collector Singles CardMarket Profit MTG Stocks]]/tbl_MTG_Set[[#This Row],[Collector Booster Cost]]</f>
        <v>#N/A</v>
      </c>
      <c r="BW135" s="10" t="b">
        <f>tbl_MTG_Set[[#This Row],[Collector Singles CardMarket Profit MTG Stocks]]&gt;0</f>
        <v>0</v>
      </c>
      <c r="BX135" s="10"/>
      <c r="BY135" s="10"/>
      <c r="BZ1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5" s="10" t="e">
        <f>tbl_MTG_Set[[#This Row],[Collector Singles CardMarket Profit BotBox]]/tbl_MTG_Set[[#This Row],[Collector Booster Cost]]</f>
        <v>#N/A</v>
      </c>
      <c r="CC135" s="10" t="b">
        <f>tbl_MTG_Set[[#This Row],[Collector Singles CardMarket Profit BotBox]]&gt;0</f>
        <v>0</v>
      </c>
      <c r="CD1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6" spans="1:86" hidden="1">
      <c r="A136">
        <v>150</v>
      </c>
      <c r="B136" t="s">
        <v>309</v>
      </c>
      <c r="C136">
        <v>18</v>
      </c>
      <c r="D136" s="3">
        <v>45247</v>
      </c>
      <c r="E136" t="s">
        <v>80</v>
      </c>
      <c r="F136" t="s">
        <v>174</v>
      </c>
      <c r="G136">
        <v>246</v>
      </c>
      <c r="H136">
        <f ca="1">MONTH(NOW())+12*YEAR(NOW())-MONTH(tbl_MTG_Set[[#This Row],[Released On]])-12*YEAR(tbl_MTG_Set[[#This Row],[Released On]])</f>
        <v>28</v>
      </c>
      <c r="I136">
        <f>_xlfn.XLOOKUP(tbl_MTG_Set[[#This Row],[Type Name]], tbl_MTG_Set_Type[Set Type], tbl_MTG_Set_Type[Index], "(Set Type not found)")</f>
        <v>5</v>
      </c>
      <c r="J136">
        <f>_xlfn.XLOOKUP(tbl_MTG_Set[[#This Row],[Type Name]], tbl_MTG_Set_Type[Set Type], tbl_MTG_Set_Type[Buy Window Month Start], "(Set Type not found)")</f>
        <v>3</v>
      </c>
      <c r="K136" s="3">
        <f>tbl_MTG_Set[[#This Row],[Released On]]+tbl_MTG_Set[[#This Row],[Buy Window Month Start]]*365.25/12</f>
        <v>45338.3125</v>
      </c>
      <c r="L136">
        <f>_xlfn.XLOOKUP(tbl_MTG_Set[[#This Row],[Type Name]], tbl_MTG_Set_Type[Set Type], tbl_MTG_Set_Type[Buy Window Month End], "(Set Type not found)", 0, 1)</f>
        <v>12</v>
      </c>
      <c r="M136" s="3">
        <f>tbl_MTG_Set[[#This Row],[Released On]]+tbl_MTG_Set[[#This Row],[Buy Window Month End]]*365.25/12</f>
        <v>45612.25</v>
      </c>
      <c r="N136" s="3" t="b">
        <f ca="1">AND(NOW()&gt;=tbl_MTG_Set[[#This Row],[Buy Window Start]], NOW()&lt;=tbl_MTG_Set[[#This Row],[Buy Window End]])</f>
        <v>0</v>
      </c>
      <c r="O136">
        <f>_xlfn.XLOOKUP(tbl_MTG_Set[[#This Row],[Type Name]], tbl_MTG_Set_Type[Set Type], tbl_MTG_Set_Type[Heavy Printing Window Month Start], "(Set Type not found)", 0, 1)</f>
        <v>12</v>
      </c>
      <c r="P136" s="3">
        <f>tbl_MTG_Set[[#This Row],[Released On]]+tbl_MTG_Set[[#This Row],[Heavy Printing Window Month Start]]*365.25/12</f>
        <v>45612.25</v>
      </c>
      <c r="Q136">
        <f>_xlfn.XLOOKUP(tbl_MTG_Set[[#This Row],[Type Name]], tbl_MTG_Set_Type[Set Type], tbl_MTG_Set_Type[Heavy Printing Window Month End], "(Set Type not found)", 0, 1)</f>
        <v>18</v>
      </c>
      <c r="R136" s="3">
        <f>tbl_MTG_Set[[#This Row],[Released On]]+tbl_MTG_Set[[#This Row],[Heavy Printing Window Month End]]*365.25/12</f>
        <v>45794.875</v>
      </c>
      <c r="S136" s="3" t="b">
        <f ca="1">AND(NOW()&gt;=tbl_MTG_Set[[#This Row],[Heavy Printing Window Start]], NOW()&lt;=tbl_MTG_Set[[#This Row],[Heavy Printing Window End]])</f>
        <v>0</v>
      </c>
      <c r="T136">
        <f>_xlfn.XLOOKUP(tbl_MTG_Set[[#This Row],[Type Name]], tbl_MTG_Set_Type[Set Type], tbl_MTG_Set_Type[Sell Window Month Start], "(Set Type not found)", 0, 1)</f>
        <v>24</v>
      </c>
      <c r="U136" s="3">
        <f>tbl_MTG_Set[[#This Row],[Released On]]+tbl_MTG_Set[[#This Row],[Sell Window Month Start]]*365.25/12</f>
        <v>45977.5</v>
      </c>
      <c r="V136">
        <f>_xlfn.XLOOKUP(tbl_MTG_Set[[#This Row],[Type Name]], tbl_MTG_Set_Type[Set Type], tbl_MTG_Set_Type[Sell Window Month End], "(Set Type not found)", 0, 1)</f>
        <v>24</v>
      </c>
      <c r="W136" s="3">
        <f>tbl_MTG_Set[[#This Row],[Released On]]+tbl_MTG_Set[[#This Row],[Sell Window Month End]]*365.25/12</f>
        <v>45977.5</v>
      </c>
      <c r="X136" s="3" t="b">
        <f ca="1">AND(NOW()&gt;=tbl_MTG_Set[[#This Row],[Sell Window Start]], NOW()&lt;=tbl_MTG_Set[[#This Row],[Sell Window End]])</f>
        <v>0</v>
      </c>
      <c r="AG136" s="10"/>
      <c r="AH136" s="10"/>
      <c r="AM136" s="10" t="str" cm="1">
        <f t="array" ref="AM1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6" s="10" t="str" cm="1">
        <f t="array" ref="AN1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6" s="4" t="e">
        <f>_xlfn.XLOOKUP(tbl_MTG_Set[[#This Row],[Play Booster Box Product Id]], tbl_Product[Product Id], tbl_Product[Pack Size])</f>
        <v>#N/A</v>
      </c>
      <c r="AP136" s="10" t="e">
        <f>(tbl_MTG_Set[[#This Row],[Play Booster Box Cost]]+v_Item_Shipping_Cost_In)/tbl_MTG_Set[[#This Row],[Play Booster Box Size]]</f>
        <v>#VALUE!</v>
      </c>
      <c r="AQ136" s="10" t="str" cm="1">
        <f t="array" ref="AQ1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6" s="10"/>
      <c r="AS136" s="10"/>
      <c r="AT136" s="17" t="e">
        <f>tbl_MTG_Set[[#This Row],[Play Booster CardMarket Profit]]/tbl_MTG_Set[[#This Row],[Play Booster Cost]]</f>
        <v>#VALUE!</v>
      </c>
      <c r="AU136" s="10" t="e">
        <f>_xlfn.XLOOKUP(tbl_MTG_Set[[#This Row],[Collector Booster Box Product Id]], tbl_Product[Product Id], tbl_Product[Min Cost])</f>
        <v>#N/A</v>
      </c>
      <c r="AV136" s="10" t="e">
        <f>_xlfn.XLOOKUP(tbl_MTG_Set[[#This Row],[Collector Booster Box Product Id]], tbl_Product[Product Id], tbl_Product[Best Source])</f>
        <v>#N/A</v>
      </c>
      <c r="AW136" s="4" t="e">
        <f>_xlfn.XLOOKUP(tbl_MTG_Set[[#This Row],[Collector Booster Box Product Id]], tbl_Product[Product Id], tbl_Product[Pack Size])</f>
        <v>#N/A</v>
      </c>
      <c r="AX136" s="10" t="e">
        <f>(tbl_MTG_Set[[#This Row],[Collector Booster Box Cost]] + v_Item_Shipping_Cost_In) / tbl_MTG_Set[[#This Row],[Collector Booster Box Size]]</f>
        <v>#N/A</v>
      </c>
      <c r="AY136" s="10" t="str" cm="1">
        <f t="array" ref="AY1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6" s="10"/>
      <c r="BA1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6" s="17" t="e">
        <f>tbl_MTG_Set[[#This Row],[Collector Booster CardMarket Profit]]/tbl_MTG_Set[[#This Row],[Collector Booster Cost]]</f>
        <v>#N/A</v>
      </c>
      <c r="BC136" s="10"/>
      <c r="BF1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6" s="11" t="e">
        <f>tbl_MTG_Set[[#This Row],[Play Singles CardMarket Profit MTG Stocks]]/tbl_MTG_Set[[#This Row],[Play Booster Cost]]</f>
        <v>#VALUE!</v>
      </c>
      <c r="BI136" s="11" t="b">
        <f>tbl_MTG_Set[[#This Row],[Play Singles CardMarket Profit MTG Stocks]]&gt;0</f>
        <v>0</v>
      </c>
      <c r="BM136" s="10" t="e">
        <f>tbl_MTG_Set[[#This Row],[Play Booster Sell Price CardMarket]]*tbl_MTG_Set[[#This Row],[Play Booster Expected Market Value BotBox]]/tbl_MTG_Set[[#This Row],[Play Booster Sealed Market Value BotBox]]</f>
        <v>#VALUE!</v>
      </c>
      <c r="BN1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6" s="10" t="e">
        <f>tbl_MTG_Set[[#This Row],[Play Singles CardMarket Profit BotBox]]/tbl_MTG_Set[[#This Row],[Play Booster Cost]]</f>
        <v>#VALUE!</v>
      </c>
      <c r="BP136" s="10" t="b">
        <f>tbl_MTG_Set[[#This Row],[Play Singles CardMarket Profit BotBox]]&gt;0</f>
        <v>0</v>
      </c>
      <c r="BQ136" s="10"/>
      <c r="BR136" s="10"/>
      <c r="BS136" s="10"/>
      <c r="BT1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6" s="19" t="e">
        <f>tbl_MTG_Set[[#This Row],[Collector Singles CardMarket Profit MTG Stocks]]/tbl_MTG_Set[[#This Row],[Collector Booster Cost]]</f>
        <v>#N/A</v>
      </c>
      <c r="BW136" s="10" t="b">
        <f>tbl_MTG_Set[[#This Row],[Collector Singles CardMarket Profit MTG Stocks]]&gt;0</f>
        <v>0</v>
      </c>
      <c r="BX136" s="10"/>
      <c r="BY136" s="10"/>
      <c r="BZ1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6" s="10" t="e">
        <f>tbl_MTG_Set[[#This Row],[Collector Singles CardMarket Profit BotBox]]/tbl_MTG_Set[[#This Row],[Collector Booster Cost]]</f>
        <v>#N/A</v>
      </c>
      <c r="CC136" s="10" t="b">
        <f>tbl_MTG_Set[[#This Row],[Collector Singles CardMarket Profit BotBox]]&gt;0</f>
        <v>0</v>
      </c>
      <c r="CD1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7" spans="1:86" hidden="1">
      <c r="A137">
        <v>151</v>
      </c>
      <c r="B137" t="s">
        <v>310</v>
      </c>
      <c r="C137">
        <v>1178</v>
      </c>
      <c r="D137" s="3">
        <v>45212</v>
      </c>
      <c r="E137" t="s">
        <v>86</v>
      </c>
      <c r="F137" t="s">
        <v>174</v>
      </c>
      <c r="G137">
        <v>248</v>
      </c>
      <c r="H137">
        <f ca="1">MONTH(NOW())+12*YEAR(NOW())-MONTH(tbl_MTG_Set[[#This Row],[Released On]])-12*YEAR(tbl_MTG_Set[[#This Row],[Released On]])</f>
        <v>29</v>
      </c>
      <c r="I137">
        <f>_xlfn.XLOOKUP(tbl_MTG_Set[[#This Row],[Type Name]], tbl_MTG_Set_Type[Set Type], tbl_MTG_Set_Type[Index], "(Set Type not found)")</f>
        <v>6</v>
      </c>
      <c r="J137">
        <f>_xlfn.XLOOKUP(tbl_MTG_Set[[#This Row],[Type Name]], tbl_MTG_Set_Type[Set Type], tbl_MTG_Set_Type[Buy Window Month Start], "(Set Type not found)")</f>
        <v>3</v>
      </c>
      <c r="K137" s="3">
        <f>tbl_MTG_Set[[#This Row],[Released On]]+tbl_MTG_Set[[#This Row],[Buy Window Month Start]]*365.25/12</f>
        <v>45303.3125</v>
      </c>
      <c r="L137">
        <f>_xlfn.XLOOKUP(tbl_MTG_Set[[#This Row],[Type Name]], tbl_MTG_Set_Type[Set Type], tbl_MTG_Set_Type[Buy Window Month End], "(Set Type not found)", 0, 1)</f>
        <v>6</v>
      </c>
      <c r="M137" s="3">
        <f>tbl_MTG_Set[[#This Row],[Released On]]+tbl_MTG_Set[[#This Row],[Buy Window Month End]]*365.25/12</f>
        <v>45394.625</v>
      </c>
      <c r="N137" s="3" t="b">
        <f ca="1">AND(NOW()&gt;=tbl_MTG_Set[[#This Row],[Buy Window Start]], NOW()&lt;=tbl_MTG_Set[[#This Row],[Buy Window End]])</f>
        <v>0</v>
      </c>
      <c r="O137">
        <f>_xlfn.XLOOKUP(tbl_MTG_Set[[#This Row],[Type Name]], tbl_MTG_Set_Type[Set Type], tbl_MTG_Set_Type[Heavy Printing Window Month Start], "(Set Type not found)", 0, 1)</f>
        <v>0</v>
      </c>
      <c r="P137" s="3">
        <f>tbl_MTG_Set[[#This Row],[Released On]]+tbl_MTG_Set[[#This Row],[Heavy Printing Window Month Start]]*365.25/12</f>
        <v>45212</v>
      </c>
      <c r="Q137">
        <f>_xlfn.XLOOKUP(tbl_MTG_Set[[#This Row],[Type Name]], tbl_MTG_Set_Type[Set Type], tbl_MTG_Set_Type[Heavy Printing Window Month End], "(Set Type not found)", 0, 1)</f>
        <v>0</v>
      </c>
      <c r="R137" s="3">
        <f>tbl_MTG_Set[[#This Row],[Released On]]+tbl_MTG_Set[[#This Row],[Heavy Printing Window Month End]]*365.25/12</f>
        <v>45212</v>
      </c>
      <c r="S137" s="3" t="b">
        <f ca="1">AND(NOW()&gt;=tbl_MTG_Set[[#This Row],[Heavy Printing Window Start]], NOW()&lt;=tbl_MTG_Set[[#This Row],[Heavy Printing Window End]])</f>
        <v>0</v>
      </c>
      <c r="T137">
        <f>_xlfn.XLOOKUP(tbl_MTG_Set[[#This Row],[Type Name]], tbl_MTG_Set_Type[Set Type], tbl_MTG_Set_Type[Sell Window Month Start], "(Set Type not found)", 0, 1)</f>
        <v>0</v>
      </c>
      <c r="U137" s="3">
        <f>tbl_MTG_Set[[#This Row],[Released On]]+tbl_MTG_Set[[#This Row],[Sell Window Month Start]]*365.25/12</f>
        <v>45212</v>
      </c>
      <c r="V137">
        <f>_xlfn.XLOOKUP(tbl_MTG_Set[[#This Row],[Type Name]], tbl_MTG_Set_Type[Set Type], tbl_MTG_Set_Type[Sell Window Month End], "(Set Type not found)", 0, 1)</f>
        <v>0</v>
      </c>
      <c r="W137" s="3">
        <f>tbl_MTG_Set[[#This Row],[Released On]]+tbl_MTG_Set[[#This Row],[Sell Window Month End]]*365.25/12</f>
        <v>45212</v>
      </c>
      <c r="X137" s="3" t="b">
        <f ca="1">AND(NOW()&gt;=tbl_MTG_Set[[#This Row],[Sell Window Start]], NOW()&lt;=tbl_MTG_Set[[#This Row],[Sell Window End]])</f>
        <v>0</v>
      </c>
      <c r="AG137" s="10"/>
      <c r="AH137" s="10"/>
      <c r="AM137" s="10" t="str" cm="1">
        <f t="array" ref="AM1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7" s="10" t="str" cm="1">
        <f t="array" ref="AN1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7" s="4" t="e">
        <f>_xlfn.XLOOKUP(tbl_MTG_Set[[#This Row],[Play Booster Box Product Id]], tbl_Product[Product Id], tbl_Product[Pack Size])</f>
        <v>#N/A</v>
      </c>
      <c r="AP137" s="10" t="e">
        <f>(tbl_MTG_Set[[#This Row],[Play Booster Box Cost]]+v_Item_Shipping_Cost_In)/tbl_MTG_Set[[#This Row],[Play Booster Box Size]]</f>
        <v>#VALUE!</v>
      </c>
      <c r="AQ137" s="10" t="str" cm="1">
        <f t="array" ref="AQ1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7" s="10"/>
      <c r="AS137" s="10"/>
      <c r="AT137" s="17" t="e">
        <f>tbl_MTG_Set[[#This Row],[Play Booster CardMarket Profit]]/tbl_MTG_Set[[#This Row],[Play Booster Cost]]</f>
        <v>#VALUE!</v>
      </c>
      <c r="AU137" s="10" t="e">
        <f>_xlfn.XLOOKUP(tbl_MTG_Set[[#This Row],[Collector Booster Box Product Id]], tbl_Product[Product Id], tbl_Product[Min Cost])</f>
        <v>#N/A</v>
      </c>
      <c r="AV137" s="10" t="e">
        <f>_xlfn.XLOOKUP(tbl_MTG_Set[[#This Row],[Collector Booster Box Product Id]], tbl_Product[Product Id], tbl_Product[Best Source])</f>
        <v>#N/A</v>
      </c>
      <c r="AW137" s="4" t="e">
        <f>_xlfn.XLOOKUP(tbl_MTG_Set[[#This Row],[Collector Booster Box Product Id]], tbl_Product[Product Id], tbl_Product[Pack Size])</f>
        <v>#N/A</v>
      </c>
      <c r="AX137" s="10" t="e">
        <f>(tbl_MTG_Set[[#This Row],[Collector Booster Box Cost]] + v_Item_Shipping_Cost_In) / tbl_MTG_Set[[#This Row],[Collector Booster Box Size]]</f>
        <v>#N/A</v>
      </c>
      <c r="AY137" s="10" t="str" cm="1">
        <f t="array" ref="AY1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7" s="10"/>
      <c r="BA1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7" s="17" t="e">
        <f>tbl_MTG_Set[[#This Row],[Collector Booster CardMarket Profit]]/tbl_MTG_Set[[#This Row],[Collector Booster Cost]]</f>
        <v>#N/A</v>
      </c>
      <c r="BC137" s="10"/>
      <c r="BF1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7" s="11" t="e">
        <f>tbl_MTG_Set[[#This Row],[Play Singles CardMarket Profit MTG Stocks]]/tbl_MTG_Set[[#This Row],[Play Booster Cost]]</f>
        <v>#VALUE!</v>
      </c>
      <c r="BI137" s="11" t="b">
        <f>tbl_MTG_Set[[#This Row],[Play Singles CardMarket Profit MTG Stocks]]&gt;0</f>
        <v>0</v>
      </c>
      <c r="BM137" s="10" t="e">
        <f>tbl_MTG_Set[[#This Row],[Play Booster Sell Price CardMarket]]*tbl_MTG_Set[[#This Row],[Play Booster Expected Market Value BotBox]]/tbl_MTG_Set[[#This Row],[Play Booster Sealed Market Value BotBox]]</f>
        <v>#VALUE!</v>
      </c>
      <c r="BN1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7" s="10" t="e">
        <f>tbl_MTG_Set[[#This Row],[Play Singles CardMarket Profit BotBox]]/tbl_MTG_Set[[#This Row],[Play Booster Cost]]</f>
        <v>#VALUE!</v>
      </c>
      <c r="BP137" s="10" t="b">
        <f>tbl_MTG_Set[[#This Row],[Play Singles CardMarket Profit BotBox]]&gt;0</f>
        <v>0</v>
      </c>
      <c r="BQ137" s="10"/>
      <c r="BR137" s="10"/>
      <c r="BS137" s="10"/>
      <c r="BT1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7" s="19" t="e">
        <f>tbl_MTG_Set[[#This Row],[Collector Singles CardMarket Profit MTG Stocks]]/tbl_MTG_Set[[#This Row],[Collector Booster Cost]]</f>
        <v>#N/A</v>
      </c>
      <c r="BW137" s="10" t="b">
        <f>tbl_MTG_Set[[#This Row],[Collector Singles CardMarket Profit MTG Stocks]]&gt;0</f>
        <v>0</v>
      </c>
      <c r="BX137" s="10"/>
      <c r="BY137" s="10"/>
      <c r="BZ1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7" s="10" t="e">
        <f>tbl_MTG_Set[[#This Row],[Collector Singles CardMarket Profit BotBox]]/tbl_MTG_Set[[#This Row],[Collector Booster Cost]]</f>
        <v>#N/A</v>
      </c>
      <c r="CC137" s="10" t="b">
        <f>tbl_MTG_Set[[#This Row],[Collector Singles CardMarket Profit BotBox]]&gt;0</f>
        <v>0</v>
      </c>
      <c r="CD1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8" spans="1:86" hidden="1">
      <c r="A138">
        <v>152</v>
      </c>
      <c r="B138" t="s">
        <v>311</v>
      </c>
      <c r="C138">
        <v>64</v>
      </c>
      <c r="D138" s="3">
        <v>45212</v>
      </c>
      <c r="E138" t="s">
        <v>86</v>
      </c>
      <c r="F138" t="s">
        <v>174</v>
      </c>
      <c r="G138">
        <v>250</v>
      </c>
      <c r="H138">
        <f ca="1">MONTH(NOW())+12*YEAR(NOW())-MONTH(tbl_MTG_Set[[#This Row],[Released On]])-12*YEAR(tbl_MTG_Set[[#This Row],[Released On]])</f>
        <v>29</v>
      </c>
      <c r="I138">
        <f>_xlfn.XLOOKUP(tbl_MTG_Set[[#This Row],[Type Name]], tbl_MTG_Set_Type[Set Type], tbl_MTG_Set_Type[Index], "(Set Type not found)")</f>
        <v>6</v>
      </c>
      <c r="J138">
        <f>_xlfn.XLOOKUP(tbl_MTG_Set[[#This Row],[Type Name]], tbl_MTG_Set_Type[Set Type], tbl_MTG_Set_Type[Buy Window Month Start], "(Set Type not found)")</f>
        <v>3</v>
      </c>
      <c r="K138" s="3">
        <f>tbl_MTG_Set[[#This Row],[Released On]]+tbl_MTG_Set[[#This Row],[Buy Window Month Start]]*365.25/12</f>
        <v>45303.3125</v>
      </c>
      <c r="L138">
        <f>_xlfn.XLOOKUP(tbl_MTG_Set[[#This Row],[Type Name]], tbl_MTG_Set_Type[Set Type], tbl_MTG_Set_Type[Buy Window Month End], "(Set Type not found)", 0, 1)</f>
        <v>6</v>
      </c>
      <c r="M138" s="3">
        <f>tbl_MTG_Set[[#This Row],[Released On]]+tbl_MTG_Set[[#This Row],[Buy Window Month End]]*365.25/12</f>
        <v>45394.625</v>
      </c>
      <c r="N138" s="3" t="b">
        <f ca="1">AND(NOW()&gt;=tbl_MTG_Set[[#This Row],[Buy Window Start]], NOW()&lt;=tbl_MTG_Set[[#This Row],[Buy Window End]])</f>
        <v>0</v>
      </c>
      <c r="O138">
        <f>_xlfn.XLOOKUP(tbl_MTG_Set[[#This Row],[Type Name]], tbl_MTG_Set_Type[Set Type], tbl_MTG_Set_Type[Heavy Printing Window Month Start], "(Set Type not found)", 0, 1)</f>
        <v>0</v>
      </c>
      <c r="P138" s="3">
        <f>tbl_MTG_Set[[#This Row],[Released On]]+tbl_MTG_Set[[#This Row],[Heavy Printing Window Month Start]]*365.25/12</f>
        <v>45212</v>
      </c>
      <c r="Q138">
        <f>_xlfn.XLOOKUP(tbl_MTG_Set[[#This Row],[Type Name]], tbl_MTG_Set_Type[Set Type], tbl_MTG_Set_Type[Heavy Printing Window Month End], "(Set Type not found)", 0, 1)</f>
        <v>0</v>
      </c>
      <c r="R138" s="3">
        <f>tbl_MTG_Set[[#This Row],[Released On]]+tbl_MTG_Set[[#This Row],[Heavy Printing Window Month End]]*365.25/12</f>
        <v>45212</v>
      </c>
      <c r="S138" s="3" t="b">
        <f ca="1">AND(NOW()&gt;=tbl_MTG_Set[[#This Row],[Heavy Printing Window Start]], NOW()&lt;=tbl_MTG_Set[[#This Row],[Heavy Printing Window End]])</f>
        <v>0</v>
      </c>
      <c r="T138">
        <f>_xlfn.XLOOKUP(tbl_MTG_Set[[#This Row],[Type Name]], tbl_MTG_Set_Type[Set Type], tbl_MTG_Set_Type[Sell Window Month Start], "(Set Type not found)", 0, 1)</f>
        <v>0</v>
      </c>
      <c r="U138" s="3">
        <f>tbl_MTG_Set[[#This Row],[Released On]]+tbl_MTG_Set[[#This Row],[Sell Window Month Start]]*365.25/12</f>
        <v>45212</v>
      </c>
      <c r="V138">
        <f>_xlfn.XLOOKUP(tbl_MTG_Set[[#This Row],[Type Name]], tbl_MTG_Set_Type[Set Type], tbl_MTG_Set_Type[Sell Window Month End], "(Set Type not found)", 0, 1)</f>
        <v>0</v>
      </c>
      <c r="W138" s="3">
        <f>tbl_MTG_Set[[#This Row],[Released On]]+tbl_MTG_Set[[#This Row],[Sell Window Month End]]*365.25/12</f>
        <v>45212</v>
      </c>
      <c r="X138" s="3" t="b">
        <f ca="1">AND(NOW()&gt;=tbl_MTG_Set[[#This Row],[Sell Window Start]], NOW()&lt;=tbl_MTG_Set[[#This Row],[Sell Window End]])</f>
        <v>0</v>
      </c>
      <c r="AG138" s="10"/>
      <c r="AH138" s="10"/>
      <c r="AM138" s="10" t="str" cm="1">
        <f t="array" ref="AM1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8" s="10" t="str" cm="1">
        <f t="array" ref="AN1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8" s="4" t="e">
        <f>_xlfn.XLOOKUP(tbl_MTG_Set[[#This Row],[Play Booster Box Product Id]], tbl_Product[Product Id], tbl_Product[Pack Size])</f>
        <v>#N/A</v>
      </c>
      <c r="AP138" s="10" t="e">
        <f>(tbl_MTG_Set[[#This Row],[Play Booster Box Cost]]+v_Item_Shipping_Cost_In)/tbl_MTG_Set[[#This Row],[Play Booster Box Size]]</f>
        <v>#VALUE!</v>
      </c>
      <c r="AQ138" s="10" t="str" cm="1">
        <f t="array" ref="AQ1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8" s="10"/>
      <c r="AS138" s="10"/>
      <c r="AT138" s="17" t="e">
        <f>tbl_MTG_Set[[#This Row],[Play Booster CardMarket Profit]]/tbl_MTG_Set[[#This Row],[Play Booster Cost]]</f>
        <v>#VALUE!</v>
      </c>
      <c r="AU138" s="10" t="e">
        <f>_xlfn.XLOOKUP(tbl_MTG_Set[[#This Row],[Collector Booster Box Product Id]], tbl_Product[Product Id], tbl_Product[Min Cost])</f>
        <v>#N/A</v>
      </c>
      <c r="AV138" s="10" t="e">
        <f>_xlfn.XLOOKUP(tbl_MTG_Set[[#This Row],[Collector Booster Box Product Id]], tbl_Product[Product Id], tbl_Product[Best Source])</f>
        <v>#N/A</v>
      </c>
      <c r="AW138" s="4" t="e">
        <f>_xlfn.XLOOKUP(tbl_MTG_Set[[#This Row],[Collector Booster Box Product Id]], tbl_Product[Product Id], tbl_Product[Pack Size])</f>
        <v>#N/A</v>
      </c>
      <c r="AX138" s="10" t="e">
        <f>(tbl_MTG_Set[[#This Row],[Collector Booster Box Cost]] + v_Item_Shipping_Cost_In) / tbl_MTG_Set[[#This Row],[Collector Booster Box Size]]</f>
        <v>#N/A</v>
      </c>
      <c r="AY138" s="10" t="str" cm="1">
        <f t="array" ref="AY1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8" s="10"/>
      <c r="BA1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8" s="17" t="e">
        <f>tbl_MTG_Set[[#This Row],[Collector Booster CardMarket Profit]]/tbl_MTG_Set[[#This Row],[Collector Booster Cost]]</f>
        <v>#N/A</v>
      </c>
      <c r="BC138" s="10"/>
      <c r="BF1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8" s="11" t="e">
        <f>tbl_MTG_Set[[#This Row],[Play Singles CardMarket Profit MTG Stocks]]/tbl_MTG_Set[[#This Row],[Play Booster Cost]]</f>
        <v>#VALUE!</v>
      </c>
      <c r="BI138" s="11" t="b">
        <f>tbl_MTG_Set[[#This Row],[Play Singles CardMarket Profit MTG Stocks]]&gt;0</f>
        <v>0</v>
      </c>
      <c r="BM138" s="10" t="e">
        <f>tbl_MTG_Set[[#This Row],[Play Booster Sell Price CardMarket]]*tbl_MTG_Set[[#This Row],[Play Booster Expected Market Value BotBox]]/tbl_MTG_Set[[#This Row],[Play Booster Sealed Market Value BotBox]]</f>
        <v>#VALUE!</v>
      </c>
      <c r="BN1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8" s="10" t="e">
        <f>tbl_MTG_Set[[#This Row],[Play Singles CardMarket Profit BotBox]]/tbl_MTG_Set[[#This Row],[Play Booster Cost]]</f>
        <v>#VALUE!</v>
      </c>
      <c r="BP138" s="10" t="b">
        <f>tbl_MTG_Set[[#This Row],[Play Singles CardMarket Profit BotBox]]&gt;0</f>
        <v>0</v>
      </c>
      <c r="BQ138" s="10"/>
      <c r="BR138" s="10"/>
      <c r="BS138" s="10"/>
      <c r="BT1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8" s="19" t="e">
        <f>tbl_MTG_Set[[#This Row],[Collector Singles CardMarket Profit MTG Stocks]]/tbl_MTG_Set[[#This Row],[Collector Booster Cost]]</f>
        <v>#N/A</v>
      </c>
      <c r="BW138" s="10" t="b">
        <f>tbl_MTG_Set[[#This Row],[Collector Singles CardMarket Profit MTG Stocks]]&gt;0</f>
        <v>0</v>
      </c>
      <c r="BX138" s="10"/>
      <c r="BY138" s="10"/>
      <c r="BZ1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8" s="10" t="e">
        <f>tbl_MTG_Set[[#This Row],[Collector Singles CardMarket Profit BotBox]]/tbl_MTG_Set[[#This Row],[Collector Booster Cost]]</f>
        <v>#N/A</v>
      </c>
      <c r="CC138" s="10" t="b">
        <f>tbl_MTG_Set[[#This Row],[Collector Singles CardMarket Profit BotBox]]&gt;0</f>
        <v>0</v>
      </c>
      <c r="CD1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39" spans="1:86" hidden="1">
      <c r="A139">
        <v>153</v>
      </c>
      <c r="B139" t="s">
        <v>312</v>
      </c>
      <c r="C139">
        <v>4</v>
      </c>
      <c r="D139" s="3">
        <v>45177</v>
      </c>
      <c r="F139" t="s">
        <v>174</v>
      </c>
      <c r="G139">
        <v>252</v>
      </c>
      <c r="H139">
        <f ca="1">MONTH(NOW())+12*YEAR(NOW())-MONTH(tbl_MTG_Set[[#This Row],[Released On]])-12*YEAR(tbl_MTG_Set[[#This Row],[Released On]])</f>
        <v>30</v>
      </c>
      <c r="I139" t="str">
        <f>_xlfn.XLOOKUP(tbl_MTG_Set[[#This Row],[Type Name]], tbl_MTG_Set_Type[Set Type], tbl_MTG_Set_Type[Index], "(Set Type not found)")</f>
        <v>(Set Type not found)</v>
      </c>
      <c r="J139" t="str">
        <f>_xlfn.XLOOKUP(tbl_MTG_Set[[#This Row],[Type Name]], tbl_MTG_Set_Type[Set Type], tbl_MTG_Set_Type[Buy Window Month Start], "(Set Type not found)")</f>
        <v>(Set Type not found)</v>
      </c>
      <c r="K139" s="3" t="e">
        <f>tbl_MTG_Set[[#This Row],[Released On]]+tbl_MTG_Set[[#This Row],[Buy Window Month Start]]*365.25/12</f>
        <v>#VALUE!</v>
      </c>
      <c r="L139" t="str">
        <f>_xlfn.XLOOKUP(tbl_MTG_Set[[#This Row],[Type Name]], tbl_MTG_Set_Type[Set Type], tbl_MTG_Set_Type[Buy Window Month End], "(Set Type not found)", 0, 1)</f>
        <v>(Set Type not found)</v>
      </c>
      <c r="M139" s="3" t="e">
        <f>tbl_MTG_Set[[#This Row],[Released On]]+tbl_MTG_Set[[#This Row],[Buy Window Month End]]*365.25/12</f>
        <v>#VALUE!</v>
      </c>
      <c r="N139" s="3" t="e">
        <f ca="1">AND(NOW()&gt;=tbl_MTG_Set[[#This Row],[Buy Window Start]], NOW()&lt;=tbl_MTG_Set[[#This Row],[Buy Window End]])</f>
        <v>#VALUE!</v>
      </c>
      <c r="O139" t="str">
        <f>_xlfn.XLOOKUP(tbl_MTG_Set[[#This Row],[Type Name]], tbl_MTG_Set_Type[Set Type], tbl_MTG_Set_Type[Heavy Printing Window Month Start], "(Set Type not found)", 0, 1)</f>
        <v>(Set Type not found)</v>
      </c>
      <c r="P139" s="3" t="e">
        <f>tbl_MTG_Set[[#This Row],[Released On]]+tbl_MTG_Set[[#This Row],[Heavy Printing Window Month Start]]*365.25/12</f>
        <v>#VALUE!</v>
      </c>
      <c r="Q139" t="str">
        <f>_xlfn.XLOOKUP(tbl_MTG_Set[[#This Row],[Type Name]], tbl_MTG_Set_Type[Set Type], tbl_MTG_Set_Type[Heavy Printing Window Month End], "(Set Type not found)", 0, 1)</f>
        <v>(Set Type not found)</v>
      </c>
      <c r="R139" s="3" t="e">
        <f>tbl_MTG_Set[[#This Row],[Released On]]+tbl_MTG_Set[[#This Row],[Heavy Printing Window Month End]]*365.25/12</f>
        <v>#VALUE!</v>
      </c>
      <c r="S139" s="3" t="e">
        <f ca="1">AND(NOW()&gt;=tbl_MTG_Set[[#This Row],[Heavy Printing Window Start]], NOW()&lt;=tbl_MTG_Set[[#This Row],[Heavy Printing Window End]])</f>
        <v>#VALUE!</v>
      </c>
      <c r="T139" t="str">
        <f>_xlfn.XLOOKUP(tbl_MTG_Set[[#This Row],[Type Name]], tbl_MTG_Set_Type[Set Type], tbl_MTG_Set_Type[Sell Window Month Start], "(Set Type not found)", 0, 1)</f>
        <v>(Set Type not found)</v>
      </c>
      <c r="U139" s="3" t="e">
        <f>tbl_MTG_Set[[#This Row],[Released On]]+tbl_MTG_Set[[#This Row],[Sell Window Month Start]]*365.25/12</f>
        <v>#VALUE!</v>
      </c>
      <c r="V139" t="str">
        <f>_xlfn.XLOOKUP(tbl_MTG_Set[[#This Row],[Type Name]], tbl_MTG_Set_Type[Set Type], tbl_MTG_Set_Type[Sell Window Month End], "(Set Type not found)", 0, 1)</f>
        <v>(Set Type not found)</v>
      </c>
      <c r="W139" s="3" t="e">
        <f>tbl_MTG_Set[[#This Row],[Released On]]+tbl_MTG_Set[[#This Row],[Sell Window Month End]]*365.25/12</f>
        <v>#VALUE!</v>
      </c>
      <c r="X139" s="3" t="e">
        <f ca="1">AND(NOW()&gt;=tbl_MTG_Set[[#This Row],[Sell Window Start]], NOW()&lt;=tbl_MTG_Set[[#This Row],[Sell Window End]])</f>
        <v>#VALUE!</v>
      </c>
      <c r="AG139" s="10"/>
      <c r="AH139" s="10"/>
      <c r="AM139" s="10" t="str" cm="1">
        <f t="array" ref="AM1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39" s="10" t="str" cm="1">
        <f t="array" ref="AN1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39" s="4" t="e">
        <f>_xlfn.XLOOKUP(tbl_MTG_Set[[#This Row],[Play Booster Box Product Id]], tbl_Product[Product Id], tbl_Product[Pack Size])</f>
        <v>#N/A</v>
      </c>
      <c r="AP139" s="10" t="e">
        <f>(tbl_MTG_Set[[#This Row],[Play Booster Box Cost]]+v_Item_Shipping_Cost_In)/tbl_MTG_Set[[#This Row],[Play Booster Box Size]]</f>
        <v>#VALUE!</v>
      </c>
      <c r="AQ139" s="10" t="str" cm="1">
        <f t="array" ref="AQ1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39" s="10"/>
      <c r="AS139" s="10"/>
      <c r="AT139" s="17" t="e">
        <f>tbl_MTG_Set[[#This Row],[Play Booster CardMarket Profit]]/tbl_MTG_Set[[#This Row],[Play Booster Cost]]</f>
        <v>#VALUE!</v>
      </c>
      <c r="AU139" s="10" t="e">
        <f>_xlfn.XLOOKUP(tbl_MTG_Set[[#This Row],[Collector Booster Box Product Id]], tbl_Product[Product Id], tbl_Product[Min Cost])</f>
        <v>#N/A</v>
      </c>
      <c r="AV139" s="10" t="e">
        <f>_xlfn.XLOOKUP(tbl_MTG_Set[[#This Row],[Collector Booster Box Product Id]], tbl_Product[Product Id], tbl_Product[Best Source])</f>
        <v>#N/A</v>
      </c>
      <c r="AW139" s="4" t="e">
        <f>_xlfn.XLOOKUP(tbl_MTG_Set[[#This Row],[Collector Booster Box Product Id]], tbl_Product[Product Id], tbl_Product[Pack Size])</f>
        <v>#N/A</v>
      </c>
      <c r="AX139" s="10" t="e">
        <f>(tbl_MTG_Set[[#This Row],[Collector Booster Box Cost]] + v_Item_Shipping_Cost_In) / tbl_MTG_Set[[#This Row],[Collector Booster Box Size]]</f>
        <v>#N/A</v>
      </c>
      <c r="AY139" s="10" t="str" cm="1">
        <f t="array" ref="AY1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39" s="10"/>
      <c r="BA1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39" s="17" t="e">
        <f>tbl_MTG_Set[[#This Row],[Collector Booster CardMarket Profit]]/tbl_MTG_Set[[#This Row],[Collector Booster Cost]]</f>
        <v>#N/A</v>
      </c>
      <c r="BC139" s="10"/>
      <c r="BF1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39" s="11" t="e">
        <f>tbl_MTG_Set[[#This Row],[Play Singles CardMarket Profit MTG Stocks]]/tbl_MTG_Set[[#This Row],[Play Booster Cost]]</f>
        <v>#VALUE!</v>
      </c>
      <c r="BI139" s="11" t="b">
        <f>tbl_MTG_Set[[#This Row],[Play Singles CardMarket Profit MTG Stocks]]&gt;0</f>
        <v>0</v>
      </c>
      <c r="BM139" s="10" t="e">
        <f>tbl_MTG_Set[[#This Row],[Play Booster Sell Price CardMarket]]*tbl_MTG_Set[[#This Row],[Play Booster Expected Market Value BotBox]]/tbl_MTG_Set[[#This Row],[Play Booster Sealed Market Value BotBox]]</f>
        <v>#VALUE!</v>
      </c>
      <c r="BN1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39" s="10" t="e">
        <f>tbl_MTG_Set[[#This Row],[Play Singles CardMarket Profit BotBox]]/tbl_MTG_Set[[#This Row],[Play Booster Cost]]</f>
        <v>#VALUE!</v>
      </c>
      <c r="BP139" s="10" t="b">
        <f>tbl_MTG_Set[[#This Row],[Play Singles CardMarket Profit BotBox]]&gt;0</f>
        <v>0</v>
      </c>
      <c r="BQ139" s="10"/>
      <c r="BR139" s="10"/>
      <c r="BS139" s="10"/>
      <c r="BT1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39" s="19" t="e">
        <f>tbl_MTG_Set[[#This Row],[Collector Singles CardMarket Profit MTG Stocks]]/tbl_MTG_Set[[#This Row],[Collector Booster Cost]]</f>
        <v>#N/A</v>
      </c>
      <c r="BW139" s="10" t="b">
        <f>tbl_MTG_Set[[#This Row],[Collector Singles CardMarket Profit MTG Stocks]]&gt;0</f>
        <v>0</v>
      </c>
      <c r="BX139" s="10"/>
      <c r="BY139" s="10"/>
      <c r="BZ1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39" s="10" t="e">
        <f>tbl_MTG_Set[[#This Row],[Collector Singles CardMarket Profit BotBox]]/tbl_MTG_Set[[#This Row],[Collector Booster Cost]]</f>
        <v>#N/A</v>
      </c>
      <c r="CC139" s="10" t="b">
        <f>tbl_MTG_Set[[#This Row],[Collector Singles CardMarket Profit BotBox]]&gt;0</f>
        <v>0</v>
      </c>
      <c r="CD1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0" spans="1:86" hidden="1">
      <c r="A140">
        <v>155</v>
      </c>
      <c r="B140" t="s">
        <v>313</v>
      </c>
      <c r="C140">
        <v>103</v>
      </c>
      <c r="D140" s="3">
        <v>45177</v>
      </c>
      <c r="E140" t="s">
        <v>59</v>
      </c>
      <c r="F140" t="s">
        <v>174</v>
      </c>
      <c r="G140">
        <v>256</v>
      </c>
      <c r="H140">
        <f ca="1">MONTH(NOW())+12*YEAR(NOW())-MONTH(tbl_MTG_Set[[#This Row],[Released On]])-12*YEAR(tbl_MTG_Set[[#This Row],[Released On]])</f>
        <v>30</v>
      </c>
      <c r="I140">
        <f>_xlfn.XLOOKUP(tbl_MTG_Set[[#This Row],[Type Name]], tbl_MTG_Set_Type[Set Type], tbl_MTG_Set_Type[Index], "(Set Type not found)")</f>
        <v>1</v>
      </c>
      <c r="J140">
        <f>_xlfn.XLOOKUP(tbl_MTG_Set[[#This Row],[Type Name]], tbl_MTG_Set_Type[Set Type], tbl_MTG_Set_Type[Buy Window Month Start], "(Set Type not found)")</f>
        <v>18</v>
      </c>
      <c r="K140" s="3">
        <f>tbl_MTG_Set[[#This Row],[Released On]]+tbl_MTG_Set[[#This Row],[Buy Window Month Start]]*365.25/12</f>
        <v>45724.875</v>
      </c>
      <c r="L140">
        <f>_xlfn.XLOOKUP(tbl_MTG_Set[[#This Row],[Type Name]], tbl_MTG_Set_Type[Set Type], tbl_MTG_Set_Type[Buy Window Month End], "(Set Type not found)", 0, 1)</f>
        <v>24</v>
      </c>
      <c r="M140" s="3">
        <f>tbl_MTG_Set[[#This Row],[Released On]]+tbl_MTG_Set[[#This Row],[Buy Window Month End]]*365.25/12</f>
        <v>45907.5</v>
      </c>
      <c r="N140" s="3" t="b">
        <f ca="1">AND(NOW()&gt;=tbl_MTG_Set[[#This Row],[Buy Window Start]], NOW()&lt;=tbl_MTG_Set[[#This Row],[Buy Window End]])</f>
        <v>0</v>
      </c>
      <c r="O140">
        <f>_xlfn.XLOOKUP(tbl_MTG_Set[[#This Row],[Type Name]], tbl_MTG_Set_Type[Set Type], tbl_MTG_Set_Type[Heavy Printing Window Month Start], "(Set Type not found)", 0, 1)</f>
        <v>1</v>
      </c>
      <c r="P140" s="3">
        <f>tbl_MTG_Set[[#This Row],[Released On]]+tbl_MTG_Set[[#This Row],[Heavy Printing Window Month Start]]*365.25/12</f>
        <v>45207.4375</v>
      </c>
      <c r="Q140">
        <f>_xlfn.XLOOKUP(tbl_MTG_Set[[#This Row],[Type Name]], tbl_MTG_Set_Type[Set Type], tbl_MTG_Set_Type[Heavy Printing Window Month End], "(Set Type not found)", 0, 1)</f>
        <v>18</v>
      </c>
      <c r="R140" s="3">
        <f>tbl_MTG_Set[[#This Row],[Released On]]+tbl_MTG_Set[[#This Row],[Heavy Printing Window Month End]]*365.25/12</f>
        <v>45724.875</v>
      </c>
      <c r="S140" s="3" t="b">
        <f ca="1">AND(NOW()&gt;=tbl_MTG_Set[[#This Row],[Heavy Printing Window Start]], NOW()&lt;=tbl_MTG_Set[[#This Row],[Heavy Printing Window End]])</f>
        <v>0</v>
      </c>
      <c r="T140">
        <f>_xlfn.XLOOKUP(tbl_MTG_Set[[#This Row],[Type Name]], tbl_MTG_Set_Type[Set Type], tbl_MTG_Set_Type[Sell Window Month Start], "(Set Type not found)", 0, 1)</f>
        <v>36</v>
      </c>
      <c r="U140" s="3">
        <f>tbl_MTG_Set[[#This Row],[Released On]]+tbl_MTG_Set[[#This Row],[Sell Window Month Start]]*365.25/12</f>
        <v>46272.75</v>
      </c>
      <c r="V140">
        <f>_xlfn.XLOOKUP(tbl_MTG_Set[[#This Row],[Type Name]], tbl_MTG_Set_Type[Set Type], tbl_MTG_Set_Type[Sell Window Month End], "(Set Type not found)", 0, 1)</f>
        <v>48</v>
      </c>
      <c r="W140" s="3">
        <f>tbl_MTG_Set[[#This Row],[Released On]]+tbl_MTG_Set[[#This Row],[Sell Window Month End]]*365.25/12</f>
        <v>46638</v>
      </c>
      <c r="X140" s="3" t="b">
        <f ca="1">AND(NOW()&gt;=tbl_MTG_Set[[#This Row],[Sell Window Start]], NOW()&lt;=tbl_MTG_Set[[#This Row],[Sell Window End]])</f>
        <v>0</v>
      </c>
      <c r="AG140" s="10"/>
      <c r="AH140" s="10"/>
      <c r="AM140" s="10" t="str" cm="1">
        <f t="array" ref="AM1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0" s="10" t="str" cm="1">
        <f t="array" ref="AN1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0" s="4" t="e">
        <f>_xlfn.XLOOKUP(tbl_MTG_Set[[#This Row],[Play Booster Box Product Id]], tbl_Product[Product Id], tbl_Product[Pack Size])</f>
        <v>#N/A</v>
      </c>
      <c r="AP140" s="10" t="e">
        <f>(tbl_MTG_Set[[#This Row],[Play Booster Box Cost]]+v_Item_Shipping_Cost_In)/tbl_MTG_Set[[#This Row],[Play Booster Box Size]]</f>
        <v>#VALUE!</v>
      </c>
      <c r="AQ140" s="10" t="str" cm="1">
        <f t="array" ref="AQ1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0" s="10"/>
      <c r="AS140" s="10"/>
      <c r="AT140" s="17" t="e">
        <f>tbl_MTG_Set[[#This Row],[Play Booster CardMarket Profit]]/tbl_MTG_Set[[#This Row],[Play Booster Cost]]</f>
        <v>#VALUE!</v>
      </c>
      <c r="AU140" s="10" t="e">
        <f>_xlfn.XLOOKUP(tbl_MTG_Set[[#This Row],[Collector Booster Box Product Id]], tbl_Product[Product Id], tbl_Product[Min Cost])</f>
        <v>#N/A</v>
      </c>
      <c r="AV140" s="10" t="e">
        <f>_xlfn.XLOOKUP(tbl_MTG_Set[[#This Row],[Collector Booster Box Product Id]], tbl_Product[Product Id], tbl_Product[Best Source])</f>
        <v>#N/A</v>
      </c>
      <c r="AW140" s="4" t="e">
        <f>_xlfn.XLOOKUP(tbl_MTG_Set[[#This Row],[Collector Booster Box Product Id]], tbl_Product[Product Id], tbl_Product[Pack Size])</f>
        <v>#N/A</v>
      </c>
      <c r="AX140" s="10" t="e">
        <f>(tbl_MTG_Set[[#This Row],[Collector Booster Box Cost]] + v_Item_Shipping_Cost_In) / tbl_MTG_Set[[#This Row],[Collector Booster Box Size]]</f>
        <v>#N/A</v>
      </c>
      <c r="AY140" s="10" t="str" cm="1">
        <f t="array" ref="AY1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0" s="10"/>
      <c r="BA1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0" s="17" t="e">
        <f>tbl_MTG_Set[[#This Row],[Collector Booster CardMarket Profit]]/tbl_MTG_Set[[#This Row],[Collector Booster Cost]]</f>
        <v>#N/A</v>
      </c>
      <c r="BC140" s="10"/>
      <c r="BF1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0" s="11" t="e">
        <f>tbl_MTG_Set[[#This Row],[Play Singles CardMarket Profit MTG Stocks]]/tbl_MTG_Set[[#This Row],[Play Booster Cost]]</f>
        <v>#VALUE!</v>
      </c>
      <c r="BI140" s="11" t="b">
        <f>tbl_MTG_Set[[#This Row],[Play Singles CardMarket Profit MTG Stocks]]&gt;0</f>
        <v>0</v>
      </c>
      <c r="BM140" s="10" t="e">
        <f>tbl_MTG_Set[[#This Row],[Play Booster Sell Price CardMarket]]*tbl_MTG_Set[[#This Row],[Play Booster Expected Market Value BotBox]]/tbl_MTG_Set[[#This Row],[Play Booster Sealed Market Value BotBox]]</f>
        <v>#VALUE!</v>
      </c>
      <c r="BN1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0" s="10" t="e">
        <f>tbl_MTG_Set[[#This Row],[Play Singles CardMarket Profit BotBox]]/tbl_MTG_Set[[#This Row],[Play Booster Cost]]</f>
        <v>#VALUE!</v>
      </c>
      <c r="BP140" s="10" t="b">
        <f>tbl_MTG_Set[[#This Row],[Play Singles CardMarket Profit BotBox]]&gt;0</f>
        <v>0</v>
      </c>
      <c r="BQ140" s="10"/>
      <c r="BR140" s="10"/>
      <c r="BS140" s="10"/>
      <c r="BT1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0" s="19" t="e">
        <f>tbl_MTG_Set[[#This Row],[Collector Singles CardMarket Profit MTG Stocks]]/tbl_MTG_Set[[#This Row],[Collector Booster Cost]]</f>
        <v>#N/A</v>
      </c>
      <c r="BW140" s="10" t="b">
        <f>tbl_MTG_Set[[#This Row],[Collector Singles CardMarket Profit MTG Stocks]]&gt;0</f>
        <v>0</v>
      </c>
      <c r="BX140" s="10"/>
      <c r="BY140" s="10"/>
      <c r="BZ1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0" s="10" t="e">
        <f>tbl_MTG_Set[[#This Row],[Collector Singles CardMarket Profit BotBox]]/tbl_MTG_Set[[#This Row],[Collector Booster Cost]]</f>
        <v>#N/A</v>
      </c>
      <c r="CC140" s="10" t="b">
        <f>tbl_MTG_Set[[#This Row],[Collector Singles CardMarket Profit BotBox]]&gt;0</f>
        <v>0</v>
      </c>
      <c r="CD1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1" spans="1:86" hidden="1">
      <c r="A141">
        <v>156</v>
      </c>
      <c r="B141" t="s">
        <v>314</v>
      </c>
      <c r="C141">
        <v>160</v>
      </c>
      <c r="D141" s="3">
        <v>45177</v>
      </c>
      <c r="E141" t="s">
        <v>59</v>
      </c>
      <c r="F141" t="s">
        <v>174</v>
      </c>
      <c r="G141">
        <v>258</v>
      </c>
      <c r="H141">
        <f ca="1">MONTH(NOW())+12*YEAR(NOW())-MONTH(tbl_MTG_Set[[#This Row],[Released On]])-12*YEAR(tbl_MTG_Set[[#This Row],[Released On]])</f>
        <v>30</v>
      </c>
      <c r="I141">
        <f>_xlfn.XLOOKUP(tbl_MTG_Set[[#This Row],[Type Name]], tbl_MTG_Set_Type[Set Type], tbl_MTG_Set_Type[Index], "(Set Type not found)")</f>
        <v>1</v>
      </c>
      <c r="J141">
        <f>_xlfn.XLOOKUP(tbl_MTG_Set[[#This Row],[Type Name]], tbl_MTG_Set_Type[Set Type], tbl_MTG_Set_Type[Buy Window Month Start], "(Set Type not found)")</f>
        <v>18</v>
      </c>
      <c r="K141" s="3">
        <f>tbl_MTG_Set[[#This Row],[Released On]]+tbl_MTG_Set[[#This Row],[Buy Window Month Start]]*365.25/12</f>
        <v>45724.875</v>
      </c>
      <c r="L141">
        <f>_xlfn.XLOOKUP(tbl_MTG_Set[[#This Row],[Type Name]], tbl_MTG_Set_Type[Set Type], tbl_MTG_Set_Type[Buy Window Month End], "(Set Type not found)", 0, 1)</f>
        <v>24</v>
      </c>
      <c r="M141" s="3">
        <f>tbl_MTG_Set[[#This Row],[Released On]]+tbl_MTG_Set[[#This Row],[Buy Window Month End]]*365.25/12</f>
        <v>45907.5</v>
      </c>
      <c r="N141" s="3" t="b">
        <f ca="1">AND(NOW()&gt;=tbl_MTG_Set[[#This Row],[Buy Window Start]], NOW()&lt;=tbl_MTG_Set[[#This Row],[Buy Window End]])</f>
        <v>0</v>
      </c>
      <c r="O141">
        <f>_xlfn.XLOOKUP(tbl_MTG_Set[[#This Row],[Type Name]], tbl_MTG_Set_Type[Set Type], tbl_MTG_Set_Type[Heavy Printing Window Month Start], "(Set Type not found)", 0, 1)</f>
        <v>1</v>
      </c>
      <c r="P141" s="3">
        <f>tbl_MTG_Set[[#This Row],[Released On]]+tbl_MTG_Set[[#This Row],[Heavy Printing Window Month Start]]*365.25/12</f>
        <v>45207.4375</v>
      </c>
      <c r="Q141">
        <f>_xlfn.XLOOKUP(tbl_MTG_Set[[#This Row],[Type Name]], tbl_MTG_Set_Type[Set Type], tbl_MTG_Set_Type[Heavy Printing Window Month End], "(Set Type not found)", 0, 1)</f>
        <v>18</v>
      </c>
      <c r="R141" s="3">
        <f>tbl_MTG_Set[[#This Row],[Released On]]+tbl_MTG_Set[[#This Row],[Heavy Printing Window Month End]]*365.25/12</f>
        <v>45724.875</v>
      </c>
      <c r="S141" s="3" t="b">
        <f ca="1">AND(NOW()&gt;=tbl_MTG_Set[[#This Row],[Heavy Printing Window Start]], NOW()&lt;=tbl_MTG_Set[[#This Row],[Heavy Printing Window End]])</f>
        <v>0</v>
      </c>
      <c r="T141">
        <f>_xlfn.XLOOKUP(tbl_MTG_Set[[#This Row],[Type Name]], tbl_MTG_Set_Type[Set Type], tbl_MTG_Set_Type[Sell Window Month Start], "(Set Type not found)", 0, 1)</f>
        <v>36</v>
      </c>
      <c r="U141" s="3">
        <f>tbl_MTG_Set[[#This Row],[Released On]]+tbl_MTG_Set[[#This Row],[Sell Window Month Start]]*365.25/12</f>
        <v>46272.75</v>
      </c>
      <c r="V141">
        <f>_xlfn.XLOOKUP(tbl_MTG_Set[[#This Row],[Type Name]], tbl_MTG_Set_Type[Set Type], tbl_MTG_Set_Type[Sell Window Month End], "(Set Type not found)", 0, 1)</f>
        <v>48</v>
      </c>
      <c r="W141" s="3">
        <f>tbl_MTG_Set[[#This Row],[Released On]]+tbl_MTG_Set[[#This Row],[Sell Window Month End]]*365.25/12</f>
        <v>46638</v>
      </c>
      <c r="X141" s="3" t="b">
        <f ca="1">AND(NOW()&gt;=tbl_MTG_Set[[#This Row],[Sell Window Start]], NOW()&lt;=tbl_MTG_Set[[#This Row],[Sell Window End]])</f>
        <v>0</v>
      </c>
      <c r="AG141" s="10"/>
      <c r="AH141" s="10"/>
      <c r="AM141" s="10" t="str" cm="1">
        <f t="array" ref="AM1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1" s="10" t="str" cm="1">
        <f t="array" ref="AN1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1" s="4" t="e">
        <f>_xlfn.XLOOKUP(tbl_MTG_Set[[#This Row],[Play Booster Box Product Id]], tbl_Product[Product Id], tbl_Product[Pack Size])</f>
        <v>#N/A</v>
      </c>
      <c r="AP141" s="10" t="e">
        <f>(tbl_MTG_Set[[#This Row],[Play Booster Box Cost]]+v_Item_Shipping_Cost_In)/tbl_MTG_Set[[#This Row],[Play Booster Box Size]]</f>
        <v>#VALUE!</v>
      </c>
      <c r="AQ141" s="10" t="str" cm="1">
        <f t="array" ref="AQ1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1" s="10"/>
      <c r="AS141" s="10"/>
      <c r="AT141" s="17" t="e">
        <f>tbl_MTG_Set[[#This Row],[Play Booster CardMarket Profit]]/tbl_MTG_Set[[#This Row],[Play Booster Cost]]</f>
        <v>#VALUE!</v>
      </c>
      <c r="AU141" s="10" t="e">
        <f>_xlfn.XLOOKUP(tbl_MTG_Set[[#This Row],[Collector Booster Box Product Id]], tbl_Product[Product Id], tbl_Product[Min Cost])</f>
        <v>#N/A</v>
      </c>
      <c r="AV141" s="10" t="e">
        <f>_xlfn.XLOOKUP(tbl_MTG_Set[[#This Row],[Collector Booster Box Product Id]], tbl_Product[Product Id], tbl_Product[Best Source])</f>
        <v>#N/A</v>
      </c>
      <c r="AW141" s="4" t="e">
        <f>_xlfn.XLOOKUP(tbl_MTG_Set[[#This Row],[Collector Booster Box Product Id]], tbl_Product[Product Id], tbl_Product[Pack Size])</f>
        <v>#N/A</v>
      </c>
      <c r="AX141" s="10" t="e">
        <f>(tbl_MTG_Set[[#This Row],[Collector Booster Box Cost]] + v_Item_Shipping_Cost_In) / tbl_MTG_Set[[#This Row],[Collector Booster Box Size]]</f>
        <v>#N/A</v>
      </c>
      <c r="AY141" s="10" t="str" cm="1">
        <f t="array" ref="AY1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1" s="10"/>
      <c r="BA1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1" s="17" t="e">
        <f>tbl_MTG_Set[[#This Row],[Collector Booster CardMarket Profit]]/tbl_MTG_Set[[#This Row],[Collector Booster Cost]]</f>
        <v>#N/A</v>
      </c>
      <c r="BC141" s="10"/>
      <c r="BF1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1" s="11" t="e">
        <f>tbl_MTG_Set[[#This Row],[Play Singles CardMarket Profit MTG Stocks]]/tbl_MTG_Set[[#This Row],[Play Booster Cost]]</f>
        <v>#VALUE!</v>
      </c>
      <c r="BI141" s="11" t="b">
        <f>tbl_MTG_Set[[#This Row],[Play Singles CardMarket Profit MTG Stocks]]&gt;0</f>
        <v>0</v>
      </c>
      <c r="BM141" s="10" t="e">
        <f>tbl_MTG_Set[[#This Row],[Play Booster Sell Price CardMarket]]*tbl_MTG_Set[[#This Row],[Play Booster Expected Market Value BotBox]]/tbl_MTG_Set[[#This Row],[Play Booster Sealed Market Value BotBox]]</f>
        <v>#VALUE!</v>
      </c>
      <c r="BN1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1" s="10" t="e">
        <f>tbl_MTG_Set[[#This Row],[Play Singles CardMarket Profit BotBox]]/tbl_MTG_Set[[#This Row],[Play Booster Cost]]</f>
        <v>#VALUE!</v>
      </c>
      <c r="BP141" s="10" t="b">
        <f>tbl_MTG_Set[[#This Row],[Play Singles CardMarket Profit BotBox]]&gt;0</f>
        <v>0</v>
      </c>
      <c r="BQ141" s="10"/>
      <c r="BR141" s="10"/>
      <c r="BS141" s="10"/>
      <c r="BT1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1" s="19" t="e">
        <f>tbl_MTG_Set[[#This Row],[Collector Singles CardMarket Profit MTG Stocks]]/tbl_MTG_Set[[#This Row],[Collector Booster Cost]]</f>
        <v>#N/A</v>
      </c>
      <c r="BW141" s="10" t="b">
        <f>tbl_MTG_Set[[#This Row],[Collector Singles CardMarket Profit MTG Stocks]]&gt;0</f>
        <v>0</v>
      </c>
      <c r="BX141" s="10"/>
      <c r="BY141" s="10"/>
      <c r="BZ1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1" s="10" t="e">
        <f>tbl_MTG_Set[[#This Row],[Collector Singles CardMarket Profit BotBox]]/tbl_MTG_Set[[#This Row],[Collector Booster Cost]]</f>
        <v>#N/A</v>
      </c>
      <c r="CC141" s="10" t="b">
        <f>tbl_MTG_Set[[#This Row],[Collector Singles CardMarket Profit BotBox]]&gt;0</f>
        <v>0</v>
      </c>
      <c r="CD1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2" spans="1:86" hidden="1">
      <c r="A142">
        <v>157</v>
      </c>
      <c r="B142" t="s">
        <v>315</v>
      </c>
      <c r="C142">
        <v>18</v>
      </c>
      <c r="D142" s="3">
        <v>45177</v>
      </c>
      <c r="E142" t="s">
        <v>59</v>
      </c>
      <c r="F142" t="s">
        <v>174</v>
      </c>
      <c r="G142">
        <v>260</v>
      </c>
      <c r="H142">
        <f ca="1">MONTH(NOW())+12*YEAR(NOW())-MONTH(tbl_MTG_Set[[#This Row],[Released On]])-12*YEAR(tbl_MTG_Set[[#This Row],[Released On]])</f>
        <v>30</v>
      </c>
      <c r="I142">
        <f>_xlfn.XLOOKUP(tbl_MTG_Set[[#This Row],[Type Name]], tbl_MTG_Set_Type[Set Type], tbl_MTG_Set_Type[Index], "(Set Type not found)")</f>
        <v>1</v>
      </c>
      <c r="J142">
        <f>_xlfn.XLOOKUP(tbl_MTG_Set[[#This Row],[Type Name]], tbl_MTG_Set_Type[Set Type], tbl_MTG_Set_Type[Buy Window Month Start], "(Set Type not found)")</f>
        <v>18</v>
      </c>
      <c r="K142" s="3">
        <f>tbl_MTG_Set[[#This Row],[Released On]]+tbl_MTG_Set[[#This Row],[Buy Window Month Start]]*365.25/12</f>
        <v>45724.875</v>
      </c>
      <c r="L142">
        <f>_xlfn.XLOOKUP(tbl_MTG_Set[[#This Row],[Type Name]], tbl_MTG_Set_Type[Set Type], tbl_MTG_Set_Type[Buy Window Month End], "(Set Type not found)", 0, 1)</f>
        <v>24</v>
      </c>
      <c r="M142" s="3">
        <f>tbl_MTG_Set[[#This Row],[Released On]]+tbl_MTG_Set[[#This Row],[Buy Window Month End]]*365.25/12</f>
        <v>45907.5</v>
      </c>
      <c r="N142" s="3" t="b">
        <f ca="1">AND(NOW()&gt;=tbl_MTG_Set[[#This Row],[Buy Window Start]], NOW()&lt;=tbl_MTG_Set[[#This Row],[Buy Window End]])</f>
        <v>0</v>
      </c>
      <c r="O142">
        <f>_xlfn.XLOOKUP(tbl_MTG_Set[[#This Row],[Type Name]], tbl_MTG_Set_Type[Set Type], tbl_MTG_Set_Type[Heavy Printing Window Month Start], "(Set Type not found)", 0, 1)</f>
        <v>1</v>
      </c>
      <c r="P142" s="3">
        <f>tbl_MTG_Set[[#This Row],[Released On]]+tbl_MTG_Set[[#This Row],[Heavy Printing Window Month Start]]*365.25/12</f>
        <v>45207.4375</v>
      </c>
      <c r="Q142">
        <f>_xlfn.XLOOKUP(tbl_MTG_Set[[#This Row],[Type Name]], tbl_MTG_Set_Type[Set Type], tbl_MTG_Set_Type[Heavy Printing Window Month End], "(Set Type not found)", 0, 1)</f>
        <v>18</v>
      </c>
      <c r="R142" s="3">
        <f>tbl_MTG_Set[[#This Row],[Released On]]+tbl_MTG_Set[[#This Row],[Heavy Printing Window Month End]]*365.25/12</f>
        <v>45724.875</v>
      </c>
      <c r="S142" s="3" t="b">
        <f ca="1">AND(NOW()&gt;=tbl_MTG_Set[[#This Row],[Heavy Printing Window Start]], NOW()&lt;=tbl_MTG_Set[[#This Row],[Heavy Printing Window End]])</f>
        <v>0</v>
      </c>
      <c r="T142">
        <f>_xlfn.XLOOKUP(tbl_MTG_Set[[#This Row],[Type Name]], tbl_MTG_Set_Type[Set Type], tbl_MTG_Set_Type[Sell Window Month Start], "(Set Type not found)", 0, 1)</f>
        <v>36</v>
      </c>
      <c r="U142" s="3">
        <f>tbl_MTG_Set[[#This Row],[Released On]]+tbl_MTG_Set[[#This Row],[Sell Window Month Start]]*365.25/12</f>
        <v>46272.75</v>
      </c>
      <c r="V142">
        <f>_xlfn.XLOOKUP(tbl_MTG_Set[[#This Row],[Type Name]], tbl_MTG_Set_Type[Set Type], tbl_MTG_Set_Type[Sell Window Month End], "(Set Type not found)", 0, 1)</f>
        <v>48</v>
      </c>
      <c r="W142" s="3">
        <f>tbl_MTG_Set[[#This Row],[Released On]]+tbl_MTG_Set[[#This Row],[Sell Window Month End]]*365.25/12</f>
        <v>46638</v>
      </c>
      <c r="X142" s="3" t="b">
        <f ca="1">AND(NOW()&gt;=tbl_MTG_Set[[#This Row],[Sell Window Start]], NOW()&lt;=tbl_MTG_Set[[#This Row],[Sell Window End]])</f>
        <v>0</v>
      </c>
      <c r="AG142" s="10"/>
      <c r="AH142" s="10"/>
      <c r="AM142" s="10" t="str" cm="1">
        <f t="array" ref="AM1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2" s="10" t="str" cm="1">
        <f t="array" ref="AN1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2" s="4" t="e">
        <f>_xlfn.XLOOKUP(tbl_MTG_Set[[#This Row],[Play Booster Box Product Id]], tbl_Product[Product Id], tbl_Product[Pack Size])</f>
        <v>#N/A</v>
      </c>
      <c r="AP142" s="10" t="e">
        <f>(tbl_MTG_Set[[#This Row],[Play Booster Box Cost]]+v_Item_Shipping_Cost_In)/tbl_MTG_Set[[#This Row],[Play Booster Box Size]]</f>
        <v>#VALUE!</v>
      </c>
      <c r="AQ142" s="10" t="str" cm="1">
        <f t="array" ref="AQ1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2" s="10"/>
      <c r="AS142" s="10"/>
      <c r="AT142" s="17" t="e">
        <f>tbl_MTG_Set[[#This Row],[Play Booster CardMarket Profit]]/tbl_MTG_Set[[#This Row],[Play Booster Cost]]</f>
        <v>#VALUE!</v>
      </c>
      <c r="AU142" s="10" t="e">
        <f>_xlfn.XLOOKUP(tbl_MTG_Set[[#This Row],[Collector Booster Box Product Id]], tbl_Product[Product Id], tbl_Product[Min Cost])</f>
        <v>#N/A</v>
      </c>
      <c r="AV142" s="10" t="e">
        <f>_xlfn.XLOOKUP(tbl_MTG_Set[[#This Row],[Collector Booster Box Product Id]], tbl_Product[Product Id], tbl_Product[Best Source])</f>
        <v>#N/A</v>
      </c>
      <c r="AW142" s="4" t="e">
        <f>_xlfn.XLOOKUP(tbl_MTG_Set[[#This Row],[Collector Booster Box Product Id]], tbl_Product[Product Id], tbl_Product[Pack Size])</f>
        <v>#N/A</v>
      </c>
      <c r="AX142" s="10" t="e">
        <f>(tbl_MTG_Set[[#This Row],[Collector Booster Box Cost]] + v_Item_Shipping_Cost_In) / tbl_MTG_Set[[#This Row],[Collector Booster Box Size]]</f>
        <v>#N/A</v>
      </c>
      <c r="AY142" s="10" t="str" cm="1">
        <f t="array" ref="AY1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2" s="10"/>
      <c r="BA1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2" s="17" t="e">
        <f>tbl_MTG_Set[[#This Row],[Collector Booster CardMarket Profit]]/tbl_MTG_Set[[#This Row],[Collector Booster Cost]]</f>
        <v>#N/A</v>
      </c>
      <c r="BC142" s="10"/>
      <c r="BF1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2" s="11" t="e">
        <f>tbl_MTG_Set[[#This Row],[Play Singles CardMarket Profit MTG Stocks]]/tbl_MTG_Set[[#This Row],[Play Booster Cost]]</f>
        <v>#VALUE!</v>
      </c>
      <c r="BI142" s="11" t="b">
        <f>tbl_MTG_Set[[#This Row],[Play Singles CardMarket Profit MTG Stocks]]&gt;0</f>
        <v>0</v>
      </c>
      <c r="BM142" s="10" t="e">
        <f>tbl_MTG_Set[[#This Row],[Play Booster Sell Price CardMarket]]*tbl_MTG_Set[[#This Row],[Play Booster Expected Market Value BotBox]]/tbl_MTG_Set[[#This Row],[Play Booster Sealed Market Value BotBox]]</f>
        <v>#VALUE!</v>
      </c>
      <c r="BN1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2" s="10" t="e">
        <f>tbl_MTG_Set[[#This Row],[Play Singles CardMarket Profit BotBox]]/tbl_MTG_Set[[#This Row],[Play Booster Cost]]</f>
        <v>#VALUE!</v>
      </c>
      <c r="BP142" s="10" t="b">
        <f>tbl_MTG_Set[[#This Row],[Play Singles CardMarket Profit BotBox]]&gt;0</f>
        <v>0</v>
      </c>
      <c r="BQ142" s="10"/>
      <c r="BR142" s="10"/>
      <c r="BS142" s="10"/>
      <c r="BT1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2" s="19" t="e">
        <f>tbl_MTG_Set[[#This Row],[Collector Singles CardMarket Profit MTG Stocks]]/tbl_MTG_Set[[#This Row],[Collector Booster Cost]]</f>
        <v>#N/A</v>
      </c>
      <c r="BW142" s="10" t="b">
        <f>tbl_MTG_Set[[#This Row],[Collector Singles CardMarket Profit MTG Stocks]]&gt;0</f>
        <v>0</v>
      </c>
      <c r="BX142" s="10"/>
      <c r="BY142" s="10"/>
      <c r="BZ1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2" s="10" t="e">
        <f>tbl_MTG_Set[[#This Row],[Collector Singles CardMarket Profit BotBox]]/tbl_MTG_Set[[#This Row],[Collector Booster Cost]]</f>
        <v>#N/A</v>
      </c>
      <c r="CC142" s="10" t="b">
        <f>tbl_MTG_Set[[#This Row],[Collector Singles CardMarket Profit BotBox]]&gt;0</f>
        <v>0</v>
      </c>
      <c r="CD1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3" spans="1:86" hidden="1">
      <c r="A143">
        <v>158</v>
      </c>
      <c r="B143" t="s">
        <v>316</v>
      </c>
      <c r="C143">
        <v>30</v>
      </c>
      <c r="D143" s="3">
        <v>45209</v>
      </c>
      <c r="F143" t="s">
        <v>174</v>
      </c>
      <c r="G143">
        <v>262</v>
      </c>
      <c r="H143">
        <f ca="1">MONTH(NOW())+12*YEAR(NOW())-MONTH(tbl_MTG_Set[[#This Row],[Released On]])-12*YEAR(tbl_MTG_Set[[#This Row],[Released On]])</f>
        <v>29</v>
      </c>
      <c r="I143" t="str">
        <f>_xlfn.XLOOKUP(tbl_MTG_Set[[#This Row],[Type Name]], tbl_MTG_Set_Type[Set Type], tbl_MTG_Set_Type[Index], "(Set Type not found)")</f>
        <v>(Set Type not found)</v>
      </c>
      <c r="J143" t="str">
        <f>_xlfn.XLOOKUP(tbl_MTG_Set[[#This Row],[Type Name]], tbl_MTG_Set_Type[Set Type], tbl_MTG_Set_Type[Buy Window Month Start], "(Set Type not found)")</f>
        <v>(Set Type not found)</v>
      </c>
      <c r="K143" s="3" t="e">
        <f>tbl_MTG_Set[[#This Row],[Released On]]+tbl_MTG_Set[[#This Row],[Buy Window Month Start]]*365.25/12</f>
        <v>#VALUE!</v>
      </c>
      <c r="L143" t="str">
        <f>_xlfn.XLOOKUP(tbl_MTG_Set[[#This Row],[Type Name]], tbl_MTG_Set_Type[Set Type], tbl_MTG_Set_Type[Buy Window Month End], "(Set Type not found)", 0, 1)</f>
        <v>(Set Type not found)</v>
      </c>
      <c r="M143" s="3" t="e">
        <f>tbl_MTG_Set[[#This Row],[Released On]]+tbl_MTG_Set[[#This Row],[Buy Window Month End]]*365.25/12</f>
        <v>#VALUE!</v>
      </c>
      <c r="N143" s="3" t="e">
        <f ca="1">AND(NOW()&gt;=tbl_MTG_Set[[#This Row],[Buy Window Start]], NOW()&lt;=tbl_MTG_Set[[#This Row],[Buy Window End]])</f>
        <v>#VALUE!</v>
      </c>
      <c r="O143" t="str">
        <f>_xlfn.XLOOKUP(tbl_MTG_Set[[#This Row],[Type Name]], tbl_MTG_Set_Type[Set Type], tbl_MTG_Set_Type[Heavy Printing Window Month Start], "(Set Type not found)", 0, 1)</f>
        <v>(Set Type not found)</v>
      </c>
      <c r="P143" s="3" t="e">
        <f>tbl_MTG_Set[[#This Row],[Released On]]+tbl_MTG_Set[[#This Row],[Heavy Printing Window Month Start]]*365.25/12</f>
        <v>#VALUE!</v>
      </c>
      <c r="Q143" t="str">
        <f>_xlfn.XLOOKUP(tbl_MTG_Set[[#This Row],[Type Name]], tbl_MTG_Set_Type[Set Type], tbl_MTG_Set_Type[Heavy Printing Window Month End], "(Set Type not found)", 0, 1)</f>
        <v>(Set Type not found)</v>
      </c>
      <c r="R143" s="3" t="e">
        <f>tbl_MTG_Set[[#This Row],[Released On]]+tbl_MTG_Set[[#This Row],[Heavy Printing Window Month End]]*365.25/12</f>
        <v>#VALUE!</v>
      </c>
      <c r="S143" s="3" t="e">
        <f ca="1">AND(NOW()&gt;=tbl_MTG_Set[[#This Row],[Heavy Printing Window Start]], NOW()&lt;=tbl_MTG_Set[[#This Row],[Heavy Printing Window End]])</f>
        <v>#VALUE!</v>
      </c>
      <c r="T143" t="str">
        <f>_xlfn.XLOOKUP(tbl_MTG_Set[[#This Row],[Type Name]], tbl_MTG_Set_Type[Set Type], tbl_MTG_Set_Type[Sell Window Month Start], "(Set Type not found)", 0, 1)</f>
        <v>(Set Type not found)</v>
      </c>
      <c r="U143" s="3" t="e">
        <f>tbl_MTG_Set[[#This Row],[Released On]]+tbl_MTG_Set[[#This Row],[Sell Window Month Start]]*365.25/12</f>
        <v>#VALUE!</v>
      </c>
      <c r="V143" t="str">
        <f>_xlfn.XLOOKUP(tbl_MTG_Set[[#This Row],[Type Name]], tbl_MTG_Set_Type[Set Type], tbl_MTG_Set_Type[Sell Window Month End], "(Set Type not found)", 0, 1)</f>
        <v>(Set Type not found)</v>
      </c>
      <c r="W143" s="3" t="e">
        <f>tbl_MTG_Set[[#This Row],[Released On]]+tbl_MTG_Set[[#This Row],[Sell Window Month End]]*365.25/12</f>
        <v>#VALUE!</v>
      </c>
      <c r="X143" s="3" t="e">
        <f ca="1">AND(NOW()&gt;=tbl_MTG_Set[[#This Row],[Sell Window Start]], NOW()&lt;=tbl_MTG_Set[[#This Row],[Sell Window End]])</f>
        <v>#VALUE!</v>
      </c>
      <c r="AG143" s="10"/>
      <c r="AH143" s="10"/>
      <c r="AM143" s="10" t="str" cm="1">
        <f t="array" ref="AM1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3" s="10" t="str" cm="1">
        <f t="array" ref="AN1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3" s="4" t="e">
        <f>_xlfn.XLOOKUP(tbl_MTG_Set[[#This Row],[Play Booster Box Product Id]], tbl_Product[Product Id], tbl_Product[Pack Size])</f>
        <v>#N/A</v>
      </c>
      <c r="AP143" s="10" t="e">
        <f>(tbl_MTG_Set[[#This Row],[Play Booster Box Cost]]+v_Item_Shipping_Cost_In)/tbl_MTG_Set[[#This Row],[Play Booster Box Size]]</f>
        <v>#VALUE!</v>
      </c>
      <c r="AQ143" s="10" t="str" cm="1">
        <f t="array" ref="AQ1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3" s="10"/>
      <c r="AS143" s="10"/>
      <c r="AT143" s="17" t="e">
        <f>tbl_MTG_Set[[#This Row],[Play Booster CardMarket Profit]]/tbl_MTG_Set[[#This Row],[Play Booster Cost]]</f>
        <v>#VALUE!</v>
      </c>
      <c r="AU143" s="10" t="e">
        <f>_xlfn.XLOOKUP(tbl_MTG_Set[[#This Row],[Collector Booster Box Product Id]], tbl_Product[Product Id], tbl_Product[Min Cost])</f>
        <v>#N/A</v>
      </c>
      <c r="AV143" s="10" t="e">
        <f>_xlfn.XLOOKUP(tbl_MTG_Set[[#This Row],[Collector Booster Box Product Id]], tbl_Product[Product Id], tbl_Product[Best Source])</f>
        <v>#N/A</v>
      </c>
      <c r="AW143" s="4" t="e">
        <f>_xlfn.XLOOKUP(tbl_MTG_Set[[#This Row],[Collector Booster Box Product Id]], tbl_Product[Product Id], tbl_Product[Pack Size])</f>
        <v>#N/A</v>
      </c>
      <c r="AX143" s="10" t="e">
        <f>(tbl_MTG_Set[[#This Row],[Collector Booster Box Cost]] + v_Item_Shipping_Cost_In) / tbl_MTG_Set[[#This Row],[Collector Booster Box Size]]</f>
        <v>#N/A</v>
      </c>
      <c r="AY143" s="10" t="str" cm="1">
        <f t="array" ref="AY1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3" s="10"/>
      <c r="BA1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3" s="17" t="e">
        <f>tbl_MTG_Set[[#This Row],[Collector Booster CardMarket Profit]]/tbl_MTG_Set[[#This Row],[Collector Booster Cost]]</f>
        <v>#N/A</v>
      </c>
      <c r="BC143" s="10"/>
      <c r="BF1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3" s="11" t="e">
        <f>tbl_MTG_Set[[#This Row],[Play Singles CardMarket Profit MTG Stocks]]/tbl_MTG_Set[[#This Row],[Play Booster Cost]]</f>
        <v>#VALUE!</v>
      </c>
      <c r="BI143" s="11" t="b">
        <f>tbl_MTG_Set[[#This Row],[Play Singles CardMarket Profit MTG Stocks]]&gt;0</f>
        <v>0</v>
      </c>
      <c r="BM143" s="10" t="e">
        <f>tbl_MTG_Set[[#This Row],[Play Booster Sell Price CardMarket]]*tbl_MTG_Set[[#This Row],[Play Booster Expected Market Value BotBox]]/tbl_MTG_Set[[#This Row],[Play Booster Sealed Market Value BotBox]]</f>
        <v>#VALUE!</v>
      </c>
      <c r="BN1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3" s="10" t="e">
        <f>tbl_MTG_Set[[#This Row],[Play Singles CardMarket Profit BotBox]]/tbl_MTG_Set[[#This Row],[Play Booster Cost]]</f>
        <v>#VALUE!</v>
      </c>
      <c r="BP143" s="10" t="b">
        <f>tbl_MTG_Set[[#This Row],[Play Singles CardMarket Profit BotBox]]&gt;0</f>
        <v>0</v>
      </c>
      <c r="BQ143" s="10"/>
      <c r="BR143" s="10"/>
      <c r="BS143" s="10"/>
      <c r="BT1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3" s="19" t="e">
        <f>tbl_MTG_Set[[#This Row],[Collector Singles CardMarket Profit MTG Stocks]]/tbl_MTG_Set[[#This Row],[Collector Booster Cost]]</f>
        <v>#N/A</v>
      </c>
      <c r="BW143" s="10" t="b">
        <f>tbl_MTG_Set[[#This Row],[Collector Singles CardMarket Profit MTG Stocks]]&gt;0</f>
        <v>0</v>
      </c>
      <c r="BX143" s="10"/>
      <c r="BY143" s="10"/>
      <c r="BZ1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3" s="10" t="e">
        <f>tbl_MTG_Set[[#This Row],[Collector Singles CardMarket Profit BotBox]]/tbl_MTG_Set[[#This Row],[Collector Booster Cost]]</f>
        <v>#N/A</v>
      </c>
      <c r="CC143" s="10" t="b">
        <f>tbl_MTG_Set[[#This Row],[Collector Singles CardMarket Profit BotBox]]&gt;0</f>
        <v>0</v>
      </c>
      <c r="CD1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4" spans="1:86" hidden="1">
      <c r="A144">
        <v>159</v>
      </c>
      <c r="B144" t="s">
        <v>317</v>
      </c>
      <c r="C144">
        <v>173</v>
      </c>
      <c r="D144" s="3">
        <v>45177</v>
      </c>
      <c r="E144" t="s">
        <v>59</v>
      </c>
      <c r="F144" t="s">
        <v>174</v>
      </c>
      <c r="G144">
        <v>264</v>
      </c>
      <c r="H144">
        <f ca="1">MONTH(NOW())+12*YEAR(NOW())-MONTH(tbl_MTG_Set[[#This Row],[Released On]])-12*YEAR(tbl_MTG_Set[[#This Row],[Released On]])</f>
        <v>30</v>
      </c>
      <c r="I144">
        <f>_xlfn.XLOOKUP(tbl_MTG_Set[[#This Row],[Type Name]], tbl_MTG_Set_Type[Set Type], tbl_MTG_Set_Type[Index], "(Set Type not found)")</f>
        <v>1</v>
      </c>
      <c r="J144">
        <f>_xlfn.XLOOKUP(tbl_MTG_Set[[#This Row],[Type Name]], tbl_MTG_Set_Type[Set Type], tbl_MTG_Set_Type[Buy Window Month Start], "(Set Type not found)")</f>
        <v>18</v>
      </c>
      <c r="K144" s="3">
        <f>tbl_MTG_Set[[#This Row],[Released On]]+tbl_MTG_Set[[#This Row],[Buy Window Month Start]]*365.25/12</f>
        <v>45724.875</v>
      </c>
      <c r="L144">
        <f>_xlfn.XLOOKUP(tbl_MTG_Set[[#This Row],[Type Name]], tbl_MTG_Set_Type[Set Type], tbl_MTG_Set_Type[Buy Window Month End], "(Set Type not found)", 0, 1)</f>
        <v>24</v>
      </c>
      <c r="M144" s="3">
        <f>tbl_MTG_Set[[#This Row],[Released On]]+tbl_MTG_Set[[#This Row],[Buy Window Month End]]*365.25/12</f>
        <v>45907.5</v>
      </c>
      <c r="N144" s="3" t="b">
        <f ca="1">AND(NOW()&gt;=tbl_MTG_Set[[#This Row],[Buy Window Start]], NOW()&lt;=tbl_MTG_Set[[#This Row],[Buy Window End]])</f>
        <v>0</v>
      </c>
      <c r="O144">
        <f>_xlfn.XLOOKUP(tbl_MTG_Set[[#This Row],[Type Name]], tbl_MTG_Set_Type[Set Type], tbl_MTG_Set_Type[Heavy Printing Window Month Start], "(Set Type not found)", 0, 1)</f>
        <v>1</v>
      </c>
      <c r="P144" s="3">
        <f>tbl_MTG_Set[[#This Row],[Released On]]+tbl_MTG_Set[[#This Row],[Heavy Printing Window Month Start]]*365.25/12</f>
        <v>45207.4375</v>
      </c>
      <c r="Q144">
        <f>_xlfn.XLOOKUP(tbl_MTG_Set[[#This Row],[Type Name]], tbl_MTG_Set_Type[Set Type], tbl_MTG_Set_Type[Heavy Printing Window Month End], "(Set Type not found)", 0, 1)</f>
        <v>18</v>
      </c>
      <c r="R144" s="3">
        <f>tbl_MTG_Set[[#This Row],[Released On]]+tbl_MTG_Set[[#This Row],[Heavy Printing Window Month End]]*365.25/12</f>
        <v>45724.875</v>
      </c>
      <c r="S144" s="3" t="b">
        <f ca="1">AND(NOW()&gt;=tbl_MTG_Set[[#This Row],[Heavy Printing Window Start]], NOW()&lt;=tbl_MTG_Set[[#This Row],[Heavy Printing Window End]])</f>
        <v>0</v>
      </c>
      <c r="T144">
        <f>_xlfn.XLOOKUP(tbl_MTG_Set[[#This Row],[Type Name]], tbl_MTG_Set_Type[Set Type], tbl_MTG_Set_Type[Sell Window Month Start], "(Set Type not found)", 0, 1)</f>
        <v>36</v>
      </c>
      <c r="U144" s="3">
        <f>tbl_MTG_Set[[#This Row],[Released On]]+tbl_MTG_Set[[#This Row],[Sell Window Month Start]]*365.25/12</f>
        <v>46272.75</v>
      </c>
      <c r="V144">
        <f>_xlfn.XLOOKUP(tbl_MTG_Set[[#This Row],[Type Name]], tbl_MTG_Set_Type[Set Type], tbl_MTG_Set_Type[Sell Window Month End], "(Set Type not found)", 0, 1)</f>
        <v>48</v>
      </c>
      <c r="W144" s="3">
        <f>tbl_MTG_Set[[#This Row],[Released On]]+tbl_MTG_Set[[#This Row],[Sell Window Month End]]*365.25/12</f>
        <v>46638</v>
      </c>
      <c r="X144" s="3" t="b">
        <f ca="1">AND(NOW()&gt;=tbl_MTG_Set[[#This Row],[Sell Window Start]], NOW()&lt;=tbl_MTG_Set[[#This Row],[Sell Window End]])</f>
        <v>0</v>
      </c>
      <c r="AG144" s="10"/>
      <c r="AH144" s="10"/>
      <c r="AM144" s="10" t="str" cm="1">
        <f t="array" ref="AM1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4" s="10" t="str" cm="1">
        <f t="array" ref="AN1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4" s="4" t="e">
        <f>_xlfn.XLOOKUP(tbl_MTG_Set[[#This Row],[Play Booster Box Product Id]], tbl_Product[Product Id], tbl_Product[Pack Size])</f>
        <v>#N/A</v>
      </c>
      <c r="AP144" s="10" t="e">
        <f>(tbl_MTG_Set[[#This Row],[Play Booster Box Cost]]+v_Item_Shipping_Cost_In)/tbl_MTG_Set[[#This Row],[Play Booster Box Size]]</f>
        <v>#VALUE!</v>
      </c>
      <c r="AQ144" s="10" t="str" cm="1">
        <f t="array" ref="AQ1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4" s="10"/>
      <c r="AS144" s="10"/>
      <c r="AT144" s="17" t="e">
        <f>tbl_MTG_Set[[#This Row],[Play Booster CardMarket Profit]]/tbl_MTG_Set[[#This Row],[Play Booster Cost]]</f>
        <v>#VALUE!</v>
      </c>
      <c r="AU144" s="10" t="e">
        <f>_xlfn.XLOOKUP(tbl_MTG_Set[[#This Row],[Collector Booster Box Product Id]], tbl_Product[Product Id], tbl_Product[Min Cost])</f>
        <v>#N/A</v>
      </c>
      <c r="AV144" s="10" t="e">
        <f>_xlfn.XLOOKUP(tbl_MTG_Set[[#This Row],[Collector Booster Box Product Id]], tbl_Product[Product Id], tbl_Product[Best Source])</f>
        <v>#N/A</v>
      </c>
      <c r="AW144" s="4" t="e">
        <f>_xlfn.XLOOKUP(tbl_MTG_Set[[#This Row],[Collector Booster Box Product Id]], tbl_Product[Product Id], tbl_Product[Pack Size])</f>
        <v>#N/A</v>
      </c>
      <c r="AX144" s="10" t="e">
        <f>(tbl_MTG_Set[[#This Row],[Collector Booster Box Cost]] + v_Item_Shipping_Cost_In) / tbl_MTG_Set[[#This Row],[Collector Booster Box Size]]</f>
        <v>#N/A</v>
      </c>
      <c r="AY144" s="10" t="str" cm="1">
        <f t="array" ref="AY1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4" s="10"/>
      <c r="BA1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4" s="17" t="e">
        <f>tbl_MTG_Set[[#This Row],[Collector Booster CardMarket Profit]]/tbl_MTG_Set[[#This Row],[Collector Booster Cost]]</f>
        <v>#N/A</v>
      </c>
      <c r="BC144" s="10"/>
      <c r="BF1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4" s="11" t="e">
        <f>tbl_MTG_Set[[#This Row],[Play Singles CardMarket Profit MTG Stocks]]/tbl_MTG_Set[[#This Row],[Play Booster Cost]]</f>
        <v>#VALUE!</v>
      </c>
      <c r="BI144" s="11" t="b">
        <f>tbl_MTG_Set[[#This Row],[Play Singles CardMarket Profit MTG Stocks]]&gt;0</f>
        <v>0</v>
      </c>
      <c r="BM144" s="10" t="e">
        <f>tbl_MTG_Set[[#This Row],[Play Booster Sell Price CardMarket]]*tbl_MTG_Set[[#This Row],[Play Booster Expected Market Value BotBox]]/tbl_MTG_Set[[#This Row],[Play Booster Sealed Market Value BotBox]]</f>
        <v>#VALUE!</v>
      </c>
      <c r="BN1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4" s="10" t="e">
        <f>tbl_MTG_Set[[#This Row],[Play Singles CardMarket Profit BotBox]]/tbl_MTG_Set[[#This Row],[Play Booster Cost]]</f>
        <v>#VALUE!</v>
      </c>
      <c r="BP144" s="10" t="b">
        <f>tbl_MTG_Set[[#This Row],[Play Singles CardMarket Profit BotBox]]&gt;0</f>
        <v>0</v>
      </c>
      <c r="BQ144" s="10"/>
      <c r="BR144" s="10"/>
      <c r="BS144" s="10"/>
      <c r="BT1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4" s="19" t="e">
        <f>tbl_MTG_Set[[#This Row],[Collector Singles CardMarket Profit MTG Stocks]]/tbl_MTG_Set[[#This Row],[Collector Booster Cost]]</f>
        <v>#N/A</v>
      </c>
      <c r="BW144" s="10" t="b">
        <f>tbl_MTG_Set[[#This Row],[Collector Singles CardMarket Profit MTG Stocks]]&gt;0</f>
        <v>0</v>
      </c>
      <c r="BX144" s="10"/>
      <c r="BY144" s="10"/>
      <c r="BZ1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4" s="10" t="e">
        <f>tbl_MTG_Set[[#This Row],[Collector Singles CardMarket Profit BotBox]]/tbl_MTG_Set[[#This Row],[Collector Booster Cost]]</f>
        <v>#N/A</v>
      </c>
      <c r="CC144" s="10" t="b">
        <f>tbl_MTG_Set[[#This Row],[Collector Singles CardMarket Profit BotBox]]&gt;0</f>
        <v>0</v>
      </c>
      <c r="CD1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5" spans="1:86" hidden="1">
      <c r="A145">
        <v>160</v>
      </c>
      <c r="B145" t="s">
        <v>318</v>
      </c>
      <c r="C145">
        <v>10</v>
      </c>
      <c r="D145" s="3">
        <v>45177</v>
      </c>
      <c r="E145" t="s">
        <v>59</v>
      </c>
      <c r="F145" t="s">
        <v>174</v>
      </c>
      <c r="G145">
        <v>266</v>
      </c>
      <c r="H145">
        <f ca="1">MONTH(NOW())+12*YEAR(NOW())-MONTH(tbl_MTG_Set[[#This Row],[Released On]])-12*YEAR(tbl_MTG_Set[[#This Row],[Released On]])</f>
        <v>30</v>
      </c>
      <c r="I145">
        <f>_xlfn.XLOOKUP(tbl_MTG_Set[[#This Row],[Type Name]], tbl_MTG_Set_Type[Set Type], tbl_MTG_Set_Type[Index], "(Set Type not found)")</f>
        <v>1</v>
      </c>
      <c r="J145">
        <f>_xlfn.XLOOKUP(tbl_MTG_Set[[#This Row],[Type Name]], tbl_MTG_Set_Type[Set Type], tbl_MTG_Set_Type[Buy Window Month Start], "(Set Type not found)")</f>
        <v>18</v>
      </c>
      <c r="K145" s="3">
        <f>tbl_MTG_Set[[#This Row],[Released On]]+tbl_MTG_Set[[#This Row],[Buy Window Month Start]]*365.25/12</f>
        <v>45724.875</v>
      </c>
      <c r="L145">
        <f>_xlfn.XLOOKUP(tbl_MTG_Set[[#This Row],[Type Name]], tbl_MTG_Set_Type[Set Type], tbl_MTG_Set_Type[Buy Window Month End], "(Set Type not found)", 0, 1)</f>
        <v>24</v>
      </c>
      <c r="M145" s="3">
        <f>tbl_MTG_Set[[#This Row],[Released On]]+tbl_MTG_Set[[#This Row],[Buy Window Month End]]*365.25/12</f>
        <v>45907.5</v>
      </c>
      <c r="N145" s="3" t="b">
        <f ca="1">AND(NOW()&gt;=tbl_MTG_Set[[#This Row],[Buy Window Start]], NOW()&lt;=tbl_MTG_Set[[#This Row],[Buy Window End]])</f>
        <v>0</v>
      </c>
      <c r="O145">
        <f>_xlfn.XLOOKUP(tbl_MTG_Set[[#This Row],[Type Name]], tbl_MTG_Set_Type[Set Type], tbl_MTG_Set_Type[Heavy Printing Window Month Start], "(Set Type not found)", 0, 1)</f>
        <v>1</v>
      </c>
      <c r="P145" s="3">
        <f>tbl_MTG_Set[[#This Row],[Released On]]+tbl_MTG_Set[[#This Row],[Heavy Printing Window Month Start]]*365.25/12</f>
        <v>45207.4375</v>
      </c>
      <c r="Q145">
        <f>_xlfn.XLOOKUP(tbl_MTG_Set[[#This Row],[Type Name]], tbl_MTG_Set_Type[Set Type], tbl_MTG_Set_Type[Heavy Printing Window Month End], "(Set Type not found)", 0, 1)</f>
        <v>18</v>
      </c>
      <c r="R145" s="3">
        <f>tbl_MTG_Set[[#This Row],[Released On]]+tbl_MTG_Set[[#This Row],[Heavy Printing Window Month End]]*365.25/12</f>
        <v>45724.875</v>
      </c>
      <c r="S145" s="3" t="b">
        <f ca="1">AND(NOW()&gt;=tbl_MTG_Set[[#This Row],[Heavy Printing Window Start]], NOW()&lt;=tbl_MTG_Set[[#This Row],[Heavy Printing Window End]])</f>
        <v>0</v>
      </c>
      <c r="T145">
        <f>_xlfn.XLOOKUP(tbl_MTG_Set[[#This Row],[Type Name]], tbl_MTG_Set_Type[Set Type], tbl_MTG_Set_Type[Sell Window Month Start], "(Set Type not found)", 0, 1)</f>
        <v>36</v>
      </c>
      <c r="U145" s="3">
        <f>tbl_MTG_Set[[#This Row],[Released On]]+tbl_MTG_Set[[#This Row],[Sell Window Month Start]]*365.25/12</f>
        <v>46272.75</v>
      </c>
      <c r="V145">
        <f>_xlfn.XLOOKUP(tbl_MTG_Set[[#This Row],[Type Name]], tbl_MTG_Set_Type[Set Type], tbl_MTG_Set_Type[Sell Window Month End], "(Set Type not found)", 0, 1)</f>
        <v>48</v>
      </c>
      <c r="W145" s="3">
        <f>tbl_MTG_Set[[#This Row],[Released On]]+tbl_MTG_Set[[#This Row],[Sell Window Month End]]*365.25/12</f>
        <v>46638</v>
      </c>
      <c r="X145" s="3" t="b">
        <f ca="1">AND(NOW()&gt;=tbl_MTG_Set[[#This Row],[Sell Window Start]], NOW()&lt;=tbl_MTG_Set[[#This Row],[Sell Window End]])</f>
        <v>0</v>
      </c>
      <c r="AG145" s="10"/>
      <c r="AH145" s="10"/>
      <c r="AM145" s="10" t="str" cm="1">
        <f t="array" ref="AM1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5" s="10" t="str" cm="1">
        <f t="array" ref="AN1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5" s="4" t="e">
        <f>_xlfn.XLOOKUP(tbl_MTG_Set[[#This Row],[Play Booster Box Product Id]], tbl_Product[Product Id], tbl_Product[Pack Size])</f>
        <v>#N/A</v>
      </c>
      <c r="AP145" s="10" t="e">
        <f>(tbl_MTG_Set[[#This Row],[Play Booster Box Cost]]+v_Item_Shipping_Cost_In)/tbl_MTG_Set[[#This Row],[Play Booster Box Size]]</f>
        <v>#VALUE!</v>
      </c>
      <c r="AQ145" s="10" t="str" cm="1">
        <f t="array" ref="AQ1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5" s="10"/>
      <c r="AS145" s="10"/>
      <c r="AT145" s="17" t="e">
        <f>tbl_MTG_Set[[#This Row],[Play Booster CardMarket Profit]]/tbl_MTG_Set[[#This Row],[Play Booster Cost]]</f>
        <v>#VALUE!</v>
      </c>
      <c r="AU145" s="10" t="e">
        <f>_xlfn.XLOOKUP(tbl_MTG_Set[[#This Row],[Collector Booster Box Product Id]], tbl_Product[Product Id], tbl_Product[Min Cost])</f>
        <v>#N/A</v>
      </c>
      <c r="AV145" s="10" t="e">
        <f>_xlfn.XLOOKUP(tbl_MTG_Set[[#This Row],[Collector Booster Box Product Id]], tbl_Product[Product Id], tbl_Product[Best Source])</f>
        <v>#N/A</v>
      </c>
      <c r="AW145" s="4" t="e">
        <f>_xlfn.XLOOKUP(tbl_MTG_Set[[#This Row],[Collector Booster Box Product Id]], tbl_Product[Product Id], tbl_Product[Pack Size])</f>
        <v>#N/A</v>
      </c>
      <c r="AX145" s="10" t="e">
        <f>(tbl_MTG_Set[[#This Row],[Collector Booster Box Cost]] + v_Item_Shipping_Cost_In) / tbl_MTG_Set[[#This Row],[Collector Booster Box Size]]</f>
        <v>#N/A</v>
      </c>
      <c r="AY145" s="10" t="str" cm="1">
        <f t="array" ref="AY1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5" s="10"/>
      <c r="BA1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5" s="17" t="e">
        <f>tbl_MTG_Set[[#This Row],[Collector Booster CardMarket Profit]]/tbl_MTG_Set[[#This Row],[Collector Booster Cost]]</f>
        <v>#N/A</v>
      </c>
      <c r="BC145" s="10"/>
      <c r="BF1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5" s="11" t="e">
        <f>tbl_MTG_Set[[#This Row],[Play Singles CardMarket Profit MTG Stocks]]/tbl_MTG_Set[[#This Row],[Play Booster Cost]]</f>
        <v>#VALUE!</v>
      </c>
      <c r="BI145" s="11" t="b">
        <f>tbl_MTG_Set[[#This Row],[Play Singles CardMarket Profit MTG Stocks]]&gt;0</f>
        <v>0</v>
      </c>
      <c r="BM145" s="10" t="e">
        <f>tbl_MTG_Set[[#This Row],[Play Booster Sell Price CardMarket]]*tbl_MTG_Set[[#This Row],[Play Booster Expected Market Value BotBox]]/tbl_MTG_Set[[#This Row],[Play Booster Sealed Market Value BotBox]]</f>
        <v>#VALUE!</v>
      </c>
      <c r="BN1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5" s="10" t="e">
        <f>tbl_MTG_Set[[#This Row],[Play Singles CardMarket Profit BotBox]]/tbl_MTG_Set[[#This Row],[Play Booster Cost]]</f>
        <v>#VALUE!</v>
      </c>
      <c r="BP145" s="10" t="b">
        <f>tbl_MTG_Set[[#This Row],[Play Singles CardMarket Profit BotBox]]&gt;0</f>
        <v>0</v>
      </c>
      <c r="BQ145" s="10"/>
      <c r="BR145" s="10"/>
      <c r="BS145" s="10"/>
      <c r="BT1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5" s="19" t="e">
        <f>tbl_MTG_Set[[#This Row],[Collector Singles CardMarket Profit MTG Stocks]]/tbl_MTG_Set[[#This Row],[Collector Booster Cost]]</f>
        <v>#N/A</v>
      </c>
      <c r="BW145" s="10" t="b">
        <f>tbl_MTG_Set[[#This Row],[Collector Singles CardMarket Profit MTG Stocks]]&gt;0</f>
        <v>0</v>
      </c>
      <c r="BX145" s="10"/>
      <c r="BY145" s="10"/>
      <c r="BZ1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5" s="10" t="e">
        <f>tbl_MTG_Set[[#This Row],[Collector Singles CardMarket Profit BotBox]]/tbl_MTG_Set[[#This Row],[Collector Booster Cost]]</f>
        <v>#N/A</v>
      </c>
      <c r="CC145" s="10" t="b">
        <f>tbl_MTG_Set[[#This Row],[Collector Singles CardMarket Profit BotBox]]&gt;0</f>
        <v>0</v>
      </c>
      <c r="CD1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6" spans="1:86" hidden="1">
      <c r="A146">
        <v>161</v>
      </c>
      <c r="B146" t="s">
        <v>319</v>
      </c>
      <c r="C146">
        <v>6</v>
      </c>
      <c r="D146" s="3">
        <v>45177</v>
      </c>
      <c r="E146" t="s">
        <v>59</v>
      </c>
      <c r="F146" t="s">
        <v>174</v>
      </c>
      <c r="G146">
        <v>268</v>
      </c>
      <c r="H146">
        <f ca="1">MONTH(NOW())+12*YEAR(NOW())-MONTH(tbl_MTG_Set[[#This Row],[Released On]])-12*YEAR(tbl_MTG_Set[[#This Row],[Released On]])</f>
        <v>30</v>
      </c>
      <c r="I146">
        <f>_xlfn.XLOOKUP(tbl_MTG_Set[[#This Row],[Type Name]], tbl_MTG_Set_Type[Set Type], tbl_MTG_Set_Type[Index], "(Set Type not found)")</f>
        <v>1</v>
      </c>
      <c r="J146">
        <f>_xlfn.XLOOKUP(tbl_MTG_Set[[#This Row],[Type Name]], tbl_MTG_Set_Type[Set Type], tbl_MTG_Set_Type[Buy Window Month Start], "(Set Type not found)")</f>
        <v>18</v>
      </c>
      <c r="K146" s="3">
        <f>tbl_MTG_Set[[#This Row],[Released On]]+tbl_MTG_Set[[#This Row],[Buy Window Month Start]]*365.25/12</f>
        <v>45724.875</v>
      </c>
      <c r="L146">
        <f>_xlfn.XLOOKUP(tbl_MTG_Set[[#This Row],[Type Name]], tbl_MTG_Set_Type[Set Type], tbl_MTG_Set_Type[Buy Window Month End], "(Set Type not found)", 0, 1)</f>
        <v>24</v>
      </c>
      <c r="M146" s="3">
        <f>tbl_MTG_Set[[#This Row],[Released On]]+tbl_MTG_Set[[#This Row],[Buy Window Month End]]*365.25/12</f>
        <v>45907.5</v>
      </c>
      <c r="N146" s="3" t="b">
        <f ca="1">AND(NOW()&gt;=tbl_MTG_Set[[#This Row],[Buy Window Start]], NOW()&lt;=tbl_MTG_Set[[#This Row],[Buy Window End]])</f>
        <v>0</v>
      </c>
      <c r="O146">
        <f>_xlfn.XLOOKUP(tbl_MTG_Set[[#This Row],[Type Name]], tbl_MTG_Set_Type[Set Type], tbl_MTG_Set_Type[Heavy Printing Window Month Start], "(Set Type not found)", 0, 1)</f>
        <v>1</v>
      </c>
      <c r="P146" s="3">
        <f>tbl_MTG_Set[[#This Row],[Released On]]+tbl_MTG_Set[[#This Row],[Heavy Printing Window Month Start]]*365.25/12</f>
        <v>45207.4375</v>
      </c>
      <c r="Q146">
        <f>_xlfn.XLOOKUP(tbl_MTG_Set[[#This Row],[Type Name]], tbl_MTG_Set_Type[Set Type], tbl_MTG_Set_Type[Heavy Printing Window Month End], "(Set Type not found)", 0, 1)</f>
        <v>18</v>
      </c>
      <c r="R146" s="3">
        <f>tbl_MTG_Set[[#This Row],[Released On]]+tbl_MTG_Set[[#This Row],[Heavy Printing Window Month End]]*365.25/12</f>
        <v>45724.875</v>
      </c>
      <c r="S146" s="3" t="b">
        <f ca="1">AND(NOW()&gt;=tbl_MTG_Set[[#This Row],[Heavy Printing Window Start]], NOW()&lt;=tbl_MTG_Set[[#This Row],[Heavy Printing Window End]])</f>
        <v>0</v>
      </c>
      <c r="T146">
        <f>_xlfn.XLOOKUP(tbl_MTG_Set[[#This Row],[Type Name]], tbl_MTG_Set_Type[Set Type], tbl_MTG_Set_Type[Sell Window Month Start], "(Set Type not found)", 0, 1)</f>
        <v>36</v>
      </c>
      <c r="U146" s="3">
        <f>tbl_MTG_Set[[#This Row],[Released On]]+tbl_MTG_Set[[#This Row],[Sell Window Month Start]]*365.25/12</f>
        <v>46272.75</v>
      </c>
      <c r="V146">
        <f>_xlfn.XLOOKUP(tbl_MTG_Set[[#This Row],[Type Name]], tbl_MTG_Set_Type[Set Type], tbl_MTG_Set_Type[Sell Window Month End], "(Set Type not found)", 0, 1)</f>
        <v>48</v>
      </c>
      <c r="W146" s="3">
        <f>tbl_MTG_Set[[#This Row],[Released On]]+tbl_MTG_Set[[#This Row],[Sell Window Month End]]*365.25/12</f>
        <v>46638</v>
      </c>
      <c r="X146" s="3" t="b">
        <f ca="1">AND(NOW()&gt;=tbl_MTG_Set[[#This Row],[Sell Window Start]], NOW()&lt;=tbl_MTG_Set[[#This Row],[Sell Window End]])</f>
        <v>0</v>
      </c>
      <c r="AG146" s="10"/>
      <c r="AH146" s="10"/>
      <c r="AM146" s="10" t="str" cm="1">
        <f t="array" ref="AM1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6" s="10" t="str" cm="1">
        <f t="array" ref="AN1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6" s="4" t="e">
        <f>_xlfn.XLOOKUP(tbl_MTG_Set[[#This Row],[Play Booster Box Product Id]], tbl_Product[Product Id], tbl_Product[Pack Size])</f>
        <v>#N/A</v>
      </c>
      <c r="AP146" s="10" t="e">
        <f>(tbl_MTG_Set[[#This Row],[Play Booster Box Cost]]+v_Item_Shipping_Cost_In)/tbl_MTG_Set[[#This Row],[Play Booster Box Size]]</f>
        <v>#VALUE!</v>
      </c>
      <c r="AQ146" s="10" t="str" cm="1">
        <f t="array" ref="AQ1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6" s="10"/>
      <c r="AS146" s="10"/>
      <c r="AT146" s="17" t="e">
        <f>tbl_MTG_Set[[#This Row],[Play Booster CardMarket Profit]]/tbl_MTG_Set[[#This Row],[Play Booster Cost]]</f>
        <v>#VALUE!</v>
      </c>
      <c r="AU146" s="10" t="e">
        <f>_xlfn.XLOOKUP(tbl_MTG_Set[[#This Row],[Collector Booster Box Product Id]], tbl_Product[Product Id], tbl_Product[Min Cost])</f>
        <v>#N/A</v>
      </c>
      <c r="AV146" s="10" t="e">
        <f>_xlfn.XLOOKUP(tbl_MTG_Set[[#This Row],[Collector Booster Box Product Id]], tbl_Product[Product Id], tbl_Product[Best Source])</f>
        <v>#N/A</v>
      </c>
      <c r="AW146" s="4" t="e">
        <f>_xlfn.XLOOKUP(tbl_MTG_Set[[#This Row],[Collector Booster Box Product Id]], tbl_Product[Product Id], tbl_Product[Pack Size])</f>
        <v>#N/A</v>
      </c>
      <c r="AX146" s="10" t="e">
        <f>(tbl_MTG_Set[[#This Row],[Collector Booster Box Cost]] + v_Item_Shipping_Cost_In) / tbl_MTG_Set[[#This Row],[Collector Booster Box Size]]</f>
        <v>#N/A</v>
      </c>
      <c r="AY146" s="10" t="str" cm="1">
        <f t="array" ref="AY1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6" s="10"/>
      <c r="BA1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6" s="17" t="e">
        <f>tbl_MTG_Set[[#This Row],[Collector Booster CardMarket Profit]]/tbl_MTG_Set[[#This Row],[Collector Booster Cost]]</f>
        <v>#N/A</v>
      </c>
      <c r="BC146" s="10"/>
      <c r="BF1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6" s="11" t="e">
        <f>tbl_MTG_Set[[#This Row],[Play Singles CardMarket Profit MTG Stocks]]/tbl_MTG_Set[[#This Row],[Play Booster Cost]]</f>
        <v>#VALUE!</v>
      </c>
      <c r="BI146" s="11" t="b">
        <f>tbl_MTG_Set[[#This Row],[Play Singles CardMarket Profit MTG Stocks]]&gt;0</f>
        <v>0</v>
      </c>
      <c r="BM146" s="10" t="e">
        <f>tbl_MTG_Set[[#This Row],[Play Booster Sell Price CardMarket]]*tbl_MTG_Set[[#This Row],[Play Booster Expected Market Value BotBox]]/tbl_MTG_Set[[#This Row],[Play Booster Sealed Market Value BotBox]]</f>
        <v>#VALUE!</v>
      </c>
      <c r="BN1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6" s="10" t="e">
        <f>tbl_MTG_Set[[#This Row],[Play Singles CardMarket Profit BotBox]]/tbl_MTG_Set[[#This Row],[Play Booster Cost]]</f>
        <v>#VALUE!</v>
      </c>
      <c r="BP146" s="10" t="b">
        <f>tbl_MTG_Set[[#This Row],[Play Singles CardMarket Profit BotBox]]&gt;0</f>
        <v>0</v>
      </c>
      <c r="BQ146" s="10"/>
      <c r="BR146" s="10"/>
      <c r="BS146" s="10"/>
      <c r="BT1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6" s="19" t="e">
        <f>tbl_MTG_Set[[#This Row],[Collector Singles CardMarket Profit MTG Stocks]]/tbl_MTG_Set[[#This Row],[Collector Booster Cost]]</f>
        <v>#N/A</v>
      </c>
      <c r="BW146" s="10" t="b">
        <f>tbl_MTG_Set[[#This Row],[Collector Singles CardMarket Profit MTG Stocks]]&gt;0</f>
        <v>0</v>
      </c>
      <c r="BX146" s="10"/>
      <c r="BY146" s="10"/>
      <c r="BZ1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6" s="10" t="e">
        <f>tbl_MTG_Set[[#This Row],[Collector Singles CardMarket Profit BotBox]]/tbl_MTG_Set[[#This Row],[Collector Booster Cost]]</f>
        <v>#N/A</v>
      </c>
      <c r="CC146" s="10" t="b">
        <f>tbl_MTG_Set[[#This Row],[Collector Singles CardMarket Profit BotBox]]&gt;0</f>
        <v>0</v>
      </c>
      <c r="CD1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7" spans="1:86" hidden="1">
      <c r="A147">
        <v>162</v>
      </c>
      <c r="B147" t="s">
        <v>320</v>
      </c>
      <c r="C147">
        <v>81</v>
      </c>
      <c r="D147" s="3">
        <v>45177</v>
      </c>
      <c r="E147" t="s">
        <v>59</v>
      </c>
      <c r="F147" t="s">
        <v>174</v>
      </c>
      <c r="G147">
        <v>270</v>
      </c>
      <c r="H147">
        <f ca="1">MONTH(NOW())+12*YEAR(NOW())-MONTH(tbl_MTG_Set[[#This Row],[Released On]])-12*YEAR(tbl_MTG_Set[[#This Row],[Released On]])</f>
        <v>30</v>
      </c>
      <c r="I147">
        <f>_xlfn.XLOOKUP(tbl_MTG_Set[[#This Row],[Type Name]], tbl_MTG_Set_Type[Set Type], tbl_MTG_Set_Type[Index], "(Set Type not found)")</f>
        <v>1</v>
      </c>
      <c r="J147">
        <f>_xlfn.XLOOKUP(tbl_MTG_Set[[#This Row],[Type Name]], tbl_MTG_Set_Type[Set Type], tbl_MTG_Set_Type[Buy Window Month Start], "(Set Type not found)")</f>
        <v>18</v>
      </c>
      <c r="K147" s="3">
        <f>tbl_MTG_Set[[#This Row],[Released On]]+tbl_MTG_Set[[#This Row],[Buy Window Month Start]]*365.25/12</f>
        <v>45724.875</v>
      </c>
      <c r="L147">
        <f>_xlfn.XLOOKUP(tbl_MTG_Set[[#This Row],[Type Name]], tbl_MTG_Set_Type[Set Type], tbl_MTG_Set_Type[Buy Window Month End], "(Set Type not found)", 0, 1)</f>
        <v>24</v>
      </c>
      <c r="M147" s="3">
        <f>tbl_MTG_Set[[#This Row],[Released On]]+tbl_MTG_Set[[#This Row],[Buy Window Month End]]*365.25/12</f>
        <v>45907.5</v>
      </c>
      <c r="N147" s="3" t="b">
        <f ca="1">AND(NOW()&gt;=tbl_MTG_Set[[#This Row],[Buy Window Start]], NOW()&lt;=tbl_MTG_Set[[#This Row],[Buy Window End]])</f>
        <v>0</v>
      </c>
      <c r="O147">
        <f>_xlfn.XLOOKUP(tbl_MTG_Set[[#This Row],[Type Name]], tbl_MTG_Set_Type[Set Type], tbl_MTG_Set_Type[Heavy Printing Window Month Start], "(Set Type not found)", 0, 1)</f>
        <v>1</v>
      </c>
      <c r="P147" s="3">
        <f>tbl_MTG_Set[[#This Row],[Released On]]+tbl_MTG_Set[[#This Row],[Heavy Printing Window Month Start]]*365.25/12</f>
        <v>45207.4375</v>
      </c>
      <c r="Q147">
        <f>_xlfn.XLOOKUP(tbl_MTG_Set[[#This Row],[Type Name]], tbl_MTG_Set_Type[Set Type], tbl_MTG_Set_Type[Heavy Printing Window Month End], "(Set Type not found)", 0, 1)</f>
        <v>18</v>
      </c>
      <c r="R147" s="3">
        <f>tbl_MTG_Set[[#This Row],[Released On]]+tbl_MTG_Set[[#This Row],[Heavy Printing Window Month End]]*365.25/12</f>
        <v>45724.875</v>
      </c>
      <c r="S147" s="3" t="b">
        <f ca="1">AND(NOW()&gt;=tbl_MTG_Set[[#This Row],[Heavy Printing Window Start]], NOW()&lt;=tbl_MTG_Set[[#This Row],[Heavy Printing Window End]])</f>
        <v>0</v>
      </c>
      <c r="T147">
        <f>_xlfn.XLOOKUP(tbl_MTG_Set[[#This Row],[Type Name]], tbl_MTG_Set_Type[Set Type], tbl_MTG_Set_Type[Sell Window Month Start], "(Set Type not found)", 0, 1)</f>
        <v>36</v>
      </c>
      <c r="U147" s="3">
        <f>tbl_MTG_Set[[#This Row],[Released On]]+tbl_MTG_Set[[#This Row],[Sell Window Month Start]]*365.25/12</f>
        <v>46272.75</v>
      </c>
      <c r="V147">
        <f>_xlfn.XLOOKUP(tbl_MTG_Set[[#This Row],[Type Name]], tbl_MTG_Set_Type[Set Type], tbl_MTG_Set_Type[Sell Window Month End], "(Set Type not found)", 0, 1)</f>
        <v>48</v>
      </c>
      <c r="W147" s="3">
        <f>tbl_MTG_Set[[#This Row],[Released On]]+tbl_MTG_Set[[#This Row],[Sell Window Month End]]*365.25/12</f>
        <v>46638</v>
      </c>
      <c r="X147" s="3" t="b">
        <f ca="1">AND(NOW()&gt;=tbl_MTG_Set[[#This Row],[Sell Window Start]], NOW()&lt;=tbl_MTG_Set[[#This Row],[Sell Window End]])</f>
        <v>0</v>
      </c>
      <c r="AG147" s="10"/>
      <c r="AH147" s="10"/>
      <c r="AM147" s="10" t="str" cm="1">
        <f t="array" ref="AM1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7" s="10" t="str" cm="1">
        <f t="array" ref="AN1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7" s="4" t="e">
        <f>_xlfn.XLOOKUP(tbl_MTG_Set[[#This Row],[Play Booster Box Product Id]], tbl_Product[Product Id], tbl_Product[Pack Size])</f>
        <v>#N/A</v>
      </c>
      <c r="AP147" s="10" t="e">
        <f>(tbl_MTG_Set[[#This Row],[Play Booster Box Cost]]+v_Item_Shipping_Cost_In)/tbl_MTG_Set[[#This Row],[Play Booster Box Size]]</f>
        <v>#VALUE!</v>
      </c>
      <c r="AQ147" s="10" t="str" cm="1">
        <f t="array" ref="AQ1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7" s="10"/>
      <c r="AS147" s="10"/>
      <c r="AT147" s="17" t="e">
        <f>tbl_MTG_Set[[#This Row],[Play Booster CardMarket Profit]]/tbl_MTG_Set[[#This Row],[Play Booster Cost]]</f>
        <v>#VALUE!</v>
      </c>
      <c r="AU147" s="10" t="e">
        <f>_xlfn.XLOOKUP(tbl_MTG_Set[[#This Row],[Collector Booster Box Product Id]], tbl_Product[Product Id], tbl_Product[Min Cost])</f>
        <v>#N/A</v>
      </c>
      <c r="AV147" s="10" t="e">
        <f>_xlfn.XLOOKUP(tbl_MTG_Set[[#This Row],[Collector Booster Box Product Id]], tbl_Product[Product Id], tbl_Product[Best Source])</f>
        <v>#N/A</v>
      </c>
      <c r="AW147" s="4" t="e">
        <f>_xlfn.XLOOKUP(tbl_MTG_Set[[#This Row],[Collector Booster Box Product Id]], tbl_Product[Product Id], tbl_Product[Pack Size])</f>
        <v>#N/A</v>
      </c>
      <c r="AX147" s="10" t="e">
        <f>(tbl_MTG_Set[[#This Row],[Collector Booster Box Cost]] + v_Item_Shipping_Cost_In) / tbl_MTG_Set[[#This Row],[Collector Booster Box Size]]</f>
        <v>#N/A</v>
      </c>
      <c r="AY147" s="10" t="str" cm="1">
        <f t="array" ref="AY1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7" s="10"/>
      <c r="BA1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7" s="17" t="e">
        <f>tbl_MTG_Set[[#This Row],[Collector Booster CardMarket Profit]]/tbl_MTG_Set[[#This Row],[Collector Booster Cost]]</f>
        <v>#N/A</v>
      </c>
      <c r="BC147" s="10"/>
      <c r="BF1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7" s="11" t="e">
        <f>tbl_MTG_Set[[#This Row],[Play Singles CardMarket Profit MTG Stocks]]/tbl_MTG_Set[[#This Row],[Play Booster Cost]]</f>
        <v>#VALUE!</v>
      </c>
      <c r="BI147" s="11" t="b">
        <f>tbl_MTG_Set[[#This Row],[Play Singles CardMarket Profit MTG Stocks]]&gt;0</f>
        <v>0</v>
      </c>
      <c r="BM147" s="10" t="e">
        <f>tbl_MTG_Set[[#This Row],[Play Booster Sell Price CardMarket]]*tbl_MTG_Set[[#This Row],[Play Booster Expected Market Value BotBox]]/tbl_MTG_Set[[#This Row],[Play Booster Sealed Market Value BotBox]]</f>
        <v>#VALUE!</v>
      </c>
      <c r="BN1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7" s="10" t="e">
        <f>tbl_MTG_Set[[#This Row],[Play Singles CardMarket Profit BotBox]]/tbl_MTG_Set[[#This Row],[Play Booster Cost]]</f>
        <v>#VALUE!</v>
      </c>
      <c r="BP147" s="10" t="b">
        <f>tbl_MTG_Set[[#This Row],[Play Singles CardMarket Profit BotBox]]&gt;0</f>
        <v>0</v>
      </c>
      <c r="BQ147" s="10"/>
      <c r="BR147" s="10"/>
      <c r="BS147" s="10"/>
      <c r="BT1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7" s="19" t="e">
        <f>tbl_MTG_Set[[#This Row],[Collector Singles CardMarket Profit MTG Stocks]]/tbl_MTG_Set[[#This Row],[Collector Booster Cost]]</f>
        <v>#N/A</v>
      </c>
      <c r="BW147" s="10" t="b">
        <f>tbl_MTG_Set[[#This Row],[Collector Singles CardMarket Profit MTG Stocks]]&gt;0</f>
        <v>0</v>
      </c>
      <c r="BX147" s="10"/>
      <c r="BY147" s="10"/>
      <c r="BZ1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7" s="10" t="e">
        <f>tbl_MTG_Set[[#This Row],[Collector Singles CardMarket Profit BotBox]]/tbl_MTG_Set[[#This Row],[Collector Booster Cost]]</f>
        <v>#N/A</v>
      </c>
      <c r="CC147" s="10" t="b">
        <f>tbl_MTG_Set[[#This Row],[Collector Singles CardMarket Profit BotBox]]&gt;0</f>
        <v>0</v>
      </c>
      <c r="CD1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8" spans="1:86" hidden="1">
      <c r="A148">
        <v>164</v>
      </c>
      <c r="B148" t="s">
        <v>321</v>
      </c>
      <c r="C148">
        <v>81</v>
      </c>
      <c r="D148" s="3">
        <v>45142</v>
      </c>
      <c r="E148" t="s">
        <v>72</v>
      </c>
      <c r="F148" t="s">
        <v>174</v>
      </c>
      <c r="G148">
        <v>274</v>
      </c>
      <c r="H148">
        <f ca="1">MONTH(NOW())+12*YEAR(NOW())-MONTH(tbl_MTG_Set[[#This Row],[Released On]])-12*YEAR(tbl_MTG_Set[[#This Row],[Released On]])</f>
        <v>31</v>
      </c>
      <c r="I148">
        <f>_xlfn.XLOOKUP(tbl_MTG_Set[[#This Row],[Type Name]], tbl_MTG_Set_Type[Set Type], tbl_MTG_Set_Type[Index], "(Set Type not found)")</f>
        <v>3</v>
      </c>
      <c r="J148">
        <f>_xlfn.XLOOKUP(tbl_MTG_Set[[#This Row],[Type Name]], tbl_MTG_Set_Type[Set Type], tbl_MTG_Set_Type[Buy Window Month Start], "(Set Type not found)")</f>
        <v>0</v>
      </c>
      <c r="K148" s="3">
        <f>tbl_MTG_Set[[#This Row],[Released On]]+tbl_MTG_Set[[#This Row],[Buy Window Month Start]]*365.25/12</f>
        <v>45142</v>
      </c>
      <c r="L148">
        <f>_xlfn.XLOOKUP(tbl_MTG_Set[[#This Row],[Type Name]], tbl_MTG_Set_Type[Set Type], tbl_MTG_Set_Type[Buy Window Month End], "(Set Type not found)", 0, 1)</f>
        <v>0</v>
      </c>
      <c r="M148" s="3">
        <f>tbl_MTG_Set[[#This Row],[Released On]]+tbl_MTG_Set[[#This Row],[Buy Window Month End]]*365.25/12</f>
        <v>45142</v>
      </c>
      <c r="N148" s="3" t="b">
        <f ca="1">AND(NOW()&gt;=tbl_MTG_Set[[#This Row],[Buy Window Start]], NOW()&lt;=tbl_MTG_Set[[#This Row],[Buy Window End]])</f>
        <v>0</v>
      </c>
      <c r="O148">
        <f>_xlfn.XLOOKUP(tbl_MTG_Set[[#This Row],[Type Name]], tbl_MTG_Set_Type[Set Type], tbl_MTG_Set_Type[Heavy Printing Window Month Start], "(Set Type not found)", 0, 1)</f>
        <v>6</v>
      </c>
      <c r="P148" s="3">
        <f>tbl_MTG_Set[[#This Row],[Released On]]+tbl_MTG_Set[[#This Row],[Heavy Printing Window Month Start]]*365.25/12</f>
        <v>45324.625</v>
      </c>
      <c r="Q148">
        <f>_xlfn.XLOOKUP(tbl_MTG_Set[[#This Row],[Type Name]], tbl_MTG_Set_Type[Set Type], tbl_MTG_Set_Type[Heavy Printing Window Month End], "(Set Type not found)", 0, 1)</f>
        <v>12</v>
      </c>
      <c r="R148" s="3">
        <f>tbl_MTG_Set[[#This Row],[Released On]]+tbl_MTG_Set[[#This Row],[Heavy Printing Window Month End]]*365.25/12</f>
        <v>45507.25</v>
      </c>
      <c r="S148" s="3" t="b">
        <f ca="1">AND(NOW()&gt;=tbl_MTG_Set[[#This Row],[Heavy Printing Window Start]], NOW()&lt;=tbl_MTG_Set[[#This Row],[Heavy Printing Window End]])</f>
        <v>0</v>
      </c>
      <c r="T148">
        <f>_xlfn.XLOOKUP(tbl_MTG_Set[[#This Row],[Type Name]], tbl_MTG_Set_Type[Set Type], tbl_MTG_Set_Type[Sell Window Month Start], "(Set Type not found)", 0, 1)</f>
        <v>24</v>
      </c>
      <c r="U148" s="3">
        <f>tbl_MTG_Set[[#This Row],[Released On]]+tbl_MTG_Set[[#This Row],[Sell Window Month Start]]*365.25/12</f>
        <v>45872.5</v>
      </c>
      <c r="V148">
        <f>_xlfn.XLOOKUP(tbl_MTG_Set[[#This Row],[Type Name]], tbl_MTG_Set_Type[Set Type], tbl_MTG_Set_Type[Sell Window Month End], "(Set Type not found)", 0, 1)</f>
        <v>60</v>
      </c>
      <c r="W148" s="3">
        <f>tbl_MTG_Set[[#This Row],[Released On]]+tbl_MTG_Set[[#This Row],[Sell Window Month End]]*365.25/12</f>
        <v>46968.25</v>
      </c>
      <c r="X148" s="3" t="b">
        <f ca="1">AND(NOW()&gt;=tbl_MTG_Set[[#This Row],[Sell Window Start]], NOW()&lt;=tbl_MTG_Set[[#This Row],[Sell Window End]])</f>
        <v>1</v>
      </c>
      <c r="AG148" s="10"/>
      <c r="AH148" s="10"/>
      <c r="AM148" s="10" t="str" cm="1">
        <f t="array" ref="AM1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8" s="10" t="str" cm="1">
        <f t="array" ref="AN1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8" s="4" t="e">
        <f>_xlfn.XLOOKUP(tbl_MTG_Set[[#This Row],[Play Booster Box Product Id]], tbl_Product[Product Id], tbl_Product[Pack Size])</f>
        <v>#N/A</v>
      </c>
      <c r="AP148" s="10" t="e">
        <f>(tbl_MTG_Set[[#This Row],[Play Booster Box Cost]]+v_Item_Shipping_Cost_In)/tbl_MTG_Set[[#This Row],[Play Booster Box Size]]</f>
        <v>#VALUE!</v>
      </c>
      <c r="AQ148" s="10" t="str" cm="1">
        <f t="array" ref="AQ1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8" s="10"/>
      <c r="AS148" s="10"/>
      <c r="AT148" s="17" t="e">
        <f>tbl_MTG_Set[[#This Row],[Play Booster CardMarket Profit]]/tbl_MTG_Set[[#This Row],[Play Booster Cost]]</f>
        <v>#VALUE!</v>
      </c>
      <c r="AU148" s="10" t="e">
        <f>_xlfn.XLOOKUP(tbl_MTG_Set[[#This Row],[Collector Booster Box Product Id]], tbl_Product[Product Id], tbl_Product[Min Cost])</f>
        <v>#N/A</v>
      </c>
      <c r="AV148" s="10" t="e">
        <f>_xlfn.XLOOKUP(tbl_MTG_Set[[#This Row],[Collector Booster Box Product Id]], tbl_Product[Product Id], tbl_Product[Best Source])</f>
        <v>#N/A</v>
      </c>
      <c r="AW148" s="4" t="e">
        <f>_xlfn.XLOOKUP(tbl_MTG_Set[[#This Row],[Collector Booster Box Product Id]], tbl_Product[Product Id], tbl_Product[Pack Size])</f>
        <v>#N/A</v>
      </c>
      <c r="AX148" s="10" t="e">
        <f>(tbl_MTG_Set[[#This Row],[Collector Booster Box Cost]] + v_Item_Shipping_Cost_In) / tbl_MTG_Set[[#This Row],[Collector Booster Box Size]]</f>
        <v>#N/A</v>
      </c>
      <c r="AY148" s="10" t="str" cm="1">
        <f t="array" ref="AY1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8" s="10"/>
      <c r="BA1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8" s="17" t="e">
        <f>tbl_MTG_Set[[#This Row],[Collector Booster CardMarket Profit]]/tbl_MTG_Set[[#This Row],[Collector Booster Cost]]</f>
        <v>#N/A</v>
      </c>
      <c r="BC148" s="10"/>
      <c r="BF1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8" s="11" t="e">
        <f>tbl_MTG_Set[[#This Row],[Play Singles CardMarket Profit MTG Stocks]]/tbl_MTG_Set[[#This Row],[Play Booster Cost]]</f>
        <v>#VALUE!</v>
      </c>
      <c r="BI148" s="11" t="b">
        <f>tbl_MTG_Set[[#This Row],[Play Singles CardMarket Profit MTG Stocks]]&gt;0</f>
        <v>0</v>
      </c>
      <c r="BM148" s="10" t="e">
        <f>tbl_MTG_Set[[#This Row],[Play Booster Sell Price CardMarket]]*tbl_MTG_Set[[#This Row],[Play Booster Expected Market Value BotBox]]/tbl_MTG_Set[[#This Row],[Play Booster Sealed Market Value BotBox]]</f>
        <v>#VALUE!</v>
      </c>
      <c r="BN1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8" s="10" t="e">
        <f>tbl_MTG_Set[[#This Row],[Play Singles CardMarket Profit BotBox]]/tbl_MTG_Set[[#This Row],[Play Booster Cost]]</f>
        <v>#VALUE!</v>
      </c>
      <c r="BP148" s="10" t="b">
        <f>tbl_MTG_Set[[#This Row],[Play Singles CardMarket Profit BotBox]]&gt;0</f>
        <v>0</v>
      </c>
      <c r="BQ148" s="10"/>
      <c r="BR148" s="10"/>
      <c r="BS148" s="10"/>
      <c r="BT1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8" s="19" t="e">
        <f>tbl_MTG_Set[[#This Row],[Collector Singles CardMarket Profit MTG Stocks]]/tbl_MTG_Set[[#This Row],[Collector Booster Cost]]</f>
        <v>#N/A</v>
      </c>
      <c r="BW148" s="10" t="b">
        <f>tbl_MTG_Set[[#This Row],[Collector Singles CardMarket Profit MTG Stocks]]&gt;0</f>
        <v>0</v>
      </c>
      <c r="BX148" s="10"/>
      <c r="BY148" s="10"/>
      <c r="BZ1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8" s="10" t="e">
        <f>tbl_MTG_Set[[#This Row],[Collector Singles CardMarket Profit BotBox]]/tbl_MTG_Set[[#This Row],[Collector Booster Cost]]</f>
        <v>#N/A</v>
      </c>
      <c r="CC148" s="10" t="b">
        <f>tbl_MTG_Set[[#This Row],[Collector Singles CardMarket Profit BotBox]]&gt;0</f>
        <v>0</v>
      </c>
      <c r="CD1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49" spans="1:86" hidden="1">
      <c r="A149">
        <v>165</v>
      </c>
      <c r="B149" t="s">
        <v>322</v>
      </c>
      <c r="C149">
        <v>81</v>
      </c>
      <c r="D149" s="3">
        <v>45142</v>
      </c>
      <c r="E149" t="s">
        <v>72</v>
      </c>
      <c r="F149" t="s">
        <v>174</v>
      </c>
      <c r="G149">
        <v>276</v>
      </c>
      <c r="H149">
        <f ca="1">MONTH(NOW())+12*YEAR(NOW())-MONTH(tbl_MTG_Set[[#This Row],[Released On]])-12*YEAR(tbl_MTG_Set[[#This Row],[Released On]])</f>
        <v>31</v>
      </c>
      <c r="I149">
        <f>_xlfn.XLOOKUP(tbl_MTG_Set[[#This Row],[Type Name]], tbl_MTG_Set_Type[Set Type], tbl_MTG_Set_Type[Index], "(Set Type not found)")</f>
        <v>3</v>
      </c>
      <c r="J149">
        <f>_xlfn.XLOOKUP(tbl_MTG_Set[[#This Row],[Type Name]], tbl_MTG_Set_Type[Set Type], tbl_MTG_Set_Type[Buy Window Month Start], "(Set Type not found)")</f>
        <v>0</v>
      </c>
      <c r="K149" s="3">
        <f>tbl_MTG_Set[[#This Row],[Released On]]+tbl_MTG_Set[[#This Row],[Buy Window Month Start]]*365.25/12</f>
        <v>45142</v>
      </c>
      <c r="L149">
        <f>_xlfn.XLOOKUP(tbl_MTG_Set[[#This Row],[Type Name]], tbl_MTG_Set_Type[Set Type], tbl_MTG_Set_Type[Buy Window Month End], "(Set Type not found)", 0, 1)</f>
        <v>0</v>
      </c>
      <c r="M149" s="3">
        <f>tbl_MTG_Set[[#This Row],[Released On]]+tbl_MTG_Set[[#This Row],[Buy Window Month End]]*365.25/12</f>
        <v>45142</v>
      </c>
      <c r="N149" s="3" t="b">
        <f ca="1">AND(NOW()&gt;=tbl_MTG_Set[[#This Row],[Buy Window Start]], NOW()&lt;=tbl_MTG_Set[[#This Row],[Buy Window End]])</f>
        <v>0</v>
      </c>
      <c r="O149">
        <f>_xlfn.XLOOKUP(tbl_MTG_Set[[#This Row],[Type Name]], tbl_MTG_Set_Type[Set Type], tbl_MTG_Set_Type[Heavy Printing Window Month Start], "(Set Type not found)", 0, 1)</f>
        <v>6</v>
      </c>
      <c r="P149" s="3">
        <f>tbl_MTG_Set[[#This Row],[Released On]]+tbl_MTG_Set[[#This Row],[Heavy Printing Window Month Start]]*365.25/12</f>
        <v>45324.625</v>
      </c>
      <c r="Q149">
        <f>_xlfn.XLOOKUP(tbl_MTG_Set[[#This Row],[Type Name]], tbl_MTG_Set_Type[Set Type], tbl_MTG_Set_Type[Heavy Printing Window Month End], "(Set Type not found)", 0, 1)</f>
        <v>12</v>
      </c>
      <c r="R149" s="3">
        <f>tbl_MTG_Set[[#This Row],[Released On]]+tbl_MTG_Set[[#This Row],[Heavy Printing Window Month End]]*365.25/12</f>
        <v>45507.25</v>
      </c>
      <c r="S149" s="3" t="b">
        <f ca="1">AND(NOW()&gt;=tbl_MTG_Set[[#This Row],[Heavy Printing Window Start]], NOW()&lt;=tbl_MTG_Set[[#This Row],[Heavy Printing Window End]])</f>
        <v>0</v>
      </c>
      <c r="T149">
        <f>_xlfn.XLOOKUP(tbl_MTG_Set[[#This Row],[Type Name]], tbl_MTG_Set_Type[Set Type], tbl_MTG_Set_Type[Sell Window Month Start], "(Set Type not found)", 0, 1)</f>
        <v>24</v>
      </c>
      <c r="U149" s="3">
        <f>tbl_MTG_Set[[#This Row],[Released On]]+tbl_MTG_Set[[#This Row],[Sell Window Month Start]]*365.25/12</f>
        <v>45872.5</v>
      </c>
      <c r="V149">
        <f>_xlfn.XLOOKUP(tbl_MTG_Set[[#This Row],[Type Name]], tbl_MTG_Set_Type[Set Type], tbl_MTG_Set_Type[Sell Window Month End], "(Set Type not found)", 0, 1)</f>
        <v>60</v>
      </c>
      <c r="W149" s="3">
        <f>tbl_MTG_Set[[#This Row],[Released On]]+tbl_MTG_Set[[#This Row],[Sell Window Month End]]*365.25/12</f>
        <v>46968.25</v>
      </c>
      <c r="X149" s="3" t="b">
        <f ca="1">AND(NOW()&gt;=tbl_MTG_Set[[#This Row],[Sell Window Start]], NOW()&lt;=tbl_MTG_Set[[#This Row],[Sell Window End]])</f>
        <v>1</v>
      </c>
      <c r="AG149" s="10"/>
      <c r="AH149" s="10"/>
      <c r="AM149" s="10" t="str" cm="1">
        <f t="array" ref="AM1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49" s="10" t="str" cm="1">
        <f t="array" ref="AN1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49" s="4" t="e">
        <f>_xlfn.XLOOKUP(tbl_MTG_Set[[#This Row],[Play Booster Box Product Id]], tbl_Product[Product Id], tbl_Product[Pack Size])</f>
        <v>#N/A</v>
      </c>
      <c r="AP149" s="10" t="e">
        <f>(tbl_MTG_Set[[#This Row],[Play Booster Box Cost]]+v_Item_Shipping_Cost_In)/tbl_MTG_Set[[#This Row],[Play Booster Box Size]]</f>
        <v>#VALUE!</v>
      </c>
      <c r="AQ149" s="10" t="str" cm="1">
        <f t="array" ref="AQ1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49" s="10"/>
      <c r="AS149" s="10"/>
      <c r="AT149" s="17" t="e">
        <f>tbl_MTG_Set[[#This Row],[Play Booster CardMarket Profit]]/tbl_MTG_Set[[#This Row],[Play Booster Cost]]</f>
        <v>#VALUE!</v>
      </c>
      <c r="AU149" s="10" t="e">
        <f>_xlfn.XLOOKUP(tbl_MTG_Set[[#This Row],[Collector Booster Box Product Id]], tbl_Product[Product Id], tbl_Product[Min Cost])</f>
        <v>#N/A</v>
      </c>
      <c r="AV149" s="10" t="e">
        <f>_xlfn.XLOOKUP(tbl_MTG_Set[[#This Row],[Collector Booster Box Product Id]], tbl_Product[Product Id], tbl_Product[Best Source])</f>
        <v>#N/A</v>
      </c>
      <c r="AW149" s="4" t="e">
        <f>_xlfn.XLOOKUP(tbl_MTG_Set[[#This Row],[Collector Booster Box Product Id]], tbl_Product[Product Id], tbl_Product[Pack Size])</f>
        <v>#N/A</v>
      </c>
      <c r="AX149" s="10" t="e">
        <f>(tbl_MTG_Set[[#This Row],[Collector Booster Box Cost]] + v_Item_Shipping_Cost_In) / tbl_MTG_Set[[#This Row],[Collector Booster Box Size]]</f>
        <v>#N/A</v>
      </c>
      <c r="AY149" s="10" t="str" cm="1">
        <f t="array" ref="AY1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49" s="10"/>
      <c r="BA1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49" s="17" t="e">
        <f>tbl_MTG_Set[[#This Row],[Collector Booster CardMarket Profit]]/tbl_MTG_Set[[#This Row],[Collector Booster Cost]]</f>
        <v>#N/A</v>
      </c>
      <c r="BC149" s="10"/>
      <c r="BF1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49" s="11" t="e">
        <f>tbl_MTG_Set[[#This Row],[Play Singles CardMarket Profit MTG Stocks]]/tbl_MTG_Set[[#This Row],[Play Booster Cost]]</f>
        <v>#VALUE!</v>
      </c>
      <c r="BI149" s="11" t="b">
        <f>tbl_MTG_Set[[#This Row],[Play Singles CardMarket Profit MTG Stocks]]&gt;0</f>
        <v>0</v>
      </c>
      <c r="BM149" s="10" t="e">
        <f>tbl_MTG_Set[[#This Row],[Play Booster Sell Price CardMarket]]*tbl_MTG_Set[[#This Row],[Play Booster Expected Market Value BotBox]]/tbl_MTG_Set[[#This Row],[Play Booster Sealed Market Value BotBox]]</f>
        <v>#VALUE!</v>
      </c>
      <c r="BN1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49" s="10" t="e">
        <f>tbl_MTG_Set[[#This Row],[Play Singles CardMarket Profit BotBox]]/tbl_MTG_Set[[#This Row],[Play Booster Cost]]</f>
        <v>#VALUE!</v>
      </c>
      <c r="BP149" s="10" t="b">
        <f>tbl_MTG_Set[[#This Row],[Play Singles CardMarket Profit BotBox]]&gt;0</f>
        <v>0</v>
      </c>
      <c r="BQ149" s="10"/>
      <c r="BR149" s="10"/>
      <c r="BS149" s="10"/>
      <c r="BT1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49" s="19" t="e">
        <f>tbl_MTG_Set[[#This Row],[Collector Singles CardMarket Profit MTG Stocks]]/tbl_MTG_Set[[#This Row],[Collector Booster Cost]]</f>
        <v>#N/A</v>
      </c>
      <c r="BW149" s="10" t="b">
        <f>tbl_MTG_Set[[#This Row],[Collector Singles CardMarket Profit MTG Stocks]]&gt;0</f>
        <v>0</v>
      </c>
      <c r="BX149" s="10"/>
      <c r="BY149" s="10"/>
      <c r="BZ1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49" s="10" t="e">
        <f>tbl_MTG_Set[[#This Row],[Collector Singles CardMarket Profit BotBox]]/tbl_MTG_Set[[#This Row],[Collector Booster Cost]]</f>
        <v>#N/A</v>
      </c>
      <c r="CC149" s="10" t="b">
        <f>tbl_MTG_Set[[#This Row],[Collector Singles CardMarket Profit BotBox]]&gt;0</f>
        <v>0</v>
      </c>
      <c r="CD1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0" spans="1:86" hidden="1">
      <c r="A150">
        <v>166</v>
      </c>
      <c r="B150" t="s">
        <v>323</v>
      </c>
      <c r="C150">
        <v>5</v>
      </c>
      <c r="D150" s="3">
        <v>45139</v>
      </c>
      <c r="F150" t="s">
        <v>174</v>
      </c>
      <c r="G150">
        <v>278</v>
      </c>
      <c r="H150">
        <f ca="1">MONTH(NOW())+12*YEAR(NOW())-MONTH(tbl_MTG_Set[[#This Row],[Released On]])-12*YEAR(tbl_MTG_Set[[#This Row],[Released On]])</f>
        <v>31</v>
      </c>
      <c r="I150" t="str">
        <f>_xlfn.XLOOKUP(tbl_MTG_Set[[#This Row],[Type Name]], tbl_MTG_Set_Type[Set Type], tbl_MTG_Set_Type[Index], "(Set Type not found)")</f>
        <v>(Set Type not found)</v>
      </c>
      <c r="J150" t="str">
        <f>_xlfn.XLOOKUP(tbl_MTG_Set[[#This Row],[Type Name]], tbl_MTG_Set_Type[Set Type], tbl_MTG_Set_Type[Buy Window Month Start], "(Set Type not found)")</f>
        <v>(Set Type not found)</v>
      </c>
      <c r="K150" s="3" t="e">
        <f>tbl_MTG_Set[[#This Row],[Released On]]+tbl_MTG_Set[[#This Row],[Buy Window Month Start]]*365.25/12</f>
        <v>#VALUE!</v>
      </c>
      <c r="L150" t="str">
        <f>_xlfn.XLOOKUP(tbl_MTG_Set[[#This Row],[Type Name]], tbl_MTG_Set_Type[Set Type], tbl_MTG_Set_Type[Buy Window Month End], "(Set Type not found)", 0, 1)</f>
        <v>(Set Type not found)</v>
      </c>
      <c r="M150" s="3" t="e">
        <f>tbl_MTG_Set[[#This Row],[Released On]]+tbl_MTG_Set[[#This Row],[Buy Window Month End]]*365.25/12</f>
        <v>#VALUE!</v>
      </c>
      <c r="N150" s="3" t="e">
        <f ca="1">AND(NOW()&gt;=tbl_MTG_Set[[#This Row],[Buy Window Start]], NOW()&lt;=tbl_MTG_Set[[#This Row],[Buy Window End]])</f>
        <v>#VALUE!</v>
      </c>
      <c r="O150" t="str">
        <f>_xlfn.XLOOKUP(tbl_MTG_Set[[#This Row],[Type Name]], tbl_MTG_Set_Type[Set Type], tbl_MTG_Set_Type[Heavy Printing Window Month Start], "(Set Type not found)", 0, 1)</f>
        <v>(Set Type not found)</v>
      </c>
      <c r="P150" s="3" t="e">
        <f>tbl_MTG_Set[[#This Row],[Released On]]+tbl_MTG_Set[[#This Row],[Heavy Printing Window Month Start]]*365.25/12</f>
        <v>#VALUE!</v>
      </c>
      <c r="Q150" t="str">
        <f>_xlfn.XLOOKUP(tbl_MTG_Set[[#This Row],[Type Name]], tbl_MTG_Set_Type[Set Type], tbl_MTG_Set_Type[Heavy Printing Window Month End], "(Set Type not found)", 0, 1)</f>
        <v>(Set Type not found)</v>
      </c>
      <c r="R150" s="3" t="e">
        <f>tbl_MTG_Set[[#This Row],[Released On]]+tbl_MTG_Set[[#This Row],[Heavy Printing Window Month End]]*365.25/12</f>
        <v>#VALUE!</v>
      </c>
      <c r="S150" s="3" t="e">
        <f ca="1">AND(NOW()&gt;=tbl_MTG_Set[[#This Row],[Heavy Printing Window Start]], NOW()&lt;=tbl_MTG_Set[[#This Row],[Heavy Printing Window End]])</f>
        <v>#VALUE!</v>
      </c>
      <c r="T150" t="str">
        <f>_xlfn.XLOOKUP(tbl_MTG_Set[[#This Row],[Type Name]], tbl_MTG_Set_Type[Set Type], tbl_MTG_Set_Type[Sell Window Month Start], "(Set Type not found)", 0, 1)</f>
        <v>(Set Type not found)</v>
      </c>
      <c r="U150" s="3" t="e">
        <f>tbl_MTG_Set[[#This Row],[Released On]]+tbl_MTG_Set[[#This Row],[Sell Window Month Start]]*365.25/12</f>
        <v>#VALUE!</v>
      </c>
      <c r="V150" t="str">
        <f>_xlfn.XLOOKUP(tbl_MTG_Set[[#This Row],[Type Name]], tbl_MTG_Set_Type[Set Type], tbl_MTG_Set_Type[Sell Window Month End], "(Set Type not found)", 0, 1)</f>
        <v>(Set Type not found)</v>
      </c>
      <c r="W150" s="3" t="e">
        <f>tbl_MTG_Set[[#This Row],[Released On]]+tbl_MTG_Set[[#This Row],[Sell Window Month End]]*365.25/12</f>
        <v>#VALUE!</v>
      </c>
      <c r="X150" s="3" t="e">
        <f ca="1">AND(NOW()&gt;=tbl_MTG_Set[[#This Row],[Sell Window Start]], NOW()&lt;=tbl_MTG_Set[[#This Row],[Sell Window End]])</f>
        <v>#VALUE!</v>
      </c>
      <c r="AG150" s="10"/>
      <c r="AH150" s="10"/>
      <c r="AM150" s="10" t="str" cm="1">
        <f t="array" ref="AM1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0" s="10" t="str" cm="1">
        <f t="array" ref="AN1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0" s="4" t="e">
        <f>_xlfn.XLOOKUP(tbl_MTG_Set[[#This Row],[Play Booster Box Product Id]], tbl_Product[Product Id], tbl_Product[Pack Size])</f>
        <v>#N/A</v>
      </c>
      <c r="AP150" s="10" t="e">
        <f>(tbl_MTG_Set[[#This Row],[Play Booster Box Cost]]+v_Item_Shipping_Cost_In)/tbl_MTG_Set[[#This Row],[Play Booster Box Size]]</f>
        <v>#VALUE!</v>
      </c>
      <c r="AQ150" s="10" t="str" cm="1">
        <f t="array" ref="AQ1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0" s="10"/>
      <c r="AS150" s="10"/>
      <c r="AT150" s="17" t="e">
        <f>tbl_MTG_Set[[#This Row],[Play Booster CardMarket Profit]]/tbl_MTG_Set[[#This Row],[Play Booster Cost]]</f>
        <v>#VALUE!</v>
      </c>
      <c r="AU150" s="10" t="e">
        <f>_xlfn.XLOOKUP(tbl_MTG_Set[[#This Row],[Collector Booster Box Product Id]], tbl_Product[Product Id], tbl_Product[Min Cost])</f>
        <v>#N/A</v>
      </c>
      <c r="AV150" s="10" t="e">
        <f>_xlfn.XLOOKUP(tbl_MTG_Set[[#This Row],[Collector Booster Box Product Id]], tbl_Product[Product Id], tbl_Product[Best Source])</f>
        <v>#N/A</v>
      </c>
      <c r="AW150" s="4" t="e">
        <f>_xlfn.XLOOKUP(tbl_MTG_Set[[#This Row],[Collector Booster Box Product Id]], tbl_Product[Product Id], tbl_Product[Pack Size])</f>
        <v>#N/A</v>
      </c>
      <c r="AX150" s="10" t="e">
        <f>(tbl_MTG_Set[[#This Row],[Collector Booster Box Cost]] + v_Item_Shipping_Cost_In) / tbl_MTG_Set[[#This Row],[Collector Booster Box Size]]</f>
        <v>#N/A</v>
      </c>
      <c r="AY150" s="10" t="str" cm="1">
        <f t="array" ref="AY1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0" s="10"/>
      <c r="BA1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0" s="17" t="e">
        <f>tbl_MTG_Set[[#This Row],[Collector Booster CardMarket Profit]]/tbl_MTG_Set[[#This Row],[Collector Booster Cost]]</f>
        <v>#N/A</v>
      </c>
      <c r="BC150" s="10"/>
      <c r="BF1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0" s="11" t="e">
        <f>tbl_MTG_Set[[#This Row],[Play Singles CardMarket Profit MTG Stocks]]/tbl_MTG_Set[[#This Row],[Play Booster Cost]]</f>
        <v>#VALUE!</v>
      </c>
      <c r="BI150" s="11" t="b">
        <f>tbl_MTG_Set[[#This Row],[Play Singles CardMarket Profit MTG Stocks]]&gt;0</f>
        <v>0</v>
      </c>
      <c r="BM150" s="10" t="e">
        <f>tbl_MTG_Set[[#This Row],[Play Booster Sell Price CardMarket]]*tbl_MTG_Set[[#This Row],[Play Booster Expected Market Value BotBox]]/tbl_MTG_Set[[#This Row],[Play Booster Sealed Market Value BotBox]]</f>
        <v>#VALUE!</v>
      </c>
      <c r="BN1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0" s="10" t="e">
        <f>tbl_MTG_Set[[#This Row],[Play Singles CardMarket Profit BotBox]]/tbl_MTG_Set[[#This Row],[Play Booster Cost]]</f>
        <v>#VALUE!</v>
      </c>
      <c r="BP150" s="10" t="b">
        <f>tbl_MTG_Set[[#This Row],[Play Singles CardMarket Profit BotBox]]&gt;0</f>
        <v>0</v>
      </c>
      <c r="BQ150" s="10"/>
      <c r="BR150" s="10"/>
      <c r="BS150" s="10"/>
      <c r="BT1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0" s="19" t="e">
        <f>tbl_MTG_Set[[#This Row],[Collector Singles CardMarket Profit MTG Stocks]]/tbl_MTG_Set[[#This Row],[Collector Booster Cost]]</f>
        <v>#N/A</v>
      </c>
      <c r="BW150" s="10" t="b">
        <f>tbl_MTG_Set[[#This Row],[Collector Singles CardMarket Profit MTG Stocks]]&gt;0</f>
        <v>0</v>
      </c>
      <c r="BX150" s="10"/>
      <c r="BY150" s="10"/>
      <c r="BZ1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0" s="10" t="e">
        <f>tbl_MTG_Set[[#This Row],[Collector Singles CardMarket Profit BotBox]]/tbl_MTG_Set[[#This Row],[Collector Booster Cost]]</f>
        <v>#N/A</v>
      </c>
      <c r="CC150" s="10" t="b">
        <f>tbl_MTG_Set[[#This Row],[Collector Singles CardMarket Profit BotBox]]&gt;0</f>
        <v>0</v>
      </c>
      <c r="CD1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1" spans="1:86" hidden="1">
      <c r="A151">
        <v>167</v>
      </c>
      <c r="B151" t="s">
        <v>324</v>
      </c>
      <c r="C151">
        <v>25</v>
      </c>
      <c r="D151" s="3">
        <v>45125</v>
      </c>
      <c r="F151" t="s">
        <v>174</v>
      </c>
      <c r="G151">
        <v>280</v>
      </c>
      <c r="H151">
        <f ca="1">MONTH(NOW())+12*YEAR(NOW())-MONTH(tbl_MTG_Set[[#This Row],[Released On]])-12*YEAR(tbl_MTG_Set[[#This Row],[Released On]])</f>
        <v>32</v>
      </c>
      <c r="I151" t="str">
        <f>_xlfn.XLOOKUP(tbl_MTG_Set[[#This Row],[Type Name]], tbl_MTG_Set_Type[Set Type], tbl_MTG_Set_Type[Index], "(Set Type not found)")</f>
        <v>(Set Type not found)</v>
      </c>
      <c r="J151" t="str">
        <f>_xlfn.XLOOKUP(tbl_MTG_Set[[#This Row],[Type Name]], tbl_MTG_Set_Type[Set Type], tbl_MTG_Set_Type[Buy Window Month Start], "(Set Type not found)")</f>
        <v>(Set Type not found)</v>
      </c>
      <c r="K151" s="3" t="e">
        <f>tbl_MTG_Set[[#This Row],[Released On]]+tbl_MTG_Set[[#This Row],[Buy Window Month Start]]*365.25/12</f>
        <v>#VALUE!</v>
      </c>
      <c r="L151" t="str">
        <f>_xlfn.XLOOKUP(tbl_MTG_Set[[#This Row],[Type Name]], tbl_MTG_Set_Type[Set Type], tbl_MTG_Set_Type[Buy Window Month End], "(Set Type not found)", 0, 1)</f>
        <v>(Set Type not found)</v>
      </c>
      <c r="M151" s="3" t="e">
        <f>tbl_MTG_Set[[#This Row],[Released On]]+tbl_MTG_Set[[#This Row],[Buy Window Month End]]*365.25/12</f>
        <v>#VALUE!</v>
      </c>
      <c r="N151" s="3" t="e">
        <f ca="1">AND(NOW()&gt;=tbl_MTG_Set[[#This Row],[Buy Window Start]], NOW()&lt;=tbl_MTG_Set[[#This Row],[Buy Window End]])</f>
        <v>#VALUE!</v>
      </c>
      <c r="O151" t="str">
        <f>_xlfn.XLOOKUP(tbl_MTG_Set[[#This Row],[Type Name]], tbl_MTG_Set_Type[Set Type], tbl_MTG_Set_Type[Heavy Printing Window Month Start], "(Set Type not found)", 0, 1)</f>
        <v>(Set Type not found)</v>
      </c>
      <c r="P151" s="3" t="e">
        <f>tbl_MTG_Set[[#This Row],[Released On]]+tbl_MTG_Set[[#This Row],[Heavy Printing Window Month Start]]*365.25/12</f>
        <v>#VALUE!</v>
      </c>
      <c r="Q151" t="str">
        <f>_xlfn.XLOOKUP(tbl_MTG_Set[[#This Row],[Type Name]], tbl_MTG_Set_Type[Set Type], tbl_MTG_Set_Type[Heavy Printing Window Month End], "(Set Type not found)", 0, 1)</f>
        <v>(Set Type not found)</v>
      </c>
      <c r="R151" s="3" t="e">
        <f>tbl_MTG_Set[[#This Row],[Released On]]+tbl_MTG_Set[[#This Row],[Heavy Printing Window Month End]]*365.25/12</f>
        <v>#VALUE!</v>
      </c>
      <c r="S151" s="3" t="e">
        <f ca="1">AND(NOW()&gt;=tbl_MTG_Set[[#This Row],[Heavy Printing Window Start]], NOW()&lt;=tbl_MTG_Set[[#This Row],[Heavy Printing Window End]])</f>
        <v>#VALUE!</v>
      </c>
      <c r="T151" t="str">
        <f>_xlfn.XLOOKUP(tbl_MTG_Set[[#This Row],[Type Name]], tbl_MTG_Set_Type[Set Type], tbl_MTG_Set_Type[Sell Window Month Start], "(Set Type not found)", 0, 1)</f>
        <v>(Set Type not found)</v>
      </c>
      <c r="U151" s="3" t="e">
        <f>tbl_MTG_Set[[#This Row],[Released On]]+tbl_MTG_Set[[#This Row],[Sell Window Month Start]]*365.25/12</f>
        <v>#VALUE!</v>
      </c>
      <c r="V151" t="str">
        <f>_xlfn.XLOOKUP(tbl_MTG_Set[[#This Row],[Type Name]], tbl_MTG_Set_Type[Set Type], tbl_MTG_Set_Type[Sell Window Month End], "(Set Type not found)", 0, 1)</f>
        <v>(Set Type not found)</v>
      </c>
      <c r="W151" s="3" t="e">
        <f>tbl_MTG_Set[[#This Row],[Released On]]+tbl_MTG_Set[[#This Row],[Sell Window Month End]]*365.25/12</f>
        <v>#VALUE!</v>
      </c>
      <c r="X151" s="3" t="e">
        <f ca="1">AND(NOW()&gt;=tbl_MTG_Set[[#This Row],[Sell Window Start]], NOW()&lt;=tbl_MTG_Set[[#This Row],[Sell Window End]])</f>
        <v>#VALUE!</v>
      </c>
      <c r="AG151" s="10"/>
      <c r="AH151" s="10"/>
      <c r="AM151" s="10" t="str" cm="1">
        <f t="array" ref="AM1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1" s="10" t="str" cm="1">
        <f t="array" ref="AN1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1" s="4" t="e">
        <f>_xlfn.XLOOKUP(tbl_MTG_Set[[#This Row],[Play Booster Box Product Id]], tbl_Product[Product Id], tbl_Product[Pack Size])</f>
        <v>#N/A</v>
      </c>
      <c r="AP151" s="10" t="e">
        <f>(tbl_MTG_Set[[#This Row],[Play Booster Box Cost]]+v_Item_Shipping_Cost_In)/tbl_MTG_Set[[#This Row],[Play Booster Box Size]]</f>
        <v>#VALUE!</v>
      </c>
      <c r="AQ151" s="10" t="str" cm="1">
        <f t="array" ref="AQ1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1" s="10"/>
      <c r="AS151" s="10"/>
      <c r="AT151" s="17" t="e">
        <f>tbl_MTG_Set[[#This Row],[Play Booster CardMarket Profit]]/tbl_MTG_Set[[#This Row],[Play Booster Cost]]</f>
        <v>#VALUE!</v>
      </c>
      <c r="AU151" s="10" t="e">
        <f>_xlfn.XLOOKUP(tbl_MTG_Set[[#This Row],[Collector Booster Box Product Id]], tbl_Product[Product Id], tbl_Product[Min Cost])</f>
        <v>#N/A</v>
      </c>
      <c r="AV151" s="10" t="e">
        <f>_xlfn.XLOOKUP(tbl_MTG_Set[[#This Row],[Collector Booster Box Product Id]], tbl_Product[Product Id], tbl_Product[Best Source])</f>
        <v>#N/A</v>
      </c>
      <c r="AW151" s="4" t="e">
        <f>_xlfn.XLOOKUP(tbl_MTG_Set[[#This Row],[Collector Booster Box Product Id]], tbl_Product[Product Id], tbl_Product[Pack Size])</f>
        <v>#N/A</v>
      </c>
      <c r="AX151" s="10" t="e">
        <f>(tbl_MTG_Set[[#This Row],[Collector Booster Box Cost]] + v_Item_Shipping_Cost_In) / tbl_MTG_Set[[#This Row],[Collector Booster Box Size]]</f>
        <v>#N/A</v>
      </c>
      <c r="AY151" s="10" t="str" cm="1">
        <f t="array" ref="AY1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1" s="10"/>
      <c r="BA1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1" s="17" t="e">
        <f>tbl_MTG_Set[[#This Row],[Collector Booster CardMarket Profit]]/tbl_MTG_Set[[#This Row],[Collector Booster Cost]]</f>
        <v>#N/A</v>
      </c>
      <c r="BC151" s="10"/>
      <c r="BF1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1" s="11" t="e">
        <f>tbl_MTG_Set[[#This Row],[Play Singles CardMarket Profit MTG Stocks]]/tbl_MTG_Set[[#This Row],[Play Booster Cost]]</f>
        <v>#VALUE!</v>
      </c>
      <c r="BI151" s="11" t="b">
        <f>tbl_MTG_Set[[#This Row],[Play Singles CardMarket Profit MTG Stocks]]&gt;0</f>
        <v>0</v>
      </c>
      <c r="BM151" s="10" t="e">
        <f>tbl_MTG_Set[[#This Row],[Play Booster Sell Price CardMarket]]*tbl_MTG_Set[[#This Row],[Play Booster Expected Market Value BotBox]]/tbl_MTG_Set[[#This Row],[Play Booster Sealed Market Value BotBox]]</f>
        <v>#VALUE!</v>
      </c>
      <c r="BN1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1" s="10" t="e">
        <f>tbl_MTG_Set[[#This Row],[Play Singles CardMarket Profit BotBox]]/tbl_MTG_Set[[#This Row],[Play Booster Cost]]</f>
        <v>#VALUE!</v>
      </c>
      <c r="BP151" s="10" t="b">
        <f>tbl_MTG_Set[[#This Row],[Play Singles CardMarket Profit BotBox]]&gt;0</f>
        <v>0</v>
      </c>
      <c r="BQ151" s="10"/>
      <c r="BR151" s="10"/>
      <c r="BS151" s="10"/>
      <c r="BT1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1" s="19" t="e">
        <f>tbl_MTG_Set[[#This Row],[Collector Singles CardMarket Profit MTG Stocks]]/tbl_MTG_Set[[#This Row],[Collector Booster Cost]]</f>
        <v>#N/A</v>
      </c>
      <c r="BW151" s="10" t="b">
        <f>tbl_MTG_Set[[#This Row],[Collector Singles CardMarket Profit MTG Stocks]]&gt;0</f>
        <v>0</v>
      </c>
      <c r="BX151" s="10"/>
      <c r="BY151" s="10"/>
      <c r="BZ1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1" s="10" t="e">
        <f>tbl_MTG_Set[[#This Row],[Collector Singles CardMarket Profit BotBox]]/tbl_MTG_Set[[#This Row],[Collector Booster Cost]]</f>
        <v>#N/A</v>
      </c>
      <c r="CC151" s="10" t="b">
        <f>tbl_MTG_Set[[#This Row],[Collector Singles CardMarket Profit BotBox]]&gt;0</f>
        <v>0</v>
      </c>
      <c r="CD1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2" spans="1:86" hidden="1">
      <c r="A152">
        <v>168</v>
      </c>
      <c r="B152" t="s">
        <v>325</v>
      </c>
      <c r="C152">
        <v>25</v>
      </c>
      <c r="D152" s="3">
        <v>45125</v>
      </c>
      <c r="F152" t="s">
        <v>174</v>
      </c>
      <c r="G152">
        <v>282</v>
      </c>
      <c r="H152">
        <f ca="1">MONTH(NOW())+12*YEAR(NOW())-MONTH(tbl_MTG_Set[[#This Row],[Released On]])-12*YEAR(tbl_MTG_Set[[#This Row],[Released On]])</f>
        <v>32</v>
      </c>
      <c r="I152" t="str">
        <f>_xlfn.XLOOKUP(tbl_MTG_Set[[#This Row],[Type Name]], tbl_MTG_Set_Type[Set Type], tbl_MTG_Set_Type[Index], "(Set Type not found)")</f>
        <v>(Set Type not found)</v>
      </c>
      <c r="J152" t="str">
        <f>_xlfn.XLOOKUP(tbl_MTG_Set[[#This Row],[Type Name]], tbl_MTG_Set_Type[Set Type], tbl_MTG_Set_Type[Buy Window Month Start], "(Set Type not found)")</f>
        <v>(Set Type not found)</v>
      </c>
      <c r="K152" s="3" t="e">
        <f>tbl_MTG_Set[[#This Row],[Released On]]+tbl_MTG_Set[[#This Row],[Buy Window Month Start]]*365.25/12</f>
        <v>#VALUE!</v>
      </c>
      <c r="L152" t="str">
        <f>_xlfn.XLOOKUP(tbl_MTG_Set[[#This Row],[Type Name]], tbl_MTG_Set_Type[Set Type], tbl_MTG_Set_Type[Buy Window Month End], "(Set Type not found)", 0, 1)</f>
        <v>(Set Type not found)</v>
      </c>
      <c r="M152" s="3" t="e">
        <f>tbl_MTG_Set[[#This Row],[Released On]]+tbl_MTG_Set[[#This Row],[Buy Window Month End]]*365.25/12</f>
        <v>#VALUE!</v>
      </c>
      <c r="N152" s="3" t="e">
        <f ca="1">AND(NOW()&gt;=tbl_MTG_Set[[#This Row],[Buy Window Start]], NOW()&lt;=tbl_MTG_Set[[#This Row],[Buy Window End]])</f>
        <v>#VALUE!</v>
      </c>
      <c r="O152" t="str">
        <f>_xlfn.XLOOKUP(tbl_MTG_Set[[#This Row],[Type Name]], tbl_MTG_Set_Type[Set Type], tbl_MTG_Set_Type[Heavy Printing Window Month Start], "(Set Type not found)", 0, 1)</f>
        <v>(Set Type not found)</v>
      </c>
      <c r="P152" s="3" t="e">
        <f>tbl_MTG_Set[[#This Row],[Released On]]+tbl_MTG_Set[[#This Row],[Heavy Printing Window Month Start]]*365.25/12</f>
        <v>#VALUE!</v>
      </c>
      <c r="Q152" t="str">
        <f>_xlfn.XLOOKUP(tbl_MTG_Set[[#This Row],[Type Name]], tbl_MTG_Set_Type[Set Type], tbl_MTG_Set_Type[Heavy Printing Window Month End], "(Set Type not found)", 0, 1)</f>
        <v>(Set Type not found)</v>
      </c>
      <c r="R152" s="3" t="e">
        <f>tbl_MTG_Set[[#This Row],[Released On]]+tbl_MTG_Set[[#This Row],[Heavy Printing Window Month End]]*365.25/12</f>
        <v>#VALUE!</v>
      </c>
      <c r="S152" s="3" t="e">
        <f ca="1">AND(NOW()&gt;=tbl_MTG_Set[[#This Row],[Heavy Printing Window Start]], NOW()&lt;=tbl_MTG_Set[[#This Row],[Heavy Printing Window End]])</f>
        <v>#VALUE!</v>
      </c>
      <c r="T152" t="str">
        <f>_xlfn.XLOOKUP(tbl_MTG_Set[[#This Row],[Type Name]], tbl_MTG_Set_Type[Set Type], tbl_MTG_Set_Type[Sell Window Month Start], "(Set Type not found)", 0, 1)</f>
        <v>(Set Type not found)</v>
      </c>
      <c r="U152" s="3" t="e">
        <f>tbl_MTG_Set[[#This Row],[Released On]]+tbl_MTG_Set[[#This Row],[Sell Window Month Start]]*365.25/12</f>
        <v>#VALUE!</v>
      </c>
      <c r="V152" t="str">
        <f>_xlfn.XLOOKUP(tbl_MTG_Set[[#This Row],[Type Name]], tbl_MTG_Set_Type[Set Type], tbl_MTG_Set_Type[Sell Window Month End], "(Set Type not found)", 0, 1)</f>
        <v>(Set Type not found)</v>
      </c>
      <c r="W152" s="3" t="e">
        <f>tbl_MTG_Set[[#This Row],[Released On]]+tbl_MTG_Set[[#This Row],[Sell Window Month End]]*365.25/12</f>
        <v>#VALUE!</v>
      </c>
      <c r="X152" s="3" t="e">
        <f ca="1">AND(NOW()&gt;=tbl_MTG_Set[[#This Row],[Sell Window Start]], NOW()&lt;=tbl_MTG_Set[[#This Row],[Sell Window End]])</f>
        <v>#VALUE!</v>
      </c>
      <c r="AG152" s="10"/>
      <c r="AH152" s="10"/>
      <c r="AM152" s="10" t="str" cm="1">
        <f t="array" ref="AM1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2" s="10" t="str" cm="1">
        <f t="array" ref="AN1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2" s="4" t="e">
        <f>_xlfn.XLOOKUP(tbl_MTG_Set[[#This Row],[Play Booster Box Product Id]], tbl_Product[Product Id], tbl_Product[Pack Size])</f>
        <v>#N/A</v>
      </c>
      <c r="AP152" s="10" t="e">
        <f>(tbl_MTG_Set[[#This Row],[Play Booster Box Cost]]+v_Item_Shipping_Cost_In)/tbl_MTG_Set[[#This Row],[Play Booster Box Size]]</f>
        <v>#VALUE!</v>
      </c>
      <c r="AQ152" s="10" t="str" cm="1">
        <f t="array" ref="AQ1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2" s="10"/>
      <c r="AS152" s="10"/>
      <c r="AT152" s="17" t="e">
        <f>tbl_MTG_Set[[#This Row],[Play Booster CardMarket Profit]]/tbl_MTG_Set[[#This Row],[Play Booster Cost]]</f>
        <v>#VALUE!</v>
      </c>
      <c r="AU152" s="10" t="e">
        <f>_xlfn.XLOOKUP(tbl_MTG_Set[[#This Row],[Collector Booster Box Product Id]], tbl_Product[Product Id], tbl_Product[Min Cost])</f>
        <v>#N/A</v>
      </c>
      <c r="AV152" s="10" t="e">
        <f>_xlfn.XLOOKUP(tbl_MTG_Set[[#This Row],[Collector Booster Box Product Id]], tbl_Product[Product Id], tbl_Product[Best Source])</f>
        <v>#N/A</v>
      </c>
      <c r="AW152" s="4" t="e">
        <f>_xlfn.XLOOKUP(tbl_MTG_Set[[#This Row],[Collector Booster Box Product Id]], tbl_Product[Product Id], tbl_Product[Pack Size])</f>
        <v>#N/A</v>
      </c>
      <c r="AX152" s="10" t="e">
        <f>(tbl_MTG_Set[[#This Row],[Collector Booster Box Cost]] + v_Item_Shipping_Cost_In) / tbl_MTG_Set[[#This Row],[Collector Booster Box Size]]</f>
        <v>#N/A</v>
      </c>
      <c r="AY152" s="10" t="str" cm="1">
        <f t="array" ref="AY1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2" s="10"/>
      <c r="BA1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2" s="17" t="e">
        <f>tbl_MTG_Set[[#This Row],[Collector Booster CardMarket Profit]]/tbl_MTG_Set[[#This Row],[Collector Booster Cost]]</f>
        <v>#N/A</v>
      </c>
      <c r="BC152" s="10"/>
      <c r="BF1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2" s="11" t="e">
        <f>tbl_MTG_Set[[#This Row],[Play Singles CardMarket Profit MTG Stocks]]/tbl_MTG_Set[[#This Row],[Play Booster Cost]]</f>
        <v>#VALUE!</v>
      </c>
      <c r="BI152" s="11" t="b">
        <f>tbl_MTG_Set[[#This Row],[Play Singles CardMarket Profit MTG Stocks]]&gt;0</f>
        <v>0</v>
      </c>
      <c r="BM152" s="10" t="e">
        <f>tbl_MTG_Set[[#This Row],[Play Booster Sell Price CardMarket]]*tbl_MTG_Set[[#This Row],[Play Booster Expected Market Value BotBox]]/tbl_MTG_Set[[#This Row],[Play Booster Sealed Market Value BotBox]]</f>
        <v>#VALUE!</v>
      </c>
      <c r="BN1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2" s="10" t="e">
        <f>tbl_MTG_Set[[#This Row],[Play Singles CardMarket Profit BotBox]]/tbl_MTG_Set[[#This Row],[Play Booster Cost]]</f>
        <v>#VALUE!</v>
      </c>
      <c r="BP152" s="10" t="b">
        <f>tbl_MTG_Set[[#This Row],[Play Singles CardMarket Profit BotBox]]&gt;0</f>
        <v>0</v>
      </c>
      <c r="BQ152" s="10"/>
      <c r="BR152" s="10"/>
      <c r="BS152" s="10"/>
      <c r="BT1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2" s="19" t="e">
        <f>tbl_MTG_Set[[#This Row],[Collector Singles CardMarket Profit MTG Stocks]]/tbl_MTG_Set[[#This Row],[Collector Booster Cost]]</f>
        <v>#N/A</v>
      </c>
      <c r="BW152" s="10" t="b">
        <f>tbl_MTG_Set[[#This Row],[Collector Singles CardMarket Profit MTG Stocks]]&gt;0</f>
        <v>0</v>
      </c>
      <c r="BX152" s="10"/>
      <c r="BY152" s="10"/>
      <c r="BZ1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2" s="10" t="e">
        <f>tbl_MTG_Set[[#This Row],[Collector Singles CardMarket Profit BotBox]]/tbl_MTG_Set[[#This Row],[Collector Booster Cost]]</f>
        <v>#N/A</v>
      </c>
      <c r="CC152" s="10" t="b">
        <f>tbl_MTG_Set[[#This Row],[Collector Singles CardMarket Profit BotBox]]&gt;0</f>
        <v>0</v>
      </c>
      <c r="CD1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3" spans="1:86" hidden="1">
      <c r="A153">
        <v>169</v>
      </c>
      <c r="B153" t="s">
        <v>326</v>
      </c>
      <c r="C153">
        <v>4</v>
      </c>
      <c r="D153" s="3">
        <v>45108</v>
      </c>
      <c r="F153" t="s">
        <v>174</v>
      </c>
      <c r="G153">
        <v>284</v>
      </c>
      <c r="H153">
        <f ca="1">MONTH(NOW())+12*YEAR(NOW())-MONTH(tbl_MTG_Set[[#This Row],[Released On]])-12*YEAR(tbl_MTG_Set[[#This Row],[Released On]])</f>
        <v>32</v>
      </c>
      <c r="I153" t="str">
        <f>_xlfn.XLOOKUP(tbl_MTG_Set[[#This Row],[Type Name]], tbl_MTG_Set_Type[Set Type], tbl_MTG_Set_Type[Index], "(Set Type not found)")</f>
        <v>(Set Type not found)</v>
      </c>
      <c r="J153" t="str">
        <f>_xlfn.XLOOKUP(tbl_MTG_Set[[#This Row],[Type Name]], tbl_MTG_Set_Type[Set Type], tbl_MTG_Set_Type[Buy Window Month Start], "(Set Type not found)")</f>
        <v>(Set Type not found)</v>
      </c>
      <c r="K153" s="3" t="e">
        <f>tbl_MTG_Set[[#This Row],[Released On]]+tbl_MTG_Set[[#This Row],[Buy Window Month Start]]*365.25/12</f>
        <v>#VALUE!</v>
      </c>
      <c r="L153" t="str">
        <f>_xlfn.XLOOKUP(tbl_MTG_Set[[#This Row],[Type Name]], tbl_MTG_Set_Type[Set Type], tbl_MTG_Set_Type[Buy Window Month End], "(Set Type not found)", 0, 1)</f>
        <v>(Set Type not found)</v>
      </c>
      <c r="M153" s="3" t="e">
        <f>tbl_MTG_Set[[#This Row],[Released On]]+tbl_MTG_Set[[#This Row],[Buy Window Month End]]*365.25/12</f>
        <v>#VALUE!</v>
      </c>
      <c r="N153" s="3" t="e">
        <f ca="1">AND(NOW()&gt;=tbl_MTG_Set[[#This Row],[Buy Window Start]], NOW()&lt;=tbl_MTG_Set[[#This Row],[Buy Window End]])</f>
        <v>#VALUE!</v>
      </c>
      <c r="O153" t="str">
        <f>_xlfn.XLOOKUP(tbl_MTG_Set[[#This Row],[Type Name]], tbl_MTG_Set_Type[Set Type], tbl_MTG_Set_Type[Heavy Printing Window Month Start], "(Set Type not found)", 0, 1)</f>
        <v>(Set Type not found)</v>
      </c>
      <c r="P153" s="3" t="e">
        <f>tbl_MTG_Set[[#This Row],[Released On]]+tbl_MTG_Set[[#This Row],[Heavy Printing Window Month Start]]*365.25/12</f>
        <v>#VALUE!</v>
      </c>
      <c r="Q153" t="str">
        <f>_xlfn.XLOOKUP(tbl_MTG_Set[[#This Row],[Type Name]], tbl_MTG_Set_Type[Set Type], tbl_MTG_Set_Type[Heavy Printing Window Month End], "(Set Type not found)", 0, 1)</f>
        <v>(Set Type not found)</v>
      </c>
      <c r="R153" s="3" t="e">
        <f>tbl_MTG_Set[[#This Row],[Released On]]+tbl_MTG_Set[[#This Row],[Heavy Printing Window Month End]]*365.25/12</f>
        <v>#VALUE!</v>
      </c>
      <c r="S153" s="3" t="e">
        <f ca="1">AND(NOW()&gt;=tbl_MTG_Set[[#This Row],[Heavy Printing Window Start]], NOW()&lt;=tbl_MTG_Set[[#This Row],[Heavy Printing Window End]])</f>
        <v>#VALUE!</v>
      </c>
      <c r="T153" t="str">
        <f>_xlfn.XLOOKUP(tbl_MTG_Set[[#This Row],[Type Name]], tbl_MTG_Set_Type[Set Type], tbl_MTG_Set_Type[Sell Window Month Start], "(Set Type not found)", 0, 1)</f>
        <v>(Set Type not found)</v>
      </c>
      <c r="U153" s="3" t="e">
        <f>tbl_MTG_Set[[#This Row],[Released On]]+tbl_MTG_Set[[#This Row],[Sell Window Month Start]]*365.25/12</f>
        <v>#VALUE!</v>
      </c>
      <c r="V153" t="str">
        <f>_xlfn.XLOOKUP(tbl_MTG_Set[[#This Row],[Type Name]], tbl_MTG_Set_Type[Set Type], tbl_MTG_Set_Type[Sell Window Month End], "(Set Type not found)", 0, 1)</f>
        <v>(Set Type not found)</v>
      </c>
      <c r="W153" s="3" t="e">
        <f>tbl_MTG_Set[[#This Row],[Released On]]+tbl_MTG_Set[[#This Row],[Sell Window Month End]]*365.25/12</f>
        <v>#VALUE!</v>
      </c>
      <c r="X153" s="3" t="e">
        <f ca="1">AND(NOW()&gt;=tbl_MTG_Set[[#This Row],[Sell Window Start]], NOW()&lt;=tbl_MTG_Set[[#This Row],[Sell Window End]])</f>
        <v>#VALUE!</v>
      </c>
      <c r="AG153" s="10"/>
      <c r="AH153" s="10"/>
      <c r="AM153" s="10" t="str" cm="1">
        <f t="array" ref="AM1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3" s="10" t="str" cm="1">
        <f t="array" ref="AN1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3" s="4" t="e">
        <f>_xlfn.XLOOKUP(tbl_MTG_Set[[#This Row],[Play Booster Box Product Id]], tbl_Product[Product Id], tbl_Product[Pack Size])</f>
        <v>#N/A</v>
      </c>
      <c r="AP153" s="10" t="e">
        <f>(tbl_MTG_Set[[#This Row],[Play Booster Box Cost]]+v_Item_Shipping_Cost_In)/tbl_MTG_Set[[#This Row],[Play Booster Box Size]]</f>
        <v>#VALUE!</v>
      </c>
      <c r="AQ153" s="10" t="str" cm="1">
        <f t="array" ref="AQ1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3" s="10"/>
      <c r="AS153" s="10"/>
      <c r="AT153" s="17" t="e">
        <f>tbl_MTG_Set[[#This Row],[Play Booster CardMarket Profit]]/tbl_MTG_Set[[#This Row],[Play Booster Cost]]</f>
        <v>#VALUE!</v>
      </c>
      <c r="AU153" s="10" t="e">
        <f>_xlfn.XLOOKUP(tbl_MTG_Set[[#This Row],[Collector Booster Box Product Id]], tbl_Product[Product Id], tbl_Product[Min Cost])</f>
        <v>#N/A</v>
      </c>
      <c r="AV153" s="10" t="e">
        <f>_xlfn.XLOOKUP(tbl_MTG_Set[[#This Row],[Collector Booster Box Product Id]], tbl_Product[Product Id], tbl_Product[Best Source])</f>
        <v>#N/A</v>
      </c>
      <c r="AW153" s="4" t="e">
        <f>_xlfn.XLOOKUP(tbl_MTG_Set[[#This Row],[Collector Booster Box Product Id]], tbl_Product[Product Id], tbl_Product[Pack Size])</f>
        <v>#N/A</v>
      </c>
      <c r="AX153" s="10" t="e">
        <f>(tbl_MTG_Set[[#This Row],[Collector Booster Box Cost]] + v_Item_Shipping_Cost_In) / tbl_MTG_Set[[#This Row],[Collector Booster Box Size]]</f>
        <v>#N/A</v>
      </c>
      <c r="AY153" s="10" t="str" cm="1">
        <f t="array" ref="AY1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3" s="10"/>
      <c r="BA1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3" s="17" t="e">
        <f>tbl_MTG_Set[[#This Row],[Collector Booster CardMarket Profit]]/tbl_MTG_Set[[#This Row],[Collector Booster Cost]]</f>
        <v>#N/A</v>
      </c>
      <c r="BC153" s="10"/>
      <c r="BF1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3" s="11" t="e">
        <f>tbl_MTG_Set[[#This Row],[Play Singles CardMarket Profit MTG Stocks]]/tbl_MTG_Set[[#This Row],[Play Booster Cost]]</f>
        <v>#VALUE!</v>
      </c>
      <c r="BI153" s="11" t="b">
        <f>tbl_MTG_Set[[#This Row],[Play Singles CardMarket Profit MTG Stocks]]&gt;0</f>
        <v>0</v>
      </c>
      <c r="BM153" s="10" t="e">
        <f>tbl_MTG_Set[[#This Row],[Play Booster Sell Price CardMarket]]*tbl_MTG_Set[[#This Row],[Play Booster Expected Market Value BotBox]]/tbl_MTG_Set[[#This Row],[Play Booster Sealed Market Value BotBox]]</f>
        <v>#VALUE!</v>
      </c>
      <c r="BN1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3" s="10" t="e">
        <f>tbl_MTG_Set[[#This Row],[Play Singles CardMarket Profit BotBox]]/tbl_MTG_Set[[#This Row],[Play Booster Cost]]</f>
        <v>#VALUE!</v>
      </c>
      <c r="BP153" s="10" t="b">
        <f>tbl_MTG_Set[[#This Row],[Play Singles CardMarket Profit BotBox]]&gt;0</f>
        <v>0</v>
      </c>
      <c r="BQ153" s="10"/>
      <c r="BR153" s="10"/>
      <c r="BS153" s="10"/>
      <c r="BT1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3" s="19" t="e">
        <f>tbl_MTG_Set[[#This Row],[Collector Singles CardMarket Profit MTG Stocks]]/tbl_MTG_Set[[#This Row],[Collector Booster Cost]]</f>
        <v>#N/A</v>
      </c>
      <c r="BW153" s="10" t="b">
        <f>tbl_MTG_Set[[#This Row],[Collector Singles CardMarket Profit MTG Stocks]]&gt;0</f>
        <v>0</v>
      </c>
      <c r="BX153" s="10"/>
      <c r="BY153" s="10"/>
      <c r="BZ1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3" s="10" t="e">
        <f>tbl_MTG_Set[[#This Row],[Collector Singles CardMarket Profit BotBox]]/tbl_MTG_Set[[#This Row],[Collector Booster Cost]]</f>
        <v>#N/A</v>
      </c>
      <c r="CC153" s="10" t="b">
        <f>tbl_MTG_Set[[#This Row],[Collector Singles CardMarket Profit BotBox]]&gt;0</f>
        <v>0</v>
      </c>
      <c r="CD1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4" spans="1:86" hidden="1">
      <c r="A154">
        <v>171</v>
      </c>
      <c r="B154" t="s">
        <v>327</v>
      </c>
      <c r="C154">
        <v>86</v>
      </c>
      <c r="D154" s="3">
        <v>45100</v>
      </c>
      <c r="E154" t="s">
        <v>86</v>
      </c>
      <c r="F154" t="s">
        <v>174</v>
      </c>
      <c r="G154">
        <v>288</v>
      </c>
      <c r="H154">
        <f ca="1">MONTH(NOW())+12*YEAR(NOW())-MONTH(tbl_MTG_Set[[#This Row],[Released On]])-12*YEAR(tbl_MTG_Set[[#This Row],[Released On]])</f>
        <v>33</v>
      </c>
      <c r="I154">
        <f>_xlfn.XLOOKUP(tbl_MTG_Set[[#This Row],[Type Name]], tbl_MTG_Set_Type[Set Type], tbl_MTG_Set_Type[Index], "(Set Type not found)")</f>
        <v>6</v>
      </c>
      <c r="J154">
        <f>_xlfn.XLOOKUP(tbl_MTG_Set[[#This Row],[Type Name]], tbl_MTG_Set_Type[Set Type], tbl_MTG_Set_Type[Buy Window Month Start], "(Set Type not found)")</f>
        <v>3</v>
      </c>
      <c r="K154" s="3">
        <f>tbl_MTG_Set[[#This Row],[Released On]]+tbl_MTG_Set[[#This Row],[Buy Window Month Start]]*365.25/12</f>
        <v>45191.3125</v>
      </c>
      <c r="L154">
        <f>_xlfn.XLOOKUP(tbl_MTG_Set[[#This Row],[Type Name]], tbl_MTG_Set_Type[Set Type], tbl_MTG_Set_Type[Buy Window Month End], "(Set Type not found)", 0, 1)</f>
        <v>6</v>
      </c>
      <c r="M154" s="3">
        <f>tbl_MTG_Set[[#This Row],[Released On]]+tbl_MTG_Set[[#This Row],[Buy Window Month End]]*365.25/12</f>
        <v>45282.625</v>
      </c>
      <c r="N154" s="3" t="b">
        <f ca="1">AND(NOW()&gt;=tbl_MTG_Set[[#This Row],[Buy Window Start]], NOW()&lt;=tbl_MTG_Set[[#This Row],[Buy Window End]])</f>
        <v>0</v>
      </c>
      <c r="O154">
        <f>_xlfn.XLOOKUP(tbl_MTG_Set[[#This Row],[Type Name]], tbl_MTG_Set_Type[Set Type], tbl_MTG_Set_Type[Heavy Printing Window Month Start], "(Set Type not found)", 0, 1)</f>
        <v>0</v>
      </c>
      <c r="P154" s="3">
        <f>tbl_MTG_Set[[#This Row],[Released On]]+tbl_MTG_Set[[#This Row],[Heavy Printing Window Month Start]]*365.25/12</f>
        <v>45100</v>
      </c>
      <c r="Q154">
        <f>_xlfn.XLOOKUP(tbl_MTG_Set[[#This Row],[Type Name]], tbl_MTG_Set_Type[Set Type], tbl_MTG_Set_Type[Heavy Printing Window Month End], "(Set Type not found)", 0, 1)</f>
        <v>0</v>
      </c>
      <c r="R154" s="3">
        <f>tbl_MTG_Set[[#This Row],[Released On]]+tbl_MTG_Set[[#This Row],[Heavy Printing Window Month End]]*365.25/12</f>
        <v>45100</v>
      </c>
      <c r="S154" s="3" t="b">
        <f ca="1">AND(NOW()&gt;=tbl_MTG_Set[[#This Row],[Heavy Printing Window Start]], NOW()&lt;=tbl_MTG_Set[[#This Row],[Heavy Printing Window End]])</f>
        <v>0</v>
      </c>
      <c r="T154">
        <f>_xlfn.XLOOKUP(tbl_MTG_Set[[#This Row],[Type Name]], tbl_MTG_Set_Type[Set Type], tbl_MTG_Set_Type[Sell Window Month Start], "(Set Type not found)", 0, 1)</f>
        <v>0</v>
      </c>
      <c r="U154" s="3">
        <f>tbl_MTG_Set[[#This Row],[Released On]]+tbl_MTG_Set[[#This Row],[Sell Window Month Start]]*365.25/12</f>
        <v>45100</v>
      </c>
      <c r="V154">
        <f>_xlfn.XLOOKUP(tbl_MTG_Set[[#This Row],[Type Name]], tbl_MTG_Set_Type[Set Type], tbl_MTG_Set_Type[Sell Window Month End], "(Set Type not found)", 0, 1)</f>
        <v>0</v>
      </c>
      <c r="W154" s="3">
        <f>tbl_MTG_Set[[#This Row],[Released On]]+tbl_MTG_Set[[#This Row],[Sell Window Month End]]*365.25/12</f>
        <v>45100</v>
      </c>
      <c r="X154" s="3" t="b">
        <f ca="1">AND(NOW()&gt;=tbl_MTG_Set[[#This Row],[Sell Window Start]], NOW()&lt;=tbl_MTG_Set[[#This Row],[Sell Window End]])</f>
        <v>0</v>
      </c>
      <c r="AG154" s="10"/>
      <c r="AH154" s="10"/>
      <c r="AM154" s="10" t="str" cm="1">
        <f t="array" ref="AM1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4" s="10" t="str" cm="1">
        <f t="array" ref="AN1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4" s="4" t="e">
        <f>_xlfn.XLOOKUP(tbl_MTG_Set[[#This Row],[Play Booster Box Product Id]], tbl_Product[Product Id], tbl_Product[Pack Size])</f>
        <v>#N/A</v>
      </c>
      <c r="AP154" s="10" t="e">
        <f>(tbl_MTG_Set[[#This Row],[Play Booster Box Cost]]+v_Item_Shipping_Cost_In)/tbl_MTG_Set[[#This Row],[Play Booster Box Size]]</f>
        <v>#VALUE!</v>
      </c>
      <c r="AQ154" s="10" t="str" cm="1">
        <f t="array" ref="AQ1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4" s="10"/>
      <c r="AS154" s="10"/>
      <c r="AT154" s="17" t="e">
        <f>tbl_MTG_Set[[#This Row],[Play Booster CardMarket Profit]]/tbl_MTG_Set[[#This Row],[Play Booster Cost]]</f>
        <v>#VALUE!</v>
      </c>
      <c r="AU154" s="10" t="e">
        <f>_xlfn.XLOOKUP(tbl_MTG_Set[[#This Row],[Collector Booster Box Product Id]], tbl_Product[Product Id], tbl_Product[Min Cost])</f>
        <v>#N/A</v>
      </c>
      <c r="AV154" s="10" t="e">
        <f>_xlfn.XLOOKUP(tbl_MTG_Set[[#This Row],[Collector Booster Box Product Id]], tbl_Product[Product Id], tbl_Product[Best Source])</f>
        <v>#N/A</v>
      </c>
      <c r="AW154" s="4" t="e">
        <f>_xlfn.XLOOKUP(tbl_MTG_Set[[#This Row],[Collector Booster Box Product Id]], tbl_Product[Product Id], tbl_Product[Pack Size])</f>
        <v>#N/A</v>
      </c>
      <c r="AX154" s="10" t="e">
        <f>(tbl_MTG_Set[[#This Row],[Collector Booster Box Cost]] + v_Item_Shipping_Cost_In) / tbl_MTG_Set[[#This Row],[Collector Booster Box Size]]</f>
        <v>#N/A</v>
      </c>
      <c r="AY154" s="10" t="str" cm="1">
        <f t="array" ref="AY1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4" s="10"/>
      <c r="BA1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4" s="17" t="e">
        <f>tbl_MTG_Set[[#This Row],[Collector Booster CardMarket Profit]]/tbl_MTG_Set[[#This Row],[Collector Booster Cost]]</f>
        <v>#N/A</v>
      </c>
      <c r="BC154" s="10"/>
      <c r="BF1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4" s="11" t="e">
        <f>tbl_MTG_Set[[#This Row],[Play Singles CardMarket Profit MTG Stocks]]/tbl_MTG_Set[[#This Row],[Play Booster Cost]]</f>
        <v>#VALUE!</v>
      </c>
      <c r="BI154" s="11" t="b">
        <f>tbl_MTG_Set[[#This Row],[Play Singles CardMarket Profit MTG Stocks]]&gt;0</f>
        <v>0</v>
      </c>
      <c r="BM154" s="10" t="e">
        <f>tbl_MTG_Set[[#This Row],[Play Booster Sell Price CardMarket]]*tbl_MTG_Set[[#This Row],[Play Booster Expected Market Value BotBox]]/tbl_MTG_Set[[#This Row],[Play Booster Sealed Market Value BotBox]]</f>
        <v>#VALUE!</v>
      </c>
      <c r="BN1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4" s="10" t="e">
        <f>tbl_MTG_Set[[#This Row],[Play Singles CardMarket Profit BotBox]]/tbl_MTG_Set[[#This Row],[Play Booster Cost]]</f>
        <v>#VALUE!</v>
      </c>
      <c r="BP154" s="10" t="b">
        <f>tbl_MTG_Set[[#This Row],[Play Singles CardMarket Profit BotBox]]&gt;0</f>
        <v>0</v>
      </c>
      <c r="BQ154" s="10"/>
      <c r="BR154" s="10"/>
      <c r="BS154" s="10"/>
      <c r="BT1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4" s="19" t="e">
        <f>tbl_MTG_Set[[#This Row],[Collector Singles CardMarket Profit MTG Stocks]]/tbl_MTG_Set[[#This Row],[Collector Booster Cost]]</f>
        <v>#N/A</v>
      </c>
      <c r="BW154" s="10" t="b">
        <f>tbl_MTG_Set[[#This Row],[Collector Singles CardMarket Profit MTG Stocks]]&gt;0</f>
        <v>0</v>
      </c>
      <c r="BX154" s="10"/>
      <c r="BY154" s="10"/>
      <c r="BZ1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4" s="10" t="e">
        <f>tbl_MTG_Set[[#This Row],[Collector Singles CardMarket Profit BotBox]]/tbl_MTG_Set[[#This Row],[Collector Booster Cost]]</f>
        <v>#N/A</v>
      </c>
      <c r="CC154" s="10" t="b">
        <f>tbl_MTG_Set[[#This Row],[Collector Singles CardMarket Profit BotBox]]&gt;0</f>
        <v>0</v>
      </c>
      <c r="CD1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5" spans="1:86" hidden="1">
      <c r="A155">
        <v>172</v>
      </c>
      <c r="B155" t="s">
        <v>328</v>
      </c>
      <c r="C155">
        <v>25</v>
      </c>
      <c r="D155" s="3">
        <v>45100</v>
      </c>
      <c r="E155" t="s">
        <v>86</v>
      </c>
      <c r="F155" t="s">
        <v>174</v>
      </c>
      <c r="G155">
        <v>290</v>
      </c>
      <c r="H155">
        <f ca="1">MONTH(NOW())+12*YEAR(NOW())-MONTH(tbl_MTG_Set[[#This Row],[Released On]])-12*YEAR(tbl_MTG_Set[[#This Row],[Released On]])</f>
        <v>33</v>
      </c>
      <c r="I155">
        <f>_xlfn.XLOOKUP(tbl_MTG_Set[[#This Row],[Type Name]], tbl_MTG_Set_Type[Set Type], tbl_MTG_Set_Type[Index], "(Set Type not found)")</f>
        <v>6</v>
      </c>
      <c r="J155">
        <f>_xlfn.XLOOKUP(tbl_MTG_Set[[#This Row],[Type Name]], tbl_MTG_Set_Type[Set Type], tbl_MTG_Set_Type[Buy Window Month Start], "(Set Type not found)")</f>
        <v>3</v>
      </c>
      <c r="K155" s="3">
        <f>tbl_MTG_Set[[#This Row],[Released On]]+tbl_MTG_Set[[#This Row],[Buy Window Month Start]]*365.25/12</f>
        <v>45191.3125</v>
      </c>
      <c r="L155">
        <f>_xlfn.XLOOKUP(tbl_MTG_Set[[#This Row],[Type Name]], tbl_MTG_Set_Type[Set Type], tbl_MTG_Set_Type[Buy Window Month End], "(Set Type not found)", 0, 1)</f>
        <v>6</v>
      </c>
      <c r="M155" s="3">
        <f>tbl_MTG_Set[[#This Row],[Released On]]+tbl_MTG_Set[[#This Row],[Buy Window Month End]]*365.25/12</f>
        <v>45282.625</v>
      </c>
      <c r="N155" s="3" t="b">
        <f ca="1">AND(NOW()&gt;=tbl_MTG_Set[[#This Row],[Buy Window Start]], NOW()&lt;=tbl_MTG_Set[[#This Row],[Buy Window End]])</f>
        <v>0</v>
      </c>
      <c r="O155">
        <f>_xlfn.XLOOKUP(tbl_MTG_Set[[#This Row],[Type Name]], tbl_MTG_Set_Type[Set Type], tbl_MTG_Set_Type[Heavy Printing Window Month Start], "(Set Type not found)", 0, 1)</f>
        <v>0</v>
      </c>
      <c r="P155" s="3">
        <f>tbl_MTG_Set[[#This Row],[Released On]]+tbl_MTG_Set[[#This Row],[Heavy Printing Window Month Start]]*365.25/12</f>
        <v>45100</v>
      </c>
      <c r="Q155">
        <f>_xlfn.XLOOKUP(tbl_MTG_Set[[#This Row],[Type Name]], tbl_MTG_Set_Type[Set Type], tbl_MTG_Set_Type[Heavy Printing Window Month End], "(Set Type not found)", 0, 1)</f>
        <v>0</v>
      </c>
      <c r="R155" s="3">
        <f>tbl_MTG_Set[[#This Row],[Released On]]+tbl_MTG_Set[[#This Row],[Heavy Printing Window Month End]]*365.25/12</f>
        <v>45100</v>
      </c>
      <c r="S155" s="3" t="b">
        <f ca="1">AND(NOW()&gt;=tbl_MTG_Set[[#This Row],[Heavy Printing Window Start]], NOW()&lt;=tbl_MTG_Set[[#This Row],[Heavy Printing Window End]])</f>
        <v>0</v>
      </c>
      <c r="T155">
        <f>_xlfn.XLOOKUP(tbl_MTG_Set[[#This Row],[Type Name]], tbl_MTG_Set_Type[Set Type], tbl_MTG_Set_Type[Sell Window Month Start], "(Set Type not found)", 0, 1)</f>
        <v>0</v>
      </c>
      <c r="U155" s="3">
        <f>tbl_MTG_Set[[#This Row],[Released On]]+tbl_MTG_Set[[#This Row],[Sell Window Month Start]]*365.25/12</f>
        <v>45100</v>
      </c>
      <c r="V155">
        <f>_xlfn.XLOOKUP(tbl_MTG_Set[[#This Row],[Type Name]], tbl_MTG_Set_Type[Set Type], tbl_MTG_Set_Type[Sell Window Month End], "(Set Type not found)", 0, 1)</f>
        <v>0</v>
      </c>
      <c r="W155" s="3">
        <f>tbl_MTG_Set[[#This Row],[Released On]]+tbl_MTG_Set[[#This Row],[Sell Window Month End]]*365.25/12</f>
        <v>45100</v>
      </c>
      <c r="X155" s="3" t="b">
        <f ca="1">AND(NOW()&gt;=tbl_MTG_Set[[#This Row],[Sell Window Start]], NOW()&lt;=tbl_MTG_Set[[#This Row],[Sell Window End]])</f>
        <v>0</v>
      </c>
      <c r="AG155" s="10"/>
      <c r="AH155" s="10"/>
      <c r="AM155" s="10" t="str" cm="1">
        <f t="array" ref="AM1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5" s="10" t="str" cm="1">
        <f t="array" ref="AN1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5" s="4" t="e">
        <f>_xlfn.XLOOKUP(tbl_MTG_Set[[#This Row],[Play Booster Box Product Id]], tbl_Product[Product Id], tbl_Product[Pack Size])</f>
        <v>#N/A</v>
      </c>
      <c r="AP155" s="10" t="e">
        <f>(tbl_MTG_Set[[#This Row],[Play Booster Box Cost]]+v_Item_Shipping_Cost_In)/tbl_MTG_Set[[#This Row],[Play Booster Box Size]]</f>
        <v>#VALUE!</v>
      </c>
      <c r="AQ155" s="10" t="str" cm="1">
        <f t="array" ref="AQ1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5" s="10"/>
      <c r="AS155" s="10"/>
      <c r="AT155" s="17" t="e">
        <f>tbl_MTG_Set[[#This Row],[Play Booster CardMarket Profit]]/tbl_MTG_Set[[#This Row],[Play Booster Cost]]</f>
        <v>#VALUE!</v>
      </c>
      <c r="AU155" s="10" t="e">
        <f>_xlfn.XLOOKUP(tbl_MTG_Set[[#This Row],[Collector Booster Box Product Id]], tbl_Product[Product Id], tbl_Product[Min Cost])</f>
        <v>#N/A</v>
      </c>
      <c r="AV155" s="10" t="e">
        <f>_xlfn.XLOOKUP(tbl_MTG_Set[[#This Row],[Collector Booster Box Product Id]], tbl_Product[Product Id], tbl_Product[Best Source])</f>
        <v>#N/A</v>
      </c>
      <c r="AW155" s="4" t="e">
        <f>_xlfn.XLOOKUP(tbl_MTG_Set[[#This Row],[Collector Booster Box Product Id]], tbl_Product[Product Id], tbl_Product[Pack Size])</f>
        <v>#N/A</v>
      </c>
      <c r="AX155" s="10" t="e">
        <f>(tbl_MTG_Set[[#This Row],[Collector Booster Box Cost]] + v_Item_Shipping_Cost_In) / tbl_MTG_Set[[#This Row],[Collector Booster Box Size]]</f>
        <v>#N/A</v>
      </c>
      <c r="AY155" s="10" t="str" cm="1">
        <f t="array" ref="AY1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5" s="10"/>
      <c r="BA1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5" s="17" t="e">
        <f>tbl_MTG_Set[[#This Row],[Collector Booster CardMarket Profit]]/tbl_MTG_Set[[#This Row],[Collector Booster Cost]]</f>
        <v>#N/A</v>
      </c>
      <c r="BC155" s="10"/>
      <c r="BF1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5" s="11" t="e">
        <f>tbl_MTG_Set[[#This Row],[Play Singles CardMarket Profit MTG Stocks]]/tbl_MTG_Set[[#This Row],[Play Booster Cost]]</f>
        <v>#VALUE!</v>
      </c>
      <c r="BI155" s="11" t="b">
        <f>tbl_MTG_Set[[#This Row],[Play Singles CardMarket Profit MTG Stocks]]&gt;0</f>
        <v>0</v>
      </c>
      <c r="BM155" s="10" t="e">
        <f>tbl_MTG_Set[[#This Row],[Play Booster Sell Price CardMarket]]*tbl_MTG_Set[[#This Row],[Play Booster Expected Market Value BotBox]]/tbl_MTG_Set[[#This Row],[Play Booster Sealed Market Value BotBox]]</f>
        <v>#VALUE!</v>
      </c>
      <c r="BN1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5" s="10" t="e">
        <f>tbl_MTG_Set[[#This Row],[Play Singles CardMarket Profit BotBox]]/tbl_MTG_Set[[#This Row],[Play Booster Cost]]</f>
        <v>#VALUE!</v>
      </c>
      <c r="BP155" s="10" t="b">
        <f>tbl_MTG_Set[[#This Row],[Play Singles CardMarket Profit BotBox]]&gt;0</f>
        <v>0</v>
      </c>
      <c r="BQ155" s="10"/>
      <c r="BR155" s="10"/>
      <c r="BS155" s="10"/>
      <c r="BT1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5" s="19" t="e">
        <f>tbl_MTG_Set[[#This Row],[Collector Singles CardMarket Profit MTG Stocks]]/tbl_MTG_Set[[#This Row],[Collector Booster Cost]]</f>
        <v>#N/A</v>
      </c>
      <c r="BW155" s="10" t="b">
        <f>tbl_MTG_Set[[#This Row],[Collector Singles CardMarket Profit MTG Stocks]]&gt;0</f>
        <v>0</v>
      </c>
      <c r="BX155" s="10"/>
      <c r="BY155" s="10"/>
      <c r="BZ1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5" s="10" t="e">
        <f>tbl_MTG_Set[[#This Row],[Collector Singles CardMarket Profit BotBox]]/tbl_MTG_Set[[#This Row],[Collector Booster Cost]]</f>
        <v>#N/A</v>
      </c>
      <c r="CC155" s="10" t="b">
        <f>tbl_MTG_Set[[#This Row],[Collector Singles CardMarket Profit BotBox]]&gt;0</f>
        <v>0</v>
      </c>
      <c r="CD1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6" spans="1:86" hidden="1">
      <c r="A156">
        <v>173</v>
      </c>
      <c r="B156" t="s">
        <v>329</v>
      </c>
      <c r="C156">
        <v>4</v>
      </c>
      <c r="D156" s="3">
        <v>45581</v>
      </c>
      <c r="E156" t="s">
        <v>80</v>
      </c>
      <c r="F156" t="s">
        <v>174</v>
      </c>
      <c r="G156">
        <v>292</v>
      </c>
      <c r="H156">
        <f ca="1">MONTH(NOW())+12*YEAR(NOW())-MONTH(tbl_MTG_Set[[#This Row],[Released On]])-12*YEAR(tbl_MTG_Set[[#This Row],[Released On]])</f>
        <v>17</v>
      </c>
      <c r="I156">
        <f>_xlfn.XLOOKUP(tbl_MTG_Set[[#This Row],[Type Name]], tbl_MTG_Set_Type[Set Type], tbl_MTG_Set_Type[Index], "(Set Type not found)")</f>
        <v>5</v>
      </c>
      <c r="J156">
        <f>_xlfn.XLOOKUP(tbl_MTG_Set[[#This Row],[Type Name]], tbl_MTG_Set_Type[Set Type], tbl_MTG_Set_Type[Buy Window Month Start], "(Set Type not found)")</f>
        <v>3</v>
      </c>
      <c r="K156" s="3">
        <f>tbl_MTG_Set[[#This Row],[Released On]]+tbl_MTG_Set[[#This Row],[Buy Window Month Start]]*365.25/12</f>
        <v>45672.3125</v>
      </c>
      <c r="L156">
        <f>_xlfn.XLOOKUP(tbl_MTG_Set[[#This Row],[Type Name]], tbl_MTG_Set_Type[Set Type], tbl_MTG_Set_Type[Buy Window Month End], "(Set Type not found)", 0, 1)</f>
        <v>12</v>
      </c>
      <c r="M156" s="3">
        <f>tbl_MTG_Set[[#This Row],[Released On]]+tbl_MTG_Set[[#This Row],[Buy Window Month End]]*365.25/12</f>
        <v>45946.25</v>
      </c>
      <c r="N156" s="3" t="b">
        <f ca="1">AND(NOW()&gt;=tbl_MTG_Set[[#This Row],[Buy Window Start]], NOW()&lt;=tbl_MTG_Set[[#This Row],[Buy Window End]])</f>
        <v>0</v>
      </c>
      <c r="O156">
        <f>_xlfn.XLOOKUP(tbl_MTG_Set[[#This Row],[Type Name]], tbl_MTG_Set_Type[Set Type], tbl_MTG_Set_Type[Heavy Printing Window Month Start], "(Set Type not found)", 0, 1)</f>
        <v>12</v>
      </c>
      <c r="P156" s="3">
        <f>tbl_MTG_Set[[#This Row],[Released On]]+tbl_MTG_Set[[#This Row],[Heavy Printing Window Month Start]]*365.25/12</f>
        <v>45946.25</v>
      </c>
      <c r="Q156">
        <f>_xlfn.XLOOKUP(tbl_MTG_Set[[#This Row],[Type Name]], tbl_MTG_Set_Type[Set Type], tbl_MTG_Set_Type[Heavy Printing Window Month End], "(Set Type not found)", 0, 1)</f>
        <v>18</v>
      </c>
      <c r="R156" s="3">
        <f>tbl_MTG_Set[[#This Row],[Released On]]+tbl_MTG_Set[[#This Row],[Heavy Printing Window Month End]]*365.25/12</f>
        <v>46128.875</v>
      </c>
      <c r="S156" s="3" t="b">
        <f ca="1">AND(NOW()&gt;=tbl_MTG_Set[[#This Row],[Heavy Printing Window Start]], NOW()&lt;=tbl_MTG_Set[[#This Row],[Heavy Printing Window End]])</f>
        <v>1</v>
      </c>
      <c r="T156">
        <f>_xlfn.XLOOKUP(tbl_MTG_Set[[#This Row],[Type Name]], tbl_MTG_Set_Type[Set Type], tbl_MTG_Set_Type[Sell Window Month Start], "(Set Type not found)", 0, 1)</f>
        <v>24</v>
      </c>
      <c r="U156" s="3">
        <f>tbl_MTG_Set[[#This Row],[Released On]]+tbl_MTG_Set[[#This Row],[Sell Window Month Start]]*365.25/12</f>
        <v>46311.5</v>
      </c>
      <c r="V156">
        <f>_xlfn.XLOOKUP(tbl_MTG_Set[[#This Row],[Type Name]], tbl_MTG_Set_Type[Set Type], tbl_MTG_Set_Type[Sell Window Month End], "(Set Type not found)", 0, 1)</f>
        <v>24</v>
      </c>
      <c r="W156" s="3">
        <f>tbl_MTG_Set[[#This Row],[Released On]]+tbl_MTG_Set[[#This Row],[Sell Window Month End]]*365.25/12</f>
        <v>46311.5</v>
      </c>
      <c r="X156" s="3" t="b">
        <f ca="1">AND(NOW()&gt;=tbl_MTG_Set[[#This Row],[Sell Window Start]], NOW()&lt;=tbl_MTG_Set[[#This Row],[Sell Window End]])</f>
        <v>0</v>
      </c>
      <c r="AG156" s="10"/>
      <c r="AH156" s="10"/>
      <c r="AM156" s="10" t="str" cm="1">
        <f t="array" ref="AM1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6" s="10" t="str" cm="1">
        <f t="array" ref="AN1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6" s="4" t="e">
        <f>_xlfn.XLOOKUP(tbl_MTG_Set[[#This Row],[Play Booster Box Product Id]], tbl_Product[Product Id], tbl_Product[Pack Size])</f>
        <v>#N/A</v>
      </c>
      <c r="AP156" s="10" t="e">
        <f>(tbl_MTG_Set[[#This Row],[Play Booster Box Cost]]+v_Item_Shipping_Cost_In)/tbl_MTG_Set[[#This Row],[Play Booster Box Size]]</f>
        <v>#VALUE!</v>
      </c>
      <c r="AQ156" s="10" t="str" cm="1">
        <f t="array" ref="AQ1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6" s="10"/>
      <c r="AS156" s="10"/>
      <c r="AT156" s="17" t="e">
        <f>tbl_MTG_Set[[#This Row],[Play Booster CardMarket Profit]]/tbl_MTG_Set[[#This Row],[Play Booster Cost]]</f>
        <v>#VALUE!</v>
      </c>
      <c r="AU156" s="10" t="e">
        <f>_xlfn.XLOOKUP(tbl_MTG_Set[[#This Row],[Collector Booster Box Product Id]], tbl_Product[Product Id], tbl_Product[Min Cost])</f>
        <v>#N/A</v>
      </c>
      <c r="AV156" s="10" t="e">
        <f>_xlfn.XLOOKUP(tbl_MTG_Set[[#This Row],[Collector Booster Box Product Id]], tbl_Product[Product Id], tbl_Product[Best Source])</f>
        <v>#N/A</v>
      </c>
      <c r="AW156" s="4" t="e">
        <f>_xlfn.XLOOKUP(tbl_MTG_Set[[#This Row],[Collector Booster Box Product Id]], tbl_Product[Product Id], tbl_Product[Pack Size])</f>
        <v>#N/A</v>
      </c>
      <c r="AX156" s="10" t="e">
        <f>(tbl_MTG_Set[[#This Row],[Collector Booster Box Cost]] + v_Item_Shipping_Cost_In) / tbl_MTG_Set[[#This Row],[Collector Booster Box Size]]</f>
        <v>#N/A</v>
      </c>
      <c r="AY156" s="10" t="str" cm="1">
        <f t="array" ref="AY1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6" s="10"/>
      <c r="BA1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6" s="17" t="e">
        <f>tbl_MTG_Set[[#This Row],[Collector Booster CardMarket Profit]]/tbl_MTG_Set[[#This Row],[Collector Booster Cost]]</f>
        <v>#N/A</v>
      </c>
      <c r="BC156" s="10"/>
      <c r="BF1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6" s="11" t="e">
        <f>tbl_MTG_Set[[#This Row],[Play Singles CardMarket Profit MTG Stocks]]/tbl_MTG_Set[[#This Row],[Play Booster Cost]]</f>
        <v>#VALUE!</v>
      </c>
      <c r="BI156" s="11" t="b">
        <f>tbl_MTG_Set[[#This Row],[Play Singles CardMarket Profit MTG Stocks]]&gt;0</f>
        <v>0</v>
      </c>
      <c r="BM156" s="10" t="e">
        <f>tbl_MTG_Set[[#This Row],[Play Booster Sell Price CardMarket]]*tbl_MTG_Set[[#This Row],[Play Booster Expected Market Value BotBox]]/tbl_MTG_Set[[#This Row],[Play Booster Sealed Market Value BotBox]]</f>
        <v>#VALUE!</v>
      </c>
      <c r="BN1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6" s="10" t="e">
        <f>tbl_MTG_Set[[#This Row],[Play Singles CardMarket Profit BotBox]]/tbl_MTG_Set[[#This Row],[Play Booster Cost]]</f>
        <v>#VALUE!</v>
      </c>
      <c r="BP156" s="10" t="b">
        <f>tbl_MTG_Set[[#This Row],[Play Singles CardMarket Profit BotBox]]&gt;0</f>
        <v>0</v>
      </c>
      <c r="BQ156" s="10"/>
      <c r="BR156" s="10"/>
      <c r="BS156" s="10"/>
      <c r="BT1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6" s="19" t="e">
        <f>tbl_MTG_Set[[#This Row],[Collector Singles CardMarket Profit MTG Stocks]]/tbl_MTG_Set[[#This Row],[Collector Booster Cost]]</f>
        <v>#N/A</v>
      </c>
      <c r="BW156" s="10" t="b">
        <f>tbl_MTG_Set[[#This Row],[Collector Singles CardMarket Profit MTG Stocks]]&gt;0</f>
        <v>0</v>
      </c>
      <c r="BX156" s="10"/>
      <c r="BY156" s="10"/>
      <c r="BZ1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6" s="10" t="e">
        <f>tbl_MTG_Set[[#This Row],[Collector Singles CardMarket Profit BotBox]]/tbl_MTG_Set[[#This Row],[Collector Booster Cost]]</f>
        <v>#N/A</v>
      </c>
      <c r="CC156" s="10" t="b">
        <f>tbl_MTG_Set[[#This Row],[Collector Singles CardMarket Profit BotBox]]&gt;0</f>
        <v>0</v>
      </c>
      <c r="CD1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7" spans="1:86" hidden="1">
      <c r="A157">
        <v>174</v>
      </c>
      <c r="B157" t="s">
        <v>330</v>
      </c>
      <c r="C157">
        <v>591</v>
      </c>
      <c r="D157" s="3">
        <v>45100</v>
      </c>
      <c r="E157" t="s">
        <v>80</v>
      </c>
      <c r="F157" t="s">
        <v>174</v>
      </c>
      <c r="G157">
        <v>294</v>
      </c>
      <c r="H157">
        <f ca="1">MONTH(NOW())+12*YEAR(NOW())-MONTH(tbl_MTG_Set[[#This Row],[Released On]])-12*YEAR(tbl_MTG_Set[[#This Row],[Released On]])</f>
        <v>33</v>
      </c>
      <c r="I157">
        <f>_xlfn.XLOOKUP(tbl_MTG_Set[[#This Row],[Type Name]], tbl_MTG_Set_Type[Set Type], tbl_MTG_Set_Type[Index], "(Set Type not found)")</f>
        <v>5</v>
      </c>
      <c r="J157">
        <f>_xlfn.XLOOKUP(tbl_MTG_Set[[#This Row],[Type Name]], tbl_MTG_Set_Type[Set Type], tbl_MTG_Set_Type[Buy Window Month Start], "(Set Type not found)")</f>
        <v>3</v>
      </c>
      <c r="K157" s="3">
        <f>tbl_MTG_Set[[#This Row],[Released On]]+tbl_MTG_Set[[#This Row],[Buy Window Month Start]]*365.25/12</f>
        <v>45191.3125</v>
      </c>
      <c r="L157">
        <f>_xlfn.XLOOKUP(tbl_MTG_Set[[#This Row],[Type Name]], tbl_MTG_Set_Type[Set Type], tbl_MTG_Set_Type[Buy Window Month End], "(Set Type not found)", 0, 1)</f>
        <v>12</v>
      </c>
      <c r="M157" s="3">
        <f>tbl_MTG_Set[[#This Row],[Released On]]+tbl_MTG_Set[[#This Row],[Buy Window Month End]]*365.25/12</f>
        <v>45465.25</v>
      </c>
      <c r="N157" s="3" t="b">
        <f ca="1">AND(NOW()&gt;=tbl_MTG_Set[[#This Row],[Buy Window Start]], NOW()&lt;=tbl_MTG_Set[[#This Row],[Buy Window End]])</f>
        <v>0</v>
      </c>
      <c r="O157">
        <f>_xlfn.XLOOKUP(tbl_MTG_Set[[#This Row],[Type Name]], tbl_MTG_Set_Type[Set Type], tbl_MTG_Set_Type[Heavy Printing Window Month Start], "(Set Type not found)", 0, 1)</f>
        <v>12</v>
      </c>
      <c r="P157" s="3">
        <f>tbl_MTG_Set[[#This Row],[Released On]]+tbl_MTG_Set[[#This Row],[Heavy Printing Window Month Start]]*365.25/12</f>
        <v>45465.25</v>
      </c>
      <c r="Q157">
        <f>_xlfn.XLOOKUP(tbl_MTG_Set[[#This Row],[Type Name]], tbl_MTG_Set_Type[Set Type], tbl_MTG_Set_Type[Heavy Printing Window Month End], "(Set Type not found)", 0, 1)</f>
        <v>18</v>
      </c>
      <c r="R157" s="3">
        <f>tbl_MTG_Set[[#This Row],[Released On]]+tbl_MTG_Set[[#This Row],[Heavy Printing Window Month End]]*365.25/12</f>
        <v>45647.875</v>
      </c>
      <c r="S157" s="3" t="b">
        <f ca="1">AND(NOW()&gt;=tbl_MTG_Set[[#This Row],[Heavy Printing Window Start]], NOW()&lt;=tbl_MTG_Set[[#This Row],[Heavy Printing Window End]])</f>
        <v>0</v>
      </c>
      <c r="T157">
        <f>_xlfn.XLOOKUP(tbl_MTG_Set[[#This Row],[Type Name]], tbl_MTG_Set_Type[Set Type], tbl_MTG_Set_Type[Sell Window Month Start], "(Set Type not found)", 0, 1)</f>
        <v>24</v>
      </c>
      <c r="U157" s="3">
        <f>tbl_MTG_Set[[#This Row],[Released On]]+tbl_MTG_Set[[#This Row],[Sell Window Month Start]]*365.25/12</f>
        <v>45830.5</v>
      </c>
      <c r="V157">
        <f>_xlfn.XLOOKUP(tbl_MTG_Set[[#This Row],[Type Name]], tbl_MTG_Set_Type[Set Type], tbl_MTG_Set_Type[Sell Window Month End], "(Set Type not found)", 0, 1)</f>
        <v>24</v>
      </c>
      <c r="W157" s="3">
        <f>tbl_MTG_Set[[#This Row],[Released On]]+tbl_MTG_Set[[#This Row],[Sell Window Month End]]*365.25/12</f>
        <v>45830.5</v>
      </c>
      <c r="X157" s="3" t="b">
        <f ca="1">AND(NOW()&gt;=tbl_MTG_Set[[#This Row],[Sell Window Start]], NOW()&lt;=tbl_MTG_Set[[#This Row],[Sell Window End]])</f>
        <v>0</v>
      </c>
      <c r="AG157" s="10"/>
      <c r="AH157" s="10"/>
      <c r="AM157" s="10" t="str" cm="1">
        <f t="array" ref="AM1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7" s="10" t="str" cm="1">
        <f t="array" ref="AN1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7" s="4" t="e">
        <f>_xlfn.XLOOKUP(tbl_MTG_Set[[#This Row],[Play Booster Box Product Id]], tbl_Product[Product Id], tbl_Product[Pack Size])</f>
        <v>#N/A</v>
      </c>
      <c r="AP157" s="10" t="e">
        <f>(tbl_MTG_Set[[#This Row],[Play Booster Box Cost]]+v_Item_Shipping_Cost_In)/tbl_MTG_Set[[#This Row],[Play Booster Box Size]]</f>
        <v>#VALUE!</v>
      </c>
      <c r="AQ157" s="10" t="str" cm="1">
        <f t="array" ref="AQ1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7" s="10"/>
      <c r="AS157" s="10"/>
      <c r="AT157" s="17" t="e">
        <f>tbl_MTG_Set[[#This Row],[Play Booster CardMarket Profit]]/tbl_MTG_Set[[#This Row],[Play Booster Cost]]</f>
        <v>#VALUE!</v>
      </c>
      <c r="AU157" s="10" t="e">
        <f>_xlfn.XLOOKUP(tbl_MTG_Set[[#This Row],[Collector Booster Box Product Id]], tbl_Product[Product Id], tbl_Product[Min Cost])</f>
        <v>#N/A</v>
      </c>
      <c r="AV157" s="10" t="e">
        <f>_xlfn.XLOOKUP(tbl_MTG_Set[[#This Row],[Collector Booster Box Product Id]], tbl_Product[Product Id], tbl_Product[Best Source])</f>
        <v>#N/A</v>
      </c>
      <c r="AW157" s="4" t="e">
        <f>_xlfn.XLOOKUP(tbl_MTG_Set[[#This Row],[Collector Booster Box Product Id]], tbl_Product[Product Id], tbl_Product[Pack Size])</f>
        <v>#N/A</v>
      </c>
      <c r="AX157" s="10" t="e">
        <f>(tbl_MTG_Set[[#This Row],[Collector Booster Box Cost]] + v_Item_Shipping_Cost_In) / tbl_MTG_Set[[#This Row],[Collector Booster Box Size]]</f>
        <v>#N/A</v>
      </c>
      <c r="AY157" s="10" t="str" cm="1">
        <f t="array" ref="AY1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7" s="10"/>
      <c r="BA1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7" s="17" t="e">
        <f>tbl_MTG_Set[[#This Row],[Collector Booster CardMarket Profit]]/tbl_MTG_Set[[#This Row],[Collector Booster Cost]]</f>
        <v>#N/A</v>
      </c>
      <c r="BC157" s="10"/>
      <c r="BF1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7" s="11" t="e">
        <f>tbl_MTG_Set[[#This Row],[Play Singles CardMarket Profit MTG Stocks]]/tbl_MTG_Set[[#This Row],[Play Booster Cost]]</f>
        <v>#VALUE!</v>
      </c>
      <c r="BI157" s="11" t="b">
        <f>tbl_MTG_Set[[#This Row],[Play Singles CardMarket Profit MTG Stocks]]&gt;0</f>
        <v>0</v>
      </c>
      <c r="BM157" s="10" t="e">
        <f>tbl_MTG_Set[[#This Row],[Play Booster Sell Price CardMarket]]*tbl_MTG_Set[[#This Row],[Play Booster Expected Market Value BotBox]]/tbl_MTG_Set[[#This Row],[Play Booster Sealed Market Value BotBox]]</f>
        <v>#VALUE!</v>
      </c>
      <c r="BN1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7" s="10" t="e">
        <f>tbl_MTG_Set[[#This Row],[Play Singles CardMarket Profit BotBox]]/tbl_MTG_Set[[#This Row],[Play Booster Cost]]</f>
        <v>#VALUE!</v>
      </c>
      <c r="BP157" s="10" t="b">
        <f>tbl_MTG_Set[[#This Row],[Play Singles CardMarket Profit BotBox]]&gt;0</f>
        <v>0</v>
      </c>
      <c r="BQ157" s="10"/>
      <c r="BR157" s="10"/>
      <c r="BS157" s="10"/>
      <c r="BT1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7" s="19" t="e">
        <f>tbl_MTG_Set[[#This Row],[Collector Singles CardMarket Profit MTG Stocks]]/tbl_MTG_Set[[#This Row],[Collector Booster Cost]]</f>
        <v>#N/A</v>
      </c>
      <c r="BW157" s="10" t="b">
        <f>tbl_MTG_Set[[#This Row],[Collector Singles CardMarket Profit MTG Stocks]]&gt;0</f>
        <v>0</v>
      </c>
      <c r="BX157" s="10"/>
      <c r="BY157" s="10"/>
      <c r="BZ1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7" s="10" t="e">
        <f>tbl_MTG_Set[[#This Row],[Collector Singles CardMarket Profit BotBox]]/tbl_MTG_Set[[#This Row],[Collector Booster Cost]]</f>
        <v>#N/A</v>
      </c>
      <c r="CC157" s="10" t="b">
        <f>tbl_MTG_Set[[#This Row],[Collector Singles CardMarket Profit BotBox]]&gt;0</f>
        <v>0</v>
      </c>
      <c r="CD1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8" spans="1:86" hidden="1">
      <c r="A158">
        <v>175</v>
      </c>
      <c r="B158" t="s">
        <v>331</v>
      </c>
      <c r="C158">
        <v>15</v>
      </c>
      <c r="D158" s="3">
        <v>45100</v>
      </c>
      <c r="E158" t="s">
        <v>80</v>
      </c>
      <c r="F158" t="s">
        <v>174</v>
      </c>
      <c r="G158">
        <v>296</v>
      </c>
      <c r="H158">
        <f ca="1">MONTH(NOW())+12*YEAR(NOW())-MONTH(tbl_MTG_Set[[#This Row],[Released On]])-12*YEAR(tbl_MTG_Set[[#This Row],[Released On]])</f>
        <v>33</v>
      </c>
      <c r="I158">
        <f>_xlfn.XLOOKUP(tbl_MTG_Set[[#This Row],[Type Name]], tbl_MTG_Set_Type[Set Type], tbl_MTG_Set_Type[Index], "(Set Type not found)")</f>
        <v>5</v>
      </c>
      <c r="J158">
        <f>_xlfn.XLOOKUP(tbl_MTG_Set[[#This Row],[Type Name]], tbl_MTG_Set_Type[Set Type], tbl_MTG_Set_Type[Buy Window Month Start], "(Set Type not found)")</f>
        <v>3</v>
      </c>
      <c r="K158" s="3">
        <f>tbl_MTG_Set[[#This Row],[Released On]]+tbl_MTG_Set[[#This Row],[Buy Window Month Start]]*365.25/12</f>
        <v>45191.3125</v>
      </c>
      <c r="L158">
        <f>_xlfn.XLOOKUP(tbl_MTG_Set[[#This Row],[Type Name]], tbl_MTG_Set_Type[Set Type], tbl_MTG_Set_Type[Buy Window Month End], "(Set Type not found)", 0, 1)</f>
        <v>12</v>
      </c>
      <c r="M158" s="3">
        <f>tbl_MTG_Set[[#This Row],[Released On]]+tbl_MTG_Set[[#This Row],[Buy Window Month End]]*365.25/12</f>
        <v>45465.25</v>
      </c>
      <c r="N158" s="3" t="b">
        <f ca="1">AND(NOW()&gt;=tbl_MTG_Set[[#This Row],[Buy Window Start]], NOW()&lt;=tbl_MTG_Set[[#This Row],[Buy Window End]])</f>
        <v>0</v>
      </c>
      <c r="O158">
        <f>_xlfn.XLOOKUP(tbl_MTG_Set[[#This Row],[Type Name]], tbl_MTG_Set_Type[Set Type], tbl_MTG_Set_Type[Heavy Printing Window Month Start], "(Set Type not found)", 0, 1)</f>
        <v>12</v>
      </c>
      <c r="P158" s="3">
        <f>tbl_MTG_Set[[#This Row],[Released On]]+tbl_MTG_Set[[#This Row],[Heavy Printing Window Month Start]]*365.25/12</f>
        <v>45465.25</v>
      </c>
      <c r="Q158">
        <f>_xlfn.XLOOKUP(tbl_MTG_Set[[#This Row],[Type Name]], tbl_MTG_Set_Type[Set Type], tbl_MTG_Set_Type[Heavy Printing Window Month End], "(Set Type not found)", 0, 1)</f>
        <v>18</v>
      </c>
      <c r="R158" s="3">
        <f>tbl_MTG_Set[[#This Row],[Released On]]+tbl_MTG_Set[[#This Row],[Heavy Printing Window Month End]]*365.25/12</f>
        <v>45647.875</v>
      </c>
      <c r="S158" s="3" t="b">
        <f ca="1">AND(NOW()&gt;=tbl_MTG_Set[[#This Row],[Heavy Printing Window Start]], NOW()&lt;=tbl_MTG_Set[[#This Row],[Heavy Printing Window End]])</f>
        <v>0</v>
      </c>
      <c r="T158">
        <f>_xlfn.XLOOKUP(tbl_MTG_Set[[#This Row],[Type Name]], tbl_MTG_Set_Type[Set Type], tbl_MTG_Set_Type[Sell Window Month Start], "(Set Type not found)", 0, 1)</f>
        <v>24</v>
      </c>
      <c r="U158" s="3">
        <f>tbl_MTG_Set[[#This Row],[Released On]]+tbl_MTG_Set[[#This Row],[Sell Window Month Start]]*365.25/12</f>
        <v>45830.5</v>
      </c>
      <c r="V158">
        <f>_xlfn.XLOOKUP(tbl_MTG_Set[[#This Row],[Type Name]], tbl_MTG_Set_Type[Set Type], tbl_MTG_Set_Type[Sell Window Month End], "(Set Type not found)", 0, 1)</f>
        <v>24</v>
      </c>
      <c r="W158" s="3">
        <f>tbl_MTG_Set[[#This Row],[Released On]]+tbl_MTG_Set[[#This Row],[Sell Window Month End]]*365.25/12</f>
        <v>45830.5</v>
      </c>
      <c r="X158" s="3" t="b">
        <f ca="1">AND(NOW()&gt;=tbl_MTG_Set[[#This Row],[Sell Window Start]], NOW()&lt;=tbl_MTG_Set[[#This Row],[Sell Window End]])</f>
        <v>0</v>
      </c>
      <c r="AG158" s="10"/>
      <c r="AH158" s="10"/>
      <c r="AM158" s="10" t="str" cm="1">
        <f t="array" ref="AM1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8" s="10" t="str" cm="1">
        <f t="array" ref="AN1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8" s="4" t="e">
        <f>_xlfn.XLOOKUP(tbl_MTG_Set[[#This Row],[Play Booster Box Product Id]], tbl_Product[Product Id], tbl_Product[Pack Size])</f>
        <v>#N/A</v>
      </c>
      <c r="AP158" s="10" t="e">
        <f>(tbl_MTG_Set[[#This Row],[Play Booster Box Cost]]+v_Item_Shipping_Cost_In)/tbl_MTG_Set[[#This Row],[Play Booster Box Size]]</f>
        <v>#VALUE!</v>
      </c>
      <c r="AQ158" s="10" t="str" cm="1">
        <f t="array" ref="AQ1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8" s="10"/>
      <c r="AS158" s="10"/>
      <c r="AT158" s="17" t="e">
        <f>tbl_MTG_Set[[#This Row],[Play Booster CardMarket Profit]]/tbl_MTG_Set[[#This Row],[Play Booster Cost]]</f>
        <v>#VALUE!</v>
      </c>
      <c r="AU158" s="10" t="e">
        <f>_xlfn.XLOOKUP(tbl_MTG_Set[[#This Row],[Collector Booster Box Product Id]], tbl_Product[Product Id], tbl_Product[Min Cost])</f>
        <v>#N/A</v>
      </c>
      <c r="AV158" s="10" t="e">
        <f>_xlfn.XLOOKUP(tbl_MTG_Set[[#This Row],[Collector Booster Box Product Id]], tbl_Product[Product Id], tbl_Product[Best Source])</f>
        <v>#N/A</v>
      </c>
      <c r="AW158" s="4" t="e">
        <f>_xlfn.XLOOKUP(tbl_MTG_Set[[#This Row],[Collector Booster Box Product Id]], tbl_Product[Product Id], tbl_Product[Pack Size])</f>
        <v>#N/A</v>
      </c>
      <c r="AX158" s="10" t="e">
        <f>(tbl_MTG_Set[[#This Row],[Collector Booster Box Cost]] + v_Item_Shipping_Cost_In) / tbl_MTG_Set[[#This Row],[Collector Booster Box Size]]</f>
        <v>#N/A</v>
      </c>
      <c r="AY158" s="10" t="str" cm="1">
        <f t="array" ref="AY1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8" s="10"/>
      <c r="BA1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8" s="17" t="e">
        <f>tbl_MTG_Set[[#This Row],[Collector Booster CardMarket Profit]]/tbl_MTG_Set[[#This Row],[Collector Booster Cost]]</f>
        <v>#N/A</v>
      </c>
      <c r="BC158" s="10"/>
      <c r="BF1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8" s="11" t="e">
        <f>tbl_MTG_Set[[#This Row],[Play Singles CardMarket Profit MTG Stocks]]/tbl_MTG_Set[[#This Row],[Play Booster Cost]]</f>
        <v>#VALUE!</v>
      </c>
      <c r="BI158" s="11" t="b">
        <f>tbl_MTG_Set[[#This Row],[Play Singles CardMarket Profit MTG Stocks]]&gt;0</f>
        <v>0</v>
      </c>
      <c r="BM158" s="10" t="e">
        <f>tbl_MTG_Set[[#This Row],[Play Booster Sell Price CardMarket]]*tbl_MTG_Set[[#This Row],[Play Booster Expected Market Value BotBox]]/tbl_MTG_Set[[#This Row],[Play Booster Sealed Market Value BotBox]]</f>
        <v>#VALUE!</v>
      </c>
      <c r="BN1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8" s="10" t="e">
        <f>tbl_MTG_Set[[#This Row],[Play Singles CardMarket Profit BotBox]]/tbl_MTG_Set[[#This Row],[Play Booster Cost]]</f>
        <v>#VALUE!</v>
      </c>
      <c r="BP158" s="10" t="b">
        <f>tbl_MTG_Set[[#This Row],[Play Singles CardMarket Profit BotBox]]&gt;0</f>
        <v>0</v>
      </c>
      <c r="BQ158" s="10"/>
      <c r="BR158" s="10"/>
      <c r="BS158" s="10"/>
      <c r="BT1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8" s="19" t="e">
        <f>tbl_MTG_Set[[#This Row],[Collector Singles CardMarket Profit MTG Stocks]]/tbl_MTG_Set[[#This Row],[Collector Booster Cost]]</f>
        <v>#N/A</v>
      </c>
      <c r="BW158" s="10" t="b">
        <f>tbl_MTG_Set[[#This Row],[Collector Singles CardMarket Profit MTG Stocks]]&gt;0</f>
        <v>0</v>
      </c>
      <c r="BX158" s="10"/>
      <c r="BY158" s="10"/>
      <c r="BZ1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8" s="10" t="e">
        <f>tbl_MTG_Set[[#This Row],[Collector Singles CardMarket Profit BotBox]]/tbl_MTG_Set[[#This Row],[Collector Booster Cost]]</f>
        <v>#N/A</v>
      </c>
      <c r="CC158" s="10" t="b">
        <f>tbl_MTG_Set[[#This Row],[Collector Singles CardMarket Profit BotBox]]&gt;0</f>
        <v>0</v>
      </c>
      <c r="CD1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59" spans="1:86" hidden="1">
      <c r="A159">
        <v>176</v>
      </c>
      <c r="B159" t="s">
        <v>332</v>
      </c>
      <c r="C159">
        <v>24</v>
      </c>
      <c r="D159" s="3">
        <v>45234</v>
      </c>
      <c r="E159" t="s">
        <v>86</v>
      </c>
      <c r="F159" t="s">
        <v>174</v>
      </c>
      <c r="G159">
        <v>298</v>
      </c>
      <c r="H159">
        <f ca="1">MONTH(NOW())+12*YEAR(NOW())-MONTH(tbl_MTG_Set[[#This Row],[Released On]])-12*YEAR(tbl_MTG_Set[[#This Row],[Released On]])</f>
        <v>28</v>
      </c>
      <c r="I159">
        <f>_xlfn.XLOOKUP(tbl_MTG_Set[[#This Row],[Type Name]], tbl_MTG_Set_Type[Set Type], tbl_MTG_Set_Type[Index], "(Set Type not found)")</f>
        <v>6</v>
      </c>
      <c r="J159">
        <f>_xlfn.XLOOKUP(tbl_MTG_Set[[#This Row],[Type Name]], tbl_MTG_Set_Type[Set Type], tbl_MTG_Set_Type[Buy Window Month Start], "(Set Type not found)")</f>
        <v>3</v>
      </c>
      <c r="K159" s="3">
        <f>tbl_MTG_Set[[#This Row],[Released On]]+tbl_MTG_Set[[#This Row],[Buy Window Month Start]]*365.25/12</f>
        <v>45325.3125</v>
      </c>
      <c r="L159">
        <f>_xlfn.XLOOKUP(tbl_MTG_Set[[#This Row],[Type Name]], tbl_MTG_Set_Type[Set Type], tbl_MTG_Set_Type[Buy Window Month End], "(Set Type not found)", 0, 1)</f>
        <v>6</v>
      </c>
      <c r="M159" s="3">
        <f>tbl_MTG_Set[[#This Row],[Released On]]+tbl_MTG_Set[[#This Row],[Buy Window Month End]]*365.25/12</f>
        <v>45416.625</v>
      </c>
      <c r="N159" s="3" t="b">
        <f ca="1">AND(NOW()&gt;=tbl_MTG_Set[[#This Row],[Buy Window Start]], NOW()&lt;=tbl_MTG_Set[[#This Row],[Buy Window End]])</f>
        <v>0</v>
      </c>
      <c r="O159">
        <f>_xlfn.XLOOKUP(tbl_MTG_Set[[#This Row],[Type Name]], tbl_MTG_Set_Type[Set Type], tbl_MTG_Set_Type[Heavy Printing Window Month Start], "(Set Type not found)", 0, 1)</f>
        <v>0</v>
      </c>
      <c r="P159" s="3">
        <f>tbl_MTG_Set[[#This Row],[Released On]]+tbl_MTG_Set[[#This Row],[Heavy Printing Window Month Start]]*365.25/12</f>
        <v>45234</v>
      </c>
      <c r="Q159">
        <f>_xlfn.XLOOKUP(tbl_MTG_Set[[#This Row],[Type Name]], tbl_MTG_Set_Type[Set Type], tbl_MTG_Set_Type[Heavy Printing Window Month End], "(Set Type not found)", 0, 1)</f>
        <v>0</v>
      </c>
      <c r="R159" s="3">
        <f>tbl_MTG_Set[[#This Row],[Released On]]+tbl_MTG_Set[[#This Row],[Heavy Printing Window Month End]]*365.25/12</f>
        <v>45234</v>
      </c>
      <c r="S159" s="3" t="b">
        <f ca="1">AND(NOW()&gt;=tbl_MTG_Set[[#This Row],[Heavy Printing Window Start]], NOW()&lt;=tbl_MTG_Set[[#This Row],[Heavy Printing Window End]])</f>
        <v>0</v>
      </c>
      <c r="T159">
        <f>_xlfn.XLOOKUP(tbl_MTG_Set[[#This Row],[Type Name]], tbl_MTG_Set_Type[Set Type], tbl_MTG_Set_Type[Sell Window Month Start], "(Set Type not found)", 0, 1)</f>
        <v>0</v>
      </c>
      <c r="U159" s="3">
        <f>tbl_MTG_Set[[#This Row],[Released On]]+tbl_MTG_Set[[#This Row],[Sell Window Month Start]]*365.25/12</f>
        <v>45234</v>
      </c>
      <c r="V159">
        <f>_xlfn.XLOOKUP(tbl_MTG_Set[[#This Row],[Type Name]], tbl_MTG_Set_Type[Set Type], tbl_MTG_Set_Type[Sell Window Month End], "(Set Type not found)", 0, 1)</f>
        <v>0</v>
      </c>
      <c r="W159" s="3">
        <f>tbl_MTG_Set[[#This Row],[Released On]]+tbl_MTG_Set[[#This Row],[Sell Window Month End]]*365.25/12</f>
        <v>45234</v>
      </c>
      <c r="X159" s="3" t="b">
        <f ca="1">AND(NOW()&gt;=tbl_MTG_Set[[#This Row],[Sell Window Start]], NOW()&lt;=tbl_MTG_Set[[#This Row],[Sell Window End]])</f>
        <v>0</v>
      </c>
      <c r="AG159" s="10"/>
      <c r="AH159" s="10"/>
      <c r="AM159" s="10" t="str" cm="1">
        <f t="array" ref="AM1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59" s="10" t="str" cm="1">
        <f t="array" ref="AN1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59" s="4" t="e">
        <f>_xlfn.XLOOKUP(tbl_MTG_Set[[#This Row],[Play Booster Box Product Id]], tbl_Product[Product Id], tbl_Product[Pack Size])</f>
        <v>#N/A</v>
      </c>
      <c r="AP159" s="10" t="e">
        <f>(tbl_MTG_Set[[#This Row],[Play Booster Box Cost]]+v_Item_Shipping_Cost_In)/tbl_MTG_Set[[#This Row],[Play Booster Box Size]]</f>
        <v>#VALUE!</v>
      </c>
      <c r="AQ159" s="10" t="str" cm="1">
        <f t="array" ref="AQ1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59" s="10"/>
      <c r="AS159" s="10"/>
      <c r="AT159" s="17" t="e">
        <f>tbl_MTG_Set[[#This Row],[Play Booster CardMarket Profit]]/tbl_MTG_Set[[#This Row],[Play Booster Cost]]</f>
        <v>#VALUE!</v>
      </c>
      <c r="AU159" s="10" t="e">
        <f>_xlfn.XLOOKUP(tbl_MTG_Set[[#This Row],[Collector Booster Box Product Id]], tbl_Product[Product Id], tbl_Product[Min Cost])</f>
        <v>#N/A</v>
      </c>
      <c r="AV159" s="10" t="e">
        <f>_xlfn.XLOOKUP(tbl_MTG_Set[[#This Row],[Collector Booster Box Product Id]], tbl_Product[Product Id], tbl_Product[Best Source])</f>
        <v>#N/A</v>
      </c>
      <c r="AW159" s="4" t="e">
        <f>_xlfn.XLOOKUP(tbl_MTG_Set[[#This Row],[Collector Booster Box Product Id]], tbl_Product[Product Id], tbl_Product[Pack Size])</f>
        <v>#N/A</v>
      </c>
      <c r="AX159" s="10" t="e">
        <f>(tbl_MTG_Set[[#This Row],[Collector Booster Box Cost]] + v_Item_Shipping_Cost_In) / tbl_MTG_Set[[#This Row],[Collector Booster Box Size]]</f>
        <v>#N/A</v>
      </c>
      <c r="AY159" s="10" t="str" cm="1">
        <f t="array" ref="AY1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59" s="10"/>
      <c r="BA1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59" s="17" t="e">
        <f>tbl_MTG_Set[[#This Row],[Collector Booster CardMarket Profit]]/tbl_MTG_Set[[#This Row],[Collector Booster Cost]]</f>
        <v>#N/A</v>
      </c>
      <c r="BC159" s="10"/>
      <c r="BF1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59" s="11" t="e">
        <f>tbl_MTG_Set[[#This Row],[Play Singles CardMarket Profit MTG Stocks]]/tbl_MTG_Set[[#This Row],[Play Booster Cost]]</f>
        <v>#VALUE!</v>
      </c>
      <c r="BI159" s="11" t="b">
        <f>tbl_MTG_Set[[#This Row],[Play Singles CardMarket Profit MTG Stocks]]&gt;0</f>
        <v>0</v>
      </c>
      <c r="BM159" s="10" t="e">
        <f>tbl_MTG_Set[[#This Row],[Play Booster Sell Price CardMarket]]*tbl_MTG_Set[[#This Row],[Play Booster Expected Market Value BotBox]]/tbl_MTG_Set[[#This Row],[Play Booster Sealed Market Value BotBox]]</f>
        <v>#VALUE!</v>
      </c>
      <c r="BN1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59" s="10" t="e">
        <f>tbl_MTG_Set[[#This Row],[Play Singles CardMarket Profit BotBox]]/tbl_MTG_Set[[#This Row],[Play Booster Cost]]</f>
        <v>#VALUE!</v>
      </c>
      <c r="BP159" s="10" t="b">
        <f>tbl_MTG_Set[[#This Row],[Play Singles CardMarket Profit BotBox]]&gt;0</f>
        <v>0</v>
      </c>
      <c r="BQ159" s="10"/>
      <c r="BR159" s="10"/>
      <c r="BS159" s="10"/>
      <c r="BT1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59" s="19" t="e">
        <f>tbl_MTG_Set[[#This Row],[Collector Singles CardMarket Profit MTG Stocks]]/tbl_MTG_Set[[#This Row],[Collector Booster Cost]]</f>
        <v>#N/A</v>
      </c>
      <c r="BW159" s="10" t="b">
        <f>tbl_MTG_Set[[#This Row],[Collector Singles CardMarket Profit MTG Stocks]]&gt;0</f>
        <v>0</v>
      </c>
      <c r="BX159" s="10"/>
      <c r="BY159" s="10"/>
      <c r="BZ1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59" s="10" t="e">
        <f>tbl_MTG_Set[[#This Row],[Collector Singles CardMarket Profit BotBox]]/tbl_MTG_Set[[#This Row],[Collector Booster Cost]]</f>
        <v>#N/A</v>
      </c>
      <c r="CC159" s="10" t="b">
        <f>tbl_MTG_Set[[#This Row],[Collector Singles CardMarket Profit BotBox]]&gt;0</f>
        <v>0</v>
      </c>
      <c r="CD1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0" spans="1:86" hidden="1">
      <c r="A160">
        <v>177</v>
      </c>
      <c r="B160" t="s">
        <v>333</v>
      </c>
      <c r="C160">
        <v>81</v>
      </c>
      <c r="D160" s="3">
        <v>45100</v>
      </c>
      <c r="E160" t="s">
        <v>86</v>
      </c>
      <c r="F160" t="s">
        <v>174</v>
      </c>
      <c r="G160">
        <v>300</v>
      </c>
      <c r="H160">
        <f ca="1">MONTH(NOW())+12*YEAR(NOW())-MONTH(tbl_MTG_Set[[#This Row],[Released On]])-12*YEAR(tbl_MTG_Set[[#This Row],[Released On]])</f>
        <v>33</v>
      </c>
      <c r="I160">
        <f>_xlfn.XLOOKUP(tbl_MTG_Set[[#This Row],[Type Name]], tbl_MTG_Set_Type[Set Type], tbl_MTG_Set_Type[Index], "(Set Type not found)")</f>
        <v>6</v>
      </c>
      <c r="J160">
        <f>_xlfn.XLOOKUP(tbl_MTG_Set[[#This Row],[Type Name]], tbl_MTG_Set_Type[Set Type], tbl_MTG_Set_Type[Buy Window Month Start], "(Set Type not found)")</f>
        <v>3</v>
      </c>
      <c r="K160" s="3">
        <f>tbl_MTG_Set[[#This Row],[Released On]]+tbl_MTG_Set[[#This Row],[Buy Window Month Start]]*365.25/12</f>
        <v>45191.3125</v>
      </c>
      <c r="L160">
        <f>_xlfn.XLOOKUP(tbl_MTG_Set[[#This Row],[Type Name]], tbl_MTG_Set_Type[Set Type], tbl_MTG_Set_Type[Buy Window Month End], "(Set Type not found)", 0, 1)</f>
        <v>6</v>
      </c>
      <c r="M160" s="3">
        <f>tbl_MTG_Set[[#This Row],[Released On]]+tbl_MTG_Set[[#This Row],[Buy Window Month End]]*365.25/12</f>
        <v>45282.625</v>
      </c>
      <c r="N160" s="3" t="b">
        <f ca="1">AND(NOW()&gt;=tbl_MTG_Set[[#This Row],[Buy Window Start]], NOW()&lt;=tbl_MTG_Set[[#This Row],[Buy Window End]])</f>
        <v>0</v>
      </c>
      <c r="O160">
        <f>_xlfn.XLOOKUP(tbl_MTG_Set[[#This Row],[Type Name]], tbl_MTG_Set_Type[Set Type], tbl_MTG_Set_Type[Heavy Printing Window Month Start], "(Set Type not found)", 0, 1)</f>
        <v>0</v>
      </c>
      <c r="P160" s="3">
        <f>tbl_MTG_Set[[#This Row],[Released On]]+tbl_MTG_Set[[#This Row],[Heavy Printing Window Month Start]]*365.25/12</f>
        <v>45100</v>
      </c>
      <c r="Q160">
        <f>_xlfn.XLOOKUP(tbl_MTG_Set[[#This Row],[Type Name]], tbl_MTG_Set_Type[Set Type], tbl_MTG_Set_Type[Heavy Printing Window Month End], "(Set Type not found)", 0, 1)</f>
        <v>0</v>
      </c>
      <c r="R160" s="3">
        <f>tbl_MTG_Set[[#This Row],[Released On]]+tbl_MTG_Set[[#This Row],[Heavy Printing Window Month End]]*365.25/12</f>
        <v>45100</v>
      </c>
      <c r="S160" s="3" t="b">
        <f ca="1">AND(NOW()&gt;=tbl_MTG_Set[[#This Row],[Heavy Printing Window Start]], NOW()&lt;=tbl_MTG_Set[[#This Row],[Heavy Printing Window End]])</f>
        <v>0</v>
      </c>
      <c r="T160">
        <f>_xlfn.XLOOKUP(tbl_MTG_Set[[#This Row],[Type Name]], tbl_MTG_Set_Type[Set Type], tbl_MTG_Set_Type[Sell Window Month Start], "(Set Type not found)", 0, 1)</f>
        <v>0</v>
      </c>
      <c r="U160" s="3">
        <f>tbl_MTG_Set[[#This Row],[Released On]]+tbl_MTG_Set[[#This Row],[Sell Window Month Start]]*365.25/12</f>
        <v>45100</v>
      </c>
      <c r="V160">
        <f>_xlfn.XLOOKUP(tbl_MTG_Set[[#This Row],[Type Name]], tbl_MTG_Set_Type[Set Type], tbl_MTG_Set_Type[Sell Window Month End], "(Set Type not found)", 0, 1)</f>
        <v>0</v>
      </c>
      <c r="W160" s="3">
        <f>tbl_MTG_Set[[#This Row],[Released On]]+tbl_MTG_Set[[#This Row],[Sell Window Month End]]*365.25/12</f>
        <v>45100</v>
      </c>
      <c r="X160" s="3" t="b">
        <f ca="1">AND(NOW()&gt;=tbl_MTG_Set[[#This Row],[Sell Window Start]], NOW()&lt;=tbl_MTG_Set[[#This Row],[Sell Window End]])</f>
        <v>0</v>
      </c>
      <c r="AG160" s="10"/>
      <c r="AH160" s="10"/>
      <c r="AM160" s="10" t="str" cm="1">
        <f t="array" ref="AM1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0" s="10" t="str" cm="1">
        <f t="array" ref="AN1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0" s="4" t="e">
        <f>_xlfn.XLOOKUP(tbl_MTG_Set[[#This Row],[Play Booster Box Product Id]], tbl_Product[Product Id], tbl_Product[Pack Size])</f>
        <v>#N/A</v>
      </c>
      <c r="AP160" s="10" t="e">
        <f>(tbl_MTG_Set[[#This Row],[Play Booster Box Cost]]+v_Item_Shipping_Cost_In)/tbl_MTG_Set[[#This Row],[Play Booster Box Size]]</f>
        <v>#VALUE!</v>
      </c>
      <c r="AQ160" s="10" t="str" cm="1">
        <f t="array" ref="AQ1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0" s="10"/>
      <c r="AS160" s="10"/>
      <c r="AT160" s="17" t="e">
        <f>tbl_MTG_Set[[#This Row],[Play Booster CardMarket Profit]]/tbl_MTG_Set[[#This Row],[Play Booster Cost]]</f>
        <v>#VALUE!</v>
      </c>
      <c r="AU160" s="10" t="e">
        <f>_xlfn.XLOOKUP(tbl_MTG_Set[[#This Row],[Collector Booster Box Product Id]], tbl_Product[Product Id], tbl_Product[Min Cost])</f>
        <v>#N/A</v>
      </c>
      <c r="AV160" s="10" t="e">
        <f>_xlfn.XLOOKUP(tbl_MTG_Set[[#This Row],[Collector Booster Box Product Id]], tbl_Product[Product Id], tbl_Product[Best Source])</f>
        <v>#N/A</v>
      </c>
      <c r="AW160" s="4" t="e">
        <f>_xlfn.XLOOKUP(tbl_MTG_Set[[#This Row],[Collector Booster Box Product Id]], tbl_Product[Product Id], tbl_Product[Pack Size])</f>
        <v>#N/A</v>
      </c>
      <c r="AX160" s="10" t="e">
        <f>(tbl_MTG_Set[[#This Row],[Collector Booster Box Cost]] + v_Item_Shipping_Cost_In) / tbl_MTG_Set[[#This Row],[Collector Booster Box Size]]</f>
        <v>#N/A</v>
      </c>
      <c r="AY160" s="10" t="str" cm="1">
        <f t="array" ref="AY1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0" s="10"/>
      <c r="BA1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0" s="17" t="e">
        <f>tbl_MTG_Set[[#This Row],[Collector Booster CardMarket Profit]]/tbl_MTG_Set[[#This Row],[Collector Booster Cost]]</f>
        <v>#N/A</v>
      </c>
      <c r="BC160" s="10"/>
      <c r="BF1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0" s="11" t="e">
        <f>tbl_MTG_Set[[#This Row],[Play Singles CardMarket Profit MTG Stocks]]/tbl_MTG_Set[[#This Row],[Play Booster Cost]]</f>
        <v>#VALUE!</v>
      </c>
      <c r="BI160" s="11" t="b">
        <f>tbl_MTG_Set[[#This Row],[Play Singles CardMarket Profit MTG Stocks]]&gt;0</f>
        <v>0</v>
      </c>
      <c r="BM160" s="10" t="e">
        <f>tbl_MTG_Set[[#This Row],[Play Booster Sell Price CardMarket]]*tbl_MTG_Set[[#This Row],[Play Booster Expected Market Value BotBox]]/tbl_MTG_Set[[#This Row],[Play Booster Sealed Market Value BotBox]]</f>
        <v>#VALUE!</v>
      </c>
      <c r="BN1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0" s="10" t="e">
        <f>tbl_MTG_Set[[#This Row],[Play Singles CardMarket Profit BotBox]]/tbl_MTG_Set[[#This Row],[Play Booster Cost]]</f>
        <v>#VALUE!</v>
      </c>
      <c r="BP160" s="10" t="b">
        <f>tbl_MTG_Set[[#This Row],[Play Singles CardMarket Profit BotBox]]&gt;0</f>
        <v>0</v>
      </c>
      <c r="BQ160" s="10"/>
      <c r="BR160" s="10"/>
      <c r="BS160" s="10"/>
      <c r="BT1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0" s="19" t="e">
        <f>tbl_MTG_Set[[#This Row],[Collector Singles CardMarket Profit MTG Stocks]]/tbl_MTG_Set[[#This Row],[Collector Booster Cost]]</f>
        <v>#N/A</v>
      </c>
      <c r="BW160" s="10" t="b">
        <f>tbl_MTG_Set[[#This Row],[Collector Singles CardMarket Profit MTG Stocks]]&gt;0</f>
        <v>0</v>
      </c>
      <c r="BX160" s="10"/>
      <c r="BY160" s="10"/>
      <c r="BZ1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0" s="10" t="e">
        <f>tbl_MTG_Set[[#This Row],[Collector Singles CardMarket Profit BotBox]]/tbl_MTG_Set[[#This Row],[Collector Booster Cost]]</f>
        <v>#N/A</v>
      </c>
      <c r="CC160" s="10" t="b">
        <f>tbl_MTG_Set[[#This Row],[Collector Singles CardMarket Profit BotBox]]&gt;0</f>
        <v>0</v>
      </c>
      <c r="CD1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1" spans="1:86" hidden="1">
      <c r="A161">
        <v>178</v>
      </c>
      <c r="B161" t="s">
        <v>334</v>
      </c>
      <c r="C161">
        <v>10</v>
      </c>
      <c r="D161" s="3">
        <v>45100</v>
      </c>
      <c r="E161" t="s">
        <v>86</v>
      </c>
      <c r="F161" t="s">
        <v>174</v>
      </c>
      <c r="G161">
        <v>302</v>
      </c>
      <c r="H161">
        <f ca="1">MONTH(NOW())+12*YEAR(NOW())-MONTH(tbl_MTG_Set[[#This Row],[Released On]])-12*YEAR(tbl_MTG_Set[[#This Row],[Released On]])</f>
        <v>33</v>
      </c>
      <c r="I161">
        <f>_xlfn.XLOOKUP(tbl_MTG_Set[[#This Row],[Type Name]], tbl_MTG_Set_Type[Set Type], tbl_MTG_Set_Type[Index], "(Set Type not found)")</f>
        <v>6</v>
      </c>
      <c r="J161">
        <f>_xlfn.XLOOKUP(tbl_MTG_Set[[#This Row],[Type Name]], tbl_MTG_Set_Type[Set Type], tbl_MTG_Set_Type[Buy Window Month Start], "(Set Type not found)")</f>
        <v>3</v>
      </c>
      <c r="K161" s="3">
        <f>tbl_MTG_Set[[#This Row],[Released On]]+tbl_MTG_Set[[#This Row],[Buy Window Month Start]]*365.25/12</f>
        <v>45191.3125</v>
      </c>
      <c r="L161">
        <f>_xlfn.XLOOKUP(tbl_MTG_Set[[#This Row],[Type Name]], tbl_MTG_Set_Type[Set Type], tbl_MTG_Set_Type[Buy Window Month End], "(Set Type not found)", 0, 1)</f>
        <v>6</v>
      </c>
      <c r="M161" s="3">
        <f>tbl_MTG_Set[[#This Row],[Released On]]+tbl_MTG_Set[[#This Row],[Buy Window Month End]]*365.25/12</f>
        <v>45282.625</v>
      </c>
      <c r="N161" s="3" t="b">
        <f ca="1">AND(NOW()&gt;=tbl_MTG_Set[[#This Row],[Buy Window Start]], NOW()&lt;=tbl_MTG_Set[[#This Row],[Buy Window End]])</f>
        <v>0</v>
      </c>
      <c r="O161">
        <f>_xlfn.XLOOKUP(tbl_MTG_Set[[#This Row],[Type Name]], tbl_MTG_Set_Type[Set Type], tbl_MTG_Set_Type[Heavy Printing Window Month Start], "(Set Type not found)", 0, 1)</f>
        <v>0</v>
      </c>
      <c r="P161" s="3">
        <f>tbl_MTG_Set[[#This Row],[Released On]]+tbl_MTG_Set[[#This Row],[Heavy Printing Window Month Start]]*365.25/12</f>
        <v>45100</v>
      </c>
      <c r="Q161">
        <f>_xlfn.XLOOKUP(tbl_MTG_Set[[#This Row],[Type Name]], tbl_MTG_Set_Type[Set Type], tbl_MTG_Set_Type[Heavy Printing Window Month End], "(Set Type not found)", 0, 1)</f>
        <v>0</v>
      </c>
      <c r="R161" s="3">
        <f>tbl_MTG_Set[[#This Row],[Released On]]+tbl_MTG_Set[[#This Row],[Heavy Printing Window Month End]]*365.25/12</f>
        <v>45100</v>
      </c>
      <c r="S161" s="3" t="b">
        <f ca="1">AND(NOW()&gt;=tbl_MTG_Set[[#This Row],[Heavy Printing Window Start]], NOW()&lt;=tbl_MTG_Set[[#This Row],[Heavy Printing Window End]])</f>
        <v>0</v>
      </c>
      <c r="T161">
        <f>_xlfn.XLOOKUP(tbl_MTG_Set[[#This Row],[Type Name]], tbl_MTG_Set_Type[Set Type], tbl_MTG_Set_Type[Sell Window Month Start], "(Set Type not found)", 0, 1)</f>
        <v>0</v>
      </c>
      <c r="U161" s="3">
        <f>tbl_MTG_Set[[#This Row],[Released On]]+tbl_MTG_Set[[#This Row],[Sell Window Month Start]]*365.25/12</f>
        <v>45100</v>
      </c>
      <c r="V161">
        <f>_xlfn.XLOOKUP(tbl_MTG_Set[[#This Row],[Type Name]], tbl_MTG_Set_Type[Set Type], tbl_MTG_Set_Type[Sell Window Month End], "(Set Type not found)", 0, 1)</f>
        <v>0</v>
      </c>
      <c r="W161" s="3">
        <f>tbl_MTG_Set[[#This Row],[Released On]]+tbl_MTG_Set[[#This Row],[Sell Window Month End]]*365.25/12</f>
        <v>45100</v>
      </c>
      <c r="X161" s="3" t="b">
        <f ca="1">AND(NOW()&gt;=tbl_MTG_Set[[#This Row],[Sell Window Start]], NOW()&lt;=tbl_MTG_Set[[#This Row],[Sell Window End]])</f>
        <v>0</v>
      </c>
      <c r="AG161" s="10"/>
      <c r="AH161" s="10"/>
      <c r="AM161" s="10" t="str" cm="1">
        <f t="array" ref="AM1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1" s="10" t="str" cm="1">
        <f t="array" ref="AN1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1" s="4" t="e">
        <f>_xlfn.XLOOKUP(tbl_MTG_Set[[#This Row],[Play Booster Box Product Id]], tbl_Product[Product Id], tbl_Product[Pack Size])</f>
        <v>#N/A</v>
      </c>
      <c r="AP161" s="10" t="e">
        <f>(tbl_MTG_Set[[#This Row],[Play Booster Box Cost]]+v_Item_Shipping_Cost_In)/tbl_MTG_Set[[#This Row],[Play Booster Box Size]]</f>
        <v>#VALUE!</v>
      </c>
      <c r="AQ161" s="10" t="str" cm="1">
        <f t="array" ref="AQ1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1" s="10"/>
      <c r="AS161" s="10"/>
      <c r="AT161" s="17" t="e">
        <f>tbl_MTG_Set[[#This Row],[Play Booster CardMarket Profit]]/tbl_MTG_Set[[#This Row],[Play Booster Cost]]</f>
        <v>#VALUE!</v>
      </c>
      <c r="AU161" s="10" t="e">
        <f>_xlfn.XLOOKUP(tbl_MTG_Set[[#This Row],[Collector Booster Box Product Id]], tbl_Product[Product Id], tbl_Product[Min Cost])</f>
        <v>#N/A</v>
      </c>
      <c r="AV161" s="10" t="e">
        <f>_xlfn.XLOOKUP(tbl_MTG_Set[[#This Row],[Collector Booster Box Product Id]], tbl_Product[Product Id], tbl_Product[Best Source])</f>
        <v>#N/A</v>
      </c>
      <c r="AW161" s="4" t="e">
        <f>_xlfn.XLOOKUP(tbl_MTG_Set[[#This Row],[Collector Booster Box Product Id]], tbl_Product[Product Id], tbl_Product[Pack Size])</f>
        <v>#N/A</v>
      </c>
      <c r="AX161" s="10" t="e">
        <f>(tbl_MTG_Set[[#This Row],[Collector Booster Box Cost]] + v_Item_Shipping_Cost_In) / tbl_MTG_Set[[#This Row],[Collector Booster Box Size]]</f>
        <v>#N/A</v>
      </c>
      <c r="AY161" s="10" t="str" cm="1">
        <f t="array" ref="AY1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1" s="10"/>
      <c r="BA1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1" s="17" t="e">
        <f>tbl_MTG_Set[[#This Row],[Collector Booster CardMarket Profit]]/tbl_MTG_Set[[#This Row],[Collector Booster Cost]]</f>
        <v>#N/A</v>
      </c>
      <c r="BC161" s="10"/>
      <c r="BF1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1" s="11" t="e">
        <f>tbl_MTG_Set[[#This Row],[Play Singles CardMarket Profit MTG Stocks]]/tbl_MTG_Set[[#This Row],[Play Booster Cost]]</f>
        <v>#VALUE!</v>
      </c>
      <c r="BI161" s="11" t="b">
        <f>tbl_MTG_Set[[#This Row],[Play Singles CardMarket Profit MTG Stocks]]&gt;0</f>
        <v>0</v>
      </c>
      <c r="BM161" s="10" t="e">
        <f>tbl_MTG_Set[[#This Row],[Play Booster Sell Price CardMarket]]*tbl_MTG_Set[[#This Row],[Play Booster Expected Market Value BotBox]]/tbl_MTG_Set[[#This Row],[Play Booster Sealed Market Value BotBox]]</f>
        <v>#VALUE!</v>
      </c>
      <c r="BN1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1" s="10" t="e">
        <f>tbl_MTG_Set[[#This Row],[Play Singles CardMarket Profit BotBox]]/tbl_MTG_Set[[#This Row],[Play Booster Cost]]</f>
        <v>#VALUE!</v>
      </c>
      <c r="BP161" s="10" t="b">
        <f>tbl_MTG_Set[[#This Row],[Play Singles CardMarket Profit BotBox]]&gt;0</f>
        <v>0</v>
      </c>
      <c r="BQ161" s="10"/>
      <c r="BR161" s="10"/>
      <c r="BS161" s="10"/>
      <c r="BT1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1" s="19" t="e">
        <f>tbl_MTG_Set[[#This Row],[Collector Singles CardMarket Profit MTG Stocks]]/tbl_MTG_Set[[#This Row],[Collector Booster Cost]]</f>
        <v>#N/A</v>
      </c>
      <c r="BW161" s="10" t="b">
        <f>tbl_MTG_Set[[#This Row],[Collector Singles CardMarket Profit MTG Stocks]]&gt;0</f>
        <v>0</v>
      </c>
      <c r="BX161" s="10"/>
      <c r="BY161" s="10"/>
      <c r="BZ1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1" s="10" t="e">
        <f>tbl_MTG_Set[[#This Row],[Collector Singles CardMarket Profit BotBox]]/tbl_MTG_Set[[#This Row],[Collector Booster Cost]]</f>
        <v>#N/A</v>
      </c>
      <c r="CC161" s="10" t="b">
        <f>tbl_MTG_Set[[#This Row],[Collector Singles CardMarket Profit BotBox]]&gt;0</f>
        <v>0</v>
      </c>
      <c r="CD1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2" spans="1:86" hidden="1">
      <c r="A162">
        <v>179</v>
      </c>
      <c r="B162" t="s">
        <v>335</v>
      </c>
      <c r="C162">
        <v>1</v>
      </c>
      <c r="D162" s="3">
        <v>45100</v>
      </c>
      <c r="E162" t="s">
        <v>86</v>
      </c>
      <c r="F162" t="s">
        <v>174</v>
      </c>
      <c r="G162">
        <v>304</v>
      </c>
      <c r="H162">
        <f ca="1">MONTH(NOW())+12*YEAR(NOW())-MONTH(tbl_MTG_Set[[#This Row],[Released On]])-12*YEAR(tbl_MTG_Set[[#This Row],[Released On]])</f>
        <v>33</v>
      </c>
      <c r="I162">
        <f>_xlfn.XLOOKUP(tbl_MTG_Set[[#This Row],[Type Name]], tbl_MTG_Set_Type[Set Type], tbl_MTG_Set_Type[Index], "(Set Type not found)")</f>
        <v>6</v>
      </c>
      <c r="J162">
        <f>_xlfn.XLOOKUP(tbl_MTG_Set[[#This Row],[Type Name]], tbl_MTG_Set_Type[Set Type], tbl_MTG_Set_Type[Buy Window Month Start], "(Set Type not found)")</f>
        <v>3</v>
      </c>
      <c r="K162" s="3">
        <f>tbl_MTG_Set[[#This Row],[Released On]]+tbl_MTG_Set[[#This Row],[Buy Window Month Start]]*365.25/12</f>
        <v>45191.3125</v>
      </c>
      <c r="L162">
        <f>_xlfn.XLOOKUP(tbl_MTG_Set[[#This Row],[Type Name]], tbl_MTG_Set_Type[Set Type], tbl_MTG_Set_Type[Buy Window Month End], "(Set Type not found)", 0, 1)</f>
        <v>6</v>
      </c>
      <c r="M162" s="3">
        <f>tbl_MTG_Set[[#This Row],[Released On]]+tbl_MTG_Set[[#This Row],[Buy Window Month End]]*365.25/12</f>
        <v>45282.625</v>
      </c>
      <c r="N162" s="3" t="b">
        <f ca="1">AND(NOW()&gt;=tbl_MTG_Set[[#This Row],[Buy Window Start]], NOW()&lt;=tbl_MTG_Set[[#This Row],[Buy Window End]])</f>
        <v>0</v>
      </c>
      <c r="O162">
        <f>_xlfn.XLOOKUP(tbl_MTG_Set[[#This Row],[Type Name]], tbl_MTG_Set_Type[Set Type], tbl_MTG_Set_Type[Heavy Printing Window Month Start], "(Set Type not found)", 0, 1)</f>
        <v>0</v>
      </c>
      <c r="P162" s="3">
        <f>tbl_MTG_Set[[#This Row],[Released On]]+tbl_MTG_Set[[#This Row],[Heavy Printing Window Month Start]]*365.25/12</f>
        <v>45100</v>
      </c>
      <c r="Q162">
        <f>_xlfn.XLOOKUP(tbl_MTG_Set[[#This Row],[Type Name]], tbl_MTG_Set_Type[Set Type], tbl_MTG_Set_Type[Heavy Printing Window Month End], "(Set Type not found)", 0, 1)</f>
        <v>0</v>
      </c>
      <c r="R162" s="3">
        <f>tbl_MTG_Set[[#This Row],[Released On]]+tbl_MTG_Set[[#This Row],[Heavy Printing Window Month End]]*365.25/12</f>
        <v>45100</v>
      </c>
      <c r="S162" s="3" t="b">
        <f ca="1">AND(NOW()&gt;=tbl_MTG_Set[[#This Row],[Heavy Printing Window Start]], NOW()&lt;=tbl_MTG_Set[[#This Row],[Heavy Printing Window End]])</f>
        <v>0</v>
      </c>
      <c r="T162">
        <f>_xlfn.XLOOKUP(tbl_MTG_Set[[#This Row],[Type Name]], tbl_MTG_Set_Type[Set Type], tbl_MTG_Set_Type[Sell Window Month Start], "(Set Type not found)", 0, 1)</f>
        <v>0</v>
      </c>
      <c r="U162" s="3">
        <f>tbl_MTG_Set[[#This Row],[Released On]]+tbl_MTG_Set[[#This Row],[Sell Window Month Start]]*365.25/12</f>
        <v>45100</v>
      </c>
      <c r="V162">
        <f>_xlfn.XLOOKUP(tbl_MTG_Set[[#This Row],[Type Name]], tbl_MTG_Set_Type[Set Type], tbl_MTG_Set_Type[Sell Window Month End], "(Set Type not found)", 0, 1)</f>
        <v>0</v>
      </c>
      <c r="W162" s="3">
        <f>tbl_MTG_Set[[#This Row],[Released On]]+tbl_MTG_Set[[#This Row],[Sell Window Month End]]*365.25/12</f>
        <v>45100</v>
      </c>
      <c r="X162" s="3" t="b">
        <f ca="1">AND(NOW()&gt;=tbl_MTG_Set[[#This Row],[Sell Window Start]], NOW()&lt;=tbl_MTG_Set[[#This Row],[Sell Window End]])</f>
        <v>0</v>
      </c>
      <c r="AG162" s="10"/>
      <c r="AH162" s="10"/>
      <c r="AM162" s="10" t="str" cm="1">
        <f t="array" ref="AM1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2" s="10" t="str" cm="1">
        <f t="array" ref="AN1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2" s="4" t="e">
        <f>_xlfn.XLOOKUP(tbl_MTG_Set[[#This Row],[Play Booster Box Product Id]], tbl_Product[Product Id], tbl_Product[Pack Size])</f>
        <v>#N/A</v>
      </c>
      <c r="AP162" s="10" t="e">
        <f>(tbl_MTG_Set[[#This Row],[Play Booster Box Cost]]+v_Item_Shipping_Cost_In)/tbl_MTG_Set[[#This Row],[Play Booster Box Size]]</f>
        <v>#VALUE!</v>
      </c>
      <c r="AQ162" s="10" t="str" cm="1">
        <f t="array" ref="AQ1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2" s="10"/>
      <c r="AS162" s="10"/>
      <c r="AT162" s="17" t="e">
        <f>tbl_MTG_Set[[#This Row],[Play Booster CardMarket Profit]]/tbl_MTG_Set[[#This Row],[Play Booster Cost]]</f>
        <v>#VALUE!</v>
      </c>
      <c r="AU162" s="10" t="e">
        <f>_xlfn.XLOOKUP(tbl_MTG_Set[[#This Row],[Collector Booster Box Product Id]], tbl_Product[Product Id], tbl_Product[Min Cost])</f>
        <v>#N/A</v>
      </c>
      <c r="AV162" s="10" t="e">
        <f>_xlfn.XLOOKUP(tbl_MTG_Set[[#This Row],[Collector Booster Box Product Id]], tbl_Product[Product Id], tbl_Product[Best Source])</f>
        <v>#N/A</v>
      </c>
      <c r="AW162" s="4" t="e">
        <f>_xlfn.XLOOKUP(tbl_MTG_Set[[#This Row],[Collector Booster Box Product Id]], tbl_Product[Product Id], tbl_Product[Pack Size])</f>
        <v>#N/A</v>
      </c>
      <c r="AX162" s="10" t="e">
        <f>(tbl_MTG_Set[[#This Row],[Collector Booster Box Cost]] + v_Item_Shipping_Cost_In) / tbl_MTG_Set[[#This Row],[Collector Booster Box Size]]</f>
        <v>#N/A</v>
      </c>
      <c r="AY162" s="10" t="str" cm="1">
        <f t="array" ref="AY1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2" s="10"/>
      <c r="BA1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2" s="17" t="e">
        <f>tbl_MTG_Set[[#This Row],[Collector Booster CardMarket Profit]]/tbl_MTG_Set[[#This Row],[Collector Booster Cost]]</f>
        <v>#N/A</v>
      </c>
      <c r="BC162" s="10"/>
      <c r="BF1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2" s="11" t="e">
        <f>tbl_MTG_Set[[#This Row],[Play Singles CardMarket Profit MTG Stocks]]/tbl_MTG_Set[[#This Row],[Play Booster Cost]]</f>
        <v>#VALUE!</v>
      </c>
      <c r="BI162" s="11" t="b">
        <f>tbl_MTG_Set[[#This Row],[Play Singles CardMarket Profit MTG Stocks]]&gt;0</f>
        <v>0</v>
      </c>
      <c r="BM162" s="10" t="e">
        <f>tbl_MTG_Set[[#This Row],[Play Booster Sell Price CardMarket]]*tbl_MTG_Set[[#This Row],[Play Booster Expected Market Value BotBox]]/tbl_MTG_Set[[#This Row],[Play Booster Sealed Market Value BotBox]]</f>
        <v>#VALUE!</v>
      </c>
      <c r="BN1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2" s="10" t="e">
        <f>tbl_MTG_Set[[#This Row],[Play Singles CardMarket Profit BotBox]]/tbl_MTG_Set[[#This Row],[Play Booster Cost]]</f>
        <v>#VALUE!</v>
      </c>
      <c r="BP162" s="10" t="b">
        <f>tbl_MTG_Set[[#This Row],[Play Singles CardMarket Profit BotBox]]&gt;0</f>
        <v>0</v>
      </c>
      <c r="BQ162" s="10"/>
      <c r="BR162" s="10"/>
      <c r="BS162" s="10"/>
      <c r="BT1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2" s="19" t="e">
        <f>tbl_MTG_Set[[#This Row],[Collector Singles CardMarket Profit MTG Stocks]]/tbl_MTG_Set[[#This Row],[Collector Booster Cost]]</f>
        <v>#N/A</v>
      </c>
      <c r="BW162" s="10" t="b">
        <f>tbl_MTG_Set[[#This Row],[Collector Singles CardMarket Profit MTG Stocks]]&gt;0</f>
        <v>0</v>
      </c>
      <c r="BX162" s="10"/>
      <c r="BY162" s="10"/>
      <c r="BZ1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2" s="10" t="e">
        <f>tbl_MTG_Set[[#This Row],[Collector Singles CardMarket Profit BotBox]]/tbl_MTG_Set[[#This Row],[Collector Booster Cost]]</f>
        <v>#N/A</v>
      </c>
      <c r="CC162" s="10" t="b">
        <f>tbl_MTG_Set[[#This Row],[Collector Singles CardMarket Profit BotBox]]&gt;0</f>
        <v>0</v>
      </c>
      <c r="CD1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3" spans="1:86" hidden="1">
      <c r="A163">
        <v>180</v>
      </c>
      <c r="B163" t="s">
        <v>336</v>
      </c>
      <c r="C163">
        <v>230</v>
      </c>
      <c r="D163" s="3">
        <v>45058</v>
      </c>
      <c r="E163" t="s">
        <v>59</v>
      </c>
      <c r="F163" t="s">
        <v>174</v>
      </c>
      <c r="G163">
        <v>306</v>
      </c>
      <c r="H163">
        <f ca="1">MONTH(NOW())+12*YEAR(NOW())-MONTH(tbl_MTG_Set[[#This Row],[Released On]])-12*YEAR(tbl_MTG_Set[[#This Row],[Released On]])</f>
        <v>34</v>
      </c>
      <c r="I163">
        <f>_xlfn.XLOOKUP(tbl_MTG_Set[[#This Row],[Type Name]], tbl_MTG_Set_Type[Set Type], tbl_MTG_Set_Type[Index], "(Set Type not found)")</f>
        <v>1</v>
      </c>
      <c r="J163">
        <f>_xlfn.XLOOKUP(tbl_MTG_Set[[#This Row],[Type Name]], tbl_MTG_Set_Type[Set Type], tbl_MTG_Set_Type[Buy Window Month Start], "(Set Type not found)")</f>
        <v>18</v>
      </c>
      <c r="K163" s="3">
        <f>tbl_MTG_Set[[#This Row],[Released On]]+tbl_MTG_Set[[#This Row],[Buy Window Month Start]]*365.25/12</f>
        <v>45605.875</v>
      </c>
      <c r="L163">
        <f>_xlfn.XLOOKUP(tbl_MTG_Set[[#This Row],[Type Name]], tbl_MTG_Set_Type[Set Type], tbl_MTG_Set_Type[Buy Window Month End], "(Set Type not found)", 0, 1)</f>
        <v>24</v>
      </c>
      <c r="M163" s="3">
        <f>tbl_MTG_Set[[#This Row],[Released On]]+tbl_MTG_Set[[#This Row],[Buy Window Month End]]*365.25/12</f>
        <v>45788.5</v>
      </c>
      <c r="N163" s="3" t="b">
        <f ca="1">AND(NOW()&gt;=tbl_MTG_Set[[#This Row],[Buy Window Start]], NOW()&lt;=tbl_MTG_Set[[#This Row],[Buy Window End]])</f>
        <v>0</v>
      </c>
      <c r="O163">
        <f>_xlfn.XLOOKUP(tbl_MTG_Set[[#This Row],[Type Name]], tbl_MTG_Set_Type[Set Type], tbl_MTG_Set_Type[Heavy Printing Window Month Start], "(Set Type not found)", 0, 1)</f>
        <v>1</v>
      </c>
      <c r="P163" s="3">
        <f>tbl_MTG_Set[[#This Row],[Released On]]+tbl_MTG_Set[[#This Row],[Heavy Printing Window Month Start]]*365.25/12</f>
        <v>45088.4375</v>
      </c>
      <c r="Q163">
        <f>_xlfn.XLOOKUP(tbl_MTG_Set[[#This Row],[Type Name]], tbl_MTG_Set_Type[Set Type], tbl_MTG_Set_Type[Heavy Printing Window Month End], "(Set Type not found)", 0, 1)</f>
        <v>18</v>
      </c>
      <c r="R163" s="3">
        <f>tbl_MTG_Set[[#This Row],[Released On]]+tbl_MTG_Set[[#This Row],[Heavy Printing Window Month End]]*365.25/12</f>
        <v>45605.875</v>
      </c>
      <c r="S163" s="3" t="b">
        <f ca="1">AND(NOW()&gt;=tbl_MTG_Set[[#This Row],[Heavy Printing Window Start]], NOW()&lt;=tbl_MTG_Set[[#This Row],[Heavy Printing Window End]])</f>
        <v>0</v>
      </c>
      <c r="T163">
        <f>_xlfn.XLOOKUP(tbl_MTG_Set[[#This Row],[Type Name]], tbl_MTG_Set_Type[Set Type], tbl_MTG_Set_Type[Sell Window Month Start], "(Set Type not found)", 0, 1)</f>
        <v>36</v>
      </c>
      <c r="U163" s="3">
        <f>tbl_MTG_Set[[#This Row],[Released On]]+tbl_MTG_Set[[#This Row],[Sell Window Month Start]]*365.25/12</f>
        <v>46153.75</v>
      </c>
      <c r="V163">
        <f>_xlfn.XLOOKUP(tbl_MTG_Set[[#This Row],[Type Name]], tbl_MTG_Set_Type[Set Type], tbl_MTG_Set_Type[Sell Window Month End], "(Set Type not found)", 0, 1)</f>
        <v>48</v>
      </c>
      <c r="W163" s="3">
        <f>tbl_MTG_Set[[#This Row],[Released On]]+tbl_MTG_Set[[#This Row],[Sell Window Month End]]*365.25/12</f>
        <v>46519</v>
      </c>
      <c r="X163" s="3" t="b">
        <f ca="1">AND(NOW()&gt;=tbl_MTG_Set[[#This Row],[Sell Window Start]], NOW()&lt;=tbl_MTG_Set[[#This Row],[Sell Window End]])</f>
        <v>0</v>
      </c>
      <c r="AG163" s="10"/>
      <c r="AH163" s="10"/>
      <c r="AM163" s="10" t="str" cm="1">
        <f t="array" ref="AM1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3" s="10" t="str" cm="1">
        <f t="array" ref="AN1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3" s="4" t="e">
        <f>_xlfn.XLOOKUP(tbl_MTG_Set[[#This Row],[Play Booster Box Product Id]], tbl_Product[Product Id], tbl_Product[Pack Size])</f>
        <v>#N/A</v>
      </c>
      <c r="AP163" s="10" t="e">
        <f>(tbl_MTG_Set[[#This Row],[Play Booster Box Cost]]+v_Item_Shipping_Cost_In)/tbl_MTG_Set[[#This Row],[Play Booster Box Size]]</f>
        <v>#VALUE!</v>
      </c>
      <c r="AQ163" s="10" t="str" cm="1">
        <f t="array" ref="AQ1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3" s="10"/>
      <c r="AS163" s="10"/>
      <c r="AT163" s="17" t="e">
        <f>tbl_MTG_Set[[#This Row],[Play Booster CardMarket Profit]]/tbl_MTG_Set[[#This Row],[Play Booster Cost]]</f>
        <v>#VALUE!</v>
      </c>
      <c r="AU163" s="10" t="e">
        <f>_xlfn.XLOOKUP(tbl_MTG_Set[[#This Row],[Collector Booster Box Product Id]], tbl_Product[Product Id], tbl_Product[Min Cost])</f>
        <v>#N/A</v>
      </c>
      <c r="AV163" s="10" t="e">
        <f>_xlfn.XLOOKUP(tbl_MTG_Set[[#This Row],[Collector Booster Box Product Id]], tbl_Product[Product Id], tbl_Product[Best Source])</f>
        <v>#N/A</v>
      </c>
      <c r="AW163" s="4" t="e">
        <f>_xlfn.XLOOKUP(tbl_MTG_Set[[#This Row],[Collector Booster Box Product Id]], tbl_Product[Product Id], tbl_Product[Pack Size])</f>
        <v>#N/A</v>
      </c>
      <c r="AX163" s="10" t="e">
        <f>(tbl_MTG_Set[[#This Row],[Collector Booster Box Cost]] + v_Item_Shipping_Cost_In) / tbl_MTG_Set[[#This Row],[Collector Booster Box Size]]</f>
        <v>#N/A</v>
      </c>
      <c r="AY163" s="10" t="str" cm="1">
        <f t="array" ref="AY1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3" s="10"/>
      <c r="BA1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3" s="17" t="e">
        <f>tbl_MTG_Set[[#This Row],[Collector Booster CardMarket Profit]]/tbl_MTG_Set[[#This Row],[Collector Booster Cost]]</f>
        <v>#N/A</v>
      </c>
      <c r="BC163" s="10"/>
      <c r="BF1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3" s="11" t="e">
        <f>tbl_MTG_Set[[#This Row],[Play Singles CardMarket Profit MTG Stocks]]/tbl_MTG_Set[[#This Row],[Play Booster Cost]]</f>
        <v>#VALUE!</v>
      </c>
      <c r="BI163" s="11" t="b">
        <f>tbl_MTG_Set[[#This Row],[Play Singles CardMarket Profit MTG Stocks]]&gt;0</f>
        <v>0</v>
      </c>
      <c r="BM163" s="10" t="e">
        <f>tbl_MTG_Set[[#This Row],[Play Booster Sell Price CardMarket]]*tbl_MTG_Set[[#This Row],[Play Booster Expected Market Value BotBox]]/tbl_MTG_Set[[#This Row],[Play Booster Sealed Market Value BotBox]]</f>
        <v>#VALUE!</v>
      </c>
      <c r="BN1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3" s="10" t="e">
        <f>tbl_MTG_Set[[#This Row],[Play Singles CardMarket Profit BotBox]]/tbl_MTG_Set[[#This Row],[Play Booster Cost]]</f>
        <v>#VALUE!</v>
      </c>
      <c r="BP163" s="10" t="b">
        <f>tbl_MTG_Set[[#This Row],[Play Singles CardMarket Profit BotBox]]&gt;0</f>
        <v>0</v>
      </c>
      <c r="BQ163" s="10"/>
      <c r="BR163" s="10"/>
      <c r="BS163" s="10"/>
      <c r="BT1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3" s="19" t="e">
        <f>tbl_MTG_Set[[#This Row],[Collector Singles CardMarket Profit MTG Stocks]]/tbl_MTG_Set[[#This Row],[Collector Booster Cost]]</f>
        <v>#N/A</v>
      </c>
      <c r="BW163" s="10" t="b">
        <f>tbl_MTG_Set[[#This Row],[Collector Singles CardMarket Profit MTG Stocks]]&gt;0</f>
        <v>0</v>
      </c>
      <c r="BX163" s="10"/>
      <c r="BY163" s="10"/>
      <c r="BZ1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3" s="10" t="e">
        <f>tbl_MTG_Set[[#This Row],[Collector Singles CardMarket Profit BotBox]]/tbl_MTG_Set[[#This Row],[Collector Booster Cost]]</f>
        <v>#N/A</v>
      </c>
      <c r="CC163" s="10" t="b">
        <f>tbl_MTG_Set[[#This Row],[Collector Singles CardMarket Profit BotBox]]&gt;0</f>
        <v>0</v>
      </c>
      <c r="CD1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4" spans="1:86" hidden="1">
      <c r="A164">
        <v>181</v>
      </c>
      <c r="B164" t="s">
        <v>337</v>
      </c>
      <c r="C164">
        <v>8</v>
      </c>
      <c r="D164" s="3">
        <v>45247</v>
      </c>
      <c r="F164" t="s">
        <v>174</v>
      </c>
      <c r="G164">
        <v>308</v>
      </c>
      <c r="H164">
        <f ca="1">MONTH(NOW())+12*YEAR(NOW())-MONTH(tbl_MTG_Set[[#This Row],[Released On]])-12*YEAR(tbl_MTG_Set[[#This Row],[Released On]])</f>
        <v>28</v>
      </c>
      <c r="I164" t="str">
        <f>_xlfn.XLOOKUP(tbl_MTG_Set[[#This Row],[Type Name]], tbl_MTG_Set_Type[Set Type], tbl_MTG_Set_Type[Index], "(Set Type not found)")</f>
        <v>(Set Type not found)</v>
      </c>
      <c r="J164" t="str">
        <f>_xlfn.XLOOKUP(tbl_MTG_Set[[#This Row],[Type Name]], tbl_MTG_Set_Type[Set Type], tbl_MTG_Set_Type[Buy Window Month Start], "(Set Type not found)")</f>
        <v>(Set Type not found)</v>
      </c>
      <c r="K164" s="3" t="e">
        <f>tbl_MTG_Set[[#This Row],[Released On]]+tbl_MTG_Set[[#This Row],[Buy Window Month Start]]*365.25/12</f>
        <v>#VALUE!</v>
      </c>
      <c r="L164" t="str">
        <f>_xlfn.XLOOKUP(tbl_MTG_Set[[#This Row],[Type Name]], tbl_MTG_Set_Type[Set Type], tbl_MTG_Set_Type[Buy Window Month End], "(Set Type not found)", 0, 1)</f>
        <v>(Set Type not found)</v>
      </c>
      <c r="M164" s="3" t="e">
        <f>tbl_MTG_Set[[#This Row],[Released On]]+tbl_MTG_Set[[#This Row],[Buy Window Month End]]*365.25/12</f>
        <v>#VALUE!</v>
      </c>
      <c r="N164" s="3" t="e">
        <f ca="1">AND(NOW()&gt;=tbl_MTG_Set[[#This Row],[Buy Window Start]], NOW()&lt;=tbl_MTG_Set[[#This Row],[Buy Window End]])</f>
        <v>#VALUE!</v>
      </c>
      <c r="O164" t="str">
        <f>_xlfn.XLOOKUP(tbl_MTG_Set[[#This Row],[Type Name]], tbl_MTG_Set_Type[Set Type], tbl_MTG_Set_Type[Heavy Printing Window Month Start], "(Set Type not found)", 0, 1)</f>
        <v>(Set Type not found)</v>
      </c>
      <c r="P164" s="3" t="e">
        <f>tbl_MTG_Set[[#This Row],[Released On]]+tbl_MTG_Set[[#This Row],[Heavy Printing Window Month Start]]*365.25/12</f>
        <v>#VALUE!</v>
      </c>
      <c r="Q164" t="str">
        <f>_xlfn.XLOOKUP(tbl_MTG_Set[[#This Row],[Type Name]], tbl_MTG_Set_Type[Set Type], tbl_MTG_Set_Type[Heavy Printing Window Month End], "(Set Type not found)", 0, 1)</f>
        <v>(Set Type not found)</v>
      </c>
      <c r="R164" s="3" t="e">
        <f>tbl_MTG_Set[[#This Row],[Released On]]+tbl_MTG_Set[[#This Row],[Heavy Printing Window Month End]]*365.25/12</f>
        <v>#VALUE!</v>
      </c>
      <c r="S164" s="3" t="e">
        <f ca="1">AND(NOW()&gt;=tbl_MTG_Set[[#This Row],[Heavy Printing Window Start]], NOW()&lt;=tbl_MTG_Set[[#This Row],[Heavy Printing Window End]])</f>
        <v>#VALUE!</v>
      </c>
      <c r="T164" t="str">
        <f>_xlfn.XLOOKUP(tbl_MTG_Set[[#This Row],[Type Name]], tbl_MTG_Set_Type[Set Type], tbl_MTG_Set_Type[Sell Window Month Start], "(Set Type not found)", 0, 1)</f>
        <v>(Set Type not found)</v>
      </c>
      <c r="U164" s="3" t="e">
        <f>tbl_MTG_Set[[#This Row],[Released On]]+tbl_MTG_Set[[#This Row],[Sell Window Month Start]]*365.25/12</f>
        <v>#VALUE!</v>
      </c>
      <c r="V164" t="str">
        <f>_xlfn.XLOOKUP(tbl_MTG_Set[[#This Row],[Type Name]], tbl_MTG_Set_Type[Set Type], tbl_MTG_Set_Type[Sell Window Month End], "(Set Type not found)", 0, 1)</f>
        <v>(Set Type not found)</v>
      </c>
      <c r="W164" s="3" t="e">
        <f>tbl_MTG_Set[[#This Row],[Released On]]+tbl_MTG_Set[[#This Row],[Sell Window Month End]]*365.25/12</f>
        <v>#VALUE!</v>
      </c>
      <c r="X164" s="3" t="e">
        <f ca="1">AND(NOW()&gt;=tbl_MTG_Set[[#This Row],[Sell Window Start]], NOW()&lt;=tbl_MTG_Set[[#This Row],[Sell Window End]])</f>
        <v>#VALUE!</v>
      </c>
      <c r="AG164" s="10"/>
      <c r="AH164" s="10"/>
      <c r="AM164" s="10" t="str" cm="1">
        <f t="array" ref="AM1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4" s="10" t="str" cm="1">
        <f t="array" ref="AN1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4" s="4" t="e">
        <f>_xlfn.XLOOKUP(tbl_MTG_Set[[#This Row],[Play Booster Box Product Id]], tbl_Product[Product Id], tbl_Product[Pack Size])</f>
        <v>#N/A</v>
      </c>
      <c r="AP164" s="10" t="e">
        <f>(tbl_MTG_Set[[#This Row],[Play Booster Box Cost]]+v_Item_Shipping_Cost_In)/tbl_MTG_Set[[#This Row],[Play Booster Box Size]]</f>
        <v>#VALUE!</v>
      </c>
      <c r="AQ164" s="10" t="str" cm="1">
        <f t="array" ref="AQ1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4" s="10"/>
      <c r="AS164" s="10"/>
      <c r="AT164" s="17" t="e">
        <f>tbl_MTG_Set[[#This Row],[Play Booster CardMarket Profit]]/tbl_MTG_Set[[#This Row],[Play Booster Cost]]</f>
        <v>#VALUE!</v>
      </c>
      <c r="AU164" s="10" t="e">
        <f>_xlfn.XLOOKUP(tbl_MTG_Set[[#This Row],[Collector Booster Box Product Id]], tbl_Product[Product Id], tbl_Product[Min Cost])</f>
        <v>#N/A</v>
      </c>
      <c r="AV164" s="10" t="e">
        <f>_xlfn.XLOOKUP(tbl_MTG_Set[[#This Row],[Collector Booster Box Product Id]], tbl_Product[Product Id], tbl_Product[Best Source])</f>
        <v>#N/A</v>
      </c>
      <c r="AW164" s="4" t="e">
        <f>_xlfn.XLOOKUP(tbl_MTG_Set[[#This Row],[Collector Booster Box Product Id]], tbl_Product[Product Id], tbl_Product[Pack Size])</f>
        <v>#N/A</v>
      </c>
      <c r="AX164" s="10" t="e">
        <f>(tbl_MTG_Set[[#This Row],[Collector Booster Box Cost]] + v_Item_Shipping_Cost_In) / tbl_MTG_Set[[#This Row],[Collector Booster Box Size]]</f>
        <v>#N/A</v>
      </c>
      <c r="AY164" s="10" t="str" cm="1">
        <f t="array" ref="AY1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4" s="10"/>
      <c r="BA1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4" s="17" t="e">
        <f>tbl_MTG_Set[[#This Row],[Collector Booster CardMarket Profit]]/tbl_MTG_Set[[#This Row],[Collector Booster Cost]]</f>
        <v>#N/A</v>
      </c>
      <c r="BC164" s="10"/>
      <c r="BF1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4" s="11" t="e">
        <f>tbl_MTG_Set[[#This Row],[Play Singles CardMarket Profit MTG Stocks]]/tbl_MTG_Set[[#This Row],[Play Booster Cost]]</f>
        <v>#VALUE!</v>
      </c>
      <c r="BI164" s="11" t="b">
        <f>tbl_MTG_Set[[#This Row],[Play Singles CardMarket Profit MTG Stocks]]&gt;0</f>
        <v>0</v>
      </c>
      <c r="BM164" s="10" t="e">
        <f>tbl_MTG_Set[[#This Row],[Play Booster Sell Price CardMarket]]*tbl_MTG_Set[[#This Row],[Play Booster Expected Market Value BotBox]]/tbl_MTG_Set[[#This Row],[Play Booster Sealed Market Value BotBox]]</f>
        <v>#VALUE!</v>
      </c>
      <c r="BN1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4" s="10" t="e">
        <f>tbl_MTG_Set[[#This Row],[Play Singles CardMarket Profit BotBox]]/tbl_MTG_Set[[#This Row],[Play Booster Cost]]</f>
        <v>#VALUE!</v>
      </c>
      <c r="BP164" s="10" t="b">
        <f>tbl_MTG_Set[[#This Row],[Play Singles CardMarket Profit BotBox]]&gt;0</f>
        <v>0</v>
      </c>
      <c r="BQ164" s="10"/>
      <c r="BR164" s="10"/>
      <c r="BS164" s="10"/>
      <c r="BT1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4" s="19" t="e">
        <f>tbl_MTG_Set[[#This Row],[Collector Singles CardMarket Profit MTG Stocks]]/tbl_MTG_Set[[#This Row],[Collector Booster Cost]]</f>
        <v>#N/A</v>
      </c>
      <c r="BW164" s="10" t="b">
        <f>tbl_MTG_Set[[#This Row],[Collector Singles CardMarket Profit MTG Stocks]]&gt;0</f>
        <v>0</v>
      </c>
      <c r="BX164" s="10"/>
      <c r="BY164" s="10"/>
      <c r="BZ1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4" s="10" t="e">
        <f>tbl_MTG_Set[[#This Row],[Collector Singles CardMarket Profit BotBox]]/tbl_MTG_Set[[#This Row],[Collector Booster Cost]]</f>
        <v>#N/A</v>
      </c>
      <c r="CC164" s="10" t="b">
        <f>tbl_MTG_Set[[#This Row],[Collector Singles CardMarket Profit BotBox]]&gt;0</f>
        <v>0</v>
      </c>
      <c r="CD1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5" spans="1:86" hidden="1">
      <c r="A165">
        <v>183</v>
      </c>
      <c r="B165" t="s">
        <v>338</v>
      </c>
      <c r="C165">
        <v>261</v>
      </c>
      <c r="D165" s="3">
        <v>45037</v>
      </c>
      <c r="F165" t="s">
        <v>174</v>
      </c>
      <c r="G165">
        <v>312</v>
      </c>
      <c r="H165">
        <f ca="1">MONTH(NOW())+12*YEAR(NOW())-MONTH(tbl_MTG_Set[[#This Row],[Released On]])-12*YEAR(tbl_MTG_Set[[#This Row],[Released On]])</f>
        <v>35</v>
      </c>
      <c r="I165" t="str">
        <f>_xlfn.XLOOKUP(tbl_MTG_Set[[#This Row],[Type Name]], tbl_MTG_Set_Type[Set Type], tbl_MTG_Set_Type[Index], "(Set Type not found)")</f>
        <v>(Set Type not found)</v>
      </c>
      <c r="J165" t="str">
        <f>_xlfn.XLOOKUP(tbl_MTG_Set[[#This Row],[Type Name]], tbl_MTG_Set_Type[Set Type], tbl_MTG_Set_Type[Buy Window Month Start], "(Set Type not found)")</f>
        <v>(Set Type not found)</v>
      </c>
      <c r="K165" s="3" t="e">
        <f>tbl_MTG_Set[[#This Row],[Released On]]+tbl_MTG_Set[[#This Row],[Buy Window Month Start]]*365.25/12</f>
        <v>#VALUE!</v>
      </c>
      <c r="L165" t="str">
        <f>_xlfn.XLOOKUP(tbl_MTG_Set[[#This Row],[Type Name]], tbl_MTG_Set_Type[Set Type], tbl_MTG_Set_Type[Buy Window Month End], "(Set Type not found)", 0, 1)</f>
        <v>(Set Type not found)</v>
      </c>
      <c r="M165" s="3" t="e">
        <f>tbl_MTG_Set[[#This Row],[Released On]]+tbl_MTG_Set[[#This Row],[Buy Window Month End]]*365.25/12</f>
        <v>#VALUE!</v>
      </c>
      <c r="N165" s="3" t="e">
        <f ca="1">AND(NOW()&gt;=tbl_MTG_Set[[#This Row],[Buy Window Start]], NOW()&lt;=tbl_MTG_Set[[#This Row],[Buy Window End]])</f>
        <v>#VALUE!</v>
      </c>
      <c r="O165" t="str">
        <f>_xlfn.XLOOKUP(tbl_MTG_Set[[#This Row],[Type Name]], tbl_MTG_Set_Type[Set Type], tbl_MTG_Set_Type[Heavy Printing Window Month Start], "(Set Type not found)", 0, 1)</f>
        <v>(Set Type not found)</v>
      </c>
      <c r="P165" s="3" t="e">
        <f>tbl_MTG_Set[[#This Row],[Released On]]+tbl_MTG_Set[[#This Row],[Heavy Printing Window Month Start]]*365.25/12</f>
        <v>#VALUE!</v>
      </c>
      <c r="Q165" t="str">
        <f>_xlfn.XLOOKUP(tbl_MTG_Set[[#This Row],[Type Name]], tbl_MTG_Set_Type[Set Type], tbl_MTG_Set_Type[Heavy Printing Window Month End], "(Set Type not found)", 0, 1)</f>
        <v>(Set Type not found)</v>
      </c>
      <c r="R165" s="3" t="e">
        <f>tbl_MTG_Set[[#This Row],[Released On]]+tbl_MTG_Set[[#This Row],[Heavy Printing Window Month End]]*365.25/12</f>
        <v>#VALUE!</v>
      </c>
      <c r="S165" s="3" t="e">
        <f ca="1">AND(NOW()&gt;=tbl_MTG_Set[[#This Row],[Heavy Printing Window Start]], NOW()&lt;=tbl_MTG_Set[[#This Row],[Heavy Printing Window End]])</f>
        <v>#VALUE!</v>
      </c>
      <c r="T165" t="str">
        <f>_xlfn.XLOOKUP(tbl_MTG_Set[[#This Row],[Type Name]], tbl_MTG_Set_Type[Set Type], tbl_MTG_Set_Type[Sell Window Month Start], "(Set Type not found)", 0, 1)</f>
        <v>(Set Type not found)</v>
      </c>
      <c r="U165" s="3" t="e">
        <f>tbl_MTG_Set[[#This Row],[Released On]]+tbl_MTG_Set[[#This Row],[Sell Window Month Start]]*365.25/12</f>
        <v>#VALUE!</v>
      </c>
      <c r="V165" t="str">
        <f>_xlfn.XLOOKUP(tbl_MTG_Set[[#This Row],[Type Name]], tbl_MTG_Set_Type[Set Type], tbl_MTG_Set_Type[Sell Window Month End], "(Set Type not found)", 0, 1)</f>
        <v>(Set Type not found)</v>
      </c>
      <c r="W165" s="3" t="e">
        <f>tbl_MTG_Set[[#This Row],[Released On]]+tbl_MTG_Set[[#This Row],[Sell Window Month End]]*365.25/12</f>
        <v>#VALUE!</v>
      </c>
      <c r="X165" s="3" t="e">
        <f ca="1">AND(NOW()&gt;=tbl_MTG_Set[[#This Row],[Sell Window Start]], NOW()&lt;=tbl_MTG_Set[[#This Row],[Sell Window End]])</f>
        <v>#VALUE!</v>
      </c>
      <c r="AG165" s="10"/>
      <c r="AH165" s="10"/>
      <c r="AM165" s="10" t="str" cm="1">
        <f t="array" ref="AM1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5" s="10" t="str" cm="1">
        <f t="array" ref="AN1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5" s="4" t="e">
        <f>_xlfn.XLOOKUP(tbl_MTG_Set[[#This Row],[Play Booster Box Product Id]], tbl_Product[Product Id], tbl_Product[Pack Size])</f>
        <v>#N/A</v>
      </c>
      <c r="AP165" s="10" t="e">
        <f>(tbl_MTG_Set[[#This Row],[Play Booster Box Cost]]+v_Item_Shipping_Cost_In)/tbl_MTG_Set[[#This Row],[Play Booster Box Size]]</f>
        <v>#VALUE!</v>
      </c>
      <c r="AQ165" s="10" t="str" cm="1">
        <f t="array" ref="AQ1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5" s="10"/>
      <c r="AS165" s="10"/>
      <c r="AT165" s="17" t="e">
        <f>tbl_MTG_Set[[#This Row],[Play Booster CardMarket Profit]]/tbl_MTG_Set[[#This Row],[Play Booster Cost]]</f>
        <v>#VALUE!</v>
      </c>
      <c r="AU165" s="10" t="e">
        <f>_xlfn.XLOOKUP(tbl_MTG_Set[[#This Row],[Collector Booster Box Product Id]], tbl_Product[Product Id], tbl_Product[Min Cost])</f>
        <v>#N/A</v>
      </c>
      <c r="AV165" s="10" t="e">
        <f>_xlfn.XLOOKUP(tbl_MTG_Set[[#This Row],[Collector Booster Box Product Id]], tbl_Product[Product Id], tbl_Product[Best Source])</f>
        <v>#N/A</v>
      </c>
      <c r="AW165" s="4" t="e">
        <f>_xlfn.XLOOKUP(tbl_MTG_Set[[#This Row],[Collector Booster Box Product Id]], tbl_Product[Product Id], tbl_Product[Pack Size])</f>
        <v>#N/A</v>
      </c>
      <c r="AX165" s="10" t="e">
        <f>(tbl_MTG_Set[[#This Row],[Collector Booster Box Cost]] + v_Item_Shipping_Cost_In) / tbl_MTG_Set[[#This Row],[Collector Booster Box Size]]</f>
        <v>#N/A</v>
      </c>
      <c r="AY165" s="10" t="str" cm="1">
        <f t="array" ref="AY1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5" s="10"/>
      <c r="BA1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5" s="17" t="e">
        <f>tbl_MTG_Set[[#This Row],[Collector Booster CardMarket Profit]]/tbl_MTG_Set[[#This Row],[Collector Booster Cost]]</f>
        <v>#N/A</v>
      </c>
      <c r="BC165" s="10"/>
      <c r="BF1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5" s="11" t="e">
        <f>tbl_MTG_Set[[#This Row],[Play Singles CardMarket Profit MTG Stocks]]/tbl_MTG_Set[[#This Row],[Play Booster Cost]]</f>
        <v>#VALUE!</v>
      </c>
      <c r="BI165" s="11" t="b">
        <f>tbl_MTG_Set[[#This Row],[Play Singles CardMarket Profit MTG Stocks]]&gt;0</f>
        <v>0</v>
      </c>
      <c r="BM165" s="10" t="e">
        <f>tbl_MTG_Set[[#This Row],[Play Booster Sell Price CardMarket]]*tbl_MTG_Set[[#This Row],[Play Booster Expected Market Value BotBox]]/tbl_MTG_Set[[#This Row],[Play Booster Sealed Market Value BotBox]]</f>
        <v>#VALUE!</v>
      </c>
      <c r="BN1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5" s="10" t="e">
        <f>tbl_MTG_Set[[#This Row],[Play Singles CardMarket Profit BotBox]]/tbl_MTG_Set[[#This Row],[Play Booster Cost]]</f>
        <v>#VALUE!</v>
      </c>
      <c r="BP165" s="10" t="b">
        <f>tbl_MTG_Set[[#This Row],[Play Singles CardMarket Profit BotBox]]&gt;0</f>
        <v>0</v>
      </c>
      <c r="BQ165" s="10"/>
      <c r="BR165" s="10"/>
      <c r="BS165" s="10"/>
      <c r="BT1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5" s="19" t="e">
        <f>tbl_MTG_Set[[#This Row],[Collector Singles CardMarket Profit MTG Stocks]]/tbl_MTG_Set[[#This Row],[Collector Booster Cost]]</f>
        <v>#N/A</v>
      </c>
      <c r="BW165" s="10" t="b">
        <f>tbl_MTG_Set[[#This Row],[Collector Singles CardMarket Profit MTG Stocks]]&gt;0</f>
        <v>0</v>
      </c>
      <c r="BX165" s="10"/>
      <c r="BY165" s="10"/>
      <c r="BZ1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5" s="10" t="e">
        <f>tbl_MTG_Set[[#This Row],[Collector Singles CardMarket Profit BotBox]]/tbl_MTG_Set[[#This Row],[Collector Booster Cost]]</f>
        <v>#N/A</v>
      </c>
      <c r="CC165" s="10" t="b">
        <f>tbl_MTG_Set[[#This Row],[Collector Singles CardMarket Profit BotBox]]&gt;0</f>
        <v>0</v>
      </c>
      <c r="CD1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6" spans="1:86" hidden="1">
      <c r="A166">
        <v>184</v>
      </c>
      <c r="B166" t="s">
        <v>339</v>
      </c>
      <c r="C166">
        <v>2</v>
      </c>
      <c r="D166" s="3">
        <v>45037</v>
      </c>
      <c r="F166" t="s">
        <v>174</v>
      </c>
      <c r="G166">
        <v>314</v>
      </c>
      <c r="H166">
        <f ca="1">MONTH(NOW())+12*YEAR(NOW())-MONTH(tbl_MTG_Set[[#This Row],[Released On]])-12*YEAR(tbl_MTG_Set[[#This Row],[Released On]])</f>
        <v>35</v>
      </c>
      <c r="I166" t="str">
        <f>_xlfn.XLOOKUP(tbl_MTG_Set[[#This Row],[Type Name]], tbl_MTG_Set_Type[Set Type], tbl_MTG_Set_Type[Index], "(Set Type not found)")</f>
        <v>(Set Type not found)</v>
      </c>
      <c r="J166" t="str">
        <f>_xlfn.XLOOKUP(tbl_MTG_Set[[#This Row],[Type Name]], tbl_MTG_Set_Type[Set Type], tbl_MTG_Set_Type[Buy Window Month Start], "(Set Type not found)")</f>
        <v>(Set Type not found)</v>
      </c>
      <c r="K166" s="3" t="e">
        <f>tbl_MTG_Set[[#This Row],[Released On]]+tbl_MTG_Set[[#This Row],[Buy Window Month Start]]*365.25/12</f>
        <v>#VALUE!</v>
      </c>
      <c r="L166" t="str">
        <f>_xlfn.XLOOKUP(tbl_MTG_Set[[#This Row],[Type Name]], tbl_MTG_Set_Type[Set Type], tbl_MTG_Set_Type[Buy Window Month End], "(Set Type not found)", 0, 1)</f>
        <v>(Set Type not found)</v>
      </c>
      <c r="M166" s="3" t="e">
        <f>tbl_MTG_Set[[#This Row],[Released On]]+tbl_MTG_Set[[#This Row],[Buy Window Month End]]*365.25/12</f>
        <v>#VALUE!</v>
      </c>
      <c r="N166" s="3" t="e">
        <f ca="1">AND(NOW()&gt;=tbl_MTG_Set[[#This Row],[Buy Window Start]], NOW()&lt;=tbl_MTG_Set[[#This Row],[Buy Window End]])</f>
        <v>#VALUE!</v>
      </c>
      <c r="O166" t="str">
        <f>_xlfn.XLOOKUP(tbl_MTG_Set[[#This Row],[Type Name]], tbl_MTG_Set_Type[Set Type], tbl_MTG_Set_Type[Heavy Printing Window Month Start], "(Set Type not found)", 0, 1)</f>
        <v>(Set Type not found)</v>
      </c>
      <c r="P166" s="3" t="e">
        <f>tbl_MTG_Set[[#This Row],[Released On]]+tbl_MTG_Set[[#This Row],[Heavy Printing Window Month Start]]*365.25/12</f>
        <v>#VALUE!</v>
      </c>
      <c r="Q166" t="str">
        <f>_xlfn.XLOOKUP(tbl_MTG_Set[[#This Row],[Type Name]], tbl_MTG_Set_Type[Set Type], tbl_MTG_Set_Type[Heavy Printing Window Month End], "(Set Type not found)", 0, 1)</f>
        <v>(Set Type not found)</v>
      </c>
      <c r="R166" s="3" t="e">
        <f>tbl_MTG_Set[[#This Row],[Released On]]+tbl_MTG_Set[[#This Row],[Heavy Printing Window Month End]]*365.25/12</f>
        <v>#VALUE!</v>
      </c>
      <c r="S166" s="3" t="e">
        <f ca="1">AND(NOW()&gt;=tbl_MTG_Set[[#This Row],[Heavy Printing Window Start]], NOW()&lt;=tbl_MTG_Set[[#This Row],[Heavy Printing Window End]])</f>
        <v>#VALUE!</v>
      </c>
      <c r="T166" t="str">
        <f>_xlfn.XLOOKUP(tbl_MTG_Set[[#This Row],[Type Name]], tbl_MTG_Set_Type[Set Type], tbl_MTG_Set_Type[Sell Window Month Start], "(Set Type not found)", 0, 1)</f>
        <v>(Set Type not found)</v>
      </c>
      <c r="U166" s="3" t="e">
        <f>tbl_MTG_Set[[#This Row],[Released On]]+tbl_MTG_Set[[#This Row],[Sell Window Month Start]]*365.25/12</f>
        <v>#VALUE!</v>
      </c>
      <c r="V166" t="str">
        <f>_xlfn.XLOOKUP(tbl_MTG_Set[[#This Row],[Type Name]], tbl_MTG_Set_Type[Set Type], tbl_MTG_Set_Type[Sell Window Month End], "(Set Type not found)", 0, 1)</f>
        <v>(Set Type not found)</v>
      </c>
      <c r="W166" s="3" t="e">
        <f>tbl_MTG_Set[[#This Row],[Released On]]+tbl_MTG_Set[[#This Row],[Sell Window Month End]]*365.25/12</f>
        <v>#VALUE!</v>
      </c>
      <c r="X166" s="3" t="e">
        <f ca="1">AND(NOW()&gt;=tbl_MTG_Set[[#This Row],[Sell Window Start]], NOW()&lt;=tbl_MTG_Set[[#This Row],[Sell Window End]])</f>
        <v>#VALUE!</v>
      </c>
      <c r="AG166" s="10"/>
      <c r="AH166" s="10"/>
      <c r="AM166" s="10" t="str" cm="1">
        <f t="array" ref="AM1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6" s="10" t="str" cm="1">
        <f t="array" ref="AN1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6" s="4" t="e">
        <f>_xlfn.XLOOKUP(tbl_MTG_Set[[#This Row],[Play Booster Box Product Id]], tbl_Product[Product Id], tbl_Product[Pack Size])</f>
        <v>#N/A</v>
      </c>
      <c r="AP166" s="10" t="e">
        <f>(tbl_MTG_Set[[#This Row],[Play Booster Box Cost]]+v_Item_Shipping_Cost_In)/tbl_MTG_Set[[#This Row],[Play Booster Box Size]]</f>
        <v>#VALUE!</v>
      </c>
      <c r="AQ166" s="10" t="str" cm="1">
        <f t="array" ref="AQ1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6" s="10"/>
      <c r="AS166" s="10"/>
      <c r="AT166" s="17" t="e">
        <f>tbl_MTG_Set[[#This Row],[Play Booster CardMarket Profit]]/tbl_MTG_Set[[#This Row],[Play Booster Cost]]</f>
        <v>#VALUE!</v>
      </c>
      <c r="AU166" s="10" t="e">
        <f>_xlfn.XLOOKUP(tbl_MTG_Set[[#This Row],[Collector Booster Box Product Id]], tbl_Product[Product Id], tbl_Product[Min Cost])</f>
        <v>#N/A</v>
      </c>
      <c r="AV166" s="10" t="e">
        <f>_xlfn.XLOOKUP(tbl_MTG_Set[[#This Row],[Collector Booster Box Product Id]], tbl_Product[Product Id], tbl_Product[Best Source])</f>
        <v>#N/A</v>
      </c>
      <c r="AW166" s="4" t="e">
        <f>_xlfn.XLOOKUP(tbl_MTG_Set[[#This Row],[Collector Booster Box Product Id]], tbl_Product[Product Id], tbl_Product[Pack Size])</f>
        <v>#N/A</v>
      </c>
      <c r="AX166" s="10" t="e">
        <f>(tbl_MTG_Set[[#This Row],[Collector Booster Box Cost]] + v_Item_Shipping_Cost_In) / tbl_MTG_Set[[#This Row],[Collector Booster Box Size]]</f>
        <v>#N/A</v>
      </c>
      <c r="AY166" s="10" t="str" cm="1">
        <f t="array" ref="AY1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6" s="10"/>
      <c r="BA1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6" s="17" t="e">
        <f>tbl_MTG_Set[[#This Row],[Collector Booster CardMarket Profit]]/tbl_MTG_Set[[#This Row],[Collector Booster Cost]]</f>
        <v>#N/A</v>
      </c>
      <c r="BC166" s="10"/>
      <c r="BF1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6" s="11" t="e">
        <f>tbl_MTG_Set[[#This Row],[Play Singles CardMarket Profit MTG Stocks]]/tbl_MTG_Set[[#This Row],[Play Booster Cost]]</f>
        <v>#VALUE!</v>
      </c>
      <c r="BI166" s="11" t="b">
        <f>tbl_MTG_Set[[#This Row],[Play Singles CardMarket Profit MTG Stocks]]&gt;0</f>
        <v>0</v>
      </c>
      <c r="BM166" s="10" t="e">
        <f>tbl_MTG_Set[[#This Row],[Play Booster Sell Price CardMarket]]*tbl_MTG_Set[[#This Row],[Play Booster Expected Market Value BotBox]]/tbl_MTG_Set[[#This Row],[Play Booster Sealed Market Value BotBox]]</f>
        <v>#VALUE!</v>
      </c>
      <c r="BN1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6" s="10" t="e">
        <f>tbl_MTG_Set[[#This Row],[Play Singles CardMarket Profit BotBox]]/tbl_MTG_Set[[#This Row],[Play Booster Cost]]</f>
        <v>#VALUE!</v>
      </c>
      <c r="BP166" s="10" t="b">
        <f>tbl_MTG_Set[[#This Row],[Play Singles CardMarket Profit BotBox]]&gt;0</f>
        <v>0</v>
      </c>
      <c r="BQ166" s="10"/>
      <c r="BR166" s="10"/>
      <c r="BS166" s="10"/>
      <c r="BT1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6" s="19" t="e">
        <f>tbl_MTG_Set[[#This Row],[Collector Singles CardMarket Profit MTG Stocks]]/tbl_MTG_Set[[#This Row],[Collector Booster Cost]]</f>
        <v>#N/A</v>
      </c>
      <c r="BW166" s="10" t="b">
        <f>tbl_MTG_Set[[#This Row],[Collector Singles CardMarket Profit MTG Stocks]]&gt;0</f>
        <v>0</v>
      </c>
      <c r="BX166" s="10"/>
      <c r="BY166" s="10"/>
      <c r="BZ1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6" s="10" t="e">
        <f>tbl_MTG_Set[[#This Row],[Collector Singles CardMarket Profit BotBox]]/tbl_MTG_Set[[#This Row],[Collector Booster Cost]]</f>
        <v>#N/A</v>
      </c>
      <c r="CC166" s="10" t="b">
        <f>tbl_MTG_Set[[#This Row],[Collector Singles CardMarket Profit BotBox]]&gt;0</f>
        <v>0</v>
      </c>
      <c r="CD1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7" spans="1:86" hidden="1">
      <c r="A167">
        <v>185</v>
      </c>
      <c r="B167" t="s">
        <v>340</v>
      </c>
      <c r="C167">
        <v>134</v>
      </c>
      <c r="D167" s="3">
        <v>45037</v>
      </c>
      <c r="E167" t="s">
        <v>59</v>
      </c>
      <c r="F167" t="s">
        <v>174</v>
      </c>
      <c r="G167">
        <v>316</v>
      </c>
      <c r="H167">
        <f ca="1">MONTH(NOW())+12*YEAR(NOW())-MONTH(tbl_MTG_Set[[#This Row],[Released On]])-12*YEAR(tbl_MTG_Set[[#This Row],[Released On]])</f>
        <v>35</v>
      </c>
      <c r="I167">
        <f>_xlfn.XLOOKUP(tbl_MTG_Set[[#This Row],[Type Name]], tbl_MTG_Set_Type[Set Type], tbl_MTG_Set_Type[Index], "(Set Type not found)")</f>
        <v>1</v>
      </c>
      <c r="J167">
        <f>_xlfn.XLOOKUP(tbl_MTG_Set[[#This Row],[Type Name]], tbl_MTG_Set_Type[Set Type], tbl_MTG_Set_Type[Buy Window Month Start], "(Set Type not found)")</f>
        <v>18</v>
      </c>
      <c r="K167" s="3">
        <f>tbl_MTG_Set[[#This Row],[Released On]]+tbl_MTG_Set[[#This Row],[Buy Window Month Start]]*365.25/12</f>
        <v>45584.875</v>
      </c>
      <c r="L167">
        <f>_xlfn.XLOOKUP(tbl_MTG_Set[[#This Row],[Type Name]], tbl_MTG_Set_Type[Set Type], tbl_MTG_Set_Type[Buy Window Month End], "(Set Type not found)", 0, 1)</f>
        <v>24</v>
      </c>
      <c r="M167" s="3">
        <f>tbl_MTG_Set[[#This Row],[Released On]]+tbl_MTG_Set[[#This Row],[Buy Window Month End]]*365.25/12</f>
        <v>45767.5</v>
      </c>
      <c r="N167" s="3" t="b">
        <f ca="1">AND(NOW()&gt;=tbl_MTG_Set[[#This Row],[Buy Window Start]], NOW()&lt;=tbl_MTG_Set[[#This Row],[Buy Window End]])</f>
        <v>0</v>
      </c>
      <c r="O167">
        <f>_xlfn.XLOOKUP(tbl_MTG_Set[[#This Row],[Type Name]], tbl_MTG_Set_Type[Set Type], tbl_MTG_Set_Type[Heavy Printing Window Month Start], "(Set Type not found)", 0, 1)</f>
        <v>1</v>
      </c>
      <c r="P167" s="3">
        <f>tbl_MTG_Set[[#This Row],[Released On]]+tbl_MTG_Set[[#This Row],[Heavy Printing Window Month Start]]*365.25/12</f>
        <v>45067.4375</v>
      </c>
      <c r="Q167">
        <f>_xlfn.XLOOKUP(tbl_MTG_Set[[#This Row],[Type Name]], tbl_MTG_Set_Type[Set Type], tbl_MTG_Set_Type[Heavy Printing Window Month End], "(Set Type not found)", 0, 1)</f>
        <v>18</v>
      </c>
      <c r="R167" s="3">
        <f>tbl_MTG_Set[[#This Row],[Released On]]+tbl_MTG_Set[[#This Row],[Heavy Printing Window Month End]]*365.25/12</f>
        <v>45584.875</v>
      </c>
      <c r="S167" s="3" t="b">
        <f ca="1">AND(NOW()&gt;=tbl_MTG_Set[[#This Row],[Heavy Printing Window Start]], NOW()&lt;=tbl_MTG_Set[[#This Row],[Heavy Printing Window End]])</f>
        <v>0</v>
      </c>
      <c r="T167">
        <f>_xlfn.XLOOKUP(tbl_MTG_Set[[#This Row],[Type Name]], tbl_MTG_Set_Type[Set Type], tbl_MTG_Set_Type[Sell Window Month Start], "(Set Type not found)", 0, 1)</f>
        <v>36</v>
      </c>
      <c r="U167" s="3">
        <f>tbl_MTG_Set[[#This Row],[Released On]]+tbl_MTG_Set[[#This Row],[Sell Window Month Start]]*365.25/12</f>
        <v>46132.75</v>
      </c>
      <c r="V167">
        <f>_xlfn.XLOOKUP(tbl_MTG_Set[[#This Row],[Type Name]], tbl_MTG_Set_Type[Set Type], tbl_MTG_Set_Type[Sell Window Month End], "(Set Type not found)", 0, 1)</f>
        <v>48</v>
      </c>
      <c r="W167" s="3">
        <f>tbl_MTG_Set[[#This Row],[Released On]]+tbl_MTG_Set[[#This Row],[Sell Window Month End]]*365.25/12</f>
        <v>46498</v>
      </c>
      <c r="X167" s="3" t="b">
        <f ca="1">AND(NOW()&gt;=tbl_MTG_Set[[#This Row],[Sell Window Start]], NOW()&lt;=tbl_MTG_Set[[#This Row],[Sell Window End]])</f>
        <v>0</v>
      </c>
      <c r="AG167" s="10"/>
      <c r="AH167" s="10"/>
      <c r="AM167" s="10" t="str" cm="1">
        <f t="array" ref="AM1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7" s="10" t="str" cm="1">
        <f t="array" ref="AN1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7" s="4" t="e">
        <f>_xlfn.XLOOKUP(tbl_MTG_Set[[#This Row],[Play Booster Box Product Id]], tbl_Product[Product Id], tbl_Product[Pack Size])</f>
        <v>#N/A</v>
      </c>
      <c r="AP167" s="10" t="e">
        <f>(tbl_MTG_Set[[#This Row],[Play Booster Box Cost]]+v_Item_Shipping_Cost_In)/tbl_MTG_Set[[#This Row],[Play Booster Box Size]]</f>
        <v>#VALUE!</v>
      </c>
      <c r="AQ167" s="10" t="str" cm="1">
        <f t="array" ref="AQ1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7" s="10"/>
      <c r="AS167" s="10"/>
      <c r="AT167" s="17" t="e">
        <f>tbl_MTG_Set[[#This Row],[Play Booster CardMarket Profit]]/tbl_MTG_Set[[#This Row],[Play Booster Cost]]</f>
        <v>#VALUE!</v>
      </c>
      <c r="AU167" s="10" t="e">
        <f>_xlfn.XLOOKUP(tbl_MTG_Set[[#This Row],[Collector Booster Box Product Id]], tbl_Product[Product Id], tbl_Product[Min Cost])</f>
        <v>#N/A</v>
      </c>
      <c r="AV167" s="10" t="e">
        <f>_xlfn.XLOOKUP(tbl_MTG_Set[[#This Row],[Collector Booster Box Product Id]], tbl_Product[Product Id], tbl_Product[Best Source])</f>
        <v>#N/A</v>
      </c>
      <c r="AW167" s="4" t="e">
        <f>_xlfn.XLOOKUP(tbl_MTG_Set[[#This Row],[Collector Booster Box Product Id]], tbl_Product[Product Id], tbl_Product[Pack Size])</f>
        <v>#N/A</v>
      </c>
      <c r="AX167" s="10" t="e">
        <f>(tbl_MTG_Set[[#This Row],[Collector Booster Box Cost]] + v_Item_Shipping_Cost_In) / tbl_MTG_Set[[#This Row],[Collector Booster Box Size]]</f>
        <v>#N/A</v>
      </c>
      <c r="AY167" s="10" t="str" cm="1">
        <f t="array" ref="AY1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7" s="10"/>
      <c r="BA1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7" s="17" t="e">
        <f>tbl_MTG_Set[[#This Row],[Collector Booster CardMarket Profit]]/tbl_MTG_Set[[#This Row],[Collector Booster Cost]]</f>
        <v>#N/A</v>
      </c>
      <c r="BC167" s="10"/>
      <c r="BF1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7" s="11" t="e">
        <f>tbl_MTG_Set[[#This Row],[Play Singles CardMarket Profit MTG Stocks]]/tbl_MTG_Set[[#This Row],[Play Booster Cost]]</f>
        <v>#VALUE!</v>
      </c>
      <c r="BI167" s="11" t="b">
        <f>tbl_MTG_Set[[#This Row],[Play Singles CardMarket Profit MTG Stocks]]&gt;0</f>
        <v>0</v>
      </c>
      <c r="BM167" s="10" t="e">
        <f>tbl_MTG_Set[[#This Row],[Play Booster Sell Price CardMarket]]*tbl_MTG_Set[[#This Row],[Play Booster Expected Market Value BotBox]]/tbl_MTG_Set[[#This Row],[Play Booster Sealed Market Value BotBox]]</f>
        <v>#VALUE!</v>
      </c>
      <c r="BN1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7" s="10" t="e">
        <f>tbl_MTG_Set[[#This Row],[Play Singles CardMarket Profit BotBox]]/tbl_MTG_Set[[#This Row],[Play Booster Cost]]</f>
        <v>#VALUE!</v>
      </c>
      <c r="BP167" s="10" t="b">
        <f>tbl_MTG_Set[[#This Row],[Play Singles CardMarket Profit BotBox]]&gt;0</f>
        <v>0</v>
      </c>
      <c r="BQ167" s="10"/>
      <c r="BR167" s="10"/>
      <c r="BS167" s="10"/>
      <c r="BT1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7" s="19" t="e">
        <f>tbl_MTG_Set[[#This Row],[Collector Singles CardMarket Profit MTG Stocks]]/tbl_MTG_Set[[#This Row],[Collector Booster Cost]]</f>
        <v>#N/A</v>
      </c>
      <c r="BW167" s="10" t="b">
        <f>tbl_MTG_Set[[#This Row],[Collector Singles CardMarket Profit MTG Stocks]]&gt;0</f>
        <v>0</v>
      </c>
      <c r="BX167" s="10"/>
      <c r="BY167" s="10"/>
      <c r="BZ1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7" s="10" t="e">
        <f>tbl_MTG_Set[[#This Row],[Collector Singles CardMarket Profit BotBox]]/tbl_MTG_Set[[#This Row],[Collector Booster Cost]]</f>
        <v>#N/A</v>
      </c>
      <c r="CC167" s="10" t="b">
        <f>tbl_MTG_Set[[#This Row],[Collector Singles CardMarket Profit BotBox]]&gt;0</f>
        <v>0</v>
      </c>
      <c r="CD1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8" spans="1:86" hidden="1">
      <c r="A168">
        <v>186</v>
      </c>
      <c r="B168" t="s">
        <v>341</v>
      </c>
      <c r="C168">
        <v>23</v>
      </c>
      <c r="D168" s="3">
        <v>45037</v>
      </c>
      <c r="E168" t="s">
        <v>59</v>
      </c>
      <c r="F168" t="s">
        <v>174</v>
      </c>
      <c r="G168">
        <v>318</v>
      </c>
      <c r="H168">
        <f ca="1">MONTH(NOW())+12*YEAR(NOW())-MONTH(tbl_MTG_Set[[#This Row],[Released On]])-12*YEAR(tbl_MTG_Set[[#This Row],[Released On]])</f>
        <v>35</v>
      </c>
      <c r="I168">
        <f>_xlfn.XLOOKUP(tbl_MTG_Set[[#This Row],[Type Name]], tbl_MTG_Set_Type[Set Type], tbl_MTG_Set_Type[Index], "(Set Type not found)")</f>
        <v>1</v>
      </c>
      <c r="J168">
        <f>_xlfn.XLOOKUP(tbl_MTG_Set[[#This Row],[Type Name]], tbl_MTG_Set_Type[Set Type], tbl_MTG_Set_Type[Buy Window Month Start], "(Set Type not found)")</f>
        <v>18</v>
      </c>
      <c r="K168" s="3">
        <f>tbl_MTG_Set[[#This Row],[Released On]]+tbl_MTG_Set[[#This Row],[Buy Window Month Start]]*365.25/12</f>
        <v>45584.875</v>
      </c>
      <c r="L168">
        <f>_xlfn.XLOOKUP(tbl_MTG_Set[[#This Row],[Type Name]], tbl_MTG_Set_Type[Set Type], tbl_MTG_Set_Type[Buy Window Month End], "(Set Type not found)", 0, 1)</f>
        <v>24</v>
      </c>
      <c r="M168" s="3">
        <f>tbl_MTG_Set[[#This Row],[Released On]]+tbl_MTG_Set[[#This Row],[Buy Window Month End]]*365.25/12</f>
        <v>45767.5</v>
      </c>
      <c r="N168" s="3" t="b">
        <f ca="1">AND(NOW()&gt;=tbl_MTG_Set[[#This Row],[Buy Window Start]], NOW()&lt;=tbl_MTG_Set[[#This Row],[Buy Window End]])</f>
        <v>0</v>
      </c>
      <c r="O168">
        <f>_xlfn.XLOOKUP(tbl_MTG_Set[[#This Row],[Type Name]], tbl_MTG_Set_Type[Set Type], tbl_MTG_Set_Type[Heavy Printing Window Month Start], "(Set Type not found)", 0, 1)</f>
        <v>1</v>
      </c>
      <c r="P168" s="3">
        <f>tbl_MTG_Set[[#This Row],[Released On]]+tbl_MTG_Set[[#This Row],[Heavy Printing Window Month Start]]*365.25/12</f>
        <v>45067.4375</v>
      </c>
      <c r="Q168">
        <f>_xlfn.XLOOKUP(tbl_MTG_Set[[#This Row],[Type Name]], tbl_MTG_Set_Type[Set Type], tbl_MTG_Set_Type[Heavy Printing Window Month End], "(Set Type not found)", 0, 1)</f>
        <v>18</v>
      </c>
      <c r="R168" s="3">
        <f>tbl_MTG_Set[[#This Row],[Released On]]+tbl_MTG_Set[[#This Row],[Heavy Printing Window Month End]]*365.25/12</f>
        <v>45584.875</v>
      </c>
      <c r="S168" s="3" t="b">
        <f ca="1">AND(NOW()&gt;=tbl_MTG_Set[[#This Row],[Heavy Printing Window Start]], NOW()&lt;=tbl_MTG_Set[[#This Row],[Heavy Printing Window End]])</f>
        <v>0</v>
      </c>
      <c r="T168">
        <f>_xlfn.XLOOKUP(tbl_MTG_Set[[#This Row],[Type Name]], tbl_MTG_Set_Type[Set Type], tbl_MTG_Set_Type[Sell Window Month Start], "(Set Type not found)", 0, 1)</f>
        <v>36</v>
      </c>
      <c r="U168" s="3">
        <f>tbl_MTG_Set[[#This Row],[Released On]]+tbl_MTG_Set[[#This Row],[Sell Window Month Start]]*365.25/12</f>
        <v>46132.75</v>
      </c>
      <c r="V168">
        <f>_xlfn.XLOOKUP(tbl_MTG_Set[[#This Row],[Type Name]], tbl_MTG_Set_Type[Set Type], tbl_MTG_Set_Type[Sell Window Month End], "(Set Type not found)", 0, 1)</f>
        <v>48</v>
      </c>
      <c r="W168" s="3">
        <f>tbl_MTG_Set[[#This Row],[Released On]]+tbl_MTG_Set[[#This Row],[Sell Window Month End]]*365.25/12</f>
        <v>46498</v>
      </c>
      <c r="X168" s="3" t="b">
        <f ca="1">AND(NOW()&gt;=tbl_MTG_Set[[#This Row],[Sell Window Start]], NOW()&lt;=tbl_MTG_Set[[#This Row],[Sell Window End]])</f>
        <v>0</v>
      </c>
      <c r="AG168" s="10"/>
      <c r="AH168" s="10"/>
      <c r="AM168" s="10" t="str" cm="1">
        <f t="array" ref="AM1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8" s="10" t="str" cm="1">
        <f t="array" ref="AN1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8" s="4" t="e">
        <f>_xlfn.XLOOKUP(tbl_MTG_Set[[#This Row],[Play Booster Box Product Id]], tbl_Product[Product Id], tbl_Product[Pack Size])</f>
        <v>#N/A</v>
      </c>
      <c r="AP168" s="10" t="e">
        <f>(tbl_MTG_Set[[#This Row],[Play Booster Box Cost]]+v_Item_Shipping_Cost_In)/tbl_MTG_Set[[#This Row],[Play Booster Box Size]]</f>
        <v>#VALUE!</v>
      </c>
      <c r="AQ168" s="10" t="str" cm="1">
        <f t="array" ref="AQ1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8" s="10"/>
      <c r="AS168" s="10"/>
      <c r="AT168" s="17" t="e">
        <f>tbl_MTG_Set[[#This Row],[Play Booster CardMarket Profit]]/tbl_MTG_Set[[#This Row],[Play Booster Cost]]</f>
        <v>#VALUE!</v>
      </c>
      <c r="AU168" s="10" t="e">
        <f>_xlfn.XLOOKUP(tbl_MTG_Set[[#This Row],[Collector Booster Box Product Id]], tbl_Product[Product Id], tbl_Product[Min Cost])</f>
        <v>#N/A</v>
      </c>
      <c r="AV168" s="10" t="e">
        <f>_xlfn.XLOOKUP(tbl_MTG_Set[[#This Row],[Collector Booster Box Product Id]], tbl_Product[Product Id], tbl_Product[Best Source])</f>
        <v>#N/A</v>
      </c>
      <c r="AW168" s="4" t="e">
        <f>_xlfn.XLOOKUP(tbl_MTG_Set[[#This Row],[Collector Booster Box Product Id]], tbl_Product[Product Id], tbl_Product[Pack Size])</f>
        <v>#N/A</v>
      </c>
      <c r="AX168" s="10" t="e">
        <f>(tbl_MTG_Set[[#This Row],[Collector Booster Box Cost]] + v_Item_Shipping_Cost_In) / tbl_MTG_Set[[#This Row],[Collector Booster Box Size]]</f>
        <v>#N/A</v>
      </c>
      <c r="AY168" s="10" t="str" cm="1">
        <f t="array" ref="AY1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8" s="10"/>
      <c r="BA1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8" s="17" t="e">
        <f>tbl_MTG_Set[[#This Row],[Collector Booster CardMarket Profit]]/tbl_MTG_Set[[#This Row],[Collector Booster Cost]]</f>
        <v>#N/A</v>
      </c>
      <c r="BC168" s="10"/>
      <c r="BF1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8" s="11" t="e">
        <f>tbl_MTG_Set[[#This Row],[Play Singles CardMarket Profit MTG Stocks]]/tbl_MTG_Set[[#This Row],[Play Booster Cost]]</f>
        <v>#VALUE!</v>
      </c>
      <c r="BI168" s="11" t="b">
        <f>tbl_MTG_Set[[#This Row],[Play Singles CardMarket Profit MTG Stocks]]&gt;0</f>
        <v>0</v>
      </c>
      <c r="BM168" s="10" t="e">
        <f>tbl_MTG_Set[[#This Row],[Play Booster Sell Price CardMarket]]*tbl_MTG_Set[[#This Row],[Play Booster Expected Market Value BotBox]]/tbl_MTG_Set[[#This Row],[Play Booster Sealed Market Value BotBox]]</f>
        <v>#VALUE!</v>
      </c>
      <c r="BN1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8" s="10" t="e">
        <f>tbl_MTG_Set[[#This Row],[Play Singles CardMarket Profit BotBox]]/tbl_MTG_Set[[#This Row],[Play Booster Cost]]</f>
        <v>#VALUE!</v>
      </c>
      <c r="BP168" s="10" t="b">
        <f>tbl_MTG_Set[[#This Row],[Play Singles CardMarket Profit BotBox]]&gt;0</f>
        <v>0</v>
      </c>
      <c r="BQ168" s="10"/>
      <c r="BR168" s="10"/>
      <c r="BS168" s="10"/>
      <c r="BT1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8" s="19" t="e">
        <f>tbl_MTG_Set[[#This Row],[Collector Singles CardMarket Profit MTG Stocks]]/tbl_MTG_Set[[#This Row],[Collector Booster Cost]]</f>
        <v>#N/A</v>
      </c>
      <c r="BW168" s="10" t="b">
        <f>tbl_MTG_Set[[#This Row],[Collector Singles CardMarket Profit MTG Stocks]]&gt;0</f>
        <v>0</v>
      </c>
      <c r="BX168" s="10"/>
      <c r="BY168" s="10"/>
      <c r="BZ1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8" s="10" t="e">
        <f>tbl_MTG_Set[[#This Row],[Collector Singles CardMarket Profit BotBox]]/tbl_MTG_Set[[#This Row],[Collector Booster Cost]]</f>
        <v>#N/A</v>
      </c>
      <c r="CC168" s="10" t="b">
        <f>tbl_MTG_Set[[#This Row],[Collector Singles CardMarket Profit BotBox]]&gt;0</f>
        <v>0</v>
      </c>
      <c r="CD1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69" spans="1:86" hidden="1">
      <c r="A169">
        <v>187</v>
      </c>
      <c r="B169" t="s">
        <v>342</v>
      </c>
      <c r="C169">
        <v>5</v>
      </c>
      <c r="D169" s="3">
        <v>45037</v>
      </c>
      <c r="E169" t="s">
        <v>59</v>
      </c>
      <c r="F169" t="s">
        <v>174</v>
      </c>
      <c r="G169">
        <v>320</v>
      </c>
      <c r="H169">
        <f ca="1">MONTH(NOW())+12*YEAR(NOW())-MONTH(tbl_MTG_Set[[#This Row],[Released On]])-12*YEAR(tbl_MTG_Set[[#This Row],[Released On]])</f>
        <v>35</v>
      </c>
      <c r="I169">
        <f>_xlfn.XLOOKUP(tbl_MTG_Set[[#This Row],[Type Name]], tbl_MTG_Set_Type[Set Type], tbl_MTG_Set_Type[Index], "(Set Type not found)")</f>
        <v>1</v>
      </c>
      <c r="J169">
        <f>_xlfn.XLOOKUP(tbl_MTG_Set[[#This Row],[Type Name]], tbl_MTG_Set_Type[Set Type], tbl_MTG_Set_Type[Buy Window Month Start], "(Set Type not found)")</f>
        <v>18</v>
      </c>
      <c r="K169" s="3">
        <f>tbl_MTG_Set[[#This Row],[Released On]]+tbl_MTG_Set[[#This Row],[Buy Window Month Start]]*365.25/12</f>
        <v>45584.875</v>
      </c>
      <c r="L169">
        <f>_xlfn.XLOOKUP(tbl_MTG_Set[[#This Row],[Type Name]], tbl_MTG_Set_Type[Set Type], tbl_MTG_Set_Type[Buy Window Month End], "(Set Type not found)", 0, 1)</f>
        <v>24</v>
      </c>
      <c r="M169" s="3">
        <f>tbl_MTG_Set[[#This Row],[Released On]]+tbl_MTG_Set[[#This Row],[Buy Window Month End]]*365.25/12</f>
        <v>45767.5</v>
      </c>
      <c r="N169" s="3" t="b">
        <f ca="1">AND(NOW()&gt;=tbl_MTG_Set[[#This Row],[Buy Window Start]], NOW()&lt;=tbl_MTG_Set[[#This Row],[Buy Window End]])</f>
        <v>0</v>
      </c>
      <c r="O169">
        <f>_xlfn.XLOOKUP(tbl_MTG_Set[[#This Row],[Type Name]], tbl_MTG_Set_Type[Set Type], tbl_MTG_Set_Type[Heavy Printing Window Month Start], "(Set Type not found)", 0, 1)</f>
        <v>1</v>
      </c>
      <c r="P169" s="3">
        <f>tbl_MTG_Set[[#This Row],[Released On]]+tbl_MTG_Set[[#This Row],[Heavy Printing Window Month Start]]*365.25/12</f>
        <v>45067.4375</v>
      </c>
      <c r="Q169">
        <f>_xlfn.XLOOKUP(tbl_MTG_Set[[#This Row],[Type Name]], tbl_MTG_Set_Type[Set Type], tbl_MTG_Set_Type[Heavy Printing Window Month End], "(Set Type not found)", 0, 1)</f>
        <v>18</v>
      </c>
      <c r="R169" s="3">
        <f>tbl_MTG_Set[[#This Row],[Released On]]+tbl_MTG_Set[[#This Row],[Heavy Printing Window Month End]]*365.25/12</f>
        <v>45584.875</v>
      </c>
      <c r="S169" s="3" t="b">
        <f ca="1">AND(NOW()&gt;=tbl_MTG_Set[[#This Row],[Heavy Printing Window Start]], NOW()&lt;=tbl_MTG_Set[[#This Row],[Heavy Printing Window End]])</f>
        <v>0</v>
      </c>
      <c r="T169">
        <f>_xlfn.XLOOKUP(tbl_MTG_Set[[#This Row],[Type Name]], tbl_MTG_Set_Type[Set Type], tbl_MTG_Set_Type[Sell Window Month Start], "(Set Type not found)", 0, 1)</f>
        <v>36</v>
      </c>
      <c r="U169" s="3">
        <f>tbl_MTG_Set[[#This Row],[Released On]]+tbl_MTG_Set[[#This Row],[Sell Window Month Start]]*365.25/12</f>
        <v>46132.75</v>
      </c>
      <c r="V169">
        <f>_xlfn.XLOOKUP(tbl_MTG_Set[[#This Row],[Type Name]], tbl_MTG_Set_Type[Set Type], tbl_MTG_Set_Type[Sell Window Month End], "(Set Type not found)", 0, 1)</f>
        <v>48</v>
      </c>
      <c r="W169" s="3">
        <f>tbl_MTG_Set[[#This Row],[Released On]]+tbl_MTG_Set[[#This Row],[Sell Window Month End]]*365.25/12</f>
        <v>46498</v>
      </c>
      <c r="X169" s="3" t="b">
        <f ca="1">AND(NOW()&gt;=tbl_MTG_Set[[#This Row],[Sell Window Start]], NOW()&lt;=tbl_MTG_Set[[#This Row],[Sell Window End]])</f>
        <v>0</v>
      </c>
      <c r="AG169" s="10"/>
      <c r="AH169" s="10"/>
      <c r="AM169" s="10" t="str" cm="1">
        <f t="array" ref="AM1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69" s="10" t="str" cm="1">
        <f t="array" ref="AN1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69" s="4" t="e">
        <f>_xlfn.XLOOKUP(tbl_MTG_Set[[#This Row],[Play Booster Box Product Id]], tbl_Product[Product Id], tbl_Product[Pack Size])</f>
        <v>#N/A</v>
      </c>
      <c r="AP169" s="10" t="e">
        <f>(tbl_MTG_Set[[#This Row],[Play Booster Box Cost]]+v_Item_Shipping_Cost_In)/tbl_MTG_Set[[#This Row],[Play Booster Box Size]]</f>
        <v>#VALUE!</v>
      </c>
      <c r="AQ169" s="10" t="str" cm="1">
        <f t="array" ref="AQ1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69" s="10"/>
      <c r="AS169" s="10"/>
      <c r="AT169" s="17" t="e">
        <f>tbl_MTG_Set[[#This Row],[Play Booster CardMarket Profit]]/tbl_MTG_Set[[#This Row],[Play Booster Cost]]</f>
        <v>#VALUE!</v>
      </c>
      <c r="AU169" s="10" t="e">
        <f>_xlfn.XLOOKUP(tbl_MTG_Set[[#This Row],[Collector Booster Box Product Id]], tbl_Product[Product Id], tbl_Product[Min Cost])</f>
        <v>#N/A</v>
      </c>
      <c r="AV169" s="10" t="e">
        <f>_xlfn.XLOOKUP(tbl_MTG_Set[[#This Row],[Collector Booster Box Product Id]], tbl_Product[Product Id], tbl_Product[Best Source])</f>
        <v>#N/A</v>
      </c>
      <c r="AW169" s="4" t="e">
        <f>_xlfn.XLOOKUP(tbl_MTG_Set[[#This Row],[Collector Booster Box Product Id]], tbl_Product[Product Id], tbl_Product[Pack Size])</f>
        <v>#N/A</v>
      </c>
      <c r="AX169" s="10" t="e">
        <f>(tbl_MTG_Set[[#This Row],[Collector Booster Box Cost]] + v_Item_Shipping_Cost_In) / tbl_MTG_Set[[#This Row],[Collector Booster Box Size]]</f>
        <v>#N/A</v>
      </c>
      <c r="AY169" s="10" t="str" cm="1">
        <f t="array" ref="AY1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69" s="10"/>
      <c r="BA1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69" s="17" t="e">
        <f>tbl_MTG_Set[[#This Row],[Collector Booster CardMarket Profit]]/tbl_MTG_Set[[#This Row],[Collector Booster Cost]]</f>
        <v>#N/A</v>
      </c>
      <c r="BC169" s="10"/>
      <c r="BF1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69" s="11" t="e">
        <f>tbl_MTG_Set[[#This Row],[Play Singles CardMarket Profit MTG Stocks]]/tbl_MTG_Set[[#This Row],[Play Booster Cost]]</f>
        <v>#VALUE!</v>
      </c>
      <c r="BI169" s="11" t="b">
        <f>tbl_MTG_Set[[#This Row],[Play Singles CardMarket Profit MTG Stocks]]&gt;0</f>
        <v>0</v>
      </c>
      <c r="BM169" s="10" t="e">
        <f>tbl_MTG_Set[[#This Row],[Play Booster Sell Price CardMarket]]*tbl_MTG_Set[[#This Row],[Play Booster Expected Market Value BotBox]]/tbl_MTG_Set[[#This Row],[Play Booster Sealed Market Value BotBox]]</f>
        <v>#VALUE!</v>
      </c>
      <c r="BN1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69" s="10" t="e">
        <f>tbl_MTG_Set[[#This Row],[Play Singles CardMarket Profit BotBox]]/tbl_MTG_Set[[#This Row],[Play Booster Cost]]</f>
        <v>#VALUE!</v>
      </c>
      <c r="BP169" s="10" t="b">
        <f>tbl_MTG_Set[[#This Row],[Play Singles CardMarket Profit BotBox]]&gt;0</f>
        <v>0</v>
      </c>
      <c r="BQ169" s="10"/>
      <c r="BR169" s="10"/>
      <c r="BS169" s="10"/>
      <c r="BT1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69" s="19" t="e">
        <f>tbl_MTG_Set[[#This Row],[Collector Singles CardMarket Profit MTG Stocks]]/tbl_MTG_Set[[#This Row],[Collector Booster Cost]]</f>
        <v>#N/A</v>
      </c>
      <c r="BW169" s="10" t="b">
        <f>tbl_MTG_Set[[#This Row],[Collector Singles CardMarket Profit MTG Stocks]]&gt;0</f>
        <v>0</v>
      </c>
      <c r="BX169" s="10"/>
      <c r="BY169" s="10"/>
      <c r="BZ1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69" s="10" t="e">
        <f>tbl_MTG_Set[[#This Row],[Collector Singles CardMarket Profit BotBox]]/tbl_MTG_Set[[#This Row],[Collector Booster Cost]]</f>
        <v>#N/A</v>
      </c>
      <c r="CC169" s="10" t="b">
        <f>tbl_MTG_Set[[#This Row],[Collector Singles CardMarket Profit BotBox]]&gt;0</f>
        <v>0</v>
      </c>
      <c r="CD1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0" spans="1:86" hidden="1">
      <c r="A170">
        <v>188</v>
      </c>
      <c r="B170" t="s">
        <v>343</v>
      </c>
      <c r="C170">
        <v>450</v>
      </c>
      <c r="D170" s="3">
        <v>45037</v>
      </c>
      <c r="E170" t="s">
        <v>80</v>
      </c>
      <c r="F170" t="s">
        <v>174</v>
      </c>
      <c r="G170">
        <v>322</v>
      </c>
      <c r="H170">
        <f ca="1">MONTH(NOW())+12*YEAR(NOW())-MONTH(tbl_MTG_Set[[#This Row],[Released On]])-12*YEAR(tbl_MTG_Set[[#This Row],[Released On]])</f>
        <v>35</v>
      </c>
      <c r="I170">
        <f>_xlfn.XLOOKUP(tbl_MTG_Set[[#This Row],[Type Name]], tbl_MTG_Set_Type[Set Type], tbl_MTG_Set_Type[Index], "(Set Type not found)")</f>
        <v>5</v>
      </c>
      <c r="J170">
        <f>_xlfn.XLOOKUP(tbl_MTG_Set[[#This Row],[Type Name]], tbl_MTG_Set_Type[Set Type], tbl_MTG_Set_Type[Buy Window Month Start], "(Set Type not found)")</f>
        <v>3</v>
      </c>
      <c r="K170" s="3">
        <f>tbl_MTG_Set[[#This Row],[Released On]]+tbl_MTG_Set[[#This Row],[Buy Window Month Start]]*365.25/12</f>
        <v>45128.3125</v>
      </c>
      <c r="L170">
        <f>_xlfn.XLOOKUP(tbl_MTG_Set[[#This Row],[Type Name]], tbl_MTG_Set_Type[Set Type], tbl_MTG_Set_Type[Buy Window Month End], "(Set Type not found)", 0, 1)</f>
        <v>12</v>
      </c>
      <c r="M170" s="3">
        <f>tbl_MTG_Set[[#This Row],[Released On]]+tbl_MTG_Set[[#This Row],[Buy Window Month End]]*365.25/12</f>
        <v>45402.25</v>
      </c>
      <c r="N170" s="3" t="b">
        <f ca="1">AND(NOW()&gt;=tbl_MTG_Set[[#This Row],[Buy Window Start]], NOW()&lt;=tbl_MTG_Set[[#This Row],[Buy Window End]])</f>
        <v>0</v>
      </c>
      <c r="O170">
        <f>_xlfn.XLOOKUP(tbl_MTG_Set[[#This Row],[Type Name]], tbl_MTG_Set_Type[Set Type], tbl_MTG_Set_Type[Heavy Printing Window Month Start], "(Set Type not found)", 0, 1)</f>
        <v>12</v>
      </c>
      <c r="P170" s="3">
        <f>tbl_MTG_Set[[#This Row],[Released On]]+tbl_MTG_Set[[#This Row],[Heavy Printing Window Month Start]]*365.25/12</f>
        <v>45402.25</v>
      </c>
      <c r="Q170">
        <f>_xlfn.XLOOKUP(tbl_MTG_Set[[#This Row],[Type Name]], tbl_MTG_Set_Type[Set Type], tbl_MTG_Set_Type[Heavy Printing Window Month End], "(Set Type not found)", 0, 1)</f>
        <v>18</v>
      </c>
      <c r="R170" s="3">
        <f>tbl_MTG_Set[[#This Row],[Released On]]+tbl_MTG_Set[[#This Row],[Heavy Printing Window Month End]]*365.25/12</f>
        <v>45584.875</v>
      </c>
      <c r="S170" s="3" t="b">
        <f ca="1">AND(NOW()&gt;=tbl_MTG_Set[[#This Row],[Heavy Printing Window Start]], NOW()&lt;=tbl_MTG_Set[[#This Row],[Heavy Printing Window End]])</f>
        <v>0</v>
      </c>
      <c r="T170">
        <f>_xlfn.XLOOKUP(tbl_MTG_Set[[#This Row],[Type Name]], tbl_MTG_Set_Type[Set Type], tbl_MTG_Set_Type[Sell Window Month Start], "(Set Type not found)", 0, 1)</f>
        <v>24</v>
      </c>
      <c r="U170" s="3">
        <f>tbl_MTG_Set[[#This Row],[Released On]]+tbl_MTG_Set[[#This Row],[Sell Window Month Start]]*365.25/12</f>
        <v>45767.5</v>
      </c>
      <c r="V170">
        <f>_xlfn.XLOOKUP(tbl_MTG_Set[[#This Row],[Type Name]], tbl_MTG_Set_Type[Set Type], tbl_MTG_Set_Type[Sell Window Month End], "(Set Type not found)", 0, 1)</f>
        <v>24</v>
      </c>
      <c r="W170" s="3">
        <f>tbl_MTG_Set[[#This Row],[Released On]]+tbl_MTG_Set[[#This Row],[Sell Window Month End]]*365.25/12</f>
        <v>45767.5</v>
      </c>
      <c r="X170" s="3" t="b">
        <f ca="1">AND(NOW()&gt;=tbl_MTG_Set[[#This Row],[Sell Window Start]], NOW()&lt;=tbl_MTG_Set[[#This Row],[Sell Window End]])</f>
        <v>0</v>
      </c>
      <c r="AG170" s="10"/>
      <c r="AH170" s="10"/>
      <c r="AM170" s="10" t="str" cm="1">
        <f t="array" ref="AM1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0" s="10" t="str" cm="1">
        <f t="array" ref="AN1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0" s="4" t="e">
        <f>_xlfn.XLOOKUP(tbl_MTG_Set[[#This Row],[Play Booster Box Product Id]], tbl_Product[Product Id], tbl_Product[Pack Size])</f>
        <v>#N/A</v>
      </c>
      <c r="AP170" s="10" t="e">
        <f>(tbl_MTG_Set[[#This Row],[Play Booster Box Cost]]+v_Item_Shipping_Cost_In)/tbl_MTG_Set[[#This Row],[Play Booster Box Size]]</f>
        <v>#VALUE!</v>
      </c>
      <c r="AQ170" s="10" t="str" cm="1">
        <f t="array" ref="AQ1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0" s="10"/>
      <c r="AS170" s="10"/>
      <c r="AT170" s="17" t="e">
        <f>tbl_MTG_Set[[#This Row],[Play Booster CardMarket Profit]]/tbl_MTG_Set[[#This Row],[Play Booster Cost]]</f>
        <v>#VALUE!</v>
      </c>
      <c r="AU170" s="10" t="e">
        <f>_xlfn.XLOOKUP(tbl_MTG_Set[[#This Row],[Collector Booster Box Product Id]], tbl_Product[Product Id], tbl_Product[Min Cost])</f>
        <v>#N/A</v>
      </c>
      <c r="AV170" s="10" t="e">
        <f>_xlfn.XLOOKUP(tbl_MTG_Set[[#This Row],[Collector Booster Box Product Id]], tbl_Product[Product Id], tbl_Product[Best Source])</f>
        <v>#N/A</v>
      </c>
      <c r="AW170" s="4" t="e">
        <f>_xlfn.XLOOKUP(tbl_MTG_Set[[#This Row],[Collector Booster Box Product Id]], tbl_Product[Product Id], tbl_Product[Pack Size])</f>
        <v>#N/A</v>
      </c>
      <c r="AX170" s="10" t="e">
        <f>(tbl_MTG_Set[[#This Row],[Collector Booster Box Cost]] + v_Item_Shipping_Cost_In) / tbl_MTG_Set[[#This Row],[Collector Booster Box Size]]</f>
        <v>#N/A</v>
      </c>
      <c r="AY170" s="10" t="str" cm="1">
        <f t="array" ref="AY1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0" s="10"/>
      <c r="BA1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0" s="17" t="e">
        <f>tbl_MTG_Set[[#This Row],[Collector Booster CardMarket Profit]]/tbl_MTG_Set[[#This Row],[Collector Booster Cost]]</f>
        <v>#N/A</v>
      </c>
      <c r="BC170" s="10"/>
      <c r="BF1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0" s="11" t="e">
        <f>tbl_MTG_Set[[#This Row],[Play Singles CardMarket Profit MTG Stocks]]/tbl_MTG_Set[[#This Row],[Play Booster Cost]]</f>
        <v>#VALUE!</v>
      </c>
      <c r="BI170" s="11" t="b">
        <f>tbl_MTG_Set[[#This Row],[Play Singles CardMarket Profit MTG Stocks]]&gt;0</f>
        <v>0</v>
      </c>
      <c r="BM170" s="10" t="e">
        <f>tbl_MTG_Set[[#This Row],[Play Booster Sell Price CardMarket]]*tbl_MTG_Set[[#This Row],[Play Booster Expected Market Value BotBox]]/tbl_MTG_Set[[#This Row],[Play Booster Sealed Market Value BotBox]]</f>
        <v>#VALUE!</v>
      </c>
      <c r="BN1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0" s="10" t="e">
        <f>tbl_MTG_Set[[#This Row],[Play Singles CardMarket Profit BotBox]]/tbl_MTG_Set[[#This Row],[Play Booster Cost]]</f>
        <v>#VALUE!</v>
      </c>
      <c r="BP170" s="10" t="b">
        <f>tbl_MTG_Set[[#This Row],[Play Singles CardMarket Profit BotBox]]&gt;0</f>
        <v>0</v>
      </c>
      <c r="BQ170" s="10"/>
      <c r="BR170" s="10"/>
      <c r="BS170" s="10"/>
      <c r="BT1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0" s="19" t="e">
        <f>tbl_MTG_Set[[#This Row],[Collector Singles CardMarket Profit MTG Stocks]]/tbl_MTG_Set[[#This Row],[Collector Booster Cost]]</f>
        <v>#N/A</v>
      </c>
      <c r="BW170" s="10" t="b">
        <f>tbl_MTG_Set[[#This Row],[Collector Singles CardMarket Profit MTG Stocks]]&gt;0</f>
        <v>0</v>
      </c>
      <c r="BX170" s="10"/>
      <c r="BY170" s="10"/>
      <c r="BZ1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0" s="10" t="e">
        <f>tbl_MTG_Set[[#This Row],[Collector Singles CardMarket Profit BotBox]]/tbl_MTG_Set[[#This Row],[Collector Booster Cost]]</f>
        <v>#N/A</v>
      </c>
      <c r="CC170" s="10" t="b">
        <f>tbl_MTG_Set[[#This Row],[Collector Singles CardMarket Profit BotBox]]&gt;0</f>
        <v>0</v>
      </c>
      <c r="CD1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1" spans="1:86" hidden="1">
      <c r="A171">
        <v>189</v>
      </c>
      <c r="B171" t="s">
        <v>344</v>
      </c>
      <c r="C171">
        <v>46</v>
      </c>
      <c r="D171" s="3">
        <v>45037</v>
      </c>
      <c r="E171" t="s">
        <v>80</v>
      </c>
      <c r="F171" t="s">
        <v>174</v>
      </c>
      <c r="G171">
        <v>324</v>
      </c>
      <c r="H171">
        <f ca="1">MONTH(NOW())+12*YEAR(NOW())-MONTH(tbl_MTG_Set[[#This Row],[Released On]])-12*YEAR(tbl_MTG_Set[[#This Row],[Released On]])</f>
        <v>35</v>
      </c>
      <c r="I171">
        <f>_xlfn.XLOOKUP(tbl_MTG_Set[[#This Row],[Type Name]], tbl_MTG_Set_Type[Set Type], tbl_MTG_Set_Type[Index], "(Set Type not found)")</f>
        <v>5</v>
      </c>
      <c r="J171">
        <f>_xlfn.XLOOKUP(tbl_MTG_Set[[#This Row],[Type Name]], tbl_MTG_Set_Type[Set Type], tbl_MTG_Set_Type[Buy Window Month Start], "(Set Type not found)")</f>
        <v>3</v>
      </c>
      <c r="K171" s="3">
        <f>tbl_MTG_Set[[#This Row],[Released On]]+tbl_MTG_Set[[#This Row],[Buy Window Month Start]]*365.25/12</f>
        <v>45128.3125</v>
      </c>
      <c r="L171">
        <f>_xlfn.XLOOKUP(tbl_MTG_Set[[#This Row],[Type Name]], tbl_MTG_Set_Type[Set Type], tbl_MTG_Set_Type[Buy Window Month End], "(Set Type not found)", 0, 1)</f>
        <v>12</v>
      </c>
      <c r="M171" s="3">
        <f>tbl_MTG_Set[[#This Row],[Released On]]+tbl_MTG_Set[[#This Row],[Buy Window Month End]]*365.25/12</f>
        <v>45402.25</v>
      </c>
      <c r="N171" s="3" t="b">
        <f ca="1">AND(NOW()&gt;=tbl_MTG_Set[[#This Row],[Buy Window Start]], NOW()&lt;=tbl_MTG_Set[[#This Row],[Buy Window End]])</f>
        <v>0</v>
      </c>
      <c r="O171">
        <f>_xlfn.XLOOKUP(tbl_MTG_Set[[#This Row],[Type Name]], tbl_MTG_Set_Type[Set Type], tbl_MTG_Set_Type[Heavy Printing Window Month Start], "(Set Type not found)", 0, 1)</f>
        <v>12</v>
      </c>
      <c r="P171" s="3">
        <f>tbl_MTG_Set[[#This Row],[Released On]]+tbl_MTG_Set[[#This Row],[Heavy Printing Window Month Start]]*365.25/12</f>
        <v>45402.25</v>
      </c>
      <c r="Q171">
        <f>_xlfn.XLOOKUP(tbl_MTG_Set[[#This Row],[Type Name]], tbl_MTG_Set_Type[Set Type], tbl_MTG_Set_Type[Heavy Printing Window Month End], "(Set Type not found)", 0, 1)</f>
        <v>18</v>
      </c>
      <c r="R171" s="3">
        <f>tbl_MTG_Set[[#This Row],[Released On]]+tbl_MTG_Set[[#This Row],[Heavy Printing Window Month End]]*365.25/12</f>
        <v>45584.875</v>
      </c>
      <c r="S171" s="3" t="b">
        <f ca="1">AND(NOW()&gt;=tbl_MTG_Set[[#This Row],[Heavy Printing Window Start]], NOW()&lt;=tbl_MTG_Set[[#This Row],[Heavy Printing Window End]])</f>
        <v>0</v>
      </c>
      <c r="T171">
        <f>_xlfn.XLOOKUP(tbl_MTG_Set[[#This Row],[Type Name]], tbl_MTG_Set_Type[Set Type], tbl_MTG_Set_Type[Sell Window Month Start], "(Set Type not found)", 0, 1)</f>
        <v>24</v>
      </c>
      <c r="U171" s="3">
        <f>tbl_MTG_Set[[#This Row],[Released On]]+tbl_MTG_Set[[#This Row],[Sell Window Month Start]]*365.25/12</f>
        <v>45767.5</v>
      </c>
      <c r="V171">
        <f>_xlfn.XLOOKUP(tbl_MTG_Set[[#This Row],[Type Name]], tbl_MTG_Set_Type[Set Type], tbl_MTG_Set_Type[Sell Window Month End], "(Set Type not found)", 0, 1)</f>
        <v>24</v>
      </c>
      <c r="W171" s="3">
        <f>tbl_MTG_Set[[#This Row],[Released On]]+tbl_MTG_Set[[#This Row],[Sell Window Month End]]*365.25/12</f>
        <v>45767.5</v>
      </c>
      <c r="X171" s="3" t="b">
        <f ca="1">AND(NOW()&gt;=tbl_MTG_Set[[#This Row],[Sell Window Start]], NOW()&lt;=tbl_MTG_Set[[#This Row],[Sell Window End]])</f>
        <v>0</v>
      </c>
      <c r="AG171" s="10"/>
      <c r="AH171" s="10"/>
      <c r="AM171" s="10" t="str" cm="1">
        <f t="array" ref="AM1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1" s="10" t="str" cm="1">
        <f t="array" ref="AN1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1" s="4" t="e">
        <f>_xlfn.XLOOKUP(tbl_MTG_Set[[#This Row],[Play Booster Box Product Id]], tbl_Product[Product Id], tbl_Product[Pack Size])</f>
        <v>#N/A</v>
      </c>
      <c r="AP171" s="10" t="e">
        <f>(tbl_MTG_Set[[#This Row],[Play Booster Box Cost]]+v_Item_Shipping_Cost_In)/tbl_MTG_Set[[#This Row],[Play Booster Box Size]]</f>
        <v>#VALUE!</v>
      </c>
      <c r="AQ171" s="10" t="str" cm="1">
        <f t="array" ref="AQ1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1" s="10"/>
      <c r="AS171" s="10"/>
      <c r="AT171" s="17" t="e">
        <f>tbl_MTG_Set[[#This Row],[Play Booster CardMarket Profit]]/tbl_MTG_Set[[#This Row],[Play Booster Cost]]</f>
        <v>#VALUE!</v>
      </c>
      <c r="AU171" s="10" t="e">
        <f>_xlfn.XLOOKUP(tbl_MTG_Set[[#This Row],[Collector Booster Box Product Id]], tbl_Product[Product Id], tbl_Product[Min Cost])</f>
        <v>#N/A</v>
      </c>
      <c r="AV171" s="10" t="e">
        <f>_xlfn.XLOOKUP(tbl_MTG_Set[[#This Row],[Collector Booster Box Product Id]], tbl_Product[Product Id], tbl_Product[Best Source])</f>
        <v>#N/A</v>
      </c>
      <c r="AW171" s="4" t="e">
        <f>_xlfn.XLOOKUP(tbl_MTG_Set[[#This Row],[Collector Booster Box Product Id]], tbl_Product[Product Id], tbl_Product[Pack Size])</f>
        <v>#N/A</v>
      </c>
      <c r="AX171" s="10" t="e">
        <f>(tbl_MTG_Set[[#This Row],[Collector Booster Box Cost]] + v_Item_Shipping_Cost_In) / tbl_MTG_Set[[#This Row],[Collector Booster Box Size]]</f>
        <v>#N/A</v>
      </c>
      <c r="AY171" s="10" t="str" cm="1">
        <f t="array" ref="AY1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1" s="10"/>
      <c r="BA1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1" s="17" t="e">
        <f>tbl_MTG_Set[[#This Row],[Collector Booster CardMarket Profit]]/tbl_MTG_Set[[#This Row],[Collector Booster Cost]]</f>
        <v>#N/A</v>
      </c>
      <c r="BC171" s="10"/>
      <c r="BF1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1" s="11" t="e">
        <f>tbl_MTG_Set[[#This Row],[Play Singles CardMarket Profit MTG Stocks]]/tbl_MTG_Set[[#This Row],[Play Booster Cost]]</f>
        <v>#VALUE!</v>
      </c>
      <c r="BI171" s="11" t="b">
        <f>tbl_MTG_Set[[#This Row],[Play Singles CardMarket Profit MTG Stocks]]&gt;0</f>
        <v>0</v>
      </c>
      <c r="BM171" s="10" t="e">
        <f>tbl_MTG_Set[[#This Row],[Play Booster Sell Price CardMarket]]*tbl_MTG_Set[[#This Row],[Play Booster Expected Market Value BotBox]]/tbl_MTG_Set[[#This Row],[Play Booster Sealed Market Value BotBox]]</f>
        <v>#VALUE!</v>
      </c>
      <c r="BN1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1" s="10" t="e">
        <f>tbl_MTG_Set[[#This Row],[Play Singles CardMarket Profit BotBox]]/tbl_MTG_Set[[#This Row],[Play Booster Cost]]</f>
        <v>#VALUE!</v>
      </c>
      <c r="BP171" s="10" t="b">
        <f>tbl_MTG_Set[[#This Row],[Play Singles CardMarket Profit BotBox]]&gt;0</f>
        <v>0</v>
      </c>
      <c r="BQ171" s="10"/>
      <c r="BR171" s="10"/>
      <c r="BS171" s="10"/>
      <c r="BT1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1" s="19" t="e">
        <f>tbl_MTG_Set[[#This Row],[Collector Singles CardMarket Profit MTG Stocks]]/tbl_MTG_Set[[#This Row],[Collector Booster Cost]]</f>
        <v>#N/A</v>
      </c>
      <c r="BW171" s="10" t="b">
        <f>tbl_MTG_Set[[#This Row],[Collector Singles CardMarket Profit MTG Stocks]]&gt;0</f>
        <v>0</v>
      </c>
      <c r="BX171" s="10"/>
      <c r="BY171" s="10"/>
      <c r="BZ1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1" s="10" t="e">
        <f>tbl_MTG_Set[[#This Row],[Collector Singles CardMarket Profit BotBox]]/tbl_MTG_Set[[#This Row],[Collector Booster Cost]]</f>
        <v>#N/A</v>
      </c>
      <c r="CC171" s="10" t="b">
        <f>tbl_MTG_Set[[#This Row],[Collector Singles CardMarket Profit BotBox]]&gt;0</f>
        <v>0</v>
      </c>
      <c r="CD1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2" spans="1:86" hidden="1">
      <c r="A172">
        <v>190</v>
      </c>
      <c r="B172" t="s">
        <v>345</v>
      </c>
      <c r="C172">
        <v>12</v>
      </c>
      <c r="D172" s="3">
        <v>45037</v>
      </c>
      <c r="E172" t="s">
        <v>59</v>
      </c>
      <c r="F172" t="s">
        <v>174</v>
      </c>
      <c r="G172">
        <v>326</v>
      </c>
      <c r="H172">
        <f ca="1">MONTH(NOW())+12*YEAR(NOW())-MONTH(tbl_MTG_Set[[#This Row],[Released On]])-12*YEAR(tbl_MTG_Set[[#This Row],[Released On]])</f>
        <v>35</v>
      </c>
      <c r="I172">
        <f>_xlfn.XLOOKUP(tbl_MTG_Set[[#This Row],[Type Name]], tbl_MTG_Set_Type[Set Type], tbl_MTG_Set_Type[Index], "(Set Type not found)")</f>
        <v>1</v>
      </c>
      <c r="J172">
        <f>_xlfn.XLOOKUP(tbl_MTG_Set[[#This Row],[Type Name]], tbl_MTG_Set_Type[Set Type], tbl_MTG_Set_Type[Buy Window Month Start], "(Set Type not found)")</f>
        <v>18</v>
      </c>
      <c r="K172" s="3">
        <f>tbl_MTG_Set[[#This Row],[Released On]]+tbl_MTG_Set[[#This Row],[Buy Window Month Start]]*365.25/12</f>
        <v>45584.875</v>
      </c>
      <c r="L172">
        <f>_xlfn.XLOOKUP(tbl_MTG_Set[[#This Row],[Type Name]], tbl_MTG_Set_Type[Set Type], tbl_MTG_Set_Type[Buy Window Month End], "(Set Type not found)", 0, 1)</f>
        <v>24</v>
      </c>
      <c r="M172" s="3">
        <f>tbl_MTG_Set[[#This Row],[Released On]]+tbl_MTG_Set[[#This Row],[Buy Window Month End]]*365.25/12</f>
        <v>45767.5</v>
      </c>
      <c r="N172" s="3" t="b">
        <f ca="1">AND(NOW()&gt;=tbl_MTG_Set[[#This Row],[Buy Window Start]], NOW()&lt;=tbl_MTG_Set[[#This Row],[Buy Window End]])</f>
        <v>0</v>
      </c>
      <c r="O172">
        <f>_xlfn.XLOOKUP(tbl_MTG_Set[[#This Row],[Type Name]], tbl_MTG_Set_Type[Set Type], tbl_MTG_Set_Type[Heavy Printing Window Month Start], "(Set Type not found)", 0, 1)</f>
        <v>1</v>
      </c>
      <c r="P172" s="3">
        <f>tbl_MTG_Set[[#This Row],[Released On]]+tbl_MTG_Set[[#This Row],[Heavy Printing Window Month Start]]*365.25/12</f>
        <v>45067.4375</v>
      </c>
      <c r="Q172">
        <f>_xlfn.XLOOKUP(tbl_MTG_Set[[#This Row],[Type Name]], tbl_MTG_Set_Type[Set Type], tbl_MTG_Set_Type[Heavy Printing Window Month End], "(Set Type not found)", 0, 1)</f>
        <v>18</v>
      </c>
      <c r="R172" s="3">
        <f>tbl_MTG_Set[[#This Row],[Released On]]+tbl_MTG_Set[[#This Row],[Heavy Printing Window Month End]]*365.25/12</f>
        <v>45584.875</v>
      </c>
      <c r="S172" s="3" t="b">
        <f ca="1">AND(NOW()&gt;=tbl_MTG_Set[[#This Row],[Heavy Printing Window Start]], NOW()&lt;=tbl_MTG_Set[[#This Row],[Heavy Printing Window End]])</f>
        <v>0</v>
      </c>
      <c r="T172">
        <f>_xlfn.XLOOKUP(tbl_MTG_Set[[#This Row],[Type Name]], tbl_MTG_Set_Type[Set Type], tbl_MTG_Set_Type[Sell Window Month Start], "(Set Type not found)", 0, 1)</f>
        <v>36</v>
      </c>
      <c r="U172" s="3">
        <f>tbl_MTG_Set[[#This Row],[Released On]]+tbl_MTG_Set[[#This Row],[Sell Window Month Start]]*365.25/12</f>
        <v>46132.75</v>
      </c>
      <c r="V172">
        <f>_xlfn.XLOOKUP(tbl_MTG_Set[[#This Row],[Type Name]], tbl_MTG_Set_Type[Set Type], tbl_MTG_Set_Type[Sell Window Month End], "(Set Type not found)", 0, 1)</f>
        <v>48</v>
      </c>
      <c r="W172" s="3">
        <f>tbl_MTG_Set[[#This Row],[Released On]]+tbl_MTG_Set[[#This Row],[Sell Window Month End]]*365.25/12</f>
        <v>46498</v>
      </c>
      <c r="X172" s="3" t="b">
        <f ca="1">AND(NOW()&gt;=tbl_MTG_Set[[#This Row],[Sell Window Start]], NOW()&lt;=tbl_MTG_Set[[#This Row],[Sell Window End]])</f>
        <v>0</v>
      </c>
      <c r="AG172" s="10"/>
      <c r="AH172" s="10"/>
      <c r="AM172" s="10" t="str" cm="1">
        <f t="array" ref="AM1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2" s="10" t="str" cm="1">
        <f t="array" ref="AN1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2" s="4" t="e">
        <f>_xlfn.XLOOKUP(tbl_MTG_Set[[#This Row],[Play Booster Box Product Id]], tbl_Product[Product Id], tbl_Product[Pack Size])</f>
        <v>#N/A</v>
      </c>
      <c r="AP172" s="10" t="e">
        <f>(tbl_MTG_Set[[#This Row],[Play Booster Box Cost]]+v_Item_Shipping_Cost_In)/tbl_MTG_Set[[#This Row],[Play Booster Box Size]]</f>
        <v>#VALUE!</v>
      </c>
      <c r="AQ172" s="10" t="str" cm="1">
        <f t="array" ref="AQ1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2" s="10"/>
      <c r="AS172" s="10"/>
      <c r="AT172" s="17" t="e">
        <f>tbl_MTG_Set[[#This Row],[Play Booster CardMarket Profit]]/tbl_MTG_Set[[#This Row],[Play Booster Cost]]</f>
        <v>#VALUE!</v>
      </c>
      <c r="AU172" s="10" t="e">
        <f>_xlfn.XLOOKUP(tbl_MTG_Set[[#This Row],[Collector Booster Box Product Id]], tbl_Product[Product Id], tbl_Product[Min Cost])</f>
        <v>#N/A</v>
      </c>
      <c r="AV172" s="10" t="e">
        <f>_xlfn.XLOOKUP(tbl_MTG_Set[[#This Row],[Collector Booster Box Product Id]], tbl_Product[Product Id], tbl_Product[Best Source])</f>
        <v>#N/A</v>
      </c>
      <c r="AW172" s="4" t="e">
        <f>_xlfn.XLOOKUP(tbl_MTG_Set[[#This Row],[Collector Booster Box Product Id]], tbl_Product[Product Id], tbl_Product[Pack Size])</f>
        <v>#N/A</v>
      </c>
      <c r="AX172" s="10" t="e">
        <f>(tbl_MTG_Set[[#This Row],[Collector Booster Box Cost]] + v_Item_Shipping_Cost_In) / tbl_MTG_Set[[#This Row],[Collector Booster Box Size]]</f>
        <v>#N/A</v>
      </c>
      <c r="AY172" s="10" t="str" cm="1">
        <f t="array" ref="AY1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2" s="10"/>
      <c r="BA1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2" s="17" t="e">
        <f>tbl_MTG_Set[[#This Row],[Collector Booster CardMarket Profit]]/tbl_MTG_Set[[#This Row],[Collector Booster Cost]]</f>
        <v>#N/A</v>
      </c>
      <c r="BC172" s="10"/>
      <c r="BF1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2" s="11" t="e">
        <f>tbl_MTG_Set[[#This Row],[Play Singles CardMarket Profit MTG Stocks]]/tbl_MTG_Set[[#This Row],[Play Booster Cost]]</f>
        <v>#VALUE!</v>
      </c>
      <c r="BI172" s="11" t="b">
        <f>tbl_MTG_Set[[#This Row],[Play Singles CardMarket Profit MTG Stocks]]&gt;0</f>
        <v>0</v>
      </c>
      <c r="BM172" s="10" t="e">
        <f>tbl_MTG_Set[[#This Row],[Play Booster Sell Price CardMarket]]*tbl_MTG_Set[[#This Row],[Play Booster Expected Market Value BotBox]]/tbl_MTG_Set[[#This Row],[Play Booster Sealed Market Value BotBox]]</f>
        <v>#VALUE!</v>
      </c>
      <c r="BN1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2" s="10" t="e">
        <f>tbl_MTG_Set[[#This Row],[Play Singles CardMarket Profit BotBox]]/tbl_MTG_Set[[#This Row],[Play Booster Cost]]</f>
        <v>#VALUE!</v>
      </c>
      <c r="BP172" s="10" t="b">
        <f>tbl_MTG_Set[[#This Row],[Play Singles CardMarket Profit BotBox]]&gt;0</f>
        <v>0</v>
      </c>
      <c r="BQ172" s="10"/>
      <c r="BR172" s="10"/>
      <c r="BS172" s="10"/>
      <c r="BT1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2" s="19" t="e">
        <f>tbl_MTG_Set[[#This Row],[Collector Singles CardMarket Profit MTG Stocks]]/tbl_MTG_Set[[#This Row],[Collector Booster Cost]]</f>
        <v>#N/A</v>
      </c>
      <c r="BW172" s="10" t="b">
        <f>tbl_MTG_Set[[#This Row],[Collector Singles CardMarket Profit MTG Stocks]]&gt;0</f>
        <v>0</v>
      </c>
      <c r="BX172" s="10"/>
      <c r="BY172" s="10"/>
      <c r="BZ1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2" s="10" t="e">
        <f>tbl_MTG_Set[[#This Row],[Collector Singles CardMarket Profit BotBox]]/tbl_MTG_Set[[#This Row],[Collector Booster Cost]]</f>
        <v>#N/A</v>
      </c>
      <c r="CC172" s="10" t="b">
        <f>tbl_MTG_Set[[#This Row],[Collector Singles CardMarket Profit BotBox]]&gt;0</f>
        <v>0</v>
      </c>
      <c r="CD1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3" spans="1:86" hidden="1">
      <c r="A173">
        <v>191</v>
      </c>
      <c r="B173" t="s">
        <v>346</v>
      </c>
      <c r="C173">
        <v>81</v>
      </c>
      <c r="D173" s="3">
        <v>45037</v>
      </c>
      <c r="E173" t="s">
        <v>59</v>
      </c>
      <c r="F173" t="s">
        <v>174</v>
      </c>
      <c r="G173">
        <v>328</v>
      </c>
      <c r="H173">
        <f ca="1">MONTH(NOW())+12*YEAR(NOW())-MONTH(tbl_MTG_Set[[#This Row],[Released On]])-12*YEAR(tbl_MTG_Set[[#This Row],[Released On]])</f>
        <v>35</v>
      </c>
      <c r="I173">
        <f>_xlfn.XLOOKUP(tbl_MTG_Set[[#This Row],[Type Name]], tbl_MTG_Set_Type[Set Type], tbl_MTG_Set_Type[Index], "(Set Type not found)")</f>
        <v>1</v>
      </c>
      <c r="J173">
        <f>_xlfn.XLOOKUP(tbl_MTG_Set[[#This Row],[Type Name]], tbl_MTG_Set_Type[Set Type], tbl_MTG_Set_Type[Buy Window Month Start], "(Set Type not found)")</f>
        <v>18</v>
      </c>
      <c r="K173" s="3">
        <f>tbl_MTG_Set[[#This Row],[Released On]]+tbl_MTG_Set[[#This Row],[Buy Window Month Start]]*365.25/12</f>
        <v>45584.875</v>
      </c>
      <c r="L173">
        <f>_xlfn.XLOOKUP(tbl_MTG_Set[[#This Row],[Type Name]], tbl_MTG_Set_Type[Set Type], tbl_MTG_Set_Type[Buy Window Month End], "(Set Type not found)", 0, 1)</f>
        <v>24</v>
      </c>
      <c r="M173" s="3">
        <f>tbl_MTG_Set[[#This Row],[Released On]]+tbl_MTG_Set[[#This Row],[Buy Window Month End]]*365.25/12</f>
        <v>45767.5</v>
      </c>
      <c r="N173" s="3" t="b">
        <f ca="1">AND(NOW()&gt;=tbl_MTG_Set[[#This Row],[Buy Window Start]], NOW()&lt;=tbl_MTG_Set[[#This Row],[Buy Window End]])</f>
        <v>0</v>
      </c>
      <c r="O173">
        <f>_xlfn.XLOOKUP(tbl_MTG_Set[[#This Row],[Type Name]], tbl_MTG_Set_Type[Set Type], tbl_MTG_Set_Type[Heavy Printing Window Month Start], "(Set Type not found)", 0, 1)</f>
        <v>1</v>
      </c>
      <c r="P173" s="3">
        <f>tbl_MTG_Set[[#This Row],[Released On]]+tbl_MTG_Set[[#This Row],[Heavy Printing Window Month Start]]*365.25/12</f>
        <v>45067.4375</v>
      </c>
      <c r="Q173">
        <f>_xlfn.XLOOKUP(tbl_MTG_Set[[#This Row],[Type Name]], tbl_MTG_Set_Type[Set Type], tbl_MTG_Set_Type[Heavy Printing Window Month End], "(Set Type not found)", 0, 1)</f>
        <v>18</v>
      </c>
      <c r="R173" s="3">
        <f>tbl_MTG_Set[[#This Row],[Released On]]+tbl_MTG_Set[[#This Row],[Heavy Printing Window Month End]]*365.25/12</f>
        <v>45584.875</v>
      </c>
      <c r="S173" s="3" t="b">
        <f ca="1">AND(NOW()&gt;=tbl_MTG_Set[[#This Row],[Heavy Printing Window Start]], NOW()&lt;=tbl_MTG_Set[[#This Row],[Heavy Printing Window End]])</f>
        <v>0</v>
      </c>
      <c r="T173">
        <f>_xlfn.XLOOKUP(tbl_MTG_Set[[#This Row],[Type Name]], tbl_MTG_Set_Type[Set Type], tbl_MTG_Set_Type[Sell Window Month Start], "(Set Type not found)", 0, 1)</f>
        <v>36</v>
      </c>
      <c r="U173" s="3">
        <f>tbl_MTG_Set[[#This Row],[Released On]]+tbl_MTG_Set[[#This Row],[Sell Window Month Start]]*365.25/12</f>
        <v>46132.75</v>
      </c>
      <c r="V173">
        <f>_xlfn.XLOOKUP(tbl_MTG_Set[[#This Row],[Type Name]], tbl_MTG_Set_Type[Set Type], tbl_MTG_Set_Type[Sell Window Month End], "(Set Type not found)", 0, 1)</f>
        <v>48</v>
      </c>
      <c r="W173" s="3">
        <f>tbl_MTG_Set[[#This Row],[Released On]]+tbl_MTG_Set[[#This Row],[Sell Window Month End]]*365.25/12</f>
        <v>46498</v>
      </c>
      <c r="X173" s="3" t="b">
        <f ca="1">AND(NOW()&gt;=tbl_MTG_Set[[#This Row],[Sell Window Start]], NOW()&lt;=tbl_MTG_Set[[#This Row],[Sell Window End]])</f>
        <v>0</v>
      </c>
      <c r="AG173" s="10"/>
      <c r="AH173" s="10"/>
      <c r="AM173" s="10" t="str" cm="1">
        <f t="array" ref="AM1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3" s="10" t="str" cm="1">
        <f t="array" ref="AN1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3" s="4" t="e">
        <f>_xlfn.XLOOKUP(tbl_MTG_Set[[#This Row],[Play Booster Box Product Id]], tbl_Product[Product Id], tbl_Product[Pack Size])</f>
        <v>#N/A</v>
      </c>
      <c r="AP173" s="10" t="e">
        <f>(tbl_MTG_Set[[#This Row],[Play Booster Box Cost]]+v_Item_Shipping_Cost_In)/tbl_MTG_Set[[#This Row],[Play Booster Box Size]]</f>
        <v>#VALUE!</v>
      </c>
      <c r="AQ173" s="10" t="str" cm="1">
        <f t="array" ref="AQ1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3" s="10"/>
      <c r="AS173" s="10"/>
      <c r="AT173" s="17" t="e">
        <f>tbl_MTG_Set[[#This Row],[Play Booster CardMarket Profit]]/tbl_MTG_Set[[#This Row],[Play Booster Cost]]</f>
        <v>#VALUE!</v>
      </c>
      <c r="AU173" s="10" t="e">
        <f>_xlfn.XLOOKUP(tbl_MTG_Set[[#This Row],[Collector Booster Box Product Id]], tbl_Product[Product Id], tbl_Product[Min Cost])</f>
        <v>#N/A</v>
      </c>
      <c r="AV173" s="10" t="e">
        <f>_xlfn.XLOOKUP(tbl_MTG_Set[[#This Row],[Collector Booster Box Product Id]], tbl_Product[Product Id], tbl_Product[Best Source])</f>
        <v>#N/A</v>
      </c>
      <c r="AW173" s="4" t="e">
        <f>_xlfn.XLOOKUP(tbl_MTG_Set[[#This Row],[Collector Booster Box Product Id]], tbl_Product[Product Id], tbl_Product[Pack Size])</f>
        <v>#N/A</v>
      </c>
      <c r="AX173" s="10" t="e">
        <f>(tbl_MTG_Set[[#This Row],[Collector Booster Box Cost]] + v_Item_Shipping_Cost_In) / tbl_MTG_Set[[#This Row],[Collector Booster Box Size]]</f>
        <v>#N/A</v>
      </c>
      <c r="AY173" s="10" t="str" cm="1">
        <f t="array" ref="AY1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3" s="10"/>
      <c r="BA1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3" s="17" t="e">
        <f>tbl_MTG_Set[[#This Row],[Collector Booster CardMarket Profit]]/tbl_MTG_Set[[#This Row],[Collector Booster Cost]]</f>
        <v>#N/A</v>
      </c>
      <c r="BC173" s="10"/>
      <c r="BF1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3" s="11" t="e">
        <f>tbl_MTG_Set[[#This Row],[Play Singles CardMarket Profit MTG Stocks]]/tbl_MTG_Set[[#This Row],[Play Booster Cost]]</f>
        <v>#VALUE!</v>
      </c>
      <c r="BI173" s="11" t="b">
        <f>tbl_MTG_Set[[#This Row],[Play Singles CardMarket Profit MTG Stocks]]&gt;0</f>
        <v>0</v>
      </c>
      <c r="BM173" s="10" t="e">
        <f>tbl_MTG_Set[[#This Row],[Play Booster Sell Price CardMarket]]*tbl_MTG_Set[[#This Row],[Play Booster Expected Market Value BotBox]]/tbl_MTG_Set[[#This Row],[Play Booster Sealed Market Value BotBox]]</f>
        <v>#VALUE!</v>
      </c>
      <c r="BN1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3" s="10" t="e">
        <f>tbl_MTG_Set[[#This Row],[Play Singles CardMarket Profit BotBox]]/tbl_MTG_Set[[#This Row],[Play Booster Cost]]</f>
        <v>#VALUE!</v>
      </c>
      <c r="BP173" s="10" t="b">
        <f>tbl_MTG_Set[[#This Row],[Play Singles CardMarket Profit BotBox]]&gt;0</f>
        <v>0</v>
      </c>
      <c r="BQ173" s="10"/>
      <c r="BR173" s="10"/>
      <c r="BS173" s="10"/>
      <c r="BT1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3" s="19" t="e">
        <f>tbl_MTG_Set[[#This Row],[Collector Singles CardMarket Profit MTG Stocks]]/tbl_MTG_Set[[#This Row],[Collector Booster Cost]]</f>
        <v>#N/A</v>
      </c>
      <c r="BW173" s="10" t="b">
        <f>tbl_MTG_Set[[#This Row],[Collector Singles CardMarket Profit MTG Stocks]]&gt;0</f>
        <v>0</v>
      </c>
      <c r="BX173" s="10"/>
      <c r="BY173" s="10"/>
      <c r="BZ1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3" s="10" t="e">
        <f>tbl_MTG_Set[[#This Row],[Collector Singles CardMarket Profit BotBox]]/tbl_MTG_Set[[#This Row],[Collector Booster Cost]]</f>
        <v>#N/A</v>
      </c>
      <c r="CC173" s="10" t="b">
        <f>tbl_MTG_Set[[#This Row],[Collector Singles CardMarket Profit BotBox]]&gt;0</f>
        <v>0</v>
      </c>
      <c r="CD1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4" spans="1:86" hidden="1">
      <c r="A174">
        <v>192</v>
      </c>
      <c r="B174" t="s">
        <v>347</v>
      </c>
      <c r="C174">
        <v>1</v>
      </c>
      <c r="D174" s="3">
        <v>45037</v>
      </c>
      <c r="E174" t="s">
        <v>59</v>
      </c>
      <c r="F174" t="s">
        <v>174</v>
      </c>
      <c r="G174">
        <v>330</v>
      </c>
      <c r="H174">
        <f ca="1">MONTH(NOW())+12*YEAR(NOW())-MONTH(tbl_MTG_Set[[#This Row],[Released On]])-12*YEAR(tbl_MTG_Set[[#This Row],[Released On]])</f>
        <v>35</v>
      </c>
      <c r="I174">
        <f>_xlfn.XLOOKUP(tbl_MTG_Set[[#This Row],[Type Name]], tbl_MTG_Set_Type[Set Type], tbl_MTG_Set_Type[Index], "(Set Type not found)")</f>
        <v>1</v>
      </c>
      <c r="J174">
        <f>_xlfn.XLOOKUP(tbl_MTG_Set[[#This Row],[Type Name]], tbl_MTG_Set_Type[Set Type], tbl_MTG_Set_Type[Buy Window Month Start], "(Set Type not found)")</f>
        <v>18</v>
      </c>
      <c r="K174" s="3">
        <f>tbl_MTG_Set[[#This Row],[Released On]]+tbl_MTG_Set[[#This Row],[Buy Window Month Start]]*365.25/12</f>
        <v>45584.875</v>
      </c>
      <c r="L174">
        <f>_xlfn.XLOOKUP(tbl_MTG_Set[[#This Row],[Type Name]], tbl_MTG_Set_Type[Set Type], tbl_MTG_Set_Type[Buy Window Month End], "(Set Type not found)", 0, 1)</f>
        <v>24</v>
      </c>
      <c r="M174" s="3">
        <f>tbl_MTG_Set[[#This Row],[Released On]]+tbl_MTG_Set[[#This Row],[Buy Window Month End]]*365.25/12</f>
        <v>45767.5</v>
      </c>
      <c r="N174" s="3" t="b">
        <f ca="1">AND(NOW()&gt;=tbl_MTG_Set[[#This Row],[Buy Window Start]], NOW()&lt;=tbl_MTG_Set[[#This Row],[Buy Window End]])</f>
        <v>0</v>
      </c>
      <c r="O174">
        <f>_xlfn.XLOOKUP(tbl_MTG_Set[[#This Row],[Type Name]], tbl_MTG_Set_Type[Set Type], tbl_MTG_Set_Type[Heavy Printing Window Month Start], "(Set Type not found)", 0, 1)</f>
        <v>1</v>
      </c>
      <c r="P174" s="3">
        <f>tbl_MTG_Set[[#This Row],[Released On]]+tbl_MTG_Set[[#This Row],[Heavy Printing Window Month Start]]*365.25/12</f>
        <v>45067.4375</v>
      </c>
      <c r="Q174">
        <f>_xlfn.XLOOKUP(tbl_MTG_Set[[#This Row],[Type Name]], tbl_MTG_Set_Type[Set Type], tbl_MTG_Set_Type[Heavy Printing Window Month End], "(Set Type not found)", 0, 1)</f>
        <v>18</v>
      </c>
      <c r="R174" s="3">
        <f>tbl_MTG_Set[[#This Row],[Released On]]+tbl_MTG_Set[[#This Row],[Heavy Printing Window Month End]]*365.25/12</f>
        <v>45584.875</v>
      </c>
      <c r="S174" s="3" t="b">
        <f ca="1">AND(NOW()&gt;=tbl_MTG_Set[[#This Row],[Heavy Printing Window Start]], NOW()&lt;=tbl_MTG_Set[[#This Row],[Heavy Printing Window End]])</f>
        <v>0</v>
      </c>
      <c r="T174">
        <f>_xlfn.XLOOKUP(tbl_MTG_Set[[#This Row],[Type Name]], tbl_MTG_Set_Type[Set Type], tbl_MTG_Set_Type[Sell Window Month Start], "(Set Type not found)", 0, 1)</f>
        <v>36</v>
      </c>
      <c r="U174" s="3">
        <f>tbl_MTG_Set[[#This Row],[Released On]]+tbl_MTG_Set[[#This Row],[Sell Window Month Start]]*365.25/12</f>
        <v>46132.75</v>
      </c>
      <c r="V174">
        <f>_xlfn.XLOOKUP(tbl_MTG_Set[[#This Row],[Type Name]], tbl_MTG_Set_Type[Set Type], tbl_MTG_Set_Type[Sell Window Month End], "(Set Type not found)", 0, 1)</f>
        <v>48</v>
      </c>
      <c r="W174" s="3">
        <f>tbl_MTG_Set[[#This Row],[Released On]]+tbl_MTG_Set[[#This Row],[Sell Window Month End]]*365.25/12</f>
        <v>46498</v>
      </c>
      <c r="X174" s="3" t="b">
        <f ca="1">AND(NOW()&gt;=tbl_MTG_Set[[#This Row],[Sell Window Start]], NOW()&lt;=tbl_MTG_Set[[#This Row],[Sell Window End]])</f>
        <v>0</v>
      </c>
      <c r="AG174" s="10"/>
      <c r="AH174" s="10"/>
      <c r="AM174" s="10" t="str" cm="1">
        <f t="array" ref="AM1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4" s="10" t="str" cm="1">
        <f t="array" ref="AN1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4" s="4" t="e">
        <f>_xlfn.XLOOKUP(tbl_MTG_Set[[#This Row],[Play Booster Box Product Id]], tbl_Product[Product Id], tbl_Product[Pack Size])</f>
        <v>#N/A</v>
      </c>
      <c r="AP174" s="10" t="e">
        <f>(tbl_MTG_Set[[#This Row],[Play Booster Box Cost]]+v_Item_Shipping_Cost_In)/tbl_MTG_Set[[#This Row],[Play Booster Box Size]]</f>
        <v>#VALUE!</v>
      </c>
      <c r="AQ174" s="10" t="str" cm="1">
        <f t="array" ref="AQ1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4" s="10"/>
      <c r="AS174" s="10"/>
      <c r="AT174" s="17" t="e">
        <f>tbl_MTG_Set[[#This Row],[Play Booster CardMarket Profit]]/tbl_MTG_Set[[#This Row],[Play Booster Cost]]</f>
        <v>#VALUE!</v>
      </c>
      <c r="AU174" s="10" t="e">
        <f>_xlfn.XLOOKUP(tbl_MTG_Set[[#This Row],[Collector Booster Box Product Id]], tbl_Product[Product Id], tbl_Product[Min Cost])</f>
        <v>#N/A</v>
      </c>
      <c r="AV174" s="10" t="e">
        <f>_xlfn.XLOOKUP(tbl_MTG_Set[[#This Row],[Collector Booster Box Product Id]], tbl_Product[Product Id], tbl_Product[Best Source])</f>
        <v>#N/A</v>
      </c>
      <c r="AW174" s="4" t="e">
        <f>_xlfn.XLOOKUP(tbl_MTG_Set[[#This Row],[Collector Booster Box Product Id]], tbl_Product[Product Id], tbl_Product[Pack Size])</f>
        <v>#N/A</v>
      </c>
      <c r="AX174" s="10" t="e">
        <f>(tbl_MTG_Set[[#This Row],[Collector Booster Box Cost]] + v_Item_Shipping_Cost_In) / tbl_MTG_Set[[#This Row],[Collector Booster Box Size]]</f>
        <v>#N/A</v>
      </c>
      <c r="AY174" s="10" t="str" cm="1">
        <f t="array" ref="AY1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4" s="10"/>
      <c r="BA1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4" s="17" t="e">
        <f>tbl_MTG_Set[[#This Row],[Collector Booster CardMarket Profit]]/tbl_MTG_Set[[#This Row],[Collector Booster Cost]]</f>
        <v>#N/A</v>
      </c>
      <c r="BC174" s="10"/>
      <c r="BF1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4" s="11" t="e">
        <f>tbl_MTG_Set[[#This Row],[Play Singles CardMarket Profit MTG Stocks]]/tbl_MTG_Set[[#This Row],[Play Booster Cost]]</f>
        <v>#VALUE!</v>
      </c>
      <c r="BI174" s="11" t="b">
        <f>tbl_MTG_Set[[#This Row],[Play Singles CardMarket Profit MTG Stocks]]&gt;0</f>
        <v>0</v>
      </c>
      <c r="BM174" s="10" t="e">
        <f>tbl_MTG_Set[[#This Row],[Play Booster Sell Price CardMarket]]*tbl_MTG_Set[[#This Row],[Play Booster Expected Market Value BotBox]]/tbl_MTG_Set[[#This Row],[Play Booster Sealed Market Value BotBox]]</f>
        <v>#VALUE!</v>
      </c>
      <c r="BN1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4" s="10" t="e">
        <f>tbl_MTG_Set[[#This Row],[Play Singles CardMarket Profit BotBox]]/tbl_MTG_Set[[#This Row],[Play Booster Cost]]</f>
        <v>#VALUE!</v>
      </c>
      <c r="BP174" s="10" t="b">
        <f>tbl_MTG_Set[[#This Row],[Play Singles CardMarket Profit BotBox]]&gt;0</f>
        <v>0</v>
      </c>
      <c r="BQ174" s="10"/>
      <c r="BR174" s="10"/>
      <c r="BS174" s="10"/>
      <c r="BT1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4" s="19" t="e">
        <f>tbl_MTG_Set[[#This Row],[Collector Singles CardMarket Profit MTG Stocks]]/tbl_MTG_Set[[#This Row],[Collector Booster Cost]]</f>
        <v>#N/A</v>
      </c>
      <c r="BW174" s="10" t="b">
        <f>tbl_MTG_Set[[#This Row],[Collector Singles CardMarket Profit MTG Stocks]]&gt;0</f>
        <v>0</v>
      </c>
      <c r="BX174" s="10"/>
      <c r="BY174" s="10"/>
      <c r="BZ1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4" s="10" t="e">
        <f>tbl_MTG_Set[[#This Row],[Collector Singles CardMarket Profit BotBox]]/tbl_MTG_Set[[#This Row],[Collector Booster Cost]]</f>
        <v>#N/A</v>
      </c>
      <c r="CC174" s="10" t="b">
        <f>tbl_MTG_Set[[#This Row],[Collector Singles CardMarket Profit BotBox]]&gt;0</f>
        <v>0</v>
      </c>
      <c r="CD1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5" spans="1:86" hidden="1">
      <c r="A175">
        <v>193</v>
      </c>
      <c r="B175" t="s">
        <v>348</v>
      </c>
      <c r="C175">
        <v>294</v>
      </c>
      <c r="D175" s="3">
        <v>45006</v>
      </c>
      <c r="F175" t="s">
        <v>174</v>
      </c>
      <c r="G175">
        <v>332</v>
      </c>
      <c r="H175">
        <f ca="1">MONTH(NOW())+12*YEAR(NOW())-MONTH(tbl_MTG_Set[[#This Row],[Released On]])-12*YEAR(tbl_MTG_Set[[#This Row],[Released On]])</f>
        <v>36</v>
      </c>
      <c r="I175" t="str">
        <f>_xlfn.XLOOKUP(tbl_MTG_Set[[#This Row],[Type Name]], tbl_MTG_Set_Type[Set Type], tbl_MTG_Set_Type[Index], "(Set Type not found)")</f>
        <v>(Set Type not found)</v>
      </c>
      <c r="J175" t="str">
        <f>_xlfn.XLOOKUP(tbl_MTG_Set[[#This Row],[Type Name]], tbl_MTG_Set_Type[Set Type], tbl_MTG_Set_Type[Buy Window Month Start], "(Set Type not found)")</f>
        <v>(Set Type not found)</v>
      </c>
      <c r="K175" s="3" t="e">
        <f>tbl_MTG_Set[[#This Row],[Released On]]+tbl_MTG_Set[[#This Row],[Buy Window Month Start]]*365.25/12</f>
        <v>#VALUE!</v>
      </c>
      <c r="L175" t="str">
        <f>_xlfn.XLOOKUP(tbl_MTG_Set[[#This Row],[Type Name]], tbl_MTG_Set_Type[Set Type], tbl_MTG_Set_Type[Buy Window Month End], "(Set Type not found)", 0, 1)</f>
        <v>(Set Type not found)</v>
      </c>
      <c r="M175" s="3" t="e">
        <f>tbl_MTG_Set[[#This Row],[Released On]]+tbl_MTG_Set[[#This Row],[Buy Window Month End]]*365.25/12</f>
        <v>#VALUE!</v>
      </c>
      <c r="N175" s="3" t="e">
        <f ca="1">AND(NOW()&gt;=tbl_MTG_Set[[#This Row],[Buy Window Start]], NOW()&lt;=tbl_MTG_Set[[#This Row],[Buy Window End]])</f>
        <v>#VALUE!</v>
      </c>
      <c r="O175" t="str">
        <f>_xlfn.XLOOKUP(tbl_MTG_Set[[#This Row],[Type Name]], tbl_MTG_Set_Type[Set Type], tbl_MTG_Set_Type[Heavy Printing Window Month Start], "(Set Type not found)", 0, 1)</f>
        <v>(Set Type not found)</v>
      </c>
      <c r="P175" s="3" t="e">
        <f>tbl_MTG_Set[[#This Row],[Released On]]+tbl_MTG_Set[[#This Row],[Heavy Printing Window Month Start]]*365.25/12</f>
        <v>#VALUE!</v>
      </c>
      <c r="Q175" t="str">
        <f>_xlfn.XLOOKUP(tbl_MTG_Set[[#This Row],[Type Name]], tbl_MTG_Set_Type[Set Type], tbl_MTG_Set_Type[Heavy Printing Window Month End], "(Set Type not found)", 0, 1)</f>
        <v>(Set Type not found)</v>
      </c>
      <c r="R175" s="3" t="e">
        <f>tbl_MTG_Set[[#This Row],[Released On]]+tbl_MTG_Set[[#This Row],[Heavy Printing Window Month End]]*365.25/12</f>
        <v>#VALUE!</v>
      </c>
      <c r="S175" s="3" t="e">
        <f ca="1">AND(NOW()&gt;=tbl_MTG_Set[[#This Row],[Heavy Printing Window Start]], NOW()&lt;=tbl_MTG_Set[[#This Row],[Heavy Printing Window End]])</f>
        <v>#VALUE!</v>
      </c>
      <c r="T175" t="str">
        <f>_xlfn.XLOOKUP(tbl_MTG_Set[[#This Row],[Type Name]], tbl_MTG_Set_Type[Set Type], tbl_MTG_Set_Type[Sell Window Month Start], "(Set Type not found)", 0, 1)</f>
        <v>(Set Type not found)</v>
      </c>
      <c r="U175" s="3" t="e">
        <f>tbl_MTG_Set[[#This Row],[Released On]]+tbl_MTG_Set[[#This Row],[Sell Window Month Start]]*365.25/12</f>
        <v>#VALUE!</v>
      </c>
      <c r="V175" t="str">
        <f>_xlfn.XLOOKUP(tbl_MTG_Set[[#This Row],[Type Name]], tbl_MTG_Set_Type[Set Type], tbl_MTG_Set_Type[Sell Window Month End], "(Set Type not found)", 0, 1)</f>
        <v>(Set Type not found)</v>
      </c>
      <c r="W175" s="3" t="e">
        <f>tbl_MTG_Set[[#This Row],[Released On]]+tbl_MTG_Set[[#This Row],[Sell Window Month End]]*365.25/12</f>
        <v>#VALUE!</v>
      </c>
      <c r="X175" s="3" t="e">
        <f ca="1">AND(NOW()&gt;=tbl_MTG_Set[[#This Row],[Sell Window Start]], NOW()&lt;=tbl_MTG_Set[[#This Row],[Sell Window End]])</f>
        <v>#VALUE!</v>
      </c>
      <c r="AG175" s="10"/>
      <c r="AH175" s="10"/>
      <c r="AM175" s="10" t="str" cm="1">
        <f t="array" ref="AM1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5" s="10" t="str" cm="1">
        <f t="array" ref="AN1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5" s="4" t="e">
        <f>_xlfn.XLOOKUP(tbl_MTG_Set[[#This Row],[Play Booster Box Product Id]], tbl_Product[Product Id], tbl_Product[Pack Size])</f>
        <v>#N/A</v>
      </c>
      <c r="AP175" s="10" t="e">
        <f>(tbl_MTG_Set[[#This Row],[Play Booster Box Cost]]+v_Item_Shipping_Cost_In)/tbl_MTG_Set[[#This Row],[Play Booster Box Size]]</f>
        <v>#VALUE!</v>
      </c>
      <c r="AQ175" s="10" t="str" cm="1">
        <f t="array" ref="AQ1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5" s="10"/>
      <c r="AS175" s="10"/>
      <c r="AT175" s="17" t="e">
        <f>tbl_MTG_Set[[#This Row],[Play Booster CardMarket Profit]]/tbl_MTG_Set[[#This Row],[Play Booster Cost]]</f>
        <v>#VALUE!</v>
      </c>
      <c r="AU175" s="10" t="e">
        <f>_xlfn.XLOOKUP(tbl_MTG_Set[[#This Row],[Collector Booster Box Product Id]], tbl_Product[Product Id], tbl_Product[Min Cost])</f>
        <v>#N/A</v>
      </c>
      <c r="AV175" s="10" t="e">
        <f>_xlfn.XLOOKUP(tbl_MTG_Set[[#This Row],[Collector Booster Box Product Id]], tbl_Product[Product Id], tbl_Product[Best Source])</f>
        <v>#N/A</v>
      </c>
      <c r="AW175" s="4" t="e">
        <f>_xlfn.XLOOKUP(tbl_MTG_Set[[#This Row],[Collector Booster Box Product Id]], tbl_Product[Product Id], tbl_Product[Pack Size])</f>
        <v>#N/A</v>
      </c>
      <c r="AX175" s="10" t="e">
        <f>(tbl_MTG_Set[[#This Row],[Collector Booster Box Cost]] + v_Item_Shipping_Cost_In) / tbl_MTG_Set[[#This Row],[Collector Booster Box Size]]</f>
        <v>#N/A</v>
      </c>
      <c r="AY175" s="10" t="str" cm="1">
        <f t="array" ref="AY1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5" s="10"/>
      <c r="BA1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5" s="17" t="e">
        <f>tbl_MTG_Set[[#This Row],[Collector Booster CardMarket Profit]]/tbl_MTG_Set[[#This Row],[Collector Booster Cost]]</f>
        <v>#N/A</v>
      </c>
      <c r="BC175" s="10"/>
      <c r="BF1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5" s="11" t="e">
        <f>tbl_MTG_Set[[#This Row],[Play Singles CardMarket Profit MTG Stocks]]/tbl_MTG_Set[[#This Row],[Play Booster Cost]]</f>
        <v>#VALUE!</v>
      </c>
      <c r="BI175" s="11" t="b">
        <f>tbl_MTG_Set[[#This Row],[Play Singles CardMarket Profit MTG Stocks]]&gt;0</f>
        <v>0</v>
      </c>
      <c r="BM175" s="10" t="e">
        <f>tbl_MTG_Set[[#This Row],[Play Booster Sell Price CardMarket]]*tbl_MTG_Set[[#This Row],[Play Booster Expected Market Value BotBox]]/tbl_MTG_Set[[#This Row],[Play Booster Sealed Market Value BotBox]]</f>
        <v>#VALUE!</v>
      </c>
      <c r="BN1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5" s="10" t="e">
        <f>tbl_MTG_Set[[#This Row],[Play Singles CardMarket Profit BotBox]]/tbl_MTG_Set[[#This Row],[Play Booster Cost]]</f>
        <v>#VALUE!</v>
      </c>
      <c r="BP175" s="10" t="b">
        <f>tbl_MTG_Set[[#This Row],[Play Singles CardMarket Profit BotBox]]&gt;0</f>
        <v>0</v>
      </c>
      <c r="BQ175" s="10"/>
      <c r="BR175" s="10"/>
      <c r="BS175" s="10"/>
      <c r="BT1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5" s="19" t="e">
        <f>tbl_MTG_Set[[#This Row],[Collector Singles CardMarket Profit MTG Stocks]]/tbl_MTG_Set[[#This Row],[Collector Booster Cost]]</f>
        <v>#N/A</v>
      </c>
      <c r="BW175" s="10" t="b">
        <f>tbl_MTG_Set[[#This Row],[Collector Singles CardMarket Profit MTG Stocks]]&gt;0</f>
        <v>0</v>
      </c>
      <c r="BX175" s="10"/>
      <c r="BY175" s="10"/>
      <c r="BZ1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5" s="10" t="e">
        <f>tbl_MTG_Set[[#This Row],[Collector Singles CardMarket Profit BotBox]]/tbl_MTG_Set[[#This Row],[Collector Booster Cost]]</f>
        <v>#N/A</v>
      </c>
      <c r="CC175" s="10" t="b">
        <f>tbl_MTG_Set[[#This Row],[Collector Singles CardMarket Profit BotBox]]&gt;0</f>
        <v>0</v>
      </c>
      <c r="CD1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6" spans="1:86" hidden="1">
      <c r="A176">
        <v>194</v>
      </c>
      <c r="B176" t="s">
        <v>349</v>
      </c>
      <c r="C176">
        <v>76</v>
      </c>
      <c r="D176" s="3">
        <v>45006</v>
      </c>
      <c r="F176" t="s">
        <v>174</v>
      </c>
      <c r="G176">
        <v>334</v>
      </c>
      <c r="H176">
        <f ca="1">MONTH(NOW())+12*YEAR(NOW())-MONTH(tbl_MTG_Set[[#This Row],[Released On]])-12*YEAR(tbl_MTG_Set[[#This Row],[Released On]])</f>
        <v>36</v>
      </c>
      <c r="I176" t="str">
        <f>_xlfn.XLOOKUP(tbl_MTG_Set[[#This Row],[Type Name]], tbl_MTG_Set_Type[Set Type], tbl_MTG_Set_Type[Index], "(Set Type not found)")</f>
        <v>(Set Type not found)</v>
      </c>
      <c r="J176" t="str">
        <f>_xlfn.XLOOKUP(tbl_MTG_Set[[#This Row],[Type Name]], tbl_MTG_Set_Type[Set Type], tbl_MTG_Set_Type[Buy Window Month Start], "(Set Type not found)")</f>
        <v>(Set Type not found)</v>
      </c>
      <c r="K176" s="3" t="e">
        <f>tbl_MTG_Set[[#This Row],[Released On]]+tbl_MTG_Set[[#This Row],[Buy Window Month Start]]*365.25/12</f>
        <v>#VALUE!</v>
      </c>
      <c r="L176" t="str">
        <f>_xlfn.XLOOKUP(tbl_MTG_Set[[#This Row],[Type Name]], tbl_MTG_Set_Type[Set Type], tbl_MTG_Set_Type[Buy Window Month End], "(Set Type not found)", 0, 1)</f>
        <v>(Set Type not found)</v>
      </c>
      <c r="M176" s="3" t="e">
        <f>tbl_MTG_Set[[#This Row],[Released On]]+tbl_MTG_Set[[#This Row],[Buy Window Month End]]*365.25/12</f>
        <v>#VALUE!</v>
      </c>
      <c r="N176" s="3" t="e">
        <f ca="1">AND(NOW()&gt;=tbl_MTG_Set[[#This Row],[Buy Window Start]], NOW()&lt;=tbl_MTG_Set[[#This Row],[Buy Window End]])</f>
        <v>#VALUE!</v>
      </c>
      <c r="O176" t="str">
        <f>_xlfn.XLOOKUP(tbl_MTG_Set[[#This Row],[Type Name]], tbl_MTG_Set_Type[Set Type], tbl_MTG_Set_Type[Heavy Printing Window Month Start], "(Set Type not found)", 0, 1)</f>
        <v>(Set Type not found)</v>
      </c>
      <c r="P176" s="3" t="e">
        <f>tbl_MTG_Set[[#This Row],[Released On]]+tbl_MTG_Set[[#This Row],[Heavy Printing Window Month Start]]*365.25/12</f>
        <v>#VALUE!</v>
      </c>
      <c r="Q176" t="str">
        <f>_xlfn.XLOOKUP(tbl_MTG_Set[[#This Row],[Type Name]], tbl_MTG_Set_Type[Set Type], tbl_MTG_Set_Type[Heavy Printing Window Month End], "(Set Type not found)", 0, 1)</f>
        <v>(Set Type not found)</v>
      </c>
      <c r="R176" s="3" t="e">
        <f>tbl_MTG_Set[[#This Row],[Released On]]+tbl_MTG_Set[[#This Row],[Heavy Printing Window Month End]]*365.25/12</f>
        <v>#VALUE!</v>
      </c>
      <c r="S176" s="3" t="e">
        <f ca="1">AND(NOW()&gt;=tbl_MTG_Set[[#This Row],[Heavy Printing Window Start]], NOW()&lt;=tbl_MTG_Set[[#This Row],[Heavy Printing Window End]])</f>
        <v>#VALUE!</v>
      </c>
      <c r="T176" t="str">
        <f>_xlfn.XLOOKUP(tbl_MTG_Set[[#This Row],[Type Name]], tbl_MTG_Set_Type[Set Type], tbl_MTG_Set_Type[Sell Window Month Start], "(Set Type not found)", 0, 1)</f>
        <v>(Set Type not found)</v>
      </c>
      <c r="U176" s="3" t="e">
        <f>tbl_MTG_Set[[#This Row],[Released On]]+tbl_MTG_Set[[#This Row],[Sell Window Month Start]]*365.25/12</f>
        <v>#VALUE!</v>
      </c>
      <c r="V176" t="str">
        <f>_xlfn.XLOOKUP(tbl_MTG_Set[[#This Row],[Type Name]], tbl_MTG_Set_Type[Set Type], tbl_MTG_Set_Type[Sell Window Month End], "(Set Type not found)", 0, 1)</f>
        <v>(Set Type not found)</v>
      </c>
      <c r="W176" s="3" t="e">
        <f>tbl_MTG_Set[[#This Row],[Released On]]+tbl_MTG_Set[[#This Row],[Sell Window Month End]]*365.25/12</f>
        <v>#VALUE!</v>
      </c>
      <c r="X176" s="3" t="e">
        <f ca="1">AND(NOW()&gt;=tbl_MTG_Set[[#This Row],[Sell Window Start]], NOW()&lt;=tbl_MTG_Set[[#This Row],[Sell Window End]])</f>
        <v>#VALUE!</v>
      </c>
      <c r="AG176" s="10"/>
      <c r="AH176" s="10"/>
      <c r="AM176" s="10" t="str" cm="1">
        <f t="array" ref="AM1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6" s="10" t="str" cm="1">
        <f t="array" ref="AN1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6" s="4" t="e">
        <f>_xlfn.XLOOKUP(tbl_MTG_Set[[#This Row],[Play Booster Box Product Id]], tbl_Product[Product Id], tbl_Product[Pack Size])</f>
        <v>#N/A</v>
      </c>
      <c r="AP176" s="10" t="e">
        <f>(tbl_MTG_Set[[#This Row],[Play Booster Box Cost]]+v_Item_Shipping_Cost_In)/tbl_MTG_Set[[#This Row],[Play Booster Box Size]]</f>
        <v>#VALUE!</v>
      </c>
      <c r="AQ176" s="10" t="str" cm="1">
        <f t="array" ref="AQ1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6" s="10"/>
      <c r="AS176" s="10"/>
      <c r="AT176" s="17" t="e">
        <f>tbl_MTG_Set[[#This Row],[Play Booster CardMarket Profit]]/tbl_MTG_Set[[#This Row],[Play Booster Cost]]</f>
        <v>#VALUE!</v>
      </c>
      <c r="AU176" s="10" t="e">
        <f>_xlfn.XLOOKUP(tbl_MTG_Set[[#This Row],[Collector Booster Box Product Id]], tbl_Product[Product Id], tbl_Product[Min Cost])</f>
        <v>#N/A</v>
      </c>
      <c r="AV176" s="10" t="e">
        <f>_xlfn.XLOOKUP(tbl_MTG_Set[[#This Row],[Collector Booster Box Product Id]], tbl_Product[Product Id], tbl_Product[Best Source])</f>
        <v>#N/A</v>
      </c>
      <c r="AW176" s="4" t="e">
        <f>_xlfn.XLOOKUP(tbl_MTG_Set[[#This Row],[Collector Booster Box Product Id]], tbl_Product[Product Id], tbl_Product[Pack Size])</f>
        <v>#N/A</v>
      </c>
      <c r="AX176" s="10" t="e">
        <f>(tbl_MTG_Set[[#This Row],[Collector Booster Box Cost]] + v_Item_Shipping_Cost_In) / tbl_MTG_Set[[#This Row],[Collector Booster Box Size]]</f>
        <v>#N/A</v>
      </c>
      <c r="AY176" s="10" t="str" cm="1">
        <f t="array" ref="AY1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6" s="10"/>
      <c r="BA1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6" s="17" t="e">
        <f>tbl_MTG_Set[[#This Row],[Collector Booster CardMarket Profit]]/tbl_MTG_Set[[#This Row],[Collector Booster Cost]]</f>
        <v>#N/A</v>
      </c>
      <c r="BC176" s="10"/>
      <c r="BF1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6" s="11" t="e">
        <f>tbl_MTG_Set[[#This Row],[Play Singles CardMarket Profit MTG Stocks]]/tbl_MTG_Set[[#This Row],[Play Booster Cost]]</f>
        <v>#VALUE!</v>
      </c>
      <c r="BI176" s="11" t="b">
        <f>tbl_MTG_Set[[#This Row],[Play Singles CardMarket Profit MTG Stocks]]&gt;0</f>
        <v>0</v>
      </c>
      <c r="BM176" s="10" t="e">
        <f>tbl_MTG_Set[[#This Row],[Play Booster Sell Price CardMarket]]*tbl_MTG_Set[[#This Row],[Play Booster Expected Market Value BotBox]]/tbl_MTG_Set[[#This Row],[Play Booster Sealed Market Value BotBox]]</f>
        <v>#VALUE!</v>
      </c>
      <c r="BN1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6" s="10" t="e">
        <f>tbl_MTG_Set[[#This Row],[Play Singles CardMarket Profit BotBox]]/tbl_MTG_Set[[#This Row],[Play Booster Cost]]</f>
        <v>#VALUE!</v>
      </c>
      <c r="BP176" s="10" t="b">
        <f>tbl_MTG_Set[[#This Row],[Play Singles CardMarket Profit BotBox]]&gt;0</f>
        <v>0</v>
      </c>
      <c r="BQ176" s="10"/>
      <c r="BR176" s="10"/>
      <c r="BS176" s="10"/>
      <c r="BT1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6" s="19" t="e">
        <f>tbl_MTG_Set[[#This Row],[Collector Singles CardMarket Profit MTG Stocks]]/tbl_MTG_Set[[#This Row],[Collector Booster Cost]]</f>
        <v>#N/A</v>
      </c>
      <c r="BW176" s="10" t="b">
        <f>tbl_MTG_Set[[#This Row],[Collector Singles CardMarket Profit MTG Stocks]]&gt;0</f>
        <v>0</v>
      </c>
      <c r="BX176" s="10"/>
      <c r="BY176" s="10"/>
      <c r="BZ1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6" s="10" t="e">
        <f>tbl_MTG_Set[[#This Row],[Collector Singles CardMarket Profit BotBox]]/tbl_MTG_Set[[#This Row],[Collector Booster Cost]]</f>
        <v>#N/A</v>
      </c>
      <c r="CC176" s="10" t="b">
        <f>tbl_MTG_Set[[#This Row],[Collector Singles CardMarket Profit BotBox]]&gt;0</f>
        <v>0</v>
      </c>
      <c r="CD1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7" spans="1:86" hidden="1">
      <c r="A177">
        <v>195</v>
      </c>
      <c r="B177" t="s">
        <v>350</v>
      </c>
      <c r="C177">
        <v>471</v>
      </c>
      <c r="D177" s="3">
        <v>44972</v>
      </c>
      <c r="F177" t="s">
        <v>174</v>
      </c>
      <c r="G177">
        <v>336</v>
      </c>
      <c r="H177">
        <f ca="1">MONTH(NOW())+12*YEAR(NOW())-MONTH(tbl_MTG_Set[[#This Row],[Released On]])-12*YEAR(tbl_MTG_Set[[#This Row],[Released On]])</f>
        <v>37</v>
      </c>
      <c r="I177" t="str">
        <f>_xlfn.XLOOKUP(tbl_MTG_Set[[#This Row],[Type Name]], tbl_MTG_Set_Type[Set Type], tbl_MTG_Set_Type[Index], "(Set Type not found)")</f>
        <v>(Set Type not found)</v>
      </c>
      <c r="J177" t="str">
        <f>_xlfn.XLOOKUP(tbl_MTG_Set[[#This Row],[Type Name]], tbl_MTG_Set_Type[Set Type], tbl_MTG_Set_Type[Buy Window Month Start], "(Set Type not found)")</f>
        <v>(Set Type not found)</v>
      </c>
      <c r="K177" s="3" t="e">
        <f>tbl_MTG_Set[[#This Row],[Released On]]+tbl_MTG_Set[[#This Row],[Buy Window Month Start]]*365.25/12</f>
        <v>#VALUE!</v>
      </c>
      <c r="L177" t="str">
        <f>_xlfn.XLOOKUP(tbl_MTG_Set[[#This Row],[Type Name]], tbl_MTG_Set_Type[Set Type], tbl_MTG_Set_Type[Buy Window Month End], "(Set Type not found)", 0, 1)</f>
        <v>(Set Type not found)</v>
      </c>
      <c r="M177" s="3" t="e">
        <f>tbl_MTG_Set[[#This Row],[Released On]]+tbl_MTG_Set[[#This Row],[Buy Window Month End]]*365.25/12</f>
        <v>#VALUE!</v>
      </c>
      <c r="N177" s="3" t="e">
        <f ca="1">AND(NOW()&gt;=tbl_MTG_Set[[#This Row],[Buy Window Start]], NOW()&lt;=tbl_MTG_Set[[#This Row],[Buy Window End]])</f>
        <v>#VALUE!</v>
      </c>
      <c r="O177" t="str">
        <f>_xlfn.XLOOKUP(tbl_MTG_Set[[#This Row],[Type Name]], tbl_MTG_Set_Type[Set Type], tbl_MTG_Set_Type[Heavy Printing Window Month Start], "(Set Type not found)", 0, 1)</f>
        <v>(Set Type not found)</v>
      </c>
      <c r="P177" s="3" t="e">
        <f>tbl_MTG_Set[[#This Row],[Released On]]+tbl_MTG_Set[[#This Row],[Heavy Printing Window Month Start]]*365.25/12</f>
        <v>#VALUE!</v>
      </c>
      <c r="Q177" t="str">
        <f>_xlfn.XLOOKUP(tbl_MTG_Set[[#This Row],[Type Name]], tbl_MTG_Set_Type[Set Type], tbl_MTG_Set_Type[Heavy Printing Window Month End], "(Set Type not found)", 0, 1)</f>
        <v>(Set Type not found)</v>
      </c>
      <c r="R177" s="3" t="e">
        <f>tbl_MTG_Set[[#This Row],[Released On]]+tbl_MTG_Set[[#This Row],[Heavy Printing Window Month End]]*365.25/12</f>
        <v>#VALUE!</v>
      </c>
      <c r="S177" s="3" t="e">
        <f ca="1">AND(NOW()&gt;=tbl_MTG_Set[[#This Row],[Heavy Printing Window Start]], NOW()&lt;=tbl_MTG_Set[[#This Row],[Heavy Printing Window End]])</f>
        <v>#VALUE!</v>
      </c>
      <c r="T177" t="str">
        <f>_xlfn.XLOOKUP(tbl_MTG_Set[[#This Row],[Type Name]], tbl_MTG_Set_Type[Set Type], tbl_MTG_Set_Type[Sell Window Month Start], "(Set Type not found)", 0, 1)</f>
        <v>(Set Type not found)</v>
      </c>
      <c r="U177" s="3" t="e">
        <f>tbl_MTG_Set[[#This Row],[Released On]]+tbl_MTG_Set[[#This Row],[Sell Window Month Start]]*365.25/12</f>
        <v>#VALUE!</v>
      </c>
      <c r="V177" t="str">
        <f>_xlfn.XLOOKUP(tbl_MTG_Set[[#This Row],[Type Name]], tbl_MTG_Set_Type[Set Type], tbl_MTG_Set_Type[Sell Window Month End], "(Set Type not found)", 0, 1)</f>
        <v>(Set Type not found)</v>
      </c>
      <c r="W177" s="3" t="e">
        <f>tbl_MTG_Set[[#This Row],[Released On]]+tbl_MTG_Set[[#This Row],[Sell Window Month End]]*365.25/12</f>
        <v>#VALUE!</v>
      </c>
      <c r="X177" s="3" t="e">
        <f ca="1">AND(NOW()&gt;=tbl_MTG_Set[[#This Row],[Sell Window Start]], NOW()&lt;=tbl_MTG_Set[[#This Row],[Sell Window End]])</f>
        <v>#VALUE!</v>
      </c>
      <c r="AG177" s="10"/>
      <c r="AH177" s="10"/>
      <c r="AM177" s="10" t="str" cm="1">
        <f t="array" ref="AM1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7" s="10" t="str" cm="1">
        <f t="array" ref="AN1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7" s="4" t="e">
        <f>_xlfn.XLOOKUP(tbl_MTG_Set[[#This Row],[Play Booster Box Product Id]], tbl_Product[Product Id], tbl_Product[Pack Size])</f>
        <v>#N/A</v>
      </c>
      <c r="AP177" s="10" t="e">
        <f>(tbl_MTG_Set[[#This Row],[Play Booster Box Cost]]+v_Item_Shipping_Cost_In)/tbl_MTG_Set[[#This Row],[Play Booster Box Size]]</f>
        <v>#VALUE!</v>
      </c>
      <c r="AQ177" s="10" t="str" cm="1">
        <f t="array" ref="AQ1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7" s="10"/>
      <c r="AS177" s="10"/>
      <c r="AT177" s="17" t="e">
        <f>tbl_MTG_Set[[#This Row],[Play Booster CardMarket Profit]]/tbl_MTG_Set[[#This Row],[Play Booster Cost]]</f>
        <v>#VALUE!</v>
      </c>
      <c r="AU177" s="10" t="e">
        <f>_xlfn.XLOOKUP(tbl_MTG_Set[[#This Row],[Collector Booster Box Product Id]], tbl_Product[Product Id], tbl_Product[Min Cost])</f>
        <v>#N/A</v>
      </c>
      <c r="AV177" s="10" t="e">
        <f>_xlfn.XLOOKUP(tbl_MTG_Set[[#This Row],[Collector Booster Box Product Id]], tbl_Product[Product Id], tbl_Product[Best Source])</f>
        <v>#N/A</v>
      </c>
      <c r="AW177" s="4" t="e">
        <f>_xlfn.XLOOKUP(tbl_MTG_Set[[#This Row],[Collector Booster Box Product Id]], tbl_Product[Product Id], tbl_Product[Pack Size])</f>
        <v>#N/A</v>
      </c>
      <c r="AX177" s="10" t="e">
        <f>(tbl_MTG_Set[[#This Row],[Collector Booster Box Cost]] + v_Item_Shipping_Cost_In) / tbl_MTG_Set[[#This Row],[Collector Booster Box Size]]</f>
        <v>#N/A</v>
      </c>
      <c r="AY177" s="10" t="str" cm="1">
        <f t="array" ref="AY1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7" s="10"/>
      <c r="BA1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7" s="17" t="e">
        <f>tbl_MTG_Set[[#This Row],[Collector Booster CardMarket Profit]]/tbl_MTG_Set[[#This Row],[Collector Booster Cost]]</f>
        <v>#N/A</v>
      </c>
      <c r="BC177" s="10"/>
      <c r="BF1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7" s="11" t="e">
        <f>tbl_MTG_Set[[#This Row],[Play Singles CardMarket Profit MTG Stocks]]/tbl_MTG_Set[[#This Row],[Play Booster Cost]]</f>
        <v>#VALUE!</v>
      </c>
      <c r="BI177" s="11" t="b">
        <f>tbl_MTG_Set[[#This Row],[Play Singles CardMarket Profit MTG Stocks]]&gt;0</f>
        <v>0</v>
      </c>
      <c r="BM177" s="10" t="e">
        <f>tbl_MTG_Set[[#This Row],[Play Booster Sell Price CardMarket]]*tbl_MTG_Set[[#This Row],[Play Booster Expected Market Value BotBox]]/tbl_MTG_Set[[#This Row],[Play Booster Sealed Market Value BotBox]]</f>
        <v>#VALUE!</v>
      </c>
      <c r="BN1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7" s="10" t="e">
        <f>tbl_MTG_Set[[#This Row],[Play Singles CardMarket Profit BotBox]]/tbl_MTG_Set[[#This Row],[Play Booster Cost]]</f>
        <v>#VALUE!</v>
      </c>
      <c r="BP177" s="10" t="b">
        <f>tbl_MTG_Set[[#This Row],[Play Singles CardMarket Profit BotBox]]&gt;0</f>
        <v>0</v>
      </c>
      <c r="BQ177" s="10"/>
      <c r="BR177" s="10"/>
      <c r="BS177" s="10"/>
      <c r="BT1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7" s="19" t="e">
        <f>tbl_MTG_Set[[#This Row],[Collector Singles CardMarket Profit MTG Stocks]]/tbl_MTG_Set[[#This Row],[Collector Booster Cost]]</f>
        <v>#N/A</v>
      </c>
      <c r="BW177" s="10" t="b">
        <f>tbl_MTG_Set[[#This Row],[Collector Singles CardMarket Profit MTG Stocks]]&gt;0</f>
        <v>0</v>
      </c>
      <c r="BX177" s="10"/>
      <c r="BY177" s="10"/>
      <c r="BZ1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7" s="10" t="e">
        <f>tbl_MTG_Set[[#This Row],[Collector Singles CardMarket Profit BotBox]]/tbl_MTG_Set[[#This Row],[Collector Booster Cost]]</f>
        <v>#N/A</v>
      </c>
      <c r="CC177" s="10" t="b">
        <f>tbl_MTG_Set[[#This Row],[Collector Singles CardMarket Profit BotBox]]&gt;0</f>
        <v>0</v>
      </c>
      <c r="CD1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8" spans="1:86" hidden="1">
      <c r="A178">
        <v>196</v>
      </c>
      <c r="B178" t="s">
        <v>351</v>
      </c>
      <c r="C178">
        <v>52</v>
      </c>
      <c r="D178" s="3">
        <v>45346</v>
      </c>
      <c r="F178" t="s">
        <v>174</v>
      </c>
      <c r="G178">
        <v>338</v>
      </c>
      <c r="H178">
        <f ca="1">MONTH(NOW())+12*YEAR(NOW())-MONTH(tbl_MTG_Set[[#This Row],[Released On]])-12*YEAR(tbl_MTG_Set[[#This Row],[Released On]])</f>
        <v>25</v>
      </c>
      <c r="I178" t="str">
        <f>_xlfn.XLOOKUP(tbl_MTG_Set[[#This Row],[Type Name]], tbl_MTG_Set_Type[Set Type], tbl_MTG_Set_Type[Index], "(Set Type not found)")</f>
        <v>(Set Type not found)</v>
      </c>
      <c r="J178" t="str">
        <f>_xlfn.XLOOKUP(tbl_MTG_Set[[#This Row],[Type Name]], tbl_MTG_Set_Type[Set Type], tbl_MTG_Set_Type[Buy Window Month Start], "(Set Type not found)")</f>
        <v>(Set Type not found)</v>
      </c>
      <c r="K178" s="3" t="e">
        <f>tbl_MTG_Set[[#This Row],[Released On]]+tbl_MTG_Set[[#This Row],[Buy Window Month Start]]*365.25/12</f>
        <v>#VALUE!</v>
      </c>
      <c r="L178" t="str">
        <f>_xlfn.XLOOKUP(tbl_MTG_Set[[#This Row],[Type Name]], tbl_MTG_Set_Type[Set Type], tbl_MTG_Set_Type[Buy Window Month End], "(Set Type not found)", 0, 1)</f>
        <v>(Set Type not found)</v>
      </c>
      <c r="M178" s="3" t="e">
        <f>tbl_MTG_Set[[#This Row],[Released On]]+tbl_MTG_Set[[#This Row],[Buy Window Month End]]*365.25/12</f>
        <v>#VALUE!</v>
      </c>
      <c r="N178" s="3" t="e">
        <f ca="1">AND(NOW()&gt;=tbl_MTG_Set[[#This Row],[Buy Window Start]], NOW()&lt;=tbl_MTG_Set[[#This Row],[Buy Window End]])</f>
        <v>#VALUE!</v>
      </c>
      <c r="O178" t="str">
        <f>_xlfn.XLOOKUP(tbl_MTG_Set[[#This Row],[Type Name]], tbl_MTG_Set_Type[Set Type], tbl_MTG_Set_Type[Heavy Printing Window Month Start], "(Set Type not found)", 0, 1)</f>
        <v>(Set Type not found)</v>
      </c>
      <c r="P178" s="3" t="e">
        <f>tbl_MTG_Set[[#This Row],[Released On]]+tbl_MTG_Set[[#This Row],[Heavy Printing Window Month Start]]*365.25/12</f>
        <v>#VALUE!</v>
      </c>
      <c r="Q178" t="str">
        <f>_xlfn.XLOOKUP(tbl_MTG_Set[[#This Row],[Type Name]], tbl_MTG_Set_Type[Set Type], tbl_MTG_Set_Type[Heavy Printing Window Month End], "(Set Type not found)", 0, 1)</f>
        <v>(Set Type not found)</v>
      </c>
      <c r="R178" s="3" t="e">
        <f>tbl_MTG_Set[[#This Row],[Released On]]+tbl_MTG_Set[[#This Row],[Heavy Printing Window Month End]]*365.25/12</f>
        <v>#VALUE!</v>
      </c>
      <c r="S178" s="3" t="e">
        <f ca="1">AND(NOW()&gt;=tbl_MTG_Set[[#This Row],[Heavy Printing Window Start]], NOW()&lt;=tbl_MTG_Set[[#This Row],[Heavy Printing Window End]])</f>
        <v>#VALUE!</v>
      </c>
      <c r="T178" t="str">
        <f>_xlfn.XLOOKUP(tbl_MTG_Set[[#This Row],[Type Name]], tbl_MTG_Set_Type[Set Type], tbl_MTG_Set_Type[Sell Window Month Start], "(Set Type not found)", 0, 1)</f>
        <v>(Set Type not found)</v>
      </c>
      <c r="U178" s="3" t="e">
        <f>tbl_MTG_Set[[#This Row],[Released On]]+tbl_MTG_Set[[#This Row],[Sell Window Month Start]]*365.25/12</f>
        <v>#VALUE!</v>
      </c>
      <c r="V178" t="str">
        <f>_xlfn.XLOOKUP(tbl_MTG_Set[[#This Row],[Type Name]], tbl_MTG_Set_Type[Set Type], tbl_MTG_Set_Type[Sell Window Month End], "(Set Type not found)", 0, 1)</f>
        <v>(Set Type not found)</v>
      </c>
      <c r="W178" s="3" t="e">
        <f>tbl_MTG_Set[[#This Row],[Released On]]+tbl_MTG_Set[[#This Row],[Sell Window Month End]]*365.25/12</f>
        <v>#VALUE!</v>
      </c>
      <c r="X178" s="3" t="e">
        <f ca="1">AND(NOW()&gt;=tbl_MTG_Set[[#This Row],[Sell Window Start]], NOW()&lt;=tbl_MTG_Set[[#This Row],[Sell Window End]])</f>
        <v>#VALUE!</v>
      </c>
      <c r="AG178" s="10"/>
      <c r="AH178" s="10"/>
      <c r="AM178" s="10" t="str" cm="1">
        <f t="array" ref="AM1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8" s="10" t="str" cm="1">
        <f t="array" ref="AN1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8" s="4" t="e">
        <f>_xlfn.XLOOKUP(tbl_MTG_Set[[#This Row],[Play Booster Box Product Id]], tbl_Product[Product Id], tbl_Product[Pack Size])</f>
        <v>#N/A</v>
      </c>
      <c r="AP178" s="10" t="e">
        <f>(tbl_MTG_Set[[#This Row],[Play Booster Box Cost]]+v_Item_Shipping_Cost_In)/tbl_MTG_Set[[#This Row],[Play Booster Box Size]]</f>
        <v>#VALUE!</v>
      </c>
      <c r="AQ178" s="10" t="str" cm="1">
        <f t="array" ref="AQ1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8" s="10"/>
      <c r="AS178" s="10"/>
      <c r="AT178" s="17" t="e">
        <f>tbl_MTG_Set[[#This Row],[Play Booster CardMarket Profit]]/tbl_MTG_Set[[#This Row],[Play Booster Cost]]</f>
        <v>#VALUE!</v>
      </c>
      <c r="AU178" s="10" t="e">
        <f>_xlfn.XLOOKUP(tbl_MTG_Set[[#This Row],[Collector Booster Box Product Id]], tbl_Product[Product Id], tbl_Product[Min Cost])</f>
        <v>#N/A</v>
      </c>
      <c r="AV178" s="10" t="e">
        <f>_xlfn.XLOOKUP(tbl_MTG_Set[[#This Row],[Collector Booster Box Product Id]], tbl_Product[Product Id], tbl_Product[Best Source])</f>
        <v>#N/A</v>
      </c>
      <c r="AW178" s="4" t="e">
        <f>_xlfn.XLOOKUP(tbl_MTG_Set[[#This Row],[Collector Booster Box Product Id]], tbl_Product[Product Id], tbl_Product[Pack Size])</f>
        <v>#N/A</v>
      </c>
      <c r="AX178" s="10" t="e">
        <f>(tbl_MTG_Set[[#This Row],[Collector Booster Box Cost]] + v_Item_Shipping_Cost_In) / tbl_MTG_Set[[#This Row],[Collector Booster Box Size]]</f>
        <v>#N/A</v>
      </c>
      <c r="AY178" s="10" t="str" cm="1">
        <f t="array" ref="AY1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8" s="10"/>
      <c r="BA1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8" s="17" t="e">
        <f>tbl_MTG_Set[[#This Row],[Collector Booster CardMarket Profit]]/tbl_MTG_Set[[#This Row],[Collector Booster Cost]]</f>
        <v>#N/A</v>
      </c>
      <c r="BC178" s="10"/>
      <c r="BF1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8" s="11" t="e">
        <f>tbl_MTG_Set[[#This Row],[Play Singles CardMarket Profit MTG Stocks]]/tbl_MTG_Set[[#This Row],[Play Booster Cost]]</f>
        <v>#VALUE!</v>
      </c>
      <c r="BI178" s="11" t="b">
        <f>tbl_MTG_Set[[#This Row],[Play Singles CardMarket Profit MTG Stocks]]&gt;0</f>
        <v>0</v>
      </c>
      <c r="BM178" s="10" t="e">
        <f>tbl_MTG_Set[[#This Row],[Play Booster Sell Price CardMarket]]*tbl_MTG_Set[[#This Row],[Play Booster Expected Market Value BotBox]]/tbl_MTG_Set[[#This Row],[Play Booster Sealed Market Value BotBox]]</f>
        <v>#VALUE!</v>
      </c>
      <c r="BN1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8" s="10" t="e">
        <f>tbl_MTG_Set[[#This Row],[Play Singles CardMarket Profit BotBox]]/tbl_MTG_Set[[#This Row],[Play Booster Cost]]</f>
        <v>#VALUE!</v>
      </c>
      <c r="BP178" s="10" t="b">
        <f>tbl_MTG_Set[[#This Row],[Play Singles CardMarket Profit BotBox]]&gt;0</f>
        <v>0</v>
      </c>
      <c r="BQ178" s="10"/>
      <c r="BR178" s="10"/>
      <c r="BS178" s="10"/>
      <c r="BT1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8" s="19" t="e">
        <f>tbl_MTG_Set[[#This Row],[Collector Singles CardMarket Profit MTG Stocks]]/tbl_MTG_Set[[#This Row],[Collector Booster Cost]]</f>
        <v>#N/A</v>
      </c>
      <c r="BW178" s="10" t="b">
        <f>tbl_MTG_Set[[#This Row],[Collector Singles CardMarket Profit MTG Stocks]]&gt;0</f>
        <v>0</v>
      </c>
      <c r="BX178" s="10"/>
      <c r="BY178" s="10"/>
      <c r="BZ1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8" s="10" t="e">
        <f>tbl_MTG_Set[[#This Row],[Collector Singles CardMarket Profit BotBox]]/tbl_MTG_Set[[#This Row],[Collector Booster Cost]]</f>
        <v>#N/A</v>
      </c>
      <c r="CC178" s="10" t="b">
        <f>tbl_MTG_Set[[#This Row],[Collector Singles CardMarket Profit BotBox]]&gt;0</f>
        <v>0</v>
      </c>
      <c r="CD1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79" spans="1:86" hidden="1">
      <c r="A179">
        <v>197</v>
      </c>
      <c r="B179" t="s">
        <v>352</v>
      </c>
      <c r="C179">
        <v>6</v>
      </c>
      <c r="D179" s="3">
        <v>44967</v>
      </c>
      <c r="F179" t="s">
        <v>174</v>
      </c>
      <c r="G179">
        <v>340</v>
      </c>
      <c r="H179">
        <f ca="1">MONTH(NOW())+12*YEAR(NOW())-MONTH(tbl_MTG_Set[[#This Row],[Released On]])-12*YEAR(tbl_MTG_Set[[#This Row],[Released On]])</f>
        <v>37</v>
      </c>
      <c r="I179" t="str">
        <f>_xlfn.XLOOKUP(tbl_MTG_Set[[#This Row],[Type Name]], tbl_MTG_Set_Type[Set Type], tbl_MTG_Set_Type[Index], "(Set Type not found)")</f>
        <v>(Set Type not found)</v>
      </c>
      <c r="J179" t="str">
        <f>_xlfn.XLOOKUP(tbl_MTG_Set[[#This Row],[Type Name]], tbl_MTG_Set_Type[Set Type], tbl_MTG_Set_Type[Buy Window Month Start], "(Set Type not found)")</f>
        <v>(Set Type not found)</v>
      </c>
      <c r="K179" s="3" t="e">
        <f>tbl_MTG_Set[[#This Row],[Released On]]+tbl_MTG_Set[[#This Row],[Buy Window Month Start]]*365.25/12</f>
        <v>#VALUE!</v>
      </c>
      <c r="L179" t="str">
        <f>_xlfn.XLOOKUP(tbl_MTG_Set[[#This Row],[Type Name]], tbl_MTG_Set_Type[Set Type], tbl_MTG_Set_Type[Buy Window Month End], "(Set Type not found)", 0, 1)</f>
        <v>(Set Type not found)</v>
      </c>
      <c r="M179" s="3" t="e">
        <f>tbl_MTG_Set[[#This Row],[Released On]]+tbl_MTG_Set[[#This Row],[Buy Window Month End]]*365.25/12</f>
        <v>#VALUE!</v>
      </c>
      <c r="N179" s="3" t="e">
        <f ca="1">AND(NOW()&gt;=tbl_MTG_Set[[#This Row],[Buy Window Start]], NOW()&lt;=tbl_MTG_Set[[#This Row],[Buy Window End]])</f>
        <v>#VALUE!</v>
      </c>
      <c r="O179" t="str">
        <f>_xlfn.XLOOKUP(tbl_MTG_Set[[#This Row],[Type Name]], tbl_MTG_Set_Type[Set Type], tbl_MTG_Set_Type[Heavy Printing Window Month Start], "(Set Type not found)", 0, 1)</f>
        <v>(Set Type not found)</v>
      </c>
      <c r="P179" s="3" t="e">
        <f>tbl_MTG_Set[[#This Row],[Released On]]+tbl_MTG_Set[[#This Row],[Heavy Printing Window Month Start]]*365.25/12</f>
        <v>#VALUE!</v>
      </c>
      <c r="Q179" t="str">
        <f>_xlfn.XLOOKUP(tbl_MTG_Set[[#This Row],[Type Name]], tbl_MTG_Set_Type[Set Type], tbl_MTG_Set_Type[Heavy Printing Window Month End], "(Set Type not found)", 0, 1)</f>
        <v>(Set Type not found)</v>
      </c>
      <c r="R179" s="3" t="e">
        <f>tbl_MTG_Set[[#This Row],[Released On]]+tbl_MTG_Set[[#This Row],[Heavy Printing Window Month End]]*365.25/12</f>
        <v>#VALUE!</v>
      </c>
      <c r="S179" s="3" t="e">
        <f ca="1">AND(NOW()&gt;=tbl_MTG_Set[[#This Row],[Heavy Printing Window Start]], NOW()&lt;=tbl_MTG_Set[[#This Row],[Heavy Printing Window End]])</f>
        <v>#VALUE!</v>
      </c>
      <c r="T179" t="str">
        <f>_xlfn.XLOOKUP(tbl_MTG_Set[[#This Row],[Type Name]], tbl_MTG_Set_Type[Set Type], tbl_MTG_Set_Type[Sell Window Month Start], "(Set Type not found)", 0, 1)</f>
        <v>(Set Type not found)</v>
      </c>
      <c r="U179" s="3" t="e">
        <f>tbl_MTG_Set[[#This Row],[Released On]]+tbl_MTG_Set[[#This Row],[Sell Window Month Start]]*365.25/12</f>
        <v>#VALUE!</v>
      </c>
      <c r="V179" t="str">
        <f>_xlfn.XLOOKUP(tbl_MTG_Set[[#This Row],[Type Name]], tbl_MTG_Set_Type[Set Type], tbl_MTG_Set_Type[Sell Window Month End], "(Set Type not found)", 0, 1)</f>
        <v>(Set Type not found)</v>
      </c>
      <c r="W179" s="3" t="e">
        <f>tbl_MTG_Set[[#This Row],[Released On]]+tbl_MTG_Set[[#This Row],[Sell Window Month End]]*365.25/12</f>
        <v>#VALUE!</v>
      </c>
      <c r="X179" s="3" t="e">
        <f ca="1">AND(NOW()&gt;=tbl_MTG_Set[[#This Row],[Sell Window Start]], NOW()&lt;=tbl_MTG_Set[[#This Row],[Sell Window End]])</f>
        <v>#VALUE!</v>
      </c>
      <c r="AG179" s="10"/>
      <c r="AH179" s="10"/>
      <c r="AM179" s="10" t="str" cm="1">
        <f t="array" ref="AM1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79" s="10" t="str" cm="1">
        <f t="array" ref="AN1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79" s="4" t="e">
        <f>_xlfn.XLOOKUP(tbl_MTG_Set[[#This Row],[Play Booster Box Product Id]], tbl_Product[Product Id], tbl_Product[Pack Size])</f>
        <v>#N/A</v>
      </c>
      <c r="AP179" s="10" t="e">
        <f>(tbl_MTG_Set[[#This Row],[Play Booster Box Cost]]+v_Item_Shipping_Cost_In)/tbl_MTG_Set[[#This Row],[Play Booster Box Size]]</f>
        <v>#VALUE!</v>
      </c>
      <c r="AQ179" s="10" t="str" cm="1">
        <f t="array" ref="AQ1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79" s="10"/>
      <c r="AS179" s="10"/>
      <c r="AT179" s="17" t="e">
        <f>tbl_MTG_Set[[#This Row],[Play Booster CardMarket Profit]]/tbl_MTG_Set[[#This Row],[Play Booster Cost]]</f>
        <v>#VALUE!</v>
      </c>
      <c r="AU179" s="10" t="e">
        <f>_xlfn.XLOOKUP(tbl_MTG_Set[[#This Row],[Collector Booster Box Product Id]], tbl_Product[Product Id], tbl_Product[Min Cost])</f>
        <v>#N/A</v>
      </c>
      <c r="AV179" s="10" t="e">
        <f>_xlfn.XLOOKUP(tbl_MTG_Set[[#This Row],[Collector Booster Box Product Id]], tbl_Product[Product Id], tbl_Product[Best Source])</f>
        <v>#N/A</v>
      </c>
      <c r="AW179" s="4" t="e">
        <f>_xlfn.XLOOKUP(tbl_MTG_Set[[#This Row],[Collector Booster Box Product Id]], tbl_Product[Product Id], tbl_Product[Pack Size])</f>
        <v>#N/A</v>
      </c>
      <c r="AX179" s="10" t="e">
        <f>(tbl_MTG_Set[[#This Row],[Collector Booster Box Cost]] + v_Item_Shipping_Cost_In) / tbl_MTG_Set[[#This Row],[Collector Booster Box Size]]</f>
        <v>#N/A</v>
      </c>
      <c r="AY179" s="10" t="str" cm="1">
        <f t="array" ref="AY1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79" s="10"/>
      <c r="BA1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79" s="17" t="e">
        <f>tbl_MTG_Set[[#This Row],[Collector Booster CardMarket Profit]]/tbl_MTG_Set[[#This Row],[Collector Booster Cost]]</f>
        <v>#N/A</v>
      </c>
      <c r="BC179" s="10"/>
      <c r="BF1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79" s="11" t="e">
        <f>tbl_MTG_Set[[#This Row],[Play Singles CardMarket Profit MTG Stocks]]/tbl_MTG_Set[[#This Row],[Play Booster Cost]]</f>
        <v>#VALUE!</v>
      </c>
      <c r="BI179" s="11" t="b">
        <f>tbl_MTG_Set[[#This Row],[Play Singles CardMarket Profit MTG Stocks]]&gt;0</f>
        <v>0</v>
      </c>
      <c r="BM179" s="10" t="e">
        <f>tbl_MTG_Set[[#This Row],[Play Booster Sell Price CardMarket]]*tbl_MTG_Set[[#This Row],[Play Booster Expected Market Value BotBox]]/tbl_MTG_Set[[#This Row],[Play Booster Sealed Market Value BotBox]]</f>
        <v>#VALUE!</v>
      </c>
      <c r="BN1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79" s="10" t="e">
        <f>tbl_MTG_Set[[#This Row],[Play Singles CardMarket Profit BotBox]]/tbl_MTG_Set[[#This Row],[Play Booster Cost]]</f>
        <v>#VALUE!</v>
      </c>
      <c r="BP179" s="10" t="b">
        <f>tbl_MTG_Set[[#This Row],[Play Singles CardMarket Profit BotBox]]&gt;0</f>
        <v>0</v>
      </c>
      <c r="BQ179" s="10"/>
      <c r="BR179" s="10"/>
      <c r="BS179" s="10"/>
      <c r="BT1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79" s="19" t="e">
        <f>tbl_MTG_Set[[#This Row],[Collector Singles CardMarket Profit MTG Stocks]]/tbl_MTG_Set[[#This Row],[Collector Booster Cost]]</f>
        <v>#N/A</v>
      </c>
      <c r="BW179" s="10" t="b">
        <f>tbl_MTG_Set[[#This Row],[Collector Singles CardMarket Profit MTG Stocks]]&gt;0</f>
        <v>0</v>
      </c>
      <c r="BX179" s="10"/>
      <c r="BY179" s="10"/>
      <c r="BZ1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79" s="10" t="e">
        <f>tbl_MTG_Set[[#This Row],[Collector Singles CardMarket Profit BotBox]]/tbl_MTG_Set[[#This Row],[Collector Booster Cost]]</f>
        <v>#N/A</v>
      </c>
      <c r="CC179" s="10" t="b">
        <f>tbl_MTG_Set[[#This Row],[Collector Singles CardMarket Profit BotBox]]&gt;0</f>
        <v>0</v>
      </c>
      <c r="CD1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0" spans="1:86" hidden="1">
      <c r="A180">
        <v>199</v>
      </c>
      <c r="B180" t="s">
        <v>353</v>
      </c>
      <c r="C180">
        <v>160</v>
      </c>
      <c r="D180" s="3">
        <v>44967</v>
      </c>
      <c r="E180" t="s">
        <v>59</v>
      </c>
      <c r="F180" t="s">
        <v>174</v>
      </c>
      <c r="G180">
        <v>344</v>
      </c>
      <c r="H180">
        <f ca="1">MONTH(NOW())+12*YEAR(NOW())-MONTH(tbl_MTG_Set[[#This Row],[Released On]])-12*YEAR(tbl_MTG_Set[[#This Row],[Released On]])</f>
        <v>37</v>
      </c>
      <c r="I180">
        <f>_xlfn.XLOOKUP(tbl_MTG_Set[[#This Row],[Type Name]], tbl_MTG_Set_Type[Set Type], tbl_MTG_Set_Type[Index], "(Set Type not found)")</f>
        <v>1</v>
      </c>
      <c r="J180">
        <f>_xlfn.XLOOKUP(tbl_MTG_Set[[#This Row],[Type Name]], tbl_MTG_Set_Type[Set Type], tbl_MTG_Set_Type[Buy Window Month Start], "(Set Type not found)")</f>
        <v>18</v>
      </c>
      <c r="K180" s="3">
        <f>tbl_MTG_Set[[#This Row],[Released On]]+tbl_MTG_Set[[#This Row],[Buy Window Month Start]]*365.25/12</f>
        <v>45514.875</v>
      </c>
      <c r="L180">
        <f>_xlfn.XLOOKUP(tbl_MTG_Set[[#This Row],[Type Name]], tbl_MTG_Set_Type[Set Type], tbl_MTG_Set_Type[Buy Window Month End], "(Set Type not found)", 0, 1)</f>
        <v>24</v>
      </c>
      <c r="M180" s="3">
        <f>tbl_MTG_Set[[#This Row],[Released On]]+tbl_MTG_Set[[#This Row],[Buy Window Month End]]*365.25/12</f>
        <v>45697.5</v>
      </c>
      <c r="N180" s="3" t="b">
        <f ca="1">AND(NOW()&gt;=tbl_MTG_Set[[#This Row],[Buy Window Start]], NOW()&lt;=tbl_MTG_Set[[#This Row],[Buy Window End]])</f>
        <v>0</v>
      </c>
      <c r="O180">
        <f>_xlfn.XLOOKUP(tbl_MTG_Set[[#This Row],[Type Name]], tbl_MTG_Set_Type[Set Type], tbl_MTG_Set_Type[Heavy Printing Window Month Start], "(Set Type not found)", 0, 1)</f>
        <v>1</v>
      </c>
      <c r="P180" s="3">
        <f>tbl_MTG_Set[[#This Row],[Released On]]+tbl_MTG_Set[[#This Row],[Heavy Printing Window Month Start]]*365.25/12</f>
        <v>44997.4375</v>
      </c>
      <c r="Q180">
        <f>_xlfn.XLOOKUP(tbl_MTG_Set[[#This Row],[Type Name]], tbl_MTG_Set_Type[Set Type], tbl_MTG_Set_Type[Heavy Printing Window Month End], "(Set Type not found)", 0, 1)</f>
        <v>18</v>
      </c>
      <c r="R180" s="3">
        <f>tbl_MTG_Set[[#This Row],[Released On]]+tbl_MTG_Set[[#This Row],[Heavy Printing Window Month End]]*365.25/12</f>
        <v>45514.875</v>
      </c>
      <c r="S180" s="3" t="b">
        <f ca="1">AND(NOW()&gt;=tbl_MTG_Set[[#This Row],[Heavy Printing Window Start]], NOW()&lt;=tbl_MTG_Set[[#This Row],[Heavy Printing Window End]])</f>
        <v>0</v>
      </c>
      <c r="T180">
        <f>_xlfn.XLOOKUP(tbl_MTG_Set[[#This Row],[Type Name]], tbl_MTG_Set_Type[Set Type], tbl_MTG_Set_Type[Sell Window Month Start], "(Set Type not found)", 0, 1)</f>
        <v>36</v>
      </c>
      <c r="U180" s="3">
        <f>tbl_MTG_Set[[#This Row],[Released On]]+tbl_MTG_Set[[#This Row],[Sell Window Month Start]]*365.25/12</f>
        <v>46062.75</v>
      </c>
      <c r="V180">
        <f>_xlfn.XLOOKUP(tbl_MTG_Set[[#This Row],[Type Name]], tbl_MTG_Set_Type[Set Type], tbl_MTG_Set_Type[Sell Window Month End], "(Set Type not found)", 0, 1)</f>
        <v>48</v>
      </c>
      <c r="W180" s="3">
        <f>tbl_MTG_Set[[#This Row],[Released On]]+tbl_MTG_Set[[#This Row],[Sell Window Month End]]*365.25/12</f>
        <v>46428</v>
      </c>
      <c r="X180" s="3" t="b">
        <f ca="1">AND(NOW()&gt;=tbl_MTG_Set[[#This Row],[Sell Window Start]], NOW()&lt;=tbl_MTG_Set[[#This Row],[Sell Window End]])</f>
        <v>1</v>
      </c>
      <c r="AG180" s="10"/>
      <c r="AH180" s="10"/>
      <c r="AM180" s="10" t="str" cm="1">
        <f t="array" ref="AM1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0" s="10" t="str" cm="1">
        <f t="array" ref="AN1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0" s="4" t="e">
        <f>_xlfn.XLOOKUP(tbl_MTG_Set[[#This Row],[Play Booster Box Product Id]], tbl_Product[Product Id], tbl_Product[Pack Size])</f>
        <v>#N/A</v>
      </c>
      <c r="AP180" s="10" t="e">
        <f>(tbl_MTG_Set[[#This Row],[Play Booster Box Cost]]+v_Item_Shipping_Cost_In)/tbl_MTG_Set[[#This Row],[Play Booster Box Size]]</f>
        <v>#VALUE!</v>
      </c>
      <c r="AQ180" s="10" t="str" cm="1">
        <f t="array" ref="AQ1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0" s="10"/>
      <c r="AS180" s="10"/>
      <c r="AT180" s="17" t="e">
        <f>tbl_MTG_Set[[#This Row],[Play Booster CardMarket Profit]]/tbl_MTG_Set[[#This Row],[Play Booster Cost]]</f>
        <v>#VALUE!</v>
      </c>
      <c r="AU180" s="10" t="e">
        <f>_xlfn.XLOOKUP(tbl_MTG_Set[[#This Row],[Collector Booster Box Product Id]], tbl_Product[Product Id], tbl_Product[Min Cost])</f>
        <v>#N/A</v>
      </c>
      <c r="AV180" s="10" t="e">
        <f>_xlfn.XLOOKUP(tbl_MTG_Set[[#This Row],[Collector Booster Box Product Id]], tbl_Product[Product Id], tbl_Product[Best Source])</f>
        <v>#N/A</v>
      </c>
      <c r="AW180" s="4" t="e">
        <f>_xlfn.XLOOKUP(tbl_MTG_Set[[#This Row],[Collector Booster Box Product Id]], tbl_Product[Product Id], tbl_Product[Pack Size])</f>
        <v>#N/A</v>
      </c>
      <c r="AX180" s="10" t="e">
        <f>(tbl_MTG_Set[[#This Row],[Collector Booster Box Cost]] + v_Item_Shipping_Cost_In) / tbl_MTG_Set[[#This Row],[Collector Booster Box Size]]</f>
        <v>#N/A</v>
      </c>
      <c r="AY180" s="10" t="str" cm="1">
        <f t="array" ref="AY1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0" s="10"/>
      <c r="BA1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0" s="17" t="e">
        <f>tbl_MTG_Set[[#This Row],[Collector Booster CardMarket Profit]]/tbl_MTG_Set[[#This Row],[Collector Booster Cost]]</f>
        <v>#N/A</v>
      </c>
      <c r="BC180" s="10"/>
      <c r="BF1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0" s="11" t="e">
        <f>tbl_MTG_Set[[#This Row],[Play Singles CardMarket Profit MTG Stocks]]/tbl_MTG_Set[[#This Row],[Play Booster Cost]]</f>
        <v>#VALUE!</v>
      </c>
      <c r="BI180" s="11" t="b">
        <f>tbl_MTG_Set[[#This Row],[Play Singles CardMarket Profit MTG Stocks]]&gt;0</f>
        <v>0</v>
      </c>
      <c r="BM180" s="10" t="e">
        <f>tbl_MTG_Set[[#This Row],[Play Booster Sell Price CardMarket]]*tbl_MTG_Set[[#This Row],[Play Booster Expected Market Value BotBox]]/tbl_MTG_Set[[#This Row],[Play Booster Sealed Market Value BotBox]]</f>
        <v>#VALUE!</v>
      </c>
      <c r="BN1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0" s="10" t="e">
        <f>tbl_MTG_Set[[#This Row],[Play Singles CardMarket Profit BotBox]]/tbl_MTG_Set[[#This Row],[Play Booster Cost]]</f>
        <v>#VALUE!</v>
      </c>
      <c r="BP180" s="10" t="b">
        <f>tbl_MTG_Set[[#This Row],[Play Singles CardMarket Profit BotBox]]&gt;0</f>
        <v>0</v>
      </c>
      <c r="BQ180" s="10"/>
      <c r="BR180" s="10"/>
      <c r="BS180" s="10"/>
      <c r="BT1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0" s="19" t="e">
        <f>tbl_MTG_Set[[#This Row],[Collector Singles CardMarket Profit MTG Stocks]]/tbl_MTG_Set[[#This Row],[Collector Booster Cost]]</f>
        <v>#N/A</v>
      </c>
      <c r="BW180" s="10" t="b">
        <f>tbl_MTG_Set[[#This Row],[Collector Singles CardMarket Profit MTG Stocks]]&gt;0</f>
        <v>0</v>
      </c>
      <c r="BX180" s="10"/>
      <c r="BY180" s="10"/>
      <c r="BZ1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0" s="10" t="e">
        <f>tbl_MTG_Set[[#This Row],[Collector Singles CardMarket Profit BotBox]]/tbl_MTG_Set[[#This Row],[Collector Booster Cost]]</f>
        <v>#N/A</v>
      </c>
      <c r="CC180" s="10" t="b">
        <f>tbl_MTG_Set[[#This Row],[Collector Singles CardMarket Profit BotBox]]&gt;0</f>
        <v>0</v>
      </c>
      <c r="CD1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1" spans="1:86" hidden="1">
      <c r="A181">
        <v>200</v>
      </c>
      <c r="B181" t="s">
        <v>354</v>
      </c>
      <c r="C181">
        <v>14</v>
      </c>
      <c r="D181" s="3">
        <v>44960</v>
      </c>
      <c r="E181" t="s">
        <v>59</v>
      </c>
      <c r="F181" t="s">
        <v>174</v>
      </c>
      <c r="G181">
        <v>346</v>
      </c>
      <c r="H181">
        <f ca="1">MONTH(NOW())+12*YEAR(NOW())-MONTH(tbl_MTG_Set[[#This Row],[Released On]])-12*YEAR(tbl_MTG_Set[[#This Row],[Released On]])</f>
        <v>37</v>
      </c>
      <c r="I181">
        <f>_xlfn.XLOOKUP(tbl_MTG_Set[[#This Row],[Type Name]], tbl_MTG_Set_Type[Set Type], tbl_MTG_Set_Type[Index], "(Set Type not found)")</f>
        <v>1</v>
      </c>
      <c r="J181">
        <f>_xlfn.XLOOKUP(tbl_MTG_Set[[#This Row],[Type Name]], tbl_MTG_Set_Type[Set Type], tbl_MTG_Set_Type[Buy Window Month Start], "(Set Type not found)")</f>
        <v>18</v>
      </c>
      <c r="K181" s="3">
        <f>tbl_MTG_Set[[#This Row],[Released On]]+tbl_MTG_Set[[#This Row],[Buy Window Month Start]]*365.25/12</f>
        <v>45507.875</v>
      </c>
      <c r="L181">
        <f>_xlfn.XLOOKUP(tbl_MTG_Set[[#This Row],[Type Name]], tbl_MTG_Set_Type[Set Type], tbl_MTG_Set_Type[Buy Window Month End], "(Set Type not found)", 0, 1)</f>
        <v>24</v>
      </c>
      <c r="M181" s="3">
        <f>tbl_MTG_Set[[#This Row],[Released On]]+tbl_MTG_Set[[#This Row],[Buy Window Month End]]*365.25/12</f>
        <v>45690.5</v>
      </c>
      <c r="N181" s="3" t="b">
        <f ca="1">AND(NOW()&gt;=tbl_MTG_Set[[#This Row],[Buy Window Start]], NOW()&lt;=tbl_MTG_Set[[#This Row],[Buy Window End]])</f>
        <v>0</v>
      </c>
      <c r="O181">
        <f>_xlfn.XLOOKUP(tbl_MTG_Set[[#This Row],[Type Name]], tbl_MTG_Set_Type[Set Type], tbl_MTG_Set_Type[Heavy Printing Window Month Start], "(Set Type not found)", 0, 1)</f>
        <v>1</v>
      </c>
      <c r="P181" s="3">
        <f>tbl_MTG_Set[[#This Row],[Released On]]+tbl_MTG_Set[[#This Row],[Heavy Printing Window Month Start]]*365.25/12</f>
        <v>44990.4375</v>
      </c>
      <c r="Q181">
        <f>_xlfn.XLOOKUP(tbl_MTG_Set[[#This Row],[Type Name]], tbl_MTG_Set_Type[Set Type], tbl_MTG_Set_Type[Heavy Printing Window Month End], "(Set Type not found)", 0, 1)</f>
        <v>18</v>
      </c>
      <c r="R181" s="3">
        <f>tbl_MTG_Set[[#This Row],[Released On]]+tbl_MTG_Set[[#This Row],[Heavy Printing Window Month End]]*365.25/12</f>
        <v>45507.875</v>
      </c>
      <c r="S181" s="3" t="b">
        <f ca="1">AND(NOW()&gt;=tbl_MTG_Set[[#This Row],[Heavy Printing Window Start]], NOW()&lt;=tbl_MTG_Set[[#This Row],[Heavy Printing Window End]])</f>
        <v>0</v>
      </c>
      <c r="T181">
        <f>_xlfn.XLOOKUP(tbl_MTG_Set[[#This Row],[Type Name]], tbl_MTG_Set_Type[Set Type], tbl_MTG_Set_Type[Sell Window Month Start], "(Set Type not found)", 0, 1)</f>
        <v>36</v>
      </c>
      <c r="U181" s="3">
        <f>tbl_MTG_Set[[#This Row],[Released On]]+tbl_MTG_Set[[#This Row],[Sell Window Month Start]]*365.25/12</f>
        <v>46055.75</v>
      </c>
      <c r="V181">
        <f>_xlfn.XLOOKUP(tbl_MTG_Set[[#This Row],[Type Name]], tbl_MTG_Set_Type[Set Type], tbl_MTG_Set_Type[Sell Window Month End], "(Set Type not found)", 0, 1)</f>
        <v>48</v>
      </c>
      <c r="W181" s="3">
        <f>tbl_MTG_Set[[#This Row],[Released On]]+tbl_MTG_Set[[#This Row],[Sell Window Month End]]*365.25/12</f>
        <v>46421</v>
      </c>
      <c r="X181" s="3" t="b">
        <f ca="1">AND(NOW()&gt;=tbl_MTG_Set[[#This Row],[Sell Window Start]], NOW()&lt;=tbl_MTG_Set[[#This Row],[Sell Window End]])</f>
        <v>1</v>
      </c>
      <c r="AG181" s="10"/>
      <c r="AH181" s="10"/>
      <c r="AM181" s="10" t="str" cm="1">
        <f t="array" ref="AM1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1" s="10" t="str" cm="1">
        <f t="array" ref="AN1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1" s="4" t="e">
        <f>_xlfn.XLOOKUP(tbl_MTG_Set[[#This Row],[Play Booster Box Product Id]], tbl_Product[Product Id], tbl_Product[Pack Size])</f>
        <v>#N/A</v>
      </c>
      <c r="AP181" s="10" t="e">
        <f>(tbl_MTG_Set[[#This Row],[Play Booster Box Cost]]+v_Item_Shipping_Cost_In)/tbl_MTG_Set[[#This Row],[Play Booster Box Size]]</f>
        <v>#VALUE!</v>
      </c>
      <c r="AQ181" s="10" t="str" cm="1">
        <f t="array" ref="AQ1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1" s="10"/>
      <c r="AS181" s="10"/>
      <c r="AT181" s="17" t="e">
        <f>tbl_MTG_Set[[#This Row],[Play Booster CardMarket Profit]]/tbl_MTG_Set[[#This Row],[Play Booster Cost]]</f>
        <v>#VALUE!</v>
      </c>
      <c r="AU181" s="10" t="e">
        <f>_xlfn.XLOOKUP(tbl_MTG_Set[[#This Row],[Collector Booster Box Product Id]], tbl_Product[Product Id], tbl_Product[Min Cost])</f>
        <v>#N/A</v>
      </c>
      <c r="AV181" s="10" t="e">
        <f>_xlfn.XLOOKUP(tbl_MTG_Set[[#This Row],[Collector Booster Box Product Id]], tbl_Product[Product Id], tbl_Product[Best Source])</f>
        <v>#N/A</v>
      </c>
      <c r="AW181" s="4" t="e">
        <f>_xlfn.XLOOKUP(tbl_MTG_Set[[#This Row],[Collector Booster Box Product Id]], tbl_Product[Product Id], tbl_Product[Pack Size])</f>
        <v>#N/A</v>
      </c>
      <c r="AX181" s="10" t="e">
        <f>(tbl_MTG_Set[[#This Row],[Collector Booster Box Cost]] + v_Item_Shipping_Cost_In) / tbl_MTG_Set[[#This Row],[Collector Booster Box Size]]</f>
        <v>#N/A</v>
      </c>
      <c r="AY181" s="10" t="str" cm="1">
        <f t="array" ref="AY1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1" s="10"/>
      <c r="BA1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1" s="17" t="e">
        <f>tbl_MTG_Set[[#This Row],[Collector Booster CardMarket Profit]]/tbl_MTG_Set[[#This Row],[Collector Booster Cost]]</f>
        <v>#N/A</v>
      </c>
      <c r="BC181" s="10"/>
      <c r="BF1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1" s="11" t="e">
        <f>tbl_MTG_Set[[#This Row],[Play Singles CardMarket Profit MTG Stocks]]/tbl_MTG_Set[[#This Row],[Play Booster Cost]]</f>
        <v>#VALUE!</v>
      </c>
      <c r="BI181" s="11" t="b">
        <f>tbl_MTG_Set[[#This Row],[Play Singles CardMarket Profit MTG Stocks]]&gt;0</f>
        <v>0</v>
      </c>
      <c r="BM181" s="10" t="e">
        <f>tbl_MTG_Set[[#This Row],[Play Booster Sell Price CardMarket]]*tbl_MTG_Set[[#This Row],[Play Booster Expected Market Value BotBox]]/tbl_MTG_Set[[#This Row],[Play Booster Sealed Market Value BotBox]]</f>
        <v>#VALUE!</v>
      </c>
      <c r="BN1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1" s="10" t="e">
        <f>tbl_MTG_Set[[#This Row],[Play Singles CardMarket Profit BotBox]]/tbl_MTG_Set[[#This Row],[Play Booster Cost]]</f>
        <v>#VALUE!</v>
      </c>
      <c r="BP181" s="10" t="b">
        <f>tbl_MTG_Set[[#This Row],[Play Singles CardMarket Profit BotBox]]&gt;0</f>
        <v>0</v>
      </c>
      <c r="BQ181" s="10"/>
      <c r="BR181" s="10"/>
      <c r="BS181" s="10"/>
      <c r="BT1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1" s="19" t="e">
        <f>tbl_MTG_Set[[#This Row],[Collector Singles CardMarket Profit MTG Stocks]]/tbl_MTG_Set[[#This Row],[Collector Booster Cost]]</f>
        <v>#N/A</v>
      </c>
      <c r="BW181" s="10" t="b">
        <f>tbl_MTG_Set[[#This Row],[Collector Singles CardMarket Profit MTG Stocks]]&gt;0</f>
        <v>0</v>
      </c>
      <c r="BX181" s="10"/>
      <c r="BY181" s="10"/>
      <c r="BZ1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1" s="10" t="e">
        <f>tbl_MTG_Set[[#This Row],[Collector Singles CardMarket Profit BotBox]]/tbl_MTG_Set[[#This Row],[Collector Booster Cost]]</f>
        <v>#N/A</v>
      </c>
      <c r="CC181" s="10" t="b">
        <f>tbl_MTG_Set[[#This Row],[Collector Singles CardMarket Profit BotBox]]&gt;0</f>
        <v>0</v>
      </c>
      <c r="CD1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2" spans="1:86" hidden="1">
      <c r="A182">
        <v>201</v>
      </c>
      <c r="B182" t="s">
        <v>355</v>
      </c>
      <c r="C182">
        <v>30</v>
      </c>
      <c r="D182" s="3">
        <v>44985</v>
      </c>
      <c r="F182" t="s">
        <v>174</v>
      </c>
      <c r="G182">
        <v>348</v>
      </c>
      <c r="H182">
        <f ca="1">MONTH(NOW())+12*YEAR(NOW())-MONTH(tbl_MTG_Set[[#This Row],[Released On]])-12*YEAR(tbl_MTG_Set[[#This Row],[Released On]])</f>
        <v>37</v>
      </c>
      <c r="I182" t="str">
        <f>_xlfn.XLOOKUP(tbl_MTG_Set[[#This Row],[Type Name]], tbl_MTG_Set_Type[Set Type], tbl_MTG_Set_Type[Index], "(Set Type not found)")</f>
        <v>(Set Type not found)</v>
      </c>
      <c r="J182" t="str">
        <f>_xlfn.XLOOKUP(tbl_MTG_Set[[#This Row],[Type Name]], tbl_MTG_Set_Type[Set Type], tbl_MTG_Set_Type[Buy Window Month Start], "(Set Type not found)")</f>
        <v>(Set Type not found)</v>
      </c>
      <c r="K182" s="3" t="e">
        <f>tbl_MTG_Set[[#This Row],[Released On]]+tbl_MTG_Set[[#This Row],[Buy Window Month Start]]*365.25/12</f>
        <v>#VALUE!</v>
      </c>
      <c r="L182" t="str">
        <f>_xlfn.XLOOKUP(tbl_MTG_Set[[#This Row],[Type Name]], tbl_MTG_Set_Type[Set Type], tbl_MTG_Set_Type[Buy Window Month End], "(Set Type not found)", 0, 1)</f>
        <v>(Set Type not found)</v>
      </c>
      <c r="M182" s="3" t="e">
        <f>tbl_MTG_Set[[#This Row],[Released On]]+tbl_MTG_Set[[#This Row],[Buy Window Month End]]*365.25/12</f>
        <v>#VALUE!</v>
      </c>
      <c r="N182" s="3" t="e">
        <f ca="1">AND(NOW()&gt;=tbl_MTG_Set[[#This Row],[Buy Window Start]], NOW()&lt;=tbl_MTG_Set[[#This Row],[Buy Window End]])</f>
        <v>#VALUE!</v>
      </c>
      <c r="O182" t="str">
        <f>_xlfn.XLOOKUP(tbl_MTG_Set[[#This Row],[Type Name]], tbl_MTG_Set_Type[Set Type], tbl_MTG_Set_Type[Heavy Printing Window Month Start], "(Set Type not found)", 0, 1)</f>
        <v>(Set Type not found)</v>
      </c>
      <c r="P182" s="3" t="e">
        <f>tbl_MTG_Set[[#This Row],[Released On]]+tbl_MTG_Set[[#This Row],[Heavy Printing Window Month Start]]*365.25/12</f>
        <v>#VALUE!</v>
      </c>
      <c r="Q182" t="str">
        <f>_xlfn.XLOOKUP(tbl_MTG_Set[[#This Row],[Type Name]], tbl_MTG_Set_Type[Set Type], tbl_MTG_Set_Type[Heavy Printing Window Month End], "(Set Type not found)", 0, 1)</f>
        <v>(Set Type not found)</v>
      </c>
      <c r="R182" s="3" t="e">
        <f>tbl_MTG_Set[[#This Row],[Released On]]+tbl_MTG_Set[[#This Row],[Heavy Printing Window Month End]]*365.25/12</f>
        <v>#VALUE!</v>
      </c>
      <c r="S182" s="3" t="e">
        <f ca="1">AND(NOW()&gt;=tbl_MTG_Set[[#This Row],[Heavy Printing Window Start]], NOW()&lt;=tbl_MTG_Set[[#This Row],[Heavy Printing Window End]])</f>
        <v>#VALUE!</v>
      </c>
      <c r="T182" t="str">
        <f>_xlfn.XLOOKUP(tbl_MTG_Set[[#This Row],[Type Name]], tbl_MTG_Set_Type[Set Type], tbl_MTG_Set_Type[Sell Window Month Start], "(Set Type not found)", 0, 1)</f>
        <v>(Set Type not found)</v>
      </c>
      <c r="U182" s="3" t="e">
        <f>tbl_MTG_Set[[#This Row],[Released On]]+tbl_MTG_Set[[#This Row],[Sell Window Month Start]]*365.25/12</f>
        <v>#VALUE!</v>
      </c>
      <c r="V182" t="str">
        <f>_xlfn.XLOOKUP(tbl_MTG_Set[[#This Row],[Type Name]], tbl_MTG_Set_Type[Set Type], tbl_MTG_Set_Type[Sell Window Month End], "(Set Type not found)", 0, 1)</f>
        <v>(Set Type not found)</v>
      </c>
      <c r="W182" s="3" t="e">
        <f>tbl_MTG_Set[[#This Row],[Released On]]+tbl_MTG_Set[[#This Row],[Sell Window Month End]]*365.25/12</f>
        <v>#VALUE!</v>
      </c>
      <c r="X182" s="3" t="e">
        <f ca="1">AND(NOW()&gt;=tbl_MTG_Set[[#This Row],[Sell Window Start]], NOW()&lt;=tbl_MTG_Set[[#This Row],[Sell Window End]])</f>
        <v>#VALUE!</v>
      </c>
      <c r="AG182" s="10"/>
      <c r="AH182" s="10"/>
      <c r="AM182" s="10" t="str" cm="1">
        <f t="array" ref="AM1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2" s="10" t="str" cm="1">
        <f t="array" ref="AN1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2" s="4" t="e">
        <f>_xlfn.XLOOKUP(tbl_MTG_Set[[#This Row],[Play Booster Box Product Id]], tbl_Product[Product Id], tbl_Product[Pack Size])</f>
        <v>#N/A</v>
      </c>
      <c r="AP182" s="10" t="e">
        <f>(tbl_MTG_Set[[#This Row],[Play Booster Box Cost]]+v_Item_Shipping_Cost_In)/tbl_MTG_Set[[#This Row],[Play Booster Box Size]]</f>
        <v>#VALUE!</v>
      </c>
      <c r="AQ182" s="10" t="str" cm="1">
        <f t="array" ref="AQ1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2" s="10"/>
      <c r="AS182" s="10"/>
      <c r="AT182" s="17" t="e">
        <f>tbl_MTG_Set[[#This Row],[Play Booster CardMarket Profit]]/tbl_MTG_Set[[#This Row],[Play Booster Cost]]</f>
        <v>#VALUE!</v>
      </c>
      <c r="AU182" s="10" t="e">
        <f>_xlfn.XLOOKUP(tbl_MTG_Set[[#This Row],[Collector Booster Box Product Id]], tbl_Product[Product Id], tbl_Product[Min Cost])</f>
        <v>#N/A</v>
      </c>
      <c r="AV182" s="10" t="e">
        <f>_xlfn.XLOOKUP(tbl_MTG_Set[[#This Row],[Collector Booster Box Product Id]], tbl_Product[Product Id], tbl_Product[Best Source])</f>
        <v>#N/A</v>
      </c>
      <c r="AW182" s="4" t="e">
        <f>_xlfn.XLOOKUP(tbl_MTG_Set[[#This Row],[Collector Booster Box Product Id]], tbl_Product[Product Id], tbl_Product[Pack Size])</f>
        <v>#N/A</v>
      </c>
      <c r="AX182" s="10" t="e">
        <f>(tbl_MTG_Set[[#This Row],[Collector Booster Box Cost]] + v_Item_Shipping_Cost_In) / tbl_MTG_Set[[#This Row],[Collector Booster Box Size]]</f>
        <v>#N/A</v>
      </c>
      <c r="AY182" s="10" t="str" cm="1">
        <f t="array" ref="AY1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2" s="10"/>
      <c r="BA1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2" s="17" t="e">
        <f>tbl_MTG_Set[[#This Row],[Collector Booster CardMarket Profit]]/tbl_MTG_Set[[#This Row],[Collector Booster Cost]]</f>
        <v>#N/A</v>
      </c>
      <c r="BC182" s="10"/>
      <c r="BF1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2" s="11" t="e">
        <f>tbl_MTG_Set[[#This Row],[Play Singles CardMarket Profit MTG Stocks]]/tbl_MTG_Set[[#This Row],[Play Booster Cost]]</f>
        <v>#VALUE!</v>
      </c>
      <c r="BI182" s="11" t="b">
        <f>tbl_MTG_Set[[#This Row],[Play Singles CardMarket Profit MTG Stocks]]&gt;0</f>
        <v>0</v>
      </c>
      <c r="BM182" s="10" t="e">
        <f>tbl_MTG_Set[[#This Row],[Play Booster Sell Price CardMarket]]*tbl_MTG_Set[[#This Row],[Play Booster Expected Market Value BotBox]]/tbl_MTG_Set[[#This Row],[Play Booster Sealed Market Value BotBox]]</f>
        <v>#VALUE!</v>
      </c>
      <c r="BN1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2" s="10" t="e">
        <f>tbl_MTG_Set[[#This Row],[Play Singles CardMarket Profit BotBox]]/tbl_MTG_Set[[#This Row],[Play Booster Cost]]</f>
        <v>#VALUE!</v>
      </c>
      <c r="BP182" s="10" t="b">
        <f>tbl_MTG_Set[[#This Row],[Play Singles CardMarket Profit BotBox]]&gt;0</f>
        <v>0</v>
      </c>
      <c r="BQ182" s="10"/>
      <c r="BR182" s="10"/>
      <c r="BS182" s="10"/>
      <c r="BT1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2" s="19" t="e">
        <f>tbl_MTG_Set[[#This Row],[Collector Singles CardMarket Profit MTG Stocks]]/tbl_MTG_Set[[#This Row],[Collector Booster Cost]]</f>
        <v>#N/A</v>
      </c>
      <c r="BW182" s="10" t="b">
        <f>tbl_MTG_Set[[#This Row],[Collector Singles CardMarket Profit MTG Stocks]]&gt;0</f>
        <v>0</v>
      </c>
      <c r="BX182" s="10"/>
      <c r="BY182" s="10"/>
      <c r="BZ1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2" s="10" t="e">
        <f>tbl_MTG_Set[[#This Row],[Collector Singles CardMarket Profit BotBox]]/tbl_MTG_Set[[#This Row],[Collector Booster Cost]]</f>
        <v>#N/A</v>
      </c>
      <c r="CC182" s="10" t="b">
        <f>tbl_MTG_Set[[#This Row],[Collector Singles CardMarket Profit BotBox]]&gt;0</f>
        <v>0</v>
      </c>
      <c r="CD1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3" spans="1:86" hidden="1">
      <c r="A183">
        <v>202</v>
      </c>
      <c r="B183" t="s">
        <v>356</v>
      </c>
      <c r="C183">
        <v>174</v>
      </c>
      <c r="D183" s="3">
        <v>44967</v>
      </c>
      <c r="E183" t="s">
        <v>59</v>
      </c>
      <c r="F183" t="s">
        <v>174</v>
      </c>
      <c r="G183">
        <v>350</v>
      </c>
      <c r="H183">
        <f ca="1">MONTH(NOW())+12*YEAR(NOW())-MONTH(tbl_MTG_Set[[#This Row],[Released On]])-12*YEAR(tbl_MTG_Set[[#This Row],[Released On]])</f>
        <v>37</v>
      </c>
      <c r="I183">
        <f>_xlfn.XLOOKUP(tbl_MTG_Set[[#This Row],[Type Name]], tbl_MTG_Set_Type[Set Type], tbl_MTG_Set_Type[Index], "(Set Type not found)")</f>
        <v>1</v>
      </c>
      <c r="J183">
        <f>_xlfn.XLOOKUP(tbl_MTG_Set[[#This Row],[Type Name]], tbl_MTG_Set_Type[Set Type], tbl_MTG_Set_Type[Buy Window Month Start], "(Set Type not found)")</f>
        <v>18</v>
      </c>
      <c r="K183" s="3">
        <f>tbl_MTG_Set[[#This Row],[Released On]]+tbl_MTG_Set[[#This Row],[Buy Window Month Start]]*365.25/12</f>
        <v>45514.875</v>
      </c>
      <c r="L183">
        <f>_xlfn.XLOOKUP(tbl_MTG_Set[[#This Row],[Type Name]], tbl_MTG_Set_Type[Set Type], tbl_MTG_Set_Type[Buy Window Month End], "(Set Type not found)", 0, 1)</f>
        <v>24</v>
      </c>
      <c r="M183" s="3">
        <f>tbl_MTG_Set[[#This Row],[Released On]]+tbl_MTG_Set[[#This Row],[Buy Window Month End]]*365.25/12</f>
        <v>45697.5</v>
      </c>
      <c r="N183" s="3" t="b">
        <f ca="1">AND(NOW()&gt;=tbl_MTG_Set[[#This Row],[Buy Window Start]], NOW()&lt;=tbl_MTG_Set[[#This Row],[Buy Window End]])</f>
        <v>0</v>
      </c>
      <c r="O183">
        <f>_xlfn.XLOOKUP(tbl_MTG_Set[[#This Row],[Type Name]], tbl_MTG_Set_Type[Set Type], tbl_MTG_Set_Type[Heavy Printing Window Month Start], "(Set Type not found)", 0, 1)</f>
        <v>1</v>
      </c>
      <c r="P183" s="3">
        <f>tbl_MTG_Set[[#This Row],[Released On]]+tbl_MTG_Set[[#This Row],[Heavy Printing Window Month Start]]*365.25/12</f>
        <v>44997.4375</v>
      </c>
      <c r="Q183">
        <f>_xlfn.XLOOKUP(tbl_MTG_Set[[#This Row],[Type Name]], tbl_MTG_Set_Type[Set Type], tbl_MTG_Set_Type[Heavy Printing Window Month End], "(Set Type not found)", 0, 1)</f>
        <v>18</v>
      </c>
      <c r="R183" s="3">
        <f>tbl_MTG_Set[[#This Row],[Released On]]+tbl_MTG_Set[[#This Row],[Heavy Printing Window Month End]]*365.25/12</f>
        <v>45514.875</v>
      </c>
      <c r="S183" s="3" t="b">
        <f ca="1">AND(NOW()&gt;=tbl_MTG_Set[[#This Row],[Heavy Printing Window Start]], NOW()&lt;=tbl_MTG_Set[[#This Row],[Heavy Printing Window End]])</f>
        <v>0</v>
      </c>
      <c r="T183">
        <f>_xlfn.XLOOKUP(tbl_MTG_Set[[#This Row],[Type Name]], tbl_MTG_Set_Type[Set Type], tbl_MTG_Set_Type[Sell Window Month Start], "(Set Type not found)", 0, 1)</f>
        <v>36</v>
      </c>
      <c r="U183" s="3">
        <f>tbl_MTG_Set[[#This Row],[Released On]]+tbl_MTG_Set[[#This Row],[Sell Window Month Start]]*365.25/12</f>
        <v>46062.75</v>
      </c>
      <c r="V183">
        <f>_xlfn.XLOOKUP(tbl_MTG_Set[[#This Row],[Type Name]], tbl_MTG_Set_Type[Set Type], tbl_MTG_Set_Type[Sell Window Month End], "(Set Type not found)", 0, 1)</f>
        <v>48</v>
      </c>
      <c r="W183" s="3">
        <f>tbl_MTG_Set[[#This Row],[Released On]]+tbl_MTG_Set[[#This Row],[Sell Window Month End]]*365.25/12</f>
        <v>46428</v>
      </c>
      <c r="X183" s="3" t="b">
        <f ca="1">AND(NOW()&gt;=tbl_MTG_Set[[#This Row],[Sell Window Start]], NOW()&lt;=tbl_MTG_Set[[#This Row],[Sell Window End]])</f>
        <v>1</v>
      </c>
      <c r="AG183" s="10"/>
      <c r="AH183" s="10"/>
      <c r="AM183" s="10" t="str" cm="1">
        <f t="array" ref="AM1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3" s="10" t="str" cm="1">
        <f t="array" ref="AN1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3" s="4" t="e">
        <f>_xlfn.XLOOKUP(tbl_MTG_Set[[#This Row],[Play Booster Box Product Id]], tbl_Product[Product Id], tbl_Product[Pack Size])</f>
        <v>#N/A</v>
      </c>
      <c r="AP183" s="10" t="e">
        <f>(tbl_MTG_Set[[#This Row],[Play Booster Box Cost]]+v_Item_Shipping_Cost_In)/tbl_MTG_Set[[#This Row],[Play Booster Box Size]]</f>
        <v>#VALUE!</v>
      </c>
      <c r="AQ183" s="10" t="str" cm="1">
        <f t="array" ref="AQ1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3" s="10"/>
      <c r="AS183" s="10"/>
      <c r="AT183" s="17" t="e">
        <f>tbl_MTG_Set[[#This Row],[Play Booster CardMarket Profit]]/tbl_MTG_Set[[#This Row],[Play Booster Cost]]</f>
        <v>#VALUE!</v>
      </c>
      <c r="AU183" s="10" t="e">
        <f>_xlfn.XLOOKUP(tbl_MTG_Set[[#This Row],[Collector Booster Box Product Id]], tbl_Product[Product Id], tbl_Product[Min Cost])</f>
        <v>#N/A</v>
      </c>
      <c r="AV183" s="10" t="e">
        <f>_xlfn.XLOOKUP(tbl_MTG_Set[[#This Row],[Collector Booster Box Product Id]], tbl_Product[Product Id], tbl_Product[Best Source])</f>
        <v>#N/A</v>
      </c>
      <c r="AW183" s="4" t="e">
        <f>_xlfn.XLOOKUP(tbl_MTG_Set[[#This Row],[Collector Booster Box Product Id]], tbl_Product[Product Id], tbl_Product[Pack Size])</f>
        <v>#N/A</v>
      </c>
      <c r="AX183" s="10" t="e">
        <f>(tbl_MTG_Set[[#This Row],[Collector Booster Box Cost]] + v_Item_Shipping_Cost_In) / tbl_MTG_Set[[#This Row],[Collector Booster Box Size]]</f>
        <v>#N/A</v>
      </c>
      <c r="AY183" s="10" t="str" cm="1">
        <f t="array" ref="AY1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3" s="10"/>
      <c r="BA1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3" s="17" t="e">
        <f>tbl_MTG_Set[[#This Row],[Collector Booster CardMarket Profit]]/tbl_MTG_Set[[#This Row],[Collector Booster Cost]]</f>
        <v>#N/A</v>
      </c>
      <c r="BC183" s="10"/>
      <c r="BF1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3" s="11" t="e">
        <f>tbl_MTG_Set[[#This Row],[Play Singles CardMarket Profit MTG Stocks]]/tbl_MTG_Set[[#This Row],[Play Booster Cost]]</f>
        <v>#VALUE!</v>
      </c>
      <c r="BI183" s="11" t="b">
        <f>tbl_MTG_Set[[#This Row],[Play Singles CardMarket Profit MTG Stocks]]&gt;0</f>
        <v>0</v>
      </c>
      <c r="BM183" s="10" t="e">
        <f>tbl_MTG_Set[[#This Row],[Play Booster Sell Price CardMarket]]*tbl_MTG_Set[[#This Row],[Play Booster Expected Market Value BotBox]]/tbl_MTG_Set[[#This Row],[Play Booster Sealed Market Value BotBox]]</f>
        <v>#VALUE!</v>
      </c>
      <c r="BN1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3" s="10" t="e">
        <f>tbl_MTG_Set[[#This Row],[Play Singles CardMarket Profit BotBox]]/tbl_MTG_Set[[#This Row],[Play Booster Cost]]</f>
        <v>#VALUE!</v>
      </c>
      <c r="BP183" s="10" t="b">
        <f>tbl_MTG_Set[[#This Row],[Play Singles CardMarket Profit BotBox]]&gt;0</f>
        <v>0</v>
      </c>
      <c r="BQ183" s="10"/>
      <c r="BR183" s="10"/>
      <c r="BS183" s="10"/>
      <c r="BT1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3" s="19" t="e">
        <f>tbl_MTG_Set[[#This Row],[Collector Singles CardMarket Profit MTG Stocks]]/tbl_MTG_Set[[#This Row],[Collector Booster Cost]]</f>
        <v>#N/A</v>
      </c>
      <c r="BW183" s="10" t="b">
        <f>tbl_MTG_Set[[#This Row],[Collector Singles CardMarket Profit MTG Stocks]]&gt;0</f>
        <v>0</v>
      </c>
      <c r="BX183" s="10"/>
      <c r="BY183" s="10"/>
      <c r="BZ1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3" s="10" t="e">
        <f>tbl_MTG_Set[[#This Row],[Collector Singles CardMarket Profit BotBox]]/tbl_MTG_Set[[#This Row],[Collector Booster Cost]]</f>
        <v>#N/A</v>
      </c>
      <c r="CC183" s="10" t="b">
        <f>tbl_MTG_Set[[#This Row],[Collector Singles CardMarket Profit BotBox]]&gt;0</f>
        <v>0</v>
      </c>
      <c r="CD1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4" spans="1:86" hidden="1">
      <c r="A184">
        <v>203</v>
      </c>
      <c r="B184" t="s">
        <v>357</v>
      </c>
      <c r="C184">
        <v>23</v>
      </c>
      <c r="D184" s="3">
        <v>44960</v>
      </c>
      <c r="E184" t="s">
        <v>59</v>
      </c>
      <c r="F184" t="s">
        <v>174</v>
      </c>
      <c r="G184">
        <v>352</v>
      </c>
      <c r="H184">
        <f ca="1">MONTH(NOW())+12*YEAR(NOW())-MONTH(tbl_MTG_Set[[#This Row],[Released On]])-12*YEAR(tbl_MTG_Set[[#This Row],[Released On]])</f>
        <v>37</v>
      </c>
      <c r="I184">
        <f>_xlfn.XLOOKUP(tbl_MTG_Set[[#This Row],[Type Name]], tbl_MTG_Set_Type[Set Type], tbl_MTG_Set_Type[Index], "(Set Type not found)")</f>
        <v>1</v>
      </c>
      <c r="J184">
        <f>_xlfn.XLOOKUP(tbl_MTG_Set[[#This Row],[Type Name]], tbl_MTG_Set_Type[Set Type], tbl_MTG_Set_Type[Buy Window Month Start], "(Set Type not found)")</f>
        <v>18</v>
      </c>
      <c r="K184" s="3">
        <f>tbl_MTG_Set[[#This Row],[Released On]]+tbl_MTG_Set[[#This Row],[Buy Window Month Start]]*365.25/12</f>
        <v>45507.875</v>
      </c>
      <c r="L184">
        <f>_xlfn.XLOOKUP(tbl_MTG_Set[[#This Row],[Type Name]], tbl_MTG_Set_Type[Set Type], tbl_MTG_Set_Type[Buy Window Month End], "(Set Type not found)", 0, 1)</f>
        <v>24</v>
      </c>
      <c r="M184" s="3">
        <f>tbl_MTG_Set[[#This Row],[Released On]]+tbl_MTG_Set[[#This Row],[Buy Window Month End]]*365.25/12</f>
        <v>45690.5</v>
      </c>
      <c r="N184" s="3" t="b">
        <f ca="1">AND(NOW()&gt;=tbl_MTG_Set[[#This Row],[Buy Window Start]], NOW()&lt;=tbl_MTG_Set[[#This Row],[Buy Window End]])</f>
        <v>0</v>
      </c>
      <c r="O184">
        <f>_xlfn.XLOOKUP(tbl_MTG_Set[[#This Row],[Type Name]], tbl_MTG_Set_Type[Set Type], tbl_MTG_Set_Type[Heavy Printing Window Month Start], "(Set Type not found)", 0, 1)</f>
        <v>1</v>
      </c>
      <c r="P184" s="3">
        <f>tbl_MTG_Set[[#This Row],[Released On]]+tbl_MTG_Set[[#This Row],[Heavy Printing Window Month Start]]*365.25/12</f>
        <v>44990.4375</v>
      </c>
      <c r="Q184">
        <f>_xlfn.XLOOKUP(tbl_MTG_Set[[#This Row],[Type Name]], tbl_MTG_Set_Type[Set Type], tbl_MTG_Set_Type[Heavy Printing Window Month End], "(Set Type not found)", 0, 1)</f>
        <v>18</v>
      </c>
      <c r="R184" s="3">
        <f>tbl_MTG_Set[[#This Row],[Released On]]+tbl_MTG_Set[[#This Row],[Heavy Printing Window Month End]]*365.25/12</f>
        <v>45507.875</v>
      </c>
      <c r="S184" s="3" t="b">
        <f ca="1">AND(NOW()&gt;=tbl_MTG_Set[[#This Row],[Heavy Printing Window Start]], NOW()&lt;=tbl_MTG_Set[[#This Row],[Heavy Printing Window End]])</f>
        <v>0</v>
      </c>
      <c r="T184">
        <f>_xlfn.XLOOKUP(tbl_MTG_Set[[#This Row],[Type Name]], tbl_MTG_Set_Type[Set Type], tbl_MTG_Set_Type[Sell Window Month Start], "(Set Type not found)", 0, 1)</f>
        <v>36</v>
      </c>
      <c r="U184" s="3">
        <f>tbl_MTG_Set[[#This Row],[Released On]]+tbl_MTG_Set[[#This Row],[Sell Window Month Start]]*365.25/12</f>
        <v>46055.75</v>
      </c>
      <c r="V184">
        <f>_xlfn.XLOOKUP(tbl_MTG_Set[[#This Row],[Type Name]], tbl_MTG_Set_Type[Set Type], tbl_MTG_Set_Type[Sell Window Month End], "(Set Type not found)", 0, 1)</f>
        <v>48</v>
      </c>
      <c r="W184" s="3">
        <f>tbl_MTG_Set[[#This Row],[Released On]]+tbl_MTG_Set[[#This Row],[Sell Window Month End]]*365.25/12</f>
        <v>46421</v>
      </c>
      <c r="X184" s="3" t="b">
        <f ca="1">AND(NOW()&gt;=tbl_MTG_Set[[#This Row],[Sell Window Start]], NOW()&lt;=tbl_MTG_Set[[#This Row],[Sell Window End]])</f>
        <v>1</v>
      </c>
      <c r="AG184" s="10"/>
      <c r="AH184" s="10"/>
      <c r="AM184" s="10" t="str" cm="1">
        <f t="array" ref="AM1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4" s="10" t="str" cm="1">
        <f t="array" ref="AN1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4" s="4" t="e">
        <f>_xlfn.XLOOKUP(tbl_MTG_Set[[#This Row],[Play Booster Box Product Id]], tbl_Product[Product Id], tbl_Product[Pack Size])</f>
        <v>#N/A</v>
      </c>
      <c r="AP184" s="10" t="e">
        <f>(tbl_MTG_Set[[#This Row],[Play Booster Box Cost]]+v_Item_Shipping_Cost_In)/tbl_MTG_Set[[#This Row],[Play Booster Box Size]]</f>
        <v>#VALUE!</v>
      </c>
      <c r="AQ184" s="10" t="str" cm="1">
        <f t="array" ref="AQ1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4" s="10"/>
      <c r="AS184" s="10"/>
      <c r="AT184" s="17" t="e">
        <f>tbl_MTG_Set[[#This Row],[Play Booster CardMarket Profit]]/tbl_MTG_Set[[#This Row],[Play Booster Cost]]</f>
        <v>#VALUE!</v>
      </c>
      <c r="AU184" s="10" t="e">
        <f>_xlfn.XLOOKUP(tbl_MTG_Set[[#This Row],[Collector Booster Box Product Id]], tbl_Product[Product Id], tbl_Product[Min Cost])</f>
        <v>#N/A</v>
      </c>
      <c r="AV184" s="10" t="e">
        <f>_xlfn.XLOOKUP(tbl_MTG_Set[[#This Row],[Collector Booster Box Product Id]], tbl_Product[Product Id], tbl_Product[Best Source])</f>
        <v>#N/A</v>
      </c>
      <c r="AW184" s="4" t="e">
        <f>_xlfn.XLOOKUP(tbl_MTG_Set[[#This Row],[Collector Booster Box Product Id]], tbl_Product[Product Id], tbl_Product[Pack Size])</f>
        <v>#N/A</v>
      </c>
      <c r="AX184" s="10" t="e">
        <f>(tbl_MTG_Set[[#This Row],[Collector Booster Box Cost]] + v_Item_Shipping_Cost_In) / tbl_MTG_Set[[#This Row],[Collector Booster Box Size]]</f>
        <v>#N/A</v>
      </c>
      <c r="AY184" s="10" t="str" cm="1">
        <f t="array" ref="AY1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4" s="10"/>
      <c r="BA1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4" s="17" t="e">
        <f>tbl_MTG_Set[[#This Row],[Collector Booster CardMarket Profit]]/tbl_MTG_Set[[#This Row],[Collector Booster Cost]]</f>
        <v>#N/A</v>
      </c>
      <c r="BC184" s="10"/>
      <c r="BF1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4" s="11" t="e">
        <f>tbl_MTG_Set[[#This Row],[Play Singles CardMarket Profit MTG Stocks]]/tbl_MTG_Set[[#This Row],[Play Booster Cost]]</f>
        <v>#VALUE!</v>
      </c>
      <c r="BI184" s="11" t="b">
        <f>tbl_MTG_Set[[#This Row],[Play Singles CardMarket Profit MTG Stocks]]&gt;0</f>
        <v>0</v>
      </c>
      <c r="BM184" s="10" t="e">
        <f>tbl_MTG_Set[[#This Row],[Play Booster Sell Price CardMarket]]*tbl_MTG_Set[[#This Row],[Play Booster Expected Market Value BotBox]]/tbl_MTG_Set[[#This Row],[Play Booster Sealed Market Value BotBox]]</f>
        <v>#VALUE!</v>
      </c>
      <c r="BN1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4" s="10" t="e">
        <f>tbl_MTG_Set[[#This Row],[Play Singles CardMarket Profit BotBox]]/tbl_MTG_Set[[#This Row],[Play Booster Cost]]</f>
        <v>#VALUE!</v>
      </c>
      <c r="BP184" s="10" t="b">
        <f>tbl_MTG_Set[[#This Row],[Play Singles CardMarket Profit BotBox]]&gt;0</f>
        <v>0</v>
      </c>
      <c r="BQ184" s="10"/>
      <c r="BR184" s="10"/>
      <c r="BS184" s="10"/>
      <c r="BT1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4" s="19" t="e">
        <f>tbl_MTG_Set[[#This Row],[Collector Singles CardMarket Profit MTG Stocks]]/tbl_MTG_Set[[#This Row],[Collector Booster Cost]]</f>
        <v>#N/A</v>
      </c>
      <c r="BW184" s="10" t="b">
        <f>tbl_MTG_Set[[#This Row],[Collector Singles CardMarket Profit MTG Stocks]]&gt;0</f>
        <v>0</v>
      </c>
      <c r="BX184" s="10"/>
      <c r="BY184" s="10"/>
      <c r="BZ1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4" s="10" t="e">
        <f>tbl_MTG_Set[[#This Row],[Collector Singles CardMarket Profit BotBox]]/tbl_MTG_Set[[#This Row],[Collector Booster Cost]]</f>
        <v>#N/A</v>
      </c>
      <c r="CC184" s="10" t="b">
        <f>tbl_MTG_Set[[#This Row],[Collector Singles CardMarket Profit BotBox]]&gt;0</f>
        <v>0</v>
      </c>
      <c r="CD1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5" spans="1:86" hidden="1">
      <c r="A185">
        <v>204</v>
      </c>
      <c r="B185" t="s">
        <v>358</v>
      </c>
      <c r="C185">
        <v>5</v>
      </c>
      <c r="D185" s="3">
        <v>44960</v>
      </c>
      <c r="E185" t="s">
        <v>59</v>
      </c>
      <c r="F185" t="s">
        <v>174</v>
      </c>
      <c r="G185">
        <v>354</v>
      </c>
      <c r="H185">
        <f ca="1">MONTH(NOW())+12*YEAR(NOW())-MONTH(tbl_MTG_Set[[#This Row],[Released On]])-12*YEAR(tbl_MTG_Set[[#This Row],[Released On]])</f>
        <v>37</v>
      </c>
      <c r="I185">
        <f>_xlfn.XLOOKUP(tbl_MTG_Set[[#This Row],[Type Name]], tbl_MTG_Set_Type[Set Type], tbl_MTG_Set_Type[Index], "(Set Type not found)")</f>
        <v>1</v>
      </c>
      <c r="J185">
        <f>_xlfn.XLOOKUP(tbl_MTG_Set[[#This Row],[Type Name]], tbl_MTG_Set_Type[Set Type], tbl_MTG_Set_Type[Buy Window Month Start], "(Set Type not found)")</f>
        <v>18</v>
      </c>
      <c r="K185" s="3">
        <f>tbl_MTG_Set[[#This Row],[Released On]]+tbl_MTG_Set[[#This Row],[Buy Window Month Start]]*365.25/12</f>
        <v>45507.875</v>
      </c>
      <c r="L185">
        <f>_xlfn.XLOOKUP(tbl_MTG_Set[[#This Row],[Type Name]], tbl_MTG_Set_Type[Set Type], tbl_MTG_Set_Type[Buy Window Month End], "(Set Type not found)", 0, 1)</f>
        <v>24</v>
      </c>
      <c r="M185" s="3">
        <f>tbl_MTG_Set[[#This Row],[Released On]]+tbl_MTG_Set[[#This Row],[Buy Window Month End]]*365.25/12</f>
        <v>45690.5</v>
      </c>
      <c r="N185" s="3" t="b">
        <f ca="1">AND(NOW()&gt;=tbl_MTG_Set[[#This Row],[Buy Window Start]], NOW()&lt;=tbl_MTG_Set[[#This Row],[Buy Window End]])</f>
        <v>0</v>
      </c>
      <c r="O185">
        <f>_xlfn.XLOOKUP(tbl_MTG_Set[[#This Row],[Type Name]], tbl_MTG_Set_Type[Set Type], tbl_MTG_Set_Type[Heavy Printing Window Month Start], "(Set Type not found)", 0, 1)</f>
        <v>1</v>
      </c>
      <c r="P185" s="3">
        <f>tbl_MTG_Set[[#This Row],[Released On]]+tbl_MTG_Set[[#This Row],[Heavy Printing Window Month Start]]*365.25/12</f>
        <v>44990.4375</v>
      </c>
      <c r="Q185">
        <f>_xlfn.XLOOKUP(tbl_MTG_Set[[#This Row],[Type Name]], tbl_MTG_Set_Type[Set Type], tbl_MTG_Set_Type[Heavy Printing Window Month End], "(Set Type not found)", 0, 1)</f>
        <v>18</v>
      </c>
      <c r="R185" s="3">
        <f>tbl_MTG_Set[[#This Row],[Released On]]+tbl_MTG_Set[[#This Row],[Heavy Printing Window Month End]]*365.25/12</f>
        <v>45507.875</v>
      </c>
      <c r="S185" s="3" t="b">
        <f ca="1">AND(NOW()&gt;=tbl_MTG_Set[[#This Row],[Heavy Printing Window Start]], NOW()&lt;=tbl_MTG_Set[[#This Row],[Heavy Printing Window End]])</f>
        <v>0</v>
      </c>
      <c r="T185">
        <f>_xlfn.XLOOKUP(tbl_MTG_Set[[#This Row],[Type Name]], tbl_MTG_Set_Type[Set Type], tbl_MTG_Set_Type[Sell Window Month Start], "(Set Type not found)", 0, 1)</f>
        <v>36</v>
      </c>
      <c r="U185" s="3">
        <f>tbl_MTG_Set[[#This Row],[Released On]]+tbl_MTG_Set[[#This Row],[Sell Window Month Start]]*365.25/12</f>
        <v>46055.75</v>
      </c>
      <c r="V185">
        <f>_xlfn.XLOOKUP(tbl_MTG_Set[[#This Row],[Type Name]], tbl_MTG_Set_Type[Set Type], tbl_MTG_Set_Type[Sell Window Month End], "(Set Type not found)", 0, 1)</f>
        <v>48</v>
      </c>
      <c r="W185" s="3">
        <f>tbl_MTG_Set[[#This Row],[Released On]]+tbl_MTG_Set[[#This Row],[Sell Window Month End]]*365.25/12</f>
        <v>46421</v>
      </c>
      <c r="X185" s="3" t="b">
        <f ca="1">AND(NOW()&gt;=tbl_MTG_Set[[#This Row],[Sell Window Start]], NOW()&lt;=tbl_MTG_Set[[#This Row],[Sell Window End]])</f>
        <v>1</v>
      </c>
      <c r="AG185" s="10"/>
      <c r="AH185" s="10"/>
      <c r="AM185" s="10" t="str" cm="1">
        <f t="array" ref="AM1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5" s="10" t="str" cm="1">
        <f t="array" ref="AN1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5" s="4" t="e">
        <f>_xlfn.XLOOKUP(tbl_MTG_Set[[#This Row],[Play Booster Box Product Id]], tbl_Product[Product Id], tbl_Product[Pack Size])</f>
        <v>#N/A</v>
      </c>
      <c r="AP185" s="10" t="e">
        <f>(tbl_MTG_Set[[#This Row],[Play Booster Box Cost]]+v_Item_Shipping_Cost_In)/tbl_MTG_Set[[#This Row],[Play Booster Box Size]]</f>
        <v>#VALUE!</v>
      </c>
      <c r="AQ185" s="10" t="str" cm="1">
        <f t="array" ref="AQ1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5" s="10"/>
      <c r="AS185" s="10"/>
      <c r="AT185" s="17" t="e">
        <f>tbl_MTG_Set[[#This Row],[Play Booster CardMarket Profit]]/tbl_MTG_Set[[#This Row],[Play Booster Cost]]</f>
        <v>#VALUE!</v>
      </c>
      <c r="AU185" s="10" t="e">
        <f>_xlfn.XLOOKUP(tbl_MTG_Set[[#This Row],[Collector Booster Box Product Id]], tbl_Product[Product Id], tbl_Product[Min Cost])</f>
        <v>#N/A</v>
      </c>
      <c r="AV185" s="10" t="e">
        <f>_xlfn.XLOOKUP(tbl_MTG_Set[[#This Row],[Collector Booster Box Product Id]], tbl_Product[Product Id], tbl_Product[Best Source])</f>
        <v>#N/A</v>
      </c>
      <c r="AW185" s="4" t="e">
        <f>_xlfn.XLOOKUP(tbl_MTG_Set[[#This Row],[Collector Booster Box Product Id]], tbl_Product[Product Id], tbl_Product[Pack Size])</f>
        <v>#N/A</v>
      </c>
      <c r="AX185" s="10" t="e">
        <f>(tbl_MTG_Set[[#This Row],[Collector Booster Box Cost]] + v_Item_Shipping_Cost_In) / tbl_MTG_Set[[#This Row],[Collector Booster Box Size]]</f>
        <v>#N/A</v>
      </c>
      <c r="AY185" s="10" t="str" cm="1">
        <f t="array" ref="AY1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5" s="10"/>
      <c r="BA1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5" s="17" t="e">
        <f>tbl_MTG_Set[[#This Row],[Collector Booster CardMarket Profit]]/tbl_MTG_Set[[#This Row],[Collector Booster Cost]]</f>
        <v>#N/A</v>
      </c>
      <c r="BC185" s="10"/>
      <c r="BF1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5" s="11" t="e">
        <f>tbl_MTG_Set[[#This Row],[Play Singles CardMarket Profit MTG Stocks]]/tbl_MTG_Set[[#This Row],[Play Booster Cost]]</f>
        <v>#VALUE!</v>
      </c>
      <c r="BI185" s="11" t="b">
        <f>tbl_MTG_Set[[#This Row],[Play Singles CardMarket Profit MTG Stocks]]&gt;0</f>
        <v>0</v>
      </c>
      <c r="BM185" s="10" t="e">
        <f>tbl_MTG_Set[[#This Row],[Play Booster Sell Price CardMarket]]*tbl_MTG_Set[[#This Row],[Play Booster Expected Market Value BotBox]]/tbl_MTG_Set[[#This Row],[Play Booster Sealed Market Value BotBox]]</f>
        <v>#VALUE!</v>
      </c>
      <c r="BN1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5" s="10" t="e">
        <f>tbl_MTG_Set[[#This Row],[Play Singles CardMarket Profit BotBox]]/tbl_MTG_Set[[#This Row],[Play Booster Cost]]</f>
        <v>#VALUE!</v>
      </c>
      <c r="BP185" s="10" t="b">
        <f>tbl_MTG_Set[[#This Row],[Play Singles CardMarket Profit BotBox]]&gt;0</f>
        <v>0</v>
      </c>
      <c r="BQ185" s="10"/>
      <c r="BR185" s="10"/>
      <c r="BS185" s="10"/>
      <c r="BT1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5" s="19" t="e">
        <f>tbl_MTG_Set[[#This Row],[Collector Singles CardMarket Profit MTG Stocks]]/tbl_MTG_Set[[#This Row],[Collector Booster Cost]]</f>
        <v>#N/A</v>
      </c>
      <c r="BW185" s="10" t="b">
        <f>tbl_MTG_Set[[#This Row],[Collector Singles CardMarket Profit MTG Stocks]]&gt;0</f>
        <v>0</v>
      </c>
      <c r="BX185" s="10"/>
      <c r="BY185" s="10"/>
      <c r="BZ1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5" s="10" t="e">
        <f>tbl_MTG_Set[[#This Row],[Collector Singles CardMarket Profit BotBox]]/tbl_MTG_Set[[#This Row],[Collector Booster Cost]]</f>
        <v>#N/A</v>
      </c>
      <c r="CC185" s="10" t="b">
        <f>tbl_MTG_Set[[#This Row],[Collector Singles CardMarket Profit BotBox]]&gt;0</f>
        <v>0</v>
      </c>
      <c r="CD1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6" spans="1:86" hidden="1">
      <c r="A186">
        <v>205</v>
      </c>
      <c r="B186" t="s">
        <v>359</v>
      </c>
      <c r="C186">
        <v>81</v>
      </c>
      <c r="D186" s="3">
        <v>44960</v>
      </c>
      <c r="E186" t="s">
        <v>59</v>
      </c>
      <c r="F186" t="s">
        <v>174</v>
      </c>
      <c r="G186">
        <v>356</v>
      </c>
      <c r="H186">
        <f ca="1">MONTH(NOW())+12*YEAR(NOW())-MONTH(tbl_MTG_Set[[#This Row],[Released On]])-12*YEAR(tbl_MTG_Set[[#This Row],[Released On]])</f>
        <v>37</v>
      </c>
      <c r="I186">
        <f>_xlfn.XLOOKUP(tbl_MTG_Set[[#This Row],[Type Name]], tbl_MTG_Set_Type[Set Type], tbl_MTG_Set_Type[Index], "(Set Type not found)")</f>
        <v>1</v>
      </c>
      <c r="J186">
        <f>_xlfn.XLOOKUP(tbl_MTG_Set[[#This Row],[Type Name]], tbl_MTG_Set_Type[Set Type], tbl_MTG_Set_Type[Buy Window Month Start], "(Set Type not found)")</f>
        <v>18</v>
      </c>
      <c r="K186" s="3">
        <f>tbl_MTG_Set[[#This Row],[Released On]]+tbl_MTG_Set[[#This Row],[Buy Window Month Start]]*365.25/12</f>
        <v>45507.875</v>
      </c>
      <c r="L186">
        <f>_xlfn.XLOOKUP(tbl_MTG_Set[[#This Row],[Type Name]], tbl_MTG_Set_Type[Set Type], tbl_MTG_Set_Type[Buy Window Month End], "(Set Type not found)", 0, 1)</f>
        <v>24</v>
      </c>
      <c r="M186" s="3">
        <f>tbl_MTG_Set[[#This Row],[Released On]]+tbl_MTG_Set[[#This Row],[Buy Window Month End]]*365.25/12</f>
        <v>45690.5</v>
      </c>
      <c r="N186" s="3" t="b">
        <f ca="1">AND(NOW()&gt;=tbl_MTG_Set[[#This Row],[Buy Window Start]], NOW()&lt;=tbl_MTG_Set[[#This Row],[Buy Window End]])</f>
        <v>0</v>
      </c>
      <c r="O186">
        <f>_xlfn.XLOOKUP(tbl_MTG_Set[[#This Row],[Type Name]], tbl_MTG_Set_Type[Set Type], tbl_MTG_Set_Type[Heavy Printing Window Month Start], "(Set Type not found)", 0, 1)</f>
        <v>1</v>
      </c>
      <c r="P186" s="3">
        <f>tbl_MTG_Set[[#This Row],[Released On]]+tbl_MTG_Set[[#This Row],[Heavy Printing Window Month Start]]*365.25/12</f>
        <v>44990.4375</v>
      </c>
      <c r="Q186">
        <f>_xlfn.XLOOKUP(tbl_MTG_Set[[#This Row],[Type Name]], tbl_MTG_Set_Type[Set Type], tbl_MTG_Set_Type[Heavy Printing Window Month End], "(Set Type not found)", 0, 1)</f>
        <v>18</v>
      </c>
      <c r="R186" s="3">
        <f>tbl_MTG_Set[[#This Row],[Released On]]+tbl_MTG_Set[[#This Row],[Heavy Printing Window Month End]]*365.25/12</f>
        <v>45507.875</v>
      </c>
      <c r="S186" s="3" t="b">
        <f ca="1">AND(NOW()&gt;=tbl_MTG_Set[[#This Row],[Heavy Printing Window Start]], NOW()&lt;=tbl_MTG_Set[[#This Row],[Heavy Printing Window End]])</f>
        <v>0</v>
      </c>
      <c r="T186">
        <f>_xlfn.XLOOKUP(tbl_MTG_Set[[#This Row],[Type Name]], tbl_MTG_Set_Type[Set Type], tbl_MTG_Set_Type[Sell Window Month Start], "(Set Type not found)", 0, 1)</f>
        <v>36</v>
      </c>
      <c r="U186" s="3">
        <f>tbl_MTG_Set[[#This Row],[Released On]]+tbl_MTG_Set[[#This Row],[Sell Window Month Start]]*365.25/12</f>
        <v>46055.75</v>
      </c>
      <c r="V186">
        <f>_xlfn.XLOOKUP(tbl_MTG_Set[[#This Row],[Type Name]], tbl_MTG_Set_Type[Set Type], tbl_MTG_Set_Type[Sell Window Month End], "(Set Type not found)", 0, 1)</f>
        <v>48</v>
      </c>
      <c r="W186" s="3">
        <f>tbl_MTG_Set[[#This Row],[Released On]]+tbl_MTG_Set[[#This Row],[Sell Window Month End]]*365.25/12</f>
        <v>46421</v>
      </c>
      <c r="X186" s="3" t="b">
        <f ca="1">AND(NOW()&gt;=tbl_MTG_Set[[#This Row],[Sell Window Start]], NOW()&lt;=tbl_MTG_Set[[#This Row],[Sell Window End]])</f>
        <v>1</v>
      </c>
      <c r="AG186" s="10"/>
      <c r="AH186" s="10"/>
      <c r="AM186" s="10" t="str" cm="1">
        <f t="array" ref="AM1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6" s="10" t="str" cm="1">
        <f t="array" ref="AN1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6" s="4" t="e">
        <f>_xlfn.XLOOKUP(tbl_MTG_Set[[#This Row],[Play Booster Box Product Id]], tbl_Product[Product Id], tbl_Product[Pack Size])</f>
        <v>#N/A</v>
      </c>
      <c r="AP186" s="10" t="e">
        <f>(tbl_MTG_Set[[#This Row],[Play Booster Box Cost]]+v_Item_Shipping_Cost_In)/tbl_MTG_Set[[#This Row],[Play Booster Box Size]]</f>
        <v>#VALUE!</v>
      </c>
      <c r="AQ186" s="10" t="str" cm="1">
        <f t="array" ref="AQ1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6" s="10"/>
      <c r="AS186" s="10"/>
      <c r="AT186" s="17" t="e">
        <f>tbl_MTG_Set[[#This Row],[Play Booster CardMarket Profit]]/tbl_MTG_Set[[#This Row],[Play Booster Cost]]</f>
        <v>#VALUE!</v>
      </c>
      <c r="AU186" s="10" t="e">
        <f>_xlfn.XLOOKUP(tbl_MTG_Set[[#This Row],[Collector Booster Box Product Id]], tbl_Product[Product Id], tbl_Product[Min Cost])</f>
        <v>#N/A</v>
      </c>
      <c r="AV186" s="10" t="e">
        <f>_xlfn.XLOOKUP(tbl_MTG_Set[[#This Row],[Collector Booster Box Product Id]], tbl_Product[Product Id], tbl_Product[Best Source])</f>
        <v>#N/A</v>
      </c>
      <c r="AW186" s="4" t="e">
        <f>_xlfn.XLOOKUP(tbl_MTG_Set[[#This Row],[Collector Booster Box Product Id]], tbl_Product[Product Id], tbl_Product[Pack Size])</f>
        <v>#N/A</v>
      </c>
      <c r="AX186" s="10" t="e">
        <f>(tbl_MTG_Set[[#This Row],[Collector Booster Box Cost]] + v_Item_Shipping_Cost_In) / tbl_MTG_Set[[#This Row],[Collector Booster Box Size]]</f>
        <v>#N/A</v>
      </c>
      <c r="AY186" s="10" t="str" cm="1">
        <f t="array" ref="AY1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6" s="10"/>
      <c r="BA1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6" s="17" t="e">
        <f>tbl_MTG_Set[[#This Row],[Collector Booster CardMarket Profit]]/tbl_MTG_Set[[#This Row],[Collector Booster Cost]]</f>
        <v>#N/A</v>
      </c>
      <c r="BC186" s="10"/>
      <c r="BF1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6" s="11" t="e">
        <f>tbl_MTG_Set[[#This Row],[Play Singles CardMarket Profit MTG Stocks]]/tbl_MTG_Set[[#This Row],[Play Booster Cost]]</f>
        <v>#VALUE!</v>
      </c>
      <c r="BI186" s="11" t="b">
        <f>tbl_MTG_Set[[#This Row],[Play Singles CardMarket Profit MTG Stocks]]&gt;0</f>
        <v>0</v>
      </c>
      <c r="BM186" s="10" t="e">
        <f>tbl_MTG_Set[[#This Row],[Play Booster Sell Price CardMarket]]*tbl_MTG_Set[[#This Row],[Play Booster Expected Market Value BotBox]]/tbl_MTG_Set[[#This Row],[Play Booster Sealed Market Value BotBox]]</f>
        <v>#VALUE!</v>
      </c>
      <c r="BN1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6" s="10" t="e">
        <f>tbl_MTG_Set[[#This Row],[Play Singles CardMarket Profit BotBox]]/tbl_MTG_Set[[#This Row],[Play Booster Cost]]</f>
        <v>#VALUE!</v>
      </c>
      <c r="BP186" s="10" t="b">
        <f>tbl_MTG_Set[[#This Row],[Play Singles CardMarket Profit BotBox]]&gt;0</f>
        <v>0</v>
      </c>
      <c r="BQ186" s="10"/>
      <c r="BR186" s="10"/>
      <c r="BS186" s="10"/>
      <c r="BT1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6" s="19" t="e">
        <f>tbl_MTG_Set[[#This Row],[Collector Singles CardMarket Profit MTG Stocks]]/tbl_MTG_Set[[#This Row],[Collector Booster Cost]]</f>
        <v>#N/A</v>
      </c>
      <c r="BW186" s="10" t="b">
        <f>tbl_MTG_Set[[#This Row],[Collector Singles CardMarket Profit MTG Stocks]]&gt;0</f>
        <v>0</v>
      </c>
      <c r="BX186" s="10"/>
      <c r="BY186" s="10"/>
      <c r="BZ1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6" s="10" t="e">
        <f>tbl_MTG_Set[[#This Row],[Collector Singles CardMarket Profit BotBox]]/tbl_MTG_Set[[#This Row],[Collector Booster Cost]]</f>
        <v>#N/A</v>
      </c>
      <c r="CC186" s="10" t="b">
        <f>tbl_MTG_Set[[#This Row],[Collector Singles CardMarket Profit BotBox]]&gt;0</f>
        <v>0</v>
      </c>
      <c r="CD1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7" spans="1:86" hidden="1">
      <c r="A187">
        <v>206</v>
      </c>
      <c r="B187" t="s">
        <v>360</v>
      </c>
      <c r="C187">
        <v>5</v>
      </c>
      <c r="D187" s="3">
        <v>44960</v>
      </c>
      <c r="E187" t="s">
        <v>59</v>
      </c>
      <c r="F187" t="s">
        <v>174</v>
      </c>
      <c r="G187">
        <v>358</v>
      </c>
      <c r="H187">
        <f ca="1">MONTH(NOW())+12*YEAR(NOW())-MONTH(tbl_MTG_Set[[#This Row],[Released On]])-12*YEAR(tbl_MTG_Set[[#This Row],[Released On]])</f>
        <v>37</v>
      </c>
      <c r="I187">
        <f>_xlfn.XLOOKUP(tbl_MTG_Set[[#This Row],[Type Name]], tbl_MTG_Set_Type[Set Type], tbl_MTG_Set_Type[Index], "(Set Type not found)")</f>
        <v>1</v>
      </c>
      <c r="J187">
        <f>_xlfn.XLOOKUP(tbl_MTG_Set[[#This Row],[Type Name]], tbl_MTG_Set_Type[Set Type], tbl_MTG_Set_Type[Buy Window Month Start], "(Set Type not found)")</f>
        <v>18</v>
      </c>
      <c r="K187" s="3">
        <f>tbl_MTG_Set[[#This Row],[Released On]]+tbl_MTG_Set[[#This Row],[Buy Window Month Start]]*365.25/12</f>
        <v>45507.875</v>
      </c>
      <c r="L187">
        <f>_xlfn.XLOOKUP(tbl_MTG_Set[[#This Row],[Type Name]], tbl_MTG_Set_Type[Set Type], tbl_MTG_Set_Type[Buy Window Month End], "(Set Type not found)", 0, 1)</f>
        <v>24</v>
      </c>
      <c r="M187" s="3">
        <f>tbl_MTG_Set[[#This Row],[Released On]]+tbl_MTG_Set[[#This Row],[Buy Window Month End]]*365.25/12</f>
        <v>45690.5</v>
      </c>
      <c r="N187" s="3" t="b">
        <f ca="1">AND(NOW()&gt;=tbl_MTG_Set[[#This Row],[Buy Window Start]], NOW()&lt;=tbl_MTG_Set[[#This Row],[Buy Window End]])</f>
        <v>0</v>
      </c>
      <c r="O187">
        <f>_xlfn.XLOOKUP(tbl_MTG_Set[[#This Row],[Type Name]], tbl_MTG_Set_Type[Set Type], tbl_MTG_Set_Type[Heavy Printing Window Month Start], "(Set Type not found)", 0, 1)</f>
        <v>1</v>
      </c>
      <c r="P187" s="3">
        <f>tbl_MTG_Set[[#This Row],[Released On]]+tbl_MTG_Set[[#This Row],[Heavy Printing Window Month Start]]*365.25/12</f>
        <v>44990.4375</v>
      </c>
      <c r="Q187">
        <f>_xlfn.XLOOKUP(tbl_MTG_Set[[#This Row],[Type Name]], tbl_MTG_Set_Type[Set Type], tbl_MTG_Set_Type[Heavy Printing Window Month End], "(Set Type not found)", 0, 1)</f>
        <v>18</v>
      </c>
      <c r="R187" s="3">
        <f>tbl_MTG_Set[[#This Row],[Released On]]+tbl_MTG_Set[[#This Row],[Heavy Printing Window Month End]]*365.25/12</f>
        <v>45507.875</v>
      </c>
      <c r="S187" s="3" t="b">
        <f ca="1">AND(NOW()&gt;=tbl_MTG_Set[[#This Row],[Heavy Printing Window Start]], NOW()&lt;=tbl_MTG_Set[[#This Row],[Heavy Printing Window End]])</f>
        <v>0</v>
      </c>
      <c r="T187">
        <f>_xlfn.XLOOKUP(tbl_MTG_Set[[#This Row],[Type Name]], tbl_MTG_Set_Type[Set Type], tbl_MTG_Set_Type[Sell Window Month Start], "(Set Type not found)", 0, 1)</f>
        <v>36</v>
      </c>
      <c r="U187" s="3">
        <f>tbl_MTG_Set[[#This Row],[Released On]]+tbl_MTG_Set[[#This Row],[Sell Window Month Start]]*365.25/12</f>
        <v>46055.75</v>
      </c>
      <c r="V187">
        <f>_xlfn.XLOOKUP(tbl_MTG_Set[[#This Row],[Type Name]], tbl_MTG_Set_Type[Set Type], tbl_MTG_Set_Type[Sell Window Month End], "(Set Type not found)", 0, 1)</f>
        <v>48</v>
      </c>
      <c r="W187" s="3">
        <f>tbl_MTG_Set[[#This Row],[Released On]]+tbl_MTG_Set[[#This Row],[Sell Window Month End]]*365.25/12</f>
        <v>46421</v>
      </c>
      <c r="X187" s="3" t="b">
        <f ca="1">AND(NOW()&gt;=tbl_MTG_Set[[#This Row],[Sell Window Start]], NOW()&lt;=tbl_MTG_Set[[#This Row],[Sell Window End]])</f>
        <v>1</v>
      </c>
      <c r="AG187" s="10"/>
      <c r="AH187" s="10"/>
      <c r="AM187" s="10" t="str" cm="1">
        <f t="array" ref="AM1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7" s="10" t="str" cm="1">
        <f t="array" ref="AN1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7" s="4" t="e">
        <f>_xlfn.XLOOKUP(tbl_MTG_Set[[#This Row],[Play Booster Box Product Id]], tbl_Product[Product Id], tbl_Product[Pack Size])</f>
        <v>#N/A</v>
      </c>
      <c r="AP187" s="10" t="e">
        <f>(tbl_MTG_Set[[#This Row],[Play Booster Box Cost]]+v_Item_Shipping_Cost_In)/tbl_MTG_Set[[#This Row],[Play Booster Box Size]]</f>
        <v>#VALUE!</v>
      </c>
      <c r="AQ187" s="10" t="str" cm="1">
        <f t="array" ref="AQ1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7" s="10"/>
      <c r="AS187" s="10"/>
      <c r="AT187" s="17" t="e">
        <f>tbl_MTG_Set[[#This Row],[Play Booster CardMarket Profit]]/tbl_MTG_Set[[#This Row],[Play Booster Cost]]</f>
        <v>#VALUE!</v>
      </c>
      <c r="AU187" s="10" t="e">
        <f>_xlfn.XLOOKUP(tbl_MTG_Set[[#This Row],[Collector Booster Box Product Id]], tbl_Product[Product Id], tbl_Product[Min Cost])</f>
        <v>#N/A</v>
      </c>
      <c r="AV187" s="10" t="e">
        <f>_xlfn.XLOOKUP(tbl_MTG_Set[[#This Row],[Collector Booster Box Product Id]], tbl_Product[Product Id], tbl_Product[Best Source])</f>
        <v>#N/A</v>
      </c>
      <c r="AW187" s="4" t="e">
        <f>_xlfn.XLOOKUP(tbl_MTG_Set[[#This Row],[Collector Booster Box Product Id]], tbl_Product[Product Id], tbl_Product[Pack Size])</f>
        <v>#N/A</v>
      </c>
      <c r="AX187" s="10" t="e">
        <f>(tbl_MTG_Set[[#This Row],[Collector Booster Box Cost]] + v_Item_Shipping_Cost_In) / tbl_MTG_Set[[#This Row],[Collector Booster Box Size]]</f>
        <v>#N/A</v>
      </c>
      <c r="AY187" s="10" t="str" cm="1">
        <f t="array" ref="AY1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7" s="10"/>
      <c r="BA1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7" s="17" t="e">
        <f>tbl_MTG_Set[[#This Row],[Collector Booster CardMarket Profit]]/tbl_MTG_Set[[#This Row],[Collector Booster Cost]]</f>
        <v>#N/A</v>
      </c>
      <c r="BC187" s="10"/>
      <c r="BF1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7" s="11" t="e">
        <f>tbl_MTG_Set[[#This Row],[Play Singles CardMarket Profit MTG Stocks]]/tbl_MTG_Set[[#This Row],[Play Booster Cost]]</f>
        <v>#VALUE!</v>
      </c>
      <c r="BI187" s="11" t="b">
        <f>tbl_MTG_Set[[#This Row],[Play Singles CardMarket Profit MTG Stocks]]&gt;0</f>
        <v>0</v>
      </c>
      <c r="BM187" s="10" t="e">
        <f>tbl_MTG_Set[[#This Row],[Play Booster Sell Price CardMarket]]*tbl_MTG_Set[[#This Row],[Play Booster Expected Market Value BotBox]]/tbl_MTG_Set[[#This Row],[Play Booster Sealed Market Value BotBox]]</f>
        <v>#VALUE!</v>
      </c>
      <c r="BN1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7" s="10" t="e">
        <f>tbl_MTG_Set[[#This Row],[Play Singles CardMarket Profit BotBox]]/tbl_MTG_Set[[#This Row],[Play Booster Cost]]</f>
        <v>#VALUE!</v>
      </c>
      <c r="BP187" s="10" t="b">
        <f>tbl_MTG_Set[[#This Row],[Play Singles CardMarket Profit BotBox]]&gt;0</f>
        <v>0</v>
      </c>
      <c r="BQ187" s="10"/>
      <c r="BR187" s="10"/>
      <c r="BS187" s="10"/>
      <c r="BT1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7" s="19" t="e">
        <f>tbl_MTG_Set[[#This Row],[Collector Singles CardMarket Profit MTG Stocks]]/tbl_MTG_Set[[#This Row],[Collector Booster Cost]]</f>
        <v>#N/A</v>
      </c>
      <c r="BW187" s="10" t="b">
        <f>tbl_MTG_Set[[#This Row],[Collector Singles CardMarket Profit MTG Stocks]]&gt;0</f>
        <v>0</v>
      </c>
      <c r="BX187" s="10"/>
      <c r="BY187" s="10"/>
      <c r="BZ1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7" s="10" t="e">
        <f>tbl_MTG_Set[[#This Row],[Collector Singles CardMarket Profit BotBox]]/tbl_MTG_Set[[#This Row],[Collector Booster Cost]]</f>
        <v>#N/A</v>
      </c>
      <c r="CC187" s="10" t="b">
        <f>tbl_MTG_Set[[#This Row],[Collector Singles CardMarket Profit BotBox]]&gt;0</f>
        <v>0</v>
      </c>
      <c r="CD1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8" spans="1:86" hidden="1">
      <c r="A188">
        <v>207</v>
      </c>
      <c r="B188" t="s">
        <v>361</v>
      </c>
      <c r="C188">
        <v>6</v>
      </c>
      <c r="D188" s="3">
        <v>44953</v>
      </c>
      <c r="E188" t="s">
        <v>59</v>
      </c>
      <c r="F188" t="s">
        <v>174</v>
      </c>
      <c r="G188">
        <v>360</v>
      </c>
      <c r="H188">
        <f ca="1">MONTH(NOW())+12*YEAR(NOW())-MONTH(tbl_MTG_Set[[#This Row],[Released On]])-12*YEAR(tbl_MTG_Set[[#This Row],[Released On]])</f>
        <v>38</v>
      </c>
      <c r="I188">
        <f>_xlfn.XLOOKUP(tbl_MTG_Set[[#This Row],[Type Name]], tbl_MTG_Set_Type[Set Type], tbl_MTG_Set_Type[Index], "(Set Type not found)")</f>
        <v>1</v>
      </c>
      <c r="J188">
        <f>_xlfn.XLOOKUP(tbl_MTG_Set[[#This Row],[Type Name]], tbl_MTG_Set_Type[Set Type], tbl_MTG_Set_Type[Buy Window Month Start], "(Set Type not found)")</f>
        <v>18</v>
      </c>
      <c r="K188" s="3">
        <f>tbl_MTG_Set[[#This Row],[Released On]]+tbl_MTG_Set[[#This Row],[Buy Window Month Start]]*365.25/12</f>
        <v>45500.875</v>
      </c>
      <c r="L188">
        <f>_xlfn.XLOOKUP(tbl_MTG_Set[[#This Row],[Type Name]], tbl_MTG_Set_Type[Set Type], tbl_MTG_Set_Type[Buy Window Month End], "(Set Type not found)", 0, 1)</f>
        <v>24</v>
      </c>
      <c r="M188" s="3">
        <f>tbl_MTG_Set[[#This Row],[Released On]]+tbl_MTG_Set[[#This Row],[Buy Window Month End]]*365.25/12</f>
        <v>45683.5</v>
      </c>
      <c r="N188" s="3" t="b">
        <f ca="1">AND(NOW()&gt;=tbl_MTG_Set[[#This Row],[Buy Window Start]], NOW()&lt;=tbl_MTG_Set[[#This Row],[Buy Window End]])</f>
        <v>0</v>
      </c>
      <c r="O188">
        <f>_xlfn.XLOOKUP(tbl_MTG_Set[[#This Row],[Type Name]], tbl_MTG_Set_Type[Set Type], tbl_MTG_Set_Type[Heavy Printing Window Month Start], "(Set Type not found)", 0, 1)</f>
        <v>1</v>
      </c>
      <c r="P188" s="3">
        <f>tbl_MTG_Set[[#This Row],[Released On]]+tbl_MTG_Set[[#This Row],[Heavy Printing Window Month Start]]*365.25/12</f>
        <v>44983.4375</v>
      </c>
      <c r="Q188">
        <f>_xlfn.XLOOKUP(tbl_MTG_Set[[#This Row],[Type Name]], tbl_MTG_Set_Type[Set Type], tbl_MTG_Set_Type[Heavy Printing Window Month End], "(Set Type not found)", 0, 1)</f>
        <v>18</v>
      </c>
      <c r="R188" s="3">
        <f>tbl_MTG_Set[[#This Row],[Released On]]+tbl_MTG_Set[[#This Row],[Heavy Printing Window Month End]]*365.25/12</f>
        <v>45500.875</v>
      </c>
      <c r="S188" s="3" t="b">
        <f ca="1">AND(NOW()&gt;=tbl_MTG_Set[[#This Row],[Heavy Printing Window Start]], NOW()&lt;=tbl_MTG_Set[[#This Row],[Heavy Printing Window End]])</f>
        <v>0</v>
      </c>
      <c r="T188">
        <f>_xlfn.XLOOKUP(tbl_MTG_Set[[#This Row],[Type Name]], tbl_MTG_Set_Type[Set Type], tbl_MTG_Set_Type[Sell Window Month Start], "(Set Type not found)", 0, 1)</f>
        <v>36</v>
      </c>
      <c r="U188" s="3">
        <f>tbl_MTG_Set[[#This Row],[Released On]]+tbl_MTG_Set[[#This Row],[Sell Window Month Start]]*365.25/12</f>
        <v>46048.75</v>
      </c>
      <c r="V188">
        <f>_xlfn.XLOOKUP(tbl_MTG_Set[[#This Row],[Type Name]], tbl_MTG_Set_Type[Set Type], tbl_MTG_Set_Type[Sell Window Month End], "(Set Type not found)", 0, 1)</f>
        <v>48</v>
      </c>
      <c r="W188" s="3">
        <f>tbl_MTG_Set[[#This Row],[Released On]]+tbl_MTG_Set[[#This Row],[Sell Window Month End]]*365.25/12</f>
        <v>46414</v>
      </c>
      <c r="X188" s="3" t="b">
        <f ca="1">AND(NOW()&gt;=tbl_MTG_Set[[#This Row],[Sell Window Start]], NOW()&lt;=tbl_MTG_Set[[#This Row],[Sell Window End]])</f>
        <v>1</v>
      </c>
      <c r="AG188" s="10"/>
      <c r="AH188" s="10"/>
      <c r="AM188" s="10" t="str" cm="1">
        <f t="array" ref="AM1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8" s="10" t="str" cm="1">
        <f t="array" ref="AN1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8" s="4" t="e">
        <f>_xlfn.XLOOKUP(tbl_MTG_Set[[#This Row],[Play Booster Box Product Id]], tbl_Product[Product Id], tbl_Product[Pack Size])</f>
        <v>#N/A</v>
      </c>
      <c r="AP188" s="10" t="e">
        <f>(tbl_MTG_Set[[#This Row],[Play Booster Box Cost]]+v_Item_Shipping_Cost_In)/tbl_MTG_Set[[#This Row],[Play Booster Box Size]]</f>
        <v>#VALUE!</v>
      </c>
      <c r="AQ188" s="10" t="str" cm="1">
        <f t="array" ref="AQ1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8" s="10"/>
      <c r="AS188" s="10"/>
      <c r="AT188" s="17" t="e">
        <f>tbl_MTG_Set[[#This Row],[Play Booster CardMarket Profit]]/tbl_MTG_Set[[#This Row],[Play Booster Cost]]</f>
        <v>#VALUE!</v>
      </c>
      <c r="AU188" s="10" t="e">
        <f>_xlfn.XLOOKUP(tbl_MTG_Set[[#This Row],[Collector Booster Box Product Id]], tbl_Product[Product Id], tbl_Product[Min Cost])</f>
        <v>#N/A</v>
      </c>
      <c r="AV188" s="10" t="e">
        <f>_xlfn.XLOOKUP(tbl_MTG_Set[[#This Row],[Collector Booster Box Product Id]], tbl_Product[Product Id], tbl_Product[Best Source])</f>
        <v>#N/A</v>
      </c>
      <c r="AW188" s="4" t="e">
        <f>_xlfn.XLOOKUP(tbl_MTG_Set[[#This Row],[Collector Booster Box Product Id]], tbl_Product[Product Id], tbl_Product[Pack Size])</f>
        <v>#N/A</v>
      </c>
      <c r="AX188" s="10" t="e">
        <f>(tbl_MTG_Set[[#This Row],[Collector Booster Box Cost]] + v_Item_Shipping_Cost_In) / tbl_MTG_Set[[#This Row],[Collector Booster Box Size]]</f>
        <v>#N/A</v>
      </c>
      <c r="AY188" s="10" t="str" cm="1">
        <f t="array" ref="AY1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8" s="10"/>
      <c r="BA1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8" s="17" t="e">
        <f>tbl_MTG_Set[[#This Row],[Collector Booster CardMarket Profit]]/tbl_MTG_Set[[#This Row],[Collector Booster Cost]]</f>
        <v>#N/A</v>
      </c>
      <c r="BC188" s="10"/>
      <c r="BF1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8" s="11" t="e">
        <f>tbl_MTG_Set[[#This Row],[Play Singles CardMarket Profit MTG Stocks]]/tbl_MTG_Set[[#This Row],[Play Booster Cost]]</f>
        <v>#VALUE!</v>
      </c>
      <c r="BI188" s="11" t="b">
        <f>tbl_MTG_Set[[#This Row],[Play Singles CardMarket Profit MTG Stocks]]&gt;0</f>
        <v>0</v>
      </c>
      <c r="BM188" s="10" t="e">
        <f>tbl_MTG_Set[[#This Row],[Play Booster Sell Price CardMarket]]*tbl_MTG_Set[[#This Row],[Play Booster Expected Market Value BotBox]]/tbl_MTG_Set[[#This Row],[Play Booster Sealed Market Value BotBox]]</f>
        <v>#VALUE!</v>
      </c>
      <c r="BN1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8" s="10" t="e">
        <f>tbl_MTG_Set[[#This Row],[Play Singles CardMarket Profit BotBox]]/tbl_MTG_Set[[#This Row],[Play Booster Cost]]</f>
        <v>#VALUE!</v>
      </c>
      <c r="BP188" s="10" t="b">
        <f>tbl_MTG_Set[[#This Row],[Play Singles CardMarket Profit BotBox]]&gt;0</f>
        <v>0</v>
      </c>
      <c r="BQ188" s="10"/>
      <c r="BR188" s="10"/>
      <c r="BS188" s="10"/>
      <c r="BT1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8" s="19" t="e">
        <f>tbl_MTG_Set[[#This Row],[Collector Singles CardMarket Profit MTG Stocks]]/tbl_MTG_Set[[#This Row],[Collector Booster Cost]]</f>
        <v>#N/A</v>
      </c>
      <c r="BW188" s="10" t="b">
        <f>tbl_MTG_Set[[#This Row],[Collector Singles CardMarket Profit MTG Stocks]]&gt;0</f>
        <v>0</v>
      </c>
      <c r="BX188" s="10"/>
      <c r="BY188" s="10"/>
      <c r="BZ1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8" s="10" t="e">
        <f>tbl_MTG_Set[[#This Row],[Collector Singles CardMarket Profit BotBox]]/tbl_MTG_Set[[#This Row],[Collector Booster Cost]]</f>
        <v>#N/A</v>
      </c>
      <c r="CC188" s="10" t="b">
        <f>tbl_MTG_Set[[#This Row],[Collector Singles CardMarket Profit BotBox]]&gt;0</f>
        <v>0</v>
      </c>
      <c r="CD1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89" spans="1:86" hidden="1">
      <c r="A189">
        <v>208</v>
      </c>
      <c r="B189" t="s">
        <v>362</v>
      </c>
      <c r="C189">
        <v>457</v>
      </c>
      <c r="D189" s="3">
        <v>44939</v>
      </c>
      <c r="E189" t="s">
        <v>59</v>
      </c>
      <c r="F189" t="s">
        <v>174</v>
      </c>
      <c r="G189">
        <v>362</v>
      </c>
      <c r="H189">
        <f ca="1">MONTH(NOW())+12*YEAR(NOW())-MONTH(tbl_MTG_Set[[#This Row],[Released On]])-12*YEAR(tbl_MTG_Set[[#This Row],[Released On]])</f>
        <v>38</v>
      </c>
      <c r="I189">
        <f>_xlfn.XLOOKUP(tbl_MTG_Set[[#This Row],[Type Name]], tbl_MTG_Set_Type[Set Type], tbl_MTG_Set_Type[Index], "(Set Type not found)")</f>
        <v>1</v>
      </c>
      <c r="J189">
        <f>_xlfn.XLOOKUP(tbl_MTG_Set[[#This Row],[Type Name]], tbl_MTG_Set_Type[Set Type], tbl_MTG_Set_Type[Buy Window Month Start], "(Set Type not found)")</f>
        <v>18</v>
      </c>
      <c r="K189" s="3">
        <f>tbl_MTG_Set[[#This Row],[Released On]]+tbl_MTG_Set[[#This Row],[Buy Window Month Start]]*365.25/12</f>
        <v>45486.875</v>
      </c>
      <c r="L189">
        <f>_xlfn.XLOOKUP(tbl_MTG_Set[[#This Row],[Type Name]], tbl_MTG_Set_Type[Set Type], tbl_MTG_Set_Type[Buy Window Month End], "(Set Type not found)", 0, 1)</f>
        <v>24</v>
      </c>
      <c r="M189" s="3">
        <f>tbl_MTG_Set[[#This Row],[Released On]]+tbl_MTG_Set[[#This Row],[Buy Window Month End]]*365.25/12</f>
        <v>45669.5</v>
      </c>
      <c r="N189" s="3" t="b">
        <f ca="1">AND(NOW()&gt;=tbl_MTG_Set[[#This Row],[Buy Window Start]], NOW()&lt;=tbl_MTG_Set[[#This Row],[Buy Window End]])</f>
        <v>0</v>
      </c>
      <c r="O189">
        <f>_xlfn.XLOOKUP(tbl_MTG_Set[[#This Row],[Type Name]], tbl_MTG_Set_Type[Set Type], tbl_MTG_Set_Type[Heavy Printing Window Month Start], "(Set Type not found)", 0, 1)</f>
        <v>1</v>
      </c>
      <c r="P189" s="3">
        <f>tbl_MTG_Set[[#This Row],[Released On]]+tbl_MTG_Set[[#This Row],[Heavy Printing Window Month Start]]*365.25/12</f>
        <v>44969.4375</v>
      </c>
      <c r="Q189">
        <f>_xlfn.XLOOKUP(tbl_MTG_Set[[#This Row],[Type Name]], tbl_MTG_Set_Type[Set Type], tbl_MTG_Set_Type[Heavy Printing Window Month End], "(Set Type not found)", 0, 1)</f>
        <v>18</v>
      </c>
      <c r="R189" s="3">
        <f>tbl_MTG_Set[[#This Row],[Released On]]+tbl_MTG_Set[[#This Row],[Heavy Printing Window Month End]]*365.25/12</f>
        <v>45486.875</v>
      </c>
      <c r="S189" s="3" t="b">
        <f ca="1">AND(NOW()&gt;=tbl_MTG_Set[[#This Row],[Heavy Printing Window Start]], NOW()&lt;=tbl_MTG_Set[[#This Row],[Heavy Printing Window End]])</f>
        <v>0</v>
      </c>
      <c r="T189">
        <f>_xlfn.XLOOKUP(tbl_MTG_Set[[#This Row],[Type Name]], tbl_MTG_Set_Type[Set Type], tbl_MTG_Set_Type[Sell Window Month Start], "(Set Type not found)", 0, 1)</f>
        <v>36</v>
      </c>
      <c r="U189" s="3">
        <f>tbl_MTG_Set[[#This Row],[Released On]]+tbl_MTG_Set[[#This Row],[Sell Window Month Start]]*365.25/12</f>
        <v>46034.75</v>
      </c>
      <c r="V189">
        <f>_xlfn.XLOOKUP(tbl_MTG_Set[[#This Row],[Type Name]], tbl_MTG_Set_Type[Set Type], tbl_MTG_Set_Type[Sell Window Month End], "(Set Type not found)", 0, 1)</f>
        <v>48</v>
      </c>
      <c r="W189" s="3">
        <f>tbl_MTG_Set[[#This Row],[Released On]]+tbl_MTG_Set[[#This Row],[Sell Window Month End]]*365.25/12</f>
        <v>46400</v>
      </c>
      <c r="X189" s="3" t="b">
        <f ca="1">AND(NOW()&gt;=tbl_MTG_Set[[#This Row],[Sell Window Start]], NOW()&lt;=tbl_MTG_Set[[#This Row],[Sell Window End]])</f>
        <v>1</v>
      </c>
      <c r="AG189" s="10"/>
      <c r="AH189" s="10"/>
      <c r="AM189" s="10" t="str" cm="1">
        <f t="array" ref="AM1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89" s="10" t="str" cm="1">
        <f t="array" ref="AN1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89" s="4" t="e">
        <f>_xlfn.XLOOKUP(tbl_MTG_Set[[#This Row],[Play Booster Box Product Id]], tbl_Product[Product Id], tbl_Product[Pack Size])</f>
        <v>#N/A</v>
      </c>
      <c r="AP189" s="10" t="e">
        <f>(tbl_MTG_Set[[#This Row],[Play Booster Box Cost]]+v_Item_Shipping_Cost_In)/tbl_MTG_Set[[#This Row],[Play Booster Box Size]]</f>
        <v>#VALUE!</v>
      </c>
      <c r="AQ189" s="10" t="str" cm="1">
        <f t="array" ref="AQ1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89" s="10"/>
      <c r="AS189" s="10"/>
      <c r="AT189" s="17" t="e">
        <f>tbl_MTG_Set[[#This Row],[Play Booster CardMarket Profit]]/tbl_MTG_Set[[#This Row],[Play Booster Cost]]</f>
        <v>#VALUE!</v>
      </c>
      <c r="AU189" s="10" t="e">
        <f>_xlfn.XLOOKUP(tbl_MTG_Set[[#This Row],[Collector Booster Box Product Id]], tbl_Product[Product Id], tbl_Product[Min Cost])</f>
        <v>#N/A</v>
      </c>
      <c r="AV189" s="10" t="e">
        <f>_xlfn.XLOOKUP(tbl_MTG_Set[[#This Row],[Collector Booster Box Product Id]], tbl_Product[Product Id], tbl_Product[Best Source])</f>
        <v>#N/A</v>
      </c>
      <c r="AW189" s="4" t="e">
        <f>_xlfn.XLOOKUP(tbl_MTG_Set[[#This Row],[Collector Booster Box Product Id]], tbl_Product[Product Id], tbl_Product[Pack Size])</f>
        <v>#N/A</v>
      </c>
      <c r="AX189" s="10" t="e">
        <f>(tbl_MTG_Set[[#This Row],[Collector Booster Box Cost]] + v_Item_Shipping_Cost_In) / tbl_MTG_Set[[#This Row],[Collector Booster Box Size]]</f>
        <v>#N/A</v>
      </c>
      <c r="AY189" s="10" t="str" cm="1">
        <f t="array" ref="AY1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89" s="10"/>
      <c r="BA1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89" s="17" t="e">
        <f>tbl_MTG_Set[[#This Row],[Collector Booster CardMarket Profit]]/tbl_MTG_Set[[#This Row],[Collector Booster Cost]]</f>
        <v>#N/A</v>
      </c>
      <c r="BC189" s="10"/>
      <c r="BF1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89" s="11" t="e">
        <f>tbl_MTG_Set[[#This Row],[Play Singles CardMarket Profit MTG Stocks]]/tbl_MTG_Set[[#This Row],[Play Booster Cost]]</f>
        <v>#VALUE!</v>
      </c>
      <c r="BI189" s="11" t="b">
        <f>tbl_MTG_Set[[#This Row],[Play Singles CardMarket Profit MTG Stocks]]&gt;0</f>
        <v>0</v>
      </c>
      <c r="BM189" s="10" t="e">
        <f>tbl_MTG_Set[[#This Row],[Play Booster Sell Price CardMarket]]*tbl_MTG_Set[[#This Row],[Play Booster Expected Market Value BotBox]]/tbl_MTG_Set[[#This Row],[Play Booster Sealed Market Value BotBox]]</f>
        <v>#VALUE!</v>
      </c>
      <c r="BN1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89" s="10" t="e">
        <f>tbl_MTG_Set[[#This Row],[Play Singles CardMarket Profit BotBox]]/tbl_MTG_Set[[#This Row],[Play Booster Cost]]</f>
        <v>#VALUE!</v>
      </c>
      <c r="BP189" s="10" t="b">
        <f>tbl_MTG_Set[[#This Row],[Play Singles CardMarket Profit BotBox]]&gt;0</f>
        <v>0</v>
      </c>
      <c r="BQ189" s="10"/>
      <c r="BR189" s="10"/>
      <c r="BS189" s="10"/>
      <c r="BT1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89" s="19" t="e">
        <f>tbl_MTG_Set[[#This Row],[Collector Singles CardMarket Profit MTG Stocks]]/tbl_MTG_Set[[#This Row],[Collector Booster Cost]]</f>
        <v>#N/A</v>
      </c>
      <c r="BW189" s="10" t="b">
        <f>tbl_MTG_Set[[#This Row],[Collector Singles CardMarket Profit MTG Stocks]]&gt;0</f>
        <v>0</v>
      </c>
      <c r="BX189" s="10"/>
      <c r="BY189" s="10"/>
      <c r="BZ1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89" s="10" t="e">
        <f>tbl_MTG_Set[[#This Row],[Collector Singles CardMarket Profit BotBox]]/tbl_MTG_Set[[#This Row],[Collector Booster Cost]]</f>
        <v>#N/A</v>
      </c>
      <c r="CC189" s="10" t="b">
        <f>tbl_MTG_Set[[#This Row],[Collector Singles CardMarket Profit BotBox]]&gt;0</f>
        <v>0</v>
      </c>
      <c r="CD1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0" spans="1:86" hidden="1">
      <c r="A190">
        <v>209</v>
      </c>
      <c r="B190" t="s">
        <v>363</v>
      </c>
      <c r="C190">
        <v>14</v>
      </c>
      <c r="D190" s="3">
        <v>44939</v>
      </c>
      <c r="E190" t="s">
        <v>59</v>
      </c>
      <c r="F190" t="s">
        <v>174</v>
      </c>
      <c r="G190">
        <v>364</v>
      </c>
      <c r="H190">
        <f ca="1">MONTH(NOW())+12*YEAR(NOW())-MONTH(tbl_MTG_Set[[#This Row],[Released On]])-12*YEAR(tbl_MTG_Set[[#This Row],[Released On]])</f>
        <v>38</v>
      </c>
      <c r="I190">
        <f>_xlfn.XLOOKUP(tbl_MTG_Set[[#This Row],[Type Name]], tbl_MTG_Set_Type[Set Type], tbl_MTG_Set_Type[Index], "(Set Type not found)")</f>
        <v>1</v>
      </c>
      <c r="J190">
        <f>_xlfn.XLOOKUP(tbl_MTG_Set[[#This Row],[Type Name]], tbl_MTG_Set_Type[Set Type], tbl_MTG_Set_Type[Buy Window Month Start], "(Set Type not found)")</f>
        <v>18</v>
      </c>
      <c r="K190" s="3">
        <f>tbl_MTG_Set[[#This Row],[Released On]]+tbl_MTG_Set[[#This Row],[Buy Window Month Start]]*365.25/12</f>
        <v>45486.875</v>
      </c>
      <c r="L190">
        <f>_xlfn.XLOOKUP(tbl_MTG_Set[[#This Row],[Type Name]], tbl_MTG_Set_Type[Set Type], tbl_MTG_Set_Type[Buy Window Month End], "(Set Type not found)", 0, 1)</f>
        <v>24</v>
      </c>
      <c r="M190" s="3">
        <f>tbl_MTG_Set[[#This Row],[Released On]]+tbl_MTG_Set[[#This Row],[Buy Window Month End]]*365.25/12</f>
        <v>45669.5</v>
      </c>
      <c r="N190" s="3" t="b">
        <f ca="1">AND(NOW()&gt;=tbl_MTG_Set[[#This Row],[Buy Window Start]], NOW()&lt;=tbl_MTG_Set[[#This Row],[Buy Window End]])</f>
        <v>0</v>
      </c>
      <c r="O190">
        <f>_xlfn.XLOOKUP(tbl_MTG_Set[[#This Row],[Type Name]], tbl_MTG_Set_Type[Set Type], tbl_MTG_Set_Type[Heavy Printing Window Month Start], "(Set Type not found)", 0, 1)</f>
        <v>1</v>
      </c>
      <c r="P190" s="3">
        <f>tbl_MTG_Set[[#This Row],[Released On]]+tbl_MTG_Set[[#This Row],[Heavy Printing Window Month Start]]*365.25/12</f>
        <v>44969.4375</v>
      </c>
      <c r="Q190">
        <f>_xlfn.XLOOKUP(tbl_MTG_Set[[#This Row],[Type Name]], tbl_MTG_Set_Type[Set Type], tbl_MTG_Set_Type[Heavy Printing Window Month End], "(Set Type not found)", 0, 1)</f>
        <v>18</v>
      </c>
      <c r="R190" s="3">
        <f>tbl_MTG_Set[[#This Row],[Released On]]+tbl_MTG_Set[[#This Row],[Heavy Printing Window Month End]]*365.25/12</f>
        <v>45486.875</v>
      </c>
      <c r="S190" s="3" t="b">
        <f ca="1">AND(NOW()&gt;=tbl_MTG_Set[[#This Row],[Heavy Printing Window Start]], NOW()&lt;=tbl_MTG_Set[[#This Row],[Heavy Printing Window End]])</f>
        <v>0</v>
      </c>
      <c r="T190">
        <f>_xlfn.XLOOKUP(tbl_MTG_Set[[#This Row],[Type Name]], tbl_MTG_Set_Type[Set Type], tbl_MTG_Set_Type[Sell Window Month Start], "(Set Type not found)", 0, 1)</f>
        <v>36</v>
      </c>
      <c r="U190" s="3">
        <f>tbl_MTG_Set[[#This Row],[Released On]]+tbl_MTG_Set[[#This Row],[Sell Window Month Start]]*365.25/12</f>
        <v>46034.75</v>
      </c>
      <c r="V190">
        <f>_xlfn.XLOOKUP(tbl_MTG_Set[[#This Row],[Type Name]], tbl_MTG_Set_Type[Set Type], tbl_MTG_Set_Type[Sell Window Month End], "(Set Type not found)", 0, 1)</f>
        <v>48</v>
      </c>
      <c r="W190" s="3">
        <f>tbl_MTG_Set[[#This Row],[Released On]]+tbl_MTG_Set[[#This Row],[Sell Window Month End]]*365.25/12</f>
        <v>46400</v>
      </c>
      <c r="X190" s="3" t="b">
        <f ca="1">AND(NOW()&gt;=tbl_MTG_Set[[#This Row],[Sell Window Start]], NOW()&lt;=tbl_MTG_Set[[#This Row],[Sell Window End]])</f>
        <v>1</v>
      </c>
      <c r="AG190" s="10"/>
      <c r="AH190" s="10"/>
      <c r="AM190" s="10" t="str" cm="1">
        <f t="array" ref="AM1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0" s="10" t="str" cm="1">
        <f t="array" ref="AN1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0" s="4" t="e">
        <f>_xlfn.XLOOKUP(tbl_MTG_Set[[#This Row],[Play Booster Box Product Id]], tbl_Product[Product Id], tbl_Product[Pack Size])</f>
        <v>#N/A</v>
      </c>
      <c r="AP190" s="10" t="e">
        <f>(tbl_MTG_Set[[#This Row],[Play Booster Box Cost]]+v_Item_Shipping_Cost_In)/tbl_MTG_Set[[#This Row],[Play Booster Box Size]]</f>
        <v>#VALUE!</v>
      </c>
      <c r="AQ190" s="10" t="str" cm="1">
        <f t="array" ref="AQ1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0" s="10"/>
      <c r="AS190" s="10"/>
      <c r="AT190" s="17" t="e">
        <f>tbl_MTG_Set[[#This Row],[Play Booster CardMarket Profit]]/tbl_MTG_Set[[#This Row],[Play Booster Cost]]</f>
        <v>#VALUE!</v>
      </c>
      <c r="AU190" s="10" t="e">
        <f>_xlfn.XLOOKUP(tbl_MTG_Set[[#This Row],[Collector Booster Box Product Id]], tbl_Product[Product Id], tbl_Product[Min Cost])</f>
        <v>#N/A</v>
      </c>
      <c r="AV190" s="10" t="e">
        <f>_xlfn.XLOOKUP(tbl_MTG_Set[[#This Row],[Collector Booster Box Product Id]], tbl_Product[Product Id], tbl_Product[Best Source])</f>
        <v>#N/A</v>
      </c>
      <c r="AW190" s="4" t="e">
        <f>_xlfn.XLOOKUP(tbl_MTG_Set[[#This Row],[Collector Booster Box Product Id]], tbl_Product[Product Id], tbl_Product[Pack Size])</f>
        <v>#N/A</v>
      </c>
      <c r="AX190" s="10" t="e">
        <f>(tbl_MTG_Set[[#This Row],[Collector Booster Box Cost]] + v_Item_Shipping_Cost_In) / tbl_MTG_Set[[#This Row],[Collector Booster Box Size]]</f>
        <v>#N/A</v>
      </c>
      <c r="AY190" s="10" t="str" cm="1">
        <f t="array" ref="AY1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0" s="10"/>
      <c r="BA1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0" s="17" t="e">
        <f>tbl_MTG_Set[[#This Row],[Collector Booster CardMarket Profit]]/tbl_MTG_Set[[#This Row],[Collector Booster Cost]]</f>
        <v>#N/A</v>
      </c>
      <c r="BC190" s="10"/>
      <c r="BF1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0" s="11" t="e">
        <f>tbl_MTG_Set[[#This Row],[Play Singles CardMarket Profit MTG Stocks]]/tbl_MTG_Set[[#This Row],[Play Booster Cost]]</f>
        <v>#VALUE!</v>
      </c>
      <c r="BI190" s="11" t="b">
        <f>tbl_MTG_Set[[#This Row],[Play Singles CardMarket Profit MTG Stocks]]&gt;0</f>
        <v>0</v>
      </c>
      <c r="BM190" s="10" t="e">
        <f>tbl_MTG_Set[[#This Row],[Play Booster Sell Price CardMarket]]*tbl_MTG_Set[[#This Row],[Play Booster Expected Market Value BotBox]]/tbl_MTG_Set[[#This Row],[Play Booster Sealed Market Value BotBox]]</f>
        <v>#VALUE!</v>
      </c>
      <c r="BN1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0" s="10" t="e">
        <f>tbl_MTG_Set[[#This Row],[Play Singles CardMarket Profit BotBox]]/tbl_MTG_Set[[#This Row],[Play Booster Cost]]</f>
        <v>#VALUE!</v>
      </c>
      <c r="BP190" s="10" t="b">
        <f>tbl_MTG_Set[[#This Row],[Play Singles CardMarket Profit BotBox]]&gt;0</f>
        <v>0</v>
      </c>
      <c r="BQ190" s="10"/>
      <c r="BR190" s="10"/>
      <c r="BS190" s="10"/>
      <c r="BT1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0" s="19" t="e">
        <f>tbl_MTG_Set[[#This Row],[Collector Singles CardMarket Profit MTG Stocks]]/tbl_MTG_Set[[#This Row],[Collector Booster Cost]]</f>
        <v>#N/A</v>
      </c>
      <c r="BW190" s="10" t="b">
        <f>tbl_MTG_Set[[#This Row],[Collector Singles CardMarket Profit MTG Stocks]]&gt;0</f>
        <v>0</v>
      </c>
      <c r="BX190" s="10"/>
      <c r="BY190" s="10"/>
      <c r="BZ1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0" s="10" t="e">
        <f>tbl_MTG_Set[[#This Row],[Collector Singles CardMarket Profit BotBox]]/tbl_MTG_Set[[#This Row],[Collector Booster Cost]]</f>
        <v>#N/A</v>
      </c>
      <c r="CC190" s="10" t="b">
        <f>tbl_MTG_Set[[#This Row],[Collector Singles CardMarket Profit BotBox]]&gt;0</f>
        <v>0</v>
      </c>
      <c r="CD1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1" spans="1:86" hidden="1">
      <c r="A191">
        <v>210</v>
      </c>
      <c r="B191" t="s">
        <v>364</v>
      </c>
      <c r="C191">
        <v>3</v>
      </c>
      <c r="D191" s="3">
        <v>44933</v>
      </c>
      <c r="F191" t="s">
        <v>174</v>
      </c>
      <c r="G191">
        <v>366</v>
      </c>
      <c r="H191">
        <f ca="1">MONTH(NOW())+12*YEAR(NOW())-MONTH(tbl_MTG_Set[[#This Row],[Released On]])-12*YEAR(tbl_MTG_Set[[#This Row],[Released On]])</f>
        <v>38</v>
      </c>
      <c r="I191" t="str">
        <f>_xlfn.XLOOKUP(tbl_MTG_Set[[#This Row],[Type Name]], tbl_MTG_Set_Type[Set Type], tbl_MTG_Set_Type[Index], "(Set Type not found)")</f>
        <v>(Set Type not found)</v>
      </c>
      <c r="J191" t="str">
        <f>_xlfn.XLOOKUP(tbl_MTG_Set[[#This Row],[Type Name]], tbl_MTG_Set_Type[Set Type], tbl_MTG_Set_Type[Buy Window Month Start], "(Set Type not found)")</f>
        <v>(Set Type not found)</v>
      </c>
      <c r="K191" s="3" t="e">
        <f>tbl_MTG_Set[[#This Row],[Released On]]+tbl_MTG_Set[[#This Row],[Buy Window Month Start]]*365.25/12</f>
        <v>#VALUE!</v>
      </c>
      <c r="L191" t="str">
        <f>_xlfn.XLOOKUP(tbl_MTG_Set[[#This Row],[Type Name]], tbl_MTG_Set_Type[Set Type], tbl_MTG_Set_Type[Buy Window Month End], "(Set Type not found)", 0, 1)</f>
        <v>(Set Type not found)</v>
      </c>
      <c r="M191" s="3" t="e">
        <f>tbl_MTG_Set[[#This Row],[Released On]]+tbl_MTG_Set[[#This Row],[Buy Window Month End]]*365.25/12</f>
        <v>#VALUE!</v>
      </c>
      <c r="N191" s="3" t="e">
        <f ca="1">AND(NOW()&gt;=tbl_MTG_Set[[#This Row],[Buy Window Start]], NOW()&lt;=tbl_MTG_Set[[#This Row],[Buy Window End]])</f>
        <v>#VALUE!</v>
      </c>
      <c r="O191" t="str">
        <f>_xlfn.XLOOKUP(tbl_MTG_Set[[#This Row],[Type Name]], tbl_MTG_Set_Type[Set Type], tbl_MTG_Set_Type[Heavy Printing Window Month Start], "(Set Type not found)", 0, 1)</f>
        <v>(Set Type not found)</v>
      </c>
      <c r="P191" s="3" t="e">
        <f>tbl_MTG_Set[[#This Row],[Released On]]+tbl_MTG_Set[[#This Row],[Heavy Printing Window Month Start]]*365.25/12</f>
        <v>#VALUE!</v>
      </c>
      <c r="Q191" t="str">
        <f>_xlfn.XLOOKUP(tbl_MTG_Set[[#This Row],[Type Name]], tbl_MTG_Set_Type[Set Type], tbl_MTG_Set_Type[Heavy Printing Window Month End], "(Set Type not found)", 0, 1)</f>
        <v>(Set Type not found)</v>
      </c>
      <c r="R191" s="3" t="e">
        <f>tbl_MTG_Set[[#This Row],[Released On]]+tbl_MTG_Set[[#This Row],[Heavy Printing Window Month End]]*365.25/12</f>
        <v>#VALUE!</v>
      </c>
      <c r="S191" s="3" t="e">
        <f ca="1">AND(NOW()&gt;=tbl_MTG_Set[[#This Row],[Heavy Printing Window Start]], NOW()&lt;=tbl_MTG_Set[[#This Row],[Heavy Printing Window End]])</f>
        <v>#VALUE!</v>
      </c>
      <c r="T191" t="str">
        <f>_xlfn.XLOOKUP(tbl_MTG_Set[[#This Row],[Type Name]], tbl_MTG_Set_Type[Set Type], tbl_MTG_Set_Type[Sell Window Month Start], "(Set Type not found)", 0, 1)</f>
        <v>(Set Type not found)</v>
      </c>
      <c r="U191" s="3" t="e">
        <f>tbl_MTG_Set[[#This Row],[Released On]]+tbl_MTG_Set[[#This Row],[Sell Window Month Start]]*365.25/12</f>
        <v>#VALUE!</v>
      </c>
      <c r="V191" t="str">
        <f>_xlfn.XLOOKUP(tbl_MTG_Set[[#This Row],[Type Name]], tbl_MTG_Set_Type[Set Type], tbl_MTG_Set_Type[Sell Window Month End], "(Set Type not found)", 0, 1)</f>
        <v>(Set Type not found)</v>
      </c>
      <c r="W191" s="3" t="e">
        <f>tbl_MTG_Set[[#This Row],[Released On]]+tbl_MTG_Set[[#This Row],[Sell Window Month End]]*365.25/12</f>
        <v>#VALUE!</v>
      </c>
      <c r="X191" s="3" t="e">
        <f ca="1">AND(NOW()&gt;=tbl_MTG_Set[[#This Row],[Sell Window Start]], NOW()&lt;=tbl_MTG_Set[[#This Row],[Sell Window End]])</f>
        <v>#VALUE!</v>
      </c>
      <c r="AG191" s="10"/>
      <c r="AH191" s="10"/>
      <c r="AM191" s="10" t="str" cm="1">
        <f t="array" ref="AM1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1" s="10" t="str" cm="1">
        <f t="array" ref="AN1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1" s="4" t="e">
        <f>_xlfn.XLOOKUP(tbl_MTG_Set[[#This Row],[Play Booster Box Product Id]], tbl_Product[Product Id], tbl_Product[Pack Size])</f>
        <v>#N/A</v>
      </c>
      <c r="AP191" s="10" t="e">
        <f>(tbl_MTG_Set[[#This Row],[Play Booster Box Cost]]+v_Item_Shipping_Cost_In)/tbl_MTG_Set[[#This Row],[Play Booster Box Size]]</f>
        <v>#VALUE!</v>
      </c>
      <c r="AQ191" s="10" t="str" cm="1">
        <f t="array" ref="AQ1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1" s="10"/>
      <c r="AS191" s="10"/>
      <c r="AT191" s="17" t="e">
        <f>tbl_MTG_Set[[#This Row],[Play Booster CardMarket Profit]]/tbl_MTG_Set[[#This Row],[Play Booster Cost]]</f>
        <v>#VALUE!</v>
      </c>
      <c r="AU191" s="10" t="e">
        <f>_xlfn.XLOOKUP(tbl_MTG_Set[[#This Row],[Collector Booster Box Product Id]], tbl_Product[Product Id], tbl_Product[Min Cost])</f>
        <v>#N/A</v>
      </c>
      <c r="AV191" s="10" t="e">
        <f>_xlfn.XLOOKUP(tbl_MTG_Set[[#This Row],[Collector Booster Box Product Id]], tbl_Product[Product Id], tbl_Product[Best Source])</f>
        <v>#N/A</v>
      </c>
      <c r="AW191" s="4" t="e">
        <f>_xlfn.XLOOKUP(tbl_MTG_Set[[#This Row],[Collector Booster Box Product Id]], tbl_Product[Product Id], tbl_Product[Pack Size])</f>
        <v>#N/A</v>
      </c>
      <c r="AX191" s="10" t="e">
        <f>(tbl_MTG_Set[[#This Row],[Collector Booster Box Cost]] + v_Item_Shipping_Cost_In) / tbl_MTG_Set[[#This Row],[Collector Booster Box Size]]</f>
        <v>#N/A</v>
      </c>
      <c r="AY191" s="10" t="str" cm="1">
        <f t="array" ref="AY1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1" s="10"/>
      <c r="BA1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1" s="17" t="e">
        <f>tbl_MTG_Set[[#This Row],[Collector Booster CardMarket Profit]]/tbl_MTG_Set[[#This Row],[Collector Booster Cost]]</f>
        <v>#N/A</v>
      </c>
      <c r="BC191" s="10"/>
      <c r="BF1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1" s="11" t="e">
        <f>tbl_MTG_Set[[#This Row],[Play Singles CardMarket Profit MTG Stocks]]/tbl_MTG_Set[[#This Row],[Play Booster Cost]]</f>
        <v>#VALUE!</v>
      </c>
      <c r="BI191" s="11" t="b">
        <f>tbl_MTG_Set[[#This Row],[Play Singles CardMarket Profit MTG Stocks]]&gt;0</f>
        <v>0</v>
      </c>
      <c r="BM191" s="10" t="e">
        <f>tbl_MTG_Set[[#This Row],[Play Booster Sell Price CardMarket]]*tbl_MTG_Set[[#This Row],[Play Booster Expected Market Value BotBox]]/tbl_MTG_Set[[#This Row],[Play Booster Sealed Market Value BotBox]]</f>
        <v>#VALUE!</v>
      </c>
      <c r="BN1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1" s="10" t="e">
        <f>tbl_MTG_Set[[#This Row],[Play Singles CardMarket Profit BotBox]]/tbl_MTG_Set[[#This Row],[Play Booster Cost]]</f>
        <v>#VALUE!</v>
      </c>
      <c r="BP191" s="10" t="b">
        <f>tbl_MTG_Set[[#This Row],[Play Singles CardMarket Profit BotBox]]&gt;0</f>
        <v>0</v>
      </c>
      <c r="BQ191" s="10"/>
      <c r="BR191" s="10"/>
      <c r="BS191" s="10"/>
      <c r="BT1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1" s="19" t="e">
        <f>tbl_MTG_Set[[#This Row],[Collector Singles CardMarket Profit MTG Stocks]]/tbl_MTG_Set[[#This Row],[Collector Booster Cost]]</f>
        <v>#N/A</v>
      </c>
      <c r="BW191" s="10" t="b">
        <f>tbl_MTG_Set[[#This Row],[Collector Singles CardMarket Profit MTG Stocks]]&gt;0</f>
        <v>0</v>
      </c>
      <c r="BX191" s="10"/>
      <c r="BY191" s="10"/>
      <c r="BZ1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1" s="10" t="e">
        <f>tbl_MTG_Set[[#This Row],[Collector Singles CardMarket Profit BotBox]]/tbl_MTG_Set[[#This Row],[Collector Booster Cost]]</f>
        <v>#N/A</v>
      </c>
      <c r="CC191" s="10" t="b">
        <f>tbl_MTG_Set[[#This Row],[Collector Singles CardMarket Profit BotBox]]&gt;0</f>
        <v>0</v>
      </c>
      <c r="CD1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2" spans="1:86" hidden="1">
      <c r="A192">
        <v>211</v>
      </c>
      <c r="B192" t="s">
        <v>365</v>
      </c>
      <c r="C192">
        <v>11</v>
      </c>
      <c r="D192" s="3">
        <v>44927</v>
      </c>
      <c r="F192" t="s">
        <v>174</v>
      </c>
      <c r="G192">
        <v>368</v>
      </c>
      <c r="H192">
        <f ca="1">MONTH(NOW())+12*YEAR(NOW())-MONTH(tbl_MTG_Set[[#This Row],[Released On]])-12*YEAR(tbl_MTG_Set[[#This Row],[Released On]])</f>
        <v>38</v>
      </c>
      <c r="I192" t="str">
        <f>_xlfn.XLOOKUP(tbl_MTG_Set[[#This Row],[Type Name]], tbl_MTG_Set_Type[Set Type], tbl_MTG_Set_Type[Index], "(Set Type not found)")</f>
        <v>(Set Type not found)</v>
      </c>
      <c r="J192" t="str">
        <f>_xlfn.XLOOKUP(tbl_MTG_Set[[#This Row],[Type Name]], tbl_MTG_Set_Type[Set Type], tbl_MTG_Set_Type[Buy Window Month Start], "(Set Type not found)")</f>
        <v>(Set Type not found)</v>
      </c>
      <c r="K192" s="3" t="e">
        <f>tbl_MTG_Set[[#This Row],[Released On]]+tbl_MTG_Set[[#This Row],[Buy Window Month Start]]*365.25/12</f>
        <v>#VALUE!</v>
      </c>
      <c r="L192" t="str">
        <f>_xlfn.XLOOKUP(tbl_MTG_Set[[#This Row],[Type Name]], tbl_MTG_Set_Type[Set Type], tbl_MTG_Set_Type[Buy Window Month End], "(Set Type not found)", 0, 1)</f>
        <v>(Set Type not found)</v>
      </c>
      <c r="M192" s="3" t="e">
        <f>tbl_MTG_Set[[#This Row],[Released On]]+tbl_MTG_Set[[#This Row],[Buy Window Month End]]*365.25/12</f>
        <v>#VALUE!</v>
      </c>
      <c r="N192" s="3" t="e">
        <f ca="1">AND(NOW()&gt;=tbl_MTG_Set[[#This Row],[Buy Window Start]], NOW()&lt;=tbl_MTG_Set[[#This Row],[Buy Window End]])</f>
        <v>#VALUE!</v>
      </c>
      <c r="O192" t="str">
        <f>_xlfn.XLOOKUP(tbl_MTG_Set[[#This Row],[Type Name]], tbl_MTG_Set_Type[Set Type], tbl_MTG_Set_Type[Heavy Printing Window Month Start], "(Set Type not found)", 0, 1)</f>
        <v>(Set Type not found)</v>
      </c>
      <c r="P192" s="3" t="e">
        <f>tbl_MTG_Set[[#This Row],[Released On]]+tbl_MTG_Set[[#This Row],[Heavy Printing Window Month Start]]*365.25/12</f>
        <v>#VALUE!</v>
      </c>
      <c r="Q192" t="str">
        <f>_xlfn.XLOOKUP(tbl_MTG_Set[[#This Row],[Type Name]], tbl_MTG_Set_Type[Set Type], tbl_MTG_Set_Type[Heavy Printing Window Month End], "(Set Type not found)", 0, 1)</f>
        <v>(Set Type not found)</v>
      </c>
      <c r="R192" s="3" t="e">
        <f>tbl_MTG_Set[[#This Row],[Released On]]+tbl_MTG_Set[[#This Row],[Heavy Printing Window Month End]]*365.25/12</f>
        <v>#VALUE!</v>
      </c>
      <c r="S192" s="3" t="e">
        <f ca="1">AND(NOW()&gt;=tbl_MTG_Set[[#This Row],[Heavy Printing Window Start]], NOW()&lt;=tbl_MTG_Set[[#This Row],[Heavy Printing Window End]])</f>
        <v>#VALUE!</v>
      </c>
      <c r="T192" t="str">
        <f>_xlfn.XLOOKUP(tbl_MTG_Set[[#This Row],[Type Name]], tbl_MTG_Set_Type[Set Type], tbl_MTG_Set_Type[Sell Window Month Start], "(Set Type not found)", 0, 1)</f>
        <v>(Set Type not found)</v>
      </c>
      <c r="U192" s="3" t="e">
        <f>tbl_MTG_Set[[#This Row],[Released On]]+tbl_MTG_Set[[#This Row],[Sell Window Month Start]]*365.25/12</f>
        <v>#VALUE!</v>
      </c>
      <c r="V192" t="str">
        <f>_xlfn.XLOOKUP(tbl_MTG_Set[[#This Row],[Type Name]], tbl_MTG_Set_Type[Set Type], tbl_MTG_Set_Type[Sell Window Month End], "(Set Type not found)", 0, 1)</f>
        <v>(Set Type not found)</v>
      </c>
      <c r="W192" s="3" t="e">
        <f>tbl_MTG_Set[[#This Row],[Released On]]+tbl_MTG_Set[[#This Row],[Sell Window Month End]]*365.25/12</f>
        <v>#VALUE!</v>
      </c>
      <c r="X192" s="3" t="e">
        <f ca="1">AND(NOW()&gt;=tbl_MTG_Set[[#This Row],[Sell Window Start]], NOW()&lt;=tbl_MTG_Set[[#This Row],[Sell Window End]])</f>
        <v>#VALUE!</v>
      </c>
      <c r="AG192" s="10"/>
      <c r="AH192" s="10"/>
      <c r="AM192" s="10" t="str" cm="1">
        <f t="array" ref="AM1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2" s="10" t="str" cm="1">
        <f t="array" ref="AN1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2" s="4" t="e">
        <f>_xlfn.XLOOKUP(tbl_MTG_Set[[#This Row],[Play Booster Box Product Id]], tbl_Product[Product Id], tbl_Product[Pack Size])</f>
        <v>#N/A</v>
      </c>
      <c r="AP192" s="10" t="e">
        <f>(tbl_MTG_Set[[#This Row],[Play Booster Box Cost]]+v_Item_Shipping_Cost_In)/tbl_MTG_Set[[#This Row],[Play Booster Box Size]]</f>
        <v>#VALUE!</v>
      </c>
      <c r="AQ192" s="10" t="str" cm="1">
        <f t="array" ref="AQ1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2" s="10"/>
      <c r="AS192" s="10"/>
      <c r="AT192" s="17" t="e">
        <f>tbl_MTG_Set[[#This Row],[Play Booster CardMarket Profit]]/tbl_MTG_Set[[#This Row],[Play Booster Cost]]</f>
        <v>#VALUE!</v>
      </c>
      <c r="AU192" s="10" t="e">
        <f>_xlfn.XLOOKUP(tbl_MTG_Set[[#This Row],[Collector Booster Box Product Id]], tbl_Product[Product Id], tbl_Product[Min Cost])</f>
        <v>#N/A</v>
      </c>
      <c r="AV192" s="10" t="e">
        <f>_xlfn.XLOOKUP(tbl_MTG_Set[[#This Row],[Collector Booster Box Product Id]], tbl_Product[Product Id], tbl_Product[Best Source])</f>
        <v>#N/A</v>
      </c>
      <c r="AW192" s="4" t="e">
        <f>_xlfn.XLOOKUP(tbl_MTG_Set[[#This Row],[Collector Booster Box Product Id]], tbl_Product[Product Id], tbl_Product[Pack Size])</f>
        <v>#N/A</v>
      </c>
      <c r="AX192" s="10" t="e">
        <f>(tbl_MTG_Set[[#This Row],[Collector Booster Box Cost]] + v_Item_Shipping_Cost_In) / tbl_MTG_Set[[#This Row],[Collector Booster Box Size]]</f>
        <v>#N/A</v>
      </c>
      <c r="AY192" s="10" t="str" cm="1">
        <f t="array" ref="AY1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2" s="10"/>
      <c r="BA1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2" s="17" t="e">
        <f>tbl_MTG_Set[[#This Row],[Collector Booster CardMarket Profit]]/tbl_MTG_Set[[#This Row],[Collector Booster Cost]]</f>
        <v>#N/A</v>
      </c>
      <c r="BC192" s="10"/>
      <c r="BF1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2" s="11" t="e">
        <f>tbl_MTG_Set[[#This Row],[Play Singles CardMarket Profit MTG Stocks]]/tbl_MTG_Set[[#This Row],[Play Booster Cost]]</f>
        <v>#VALUE!</v>
      </c>
      <c r="BI192" s="11" t="b">
        <f>tbl_MTG_Set[[#This Row],[Play Singles CardMarket Profit MTG Stocks]]&gt;0</f>
        <v>0</v>
      </c>
      <c r="BM192" s="10" t="e">
        <f>tbl_MTG_Set[[#This Row],[Play Booster Sell Price CardMarket]]*tbl_MTG_Set[[#This Row],[Play Booster Expected Market Value BotBox]]/tbl_MTG_Set[[#This Row],[Play Booster Sealed Market Value BotBox]]</f>
        <v>#VALUE!</v>
      </c>
      <c r="BN1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2" s="10" t="e">
        <f>tbl_MTG_Set[[#This Row],[Play Singles CardMarket Profit BotBox]]/tbl_MTG_Set[[#This Row],[Play Booster Cost]]</f>
        <v>#VALUE!</v>
      </c>
      <c r="BP192" s="10" t="b">
        <f>tbl_MTG_Set[[#This Row],[Play Singles CardMarket Profit BotBox]]&gt;0</f>
        <v>0</v>
      </c>
      <c r="BQ192" s="10"/>
      <c r="BR192" s="10"/>
      <c r="BS192" s="10"/>
      <c r="BT1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2" s="19" t="e">
        <f>tbl_MTG_Set[[#This Row],[Collector Singles CardMarket Profit MTG Stocks]]/tbl_MTG_Set[[#This Row],[Collector Booster Cost]]</f>
        <v>#N/A</v>
      </c>
      <c r="BW192" s="10" t="b">
        <f>tbl_MTG_Set[[#This Row],[Collector Singles CardMarket Profit MTG Stocks]]&gt;0</f>
        <v>0</v>
      </c>
      <c r="BX192" s="10"/>
      <c r="BY192" s="10"/>
      <c r="BZ1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2" s="10" t="e">
        <f>tbl_MTG_Set[[#This Row],[Collector Singles CardMarket Profit BotBox]]/tbl_MTG_Set[[#This Row],[Collector Booster Cost]]</f>
        <v>#N/A</v>
      </c>
      <c r="CC192" s="10" t="b">
        <f>tbl_MTG_Set[[#This Row],[Collector Singles CardMarket Profit BotBox]]&gt;0</f>
        <v>0</v>
      </c>
      <c r="CD1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3" spans="1:86" hidden="1">
      <c r="A193">
        <v>212</v>
      </c>
      <c r="B193" t="s">
        <v>366</v>
      </c>
      <c r="C193">
        <v>10</v>
      </c>
      <c r="D193" s="3">
        <v>44927</v>
      </c>
      <c r="F193" t="s">
        <v>174</v>
      </c>
      <c r="G193">
        <v>370</v>
      </c>
      <c r="H193">
        <f ca="1">MONTH(NOW())+12*YEAR(NOW())-MONTH(tbl_MTG_Set[[#This Row],[Released On]])-12*YEAR(tbl_MTG_Set[[#This Row],[Released On]])</f>
        <v>38</v>
      </c>
      <c r="I193" t="str">
        <f>_xlfn.XLOOKUP(tbl_MTG_Set[[#This Row],[Type Name]], tbl_MTG_Set_Type[Set Type], tbl_MTG_Set_Type[Index], "(Set Type not found)")</f>
        <v>(Set Type not found)</v>
      </c>
      <c r="J193" t="str">
        <f>_xlfn.XLOOKUP(tbl_MTG_Set[[#This Row],[Type Name]], tbl_MTG_Set_Type[Set Type], tbl_MTG_Set_Type[Buy Window Month Start], "(Set Type not found)")</f>
        <v>(Set Type not found)</v>
      </c>
      <c r="K193" s="3" t="e">
        <f>tbl_MTG_Set[[#This Row],[Released On]]+tbl_MTG_Set[[#This Row],[Buy Window Month Start]]*365.25/12</f>
        <v>#VALUE!</v>
      </c>
      <c r="L193" t="str">
        <f>_xlfn.XLOOKUP(tbl_MTG_Set[[#This Row],[Type Name]], tbl_MTG_Set_Type[Set Type], tbl_MTG_Set_Type[Buy Window Month End], "(Set Type not found)", 0, 1)</f>
        <v>(Set Type not found)</v>
      </c>
      <c r="M193" s="3" t="e">
        <f>tbl_MTG_Set[[#This Row],[Released On]]+tbl_MTG_Set[[#This Row],[Buy Window Month End]]*365.25/12</f>
        <v>#VALUE!</v>
      </c>
      <c r="N193" s="3" t="e">
        <f ca="1">AND(NOW()&gt;=tbl_MTG_Set[[#This Row],[Buy Window Start]], NOW()&lt;=tbl_MTG_Set[[#This Row],[Buy Window End]])</f>
        <v>#VALUE!</v>
      </c>
      <c r="O193" t="str">
        <f>_xlfn.XLOOKUP(tbl_MTG_Set[[#This Row],[Type Name]], tbl_MTG_Set_Type[Set Type], tbl_MTG_Set_Type[Heavy Printing Window Month Start], "(Set Type not found)", 0, 1)</f>
        <v>(Set Type not found)</v>
      </c>
      <c r="P193" s="3" t="e">
        <f>tbl_MTG_Set[[#This Row],[Released On]]+tbl_MTG_Set[[#This Row],[Heavy Printing Window Month Start]]*365.25/12</f>
        <v>#VALUE!</v>
      </c>
      <c r="Q193" t="str">
        <f>_xlfn.XLOOKUP(tbl_MTG_Set[[#This Row],[Type Name]], tbl_MTG_Set_Type[Set Type], tbl_MTG_Set_Type[Heavy Printing Window Month End], "(Set Type not found)", 0, 1)</f>
        <v>(Set Type not found)</v>
      </c>
      <c r="R193" s="3" t="e">
        <f>tbl_MTG_Set[[#This Row],[Released On]]+tbl_MTG_Set[[#This Row],[Heavy Printing Window Month End]]*365.25/12</f>
        <v>#VALUE!</v>
      </c>
      <c r="S193" s="3" t="e">
        <f ca="1">AND(NOW()&gt;=tbl_MTG_Set[[#This Row],[Heavy Printing Window Start]], NOW()&lt;=tbl_MTG_Set[[#This Row],[Heavy Printing Window End]])</f>
        <v>#VALUE!</v>
      </c>
      <c r="T193" t="str">
        <f>_xlfn.XLOOKUP(tbl_MTG_Set[[#This Row],[Type Name]], tbl_MTG_Set_Type[Set Type], tbl_MTG_Set_Type[Sell Window Month Start], "(Set Type not found)", 0, 1)</f>
        <v>(Set Type not found)</v>
      </c>
      <c r="U193" s="3" t="e">
        <f>tbl_MTG_Set[[#This Row],[Released On]]+tbl_MTG_Set[[#This Row],[Sell Window Month Start]]*365.25/12</f>
        <v>#VALUE!</v>
      </c>
      <c r="V193" t="str">
        <f>_xlfn.XLOOKUP(tbl_MTG_Set[[#This Row],[Type Name]], tbl_MTG_Set_Type[Set Type], tbl_MTG_Set_Type[Sell Window Month End], "(Set Type not found)", 0, 1)</f>
        <v>(Set Type not found)</v>
      </c>
      <c r="W193" s="3" t="e">
        <f>tbl_MTG_Set[[#This Row],[Released On]]+tbl_MTG_Set[[#This Row],[Sell Window Month End]]*365.25/12</f>
        <v>#VALUE!</v>
      </c>
      <c r="X193" s="3" t="e">
        <f ca="1">AND(NOW()&gt;=tbl_MTG_Set[[#This Row],[Sell Window Start]], NOW()&lt;=tbl_MTG_Set[[#This Row],[Sell Window End]])</f>
        <v>#VALUE!</v>
      </c>
      <c r="AG193" s="10"/>
      <c r="AH193" s="10"/>
      <c r="AM193" s="10" t="str" cm="1">
        <f t="array" ref="AM1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3" s="10" t="str" cm="1">
        <f t="array" ref="AN1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3" s="4" t="e">
        <f>_xlfn.XLOOKUP(tbl_MTG_Set[[#This Row],[Play Booster Box Product Id]], tbl_Product[Product Id], tbl_Product[Pack Size])</f>
        <v>#N/A</v>
      </c>
      <c r="AP193" s="10" t="e">
        <f>(tbl_MTG_Set[[#This Row],[Play Booster Box Cost]]+v_Item_Shipping_Cost_In)/tbl_MTG_Set[[#This Row],[Play Booster Box Size]]</f>
        <v>#VALUE!</v>
      </c>
      <c r="AQ193" s="10" t="str" cm="1">
        <f t="array" ref="AQ1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3" s="10"/>
      <c r="AS193" s="10"/>
      <c r="AT193" s="17" t="e">
        <f>tbl_MTG_Set[[#This Row],[Play Booster CardMarket Profit]]/tbl_MTG_Set[[#This Row],[Play Booster Cost]]</f>
        <v>#VALUE!</v>
      </c>
      <c r="AU193" s="10" t="e">
        <f>_xlfn.XLOOKUP(tbl_MTG_Set[[#This Row],[Collector Booster Box Product Id]], tbl_Product[Product Id], tbl_Product[Min Cost])</f>
        <v>#N/A</v>
      </c>
      <c r="AV193" s="10" t="e">
        <f>_xlfn.XLOOKUP(tbl_MTG_Set[[#This Row],[Collector Booster Box Product Id]], tbl_Product[Product Id], tbl_Product[Best Source])</f>
        <v>#N/A</v>
      </c>
      <c r="AW193" s="4" t="e">
        <f>_xlfn.XLOOKUP(tbl_MTG_Set[[#This Row],[Collector Booster Box Product Id]], tbl_Product[Product Id], tbl_Product[Pack Size])</f>
        <v>#N/A</v>
      </c>
      <c r="AX193" s="10" t="e">
        <f>(tbl_MTG_Set[[#This Row],[Collector Booster Box Cost]] + v_Item_Shipping_Cost_In) / tbl_MTG_Set[[#This Row],[Collector Booster Box Size]]</f>
        <v>#N/A</v>
      </c>
      <c r="AY193" s="10" t="str" cm="1">
        <f t="array" ref="AY1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3" s="10"/>
      <c r="BA1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3" s="17" t="e">
        <f>tbl_MTG_Set[[#This Row],[Collector Booster CardMarket Profit]]/tbl_MTG_Set[[#This Row],[Collector Booster Cost]]</f>
        <v>#N/A</v>
      </c>
      <c r="BC193" s="10"/>
      <c r="BF1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3" s="11" t="e">
        <f>tbl_MTG_Set[[#This Row],[Play Singles CardMarket Profit MTG Stocks]]/tbl_MTG_Set[[#This Row],[Play Booster Cost]]</f>
        <v>#VALUE!</v>
      </c>
      <c r="BI193" s="11" t="b">
        <f>tbl_MTG_Set[[#This Row],[Play Singles CardMarket Profit MTG Stocks]]&gt;0</f>
        <v>0</v>
      </c>
      <c r="BM193" s="10" t="e">
        <f>tbl_MTG_Set[[#This Row],[Play Booster Sell Price CardMarket]]*tbl_MTG_Set[[#This Row],[Play Booster Expected Market Value BotBox]]/tbl_MTG_Set[[#This Row],[Play Booster Sealed Market Value BotBox]]</f>
        <v>#VALUE!</v>
      </c>
      <c r="BN1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3" s="10" t="e">
        <f>tbl_MTG_Set[[#This Row],[Play Singles CardMarket Profit BotBox]]/tbl_MTG_Set[[#This Row],[Play Booster Cost]]</f>
        <v>#VALUE!</v>
      </c>
      <c r="BP193" s="10" t="b">
        <f>tbl_MTG_Set[[#This Row],[Play Singles CardMarket Profit BotBox]]&gt;0</f>
        <v>0</v>
      </c>
      <c r="BQ193" s="10"/>
      <c r="BR193" s="10"/>
      <c r="BS193" s="10"/>
      <c r="BT1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3" s="19" t="e">
        <f>tbl_MTG_Set[[#This Row],[Collector Singles CardMarket Profit MTG Stocks]]/tbl_MTG_Set[[#This Row],[Collector Booster Cost]]</f>
        <v>#N/A</v>
      </c>
      <c r="BW193" s="10" t="b">
        <f>tbl_MTG_Set[[#This Row],[Collector Singles CardMarket Profit MTG Stocks]]&gt;0</f>
        <v>0</v>
      </c>
      <c r="BX193" s="10"/>
      <c r="BY193" s="10"/>
      <c r="BZ1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3" s="10" t="e">
        <f>tbl_MTG_Set[[#This Row],[Collector Singles CardMarket Profit BotBox]]/tbl_MTG_Set[[#This Row],[Collector Booster Cost]]</f>
        <v>#N/A</v>
      </c>
      <c r="CC193" s="10" t="b">
        <f>tbl_MTG_Set[[#This Row],[Collector Singles CardMarket Profit BotBox]]&gt;0</f>
        <v>0</v>
      </c>
      <c r="CD1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4" spans="1:86" hidden="1">
      <c r="A194">
        <v>213</v>
      </c>
      <c r="B194" t="s">
        <v>367</v>
      </c>
      <c r="C194">
        <v>25</v>
      </c>
      <c r="D194" s="3">
        <v>44908</v>
      </c>
      <c r="F194" t="s">
        <v>174</v>
      </c>
      <c r="G194">
        <v>372</v>
      </c>
      <c r="H194">
        <f ca="1">MONTH(NOW())+12*YEAR(NOW())-MONTH(tbl_MTG_Set[[#This Row],[Released On]])-12*YEAR(tbl_MTG_Set[[#This Row],[Released On]])</f>
        <v>39</v>
      </c>
      <c r="I194" t="str">
        <f>_xlfn.XLOOKUP(tbl_MTG_Set[[#This Row],[Type Name]], tbl_MTG_Set_Type[Set Type], tbl_MTG_Set_Type[Index], "(Set Type not found)")</f>
        <v>(Set Type not found)</v>
      </c>
      <c r="J194" t="str">
        <f>_xlfn.XLOOKUP(tbl_MTG_Set[[#This Row],[Type Name]], tbl_MTG_Set_Type[Set Type], tbl_MTG_Set_Type[Buy Window Month Start], "(Set Type not found)")</f>
        <v>(Set Type not found)</v>
      </c>
      <c r="K194" s="3" t="e">
        <f>tbl_MTG_Set[[#This Row],[Released On]]+tbl_MTG_Set[[#This Row],[Buy Window Month Start]]*365.25/12</f>
        <v>#VALUE!</v>
      </c>
      <c r="L194" t="str">
        <f>_xlfn.XLOOKUP(tbl_MTG_Set[[#This Row],[Type Name]], tbl_MTG_Set_Type[Set Type], tbl_MTG_Set_Type[Buy Window Month End], "(Set Type not found)", 0, 1)</f>
        <v>(Set Type not found)</v>
      </c>
      <c r="M194" s="3" t="e">
        <f>tbl_MTG_Set[[#This Row],[Released On]]+tbl_MTG_Set[[#This Row],[Buy Window Month End]]*365.25/12</f>
        <v>#VALUE!</v>
      </c>
      <c r="N194" s="3" t="e">
        <f ca="1">AND(NOW()&gt;=tbl_MTG_Set[[#This Row],[Buy Window Start]], NOW()&lt;=tbl_MTG_Set[[#This Row],[Buy Window End]])</f>
        <v>#VALUE!</v>
      </c>
      <c r="O194" t="str">
        <f>_xlfn.XLOOKUP(tbl_MTG_Set[[#This Row],[Type Name]], tbl_MTG_Set_Type[Set Type], tbl_MTG_Set_Type[Heavy Printing Window Month Start], "(Set Type not found)", 0, 1)</f>
        <v>(Set Type not found)</v>
      </c>
      <c r="P194" s="3" t="e">
        <f>tbl_MTG_Set[[#This Row],[Released On]]+tbl_MTG_Set[[#This Row],[Heavy Printing Window Month Start]]*365.25/12</f>
        <v>#VALUE!</v>
      </c>
      <c r="Q194" t="str">
        <f>_xlfn.XLOOKUP(tbl_MTG_Set[[#This Row],[Type Name]], tbl_MTG_Set_Type[Set Type], tbl_MTG_Set_Type[Heavy Printing Window Month End], "(Set Type not found)", 0, 1)</f>
        <v>(Set Type not found)</v>
      </c>
      <c r="R194" s="3" t="e">
        <f>tbl_MTG_Set[[#This Row],[Released On]]+tbl_MTG_Set[[#This Row],[Heavy Printing Window Month End]]*365.25/12</f>
        <v>#VALUE!</v>
      </c>
      <c r="S194" s="3" t="e">
        <f ca="1">AND(NOW()&gt;=tbl_MTG_Set[[#This Row],[Heavy Printing Window Start]], NOW()&lt;=tbl_MTG_Set[[#This Row],[Heavy Printing Window End]])</f>
        <v>#VALUE!</v>
      </c>
      <c r="T194" t="str">
        <f>_xlfn.XLOOKUP(tbl_MTG_Set[[#This Row],[Type Name]], tbl_MTG_Set_Type[Set Type], tbl_MTG_Set_Type[Sell Window Month Start], "(Set Type not found)", 0, 1)</f>
        <v>(Set Type not found)</v>
      </c>
      <c r="U194" s="3" t="e">
        <f>tbl_MTG_Set[[#This Row],[Released On]]+tbl_MTG_Set[[#This Row],[Sell Window Month Start]]*365.25/12</f>
        <v>#VALUE!</v>
      </c>
      <c r="V194" t="str">
        <f>_xlfn.XLOOKUP(tbl_MTG_Set[[#This Row],[Type Name]], tbl_MTG_Set_Type[Set Type], tbl_MTG_Set_Type[Sell Window Month End], "(Set Type not found)", 0, 1)</f>
        <v>(Set Type not found)</v>
      </c>
      <c r="W194" s="3" t="e">
        <f>tbl_MTG_Set[[#This Row],[Released On]]+tbl_MTG_Set[[#This Row],[Sell Window Month End]]*365.25/12</f>
        <v>#VALUE!</v>
      </c>
      <c r="X194" s="3" t="e">
        <f ca="1">AND(NOW()&gt;=tbl_MTG_Set[[#This Row],[Sell Window Start]], NOW()&lt;=tbl_MTG_Set[[#This Row],[Sell Window End]])</f>
        <v>#VALUE!</v>
      </c>
      <c r="AG194" s="10"/>
      <c r="AH194" s="10"/>
      <c r="AM194" s="10" t="str" cm="1">
        <f t="array" ref="AM1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4" s="10" t="str" cm="1">
        <f t="array" ref="AN1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4" s="4" t="e">
        <f>_xlfn.XLOOKUP(tbl_MTG_Set[[#This Row],[Play Booster Box Product Id]], tbl_Product[Product Id], tbl_Product[Pack Size])</f>
        <v>#N/A</v>
      </c>
      <c r="AP194" s="10" t="e">
        <f>(tbl_MTG_Set[[#This Row],[Play Booster Box Cost]]+v_Item_Shipping_Cost_In)/tbl_MTG_Set[[#This Row],[Play Booster Box Size]]</f>
        <v>#VALUE!</v>
      </c>
      <c r="AQ194" s="10" t="str" cm="1">
        <f t="array" ref="AQ1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4" s="10"/>
      <c r="AS194" s="10"/>
      <c r="AT194" s="17" t="e">
        <f>tbl_MTG_Set[[#This Row],[Play Booster CardMarket Profit]]/tbl_MTG_Set[[#This Row],[Play Booster Cost]]</f>
        <v>#VALUE!</v>
      </c>
      <c r="AU194" s="10" t="e">
        <f>_xlfn.XLOOKUP(tbl_MTG_Set[[#This Row],[Collector Booster Box Product Id]], tbl_Product[Product Id], tbl_Product[Min Cost])</f>
        <v>#N/A</v>
      </c>
      <c r="AV194" s="10" t="e">
        <f>_xlfn.XLOOKUP(tbl_MTG_Set[[#This Row],[Collector Booster Box Product Id]], tbl_Product[Product Id], tbl_Product[Best Source])</f>
        <v>#N/A</v>
      </c>
      <c r="AW194" s="4" t="e">
        <f>_xlfn.XLOOKUP(tbl_MTG_Set[[#This Row],[Collector Booster Box Product Id]], tbl_Product[Product Id], tbl_Product[Pack Size])</f>
        <v>#N/A</v>
      </c>
      <c r="AX194" s="10" t="e">
        <f>(tbl_MTG_Set[[#This Row],[Collector Booster Box Cost]] + v_Item_Shipping_Cost_In) / tbl_MTG_Set[[#This Row],[Collector Booster Box Size]]</f>
        <v>#N/A</v>
      </c>
      <c r="AY194" s="10" t="str" cm="1">
        <f t="array" ref="AY1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4" s="10"/>
      <c r="BA1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4" s="17" t="e">
        <f>tbl_MTG_Set[[#This Row],[Collector Booster CardMarket Profit]]/tbl_MTG_Set[[#This Row],[Collector Booster Cost]]</f>
        <v>#N/A</v>
      </c>
      <c r="BC194" s="10"/>
      <c r="BF1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4" s="11" t="e">
        <f>tbl_MTG_Set[[#This Row],[Play Singles CardMarket Profit MTG Stocks]]/tbl_MTG_Set[[#This Row],[Play Booster Cost]]</f>
        <v>#VALUE!</v>
      </c>
      <c r="BI194" s="11" t="b">
        <f>tbl_MTG_Set[[#This Row],[Play Singles CardMarket Profit MTG Stocks]]&gt;0</f>
        <v>0</v>
      </c>
      <c r="BM194" s="10" t="e">
        <f>tbl_MTG_Set[[#This Row],[Play Booster Sell Price CardMarket]]*tbl_MTG_Set[[#This Row],[Play Booster Expected Market Value BotBox]]/tbl_MTG_Set[[#This Row],[Play Booster Sealed Market Value BotBox]]</f>
        <v>#VALUE!</v>
      </c>
      <c r="BN1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4" s="10" t="e">
        <f>tbl_MTG_Set[[#This Row],[Play Singles CardMarket Profit BotBox]]/tbl_MTG_Set[[#This Row],[Play Booster Cost]]</f>
        <v>#VALUE!</v>
      </c>
      <c r="BP194" s="10" t="b">
        <f>tbl_MTG_Set[[#This Row],[Play Singles CardMarket Profit BotBox]]&gt;0</f>
        <v>0</v>
      </c>
      <c r="BQ194" s="10"/>
      <c r="BR194" s="10"/>
      <c r="BS194" s="10"/>
      <c r="BT1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4" s="19" t="e">
        <f>tbl_MTG_Set[[#This Row],[Collector Singles CardMarket Profit MTG Stocks]]/tbl_MTG_Set[[#This Row],[Collector Booster Cost]]</f>
        <v>#N/A</v>
      </c>
      <c r="BW194" s="10" t="b">
        <f>tbl_MTG_Set[[#This Row],[Collector Singles CardMarket Profit MTG Stocks]]&gt;0</f>
        <v>0</v>
      </c>
      <c r="BX194" s="10"/>
      <c r="BY194" s="10"/>
      <c r="BZ1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4" s="10" t="e">
        <f>tbl_MTG_Set[[#This Row],[Collector Singles CardMarket Profit BotBox]]/tbl_MTG_Set[[#This Row],[Collector Booster Cost]]</f>
        <v>#N/A</v>
      </c>
      <c r="CC194" s="10" t="b">
        <f>tbl_MTG_Set[[#This Row],[Collector Singles CardMarket Profit BotBox]]&gt;0</f>
        <v>0</v>
      </c>
      <c r="CD1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5" spans="1:86" hidden="1">
      <c r="A195">
        <v>214</v>
      </c>
      <c r="B195" t="s">
        <v>368</v>
      </c>
      <c r="C195">
        <v>352</v>
      </c>
      <c r="D195" s="3">
        <v>44897</v>
      </c>
      <c r="E195" t="s">
        <v>80</v>
      </c>
      <c r="F195" t="s">
        <v>174</v>
      </c>
      <c r="G195">
        <v>374</v>
      </c>
      <c r="H195">
        <f ca="1">MONTH(NOW())+12*YEAR(NOW())-MONTH(tbl_MTG_Set[[#This Row],[Released On]])-12*YEAR(tbl_MTG_Set[[#This Row],[Released On]])</f>
        <v>39</v>
      </c>
      <c r="I195">
        <f>_xlfn.XLOOKUP(tbl_MTG_Set[[#This Row],[Type Name]], tbl_MTG_Set_Type[Set Type], tbl_MTG_Set_Type[Index], "(Set Type not found)")</f>
        <v>5</v>
      </c>
      <c r="J195">
        <f>_xlfn.XLOOKUP(tbl_MTG_Set[[#This Row],[Type Name]], tbl_MTG_Set_Type[Set Type], tbl_MTG_Set_Type[Buy Window Month Start], "(Set Type not found)")</f>
        <v>3</v>
      </c>
      <c r="K195" s="3">
        <f>tbl_MTG_Set[[#This Row],[Released On]]+tbl_MTG_Set[[#This Row],[Buy Window Month Start]]*365.25/12</f>
        <v>44988.3125</v>
      </c>
      <c r="L195">
        <f>_xlfn.XLOOKUP(tbl_MTG_Set[[#This Row],[Type Name]], tbl_MTG_Set_Type[Set Type], tbl_MTG_Set_Type[Buy Window Month End], "(Set Type not found)", 0, 1)</f>
        <v>12</v>
      </c>
      <c r="M195" s="3">
        <f>tbl_MTG_Set[[#This Row],[Released On]]+tbl_MTG_Set[[#This Row],[Buy Window Month End]]*365.25/12</f>
        <v>45262.25</v>
      </c>
      <c r="N195" s="3" t="b">
        <f ca="1">AND(NOW()&gt;=tbl_MTG_Set[[#This Row],[Buy Window Start]], NOW()&lt;=tbl_MTG_Set[[#This Row],[Buy Window End]])</f>
        <v>0</v>
      </c>
      <c r="O195">
        <f>_xlfn.XLOOKUP(tbl_MTG_Set[[#This Row],[Type Name]], tbl_MTG_Set_Type[Set Type], tbl_MTG_Set_Type[Heavy Printing Window Month Start], "(Set Type not found)", 0, 1)</f>
        <v>12</v>
      </c>
      <c r="P195" s="3">
        <f>tbl_MTG_Set[[#This Row],[Released On]]+tbl_MTG_Set[[#This Row],[Heavy Printing Window Month Start]]*365.25/12</f>
        <v>45262.25</v>
      </c>
      <c r="Q195">
        <f>_xlfn.XLOOKUP(tbl_MTG_Set[[#This Row],[Type Name]], tbl_MTG_Set_Type[Set Type], tbl_MTG_Set_Type[Heavy Printing Window Month End], "(Set Type not found)", 0, 1)</f>
        <v>18</v>
      </c>
      <c r="R195" s="3">
        <f>tbl_MTG_Set[[#This Row],[Released On]]+tbl_MTG_Set[[#This Row],[Heavy Printing Window Month End]]*365.25/12</f>
        <v>45444.875</v>
      </c>
      <c r="S195" s="3" t="b">
        <f ca="1">AND(NOW()&gt;=tbl_MTG_Set[[#This Row],[Heavy Printing Window Start]], NOW()&lt;=tbl_MTG_Set[[#This Row],[Heavy Printing Window End]])</f>
        <v>0</v>
      </c>
      <c r="T195">
        <f>_xlfn.XLOOKUP(tbl_MTG_Set[[#This Row],[Type Name]], tbl_MTG_Set_Type[Set Type], tbl_MTG_Set_Type[Sell Window Month Start], "(Set Type not found)", 0, 1)</f>
        <v>24</v>
      </c>
      <c r="U195" s="3">
        <f>tbl_MTG_Set[[#This Row],[Released On]]+tbl_MTG_Set[[#This Row],[Sell Window Month Start]]*365.25/12</f>
        <v>45627.5</v>
      </c>
      <c r="V195">
        <f>_xlfn.XLOOKUP(tbl_MTG_Set[[#This Row],[Type Name]], tbl_MTG_Set_Type[Set Type], tbl_MTG_Set_Type[Sell Window Month End], "(Set Type not found)", 0, 1)</f>
        <v>24</v>
      </c>
      <c r="W195" s="3">
        <f>tbl_MTG_Set[[#This Row],[Released On]]+tbl_MTG_Set[[#This Row],[Sell Window Month End]]*365.25/12</f>
        <v>45627.5</v>
      </c>
      <c r="X195" s="3" t="b">
        <f ca="1">AND(NOW()&gt;=tbl_MTG_Set[[#This Row],[Sell Window Start]], NOW()&lt;=tbl_MTG_Set[[#This Row],[Sell Window End]])</f>
        <v>0</v>
      </c>
      <c r="AG195" s="10"/>
      <c r="AH195" s="10"/>
      <c r="AM195" s="10" t="str" cm="1">
        <f t="array" ref="AM1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5" s="10" t="str" cm="1">
        <f t="array" ref="AN1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5" s="4" t="e">
        <f>_xlfn.XLOOKUP(tbl_MTG_Set[[#This Row],[Play Booster Box Product Id]], tbl_Product[Product Id], tbl_Product[Pack Size])</f>
        <v>#N/A</v>
      </c>
      <c r="AP195" s="10" t="e">
        <f>(tbl_MTG_Set[[#This Row],[Play Booster Box Cost]]+v_Item_Shipping_Cost_In)/tbl_MTG_Set[[#This Row],[Play Booster Box Size]]</f>
        <v>#VALUE!</v>
      </c>
      <c r="AQ195" s="10" t="str" cm="1">
        <f t="array" ref="AQ1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5" s="10"/>
      <c r="AS195" s="10"/>
      <c r="AT195" s="17" t="e">
        <f>tbl_MTG_Set[[#This Row],[Play Booster CardMarket Profit]]/tbl_MTG_Set[[#This Row],[Play Booster Cost]]</f>
        <v>#VALUE!</v>
      </c>
      <c r="AU195" s="10" t="e">
        <f>_xlfn.XLOOKUP(tbl_MTG_Set[[#This Row],[Collector Booster Box Product Id]], tbl_Product[Product Id], tbl_Product[Min Cost])</f>
        <v>#N/A</v>
      </c>
      <c r="AV195" s="10" t="e">
        <f>_xlfn.XLOOKUP(tbl_MTG_Set[[#This Row],[Collector Booster Box Product Id]], tbl_Product[Product Id], tbl_Product[Best Source])</f>
        <v>#N/A</v>
      </c>
      <c r="AW195" s="4" t="e">
        <f>_xlfn.XLOOKUP(tbl_MTG_Set[[#This Row],[Collector Booster Box Product Id]], tbl_Product[Product Id], tbl_Product[Pack Size])</f>
        <v>#N/A</v>
      </c>
      <c r="AX195" s="10" t="e">
        <f>(tbl_MTG_Set[[#This Row],[Collector Booster Box Cost]] + v_Item_Shipping_Cost_In) / tbl_MTG_Set[[#This Row],[Collector Booster Box Size]]</f>
        <v>#N/A</v>
      </c>
      <c r="AY195" s="10" t="str" cm="1">
        <f t="array" ref="AY1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5" s="10"/>
      <c r="BA1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5" s="17" t="e">
        <f>tbl_MTG_Set[[#This Row],[Collector Booster CardMarket Profit]]/tbl_MTG_Set[[#This Row],[Collector Booster Cost]]</f>
        <v>#N/A</v>
      </c>
      <c r="BC195" s="10"/>
      <c r="BF1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5" s="11" t="e">
        <f>tbl_MTG_Set[[#This Row],[Play Singles CardMarket Profit MTG Stocks]]/tbl_MTG_Set[[#This Row],[Play Booster Cost]]</f>
        <v>#VALUE!</v>
      </c>
      <c r="BI195" s="11" t="b">
        <f>tbl_MTG_Set[[#This Row],[Play Singles CardMarket Profit MTG Stocks]]&gt;0</f>
        <v>0</v>
      </c>
      <c r="BM195" s="10" t="e">
        <f>tbl_MTG_Set[[#This Row],[Play Booster Sell Price CardMarket]]*tbl_MTG_Set[[#This Row],[Play Booster Expected Market Value BotBox]]/tbl_MTG_Set[[#This Row],[Play Booster Sealed Market Value BotBox]]</f>
        <v>#VALUE!</v>
      </c>
      <c r="BN1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5" s="10" t="e">
        <f>tbl_MTG_Set[[#This Row],[Play Singles CardMarket Profit BotBox]]/tbl_MTG_Set[[#This Row],[Play Booster Cost]]</f>
        <v>#VALUE!</v>
      </c>
      <c r="BP195" s="10" t="b">
        <f>tbl_MTG_Set[[#This Row],[Play Singles CardMarket Profit BotBox]]&gt;0</f>
        <v>0</v>
      </c>
      <c r="BQ195" s="10"/>
      <c r="BR195" s="10"/>
      <c r="BS195" s="10"/>
      <c r="BT1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5" s="19" t="e">
        <f>tbl_MTG_Set[[#This Row],[Collector Singles CardMarket Profit MTG Stocks]]/tbl_MTG_Set[[#This Row],[Collector Booster Cost]]</f>
        <v>#N/A</v>
      </c>
      <c r="BW195" s="10" t="b">
        <f>tbl_MTG_Set[[#This Row],[Collector Singles CardMarket Profit MTG Stocks]]&gt;0</f>
        <v>0</v>
      </c>
      <c r="BX195" s="10"/>
      <c r="BY195" s="10"/>
      <c r="BZ1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5" s="10" t="e">
        <f>tbl_MTG_Set[[#This Row],[Collector Singles CardMarket Profit BotBox]]/tbl_MTG_Set[[#This Row],[Collector Booster Cost]]</f>
        <v>#N/A</v>
      </c>
      <c r="CC195" s="10" t="b">
        <f>tbl_MTG_Set[[#This Row],[Collector Singles CardMarket Profit BotBox]]&gt;0</f>
        <v>0</v>
      </c>
      <c r="CD1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6" spans="1:86" hidden="1">
      <c r="A196">
        <v>215</v>
      </c>
      <c r="B196" t="s">
        <v>369</v>
      </c>
      <c r="C196">
        <v>27</v>
      </c>
      <c r="D196" s="3">
        <v>44897</v>
      </c>
      <c r="E196" t="s">
        <v>80</v>
      </c>
      <c r="F196" t="s">
        <v>174</v>
      </c>
      <c r="G196">
        <v>376</v>
      </c>
      <c r="H196">
        <f ca="1">MONTH(NOW())+12*YEAR(NOW())-MONTH(tbl_MTG_Set[[#This Row],[Released On]])-12*YEAR(tbl_MTG_Set[[#This Row],[Released On]])</f>
        <v>39</v>
      </c>
      <c r="I196">
        <f>_xlfn.XLOOKUP(tbl_MTG_Set[[#This Row],[Type Name]], tbl_MTG_Set_Type[Set Type], tbl_MTG_Set_Type[Index], "(Set Type not found)")</f>
        <v>5</v>
      </c>
      <c r="J196">
        <f>_xlfn.XLOOKUP(tbl_MTG_Set[[#This Row],[Type Name]], tbl_MTG_Set_Type[Set Type], tbl_MTG_Set_Type[Buy Window Month Start], "(Set Type not found)")</f>
        <v>3</v>
      </c>
      <c r="K196" s="3">
        <f>tbl_MTG_Set[[#This Row],[Released On]]+tbl_MTG_Set[[#This Row],[Buy Window Month Start]]*365.25/12</f>
        <v>44988.3125</v>
      </c>
      <c r="L196">
        <f>_xlfn.XLOOKUP(tbl_MTG_Set[[#This Row],[Type Name]], tbl_MTG_Set_Type[Set Type], tbl_MTG_Set_Type[Buy Window Month End], "(Set Type not found)", 0, 1)</f>
        <v>12</v>
      </c>
      <c r="M196" s="3">
        <f>tbl_MTG_Set[[#This Row],[Released On]]+tbl_MTG_Set[[#This Row],[Buy Window Month End]]*365.25/12</f>
        <v>45262.25</v>
      </c>
      <c r="N196" s="3" t="b">
        <f ca="1">AND(NOW()&gt;=tbl_MTG_Set[[#This Row],[Buy Window Start]], NOW()&lt;=tbl_MTG_Set[[#This Row],[Buy Window End]])</f>
        <v>0</v>
      </c>
      <c r="O196">
        <f>_xlfn.XLOOKUP(tbl_MTG_Set[[#This Row],[Type Name]], tbl_MTG_Set_Type[Set Type], tbl_MTG_Set_Type[Heavy Printing Window Month Start], "(Set Type not found)", 0, 1)</f>
        <v>12</v>
      </c>
      <c r="P196" s="3">
        <f>tbl_MTG_Set[[#This Row],[Released On]]+tbl_MTG_Set[[#This Row],[Heavy Printing Window Month Start]]*365.25/12</f>
        <v>45262.25</v>
      </c>
      <c r="Q196">
        <f>_xlfn.XLOOKUP(tbl_MTG_Set[[#This Row],[Type Name]], tbl_MTG_Set_Type[Set Type], tbl_MTG_Set_Type[Heavy Printing Window Month End], "(Set Type not found)", 0, 1)</f>
        <v>18</v>
      </c>
      <c r="R196" s="3">
        <f>tbl_MTG_Set[[#This Row],[Released On]]+tbl_MTG_Set[[#This Row],[Heavy Printing Window Month End]]*365.25/12</f>
        <v>45444.875</v>
      </c>
      <c r="S196" s="3" t="b">
        <f ca="1">AND(NOW()&gt;=tbl_MTG_Set[[#This Row],[Heavy Printing Window Start]], NOW()&lt;=tbl_MTG_Set[[#This Row],[Heavy Printing Window End]])</f>
        <v>0</v>
      </c>
      <c r="T196">
        <f>_xlfn.XLOOKUP(tbl_MTG_Set[[#This Row],[Type Name]], tbl_MTG_Set_Type[Set Type], tbl_MTG_Set_Type[Sell Window Month Start], "(Set Type not found)", 0, 1)</f>
        <v>24</v>
      </c>
      <c r="U196" s="3">
        <f>tbl_MTG_Set[[#This Row],[Released On]]+tbl_MTG_Set[[#This Row],[Sell Window Month Start]]*365.25/12</f>
        <v>45627.5</v>
      </c>
      <c r="V196">
        <f>_xlfn.XLOOKUP(tbl_MTG_Set[[#This Row],[Type Name]], tbl_MTG_Set_Type[Set Type], tbl_MTG_Set_Type[Sell Window Month End], "(Set Type not found)", 0, 1)</f>
        <v>24</v>
      </c>
      <c r="W196" s="3">
        <f>tbl_MTG_Set[[#This Row],[Released On]]+tbl_MTG_Set[[#This Row],[Sell Window Month End]]*365.25/12</f>
        <v>45627.5</v>
      </c>
      <c r="X196" s="3" t="b">
        <f ca="1">AND(NOW()&gt;=tbl_MTG_Set[[#This Row],[Sell Window Start]], NOW()&lt;=tbl_MTG_Set[[#This Row],[Sell Window End]])</f>
        <v>0</v>
      </c>
      <c r="AG196" s="10"/>
      <c r="AH196" s="10"/>
      <c r="AM196" s="10" t="str" cm="1">
        <f t="array" ref="AM1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6" s="10" t="str" cm="1">
        <f t="array" ref="AN1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6" s="4" t="e">
        <f>_xlfn.XLOOKUP(tbl_MTG_Set[[#This Row],[Play Booster Box Product Id]], tbl_Product[Product Id], tbl_Product[Pack Size])</f>
        <v>#N/A</v>
      </c>
      <c r="AP196" s="10" t="e">
        <f>(tbl_MTG_Set[[#This Row],[Play Booster Box Cost]]+v_Item_Shipping_Cost_In)/tbl_MTG_Set[[#This Row],[Play Booster Box Size]]</f>
        <v>#VALUE!</v>
      </c>
      <c r="AQ196" s="10" t="str" cm="1">
        <f t="array" ref="AQ1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6" s="10"/>
      <c r="AS196" s="10"/>
      <c r="AT196" s="17" t="e">
        <f>tbl_MTG_Set[[#This Row],[Play Booster CardMarket Profit]]/tbl_MTG_Set[[#This Row],[Play Booster Cost]]</f>
        <v>#VALUE!</v>
      </c>
      <c r="AU196" s="10" t="e">
        <f>_xlfn.XLOOKUP(tbl_MTG_Set[[#This Row],[Collector Booster Box Product Id]], tbl_Product[Product Id], tbl_Product[Min Cost])</f>
        <v>#N/A</v>
      </c>
      <c r="AV196" s="10" t="e">
        <f>_xlfn.XLOOKUP(tbl_MTG_Set[[#This Row],[Collector Booster Box Product Id]], tbl_Product[Product Id], tbl_Product[Best Source])</f>
        <v>#N/A</v>
      </c>
      <c r="AW196" s="4" t="e">
        <f>_xlfn.XLOOKUP(tbl_MTG_Set[[#This Row],[Collector Booster Box Product Id]], tbl_Product[Product Id], tbl_Product[Pack Size])</f>
        <v>#N/A</v>
      </c>
      <c r="AX196" s="10" t="e">
        <f>(tbl_MTG_Set[[#This Row],[Collector Booster Box Cost]] + v_Item_Shipping_Cost_In) / tbl_MTG_Set[[#This Row],[Collector Booster Box Size]]</f>
        <v>#N/A</v>
      </c>
      <c r="AY196" s="10" t="str" cm="1">
        <f t="array" ref="AY1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6" s="10"/>
      <c r="BA1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6" s="17" t="e">
        <f>tbl_MTG_Set[[#This Row],[Collector Booster CardMarket Profit]]/tbl_MTG_Set[[#This Row],[Collector Booster Cost]]</f>
        <v>#N/A</v>
      </c>
      <c r="BC196" s="10"/>
      <c r="BF1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6" s="11" t="e">
        <f>tbl_MTG_Set[[#This Row],[Play Singles CardMarket Profit MTG Stocks]]/tbl_MTG_Set[[#This Row],[Play Booster Cost]]</f>
        <v>#VALUE!</v>
      </c>
      <c r="BI196" s="11" t="b">
        <f>tbl_MTG_Set[[#This Row],[Play Singles CardMarket Profit MTG Stocks]]&gt;0</f>
        <v>0</v>
      </c>
      <c r="BM196" s="10" t="e">
        <f>tbl_MTG_Set[[#This Row],[Play Booster Sell Price CardMarket]]*tbl_MTG_Set[[#This Row],[Play Booster Expected Market Value BotBox]]/tbl_MTG_Set[[#This Row],[Play Booster Sealed Market Value BotBox]]</f>
        <v>#VALUE!</v>
      </c>
      <c r="BN1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6" s="10" t="e">
        <f>tbl_MTG_Set[[#This Row],[Play Singles CardMarket Profit BotBox]]/tbl_MTG_Set[[#This Row],[Play Booster Cost]]</f>
        <v>#VALUE!</v>
      </c>
      <c r="BP196" s="10" t="b">
        <f>tbl_MTG_Set[[#This Row],[Play Singles CardMarket Profit BotBox]]&gt;0</f>
        <v>0</v>
      </c>
      <c r="BQ196" s="10"/>
      <c r="BR196" s="10"/>
      <c r="BS196" s="10"/>
      <c r="BT1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6" s="19" t="e">
        <f>tbl_MTG_Set[[#This Row],[Collector Singles CardMarket Profit MTG Stocks]]/tbl_MTG_Set[[#This Row],[Collector Booster Cost]]</f>
        <v>#N/A</v>
      </c>
      <c r="BW196" s="10" t="b">
        <f>tbl_MTG_Set[[#This Row],[Collector Singles CardMarket Profit MTG Stocks]]&gt;0</f>
        <v>0</v>
      </c>
      <c r="BX196" s="10"/>
      <c r="BY196" s="10"/>
      <c r="BZ1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6" s="10" t="e">
        <f>tbl_MTG_Set[[#This Row],[Collector Singles CardMarket Profit BotBox]]/tbl_MTG_Set[[#This Row],[Collector Booster Cost]]</f>
        <v>#N/A</v>
      </c>
      <c r="CC196" s="10" t="b">
        <f>tbl_MTG_Set[[#This Row],[Collector Singles CardMarket Profit BotBox]]&gt;0</f>
        <v>0</v>
      </c>
      <c r="CD1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7" spans="1:86" hidden="1">
      <c r="A197">
        <v>216</v>
      </c>
      <c r="B197" t="s">
        <v>370</v>
      </c>
      <c r="C197">
        <v>835</v>
      </c>
      <c r="D197" s="3">
        <v>44897</v>
      </c>
      <c r="F197" t="s">
        <v>174</v>
      </c>
      <c r="G197">
        <v>378</v>
      </c>
      <c r="H197">
        <f ca="1">MONTH(NOW())+12*YEAR(NOW())-MONTH(tbl_MTG_Set[[#This Row],[Released On]])-12*YEAR(tbl_MTG_Set[[#This Row],[Released On]])</f>
        <v>39</v>
      </c>
      <c r="I197" t="str">
        <f>_xlfn.XLOOKUP(tbl_MTG_Set[[#This Row],[Type Name]], tbl_MTG_Set_Type[Set Type], tbl_MTG_Set_Type[Index], "(Set Type not found)")</f>
        <v>(Set Type not found)</v>
      </c>
      <c r="J197" t="str">
        <f>_xlfn.XLOOKUP(tbl_MTG_Set[[#This Row],[Type Name]], tbl_MTG_Set_Type[Set Type], tbl_MTG_Set_Type[Buy Window Month Start], "(Set Type not found)")</f>
        <v>(Set Type not found)</v>
      </c>
      <c r="K197" s="3" t="e">
        <f>tbl_MTG_Set[[#This Row],[Released On]]+tbl_MTG_Set[[#This Row],[Buy Window Month Start]]*365.25/12</f>
        <v>#VALUE!</v>
      </c>
      <c r="L197" t="str">
        <f>_xlfn.XLOOKUP(tbl_MTG_Set[[#This Row],[Type Name]], tbl_MTG_Set_Type[Set Type], tbl_MTG_Set_Type[Buy Window Month End], "(Set Type not found)", 0, 1)</f>
        <v>(Set Type not found)</v>
      </c>
      <c r="M197" s="3" t="e">
        <f>tbl_MTG_Set[[#This Row],[Released On]]+tbl_MTG_Set[[#This Row],[Buy Window Month End]]*365.25/12</f>
        <v>#VALUE!</v>
      </c>
      <c r="N197" s="3" t="e">
        <f ca="1">AND(NOW()&gt;=tbl_MTG_Set[[#This Row],[Buy Window Start]], NOW()&lt;=tbl_MTG_Set[[#This Row],[Buy Window End]])</f>
        <v>#VALUE!</v>
      </c>
      <c r="O197" t="str">
        <f>_xlfn.XLOOKUP(tbl_MTG_Set[[#This Row],[Type Name]], tbl_MTG_Set_Type[Set Type], tbl_MTG_Set_Type[Heavy Printing Window Month Start], "(Set Type not found)", 0, 1)</f>
        <v>(Set Type not found)</v>
      </c>
      <c r="P197" s="3" t="e">
        <f>tbl_MTG_Set[[#This Row],[Released On]]+tbl_MTG_Set[[#This Row],[Heavy Printing Window Month Start]]*365.25/12</f>
        <v>#VALUE!</v>
      </c>
      <c r="Q197" t="str">
        <f>_xlfn.XLOOKUP(tbl_MTG_Set[[#This Row],[Type Name]], tbl_MTG_Set_Type[Set Type], tbl_MTG_Set_Type[Heavy Printing Window Month End], "(Set Type not found)", 0, 1)</f>
        <v>(Set Type not found)</v>
      </c>
      <c r="R197" s="3" t="e">
        <f>tbl_MTG_Set[[#This Row],[Released On]]+tbl_MTG_Set[[#This Row],[Heavy Printing Window Month End]]*365.25/12</f>
        <v>#VALUE!</v>
      </c>
      <c r="S197" s="3" t="e">
        <f ca="1">AND(NOW()&gt;=tbl_MTG_Set[[#This Row],[Heavy Printing Window Start]], NOW()&lt;=tbl_MTG_Set[[#This Row],[Heavy Printing Window End]])</f>
        <v>#VALUE!</v>
      </c>
      <c r="T197" t="str">
        <f>_xlfn.XLOOKUP(tbl_MTG_Set[[#This Row],[Type Name]], tbl_MTG_Set_Type[Set Type], tbl_MTG_Set_Type[Sell Window Month Start], "(Set Type not found)", 0, 1)</f>
        <v>(Set Type not found)</v>
      </c>
      <c r="U197" s="3" t="e">
        <f>tbl_MTG_Set[[#This Row],[Released On]]+tbl_MTG_Set[[#This Row],[Sell Window Month Start]]*365.25/12</f>
        <v>#VALUE!</v>
      </c>
      <c r="V197" t="str">
        <f>_xlfn.XLOOKUP(tbl_MTG_Set[[#This Row],[Type Name]], tbl_MTG_Set_Type[Set Type], tbl_MTG_Set_Type[Sell Window Month End], "(Set Type not found)", 0, 1)</f>
        <v>(Set Type not found)</v>
      </c>
      <c r="W197" s="3" t="e">
        <f>tbl_MTG_Set[[#This Row],[Released On]]+tbl_MTG_Set[[#This Row],[Sell Window Month End]]*365.25/12</f>
        <v>#VALUE!</v>
      </c>
      <c r="X197" s="3" t="e">
        <f ca="1">AND(NOW()&gt;=tbl_MTG_Set[[#This Row],[Sell Window Start]], NOW()&lt;=tbl_MTG_Set[[#This Row],[Sell Window End]])</f>
        <v>#VALUE!</v>
      </c>
      <c r="AG197" s="10"/>
      <c r="AH197" s="10"/>
      <c r="AM197" s="10" t="str" cm="1">
        <f t="array" ref="AM1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7" s="10" t="str" cm="1">
        <f t="array" ref="AN1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7" s="4" t="e">
        <f>_xlfn.XLOOKUP(tbl_MTG_Set[[#This Row],[Play Booster Box Product Id]], tbl_Product[Product Id], tbl_Product[Pack Size])</f>
        <v>#N/A</v>
      </c>
      <c r="AP197" s="10" t="e">
        <f>(tbl_MTG_Set[[#This Row],[Play Booster Box Cost]]+v_Item_Shipping_Cost_In)/tbl_MTG_Set[[#This Row],[Play Booster Box Size]]</f>
        <v>#VALUE!</v>
      </c>
      <c r="AQ197" s="10" t="str" cm="1">
        <f t="array" ref="AQ1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7" s="10"/>
      <c r="AS197" s="10"/>
      <c r="AT197" s="17" t="e">
        <f>tbl_MTG_Set[[#This Row],[Play Booster CardMarket Profit]]/tbl_MTG_Set[[#This Row],[Play Booster Cost]]</f>
        <v>#VALUE!</v>
      </c>
      <c r="AU197" s="10" t="e">
        <f>_xlfn.XLOOKUP(tbl_MTG_Set[[#This Row],[Collector Booster Box Product Id]], tbl_Product[Product Id], tbl_Product[Min Cost])</f>
        <v>#N/A</v>
      </c>
      <c r="AV197" s="10" t="e">
        <f>_xlfn.XLOOKUP(tbl_MTG_Set[[#This Row],[Collector Booster Box Product Id]], tbl_Product[Product Id], tbl_Product[Best Source])</f>
        <v>#N/A</v>
      </c>
      <c r="AW197" s="4" t="e">
        <f>_xlfn.XLOOKUP(tbl_MTG_Set[[#This Row],[Collector Booster Box Product Id]], tbl_Product[Product Id], tbl_Product[Pack Size])</f>
        <v>#N/A</v>
      </c>
      <c r="AX197" s="10" t="e">
        <f>(tbl_MTG_Set[[#This Row],[Collector Booster Box Cost]] + v_Item_Shipping_Cost_In) / tbl_MTG_Set[[#This Row],[Collector Booster Box Size]]</f>
        <v>#N/A</v>
      </c>
      <c r="AY197" s="10" t="str" cm="1">
        <f t="array" ref="AY1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7" s="10"/>
      <c r="BA1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7" s="17" t="e">
        <f>tbl_MTG_Set[[#This Row],[Collector Booster CardMarket Profit]]/tbl_MTG_Set[[#This Row],[Collector Booster Cost]]</f>
        <v>#N/A</v>
      </c>
      <c r="BC197" s="10"/>
      <c r="BF1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7" s="11" t="e">
        <f>tbl_MTG_Set[[#This Row],[Play Singles CardMarket Profit MTG Stocks]]/tbl_MTG_Set[[#This Row],[Play Booster Cost]]</f>
        <v>#VALUE!</v>
      </c>
      <c r="BI197" s="11" t="b">
        <f>tbl_MTG_Set[[#This Row],[Play Singles CardMarket Profit MTG Stocks]]&gt;0</f>
        <v>0</v>
      </c>
      <c r="BM197" s="10" t="e">
        <f>tbl_MTG_Set[[#This Row],[Play Booster Sell Price CardMarket]]*tbl_MTG_Set[[#This Row],[Play Booster Expected Market Value BotBox]]/tbl_MTG_Set[[#This Row],[Play Booster Sealed Market Value BotBox]]</f>
        <v>#VALUE!</v>
      </c>
      <c r="BN1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7" s="10" t="e">
        <f>tbl_MTG_Set[[#This Row],[Play Singles CardMarket Profit BotBox]]/tbl_MTG_Set[[#This Row],[Play Booster Cost]]</f>
        <v>#VALUE!</v>
      </c>
      <c r="BP197" s="10" t="b">
        <f>tbl_MTG_Set[[#This Row],[Play Singles CardMarket Profit BotBox]]&gt;0</f>
        <v>0</v>
      </c>
      <c r="BQ197" s="10"/>
      <c r="BR197" s="10"/>
      <c r="BS197" s="10"/>
      <c r="BT1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7" s="19" t="e">
        <f>tbl_MTG_Set[[#This Row],[Collector Singles CardMarket Profit MTG Stocks]]/tbl_MTG_Set[[#This Row],[Collector Booster Cost]]</f>
        <v>#N/A</v>
      </c>
      <c r="BW197" s="10" t="b">
        <f>tbl_MTG_Set[[#This Row],[Collector Singles CardMarket Profit MTG Stocks]]&gt;0</f>
        <v>0</v>
      </c>
      <c r="BX197" s="10"/>
      <c r="BY197" s="10"/>
      <c r="BZ1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7" s="10" t="e">
        <f>tbl_MTG_Set[[#This Row],[Collector Singles CardMarket Profit BotBox]]/tbl_MTG_Set[[#This Row],[Collector Booster Cost]]</f>
        <v>#N/A</v>
      </c>
      <c r="CC197" s="10" t="b">
        <f>tbl_MTG_Set[[#This Row],[Collector Singles CardMarket Profit BotBox]]&gt;0</f>
        <v>0</v>
      </c>
      <c r="CD1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8" spans="1:86" hidden="1">
      <c r="A198">
        <v>217</v>
      </c>
      <c r="B198" t="s">
        <v>371</v>
      </c>
      <c r="C198">
        <v>46</v>
      </c>
      <c r="D198" s="3">
        <v>44897</v>
      </c>
      <c r="F198" t="s">
        <v>174</v>
      </c>
      <c r="G198">
        <v>380</v>
      </c>
      <c r="H198">
        <f ca="1">MONTH(NOW())+12*YEAR(NOW())-MONTH(tbl_MTG_Set[[#This Row],[Released On]])-12*YEAR(tbl_MTG_Set[[#This Row],[Released On]])</f>
        <v>39</v>
      </c>
      <c r="I198" t="str">
        <f>_xlfn.XLOOKUP(tbl_MTG_Set[[#This Row],[Type Name]], tbl_MTG_Set_Type[Set Type], tbl_MTG_Set_Type[Index], "(Set Type not found)")</f>
        <v>(Set Type not found)</v>
      </c>
      <c r="J198" t="str">
        <f>_xlfn.XLOOKUP(tbl_MTG_Set[[#This Row],[Type Name]], tbl_MTG_Set_Type[Set Type], tbl_MTG_Set_Type[Buy Window Month Start], "(Set Type not found)")</f>
        <v>(Set Type not found)</v>
      </c>
      <c r="K198" s="3" t="e">
        <f>tbl_MTG_Set[[#This Row],[Released On]]+tbl_MTG_Set[[#This Row],[Buy Window Month Start]]*365.25/12</f>
        <v>#VALUE!</v>
      </c>
      <c r="L198" t="str">
        <f>_xlfn.XLOOKUP(tbl_MTG_Set[[#This Row],[Type Name]], tbl_MTG_Set_Type[Set Type], tbl_MTG_Set_Type[Buy Window Month End], "(Set Type not found)", 0, 1)</f>
        <v>(Set Type not found)</v>
      </c>
      <c r="M198" s="3" t="e">
        <f>tbl_MTG_Set[[#This Row],[Released On]]+tbl_MTG_Set[[#This Row],[Buy Window Month End]]*365.25/12</f>
        <v>#VALUE!</v>
      </c>
      <c r="N198" s="3" t="e">
        <f ca="1">AND(NOW()&gt;=tbl_MTG_Set[[#This Row],[Buy Window Start]], NOW()&lt;=tbl_MTG_Set[[#This Row],[Buy Window End]])</f>
        <v>#VALUE!</v>
      </c>
      <c r="O198" t="str">
        <f>_xlfn.XLOOKUP(tbl_MTG_Set[[#This Row],[Type Name]], tbl_MTG_Set_Type[Set Type], tbl_MTG_Set_Type[Heavy Printing Window Month Start], "(Set Type not found)", 0, 1)</f>
        <v>(Set Type not found)</v>
      </c>
      <c r="P198" s="3" t="e">
        <f>tbl_MTG_Set[[#This Row],[Released On]]+tbl_MTG_Set[[#This Row],[Heavy Printing Window Month Start]]*365.25/12</f>
        <v>#VALUE!</v>
      </c>
      <c r="Q198" t="str">
        <f>_xlfn.XLOOKUP(tbl_MTG_Set[[#This Row],[Type Name]], tbl_MTG_Set_Type[Set Type], tbl_MTG_Set_Type[Heavy Printing Window Month End], "(Set Type not found)", 0, 1)</f>
        <v>(Set Type not found)</v>
      </c>
      <c r="R198" s="3" t="e">
        <f>tbl_MTG_Set[[#This Row],[Released On]]+tbl_MTG_Set[[#This Row],[Heavy Printing Window Month End]]*365.25/12</f>
        <v>#VALUE!</v>
      </c>
      <c r="S198" s="3" t="e">
        <f ca="1">AND(NOW()&gt;=tbl_MTG_Set[[#This Row],[Heavy Printing Window Start]], NOW()&lt;=tbl_MTG_Set[[#This Row],[Heavy Printing Window End]])</f>
        <v>#VALUE!</v>
      </c>
      <c r="T198" t="str">
        <f>_xlfn.XLOOKUP(tbl_MTG_Set[[#This Row],[Type Name]], tbl_MTG_Set_Type[Set Type], tbl_MTG_Set_Type[Sell Window Month Start], "(Set Type not found)", 0, 1)</f>
        <v>(Set Type not found)</v>
      </c>
      <c r="U198" s="3" t="e">
        <f>tbl_MTG_Set[[#This Row],[Released On]]+tbl_MTG_Set[[#This Row],[Sell Window Month Start]]*365.25/12</f>
        <v>#VALUE!</v>
      </c>
      <c r="V198" t="str">
        <f>_xlfn.XLOOKUP(tbl_MTG_Set[[#This Row],[Type Name]], tbl_MTG_Set_Type[Set Type], tbl_MTG_Set_Type[Sell Window Month End], "(Set Type not found)", 0, 1)</f>
        <v>(Set Type not found)</v>
      </c>
      <c r="W198" s="3" t="e">
        <f>tbl_MTG_Set[[#This Row],[Released On]]+tbl_MTG_Set[[#This Row],[Sell Window Month End]]*365.25/12</f>
        <v>#VALUE!</v>
      </c>
      <c r="X198" s="3" t="e">
        <f ca="1">AND(NOW()&gt;=tbl_MTG_Set[[#This Row],[Sell Window Start]], NOW()&lt;=tbl_MTG_Set[[#This Row],[Sell Window End]])</f>
        <v>#VALUE!</v>
      </c>
      <c r="AG198" s="10"/>
      <c r="AH198" s="10"/>
      <c r="AM198" s="10" t="str" cm="1">
        <f t="array" ref="AM1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8" s="10" t="str" cm="1">
        <f t="array" ref="AN1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8" s="4" t="e">
        <f>_xlfn.XLOOKUP(tbl_MTG_Set[[#This Row],[Play Booster Box Product Id]], tbl_Product[Product Id], tbl_Product[Pack Size])</f>
        <v>#N/A</v>
      </c>
      <c r="AP198" s="10" t="e">
        <f>(tbl_MTG_Set[[#This Row],[Play Booster Box Cost]]+v_Item_Shipping_Cost_In)/tbl_MTG_Set[[#This Row],[Play Booster Box Size]]</f>
        <v>#VALUE!</v>
      </c>
      <c r="AQ198" s="10" t="str" cm="1">
        <f t="array" ref="AQ1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8" s="10"/>
      <c r="AS198" s="10"/>
      <c r="AT198" s="17" t="e">
        <f>tbl_MTG_Set[[#This Row],[Play Booster CardMarket Profit]]/tbl_MTG_Set[[#This Row],[Play Booster Cost]]</f>
        <v>#VALUE!</v>
      </c>
      <c r="AU198" s="10" t="e">
        <f>_xlfn.XLOOKUP(tbl_MTG_Set[[#This Row],[Collector Booster Box Product Id]], tbl_Product[Product Id], tbl_Product[Min Cost])</f>
        <v>#N/A</v>
      </c>
      <c r="AV198" s="10" t="e">
        <f>_xlfn.XLOOKUP(tbl_MTG_Set[[#This Row],[Collector Booster Box Product Id]], tbl_Product[Product Id], tbl_Product[Best Source])</f>
        <v>#N/A</v>
      </c>
      <c r="AW198" s="4" t="e">
        <f>_xlfn.XLOOKUP(tbl_MTG_Set[[#This Row],[Collector Booster Box Product Id]], tbl_Product[Product Id], tbl_Product[Pack Size])</f>
        <v>#N/A</v>
      </c>
      <c r="AX198" s="10" t="e">
        <f>(tbl_MTG_Set[[#This Row],[Collector Booster Box Cost]] + v_Item_Shipping_Cost_In) / tbl_MTG_Set[[#This Row],[Collector Booster Box Size]]</f>
        <v>#N/A</v>
      </c>
      <c r="AY198" s="10" t="str" cm="1">
        <f t="array" ref="AY1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8" s="10"/>
      <c r="BA1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8" s="17" t="e">
        <f>tbl_MTG_Set[[#This Row],[Collector Booster CardMarket Profit]]/tbl_MTG_Set[[#This Row],[Collector Booster Cost]]</f>
        <v>#N/A</v>
      </c>
      <c r="BC198" s="10"/>
      <c r="BF1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8" s="11" t="e">
        <f>tbl_MTG_Set[[#This Row],[Play Singles CardMarket Profit MTG Stocks]]/tbl_MTG_Set[[#This Row],[Play Booster Cost]]</f>
        <v>#VALUE!</v>
      </c>
      <c r="BI198" s="11" t="b">
        <f>tbl_MTG_Set[[#This Row],[Play Singles CardMarket Profit MTG Stocks]]&gt;0</f>
        <v>0</v>
      </c>
      <c r="BM198" s="10" t="e">
        <f>tbl_MTG_Set[[#This Row],[Play Booster Sell Price CardMarket]]*tbl_MTG_Set[[#This Row],[Play Booster Expected Market Value BotBox]]/tbl_MTG_Set[[#This Row],[Play Booster Sealed Market Value BotBox]]</f>
        <v>#VALUE!</v>
      </c>
      <c r="BN1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8" s="10" t="e">
        <f>tbl_MTG_Set[[#This Row],[Play Singles CardMarket Profit BotBox]]/tbl_MTG_Set[[#This Row],[Play Booster Cost]]</f>
        <v>#VALUE!</v>
      </c>
      <c r="BP198" s="10" t="b">
        <f>tbl_MTG_Set[[#This Row],[Play Singles CardMarket Profit BotBox]]&gt;0</f>
        <v>0</v>
      </c>
      <c r="BQ198" s="10"/>
      <c r="BR198" s="10"/>
      <c r="BS198" s="10"/>
      <c r="BT1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8" s="19" t="e">
        <f>tbl_MTG_Set[[#This Row],[Collector Singles CardMarket Profit MTG Stocks]]/tbl_MTG_Set[[#This Row],[Collector Booster Cost]]</f>
        <v>#N/A</v>
      </c>
      <c r="BW198" s="10" t="b">
        <f>tbl_MTG_Set[[#This Row],[Collector Singles CardMarket Profit MTG Stocks]]&gt;0</f>
        <v>0</v>
      </c>
      <c r="BX198" s="10"/>
      <c r="BY198" s="10"/>
      <c r="BZ1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8" s="10" t="e">
        <f>tbl_MTG_Set[[#This Row],[Collector Singles CardMarket Profit BotBox]]/tbl_MTG_Set[[#This Row],[Collector Booster Cost]]</f>
        <v>#N/A</v>
      </c>
      <c r="CC198" s="10" t="b">
        <f>tbl_MTG_Set[[#This Row],[Collector Singles CardMarket Profit BotBox]]&gt;0</f>
        <v>0</v>
      </c>
      <c r="CD1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199" spans="1:86" hidden="1">
      <c r="A199">
        <v>218</v>
      </c>
      <c r="B199" t="s">
        <v>372</v>
      </c>
      <c r="C199">
        <v>594</v>
      </c>
      <c r="D199" s="3">
        <v>44893</v>
      </c>
      <c r="F199" t="s">
        <v>174</v>
      </c>
      <c r="G199">
        <v>382</v>
      </c>
      <c r="H199">
        <f ca="1">MONTH(NOW())+12*YEAR(NOW())-MONTH(tbl_MTG_Set[[#This Row],[Released On]])-12*YEAR(tbl_MTG_Set[[#This Row],[Released On]])</f>
        <v>40</v>
      </c>
      <c r="I199" t="str">
        <f>_xlfn.XLOOKUP(tbl_MTG_Set[[#This Row],[Type Name]], tbl_MTG_Set_Type[Set Type], tbl_MTG_Set_Type[Index], "(Set Type not found)")</f>
        <v>(Set Type not found)</v>
      </c>
      <c r="J199" t="str">
        <f>_xlfn.XLOOKUP(tbl_MTG_Set[[#This Row],[Type Name]], tbl_MTG_Set_Type[Set Type], tbl_MTG_Set_Type[Buy Window Month Start], "(Set Type not found)")</f>
        <v>(Set Type not found)</v>
      </c>
      <c r="K199" s="3" t="e">
        <f>tbl_MTG_Set[[#This Row],[Released On]]+tbl_MTG_Set[[#This Row],[Buy Window Month Start]]*365.25/12</f>
        <v>#VALUE!</v>
      </c>
      <c r="L199" t="str">
        <f>_xlfn.XLOOKUP(tbl_MTG_Set[[#This Row],[Type Name]], tbl_MTG_Set_Type[Set Type], tbl_MTG_Set_Type[Buy Window Month End], "(Set Type not found)", 0, 1)</f>
        <v>(Set Type not found)</v>
      </c>
      <c r="M199" s="3" t="e">
        <f>tbl_MTG_Set[[#This Row],[Released On]]+tbl_MTG_Set[[#This Row],[Buy Window Month End]]*365.25/12</f>
        <v>#VALUE!</v>
      </c>
      <c r="N199" s="3" t="e">
        <f ca="1">AND(NOW()&gt;=tbl_MTG_Set[[#This Row],[Buy Window Start]], NOW()&lt;=tbl_MTG_Set[[#This Row],[Buy Window End]])</f>
        <v>#VALUE!</v>
      </c>
      <c r="O199" t="str">
        <f>_xlfn.XLOOKUP(tbl_MTG_Set[[#This Row],[Type Name]], tbl_MTG_Set_Type[Set Type], tbl_MTG_Set_Type[Heavy Printing Window Month Start], "(Set Type not found)", 0, 1)</f>
        <v>(Set Type not found)</v>
      </c>
      <c r="P199" s="3" t="e">
        <f>tbl_MTG_Set[[#This Row],[Released On]]+tbl_MTG_Set[[#This Row],[Heavy Printing Window Month Start]]*365.25/12</f>
        <v>#VALUE!</v>
      </c>
      <c r="Q199" t="str">
        <f>_xlfn.XLOOKUP(tbl_MTG_Set[[#This Row],[Type Name]], tbl_MTG_Set_Type[Set Type], tbl_MTG_Set_Type[Heavy Printing Window Month End], "(Set Type not found)", 0, 1)</f>
        <v>(Set Type not found)</v>
      </c>
      <c r="R199" s="3" t="e">
        <f>tbl_MTG_Set[[#This Row],[Released On]]+tbl_MTG_Set[[#This Row],[Heavy Printing Window Month End]]*365.25/12</f>
        <v>#VALUE!</v>
      </c>
      <c r="S199" s="3" t="e">
        <f ca="1">AND(NOW()&gt;=tbl_MTG_Set[[#This Row],[Heavy Printing Window Start]], NOW()&lt;=tbl_MTG_Set[[#This Row],[Heavy Printing Window End]])</f>
        <v>#VALUE!</v>
      </c>
      <c r="T199" t="str">
        <f>_xlfn.XLOOKUP(tbl_MTG_Set[[#This Row],[Type Name]], tbl_MTG_Set_Type[Set Type], tbl_MTG_Set_Type[Sell Window Month Start], "(Set Type not found)", 0, 1)</f>
        <v>(Set Type not found)</v>
      </c>
      <c r="U199" s="3" t="e">
        <f>tbl_MTG_Set[[#This Row],[Released On]]+tbl_MTG_Set[[#This Row],[Sell Window Month Start]]*365.25/12</f>
        <v>#VALUE!</v>
      </c>
      <c r="V199" t="str">
        <f>_xlfn.XLOOKUP(tbl_MTG_Set[[#This Row],[Type Name]], tbl_MTG_Set_Type[Set Type], tbl_MTG_Set_Type[Sell Window Month End], "(Set Type not found)", 0, 1)</f>
        <v>(Set Type not found)</v>
      </c>
      <c r="W199" s="3" t="e">
        <f>tbl_MTG_Set[[#This Row],[Released On]]+tbl_MTG_Set[[#This Row],[Sell Window Month End]]*365.25/12</f>
        <v>#VALUE!</v>
      </c>
      <c r="X199" s="3" t="e">
        <f ca="1">AND(NOW()&gt;=tbl_MTG_Set[[#This Row],[Sell Window Start]], NOW()&lt;=tbl_MTG_Set[[#This Row],[Sell Window End]])</f>
        <v>#VALUE!</v>
      </c>
      <c r="AG199" s="10"/>
      <c r="AH199" s="10"/>
      <c r="AM199" s="10" t="str" cm="1">
        <f t="array" ref="AM1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199" s="10" t="str" cm="1">
        <f t="array" ref="AN1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199" s="4" t="e">
        <f>_xlfn.XLOOKUP(tbl_MTG_Set[[#This Row],[Play Booster Box Product Id]], tbl_Product[Product Id], tbl_Product[Pack Size])</f>
        <v>#N/A</v>
      </c>
      <c r="AP199" s="10" t="e">
        <f>(tbl_MTG_Set[[#This Row],[Play Booster Box Cost]]+v_Item_Shipping_Cost_In)/tbl_MTG_Set[[#This Row],[Play Booster Box Size]]</f>
        <v>#VALUE!</v>
      </c>
      <c r="AQ199" s="10" t="str" cm="1">
        <f t="array" ref="AQ1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99" s="10"/>
      <c r="AS199" s="10"/>
      <c r="AT199" s="17" t="e">
        <f>tbl_MTG_Set[[#This Row],[Play Booster CardMarket Profit]]/tbl_MTG_Set[[#This Row],[Play Booster Cost]]</f>
        <v>#VALUE!</v>
      </c>
      <c r="AU199" s="10" t="e">
        <f>_xlfn.XLOOKUP(tbl_MTG_Set[[#This Row],[Collector Booster Box Product Id]], tbl_Product[Product Id], tbl_Product[Min Cost])</f>
        <v>#N/A</v>
      </c>
      <c r="AV199" s="10" t="e">
        <f>_xlfn.XLOOKUP(tbl_MTG_Set[[#This Row],[Collector Booster Box Product Id]], tbl_Product[Product Id], tbl_Product[Best Source])</f>
        <v>#N/A</v>
      </c>
      <c r="AW199" s="4" t="e">
        <f>_xlfn.XLOOKUP(tbl_MTG_Set[[#This Row],[Collector Booster Box Product Id]], tbl_Product[Product Id], tbl_Product[Pack Size])</f>
        <v>#N/A</v>
      </c>
      <c r="AX199" s="10" t="e">
        <f>(tbl_MTG_Set[[#This Row],[Collector Booster Box Cost]] + v_Item_Shipping_Cost_In) / tbl_MTG_Set[[#This Row],[Collector Booster Box Size]]</f>
        <v>#N/A</v>
      </c>
      <c r="AY199" s="10" t="str" cm="1">
        <f t="array" ref="AY1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199" s="10"/>
      <c r="BA1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199" s="17" t="e">
        <f>tbl_MTG_Set[[#This Row],[Collector Booster CardMarket Profit]]/tbl_MTG_Set[[#This Row],[Collector Booster Cost]]</f>
        <v>#N/A</v>
      </c>
      <c r="BC199" s="10"/>
      <c r="BF1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99" s="11" t="e">
        <f>tbl_MTG_Set[[#This Row],[Play Singles CardMarket Profit MTG Stocks]]/tbl_MTG_Set[[#This Row],[Play Booster Cost]]</f>
        <v>#VALUE!</v>
      </c>
      <c r="BI199" s="11" t="b">
        <f>tbl_MTG_Set[[#This Row],[Play Singles CardMarket Profit MTG Stocks]]&gt;0</f>
        <v>0</v>
      </c>
      <c r="BM199" s="10" t="e">
        <f>tbl_MTG_Set[[#This Row],[Play Booster Sell Price CardMarket]]*tbl_MTG_Set[[#This Row],[Play Booster Expected Market Value BotBox]]/tbl_MTG_Set[[#This Row],[Play Booster Sealed Market Value BotBox]]</f>
        <v>#VALUE!</v>
      </c>
      <c r="BN1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99" s="10" t="e">
        <f>tbl_MTG_Set[[#This Row],[Play Singles CardMarket Profit BotBox]]/tbl_MTG_Set[[#This Row],[Play Booster Cost]]</f>
        <v>#VALUE!</v>
      </c>
      <c r="BP199" s="10" t="b">
        <f>tbl_MTG_Set[[#This Row],[Play Singles CardMarket Profit BotBox]]&gt;0</f>
        <v>0</v>
      </c>
      <c r="BQ199" s="10"/>
      <c r="BR199" s="10"/>
      <c r="BS199" s="10"/>
      <c r="BT1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1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99" s="19" t="e">
        <f>tbl_MTG_Set[[#This Row],[Collector Singles CardMarket Profit MTG Stocks]]/tbl_MTG_Set[[#This Row],[Collector Booster Cost]]</f>
        <v>#N/A</v>
      </c>
      <c r="BW199" s="10" t="b">
        <f>tbl_MTG_Set[[#This Row],[Collector Singles CardMarket Profit MTG Stocks]]&gt;0</f>
        <v>0</v>
      </c>
      <c r="BX199" s="10"/>
      <c r="BY199" s="10"/>
      <c r="BZ1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1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99" s="10" t="e">
        <f>tbl_MTG_Set[[#This Row],[Collector Singles CardMarket Profit BotBox]]/tbl_MTG_Set[[#This Row],[Collector Booster Cost]]</f>
        <v>#N/A</v>
      </c>
      <c r="CC199" s="10" t="b">
        <f>tbl_MTG_Set[[#This Row],[Collector Singles CardMarket Profit BotBox]]&gt;0</f>
        <v>0</v>
      </c>
      <c r="CD1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1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0" spans="1:86" hidden="1">
      <c r="A200">
        <v>219</v>
      </c>
      <c r="B200" t="s">
        <v>373</v>
      </c>
      <c r="C200">
        <v>30</v>
      </c>
      <c r="D200" s="3">
        <v>44806</v>
      </c>
      <c r="F200" t="s">
        <v>174</v>
      </c>
      <c r="G200">
        <v>384</v>
      </c>
      <c r="H200">
        <f ca="1">MONTH(NOW())+12*YEAR(NOW())-MONTH(tbl_MTG_Set[[#This Row],[Released On]])-12*YEAR(tbl_MTG_Set[[#This Row],[Released On]])</f>
        <v>42</v>
      </c>
      <c r="I200" t="str">
        <f>_xlfn.XLOOKUP(tbl_MTG_Set[[#This Row],[Type Name]], tbl_MTG_Set_Type[Set Type], tbl_MTG_Set_Type[Index], "(Set Type not found)")</f>
        <v>(Set Type not found)</v>
      </c>
      <c r="J200" t="str">
        <f>_xlfn.XLOOKUP(tbl_MTG_Set[[#This Row],[Type Name]], tbl_MTG_Set_Type[Set Type], tbl_MTG_Set_Type[Buy Window Month Start], "(Set Type not found)")</f>
        <v>(Set Type not found)</v>
      </c>
      <c r="K200" s="3" t="e">
        <f>tbl_MTG_Set[[#This Row],[Released On]]+tbl_MTG_Set[[#This Row],[Buy Window Month Start]]*365.25/12</f>
        <v>#VALUE!</v>
      </c>
      <c r="L200" t="str">
        <f>_xlfn.XLOOKUP(tbl_MTG_Set[[#This Row],[Type Name]], tbl_MTG_Set_Type[Set Type], tbl_MTG_Set_Type[Buy Window Month End], "(Set Type not found)", 0, 1)</f>
        <v>(Set Type not found)</v>
      </c>
      <c r="M200" s="3" t="e">
        <f>tbl_MTG_Set[[#This Row],[Released On]]+tbl_MTG_Set[[#This Row],[Buy Window Month End]]*365.25/12</f>
        <v>#VALUE!</v>
      </c>
      <c r="N200" s="3" t="e">
        <f ca="1">AND(NOW()&gt;=tbl_MTG_Set[[#This Row],[Buy Window Start]], NOW()&lt;=tbl_MTG_Set[[#This Row],[Buy Window End]])</f>
        <v>#VALUE!</v>
      </c>
      <c r="O200" t="str">
        <f>_xlfn.XLOOKUP(tbl_MTG_Set[[#This Row],[Type Name]], tbl_MTG_Set_Type[Set Type], tbl_MTG_Set_Type[Heavy Printing Window Month Start], "(Set Type not found)", 0, 1)</f>
        <v>(Set Type not found)</v>
      </c>
      <c r="P200" s="3" t="e">
        <f>tbl_MTG_Set[[#This Row],[Released On]]+tbl_MTG_Set[[#This Row],[Heavy Printing Window Month Start]]*365.25/12</f>
        <v>#VALUE!</v>
      </c>
      <c r="Q200" t="str">
        <f>_xlfn.XLOOKUP(tbl_MTG_Set[[#This Row],[Type Name]], tbl_MTG_Set_Type[Set Type], tbl_MTG_Set_Type[Heavy Printing Window Month End], "(Set Type not found)", 0, 1)</f>
        <v>(Set Type not found)</v>
      </c>
      <c r="R200" s="3" t="e">
        <f>tbl_MTG_Set[[#This Row],[Released On]]+tbl_MTG_Set[[#This Row],[Heavy Printing Window Month End]]*365.25/12</f>
        <v>#VALUE!</v>
      </c>
      <c r="S200" s="3" t="e">
        <f ca="1">AND(NOW()&gt;=tbl_MTG_Set[[#This Row],[Heavy Printing Window Start]], NOW()&lt;=tbl_MTG_Set[[#This Row],[Heavy Printing Window End]])</f>
        <v>#VALUE!</v>
      </c>
      <c r="T200" t="str">
        <f>_xlfn.XLOOKUP(tbl_MTG_Set[[#This Row],[Type Name]], tbl_MTG_Set_Type[Set Type], tbl_MTG_Set_Type[Sell Window Month Start], "(Set Type not found)", 0, 1)</f>
        <v>(Set Type not found)</v>
      </c>
      <c r="U200" s="3" t="e">
        <f>tbl_MTG_Set[[#This Row],[Released On]]+tbl_MTG_Set[[#This Row],[Sell Window Month Start]]*365.25/12</f>
        <v>#VALUE!</v>
      </c>
      <c r="V200" t="str">
        <f>_xlfn.XLOOKUP(tbl_MTG_Set[[#This Row],[Type Name]], tbl_MTG_Set_Type[Set Type], tbl_MTG_Set_Type[Sell Window Month End], "(Set Type not found)", 0, 1)</f>
        <v>(Set Type not found)</v>
      </c>
      <c r="W200" s="3" t="e">
        <f>tbl_MTG_Set[[#This Row],[Released On]]+tbl_MTG_Set[[#This Row],[Sell Window Month End]]*365.25/12</f>
        <v>#VALUE!</v>
      </c>
      <c r="X200" s="3" t="e">
        <f ca="1">AND(NOW()&gt;=tbl_MTG_Set[[#This Row],[Sell Window Start]], NOW()&lt;=tbl_MTG_Set[[#This Row],[Sell Window End]])</f>
        <v>#VALUE!</v>
      </c>
      <c r="AG200" s="10"/>
      <c r="AH200" s="10"/>
      <c r="AM200" s="10" t="str" cm="1">
        <f t="array" ref="AM2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0" s="10" t="str" cm="1">
        <f t="array" ref="AN2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0" s="4" t="e">
        <f>_xlfn.XLOOKUP(tbl_MTG_Set[[#This Row],[Play Booster Box Product Id]], tbl_Product[Product Id], tbl_Product[Pack Size])</f>
        <v>#N/A</v>
      </c>
      <c r="AP200" s="10" t="e">
        <f>(tbl_MTG_Set[[#This Row],[Play Booster Box Cost]]+v_Item_Shipping_Cost_In)/tbl_MTG_Set[[#This Row],[Play Booster Box Size]]</f>
        <v>#VALUE!</v>
      </c>
      <c r="AQ200" s="10" t="str" cm="1">
        <f t="array" ref="AQ2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0" s="10"/>
      <c r="AS200" s="10"/>
      <c r="AT200" s="17" t="e">
        <f>tbl_MTG_Set[[#This Row],[Play Booster CardMarket Profit]]/tbl_MTG_Set[[#This Row],[Play Booster Cost]]</f>
        <v>#VALUE!</v>
      </c>
      <c r="AU200" s="10" t="e">
        <f>_xlfn.XLOOKUP(tbl_MTG_Set[[#This Row],[Collector Booster Box Product Id]], tbl_Product[Product Id], tbl_Product[Min Cost])</f>
        <v>#N/A</v>
      </c>
      <c r="AV200" s="10" t="e">
        <f>_xlfn.XLOOKUP(tbl_MTG_Set[[#This Row],[Collector Booster Box Product Id]], tbl_Product[Product Id], tbl_Product[Best Source])</f>
        <v>#N/A</v>
      </c>
      <c r="AW200" s="4" t="e">
        <f>_xlfn.XLOOKUP(tbl_MTG_Set[[#This Row],[Collector Booster Box Product Id]], tbl_Product[Product Id], tbl_Product[Pack Size])</f>
        <v>#N/A</v>
      </c>
      <c r="AX200" s="10" t="e">
        <f>(tbl_MTG_Set[[#This Row],[Collector Booster Box Cost]] + v_Item_Shipping_Cost_In) / tbl_MTG_Set[[#This Row],[Collector Booster Box Size]]</f>
        <v>#N/A</v>
      </c>
      <c r="AY200" s="10" t="str" cm="1">
        <f t="array" ref="AY2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0" s="10"/>
      <c r="BA2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0" s="17" t="e">
        <f>tbl_MTG_Set[[#This Row],[Collector Booster CardMarket Profit]]/tbl_MTG_Set[[#This Row],[Collector Booster Cost]]</f>
        <v>#N/A</v>
      </c>
      <c r="BC200" s="10"/>
      <c r="BF2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0" s="11" t="e">
        <f>tbl_MTG_Set[[#This Row],[Play Singles CardMarket Profit MTG Stocks]]/tbl_MTG_Set[[#This Row],[Play Booster Cost]]</f>
        <v>#VALUE!</v>
      </c>
      <c r="BI200" s="11" t="b">
        <f>tbl_MTG_Set[[#This Row],[Play Singles CardMarket Profit MTG Stocks]]&gt;0</f>
        <v>0</v>
      </c>
      <c r="BM200" s="10" t="e">
        <f>tbl_MTG_Set[[#This Row],[Play Booster Sell Price CardMarket]]*tbl_MTG_Set[[#This Row],[Play Booster Expected Market Value BotBox]]/tbl_MTG_Set[[#This Row],[Play Booster Sealed Market Value BotBox]]</f>
        <v>#VALUE!</v>
      </c>
      <c r="BN2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0" s="10" t="e">
        <f>tbl_MTG_Set[[#This Row],[Play Singles CardMarket Profit BotBox]]/tbl_MTG_Set[[#This Row],[Play Booster Cost]]</f>
        <v>#VALUE!</v>
      </c>
      <c r="BP200" s="10" t="b">
        <f>tbl_MTG_Set[[#This Row],[Play Singles CardMarket Profit BotBox]]&gt;0</f>
        <v>0</v>
      </c>
      <c r="BQ200" s="10"/>
      <c r="BR200" s="10"/>
      <c r="BS200" s="10"/>
      <c r="BT2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0" s="19" t="e">
        <f>tbl_MTG_Set[[#This Row],[Collector Singles CardMarket Profit MTG Stocks]]/tbl_MTG_Set[[#This Row],[Collector Booster Cost]]</f>
        <v>#N/A</v>
      </c>
      <c r="BW200" s="10" t="b">
        <f>tbl_MTG_Set[[#This Row],[Collector Singles CardMarket Profit MTG Stocks]]&gt;0</f>
        <v>0</v>
      </c>
      <c r="BX200" s="10"/>
      <c r="BY200" s="10"/>
      <c r="BZ2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0" s="10" t="e">
        <f>tbl_MTG_Set[[#This Row],[Collector Singles CardMarket Profit BotBox]]/tbl_MTG_Set[[#This Row],[Collector Booster Cost]]</f>
        <v>#N/A</v>
      </c>
      <c r="CC200" s="10" t="b">
        <f>tbl_MTG_Set[[#This Row],[Collector Singles CardMarket Profit BotBox]]&gt;0</f>
        <v>0</v>
      </c>
      <c r="CD2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1" spans="1:86" hidden="1">
      <c r="A201">
        <v>220</v>
      </c>
      <c r="B201" t="s">
        <v>374</v>
      </c>
      <c r="C201">
        <v>16</v>
      </c>
      <c r="D201" s="3">
        <v>44893</v>
      </c>
      <c r="F201" t="s">
        <v>174</v>
      </c>
      <c r="G201">
        <v>386</v>
      </c>
      <c r="H201">
        <f ca="1">MONTH(NOW())+12*YEAR(NOW())-MONTH(tbl_MTG_Set[[#This Row],[Released On]])-12*YEAR(tbl_MTG_Set[[#This Row],[Released On]])</f>
        <v>40</v>
      </c>
      <c r="I201" t="str">
        <f>_xlfn.XLOOKUP(tbl_MTG_Set[[#This Row],[Type Name]], tbl_MTG_Set_Type[Set Type], tbl_MTG_Set_Type[Index], "(Set Type not found)")</f>
        <v>(Set Type not found)</v>
      </c>
      <c r="J201" t="str">
        <f>_xlfn.XLOOKUP(tbl_MTG_Set[[#This Row],[Type Name]], tbl_MTG_Set_Type[Set Type], tbl_MTG_Set_Type[Buy Window Month Start], "(Set Type not found)")</f>
        <v>(Set Type not found)</v>
      </c>
      <c r="K201" s="3" t="e">
        <f>tbl_MTG_Set[[#This Row],[Released On]]+tbl_MTG_Set[[#This Row],[Buy Window Month Start]]*365.25/12</f>
        <v>#VALUE!</v>
      </c>
      <c r="L201" t="str">
        <f>_xlfn.XLOOKUP(tbl_MTG_Set[[#This Row],[Type Name]], tbl_MTG_Set_Type[Set Type], tbl_MTG_Set_Type[Buy Window Month End], "(Set Type not found)", 0, 1)</f>
        <v>(Set Type not found)</v>
      </c>
      <c r="M201" s="3" t="e">
        <f>tbl_MTG_Set[[#This Row],[Released On]]+tbl_MTG_Set[[#This Row],[Buy Window Month End]]*365.25/12</f>
        <v>#VALUE!</v>
      </c>
      <c r="N201" s="3" t="e">
        <f ca="1">AND(NOW()&gt;=tbl_MTG_Set[[#This Row],[Buy Window Start]], NOW()&lt;=tbl_MTG_Set[[#This Row],[Buy Window End]])</f>
        <v>#VALUE!</v>
      </c>
      <c r="O201" t="str">
        <f>_xlfn.XLOOKUP(tbl_MTG_Set[[#This Row],[Type Name]], tbl_MTG_Set_Type[Set Type], tbl_MTG_Set_Type[Heavy Printing Window Month Start], "(Set Type not found)", 0, 1)</f>
        <v>(Set Type not found)</v>
      </c>
      <c r="P201" s="3" t="e">
        <f>tbl_MTG_Set[[#This Row],[Released On]]+tbl_MTG_Set[[#This Row],[Heavy Printing Window Month Start]]*365.25/12</f>
        <v>#VALUE!</v>
      </c>
      <c r="Q201" t="str">
        <f>_xlfn.XLOOKUP(tbl_MTG_Set[[#This Row],[Type Name]], tbl_MTG_Set_Type[Set Type], tbl_MTG_Set_Type[Heavy Printing Window Month End], "(Set Type not found)", 0, 1)</f>
        <v>(Set Type not found)</v>
      </c>
      <c r="R201" s="3" t="e">
        <f>tbl_MTG_Set[[#This Row],[Released On]]+tbl_MTG_Set[[#This Row],[Heavy Printing Window Month End]]*365.25/12</f>
        <v>#VALUE!</v>
      </c>
      <c r="S201" s="3" t="e">
        <f ca="1">AND(NOW()&gt;=tbl_MTG_Set[[#This Row],[Heavy Printing Window Start]], NOW()&lt;=tbl_MTG_Set[[#This Row],[Heavy Printing Window End]])</f>
        <v>#VALUE!</v>
      </c>
      <c r="T201" t="str">
        <f>_xlfn.XLOOKUP(tbl_MTG_Set[[#This Row],[Type Name]], tbl_MTG_Set_Type[Set Type], tbl_MTG_Set_Type[Sell Window Month Start], "(Set Type not found)", 0, 1)</f>
        <v>(Set Type not found)</v>
      </c>
      <c r="U201" s="3" t="e">
        <f>tbl_MTG_Set[[#This Row],[Released On]]+tbl_MTG_Set[[#This Row],[Sell Window Month Start]]*365.25/12</f>
        <v>#VALUE!</v>
      </c>
      <c r="V201" t="str">
        <f>_xlfn.XLOOKUP(tbl_MTG_Set[[#This Row],[Type Name]], tbl_MTG_Set_Type[Set Type], tbl_MTG_Set_Type[Sell Window Month End], "(Set Type not found)", 0, 1)</f>
        <v>(Set Type not found)</v>
      </c>
      <c r="W201" s="3" t="e">
        <f>tbl_MTG_Set[[#This Row],[Released On]]+tbl_MTG_Set[[#This Row],[Sell Window Month End]]*365.25/12</f>
        <v>#VALUE!</v>
      </c>
      <c r="X201" s="3" t="e">
        <f ca="1">AND(NOW()&gt;=tbl_MTG_Set[[#This Row],[Sell Window Start]], NOW()&lt;=tbl_MTG_Set[[#This Row],[Sell Window End]])</f>
        <v>#VALUE!</v>
      </c>
      <c r="AG201" s="10"/>
      <c r="AH201" s="10"/>
      <c r="AM201" s="10" t="str" cm="1">
        <f t="array" ref="AM2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1" s="10" t="str" cm="1">
        <f t="array" ref="AN2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1" s="4" t="e">
        <f>_xlfn.XLOOKUP(tbl_MTG_Set[[#This Row],[Play Booster Box Product Id]], tbl_Product[Product Id], tbl_Product[Pack Size])</f>
        <v>#N/A</v>
      </c>
      <c r="AP201" s="10" t="e">
        <f>(tbl_MTG_Set[[#This Row],[Play Booster Box Cost]]+v_Item_Shipping_Cost_In)/tbl_MTG_Set[[#This Row],[Play Booster Box Size]]</f>
        <v>#VALUE!</v>
      </c>
      <c r="AQ201" s="10" t="str" cm="1">
        <f t="array" ref="AQ2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1" s="10"/>
      <c r="AS201" s="10"/>
      <c r="AT201" s="17" t="e">
        <f>tbl_MTG_Set[[#This Row],[Play Booster CardMarket Profit]]/tbl_MTG_Set[[#This Row],[Play Booster Cost]]</f>
        <v>#VALUE!</v>
      </c>
      <c r="AU201" s="10" t="e">
        <f>_xlfn.XLOOKUP(tbl_MTG_Set[[#This Row],[Collector Booster Box Product Id]], tbl_Product[Product Id], tbl_Product[Min Cost])</f>
        <v>#N/A</v>
      </c>
      <c r="AV201" s="10" t="e">
        <f>_xlfn.XLOOKUP(tbl_MTG_Set[[#This Row],[Collector Booster Box Product Id]], tbl_Product[Product Id], tbl_Product[Best Source])</f>
        <v>#N/A</v>
      </c>
      <c r="AW201" s="4" t="e">
        <f>_xlfn.XLOOKUP(tbl_MTG_Set[[#This Row],[Collector Booster Box Product Id]], tbl_Product[Product Id], tbl_Product[Pack Size])</f>
        <v>#N/A</v>
      </c>
      <c r="AX201" s="10" t="e">
        <f>(tbl_MTG_Set[[#This Row],[Collector Booster Box Cost]] + v_Item_Shipping_Cost_In) / tbl_MTG_Set[[#This Row],[Collector Booster Box Size]]</f>
        <v>#N/A</v>
      </c>
      <c r="AY201" s="10" t="str" cm="1">
        <f t="array" ref="AY2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1" s="10"/>
      <c r="BA2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1" s="17" t="e">
        <f>tbl_MTG_Set[[#This Row],[Collector Booster CardMarket Profit]]/tbl_MTG_Set[[#This Row],[Collector Booster Cost]]</f>
        <v>#N/A</v>
      </c>
      <c r="BC201" s="10"/>
      <c r="BF2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1" s="11" t="e">
        <f>tbl_MTG_Set[[#This Row],[Play Singles CardMarket Profit MTG Stocks]]/tbl_MTG_Set[[#This Row],[Play Booster Cost]]</f>
        <v>#VALUE!</v>
      </c>
      <c r="BI201" s="11" t="b">
        <f>tbl_MTG_Set[[#This Row],[Play Singles CardMarket Profit MTG Stocks]]&gt;0</f>
        <v>0</v>
      </c>
      <c r="BM201" s="10" t="e">
        <f>tbl_MTG_Set[[#This Row],[Play Booster Sell Price CardMarket]]*tbl_MTG_Set[[#This Row],[Play Booster Expected Market Value BotBox]]/tbl_MTG_Set[[#This Row],[Play Booster Sealed Market Value BotBox]]</f>
        <v>#VALUE!</v>
      </c>
      <c r="BN2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1" s="10" t="e">
        <f>tbl_MTG_Set[[#This Row],[Play Singles CardMarket Profit BotBox]]/tbl_MTG_Set[[#This Row],[Play Booster Cost]]</f>
        <v>#VALUE!</v>
      </c>
      <c r="BP201" s="10" t="b">
        <f>tbl_MTG_Set[[#This Row],[Play Singles CardMarket Profit BotBox]]&gt;0</f>
        <v>0</v>
      </c>
      <c r="BQ201" s="10"/>
      <c r="BR201" s="10"/>
      <c r="BS201" s="10"/>
      <c r="BT2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1" s="19" t="e">
        <f>tbl_MTG_Set[[#This Row],[Collector Singles CardMarket Profit MTG Stocks]]/tbl_MTG_Set[[#This Row],[Collector Booster Cost]]</f>
        <v>#N/A</v>
      </c>
      <c r="BW201" s="10" t="b">
        <f>tbl_MTG_Set[[#This Row],[Collector Singles CardMarket Profit MTG Stocks]]&gt;0</f>
        <v>0</v>
      </c>
      <c r="BX201" s="10"/>
      <c r="BY201" s="10"/>
      <c r="BZ2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1" s="10" t="e">
        <f>tbl_MTG_Set[[#This Row],[Collector Singles CardMarket Profit BotBox]]/tbl_MTG_Set[[#This Row],[Collector Booster Cost]]</f>
        <v>#N/A</v>
      </c>
      <c r="CC201" s="10" t="b">
        <f>tbl_MTG_Set[[#This Row],[Collector Singles CardMarket Profit BotBox]]&gt;0</f>
        <v>0</v>
      </c>
      <c r="CD2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2" spans="1:86" hidden="1">
      <c r="A202">
        <v>221</v>
      </c>
      <c r="B202" t="s">
        <v>375</v>
      </c>
      <c r="C202">
        <v>2</v>
      </c>
      <c r="D202" s="3">
        <v>45170</v>
      </c>
      <c r="F202" t="s">
        <v>174</v>
      </c>
      <c r="G202">
        <v>388</v>
      </c>
      <c r="H202">
        <f ca="1">MONTH(NOW())+12*YEAR(NOW())-MONTH(tbl_MTG_Set[[#This Row],[Released On]])-12*YEAR(tbl_MTG_Set[[#This Row],[Released On]])</f>
        <v>30</v>
      </c>
      <c r="I202" t="str">
        <f>_xlfn.XLOOKUP(tbl_MTG_Set[[#This Row],[Type Name]], tbl_MTG_Set_Type[Set Type], tbl_MTG_Set_Type[Index], "(Set Type not found)")</f>
        <v>(Set Type not found)</v>
      </c>
      <c r="J202" t="str">
        <f>_xlfn.XLOOKUP(tbl_MTG_Set[[#This Row],[Type Name]], tbl_MTG_Set_Type[Set Type], tbl_MTG_Set_Type[Buy Window Month Start], "(Set Type not found)")</f>
        <v>(Set Type not found)</v>
      </c>
      <c r="K202" s="3" t="e">
        <f>tbl_MTG_Set[[#This Row],[Released On]]+tbl_MTG_Set[[#This Row],[Buy Window Month Start]]*365.25/12</f>
        <v>#VALUE!</v>
      </c>
      <c r="L202" t="str">
        <f>_xlfn.XLOOKUP(tbl_MTG_Set[[#This Row],[Type Name]], tbl_MTG_Set_Type[Set Type], tbl_MTG_Set_Type[Buy Window Month End], "(Set Type not found)", 0, 1)</f>
        <v>(Set Type not found)</v>
      </c>
      <c r="M202" s="3" t="e">
        <f>tbl_MTG_Set[[#This Row],[Released On]]+tbl_MTG_Set[[#This Row],[Buy Window Month End]]*365.25/12</f>
        <v>#VALUE!</v>
      </c>
      <c r="N202" s="3" t="e">
        <f ca="1">AND(NOW()&gt;=tbl_MTG_Set[[#This Row],[Buy Window Start]], NOW()&lt;=tbl_MTG_Set[[#This Row],[Buy Window End]])</f>
        <v>#VALUE!</v>
      </c>
      <c r="O202" t="str">
        <f>_xlfn.XLOOKUP(tbl_MTG_Set[[#This Row],[Type Name]], tbl_MTG_Set_Type[Set Type], tbl_MTG_Set_Type[Heavy Printing Window Month Start], "(Set Type not found)", 0, 1)</f>
        <v>(Set Type not found)</v>
      </c>
      <c r="P202" s="3" t="e">
        <f>tbl_MTG_Set[[#This Row],[Released On]]+tbl_MTG_Set[[#This Row],[Heavy Printing Window Month Start]]*365.25/12</f>
        <v>#VALUE!</v>
      </c>
      <c r="Q202" t="str">
        <f>_xlfn.XLOOKUP(tbl_MTG_Set[[#This Row],[Type Name]], tbl_MTG_Set_Type[Set Type], tbl_MTG_Set_Type[Heavy Printing Window Month End], "(Set Type not found)", 0, 1)</f>
        <v>(Set Type not found)</v>
      </c>
      <c r="R202" s="3" t="e">
        <f>tbl_MTG_Set[[#This Row],[Released On]]+tbl_MTG_Set[[#This Row],[Heavy Printing Window Month End]]*365.25/12</f>
        <v>#VALUE!</v>
      </c>
      <c r="S202" s="3" t="e">
        <f ca="1">AND(NOW()&gt;=tbl_MTG_Set[[#This Row],[Heavy Printing Window Start]], NOW()&lt;=tbl_MTG_Set[[#This Row],[Heavy Printing Window End]])</f>
        <v>#VALUE!</v>
      </c>
      <c r="T202" t="str">
        <f>_xlfn.XLOOKUP(tbl_MTG_Set[[#This Row],[Type Name]], tbl_MTG_Set_Type[Set Type], tbl_MTG_Set_Type[Sell Window Month Start], "(Set Type not found)", 0, 1)</f>
        <v>(Set Type not found)</v>
      </c>
      <c r="U202" s="3" t="e">
        <f>tbl_MTG_Set[[#This Row],[Released On]]+tbl_MTG_Set[[#This Row],[Sell Window Month Start]]*365.25/12</f>
        <v>#VALUE!</v>
      </c>
      <c r="V202" t="str">
        <f>_xlfn.XLOOKUP(tbl_MTG_Set[[#This Row],[Type Name]], tbl_MTG_Set_Type[Set Type], tbl_MTG_Set_Type[Sell Window Month End], "(Set Type not found)", 0, 1)</f>
        <v>(Set Type not found)</v>
      </c>
      <c r="W202" s="3" t="e">
        <f>tbl_MTG_Set[[#This Row],[Released On]]+tbl_MTG_Set[[#This Row],[Sell Window Month End]]*365.25/12</f>
        <v>#VALUE!</v>
      </c>
      <c r="X202" s="3" t="e">
        <f ca="1">AND(NOW()&gt;=tbl_MTG_Set[[#This Row],[Sell Window Start]], NOW()&lt;=tbl_MTG_Set[[#This Row],[Sell Window End]])</f>
        <v>#VALUE!</v>
      </c>
      <c r="AG202" s="10"/>
      <c r="AH202" s="10"/>
      <c r="AM202" s="10" t="str" cm="1">
        <f t="array" ref="AM2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2" s="10" t="str" cm="1">
        <f t="array" ref="AN2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2" s="4" t="e">
        <f>_xlfn.XLOOKUP(tbl_MTG_Set[[#This Row],[Play Booster Box Product Id]], tbl_Product[Product Id], tbl_Product[Pack Size])</f>
        <v>#N/A</v>
      </c>
      <c r="AP202" s="10" t="e">
        <f>(tbl_MTG_Set[[#This Row],[Play Booster Box Cost]]+v_Item_Shipping_Cost_In)/tbl_MTG_Set[[#This Row],[Play Booster Box Size]]</f>
        <v>#VALUE!</v>
      </c>
      <c r="AQ202" s="10" t="str" cm="1">
        <f t="array" ref="AQ2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2" s="10"/>
      <c r="AS202" s="10"/>
      <c r="AT202" s="17" t="e">
        <f>tbl_MTG_Set[[#This Row],[Play Booster CardMarket Profit]]/tbl_MTG_Set[[#This Row],[Play Booster Cost]]</f>
        <v>#VALUE!</v>
      </c>
      <c r="AU202" s="10" t="e">
        <f>_xlfn.XLOOKUP(tbl_MTG_Set[[#This Row],[Collector Booster Box Product Id]], tbl_Product[Product Id], tbl_Product[Min Cost])</f>
        <v>#N/A</v>
      </c>
      <c r="AV202" s="10" t="e">
        <f>_xlfn.XLOOKUP(tbl_MTG_Set[[#This Row],[Collector Booster Box Product Id]], tbl_Product[Product Id], tbl_Product[Best Source])</f>
        <v>#N/A</v>
      </c>
      <c r="AW202" s="4" t="e">
        <f>_xlfn.XLOOKUP(tbl_MTG_Set[[#This Row],[Collector Booster Box Product Id]], tbl_Product[Product Id], tbl_Product[Pack Size])</f>
        <v>#N/A</v>
      </c>
      <c r="AX202" s="10" t="e">
        <f>(tbl_MTG_Set[[#This Row],[Collector Booster Box Cost]] + v_Item_Shipping_Cost_In) / tbl_MTG_Set[[#This Row],[Collector Booster Box Size]]</f>
        <v>#N/A</v>
      </c>
      <c r="AY202" s="10" t="str" cm="1">
        <f t="array" ref="AY2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2" s="10"/>
      <c r="BA2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2" s="17" t="e">
        <f>tbl_MTG_Set[[#This Row],[Collector Booster CardMarket Profit]]/tbl_MTG_Set[[#This Row],[Collector Booster Cost]]</f>
        <v>#N/A</v>
      </c>
      <c r="BC202" s="10"/>
      <c r="BF2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2" s="11" t="e">
        <f>tbl_MTG_Set[[#This Row],[Play Singles CardMarket Profit MTG Stocks]]/tbl_MTG_Set[[#This Row],[Play Booster Cost]]</f>
        <v>#VALUE!</v>
      </c>
      <c r="BI202" s="11" t="b">
        <f>tbl_MTG_Set[[#This Row],[Play Singles CardMarket Profit MTG Stocks]]&gt;0</f>
        <v>0</v>
      </c>
      <c r="BM202" s="10" t="e">
        <f>tbl_MTG_Set[[#This Row],[Play Booster Sell Price CardMarket]]*tbl_MTG_Set[[#This Row],[Play Booster Expected Market Value BotBox]]/tbl_MTG_Set[[#This Row],[Play Booster Sealed Market Value BotBox]]</f>
        <v>#VALUE!</v>
      </c>
      <c r="BN2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2" s="10" t="e">
        <f>tbl_MTG_Set[[#This Row],[Play Singles CardMarket Profit BotBox]]/tbl_MTG_Set[[#This Row],[Play Booster Cost]]</f>
        <v>#VALUE!</v>
      </c>
      <c r="BP202" s="10" t="b">
        <f>tbl_MTG_Set[[#This Row],[Play Singles CardMarket Profit BotBox]]&gt;0</f>
        <v>0</v>
      </c>
      <c r="BQ202" s="10"/>
      <c r="BR202" s="10"/>
      <c r="BS202" s="10"/>
      <c r="BT2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2" s="19" t="e">
        <f>tbl_MTG_Set[[#This Row],[Collector Singles CardMarket Profit MTG Stocks]]/tbl_MTG_Set[[#This Row],[Collector Booster Cost]]</f>
        <v>#N/A</v>
      </c>
      <c r="BW202" s="10" t="b">
        <f>tbl_MTG_Set[[#This Row],[Collector Singles CardMarket Profit MTG Stocks]]&gt;0</f>
        <v>0</v>
      </c>
      <c r="BX202" s="10"/>
      <c r="BY202" s="10"/>
      <c r="BZ2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2" s="10" t="e">
        <f>tbl_MTG_Set[[#This Row],[Collector Singles CardMarket Profit BotBox]]/tbl_MTG_Set[[#This Row],[Collector Booster Cost]]</f>
        <v>#N/A</v>
      </c>
      <c r="CC202" s="10" t="b">
        <f>tbl_MTG_Set[[#This Row],[Collector Singles CardMarket Profit BotBox]]&gt;0</f>
        <v>0</v>
      </c>
      <c r="CD2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3" spans="1:86" hidden="1">
      <c r="A203">
        <v>222</v>
      </c>
      <c r="B203" t="s">
        <v>376</v>
      </c>
      <c r="C203">
        <v>10</v>
      </c>
      <c r="D203" s="3">
        <v>44813</v>
      </c>
      <c r="F203" t="s">
        <v>174</v>
      </c>
      <c r="G203">
        <v>390</v>
      </c>
      <c r="H203">
        <f ca="1">MONTH(NOW())+12*YEAR(NOW())-MONTH(tbl_MTG_Set[[#This Row],[Released On]])-12*YEAR(tbl_MTG_Set[[#This Row],[Released On]])</f>
        <v>42</v>
      </c>
      <c r="I203" t="str">
        <f>_xlfn.XLOOKUP(tbl_MTG_Set[[#This Row],[Type Name]], tbl_MTG_Set_Type[Set Type], tbl_MTG_Set_Type[Index], "(Set Type not found)")</f>
        <v>(Set Type not found)</v>
      </c>
      <c r="J203" t="str">
        <f>_xlfn.XLOOKUP(tbl_MTG_Set[[#This Row],[Type Name]], tbl_MTG_Set_Type[Set Type], tbl_MTG_Set_Type[Buy Window Month Start], "(Set Type not found)")</f>
        <v>(Set Type not found)</v>
      </c>
      <c r="K203" s="3" t="e">
        <f>tbl_MTG_Set[[#This Row],[Released On]]+tbl_MTG_Set[[#This Row],[Buy Window Month Start]]*365.25/12</f>
        <v>#VALUE!</v>
      </c>
      <c r="L203" t="str">
        <f>_xlfn.XLOOKUP(tbl_MTG_Set[[#This Row],[Type Name]], tbl_MTG_Set_Type[Set Type], tbl_MTG_Set_Type[Buy Window Month End], "(Set Type not found)", 0, 1)</f>
        <v>(Set Type not found)</v>
      </c>
      <c r="M203" s="3" t="e">
        <f>tbl_MTG_Set[[#This Row],[Released On]]+tbl_MTG_Set[[#This Row],[Buy Window Month End]]*365.25/12</f>
        <v>#VALUE!</v>
      </c>
      <c r="N203" s="3" t="e">
        <f ca="1">AND(NOW()&gt;=tbl_MTG_Set[[#This Row],[Buy Window Start]], NOW()&lt;=tbl_MTG_Set[[#This Row],[Buy Window End]])</f>
        <v>#VALUE!</v>
      </c>
      <c r="O203" t="str">
        <f>_xlfn.XLOOKUP(tbl_MTG_Set[[#This Row],[Type Name]], tbl_MTG_Set_Type[Set Type], tbl_MTG_Set_Type[Heavy Printing Window Month Start], "(Set Type not found)", 0, 1)</f>
        <v>(Set Type not found)</v>
      </c>
      <c r="P203" s="3" t="e">
        <f>tbl_MTG_Set[[#This Row],[Released On]]+tbl_MTG_Set[[#This Row],[Heavy Printing Window Month Start]]*365.25/12</f>
        <v>#VALUE!</v>
      </c>
      <c r="Q203" t="str">
        <f>_xlfn.XLOOKUP(tbl_MTG_Set[[#This Row],[Type Name]], tbl_MTG_Set_Type[Set Type], tbl_MTG_Set_Type[Heavy Printing Window Month End], "(Set Type not found)", 0, 1)</f>
        <v>(Set Type not found)</v>
      </c>
      <c r="R203" s="3" t="e">
        <f>tbl_MTG_Set[[#This Row],[Released On]]+tbl_MTG_Set[[#This Row],[Heavy Printing Window Month End]]*365.25/12</f>
        <v>#VALUE!</v>
      </c>
      <c r="S203" s="3" t="e">
        <f ca="1">AND(NOW()&gt;=tbl_MTG_Set[[#This Row],[Heavy Printing Window Start]], NOW()&lt;=tbl_MTG_Set[[#This Row],[Heavy Printing Window End]])</f>
        <v>#VALUE!</v>
      </c>
      <c r="T203" t="str">
        <f>_xlfn.XLOOKUP(tbl_MTG_Set[[#This Row],[Type Name]], tbl_MTG_Set_Type[Set Type], tbl_MTG_Set_Type[Sell Window Month Start], "(Set Type not found)", 0, 1)</f>
        <v>(Set Type not found)</v>
      </c>
      <c r="U203" s="3" t="e">
        <f>tbl_MTG_Set[[#This Row],[Released On]]+tbl_MTG_Set[[#This Row],[Sell Window Month Start]]*365.25/12</f>
        <v>#VALUE!</v>
      </c>
      <c r="V203" t="str">
        <f>_xlfn.XLOOKUP(tbl_MTG_Set[[#This Row],[Type Name]], tbl_MTG_Set_Type[Set Type], tbl_MTG_Set_Type[Sell Window Month End], "(Set Type not found)", 0, 1)</f>
        <v>(Set Type not found)</v>
      </c>
      <c r="W203" s="3" t="e">
        <f>tbl_MTG_Set[[#This Row],[Released On]]+tbl_MTG_Set[[#This Row],[Sell Window Month End]]*365.25/12</f>
        <v>#VALUE!</v>
      </c>
      <c r="X203" s="3" t="e">
        <f ca="1">AND(NOW()&gt;=tbl_MTG_Set[[#This Row],[Sell Window Start]], NOW()&lt;=tbl_MTG_Set[[#This Row],[Sell Window End]])</f>
        <v>#VALUE!</v>
      </c>
      <c r="AG203" s="10"/>
      <c r="AH203" s="10"/>
      <c r="AM203" s="10" t="str" cm="1">
        <f t="array" ref="AM2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3" s="10" t="str" cm="1">
        <f t="array" ref="AN2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3" s="4" t="e">
        <f>_xlfn.XLOOKUP(tbl_MTG_Set[[#This Row],[Play Booster Box Product Id]], tbl_Product[Product Id], tbl_Product[Pack Size])</f>
        <v>#N/A</v>
      </c>
      <c r="AP203" s="10" t="e">
        <f>(tbl_MTG_Set[[#This Row],[Play Booster Box Cost]]+v_Item_Shipping_Cost_In)/tbl_MTG_Set[[#This Row],[Play Booster Box Size]]</f>
        <v>#VALUE!</v>
      </c>
      <c r="AQ203" s="10" t="str" cm="1">
        <f t="array" ref="AQ2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3" s="10"/>
      <c r="AS203" s="10"/>
      <c r="AT203" s="17" t="e">
        <f>tbl_MTG_Set[[#This Row],[Play Booster CardMarket Profit]]/tbl_MTG_Set[[#This Row],[Play Booster Cost]]</f>
        <v>#VALUE!</v>
      </c>
      <c r="AU203" s="10" t="e">
        <f>_xlfn.XLOOKUP(tbl_MTG_Set[[#This Row],[Collector Booster Box Product Id]], tbl_Product[Product Id], tbl_Product[Min Cost])</f>
        <v>#N/A</v>
      </c>
      <c r="AV203" s="10" t="e">
        <f>_xlfn.XLOOKUP(tbl_MTG_Set[[#This Row],[Collector Booster Box Product Id]], tbl_Product[Product Id], tbl_Product[Best Source])</f>
        <v>#N/A</v>
      </c>
      <c r="AW203" s="4" t="e">
        <f>_xlfn.XLOOKUP(tbl_MTG_Set[[#This Row],[Collector Booster Box Product Id]], tbl_Product[Product Id], tbl_Product[Pack Size])</f>
        <v>#N/A</v>
      </c>
      <c r="AX203" s="10" t="e">
        <f>(tbl_MTG_Set[[#This Row],[Collector Booster Box Cost]] + v_Item_Shipping_Cost_In) / tbl_MTG_Set[[#This Row],[Collector Booster Box Size]]</f>
        <v>#N/A</v>
      </c>
      <c r="AY203" s="10" t="str" cm="1">
        <f t="array" ref="AY2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3" s="10"/>
      <c r="BA2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3" s="17" t="e">
        <f>tbl_MTG_Set[[#This Row],[Collector Booster CardMarket Profit]]/tbl_MTG_Set[[#This Row],[Collector Booster Cost]]</f>
        <v>#N/A</v>
      </c>
      <c r="BC203" s="10"/>
      <c r="BF2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3" s="11" t="e">
        <f>tbl_MTG_Set[[#This Row],[Play Singles CardMarket Profit MTG Stocks]]/tbl_MTG_Set[[#This Row],[Play Booster Cost]]</f>
        <v>#VALUE!</v>
      </c>
      <c r="BI203" s="11" t="b">
        <f>tbl_MTG_Set[[#This Row],[Play Singles CardMarket Profit MTG Stocks]]&gt;0</f>
        <v>0</v>
      </c>
      <c r="BM203" s="10" t="e">
        <f>tbl_MTG_Set[[#This Row],[Play Booster Sell Price CardMarket]]*tbl_MTG_Set[[#This Row],[Play Booster Expected Market Value BotBox]]/tbl_MTG_Set[[#This Row],[Play Booster Sealed Market Value BotBox]]</f>
        <v>#VALUE!</v>
      </c>
      <c r="BN2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3" s="10" t="e">
        <f>tbl_MTG_Set[[#This Row],[Play Singles CardMarket Profit BotBox]]/tbl_MTG_Set[[#This Row],[Play Booster Cost]]</f>
        <v>#VALUE!</v>
      </c>
      <c r="BP203" s="10" t="b">
        <f>tbl_MTG_Set[[#This Row],[Play Singles CardMarket Profit BotBox]]&gt;0</f>
        <v>0</v>
      </c>
      <c r="BQ203" s="10"/>
      <c r="BR203" s="10"/>
      <c r="BS203" s="10"/>
      <c r="BT2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3" s="19" t="e">
        <f>tbl_MTG_Set[[#This Row],[Collector Singles CardMarket Profit MTG Stocks]]/tbl_MTG_Set[[#This Row],[Collector Booster Cost]]</f>
        <v>#N/A</v>
      </c>
      <c r="BW203" s="10" t="b">
        <f>tbl_MTG_Set[[#This Row],[Collector Singles CardMarket Profit MTG Stocks]]&gt;0</f>
        <v>0</v>
      </c>
      <c r="BX203" s="10"/>
      <c r="BY203" s="10"/>
      <c r="BZ2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3" s="10" t="e">
        <f>tbl_MTG_Set[[#This Row],[Collector Singles CardMarket Profit BotBox]]/tbl_MTG_Set[[#This Row],[Collector Booster Cost]]</f>
        <v>#N/A</v>
      </c>
      <c r="CC203" s="10" t="b">
        <f>tbl_MTG_Set[[#This Row],[Collector Singles CardMarket Profit BotBox]]&gt;0</f>
        <v>0</v>
      </c>
      <c r="CD2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4" spans="1:86" hidden="1">
      <c r="A204">
        <v>223</v>
      </c>
      <c r="B204" t="s">
        <v>377</v>
      </c>
      <c r="C204">
        <v>5</v>
      </c>
      <c r="D204" s="3">
        <v>44806</v>
      </c>
      <c r="F204" t="s">
        <v>174</v>
      </c>
      <c r="G204">
        <v>392</v>
      </c>
      <c r="H204">
        <f ca="1">MONTH(NOW())+12*YEAR(NOW())-MONTH(tbl_MTG_Set[[#This Row],[Released On]])-12*YEAR(tbl_MTG_Set[[#This Row],[Released On]])</f>
        <v>42</v>
      </c>
      <c r="I204" t="str">
        <f>_xlfn.XLOOKUP(tbl_MTG_Set[[#This Row],[Type Name]], tbl_MTG_Set_Type[Set Type], tbl_MTG_Set_Type[Index], "(Set Type not found)")</f>
        <v>(Set Type not found)</v>
      </c>
      <c r="J204" t="str">
        <f>_xlfn.XLOOKUP(tbl_MTG_Set[[#This Row],[Type Name]], tbl_MTG_Set_Type[Set Type], tbl_MTG_Set_Type[Buy Window Month Start], "(Set Type not found)")</f>
        <v>(Set Type not found)</v>
      </c>
      <c r="K204" s="3" t="e">
        <f>tbl_MTG_Set[[#This Row],[Released On]]+tbl_MTG_Set[[#This Row],[Buy Window Month Start]]*365.25/12</f>
        <v>#VALUE!</v>
      </c>
      <c r="L204" t="str">
        <f>_xlfn.XLOOKUP(tbl_MTG_Set[[#This Row],[Type Name]], tbl_MTG_Set_Type[Set Type], tbl_MTG_Set_Type[Buy Window Month End], "(Set Type not found)", 0, 1)</f>
        <v>(Set Type not found)</v>
      </c>
      <c r="M204" s="3" t="e">
        <f>tbl_MTG_Set[[#This Row],[Released On]]+tbl_MTG_Set[[#This Row],[Buy Window Month End]]*365.25/12</f>
        <v>#VALUE!</v>
      </c>
      <c r="N204" s="3" t="e">
        <f ca="1">AND(NOW()&gt;=tbl_MTG_Set[[#This Row],[Buy Window Start]], NOW()&lt;=tbl_MTG_Set[[#This Row],[Buy Window End]])</f>
        <v>#VALUE!</v>
      </c>
      <c r="O204" t="str">
        <f>_xlfn.XLOOKUP(tbl_MTG_Set[[#This Row],[Type Name]], tbl_MTG_Set_Type[Set Type], tbl_MTG_Set_Type[Heavy Printing Window Month Start], "(Set Type not found)", 0, 1)</f>
        <v>(Set Type not found)</v>
      </c>
      <c r="P204" s="3" t="e">
        <f>tbl_MTG_Set[[#This Row],[Released On]]+tbl_MTG_Set[[#This Row],[Heavy Printing Window Month Start]]*365.25/12</f>
        <v>#VALUE!</v>
      </c>
      <c r="Q204" t="str">
        <f>_xlfn.XLOOKUP(tbl_MTG_Set[[#This Row],[Type Name]], tbl_MTG_Set_Type[Set Type], tbl_MTG_Set_Type[Heavy Printing Window Month End], "(Set Type not found)", 0, 1)</f>
        <v>(Set Type not found)</v>
      </c>
      <c r="R204" s="3" t="e">
        <f>tbl_MTG_Set[[#This Row],[Released On]]+tbl_MTG_Set[[#This Row],[Heavy Printing Window Month End]]*365.25/12</f>
        <v>#VALUE!</v>
      </c>
      <c r="S204" s="3" t="e">
        <f ca="1">AND(NOW()&gt;=tbl_MTG_Set[[#This Row],[Heavy Printing Window Start]], NOW()&lt;=tbl_MTG_Set[[#This Row],[Heavy Printing Window End]])</f>
        <v>#VALUE!</v>
      </c>
      <c r="T204" t="str">
        <f>_xlfn.XLOOKUP(tbl_MTG_Set[[#This Row],[Type Name]], tbl_MTG_Set_Type[Set Type], tbl_MTG_Set_Type[Sell Window Month Start], "(Set Type not found)", 0, 1)</f>
        <v>(Set Type not found)</v>
      </c>
      <c r="U204" s="3" t="e">
        <f>tbl_MTG_Set[[#This Row],[Released On]]+tbl_MTG_Set[[#This Row],[Sell Window Month Start]]*365.25/12</f>
        <v>#VALUE!</v>
      </c>
      <c r="V204" t="str">
        <f>_xlfn.XLOOKUP(tbl_MTG_Set[[#This Row],[Type Name]], tbl_MTG_Set_Type[Set Type], tbl_MTG_Set_Type[Sell Window Month End], "(Set Type not found)", 0, 1)</f>
        <v>(Set Type not found)</v>
      </c>
      <c r="W204" s="3" t="e">
        <f>tbl_MTG_Set[[#This Row],[Released On]]+tbl_MTG_Set[[#This Row],[Sell Window Month End]]*365.25/12</f>
        <v>#VALUE!</v>
      </c>
      <c r="X204" s="3" t="e">
        <f ca="1">AND(NOW()&gt;=tbl_MTG_Set[[#This Row],[Sell Window Start]], NOW()&lt;=tbl_MTG_Set[[#This Row],[Sell Window End]])</f>
        <v>#VALUE!</v>
      </c>
      <c r="AG204" s="10"/>
      <c r="AH204" s="10"/>
      <c r="AM204" s="10" t="str" cm="1">
        <f t="array" ref="AM2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4" s="10" t="str" cm="1">
        <f t="array" ref="AN2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4" s="4" t="e">
        <f>_xlfn.XLOOKUP(tbl_MTG_Set[[#This Row],[Play Booster Box Product Id]], tbl_Product[Product Id], tbl_Product[Pack Size])</f>
        <v>#N/A</v>
      </c>
      <c r="AP204" s="10" t="e">
        <f>(tbl_MTG_Set[[#This Row],[Play Booster Box Cost]]+v_Item_Shipping_Cost_In)/tbl_MTG_Set[[#This Row],[Play Booster Box Size]]</f>
        <v>#VALUE!</v>
      </c>
      <c r="AQ204" s="10" t="str" cm="1">
        <f t="array" ref="AQ2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4" s="10"/>
      <c r="AS204" s="10"/>
      <c r="AT204" s="17" t="e">
        <f>tbl_MTG_Set[[#This Row],[Play Booster CardMarket Profit]]/tbl_MTG_Set[[#This Row],[Play Booster Cost]]</f>
        <v>#VALUE!</v>
      </c>
      <c r="AU204" s="10" t="e">
        <f>_xlfn.XLOOKUP(tbl_MTG_Set[[#This Row],[Collector Booster Box Product Id]], tbl_Product[Product Id], tbl_Product[Min Cost])</f>
        <v>#N/A</v>
      </c>
      <c r="AV204" s="10" t="e">
        <f>_xlfn.XLOOKUP(tbl_MTG_Set[[#This Row],[Collector Booster Box Product Id]], tbl_Product[Product Id], tbl_Product[Best Source])</f>
        <v>#N/A</v>
      </c>
      <c r="AW204" s="4" t="e">
        <f>_xlfn.XLOOKUP(tbl_MTG_Set[[#This Row],[Collector Booster Box Product Id]], tbl_Product[Product Id], tbl_Product[Pack Size])</f>
        <v>#N/A</v>
      </c>
      <c r="AX204" s="10" t="e">
        <f>(tbl_MTG_Set[[#This Row],[Collector Booster Box Cost]] + v_Item_Shipping_Cost_In) / tbl_MTG_Set[[#This Row],[Collector Booster Box Size]]</f>
        <v>#N/A</v>
      </c>
      <c r="AY204" s="10" t="str" cm="1">
        <f t="array" ref="AY2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4" s="10"/>
      <c r="BA2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4" s="17" t="e">
        <f>tbl_MTG_Set[[#This Row],[Collector Booster CardMarket Profit]]/tbl_MTG_Set[[#This Row],[Collector Booster Cost]]</f>
        <v>#N/A</v>
      </c>
      <c r="BC204" s="10"/>
      <c r="BF2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4" s="11" t="e">
        <f>tbl_MTG_Set[[#This Row],[Play Singles CardMarket Profit MTG Stocks]]/tbl_MTG_Set[[#This Row],[Play Booster Cost]]</f>
        <v>#VALUE!</v>
      </c>
      <c r="BI204" s="11" t="b">
        <f>tbl_MTG_Set[[#This Row],[Play Singles CardMarket Profit MTG Stocks]]&gt;0</f>
        <v>0</v>
      </c>
      <c r="BM204" s="10" t="e">
        <f>tbl_MTG_Set[[#This Row],[Play Booster Sell Price CardMarket]]*tbl_MTG_Set[[#This Row],[Play Booster Expected Market Value BotBox]]/tbl_MTG_Set[[#This Row],[Play Booster Sealed Market Value BotBox]]</f>
        <v>#VALUE!</v>
      </c>
      <c r="BN2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4" s="10" t="e">
        <f>tbl_MTG_Set[[#This Row],[Play Singles CardMarket Profit BotBox]]/tbl_MTG_Set[[#This Row],[Play Booster Cost]]</f>
        <v>#VALUE!</v>
      </c>
      <c r="BP204" s="10" t="b">
        <f>tbl_MTG_Set[[#This Row],[Play Singles CardMarket Profit BotBox]]&gt;0</f>
        <v>0</v>
      </c>
      <c r="BQ204" s="10"/>
      <c r="BR204" s="10"/>
      <c r="BS204" s="10"/>
      <c r="BT2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4" s="19" t="e">
        <f>tbl_MTG_Set[[#This Row],[Collector Singles CardMarket Profit MTG Stocks]]/tbl_MTG_Set[[#This Row],[Collector Booster Cost]]</f>
        <v>#N/A</v>
      </c>
      <c r="BW204" s="10" t="b">
        <f>tbl_MTG_Set[[#This Row],[Collector Singles CardMarket Profit MTG Stocks]]&gt;0</f>
        <v>0</v>
      </c>
      <c r="BX204" s="10"/>
      <c r="BY204" s="10"/>
      <c r="BZ2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4" s="10" t="e">
        <f>tbl_MTG_Set[[#This Row],[Collector Singles CardMarket Profit BotBox]]/tbl_MTG_Set[[#This Row],[Collector Booster Cost]]</f>
        <v>#N/A</v>
      </c>
      <c r="CC204" s="10" t="b">
        <f>tbl_MTG_Set[[#This Row],[Collector Singles CardMarket Profit BotBox]]&gt;0</f>
        <v>0</v>
      </c>
      <c r="CD2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5" spans="1:86" hidden="1">
      <c r="A205">
        <v>224</v>
      </c>
      <c r="B205" t="s">
        <v>378</v>
      </c>
      <c r="C205">
        <v>8</v>
      </c>
      <c r="D205" s="3">
        <v>44891</v>
      </c>
      <c r="F205" t="s">
        <v>174</v>
      </c>
      <c r="G205">
        <v>394</v>
      </c>
      <c r="H205">
        <f ca="1">MONTH(NOW())+12*YEAR(NOW())-MONTH(tbl_MTG_Set[[#This Row],[Released On]])-12*YEAR(tbl_MTG_Set[[#This Row],[Released On]])</f>
        <v>40</v>
      </c>
      <c r="I205" t="str">
        <f>_xlfn.XLOOKUP(tbl_MTG_Set[[#This Row],[Type Name]], tbl_MTG_Set_Type[Set Type], tbl_MTG_Set_Type[Index], "(Set Type not found)")</f>
        <v>(Set Type not found)</v>
      </c>
      <c r="J205" t="str">
        <f>_xlfn.XLOOKUP(tbl_MTG_Set[[#This Row],[Type Name]], tbl_MTG_Set_Type[Set Type], tbl_MTG_Set_Type[Buy Window Month Start], "(Set Type not found)")</f>
        <v>(Set Type not found)</v>
      </c>
      <c r="K205" s="3" t="e">
        <f>tbl_MTG_Set[[#This Row],[Released On]]+tbl_MTG_Set[[#This Row],[Buy Window Month Start]]*365.25/12</f>
        <v>#VALUE!</v>
      </c>
      <c r="L205" t="str">
        <f>_xlfn.XLOOKUP(tbl_MTG_Set[[#This Row],[Type Name]], tbl_MTG_Set_Type[Set Type], tbl_MTG_Set_Type[Buy Window Month End], "(Set Type not found)", 0, 1)</f>
        <v>(Set Type not found)</v>
      </c>
      <c r="M205" s="3" t="e">
        <f>tbl_MTG_Set[[#This Row],[Released On]]+tbl_MTG_Set[[#This Row],[Buy Window Month End]]*365.25/12</f>
        <v>#VALUE!</v>
      </c>
      <c r="N205" s="3" t="e">
        <f ca="1">AND(NOW()&gt;=tbl_MTG_Set[[#This Row],[Buy Window Start]], NOW()&lt;=tbl_MTG_Set[[#This Row],[Buy Window End]])</f>
        <v>#VALUE!</v>
      </c>
      <c r="O205" t="str">
        <f>_xlfn.XLOOKUP(tbl_MTG_Set[[#This Row],[Type Name]], tbl_MTG_Set_Type[Set Type], tbl_MTG_Set_Type[Heavy Printing Window Month Start], "(Set Type not found)", 0, 1)</f>
        <v>(Set Type not found)</v>
      </c>
      <c r="P205" s="3" t="e">
        <f>tbl_MTG_Set[[#This Row],[Released On]]+tbl_MTG_Set[[#This Row],[Heavy Printing Window Month Start]]*365.25/12</f>
        <v>#VALUE!</v>
      </c>
      <c r="Q205" t="str">
        <f>_xlfn.XLOOKUP(tbl_MTG_Set[[#This Row],[Type Name]], tbl_MTG_Set_Type[Set Type], tbl_MTG_Set_Type[Heavy Printing Window Month End], "(Set Type not found)", 0, 1)</f>
        <v>(Set Type not found)</v>
      </c>
      <c r="R205" s="3" t="e">
        <f>tbl_MTG_Set[[#This Row],[Released On]]+tbl_MTG_Set[[#This Row],[Heavy Printing Window Month End]]*365.25/12</f>
        <v>#VALUE!</v>
      </c>
      <c r="S205" s="3" t="e">
        <f ca="1">AND(NOW()&gt;=tbl_MTG_Set[[#This Row],[Heavy Printing Window Start]], NOW()&lt;=tbl_MTG_Set[[#This Row],[Heavy Printing Window End]])</f>
        <v>#VALUE!</v>
      </c>
      <c r="T205" t="str">
        <f>_xlfn.XLOOKUP(tbl_MTG_Set[[#This Row],[Type Name]], tbl_MTG_Set_Type[Set Type], tbl_MTG_Set_Type[Sell Window Month Start], "(Set Type not found)", 0, 1)</f>
        <v>(Set Type not found)</v>
      </c>
      <c r="U205" s="3" t="e">
        <f>tbl_MTG_Set[[#This Row],[Released On]]+tbl_MTG_Set[[#This Row],[Sell Window Month Start]]*365.25/12</f>
        <v>#VALUE!</v>
      </c>
      <c r="V205" t="str">
        <f>_xlfn.XLOOKUP(tbl_MTG_Set[[#This Row],[Type Name]], tbl_MTG_Set_Type[Set Type], tbl_MTG_Set_Type[Sell Window Month End], "(Set Type not found)", 0, 1)</f>
        <v>(Set Type not found)</v>
      </c>
      <c r="W205" s="3" t="e">
        <f>tbl_MTG_Set[[#This Row],[Released On]]+tbl_MTG_Set[[#This Row],[Sell Window Month End]]*365.25/12</f>
        <v>#VALUE!</v>
      </c>
      <c r="X205" s="3" t="e">
        <f ca="1">AND(NOW()&gt;=tbl_MTG_Set[[#This Row],[Sell Window Start]], NOW()&lt;=tbl_MTG_Set[[#This Row],[Sell Window End]])</f>
        <v>#VALUE!</v>
      </c>
      <c r="AG205" s="10"/>
      <c r="AH205" s="10"/>
      <c r="AM205" s="10" t="str" cm="1">
        <f t="array" ref="AM2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5" s="10" t="str" cm="1">
        <f t="array" ref="AN2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5" s="4" t="e">
        <f>_xlfn.XLOOKUP(tbl_MTG_Set[[#This Row],[Play Booster Box Product Id]], tbl_Product[Product Id], tbl_Product[Pack Size])</f>
        <v>#N/A</v>
      </c>
      <c r="AP205" s="10" t="e">
        <f>(tbl_MTG_Set[[#This Row],[Play Booster Box Cost]]+v_Item_Shipping_Cost_In)/tbl_MTG_Set[[#This Row],[Play Booster Box Size]]</f>
        <v>#VALUE!</v>
      </c>
      <c r="AQ205" s="10" t="str" cm="1">
        <f t="array" ref="AQ2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5" s="10"/>
      <c r="AS205" s="10"/>
      <c r="AT205" s="17" t="e">
        <f>tbl_MTG_Set[[#This Row],[Play Booster CardMarket Profit]]/tbl_MTG_Set[[#This Row],[Play Booster Cost]]</f>
        <v>#VALUE!</v>
      </c>
      <c r="AU205" s="10" t="e">
        <f>_xlfn.XLOOKUP(tbl_MTG_Set[[#This Row],[Collector Booster Box Product Id]], tbl_Product[Product Id], tbl_Product[Min Cost])</f>
        <v>#N/A</v>
      </c>
      <c r="AV205" s="10" t="e">
        <f>_xlfn.XLOOKUP(tbl_MTG_Set[[#This Row],[Collector Booster Box Product Id]], tbl_Product[Product Id], tbl_Product[Best Source])</f>
        <v>#N/A</v>
      </c>
      <c r="AW205" s="4" t="e">
        <f>_xlfn.XLOOKUP(tbl_MTG_Set[[#This Row],[Collector Booster Box Product Id]], tbl_Product[Product Id], tbl_Product[Pack Size])</f>
        <v>#N/A</v>
      </c>
      <c r="AX205" s="10" t="e">
        <f>(tbl_MTG_Set[[#This Row],[Collector Booster Box Cost]] + v_Item_Shipping_Cost_In) / tbl_MTG_Set[[#This Row],[Collector Booster Box Size]]</f>
        <v>#N/A</v>
      </c>
      <c r="AY205" s="10" t="str" cm="1">
        <f t="array" ref="AY2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5" s="10"/>
      <c r="BA2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5" s="17" t="e">
        <f>tbl_MTG_Set[[#This Row],[Collector Booster CardMarket Profit]]/tbl_MTG_Set[[#This Row],[Collector Booster Cost]]</f>
        <v>#N/A</v>
      </c>
      <c r="BC205" s="10"/>
      <c r="BF2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5" s="11" t="e">
        <f>tbl_MTG_Set[[#This Row],[Play Singles CardMarket Profit MTG Stocks]]/tbl_MTG_Set[[#This Row],[Play Booster Cost]]</f>
        <v>#VALUE!</v>
      </c>
      <c r="BI205" s="11" t="b">
        <f>tbl_MTG_Set[[#This Row],[Play Singles CardMarket Profit MTG Stocks]]&gt;0</f>
        <v>0</v>
      </c>
      <c r="BM205" s="10" t="e">
        <f>tbl_MTG_Set[[#This Row],[Play Booster Sell Price CardMarket]]*tbl_MTG_Set[[#This Row],[Play Booster Expected Market Value BotBox]]/tbl_MTG_Set[[#This Row],[Play Booster Sealed Market Value BotBox]]</f>
        <v>#VALUE!</v>
      </c>
      <c r="BN2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5" s="10" t="e">
        <f>tbl_MTG_Set[[#This Row],[Play Singles CardMarket Profit BotBox]]/tbl_MTG_Set[[#This Row],[Play Booster Cost]]</f>
        <v>#VALUE!</v>
      </c>
      <c r="BP205" s="10" t="b">
        <f>tbl_MTG_Set[[#This Row],[Play Singles CardMarket Profit BotBox]]&gt;0</f>
        <v>0</v>
      </c>
      <c r="BQ205" s="10"/>
      <c r="BR205" s="10"/>
      <c r="BS205" s="10"/>
      <c r="BT2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5" s="19" t="e">
        <f>tbl_MTG_Set[[#This Row],[Collector Singles CardMarket Profit MTG Stocks]]/tbl_MTG_Set[[#This Row],[Collector Booster Cost]]</f>
        <v>#N/A</v>
      </c>
      <c r="BW205" s="10" t="b">
        <f>tbl_MTG_Set[[#This Row],[Collector Singles CardMarket Profit MTG Stocks]]&gt;0</f>
        <v>0</v>
      </c>
      <c r="BX205" s="10"/>
      <c r="BY205" s="10"/>
      <c r="BZ2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5" s="10" t="e">
        <f>tbl_MTG_Set[[#This Row],[Collector Singles CardMarket Profit BotBox]]/tbl_MTG_Set[[#This Row],[Collector Booster Cost]]</f>
        <v>#N/A</v>
      </c>
      <c r="CC205" s="10" t="b">
        <f>tbl_MTG_Set[[#This Row],[Collector Singles CardMarket Profit BotBox]]&gt;0</f>
        <v>0</v>
      </c>
      <c r="CD2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6" spans="1:86" hidden="1">
      <c r="A206">
        <v>226</v>
      </c>
      <c r="B206" t="s">
        <v>379</v>
      </c>
      <c r="C206">
        <v>189</v>
      </c>
      <c r="D206" s="3">
        <v>44883</v>
      </c>
      <c r="E206" t="s">
        <v>59</v>
      </c>
      <c r="F206" t="s">
        <v>174</v>
      </c>
      <c r="G206">
        <v>398</v>
      </c>
      <c r="H206">
        <f ca="1">MONTH(NOW())+12*YEAR(NOW())-MONTH(tbl_MTG_Set[[#This Row],[Released On]])-12*YEAR(tbl_MTG_Set[[#This Row],[Released On]])</f>
        <v>40</v>
      </c>
      <c r="I206">
        <f>_xlfn.XLOOKUP(tbl_MTG_Set[[#This Row],[Type Name]], tbl_MTG_Set_Type[Set Type], tbl_MTG_Set_Type[Index], "(Set Type not found)")</f>
        <v>1</v>
      </c>
      <c r="J206">
        <f>_xlfn.XLOOKUP(tbl_MTG_Set[[#This Row],[Type Name]], tbl_MTG_Set_Type[Set Type], tbl_MTG_Set_Type[Buy Window Month Start], "(Set Type not found)")</f>
        <v>18</v>
      </c>
      <c r="K206" s="3">
        <f>tbl_MTG_Set[[#This Row],[Released On]]+tbl_MTG_Set[[#This Row],[Buy Window Month Start]]*365.25/12</f>
        <v>45430.875</v>
      </c>
      <c r="L206">
        <f>_xlfn.XLOOKUP(tbl_MTG_Set[[#This Row],[Type Name]], tbl_MTG_Set_Type[Set Type], tbl_MTG_Set_Type[Buy Window Month End], "(Set Type not found)", 0, 1)</f>
        <v>24</v>
      </c>
      <c r="M206" s="3">
        <f>tbl_MTG_Set[[#This Row],[Released On]]+tbl_MTG_Set[[#This Row],[Buy Window Month End]]*365.25/12</f>
        <v>45613.5</v>
      </c>
      <c r="N206" s="3" t="b">
        <f ca="1">AND(NOW()&gt;=tbl_MTG_Set[[#This Row],[Buy Window Start]], NOW()&lt;=tbl_MTG_Set[[#This Row],[Buy Window End]])</f>
        <v>0</v>
      </c>
      <c r="O206">
        <f>_xlfn.XLOOKUP(tbl_MTG_Set[[#This Row],[Type Name]], tbl_MTG_Set_Type[Set Type], tbl_MTG_Set_Type[Heavy Printing Window Month Start], "(Set Type not found)", 0, 1)</f>
        <v>1</v>
      </c>
      <c r="P206" s="3">
        <f>tbl_MTG_Set[[#This Row],[Released On]]+tbl_MTG_Set[[#This Row],[Heavy Printing Window Month Start]]*365.25/12</f>
        <v>44913.4375</v>
      </c>
      <c r="Q206">
        <f>_xlfn.XLOOKUP(tbl_MTG_Set[[#This Row],[Type Name]], tbl_MTG_Set_Type[Set Type], tbl_MTG_Set_Type[Heavy Printing Window Month End], "(Set Type not found)", 0, 1)</f>
        <v>18</v>
      </c>
      <c r="R206" s="3">
        <f>tbl_MTG_Set[[#This Row],[Released On]]+tbl_MTG_Set[[#This Row],[Heavy Printing Window Month End]]*365.25/12</f>
        <v>45430.875</v>
      </c>
      <c r="S206" s="3" t="b">
        <f ca="1">AND(NOW()&gt;=tbl_MTG_Set[[#This Row],[Heavy Printing Window Start]], NOW()&lt;=tbl_MTG_Set[[#This Row],[Heavy Printing Window End]])</f>
        <v>0</v>
      </c>
      <c r="T206">
        <f>_xlfn.XLOOKUP(tbl_MTG_Set[[#This Row],[Type Name]], tbl_MTG_Set_Type[Set Type], tbl_MTG_Set_Type[Sell Window Month Start], "(Set Type not found)", 0, 1)</f>
        <v>36</v>
      </c>
      <c r="U206" s="3">
        <f>tbl_MTG_Set[[#This Row],[Released On]]+tbl_MTG_Set[[#This Row],[Sell Window Month Start]]*365.25/12</f>
        <v>45978.75</v>
      </c>
      <c r="V206">
        <f>_xlfn.XLOOKUP(tbl_MTG_Set[[#This Row],[Type Name]], tbl_MTG_Set_Type[Set Type], tbl_MTG_Set_Type[Sell Window Month End], "(Set Type not found)", 0, 1)</f>
        <v>48</v>
      </c>
      <c r="W206" s="3">
        <f>tbl_MTG_Set[[#This Row],[Released On]]+tbl_MTG_Set[[#This Row],[Sell Window Month End]]*365.25/12</f>
        <v>46344</v>
      </c>
      <c r="X206" s="3" t="b">
        <f ca="1">AND(NOW()&gt;=tbl_MTG_Set[[#This Row],[Sell Window Start]], NOW()&lt;=tbl_MTG_Set[[#This Row],[Sell Window End]])</f>
        <v>1</v>
      </c>
      <c r="AG206" s="10"/>
      <c r="AH206" s="10"/>
      <c r="AM206" s="10" t="str" cm="1">
        <f t="array" ref="AM2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6" s="10" t="str" cm="1">
        <f t="array" ref="AN2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6" s="4" t="e">
        <f>_xlfn.XLOOKUP(tbl_MTG_Set[[#This Row],[Play Booster Box Product Id]], tbl_Product[Product Id], tbl_Product[Pack Size])</f>
        <v>#N/A</v>
      </c>
      <c r="AP206" s="10" t="e">
        <f>(tbl_MTG_Set[[#This Row],[Play Booster Box Cost]]+v_Item_Shipping_Cost_In)/tbl_MTG_Set[[#This Row],[Play Booster Box Size]]</f>
        <v>#VALUE!</v>
      </c>
      <c r="AQ206" s="10" t="str" cm="1">
        <f t="array" ref="AQ2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6" s="10"/>
      <c r="AS206" s="10"/>
      <c r="AT206" s="17" t="e">
        <f>tbl_MTG_Set[[#This Row],[Play Booster CardMarket Profit]]/tbl_MTG_Set[[#This Row],[Play Booster Cost]]</f>
        <v>#VALUE!</v>
      </c>
      <c r="AU206" s="10" t="e">
        <f>_xlfn.XLOOKUP(tbl_MTG_Set[[#This Row],[Collector Booster Box Product Id]], tbl_Product[Product Id], tbl_Product[Min Cost])</f>
        <v>#N/A</v>
      </c>
      <c r="AV206" s="10" t="e">
        <f>_xlfn.XLOOKUP(tbl_MTG_Set[[#This Row],[Collector Booster Box Product Id]], tbl_Product[Product Id], tbl_Product[Best Source])</f>
        <v>#N/A</v>
      </c>
      <c r="AW206" s="4" t="e">
        <f>_xlfn.XLOOKUP(tbl_MTG_Set[[#This Row],[Collector Booster Box Product Id]], tbl_Product[Product Id], tbl_Product[Pack Size])</f>
        <v>#N/A</v>
      </c>
      <c r="AX206" s="10" t="e">
        <f>(tbl_MTG_Set[[#This Row],[Collector Booster Box Cost]] + v_Item_Shipping_Cost_In) / tbl_MTG_Set[[#This Row],[Collector Booster Box Size]]</f>
        <v>#N/A</v>
      </c>
      <c r="AY206" s="10" t="str" cm="1">
        <f t="array" ref="AY2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6" s="10"/>
      <c r="BA2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6" s="17" t="e">
        <f>tbl_MTG_Set[[#This Row],[Collector Booster CardMarket Profit]]/tbl_MTG_Set[[#This Row],[Collector Booster Cost]]</f>
        <v>#N/A</v>
      </c>
      <c r="BC206" s="10"/>
      <c r="BF2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6" s="11" t="e">
        <f>tbl_MTG_Set[[#This Row],[Play Singles CardMarket Profit MTG Stocks]]/tbl_MTG_Set[[#This Row],[Play Booster Cost]]</f>
        <v>#VALUE!</v>
      </c>
      <c r="BI206" s="11" t="b">
        <f>tbl_MTG_Set[[#This Row],[Play Singles CardMarket Profit MTG Stocks]]&gt;0</f>
        <v>0</v>
      </c>
      <c r="BM206" s="10" t="e">
        <f>tbl_MTG_Set[[#This Row],[Play Booster Sell Price CardMarket]]*tbl_MTG_Set[[#This Row],[Play Booster Expected Market Value BotBox]]/tbl_MTG_Set[[#This Row],[Play Booster Sealed Market Value BotBox]]</f>
        <v>#VALUE!</v>
      </c>
      <c r="BN2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6" s="10" t="e">
        <f>tbl_MTG_Set[[#This Row],[Play Singles CardMarket Profit BotBox]]/tbl_MTG_Set[[#This Row],[Play Booster Cost]]</f>
        <v>#VALUE!</v>
      </c>
      <c r="BP206" s="10" t="b">
        <f>tbl_MTG_Set[[#This Row],[Play Singles CardMarket Profit BotBox]]&gt;0</f>
        <v>0</v>
      </c>
      <c r="BQ206" s="10"/>
      <c r="BR206" s="10"/>
      <c r="BS206" s="10"/>
      <c r="BT2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6" s="19" t="e">
        <f>tbl_MTG_Set[[#This Row],[Collector Singles CardMarket Profit MTG Stocks]]/tbl_MTG_Set[[#This Row],[Collector Booster Cost]]</f>
        <v>#N/A</v>
      </c>
      <c r="BW206" s="10" t="b">
        <f>tbl_MTG_Set[[#This Row],[Collector Singles CardMarket Profit MTG Stocks]]&gt;0</f>
        <v>0</v>
      </c>
      <c r="BX206" s="10"/>
      <c r="BY206" s="10"/>
      <c r="BZ2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6" s="10" t="e">
        <f>tbl_MTG_Set[[#This Row],[Collector Singles CardMarket Profit BotBox]]/tbl_MTG_Set[[#This Row],[Collector Booster Cost]]</f>
        <v>#N/A</v>
      </c>
      <c r="CC206" s="10" t="b">
        <f>tbl_MTG_Set[[#This Row],[Collector Singles CardMarket Profit BotBox]]&gt;0</f>
        <v>0</v>
      </c>
      <c r="CD2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7" spans="1:86" hidden="1">
      <c r="A207">
        <v>227</v>
      </c>
      <c r="B207" t="s">
        <v>380</v>
      </c>
      <c r="C207">
        <v>171</v>
      </c>
      <c r="D207" s="3">
        <v>44883</v>
      </c>
      <c r="E207" t="s">
        <v>59</v>
      </c>
      <c r="F207" t="s">
        <v>174</v>
      </c>
      <c r="G207">
        <v>400</v>
      </c>
      <c r="H207">
        <f ca="1">MONTH(NOW())+12*YEAR(NOW())-MONTH(tbl_MTG_Set[[#This Row],[Released On]])-12*YEAR(tbl_MTG_Set[[#This Row],[Released On]])</f>
        <v>40</v>
      </c>
      <c r="I207">
        <f>_xlfn.XLOOKUP(tbl_MTG_Set[[#This Row],[Type Name]], tbl_MTG_Set_Type[Set Type], tbl_MTG_Set_Type[Index], "(Set Type not found)")</f>
        <v>1</v>
      </c>
      <c r="J207">
        <f>_xlfn.XLOOKUP(tbl_MTG_Set[[#This Row],[Type Name]], tbl_MTG_Set_Type[Set Type], tbl_MTG_Set_Type[Buy Window Month Start], "(Set Type not found)")</f>
        <v>18</v>
      </c>
      <c r="K207" s="3">
        <f>tbl_MTG_Set[[#This Row],[Released On]]+tbl_MTG_Set[[#This Row],[Buy Window Month Start]]*365.25/12</f>
        <v>45430.875</v>
      </c>
      <c r="L207">
        <f>_xlfn.XLOOKUP(tbl_MTG_Set[[#This Row],[Type Name]], tbl_MTG_Set_Type[Set Type], tbl_MTG_Set_Type[Buy Window Month End], "(Set Type not found)", 0, 1)</f>
        <v>24</v>
      </c>
      <c r="M207" s="3">
        <f>tbl_MTG_Set[[#This Row],[Released On]]+tbl_MTG_Set[[#This Row],[Buy Window Month End]]*365.25/12</f>
        <v>45613.5</v>
      </c>
      <c r="N207" s="3" t="b">
        <f ca="1">AND(NOW()&gt;=tbl_MTG_Set[[#This Row],[Buy Window Start]], NOW()&lt;=tbl_MTG_Set[[#This Row],[Buy Window End]])</f>
        <v>0</v>
      </c>
      <c r="O207">
        <f>_xlfn.XLOOKUP(tbl_MTG_Set[[#This Row],[Type Name]], tbl_MTG_Set_Type[Set Type], tbl_MTG_Set_Type[Heavy Printing Window Month Start], "(Set Type not found)", 0, 1)</f>
        <v>1</v>
      </c>
      <c r="P207" s="3">
        <f>tbl_MTG_Set[[#This Row],[Released On]]+tbl_MTG_Set[[#This Row],[Heavy Printing Window Month Start]]*365.25/12</f>
        <v>44913.4375</v>
      </c>
      <c r="Q207">
        <f>_xlfn.XLOOKUP(tbl_MTG_Set[[#This Row],[Type Name]], tbl_MTG_Set_Type[Set Type], tbl_MTG_Set_Type[Heavy Printing Window Month End], "(Set Type not found)", 0, 1)</f>
        <v>18</v>
      </c>
      <c r="R207" s="3">
        <f>tbl_MTG_Set[[#This Row],[Released On]]+tbl_MTG_Set[[#This Row],[Heavy Printing Window Month End]]*365.25/12</f>
        <v>45430.875</v>
      </c>
      <c r="S207" s="3" t="b">
        <f ca="1">AND(NOW()&gt;=tbl_MTG_Set[[#This Row],[Heavy Printing Window Start]], NOW()&lt;=tbl_MTG_Set[[#This Row],[Heavy Printing Window End]])</f>
        <v>0</v>
      </c>
      <c r="T207">
        <f>_xlfn.XLOOKUP(tbl_MTG_Set[[#This Row],[Type Name]], tbl_MTG_Set_Type[Set Type], tbl_MTG_Set_Type[Sell Window Month Start], "(Set Type not found)", 0, 1)</f>
        <v>36</v>
      </c>
      <c r="U207" s="3">
        <f>tbl_MTG_Set[[#This Row],[Released On]]+tbl_MTG_Set[[#This Row],[Sell Window Month Start]]*365.25/12</f>
        <v>45978.75</v>
      </c>
      <c r="V207">
        <f>_xlfn.XLOOKUP(tbl_MTG_Set[[#This Row],[Type Name]], tbl_MTG_Set_Type[Set Type], tbl_MTG_Set_Type[Sell Window Month End], "(Set Type not found)", 0, 1)</f>
        <v>48</v>
      </c>
      <c r="W207" s="3">
        <f>tbl_MTG_Set[[#This Row],[Released On]]+tbl_MTG_Set[[#This Row],[Sell Window Month End]]*365.25/12</f>
        <v>46344</v>
      </c>
      <c r="X207" s="3" t="b">
        <f ca="1">AND(NOW()&gt;=tbl_MTG_Set[[#This Row],[Sell Window Start]], NOW()&lt;=tbl_MTG_Set[[#This Row],[Sell Window End]])</f>
        <v>1</v>
      </c>
      <c r="AG207" s="10"/>
      <c r="AH207" s="10"/>
      <c r="AM207" s="10" t="str" cm="1">
        <f t="array" ref="AM2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7" s="10" t="str" cm="1">
        <f t="array" ref="AN2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7" s="4" t="e">
        <f>_xlfn.XLOOKUP(tbl_MTG_Set[[#This Row],[Play Booster Box Product Id]], tbl_Product[Product Id], tbl_Product[Pack Size])</f>
        <v>#N/A</v>
      </c>
      <c r="AP207" s="10" t="e">
        <f>(tbl_MTG_Set[[#This Row],[Play Booster Box Cost]]+v_Item_Shipping_Cost_In)/tbl_MTG_Set[[#This Row],[Play Booster Box Size]]</f>
        <v>#VALUE!</v>
      </c>
      <c r="AQ207" s="10" t="str" cm="1">
        <f t="array" ref="AQ2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7" s="10"/>
      <c r="AS207" s="10"/>
      <c r="AT207" s="17" t="e">
        <f>tbl_MTG_Set[[#This Row],[Play Booster CardMarket Profit]]/tbl_MTG_Set[[#This Row],[Play Booster Cost]]</f>
        <v>#VALUE!</v>
      </c>
      <c r="AU207" s="10" t="e">
        <f>_xlfn.XLOOKUP(tbl_MTG_Set[[#This Row],[Collector Booster Box Product Id]], tbl_Product[Product Id], tbl_Product[Min Cost])</f>
        <v>#N/A</v>
      </c>
      <c r="AV207" s="10" t="e">
        <f>_xlfn.XLOOKUP(tbl_MTG_Set[[#This Row],[Collector Booster Box Product Id]], tbl_Product[Product Id], tbl_Product[Best Source])</f>
        <v>#N/A</v>
      </c>
      <c r="AW207" s="4" t="e">
        <f>_xlfn.XLOOKUP(tbl_MTG_Set[[#This Row],[Collector Booster Box Product Id]], tbl_Product[Product Id], tbl_Product[Pack Size])</f>
        <v>#N/A</v>
      </c>
      <c r="AX207" s="10" t="e">
        <f>(tbl_MTG_Set[[#This Row],[Collector Booster Box Cost]] + v_Item_Shipping_Cost_In) / tbl_MTG_Set[[#This Row],[Collector Booster Box Size]]</f>
        <v>#N/A</v>
      </c>
      <c r="AY207" s="10" t="str" cm="1">
        <f t="array" ref="AY2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7" s="10"/>
      <c r="BA2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7" s="17" t="e">
        <f>tbl_MTG_Set[[#This Row],[Collector Booster CardMarket Profit]]/tbl_MTG_Set[[#This Row],[Collector Booster Cost]]</f>
        <v>#N/A</v>
      </c>
      <c r="BC207" s="10"/>
      <c r="BF2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7" s="11" t="e">
        <f>tbl_MTG_Set[[#This Row],[Play Singles CardMarket Profit MTG Stocks]]/tbl_MTG_Set[[#This Row],[Play Booster Cost]]</f>
        <v>#VALUE!</v>
      </c>
      <c r="BI207" s="11" t="b">
        <f>tbl_MTG_Set[[#This Row],[Play Singles CardMarket Profit MTG Stocks]]&gt;0</f>
        <v>0</v>
      </c>
      <c r="BM207" s="10" t="e">
        <f>tbl_MTG_Set[[#This Row],[Play Booster Sell Price CardMarket]]*tbl_MTG_Set[[#This Row],[Play Booster Expected Market Value BotBox]]/tbl_MTG_Set[[#This Row],[Play Booster Sealed Market Value BotBox]]</f>
        <v>#VALUE!</v>
      </c>
      <c r="BN2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7" s="10" t="e">
        <f>tbl_MTG_Set[[#This Row],[Play Singles CardMarket Profit BotBox]]/tbl_MTG_Set[[#This Row],[Play Booster Cost]]</f>
        <v>#VALUE!</v>
      </c>
      <c r="BP207" s="10" t="b">
        <f>tbl_MTG_Set[[#This Row],[Play Singles CardMarket Profit BotBox]]&gt;0</f>
        <v>0</v>
      </c>
      <c r="BQ207" s="10"/>
      <c r="BR207" s="10"/>
      <c r="BS207" s="10"/>
      <c r="BT2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7" s="19" t="e">
        <f>tbl_MTG_Set[[#This Row],[Collector Singles CardMarket Profit MTG Stocks]]/tbl_MTG_Set[[#This Row],[Collector Booster Cost]]</f>
        <v>#N/A</v>
      </c>
      <c r="BW207" s="10" t="b">
        <f>tbl_MTG_Set[[#This Row],[Collector Singles CardMarket Profit MTG Stocks]]&gt;0</f>
        <v>0</v>
      </c>
      <c r="BX207" s="10"/>
      <c r="BY207" s="10"/>
      <c r="BZ2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7" s="10" t="e">
        <f>tbl_MTG_Set[[#This Row],[Collector Singles CardMarket Profit BotBox]]/tbl_MTG_Set[[#This Row],[Collector Booster Cost]]</f>
        <v>#N/A</v>
      </c>
      <c r="CC207" s="10" t="b">
        <f>tbl_MTG_Set[[#This Row],[Collector Singles CardMarket Profit BotBox]]&gt;0</f>
        <v>0</v>
      </c>
      <c r="CD2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8" spans="1:86" hidden="1">
      <c r="A208">
        <v>228</v>
      </c>
      <c r="B208" t="s">
        <v>381</v>
      </c>
      <c r="C208">
        <v>12</v>
      </c>
      <c r="D208" s="3">
        <v>44883</v>
      </c>
      <c r="E208" t="s">
        <v>59</v>
      </c>
      <c r="F208" t="s">
        <v>174</v>
      </c>
      <c r="G208">
        <v>402</v>
      </c>
      <c r="H208">
        <f ca="1">MONTH(NOW())+12*YEAR(NOW())-MONTH(tbl_MTG_Set[[#This Row],[Released On]])-12*YEAR(tbl_MTG_Set[[#This Row],[Released On]])</f>
        <v>40</v>
      </c>
      <c r="I208">
        <f>_xlfn.XLOOKUP(tbl_MTG_Set[[#This Row],[Type Name]], tbl_MTG_Set_Type[Set Type], tbl_MTG_Set_Type[Index], "(Set Type not found)")</f>
        <v>1</v>
      </c>
      <c r="J208">
        <f>_xlfn.XLOOKUP(tbl_MTG_Set[[#This Row],[Type Name]], tbl_MTG_Set_Type[Set Type], tbl_MTG_Set_Type[Buy Window Month Start], "(Set Type not found)")</f>
        <v>18</v>
      </c>
      <c r="K208" s="3">
        <f>tbl_MTG_Set[[#This Row],[Released On]]+tbl_MTG_Set[[#This Row],[Buy Window Month Start]]*365.25/12</f>
        <v>45430.875</v>
      </c>
      <c r="L208">
        <f>_xlfn.XLOOKUP(tbl_MTG_Set[[#This Row],[Type Name]], tbl_MTG_Set_Type[Set Type], tbl_MTG_Set_Type[Buy Window Month End], "(Set Type not found)", 0, 1)</f>
        <v>24</v>
      </c>
      <c r="M208" s="3">
        <f>tbl_MTG_Set[[#This Row],[Released On]]+tbl_MTG_Set[[#This Row],[Buy Window Month End]]*365.25/12</f>
        <v>45613.5</v>
      </c>
      <c r="N208" s="3" t="b">
        <f ca="1">AND(NOW()&gt;=tbl_MTG_Set[[#This Row],[Buy Window Start]], NOW()&lt;=tbl_MTG_Set[[#This Row],[Buy Window End]])</f>
        <v>0</v>
      </c>
      <c r="O208">
        <f>_xlfn.XLOOKUP(tbl_MTG_Set[[#This Row],[Type Name]], tbl_MTG_Set_Type[Set Type], tbl_MTG_Set_Type[Heavy Printing Window Month Start], "(Set Type not found)", 0, 1)</f>
        <v>1</v>
      </c>
      <c r="P208" s="3">
        <f>tbl_MTG_Set[[#This Row],[Released On]]+tbl_MTG_Set[[#This Row],[Heavy Printing Window Month Start]]*365.25/12</f>
        <v>44913.4375</v>
      </c>
      <c r="Q208">
        <f>_xlfn.XLOOKUP(tbl_MTG_Set[[#This Row],[Type Name]], tbl_MTG_Set_Type[Set Type], tbl_MTG_Set_Type[Heavy Printing Window Month End], "(Set Type not found)", 0, 1)</f>
        <v>18</v>
      </c>
      <c r="R208" s="3">
        <f>tbl_MTG_Set[[#This Row],[Released On]]+tbl_MTG_Set[[#This Row],[Heavy Printing Window Month End]]*365.25/12</f>
        <v>45430.875</v>
      </c>
      <c r="S208" s="3" t="b">
        <f ca="1">AND(NOW()&gt;=tbl_MTG_Set[[#This Row],[Heavy Printing Window Start]], NOW()&lt;=tbl_MTG_Set[[#This Row],[Heavy Printing Window End]])</f>
        <v>0</v>
      </c>
      <c r="T208">
        <f>_xlfn.XLOOKUP(tbl_MTG_Set[[#This Row],[Type Name]], tbl_MTG_Set_Type[Set Type], tbl_MTG_Set_Type[Sell Window Month Start], "(Set Type not found)", 0, 1)</f>
        <v>36</v>
      </c>
      <c r="U208" s="3">
        <f>tbl_MTG_Set[[#This Row],[Released On]]+tbl_MTG_Set[[#This Row],[Sell Window Month Start]]*365.25/12</f>
        <v>45978.75</v>
      </c>
      <c r="V208">
        <f>_xlfn.XLOOKUP(tbl_MTG_Set[[#This Row],[Type Name]], tbl_MTG_Set_Type[Set Type], tbl_MTG_Set_Type[Sell Window Month End], "(Set Type not found)", 0, 1)</f>
        <v>48</v>
      </c>
      <c r="W208" s="3">
        <f>tbl_MTG_Set[[#This Row],[Released On]]+tbl_MTG_Set[[#This Row],[Sell Window Month End]]*365.25/12</f>
        <v>46344</v>
      </c>
      <c r="X208" s="3" t="b">
        <f ca="1">AND(NOW()&gt;=tbl_MTG_Set[[#This Row],[Sell Window Start]], NOW()&lt;=tbl_MTG_Set[[#This Row],[Sell Window End]])</f>
        <v>1</v>
      </c>
      <c r="AG208" s="10"/>
      <c r="AH208" s="10"/>
      <c r="AM208" s="10" t="str" cm="1">
        <f t="array" ref="AM2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8" s="10" t="str" cm="1">
        <f t="array" ref="AN2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8" s="4" t="e">
        <f>_xlfn.XLOOKUP(tbl_MTG_Set[[#This Row],[Play Booster Box Product Id]], tbl_Product[Product Id], tbl_Product[Pack Size])</f>
        <v>#N/A</v>
      </c>
      <c r="AP208" s="10" t="e">
        <f>(tbl_MTG_Set[[#This Row],[Play Booster Box Cost]]+v_Item_Shipping_Cost_In)/tbl_MTG_Set[[#This Row],[Play Booster Box Size]]</f>
        <v>#VALUE!</v>
      </c>
      <c r="AQ208" s="10" t="str" cm="1">
        <f t="array" ref="AQ2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8" s="10"/>
      <c r="AS208" s="10"/>
      <c r="AT208" s="17" t="e">
        <f>tbl_MTG_Set[[#This Row],[Play Booster CardMarket Profit]]/tbl_MTG_Set[[#This Row],[Play Booster Cost]]</f>
        <v>#VALUE!</v>
      </c>
      <c r="AU208" s="10" t="e">
        <f>_xlfn.XLOOKUP(tbl_MTG_Set[[#This Row],[Collector Booster Box Product Id]], tbl_Product[Product Id], tbl_Product[Min Cost])</f>
        <v>#N/A</v>
      </c>
      <c r="AV208" s="10" t="e">
        <f>_xlfn.XLOOKUP(tbl_MTG_Set[[#This Row],[Collector Booster Box Product Id]], tbl_Product[Product Id], tbl_Product[Best Source])</f>
        <v>#N/A</v>
      </c>
      <c r="AW208" s="4" t="e">
        <f>_xlfn.XLOOKUP(tbl_MTG_Set[[#This Row],[Collector Booster Box Product Id]], tbl_Product[Product Id], tbl_Product[Pack Size])</f>
        <v>#N/A</v>
      </c>
      <c r="AX208" s="10" t="e">
        <f>(tbl_MTG_Set[[#This Row],[Collector Booster Box Cost]] + v_Item_Shipping_Cost_In) / tbl_MTG_Set[[#This Row],[Collector Booster Box Size]]</f>
        <v>#N/A</v>
      </c>
      <c r="AY208" s="10" t="str" cm="1">
        <f t="array" ref="AY2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8" s="10"/>
      <c r="BA2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8" s="17" t="e">
        <f>tbl_MTG_Set[[#This Row],[Collector Booster CardMarket Profit]]/tbl_MTG_Set[[#This Row],[Collector Booster Cost]]</f>
        <v>#N/A</v>
      </c>
      <c r="BC208" s="10"/>
      <c r="BF2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8" s="11" t="e">
        <f>tbl_MTG_Set[[#This Row],[Play Singles CardMarket Profit MTG Stocks]]/tbl_MTG_Set[[#This Row],[Play Booster Cost]]</f>
        <v>#VALUE!</v>
      </c>
      <c r="BI208" s="11" t="b">
        <f>tbl_MTG_Set[[#This Row],[Play Singles CardMarket Profit MTG Stocks]]&gt;0</f>
        <v>0</v>
      </c>
      <c r="BM208" s="10" t="e">
        <f>tbl_MTG_Set[[#This Row],[Play Booster Sell Price CardMarket]]*tbl_MTG_Set[[#This Row],[Play Booster Expected Market Value BotBox]]/tbl_MTG_Set[[#This Row],[Play Booster Sealed Market Value BotBox]]</f>
        <v>#VALUE!</v>
      </c>
      <c r="BN2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8" s="10" t="e">
        <f>tbl_MTG_Set[[#This Row],[Play Singles CardMarket Profit BotBox]]/tbl_MTG_Set[[#This Row],[Play Booster Cost]]</f>
        <v>#VALUE!</v>
      </c>
      <c r="BP208" s="10" t="b">
        <f>tbl_MTG_Set[[#This Row],[Play Singles CardMarket Profit BotBox]]&gt;0</f>
        <v>0</v>
      </c>
      <c r="BQ208" s="10"/>
      <c r="BR208" s="10"/>
      <c r="BS208" s="10"/>
      <c r="BT2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8" s="19" t="e">
        <f>tbl_MTG_Set[[#This Row],[Collector Singles CardMarket Profit MTG Stocks]]/tbl_MTG_Set[[#This Row],[Collector Booster Cost]]</f>
        <v>#N/A</v>
      </c>
      <c r="BW208" s="10" t="b">
        <f>tbl_MTG_Set[[#This Row],[Collector Singles CardMarket Profit MTG Stocks]]&gt;0</f>
        <v>0</v>
      </c>
      <c r="BX208" s="10"/>
      <c r="BY208" s="10"/>
      <c r="BZ2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8" s="10" t="e">
        <f>tbl_MTG_Set[[#This Row],[Collector Singles CardMarket Profit BotBox]]/tbl_MTG_Set[[#This Row],[Collector Booster Cost]]</f>
        <v>#N/A</v>
      </c>
      <c r="CC208" s="10" t="b">
        <f>tbl_MTG_Set[[#This Row],[Collector Singles CardMarket Profit BotBox]]&gt;0</f>
        <v>0</v>
      </c>
      <c r="CD2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09" spans="1:86" hidden="1">
      <c r="A209">
        <v>229</v>
      </c>
      <c r="B209" t="s">
        <v>382</v>
      </c>
      <c r="C209">
        <v>31</v>
      </c>
      <c r="D209" s="3">
        <v>44908</v>
      </c>
      <c r="F209" t="s">
        <v>174</v>
      </c>
      <c r="G209">
        <v>404</v>
      </c>
      <c r="H209">
        <f ca="1">MONTH(NOW())+12*YEAR(NOW())-MONTH(tbl_MTG_Set[[#This Row],[Released On]])-12*YEAR(tbl_MTG_Set[[#This Row],[Released On]])</f>
        <v>39</v>
      </c>
      <c r="I209" t="str">
        <f>_xlfn.XLOOKUP(tbl_MTG_Set[[#This Row],[Type Name]], tbl_MTG_Set_Type[Set Type], tbl_MTG_Set_Type[Index], "(Set Type not found)")</f>
        <v>(Set Type not found)</v>
      </c>
      <c r="J209" t="str">
        <f>_xlfn.XLOOKUP(tbl_MTG_Set[[#This Row],[Type Name]], tbl_MTG_Set_Type[Set Type], tbl_MTG_Set_Type[Buy Window Month Start], "(Set Type not found)")</f>
        <v>(Set Type not found)</v>
      </c>
      <c r="K209" s="3" t="e">
        <f>tbl_MTG_Set[[#This Row],[Released On]]+tbl_MTG_Set[[#This Row],[Buy Window Month Start]]*365.25/12</f>
        <v>#VALUE!</v>
      </c>
      <c r="L209" t="str">
        <f>_xlfn.XLOOKUP(tbl_MTG_Set[[#This Row],[Type Name]], tbl_MTG_Set_Type[Set Type], tbl_MTG_Set_Type[Buy Window Month End], "(Set Type not found)", 0, 1)</f>
        <v>(Set Type not found)</v>
      </c>
      <c r="M209" s="3" t="e">
        <f>tbl_MTG_Set[[#This Row],[Released On]]+tbl_MTG_Set[[#This Row],[Buy Window Month End]]*365.25/12</f>
        <v>#VALUE!</v>
      </c>
      <c r="N209" s="3" t="e">
        <f ca="1">AND(NOW()&gt;=tbl_MTG_Set[[#This Row],[Buy Window Start]], NOW()&lt;=tbl_MTG_Set[[#This Row],[Buy Window End]])</f>
        <v>#VALUE!</v>
      </c>
      <c r="O209" t="str">
        <f>_xlfn.XLOOKUP(tbl_MTG_Set[[#This Row],[Type Name]], tbl_MTG_Set_Type[Set Type], tbl_MTG_Set_Type[Heavy Printing Window Month Start], "(Set Type not found)", 0, 1)</f>
        <v>(Set Type not found)</v>
      </c>
      <c r="P209" s="3" t="e">
        <f>tbl_MTG_Set[[#This Row],[Released On]]+tbl_MTG_Set[[#This Row],[Heavy Printing Window Month Start]]*365.25/12</f>
        <v>#VALUE!</v>
      </c>
      <c r="Q209" t="str">
        <f>_xlfn.XLOOKUP(tbl_MTG_Set[[#This Row],[Type Name]], tbl_MTG_Set_Type[Set Type], tbl_MTG_Set_Type[Heavy Printing Window Month End], "(Set Type not found)", 0, 1)</f>
        <v>(Set Type not found)</v>
      </c>
      <c r="R209" s="3" t="e">
        <f>tbl_MTG_Set[[#This Row],[Released On]]+tbl_MTG_Set[[#This Row],[Heavy Printing Window Month End]]*365.25/12</f>
        <v>#VALUE!</v>
      </c>
      <c r="S209" s="3" t="e">
        <f ca="1">AND(NOW()&gt;=tbl_MTG_Set[[#This Row],[Heavy Printing Window Start]], NOW()&lt;=tbl_MTG_Set[[#This Row],[Heavy Printing Window End]])</f>
        <v>#VALUE!</v>
      </c>
      <c r="T209" t="str">
        <f>_xlfn.XLOOKUP(tbl_MTG_Set[[#This Row],[Type Name]], tbl_MTG_Set_Type[Set Type], tbl_MTG_Set_Type[Sell Window Month Start], "(Set Type not found)", 0, 1)</f>
        <v>(Set Type not found)</v>
      </c>
      <c r="U209" s="3" t="e">
        <f>tbl_MTG_Set[[#This Row],[Released On]]+tbl_MTG_Set[[#This Row],[Sell Window Month Start]]*365.25/12</f>
        <v>#VALUE!</v>
      </c>
      <c r="V209" t="str">
        <f>_xlfn.XLOOKUP(tbl_MTG_Set[[#This Row],[Type Name]], tbl_MTG_Set_Type[Set Type], tbl_MTG_Set_Type[Sell Window Month End], "(Set Type not found)", 0, 1)</f>
        <v>(Set Type not found)</v>
      </c>
      <c r="W209" s="3" t="e">
        <f>tbl_MTG_Set[[#This Row],[Released On]]+tbl_MTG_Set[[#This Row],[Sell Window Month End]]*365.25/12</f>
        <v>#VALUE!</v>
      </c>
      <c r="X209" s="3" t="e">
        <f ca="1">AND(NOW()&gt;=tbl_MTG_Set[[#This Row],[Sell Window Start]], NOW()&lt;=tbl_MTG_Set[[#This Row],[Sell Window End]])</f>
        <v>#VALUE!</v>
      </c>
      <c r="AG209" s="10"/>
      <c r="AH209" s="10"/>
      <c r="AM209" s="10" t="str" cm="1">
        <f t="array" ref="AM2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09" s="10" t="str" cm="1">
        <f t="array" ref="AN2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09" s="4" t="e">
        <f>_xlfn.XLOOKUP(tbl_MTG_Set[[#This Row],[Play Booster Box Product Id]], tbl_Product[Product Id], tbl_Product[Pack Size])</f>
        <v>#N/A</v>
      </c>
      <c r="AP209" s="10" t="e">
        <f>(tbl_MTG_Set[[#This Row],[Play Booster Box Cost]]+v_Item_Shipping_Cost_In)/tbl_MTG_Set[[#This Row],[Play Booster Box Size]]</f>
        <v>#VALUE!</v>
      </c>
      <c r="AQ209" s="10" t="str" cm="1">
        <f t="array" ref="AQ2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09" s="10"/>
      <c r="AS209" s="10"/>
      <c r="AT209" s="17" t="e">
        <f>tbl_MTG_Set[[#This Row],[Play Booster CardMarket Profit]]/tbl_MTG_Set[[#This Row],[Play Booster Cost]]</f>
        <v>#VALUE!</v>
      </c>
      <c r="AU209" s="10" t="e">
        <f>_xlfn.XLOOKUP(tbl_MTG_Set[[#This Row],[Collector Booster Box Product Id]], tbl_Product[Product Id], tbl_Product[Min Cost])</f>
        <v>#N/A</v>
      </c>
      <c r="AV209" s="10" t="e">
        <f>_xlfn.XLOOKUP(tbl_MTG_Set[[#This Row],[Collector Booster Box Product Id]], tbl_Product[Product Id], tbl_Product[Best Source])</f>
        <v>#N/A</v>
      </c>
      <c r="AW209" s="4" t="e">
        <f>_xlfn.XLOOKUP(tbl_MTG_Set[[#This Row],[Collector Booster Box Product Id]], tbl_Product[Product Id], tbl_Product[Pack Size])</f>
        <v>#N/A</v>
      </c>
      <c r="AX209" s="10" t="e">
        <f>(tbl_MTG_Set[[#This Row],[Collector Booster Box Cost]] + v_Item_Shipping_Cost_In) / tbl_MTG_Set[[#This Row],[Collector Booster Box Size]]</f>
        <v>#N/A</v>
      </c>
      <c r="AY209" s="10" t="str" cm="1">
        <f t="array" ref="AY2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09" s="10"/>
      <c r="BA2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09" s="17" t="e">
        <f>tbl_MTG_Set[[#This Row],[Collector Booster CardMarket Profit]]/tbl_MTG_Set[[#This Row],[Collector Booster Cost]]</f>
        <v>#N/A</v>
      </c>
      <c r="BC209" s="10"/>
      <c r="BF2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09" s="11" t="e">
        <f>tbl_MTG_Set[[#This Row],[Play Singles CardMarket Profit MTG Stocks]]/tbl_MTG_Set[[#This Row],[Play Booster Cost]]</f>
        <v>#VALUE!</v>
      </c>
      <c r="BI209" s="11" t="b">
        <f>tbl_MTG_Set[[#This Row],[Play Singles CardMarket Profit MTG Stocks]]&gt;0</f>
        <v>0</v>
      </c>
      <c r="BM209" s="10" t="e">
        <f>tbl_MTG_Set[[#This Row],[Play Booster Sell Price CardMarket]]*tbl_MTG_Set[[#This Row],[Play Booster Expected Market Value BotBox]]/tbl_MTG_Set[[#This Row],[Play Booster Sealed Market Value BotBox]]</f>
        <v>#VALUE!</v>
      </c>
      <c r="BN2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09" s="10" t="e">
        <f>tbl_MTG_Set[[#This Row],[Play Singles CardMarket Profit BotBox]]/tbl_MTG_Set[[#This Row],[Play Booster Cost]]</f>
        <v>#VALUE!</v>
      </c>
      <c r="BP209" s="10" t="b">
        <f>tbl_MTG_Set[[#This Row],[Play Singles CardMarket Profit BotBox]]&gt;0</f>
        <v>0</v>
      </c>
      <c r="BQ209" s="10"/>
      <c r="BR209" s="10"/>
      <c r="BS209" s="10"/>
      <c r="BT2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09" s="19" t="e">
        <f>tbl_MTG_Set[[#This Row],[Collector Singles CardMarket Profit MTG Stocks]]/tbl_MTG_Set[[#This Row],[Collector Booster Cost]]</f>
        <v>#N/A</v>
      </c>
      <c r="BW209" s="10" t="b">
        <f>tbl_MTG_Set[[#This Row],[Collector Singles CardMarket Profit MTG Stocks]]&gt;0</f>
        <v>0</v>
      </c>
      <c r="BX209" s="10"/>
      <c r="BY209" s="10"/>
      <c r="BZ2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09" s="10" t="e">
        <f>tbl_MTG_Set[[#This Row],[Collector Singles CardMarket Profit BotBox]]/tbl_MTG_Set[[#This Row],[Collector Booster Cost]]</f>
        <v>#N/A</v>
      </c>
      <c r="CC209" s="10" t="b">
        <f>tbl_MTG_Set[[#This Row],[Collector Singles CardMarket Profit BotBox]]&gt;0</f>
        <v>0</v>
      </c>
      <c r="CD2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0" spans="1:86" hidden="1">
      <c r="A210">
        <v>230</v>
      </c>
      <c r="B210" t="s">
        <v>383</v>
      </c>
      <c r="C210">
        <v>209</v>
      </c>
      <c r="D210" s="3">
        <v>44883</v>
      </c>
      <c r="E210" t="s">
        <v>59</v>
      </c>
      <c r="F210" t="s">
        <v>174</v>
      </c>
      <c r="G210">
        <v>406</v>
      </c>
      <c r="H210">
        <f ca="1">MONTH(NOW())+12*YEAR(NOW())-MONTH(tbl_MTG_Set[[#This Row],[Released On]])-12*YEAR(tbl_MTG_Set[[#This Row],[Released On]])</f>
        <v>40</v>
      </c>
      <c r="I210">
        <f>_xlfn.XLOOKUP(tbl_MTG_Set[[#This Row],[Type Name]], tbl_MTG_Set_Type[Set Type], tbl_MTG_Set_Type[Index], "(Set Type not found)")</f>
        <v>1</v>
      </c>
      <c r="J210">
        <f>_xlfn.XLOOKUP(tbl_MTG_Set[[#This Row],[Type Name]], tbl_MTG_Set_Type[Set Type], tbl_MTG_Set_Type[Buy Window Month Start], "(Set Type not found)")</f>
        <v>18</v>
      </c>
      <c r="K210" s="3">
        <f>tbl_MTG_Set[[#This Row],[Released On]]+tbl_MTG_Set[[#This Row],[Buy Window Month Start]]*365.25/12</f>
        <v>45430.875</v>
      </c>
      <c r="L210">
        <f>_xlfn.XLOOKUP(tbl_MTG_Set[[#This Row],[Type Name]], tbl_MTG_Set_Type[Set Type], tbl_MTG_Set_Type[Buy Window Month End], "(Set Type not found)", 0, 1)</f>
        <v>24</v>
      </c>
      <c r="M210" s="3">
        <f>tbl_MTG_Set[[#This Row],[Released On]]+tbl_MTG_Set[[#This Row],[Buy Window Month End]]*365.25/12</f>
        <v>45613.5</v>
      </c>
      <c r="N210" s="3" t="b">
        <f ca="1">AND(NOW()&gt;=tbl_MTG_Set[[#This Row],[Buy Window Start]], NOW()&lt;=tbl_MTG_Set[[#This Row],[Buy Window End]])</f>
        <v>0</v>
      </c>
      <c r="O210">
        <f>_xlfn.XLOOKUP(tbl_MTG_Set[[#This Row],[Type Name]], tbl_MTG_Set_Type[Set Type], tbl_MTG_Set_Type[Heavy Printing Window Month Start], "(Set Type not found)", 0, 1)</f>
        <v>1</v>
      </c>
      <c r="P210" s="3">
        <f>tbl_MTG_Set[[#This Row],[Released On]]+tbl_MTG_Set[[#This Row],[Heavy Printing Window Month Start]]*365.25/12</f>
        <v>44913.4375</v>
      </c>
      <c r="Q210">
        <f>_xlfn.XLOOKUP(tbl_MTG_Set[[#This Row],[Type Name]], tbl_MTG_Set_Type[Set Type], tbl_MTG_Set_Type[Heavy Printing Window Month End], "(Set Type not found)", 0, 1)</f>
        <v>18</v>
      </c>
      <c r="R210" s="3">
        <f>tbl_MTG_Set[[#This Row],[Released On]]+tbl_MTG_Set[[#This Row],[Heavy Printing Window Month End]]*365.25/12</f>
        <v>45430.875</v>
      </c>
      <c r="S210" s="3" t="b">
        <f ca="1">AND(NOW()&gt;=tbl_MTG_Set[[#This Row],[Heavy Printing Window Start]], NOW()&lt;=tbl_MTG_Set[[#This Row],[Heavy Printing Window End]])</f>
        <v>0</v>
      </c>
      <c r="T210">
        <f>_xlfn.XLOOKUP(tbl_MTG_Set[[#This Row],[Type Name]], tbl_MTG_Set_Type[Set Type], tbl_MTG_Set_Type[Sell Window Month Start], "(Set Type not found)", 0, 1)</f>
        <v>36</v>
      </c>
      <c r="U210" s="3">
        <f>tbl_MTG_Set[[#This Row],[Released On]]+tbl_MTG_Set[[#This Row],[Sell Window Month Start]]*365.25/12</f>
        <v>45978.75</v>
      </c>
      <c r="V210">
        <f>_xlfn.XLOOKUP(tbl_MTG_Set[[#This Row],[Type Name]], tbl_MTG_Set_Type[Set Type], tbl_MTG_Set_Type[Sell Window Month End], "(Set Type not found)", 0, 1)</f>
        <v>48</v>
      </c>
      <c r="W210" s="3">
        <f>tbl_MTG_Set[[#This Row],[Released On]]+tbl_MTG_Set[[#This Row],[Sell Window Month End]]*365.25/12</f>
        <v>46344</v>
      </c>
      <c r="X210" s="3" t="b">
        <f ca="1">AND(NOW()&gt;=tbl_MTG_Set[[#This Row],[Sell Window Start]], NOW()&lt;=tbl_MTG_Set[[#This Row],[Sell Window End]])</f>
        <v>1</v>
      </c>
      <c r="AG210" s="10"/>
      <c r="AH210" s="10"/>
      <c r="AM210" s="10" t="str" cm="1">
        <f t="array" ref="AM2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0" s="10" t="str" cm="1">
        <f t="array" ref="AN2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0" s="4" t="e">
        <f>_xlfn.XLOOKUP(tbl_MTG_Set[[#This Row],[Play Booster Box Product Id]], tbl_Product[Product Id], tbl_Product[Pack Size])</f>
        <v>#N/A</v>
      </c>
      <c r="AP210" s="10" t="e">
        <f>(tbl_MTG_Set[[#This Row],[Play Booster Box Cost]]+v_Item_Shipping_Cost_In)/tbl_MTG_Set[[#This Row],[Play Booster Box Size]]</f>
        <v>#VALUE!</v>
      </c>
      <c r="AQ210" s="10" t="str" cm="1">
        <f t="array" ref="AQ2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0" s="10"/>
      <c r="AS210" s="10"/>
      <c r="AT210" s="17" t="e">
        <f>tbl_MTG_Set[[#This Row],[Play Booster CardMarket Profit]]/tbl_MTG_Set[[#This Row],[Play Booster Cost]]</f>
        <v>#VALUE!</v>
      </c>
      <c r="AU210" s="10" t="e">
        <f>_xlfn.XLOOKUP(tbl_MTG_Set[[#This Row],[Collector Booster Box Product Id]], tbl_Product[Product Id], tbl_Product[Min Cost])</f>
        <v>#N/A</v>
      </c>
      <c r="AV210" s="10" t="e">
        <f>_xlfn.XLOOKUP(tbl_MTG_Set[[#This Row],[Collector Booster Box Product Id]], tbl_Product[Product Id], tbl_Product[Best Source])</f>
        <v>#N/A</v>
      </c>
      <c r="AW210" s="4" t="e">
        <f>_xlfn.XLOOKUP(tbl_MTG_Set[[#This Row],[Collector Booster Box Product Id]], tbl_Product[Product Id], tbl_Product[Pack Size])</f>
        <v>#N/A</v>
      </c>
      <c r="AX210" s="10" t="e">
        <f>(tbl_MTG_Set[[#This Row],[Collector Booster Box Cost]] + v_Item_Shipping_Cost_In) / tbl_MTG_Set[[#This Row],[Collector Booster Box Size]]</f>
        <v>#N/A</v>
      </c>
      <c r="AY210" s="10" t="str" cm="1">
        <f t="array" ref="AY2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0" s="10"/>
      <c r="BA2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0" s="17" t="e">
        <f>tbl_MTG_Set[[#This Row],[Collector Booster CardMarket Profit]]/tbl_MTG_Set[[#This Row],[Collector Booster Cost]]</f>
        <v>#N/A</v>
      </c>
      <c r="BC210" s="10"/>
      <c r="BF2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0" s="11" t="e">
        <f>tbl_MTG_Set[[#This Row],[Play Singles CardMarket Profit MTG Stocks]]/tbl_MTG_Set[[#This Row],[Play Booster Cost]]</f>
        <v>#VALUE!</v>
      </c>
      <c r="BI210" s="11" t="b">
        <f>tbl_MTG_Set[[#This Row],[Play Singles CardMarket Profit MTG Stocks]]&gt;0</f>
        <v>0</v>
      </c>
      <c r="BM210" s="10" t="e">
        <f>tbl_MTG_Set[[#This Row],[Play Booster Sell Price CardMarket]]*tbl_MTG_Set[[#This Row],[Play Booster Expected Market Value BotBox]]/tbl_MTG_Set[[#This Row],[Play Booster Sealed Market Value BotBox]]</f>
        <v>#VALUE!</v>
      </c>
      <c r="BN2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0" s="10" t="e">
        <f>tbl_MTG_Set[[#This Row],[Play Singles CardMarket Profit BotBox]]/tbl_MTG_Set[[#This Row],[Play Booster Cost]]</f>
        <v>#VALUE!</v>
      </c>
      <c r="BP210" s="10" t="b">
        <f>tbl_MTG_Set[[#This Row],[Play Singles CardMarket Profit BotBox]]&gt;0</f>
        <v>0</v>
      </c>
      <c r="BQ210" s="10"/>
      <c r="BR210" s="10"/>
      <c r="BS210" s="10"/>
      <c r="BT2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0" s="19" t="e">
        <f>tbl_MTG_Set[[#This Row],[Collector Singles CardMarket Profit MTG Stocks]]/tbl_MTG_Set[[#This Row],[Collector Booster Cost]]</f>
        <v>#N/A</v>
      </c>
      <c r="BW210" s="10" t="b">
        <f>tbl_MTG_Set[[#This Row],[Collector Singles CardMarket Profit MTG Stocks]]&gt;0</f>
        <v>0</v>
      </c>
      <c r="BX210" s="10"/>
      <c r="BY210" s="10"/>
      <c r="BZ2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0" s="10" t="e">
        <f>tbl_MTG_Set[[#This Row],[Collector Singles CardMarket Profit BotBox]]/tbl_MTG_Set[[#This Row],[Collector Booster Cost]]</f>
        <v>#N/A</v>
      </c>
      <c r="CC210" s="10" t="b">
        <f>tbl_MTG_Set[[#This Row],[Collector Singles CardMarket Profit BotBox]]&gt;0</f>
        <v>0</v>
      </c>
      <c r="CD2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1" spans="1:86" hidden="1">
      <c r="A211">
        <v>231</v>
      </c>
      <c r="B211" t="s">
        <v>384</v>
      </c>
      <c r="C211">
        <v>14</v>
      </c>
      <c r="D211" s="3">
        <v>44883</v>
      </c>
      <c r="E211" t="s">
        <v>59</v>
      </c>
      <c r="F211" t="s">
        <v>174</v>
      </c>
      <c r="G211">
        <v>408</v>
      </c>
      <c r="H211">
        <f ca="1">MONTH(NOW())+12*YEAR(NOW())-MONTH(tbl_MTG_Set[[#This Row],[Released On]])-12*YEAR(tbl_MTG_Set[[#This Row],[Released On]])</f>
        <v>40</v>
      </c>
      <c r="I211">
        <f>_xlfn.XLOOKUP(tbl_MTG_Set[[#This Row],[Type Name]], tbl_MTG_Set_Type[Set Type], tbl_MTG_Set_Type[Index], "(Set Type not found)")</f>
        <v>1</v>
      </c>
      <c r="J211">
        <f>_xlfn.XLOOKUP(tbl_MTG_Set[[#This Row],[Type Name]], tbl_MTG_Set_Type[Set Type], tbl_MTG_Set_Type[Buy Window Month Start], "(Set Type not found)")</f>
        <v>18</v>
      </c>
      <c r="K211" s="3">
        <f>tbl_MTG_Set[[#This Row],[Released On]]+tbl_MTG_Set[[#This Row],[Buy Window Month Start]]*365.25/12</f>
        <v>45430.875</v>
      </c>
      <c r="L211">
        <f>_xlfn.XLOOKUP(tbl_MTG_Set[[#This Row],[Type Name]], tbl_MTG_Set_Type[Set Type], tbl_MTG_Set_Type[Buy Window Month End], "(Set Type not found)", 0, 1)</f>
        <v>24</v>
      </c>
      <c r="M211" s="3">
        <f>tbl_MTG_Set[[#This Row],[Released On]]+tbl_MTG_Set[[#This Row],[Buy Window Month End]]*365.25/12</f>
        <v>45613.5</v>
      </c>
      <c r="N211" s="3" t="b">
        <f ca="1">AND(NOW()&gt;=tbl_MTG_Set[[#This Row],[Buy Window Start]], NOW()&lt;=tbl_MTG_Set[[#This Row],[Buy Window End]])</f>
        <v>0</v>
      </c>
      <c r="O211">
        <f>_xlfn.XLOOKUP(tbl_MTG_Set[[#This Row],[Type Name]], tbl_MTG_Set_Type[Set Type], tbl_MTG_Set_Type[Heavy Printing Window Month Start], "(Set Type not found)", 0, 1)</f>
        <v>1</v>
      </c>
      <c r="P211" s="3">
        <f>tbl_MTG_Set[[#This Row],[Released On]]+tbl_MTG_Set[[#This Row],[Heavy Printing Window Month Start]]*365.25/12</f>
        <v>44913.4375</v>
      </c>
      <c r="Q211">
        <f>_xlfn.XLOOKUP(tbl_MTG_Set[[#This Row],[Type Name]], tbl_MTG_Set_Type[Set Type], tbl_MTG_Set_Type[Heavy Printing Window Month End], "(Set Type not found)", 0, 1)</f>
        <v>18</v>
      </c>
      <c r="R211" s="3">
        <f>tbl_MTG_Set[[#This Row],[Released On]]+tbl_MTG_Set[[#This Row],[Heavy Printing Window Month End]]*365.25/12</f>
        <v>45430.875</v>
      </c>
      <c r="S211" s="3" t="b">
        <f ca="1">AND(NOW()&gt;=tbl_MTG_Set[[#This Row],[Heavy Printing Window Start]], NOW()&lt;=tbl_MTG_Set[[#This Row],[Heavy Printing Window End]])</f>
        <v>0</v>
      </c>
      <c r="T211">
        <f>_xlfn.XLOOKUP(tbl_MTG_Set[[#This Row],[Type Name]], tbl_MTG_Set_Type[Set Type], tbl_MTG_Set_Type[Sell Window Month Start], "(Set Type not found)", 0, 1)</f>
        <v>36</v>
      </c>
      <c r="U211" s="3">
        <f>tbl_MTG_Set[[#This Row],[Released On]]+tbl_MTG_Set[[#This Row],[Sell Window Month Start]]*365.25/12</f>
        <v>45978.75</v>
      </c>
      <c r="V211">
        <f>_xlfn.XLOOKUP(tbl_MTG_Set[[#This Row],[Type Name]], tbl_MTG_Set_Type[Set Type], tbl_MTG_Set_Type[Sell Window Month End], "(Set Type not found)", 0, 1)</f>
        <v>48</v>
      </c>
      <c r="W211" s="3">
        <f>tbl_MTG_Set[[#This Row],[Released On]]+tbl_MTG_Set[[#This Row],[Sell Window Month End]]*365.25/12</f>
        <v>46344</v>
      </c>
      <c r="X211" s="3" t="b">
        <f ca="1">AND(NOW()&gt;=tbl_MTG_Set[[#This Row],[Sell Window Start]], NOW()&lt;=tbl_MTG_Set[[#This Row],[Sell Window End]])</f>
        <v>1</v>
      </c>
      <c r="AG211" s="10"/>
      <c r="AH211" s="10"/>
      <c r="AM211" s="10" t="str" cm="1">
        <f t="array" ref="AM2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1" s="10" t="str" cm="1">
        <f t="array" ref="AN2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1" s="4" t="e">
        <f>_xlfn.XLOOKUP(tbl_MTG_Set[[#This Row],[Play Booster Box Product Id]], tbl_Product[Product Id], tbl_Product[Pack Size])</f>
        <v>#N/A</v>
      </c>
      <c r="AP211" s="10" t="e">
        <f>(tbl_MTG_Set[[#This Row],[Play Booster Box Cost]]+v_Item_Shipping_Cost_In)/tbl_MTG_Set[[#This Row],[Play Booster Box Size]]</f>
        <v>#VALUE!</v>
      </c>
      <c r="AQ211" s="10" t="str" cm="1">
        <f t="array" ref="AQ2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1" s="10"/>
      <c r="AS211" s="10"/>
      <c r="AT211" s="17" t="e">
        <f>tbl_MTG_Set[[#This Row],[Play Booster CardMarket Profit]]/tbl_MTG_Set[[#This Row],[Play Booster Cost]]</f>
        <v>#VALUE!</v>
      </c>
      <c r="AU211" s="10" t="e">
        <f>_xlfn.XLOOKUP(tbl_MTG_Set[[#This Row],[Collector Booster Box Product Id]], tbl_Product[Product Id], tbl_Product[Min Cost])</f>
        <v>#N/A</v>
      </c>
      <c r="AV211" s="10" t="e">
        <f>_xlfn.XLOOKUP(tbl_MTG_Set[[#This Row],[Collector Booster Box Product Id]], tbl_Product[Product Id], tbl_Product[Best Source])</f>
        <v>#N/A</v>
      </c>
      <c r="AW211" s="4" t="e">
        <f>_xlfn.XLOOKUP(tbl_MTG_Set[[#This Row],[Collector Booster Box Product Id]], tbl_Product[Product Id], tbl_Product[Pack Size])</f>
        <v>#N/A</v>
      </c>
      <c r="AX211" s="10" t="e">
        <f>(tbl_MTG_Set[[#This Row],[Collector Booster Box Cost]] + v_Item_Shipping_Cost_In) / tbl_MTG_Set[[#This Row],[Collector Booster Box Size]]</f>
        <v>#N/A</v>
      </c>
      <c r="AY211" s="10" t="str" cm="1">
        <f t="array" ref="AY2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1" s="10"/>
      <c r="BA2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1" s="17" t="e">
        <f>tbl_MTG_Set[[#This Row],[Collector Booster CardMarket Profit]]/tbl_MTG_Set[[#This Row],[Collector Booster Cost]]</f>
        <v>#N/A</v>
      </c>
      <c r="BC211" s="10"/>
      <c r="BF2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1" s="11" t="e">
        <f>tbl_MTG_Set[[#This Row],[Play Singles CardMarket Profit MTG Stocks]]/tbl_MTG_Set[[#This Row],[Play Booster Cost]]</f>
        <v>#VALUE!</v>
      </c>
      <c r="BI211" s="11" t="b">
        <f>tbl_MTG_Set[[#This Row],[Play Singles CardMarket Profit MTG Stocks]]&gt;0</f>
        <v>0</v>
      </c>
      <c r="BM211" s="10" t="e">
        <f>tbl_MTG_Set[[#This Row],[Play Booster Sell Price CardMarket]]*tbl_MTG_Set[[#This Row],[Play Booster Expected Market Value BotBox]]/tbl_MTG_Set[[#This Row],[Play Booster Sealed Market Value BotBox]]</f>
        <v>#VALUE!</v>
      </c>
      <c r="BN2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1" s="10" t="e">
        <f>tbl_MTG_Set[[#This Row],[Play Singles CardMarket Profit BotBox]]/tbl_MTG_Set[[#This Row],[Play Booster Cost]]</f>
        <v>#VALUE!</v>
      </c>
      <c r="BP211" s="10" t="b">
        <f>tbl_MTG_Set[[#This Row],[Play Singles CardMarket Profit BotBox]]&gt;0</f>
        <v>0</v>
      </c>
      <c r="BQ211" s="10"/>
      <c r="BR211" s="10"/>
      <c r="BS211" s="10"/>
      <c r="BT2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1" s="19" t="e">
        <f>tbl_MTG_Set[[#This Row],[Collector Singles CardMarket Profit MTG Stocks]]/tbl_MTG_Set[[#This Row],[Collector Booster Cost]]</f>
        <v>#N/A</v>
      </c>
      <c r="BW211" s="10" t="b">
        <f>tbl_MTG_Set[[#This Row],[Collector Singles CardMarket Profit MTG Stocks]]&gt;0</f>
        <v>0</v>
      </c>
      <c r="BX211" s="10"/>
      <c r="BY211" s="10"/>
      <c r="BZ2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1" s="10" t="e">
        <f>tbl_MTG_Set[[#This Row],[Collector Singles CardMarket Profit BotBox]]/tbl_MTG_Set[[#This Row],[Collector Booster Cost]]</f>
        <v>#N/A</v>
      </c>
      <c r="CC211" s="10" t="b">
        <f>tbl_MTG_Set[[#This Row],[Collector Singles CardMarket Profit BotBox]]&gt;0</f>
        <v>0</v>
      </c>
      <c r="CD2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2" spans="1:86" hidden="1">
      <c r="A212">
        <v>232</v>
      </c>
      <c r="B212" t="s">
        <v>385</v>
      </c>
      <c r="C212">
        <v>29</v>
      </c>
      <c r="D212" s="3">
        <v>44883</v>
      </c>
      <c r="F212" t="s">
        <v>174</v>
      </c>
      <c r="G212">
        <v>410</v>
      </c>
      <c r="H212">
        <f ca="1">MONTH(NOW())+12*YEAR(NOW())-MONTH(tbl_MTG_Set[[#This Row],[Released On]])-12*YEAR(tbl_MTG_Set[[#This Row],[Released On]])</f>
        <v>40</v>
      </c>
      <c r="I212" t="str">
        <f>_xlfn.XLOOKUP(tbl_MTG_Set[[#This Row],[Type Name]], tbl_MTG_Set_Type[Set Type], tbl_MTG_Set_Type[Index], "(Set Type not found)")</f>
        <v>(Set Type not found)</v>
      </c>
      <c r="J212" t="str">
        <f>_xlfn.XLOOKUP(tbl_MTG_Set[[#This Row],[Type Name]], tbl_MTG_Set_Type[Set Type], tbl_MTG_Set_Type[Buy Window Month Start], "(Set Type not found)")</f>
        <v>(Set Type not found)</v>
      </c>
      <c r="K212" s="3" t="e">
        <f>tbl_MTG_Set[[#This Row],[Released On]]+tbl_MTG_Set[[#This Row],[Buy Window Month Start]]*365.25/12</f>
        <v>#VALUE!</v>
      </c>
      <c r="L212" t="str">
        <f>_xlfn.XLOOKUP(tbl_MTG_Set[[#This Row],[Type Name]], tbl_MTG_Set_Type[Set Type], tbl_MTG_Set_Type[Buy Window Month End], "(Set Type not found)", 0, 1)</f>
        <v>(Set Type not found)</v>
      </c>
      <c r="M212" s="3" t="e">
        <f>tbl_MTG_Set[[#This Row],[Released On]]+tbl_MTG_Set[[#This Row],[Buy Window Month End]]*365.25/12</f>
        <v>#VALUE!</v>
      </c>
      <c r="N212" s="3" t="e">
        <f ca="1">AND(NOW()&gt;=tbl_MTG_Set[[#This Row],[Buy Window Start]], NOW()&lt;=tbl_MTG_Set[[#This Row],[Buy Window End]])</f>
        <v>#VALUE!</v>
      </c>
      <c r="O212" t="str">
        <f>_xlfn.XLOOKUP(tbl_MTG_Set[[#This Row],[Type Name]], tbl_MTG_Set_Type[Set Type], tbl_MTG_Set_Type[Heavy Printing Window Month Start], "(Set Type not found)", 0, 1)</f>
        <v>(Set Type not found)</v>
      </c>
      <c r="P212" s="3" t="e">
        <f>tbl_MTG_Set[[#This Row],[Released On]]+tbl_MTG_Set[[#This Row],[Heavy Printing Window Month Start]]*365.25/12</f>
        <v>#VALUE!</v>
      </c>
      <c r="Q212" t="str">
        <f>_xlfn.XLOOKUP(tbl_MTG_Set[[#This Row],[Type Name]], tbl_MTG_Set_Type[Set Type], tbl_MTG_Set_Type[Heavy Printing Window Month End], "(Set Type not found)", 0, 1)</f>
        <v>(Set Type not found)</v>
      </c>
      <c r="R212" s="3" t="e">
        <f>tbl_MTG_Set[[#This Row],[Released On]]+tbl_MTG_Set[[#This Row],[Heavy Printing Window Month End]]*365.25/12</f>
        <v>#VALUE!</v>
      </c>
      <c r="S212" s="3" t="e">
        <f ca="1">AND(NOW()&gt;=tbl_MTG_Set[[#This Row],[Heavy Printing Window Start]], NOW()&lt;=tbl_MTG_Set[[#This Row],[Heavy Printing Window End]])</f>
        <v>#VALUE!</v>
      </c>
      <c r="T212" t="str">
        <f>_xlfn.XLOOKUP(tbl_MTG_Set[[#This Row],[Type Name]], tbl_MTG_Set_Type[Set Type], tbl_MTG_Set_Type[Sell Window Month Start], "(Set Type not found)", 0, 1)</f>
        <v>(Set Type not found)</v>
      </c>
      <c r="U212" s="3" t="e">
        <f>tbl_MTG_Set[[#This Row],[Released On]]+tbl_MTG_Set[[#This Row],[Sell Window Month Start]]*365.25/12</f>
        <v>#VALUE!</v>
      </c>
      <c r="V212" t="str">
        <f>_xlfn.XLOOKUP(tbl_MTG_Set[[#This Row],[Type Name]], tbl_MTG_Set_Type[Set Type], tbl_MTG_Set_Type[Sell Window Month End], "(Set Type not found)", 0, 1)</f>
        <v>(Set Type not found)</v>
      </c>
      <c r="W212" s="3" t="e">
        <f>tbl_MTG_Set[[#This Row],[Released On]]+tbl_MTG_Set[[#This Row],[Sell Window Month End]]*365.25/12</f>
        <v>#VALUE!</v>
      </c>
      <c r="X212" s="3" t="e">
        <f ca="1">AND(NOW()&gt;=tbl_MTG_Set[[#This Row],[Sell Window Start]], NOW()&lt;=tbl_MTG_Set[[#This Row],[Sell Window End]])</f>
        <v>#VALUE!</v>
      </c>
      <c r="AG212" s="10"/>
      <c r="AH212" s="10"/>
      <c r="AM212" s="10" t="str" cm="1">
        <f t="array" ref="AM2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2" s="10" t="str" cm="1">
        <f t="array" ref="AN2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2" s="4" t="e">
        <f>_xlfn.XLOOKUP(tbl_MTG_Set[[#This Row],[Play Booster Box Product Id]], tbl_Product[Product Id], tbl_Product[Pack Size])</f>
        <v>#N/A</v>
      </c>
      <c r="AP212" s="10" t="e">
        <f>(tbl_MTG_Set[[#This Row],[Play Booster Box Cost]]+v_Item_Shipping_Cost_In)/tbl_MTG_Set[[#This Row],[Play Booster Box Size]]</f>
        <v>#VALUE!</v>
      </c>
      <c r="AQ212" s="10" t="str" cm="1">
        <f t="array" ref="AQ2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2" s="10"/>
      <c r="AS212" s="10"/>
      <c r="AT212" s="17" t="e">
        <f>tbl_MTG_Set[[#This Row],[Play Booster CardMarket Profit]]/tbl_MTG_Set[[#This Row],[Play Booster Cost]]</f>
        <v>#VALUE!</v>
      </c>
      <c r="AU212" s="10" t="e">
        <f>_xlfn.XLOOKUP(tbl_MTG_Set[[#This Row],[Collector Booster Box Product Id]], tbl_Product[Product Id], tbl_Product[Min Cost])</f>
        <v>#N/A</v>
      </c>
      <c r="AV212" s="10" t="e">
        <f>_xlfn.XLOOKUP(tbl_MTG_Set[[#This Row],[Collector Booster Box Product Id]], tbl_Product[Product Id], tbl_Product[Best Source])</f>
        <v>#N/A</v>
      </c>
      <c r="AW212" s="4" t="e">
        <f>_xlfn.XLOOKUP(tbl_MTG_Set[[#This Row],[Collector Booster Box Product Id]], tbl_Product[Product Id], tbl_Product[Pack Size])</f>
        <v>#N/A</v>
      </c>
      <c r="AX212" s="10" t="e">
        <f>(tbl_MTG_Set[[#This Row],[Collector Booster Box Cost]] + v_Item_Shipping_Cost_In) / tbl_MTG_Set[[#This Row],[Collector Booster Box Size]]</f>
        <v>#N/A</v>
      </c>
      <c r="AY212" s="10" t="str" cm="1">
        <f t="array" ref="AY2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2" s="10"/>
      <c r="BA2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2" s="17" t="e">
        <f>tbl_MTG_Set[[#This Row],[Collector Booster CardMarket Profit]]/tbl_MTG_Set[[#This Row],[Collector Booster Cost]]</f>
        <v>#N/A</v>
      </c>
      <c r="BC212" s="10"/>
      <c r="BF2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2" s="11" t="e">
        <f>tbl_MTG_Set[[#This Row],[Play Singles CardMarket Profit MTG Stocks]]/tbl_MTG_Set[[#This Row],[Play Booster Cost]]</f>
        <v>#VALUE!</v>
      </c>
      <c r="BI212" s="11" t="b">
        <f>tbl_MTG_Set[[#This Row],[Play Singles CardMarket Profit MTG Stocks]]&gt;0</f>
        <v>0</v>
      </c>
      <c r="BM212" s="10" t="e">
        <f>tbl_MTG_Set[[#This Row],[Play Booster Sell Price CardMarket]]*tbl_MTG_Set[[#This Row],[Play Booster Expected Market Value BotBox]]/tbl_MTG_Set[[#This Row],[Play Booster Sealed Market Value BotBox]]</f>
        <v>#VALUE!</v>
      </c>
      <c r="BN2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2" s="10" t="e">
        <f>tbl_MTG_Set[[#This Row],[Play Singles CardMarket Profit BotBox]]/tbl_MTG_Set[[#This Row],[Play Booster Cost]]</f>
        <v>#VALUE!</v>
      </c>
      <c r="BP212" s="10" t="b">
        <f>tbl_MTG_Set[[#This Row],[Play Singles CardMarket Profit BotBox]]&gt;0</f>
        <v>0</v>
      </c>
      <c r="BQ212" s="10"/>
      <c r="BR212" s="10"/>
      <c r="BS212" s="10"/>
      <c r="BT2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2" s="19" t="e">
        <f>tbl_MTG_Set[[#This Row],[Collector Singles CardMarket Profit MTG Stocks]]/tbl_MTG_Set[[#This Row],[Collector Booster Cost]]</f>
        <v>#N/A</v>
      </c>
      <c r="BW212" s="10" t="b">
        <f>tbl_MTG_Set[[#This Row],[Collector Singles CardMarket Profit MTG Stocks]]&gt;0</f>
        <v>0</v>
      </c>
      <c r="BX212" s="10"/>
      <c r="BY212" s="10"/>
      <c r="BZ2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2" s="10" t="e">
        <f>tbl_MTG_Set[[#This Row],[Collector Singles CardMarket Profit BotBox]]/tbl_MTG_Set[[#This Row],[Collector Booster Cost]]</f>
        <v>#N/A</v>
      </c>
      <c r="CC212" s="10" t="b">
        <f>tbl_MTG_Set[[#This Row],[Collector Singles CardMarket Profit BotBox]]&gt;0</f>
        <v>0</v>
      </c>
      <c r="CD2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3" spans="1:86" hidden="1">
      <c r="A213">
        <v>233</v>
      </c>
      <c r="B213" t="s">
        <v>386</v>
      </c>
      <c r="C213">
        <v>2</v>
      </c>
      <c r="D213" s="3">
        <v>44883</v>
      </c>
      <c r="F213" t="s">
        <v>174</v>
      </c>
      <c r="G213">
        <v>412</v>
      </c>
      <c r="H213">
        <f ca="1">MONTH(NOW())+12*YEAR(NOW())-MONTH(tbl_MTG_Set[[#This Row],[Released On]])-12*YEAR(tbl_MTG_Set[[#This Row],[Released On]])</f>
        <v>40</v>
      </c>
      <c r="I213" t="str">
        <f>_xlfn.XLOOKUP(tbl_MTG_Set[[#This Row],[Type Name]], tbl_MTG_Set_Type[Set Type], tbl_MTG_Set_Type[Index], "(Set Type not found)")</f>
        <v>(Set Type not found)</v>
      </c>
      <c r="J213" t="str">
        <f>_xlfn.XLOOKUP(tbl_MTG_Set[[#This Row],[Type Name]], tbl_MTG_Set_Type[Set Type], tbl_MTG_Set_Type[Buy Window Month Start], "(Set Type not found)")</f>
        <v>(Set Type not found)</v>
      </c>
      <c r="K213" s="3" t="e">
        <f>tbl_MTG_Set[[#This Row],[Released On]]+tbl_MTG_Set[[#This Row],[Buy Window Month Start]]*365.25/12</f>
        <v>#VALUE!</v>
      </c>
      <c r="L213" t="str">
        <f>_xlfn.XLOOKUP(tbl_MTG_Set[[#This Row],[Type Name]], tbl_MTG_Set_Type[Set Type], tbl_MTG_Set_Type[Buy Window Month End], "(Set Type not found)", 0, 1)</f>
        <v>(Set Type not found)</v>
      </c>
      <c r="M213" s="3" t="e">
        <f>tbl_MTG_Set[[#This Row],[Released On]]+tbl_MTG_Set[[#This Row],[Buy Window Month End]]*365.25/12</f>
        <v>#VALUE!</v>
      </c>
      <c r="N213" s="3" t="e">
        <f ca="1">AND(NOW()&gt;=tbl_MTG_Set[[#This Row],[Buy Window Start]], NOW()&lt;=tbl_MTG_Set[[#This Row],[Buy Window End]])</f>
        <v>#VALUE!</v>
      </c>
      <c r="O213" t="str">
        <f>_xlfn.XLOOKUP(tbl_MTG_Set[[#This Row],[Type Name]], tbl_MTG_Set_Type[Set Type], tbl_MTG_Set_Type[Heavy Printing Window Month Start], "(Set Type not found)", 0, 1)</f>
        <v>(Set Type not found)</v>
      </c>
      <c r="P213" s="3" t="e">
        <f>tbl_MTG_Set[[#This Row],[Released On]]+tbl_MTG_Set[[#This Row],[Heavy Printing Window Month Start]]*365.25/12</f>
        <v>#VALUE!</v>
      </c>
      <c r="Q213" t="str">
        <f>_xlfn.XLOOKUP(tbl_MTG_Set[[#This Row],[Type Name]], tbl_MTG_Set_Type[Set Type], tbl_MTG_Set_Type[Heavy Printing Window Month End], "(Set Type not found)", 0, 1)</f>
        <v>(Set Type not found)</v>
      </c>
      <c r="R213" s="3" t="e">
        <f>tbl_MTG_Set[[#This Row],[Released On]]+tbl_MTG_Set[[#This Row],[Heavy Printing Window Month End]]*365.25/12</f>
        <v>#VALUE!</v>
      </c>
      <c r="S213" s="3" t="e">
        <f ca="1">AND(NOW()&gt;=tbl_MTG_Set[[#This Row],[Heavy Printing Window Start]], NOW()&lt;=tbl_MTG_Set[[#This Row],[Heavy Printing Window End]])</f>
        <v>#VALUE!</v>
      </c>
      <c r="T213" t="str">
        <f>_xlfn.XLOOKUP(tbl_MTG_Set[[#This Row],[Type Name]], tbl_MTG_Set_Type[Set Type], tbl_MTG_Set_Type[Sell Window Month Start], "(Set Type not found)", 0, 1)</f>
        <v>(Set Type not found)</v>
      </c>
      <c r="U213" s="3" t="e">
        <f>tbl_MTG_Set[[#This Row],[Released On]]+tbl_MTG_Set[[#This Row],[Sell Window Month Start]]*365.25/12</f>
        <v>#VALUE!</v>
      </c>
      <c r="V213" t="str">
        <f>_xlfn.XLOOKUP(tbl_MTG_Set[[#This Row],[Type Name]], tbl_MTG_Set_Type[Set Type], tbl_MTG_Set_Type[Sell Window Month End], "(Set Type not found)", 0, 1)</f>
        <v>(Set Type not found)</v>
      </c>
      <c r="W213" s="3" t="e">
        <f>tbl_MTG_Set[[#This Row],[Released On]]+tbl_MTG_Set[[#This Row],[Sell Window Month End]]*365.25/12</f>
        <v>#VALUE!</v>
      </c>
      <c r="X213" s="3" t="e">
        <f ca="1">AND(NOW()&gt;=tbl_MTG_Set[[#This Row],[Sell Window Start]], NOW()&lt;=tbl_MTG_Set[[#This Row],[Sell Window End]])</f>
        <v>#VALUE!</v>
      </c>
      <c r="AG213" s="10"/>
      <c r="AH213" s="10"/>
      <c r="AM213" s="10" t="str" cm="1">
        <f t="array" ref="AM2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3" s="10" t="str" cm="1">
        <f t="array" ref="AN2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3" s="4" t="e">
        <f>_xlfn.XLOOKUP(tbl_MTG_Set[[#This Row],[Play Booster Box Product Id]], tbl_Product[Product Id], tbl_Product[Pack Size])</f>
        <v>#N/A</v>
      </c>
      <c r="AP213" s="10" t="e">
        <f>(tbl_MTG_Set[[#This Row],[Play Booster Box Cost]]+v_Item_Shipping_Cost_In)/tbl_MTG_Set[[#This Row],[Play Booster Box Size]]</f>
        <v>#VALUE!</v>
      </c>
      <c r="AQ213" s="10" t="str" cm="1">
        <f t="array" ref="AQ2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3" s="10"/>
      <c r="AS213" s="10"/>
      <c r="AT213" s="17" t="e">
        <f>tbl_MTG_Set[[#This Row],[Play Booster CardMarket Profit]]/tbl_MTG_Set[[#This Row],[Play Booster Cost]]</f>
        <v>#VALUE!</v>
      </c>
      <c r="AU213" s="10" t="e">
        <f>_xlfn.XLOOKUP(tbl_MTG_Set[[#This Row],[Collector Booster Box Product Id]], tbl_Product[Product Id], tbl_Product[Min Cost])</f>
        <v>#N/A</v>
      </c>
      <c r="AV213" s="10" t="e">
        <f>_xlfn.XLOOKUP(tbl_MTG_Set[[#This Row],[Collector Booster Box Product Id]], tbl_Product[Product Id], tbl_Product[Best Source])</f>
        <v>#N/A</v>
      </c>
      <c r="AW213" s="4" t="e">
        <f>_xlfn.XLOOKUP(tbl_MTG_Set[[#This Row],[Collector Booster Box Product Id]], tbl_Product[Product Id], tbl_Product[Pack Size])</f>
        <v>#N/A</v>
      </c>
      <c r="AX213" s="10" t="e">
        <f>(tbl_MTG_Set[[#This Row],[Collector Booster Box Cost]] + v_Item_Shipping_Cost_In) / tbl_MTG_Set[[#This Row],[Collector Booster Box Size]]</f>
        <v>#N/A</v>
      </c>
      <c r="AY213" s="10" t="str" cm="1">
        <f t="array" ref="AY2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3" s="10"/>
      <c r="BA2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3" s="17" t="e">
        <f>tbl_MTG_Set[[#This Row],[Collector Booster CardMarket Profit]]/tbl_MTG_Set[[#This Row],[Collector Booster Cost]]</f>
        <v>#N/A</v>
      </c>
      <c r="BC213" s="10"/>
      <c r="BF2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3" s="11" t="e">
        <f>tbl_MTG_Set[[#This Row],[Play Singles CardMarket Profit MTG Stocks]]/tbl_MTG_Set[[#This Row],[Play Booster Cost]]</f>
        <v>#VALUE!</v>
      </c>
      <c r="BI213" s="11" t="b">
        <f>tbl_MTG_Set[[#This Row],[Play Singles CardMarket Profit MTG Stocks]]&gt;0</f>
        <v>0</v>
      </c>
      <c r="BM213" s="10" t="e">
        <f>tbl_MTG_Set[[#This Row],[Play Booster Sell Price CardMarket]]*tbl_MTG_Set[[#This Row],[Play Booster Expected Market Value BotBox]]/tbl_MTG_Set[[#This Row],[Play Booster Sealed Market Value BotBox]]</f>
        <v>#VALUE!</v>
      </c>
      <c r="BN2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3" s="10" t="e">
        <f>tbl_MTG_Set[[#This Row],[Play Singles CardMarket Profit BotBox]]/tbl_MTG_Set[[#This Row],[Play Booster Cost]]</f>
        <v>#VALUE!</v>
      </c>
      <c r="BP213" s="10" t="b">
        <f>tbl_MTG_Set[[#This Row],[Play Singles CardMarket Profit BotBox]]&gt;0</f>
        <v>0</v>
      </c>
      <c r="BQ213" s="10"/>
      <c r="BR213" s="10"/>
      <c r="BS213" s="10"/>
      <c r="BT2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3" s="19" t="e">
        <f>tbl_MTG_Set[[#This Row],[Collector Singles CardMarket Profit MTG Stocks]]/tbl_MTG_Set[[#This Row],[Collector Booster Cost]]</f>
        <v>#N/A</v>
      </c>
      <c r="BW213" s="10" t="b">
        <f>tbl_MTG_Set[[#This Row],[Collector Singles CardMarket Profit MTG Stocks]]&gt;0</f>
        <v>0</v>
      </c>
      <c r="BX213" s="10"/>
      <c r="BY213" s="10"/>
      <c r="BZ2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3" s="10" t="e">
        <f>tbl_MTG_Set[[#This Row],[Collector Singles CardMarket Profit BotBox]]/tbl_MTG_Set[[#This Row],[Collector Booster Cost]]</f>
        <v>#N/A</v>
      </c>
      <c r="CC213" s="10" t="b">
        <f>tbl_MTG_Set[[#This Row],[Collector Singles CardMarket Profit BotBox]]&gt;0</f>
        <v>0</v>
      </c>
      <c r="CD2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4" spans="1:86" hidden="1">
      <c r="A214">
        <v>234</v>
      </c>
      <c r="B214" t="s">
        <v>387</v>
      </c>
      <c r="C214">
        <v>3</v>
      </c>
      <c r="D214" s="3">
        <v>44883</v>
      </c>
      <c r="E214" t="s">
        <v>59</v>
      </c>
      <c r="F214" t="s">
        <v>174</v>
      </c>
      <c r="G214">
        <v>414</v>
      </c>
      <c r="H214">
        <f ca="1">MONTH(NOW())+12*YEAR(NOW())-MONTH(tbl_MTG_Set[[#This Row],[Released On]])-12*YEAR(tbl_MTG_Set[[#This Row],[Released On]])</f>
        <v>40</v>
      </c>
      <c r="I214">
        <f>_xlfn.XLOOKUP(tbl_MTG_Set[[#This Row],[Type Name]], tbl_MTG_Set_Type[Set Type], tbl_MTG_Set_Type[Index], "(Set Type not found)")</f>
        <v>1</v>
      </c>
      <c r="J214">
        <f>_xlfn.XLOOKUP(tbl_MTG_Set[[#This Row],[Type Name]], tbl_MTG_Set_Type[Set Type], tbl_MTG_Set_Type[Buy Window Month Start], "(Set Type not found)")</f>
        <v>18</v>
      </c>
      <c r="K214" s="3">
        <f>tbl_MTG_Set[[#This Row],[Released On]]+tbl_MTG_Set[[#This Row],[Buy Window Month Start]]*365.25/12</f>
        <v>45430.875</v>
      </c>
      <c r="L214">
        <f>_xlfn.XLOOKUP(tbl_MTG_Set[[#This Row],[Type Name]], tbl_MTG_Set_Type[Set Type], tbl_MTG_Set_Type[Buy Window Month End], "(Set Type not found)", 0, 1)</f>
        <v>24</v>
      </c>
      <c r="M214" s="3">
        <f>tbl_MTG_Set[[#This Row],[Released On]]+tbl_MTG_Set[[#This Row],[Buy Window Month End]]*365.25/12</f>
        <v>45613.5</v>
      </c>
      <c r="N214" s="3" t="b">
        <f ca="1">AND(NOW()&gt;=tbl_MTG_Set[[#This Row],[Buy Window Start]], NOW()&lt;=tbl_MTG_Set[[#This Row],[Buy Window End]])</f>
        <v>0</v>
      </c>
      <c r="O214">
        <f>_xlfn.XLOOKUP(tbl_MTG_Set[[#This Row],[Type Name]], tbl_MTG_Set_Type[Set Type], tbl_MTG_Set_Type[Heavy Printing Window Month Start], "(Set Type not found)", 0, 1)</f>
        <v>1</v>
      </c>
      <c r="P214" s="3">
        <f>tbl_MTG_Set[[#This Row],[Released On]]+tbl_MTG_Set[[#This Row],[Heavy Printing Window Month Start]]*365.25/12</f>
        <v>44913.4375</v>
      </c>
      <c r="Q214">
        <f>_xlfn.XLOOKUP(tbl_MTG_Set[[#This Row],[Type Name]], tbl_MTG_Set_Type[Set Type], tbl_MTG_Set_Type[Heavy Printing Window Month End], "(Set Type not found)", 0, 1)</f>
        <v>18</v>
      </c>
      <c r="R214" s="3">
        <f>tbl_MTG_Set[[#This Row],[Released On]]+tbl_MTG_Set[[#This Row],[Heavy Printing Window Month End]]*365.25/12</f>
        <v>45430.875</v>
      </c>
      <c r="S214" s="3" t="b">
        <f ca="1">AND(NOW()&gt;=tbl_MTG_Set[[#This Row],[Heavy Printing Window Start]], NOW()&lt;=tbl_MTG_Set[[#This Row],[Heavy Printing Window End]])</f>
        <v>0</v>
      </c>
      <c r="T214">
        <f>_xlfn.XLOOKUP(tbl_MTG_Set[[#This Row],[Type Name]], tbl_MTG_Set_Type[Set Type], tbl_MTG_Set_Type[Sell Window Month Start], "(Set Type not found)", 0, 1)</f>
        <v>36</v>
      </c>
      <c r="U214" s="3">
        <f>tbl_MTG_Set[[#This Row],[Released On]]+tbl_MTG_Set[[#This Row],[Sell Window Month Start]]*365.25/12</f>
        <v>45978.75</v>
      </c>
      <c r="V214">
        <f>_xlfn.XLOOKUP(tbl_MTG_Set[[#This Row],[Type Name]], tbl_MTG_Set_Type[Set Type], tbl_MTG_Set_Type[Sell Window Month End], "(Set Type not found)", 0, 1)</f>
        <v>48</v>
      </c>
      <c r="W214" s="3">
        <f>tbl_MTG_Set[[#This Row],[Released On]]+tbl_MTG_Set[[#This Row],[Sell Window Month End]]*365.25/12</f>
        <v>46344</v>
      </c>
      <c r="X214" s="3" t="b">
        <f ca="1">AND(NOW()&gt;=tbl_MTG_Set[[#This Row],[Sell Window Start]], NOW()&lt;=tbl_MTG_Set[[#This Row],[Sell Window End]])</f>
        <v>1</v>
      </c>
      <c r="AG214" s="10"/>
      <c r="AH214" s="10"/>
      <c r="AM214" s="10" t="str" cm="1">
        <f t="array" ref="AM2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4" s="10" t="str" cm="1">
        <f t="array" ref="AN2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4" s="4" t="e">
        <f>_xlfn.XLOOKUP(tbl_MTG_Set[[#This Row],[Play Booster Box Product Id]], tbl_Product[Product Id], tbl_Product[Pack Size])</f>
        <v>#N/A</v>
      </c>
      <c r="AP214" s="10" t="e">
        <f>(tbl_MTG_Set[[#This Row],[Play Booster Box Cost]]+v_Item_Shipping_Cost_In)/tbl_MTG_Set[[#This Row],[Play Booster Box Size]]</f>
        <v>#VALUE!</v>
      </c>
      <c r="AQ214" s="10" t="str" cm="1">
        <f t="array" ref="AQ2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4" s="10"/>
      <c r="AS214" s="10"/>
      <c r="AT214" s="17" t="e">
        <f>tbl_MTG_Set[[#This Row],[Play Booster CardMarket Profit]]/tbl_MTG_Set[[#This Row],[Play Booster Cost]]</f>
        <v>#VALUE!</v>
      </c>
      <c r="AU214" s="10" t="e">
        <f>_xlfn.XLOOKUP(tbl_MTG_Set[[#This Row],[Collector Booster Box Product Id]], tbl_Product[Product Id], tbl_Product[Min Cost])</f>
        <v>#N/A</v>
      </c>
      <c r="AV214" s="10" t="e">
        <f>_xlfn.XLOOKUP(tbl_MTG_Set[[#This Row],[Collector Booster Box Product Id]], tbl_Product[Product Id], tbl_Product[Best Source])</f>
        <v>#N/A</v>
      </c>
      <c r="AW214" s="4" t="e">
        <f>_xlfn.XLOOKUP(tbl_MTG_Set[[#This Row],[Collector Booster Box Product Id]], tbl_Product[Product Id], tbl_Product[Pack Size])</f>
        <v>#N/A</v>
      </c>
      <c r="AX214" s="10" t="e">
        <f>(tbl_MTG_Set[[#This Row],[Collector Booster Box Cost]] + v_Item_Shipping_Cost_In) / tbl_MTG_Set[[#This Row],[Collector Booster Box Size]]</f>
        <v>#N/A</v>
      </c>
      <c r="AY214" s="10" t="str" cm="1">
        <f t="array" ref="AY2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4" s="10"/>
      <c r="BA2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4" s="17" t="e">
        <f>tbl_MTG_Set[[#This Row],[Collector Booster CardMarket Profit]]/tbl_MTG_Set[[#This Row],[Collector Booster Cost]]</f>
        <v>#N/A</v>
      </c>
      <c r="BC214" s="10"/>
      <c r="BF2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4" s="11" t="e">
        <f>tbl_MTG_Set[[#This Row],[Play Singles CardMarket Profit MTG Stocks]]/tbl_MTG_Set[[#This Row],[Play Booster Cost]]</f>
        <v>#VALUE!</v>
      </c>
      <c r="BI214" s="11" t="b">
        <f>tbl_MTG_Set[[#This Row],[Play Singles CardMarket Profit MTG Stocks]]&gt;0</f>
        <v>0</v>
      </c>
      <c r="BM214" s="10" t="e">
        <f>tbl_MTG_Set[[#This Row],[Play Booster Sell Price CardMarket]]*tbl_MTG_Set[[#This Row],[Play Booster Expected Market Value BotBox]]/tbl_MTG_Set[[#This Row],[Play Booster Sealed Market Value BotBox]]</f>
        <v>#VALUE!</v>
      </c>
      <c r="BN2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4" s="10" t="e">
        <f>tbl_MTG_Set[[#This Row],[Play Singles CardMarket Profit BotBox]]/tbl_MTG_Set[[#This Row],[Play Booster Cost]]</f>
        <v>#VALUE!</v>
      </c>
      <c r="BP214" s="10" t="b">
        <f>tbl_MTG_Set[[#This Row],[Play Singles CardMarket Profit BotBox]]&gt;0</f>
        <v>0</v>
      </c>
      <c r="BQ214" s="10"/>
      <c r="BR214" s="10"/>
      <c r="BS214" s="10"/>
      <c r="BT2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4" s="19" t="e">
        <f>tbl_MTG_Set[[#This Row],[Collector Singles CardMarket Profit MTG Stocks]]/tbl_MTG_Set[[#This Row],[Collector Booster Cost]]</f>
        <v>#N/A</v>
      </c>
      <c r="BW214" s="10" t="b">
        <f>tbl_MTG_Set[[#This Row],[Collector Singles CardMarket Profit MTG Stocks]]&gt;0</f>
        <v>0</v>
      </c>
      <c r="BX214" s="10"/>
      <c r="BY214" s="10"/>
      <c r="BZ2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4" s="10" t="e">
        <f>tbl_MTG_Set[[#This Row],[Collector Singles CardMarket Profit BotBox]]/tbl_MTG_Set[[#This Row],[Collector Booster Cost]]</f>
        <v>#N/A</v>
      </c>
      <c r="CC214" s="10" t="b">
        <f>tbl_MTG_Set[[#This Row],[Collector Singles CardMarket Profit BotBox]]&gt;0</f>
        <v>0</v>
      </c>
      <c r="CD2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5" spans="1:86" hidden="1">
      <c r="A215">
        <v>235</v>
      </c>
      <c r="B215" t="s">
        <v>388</v>
      </c>
      <c r="C215">
        <v>1</v>
      </c>
      <c r="D215" s="3">
        <v>44883</v>
      </c>
      <c r="E215" t="s">
        <v>59</v>
      </c>
      <c r="F215" t="s">
        <v>174</v>
      </c>
      <c r="G215">
        <v>416</v>
      </c>
      <c r="H215">
        <f ca="1">MONTH(NOW())+12*YEAR(NOW())-MONTH(tbl_MTG_Set[[#This Row],[Released On]])-12*YEAR(tbl_MTG_Set[[#This Row],[Released On]])</f>
        <v>40</v>
      </c>
      <c r="I215">
        <f>_xlfn.XLOOKUP(tbl_MTG_Set[[#This Row],[Type Name]], tbl_MTG_Set_Type[Set Type], tbl_MTG_Set_Type[Index], "(Set Type not found)")</f>
        <v>1</v>
      </c>
      <c r="J215">
        <f>_xlfn.XLOOKUP(tbl_MTG_Set[[#This Row],[Type Name]], tbl_MTG_Set_Type[Set Type], tbl_MTG_Set_Type[Buy Window Month Start], "(Set Type not found)")</f>
        <v>18</v>
      </c>
      <c r="K215" s="3">
        <f>tbl_MTG_Set[[#This Row],[Released On]]+tbl_MTG_Set[[#This Row],[Buy Window Month Start]]*365.25/12</f>
        <v>45430.875</v>
      </c>
      <c r="L215">
        <f>_xlfn.XLOOKUP(tbl_MTG_Set[[#This Row],[Type Name]], tbl_MTG_Set_Type[Set Type], tbl_MTG_Set_Type[Buy Window Month End], "(Set Type not found)", 0, 1)</f>
        <v>24</v>
      </c>
      <c r="M215" s="3">
        <f>tbl_MTG_Set[[#This Row],[Released On]]+tbl_MTG_Set[[#This Row],[Buy Window Month End]]*365.25/12</f>
        <v>45613.5</v>
      </c>
      <c r="N215" s="3" t="b">
        <f ca="1">AND(NOW()&gt;=tbl_MTG_Set[[#This Row],[Buy Window Start]], NOW()&lt;=tbl_MTG_Set[[#This Row],[Buy Window End]])</f>
        <v>0</v>
      </c>
      <c r="O215">
        <f>_xlfn.XLOOKUP(tbl_MTG_Set[[#This Row],[Type Name]], tbl_MTG_Set_Type[Set Type], tbl_MTG_Set_Type[Heavy Printing Window Month Start], "(Set Type not found)", 0, 1)</f>
        <v>1</v>
      </c>
      <c r="P215" s="3">
        <f>tbl_MTG_Set[[#This Row],[Released On]]+tbl_MTG_Set[[#This Row],[Heavy Printing Window Month Start]]*365.25/12</f>
        <v>44913.4375</v>
      </c>
      <c r="Q215">
        <f>_xlfn.XLOOKUP(tbl_MTG_Set[[#This Row],[Type Name]], tbl_MTG_Set_Type[Set Type], tbl_MTG_Set_Type[Heavy Printing Window Month End], "(Set Type not found)", 0, 1)</f>
        <v>18</v>
      </c>
      <c r="R215" s="3">
        <f>tbl_MTG_Set[[#This Row],[Released On]]+tbl_MTG_Set[[#This Row],[Heavy Printing Window Month End]]*365.25/12</f>
        <v>45430.875</v>
      </c>
      <c r="S215" s="3" t="b">
        <f ca="1">AND(NOW()&gt;=tbl_MTG_Set[[#This Row],[Heavy Printing Window Start]], NOW()&lt;=tbl_MTG_Set[[#This Row],[Heavy Printing Window End]])</f>
        <v>0</v>
      </c>
      <c r="T215">
        <f>_xlfn.XLOOKUP(tbl_MTG_Set[[#This Row],[Type Name]], tbl_MTG_Set_Type[Set Type], tbl_MTG_Set_Type[Sell Window Month Start], "(Set Type not found)", 0, 1)</f>
        <v>36</v>
      </c>
      <c r="U215" s="3">
        <f>tbl_MTG_Set[[#This Row],[Released On]]+tbl_MTG_Set[[#This Row],[Sell Window Month Start]]*365.25/12</f>
        <v>45978.75</v>
      </c>
      <c r="V215">
        <f>_xlfn.XLOOKUP(tbl_MTG_Set[[#This Row],[Type Name]], tbl_MTG_Set_Type[Set Type], tbl_MTG_Set_Type[Sell Window Month End], "(Set Type not found)", 0, 1)</f>
        <v>48</v>
      </c>
      <c r="W215" s="3">
        <f>tbl_MTG_Set[[#This Row],[Released On]]+tbl_MTG_Set[[#This Row],[Sell Window Month End]]*365.25/12</f>
        <v>46344</v>
      </c>
      <c r="X215" s="3" t="b">
        <f ca="1">AND(NOW()&gt;=tbl_MTG_Set[[#This Row],[Sell Window Start]], NOW()&lt;=tbl_MTG_Set[[#This Row],[Sell Window End]])</f>
        <v>1</v>
      </c>
      <c r="AG215" s="10"/>
      <c r="AH215" s="10"/>
      <c r="AM215" s="10" t="str" cm="1">
        <f t="array" ref="AM2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5" s="10" t="str" cm="1">
        <f t="array" ref="AN2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5" s="4" t="e">
        <f>_xlfn.XLOOKUP(tbl_MTG_Set[[#This Row],[Play Booster Box Product Id]], tbl_Product[Product Id], tbl_Product[Pack Size])</f>
        <v>#N/A</v>
      </c>
      <c r="AP215" s="10" t="e">
        <f>(tbl_MTG_Set[[#This Row],[Play Booster Box Cost]]+v_Item_Shipping_Cost_In)/tbl_MTG_Set[[#This Row],[Play Booster Box Size]]</f>
        <v>#VALUE!</v>
      </c>
      <c r="AQ215" s="10" t="str" cm="1">
        <f t="array" ref="AQ2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5" s="10"/>
      <c r="AS215" s="10"/>
      <c r="AT215" s="17" t="e">
        <f>tbl_MTG_Set[[#This Row],[Play Booster CardMarket Profit]]/tbl_MTG_Set[[#This Row],[Play Booster Cost]]</f>
        <v>#VALUE!</v>
      </c>
      <c r="AU215" s="10" t="e">
        <f>_xlfn.XLOOKUP(tbl_MTG_Set[[#This Row],[Collector Booster Box Product Id]], tbl_Product[Product Id], tbl_Product[Min Cost])</f>
        <v>#N/A</v>
      </c>
      <c r="AV215" s="10" t="e">
        <f>_xlfn.XLOOKUP(tbl_MTG_Set[[#This Row],[Collector Booster Box Product Id]], tbl_Product[Product Id], tbl_Product[Best Source])</f>
        <v>#N/A</v>
      </c>
      <c r="AW215" s="4" t="e">
        <f>_xlfn.XLOOKUP(tbl_MTG_Set[[#This Row],[Collector Booster Box Product Id]], tbl_Product[Product Id], tbl_Product[Pack Size])</f>
        <v>#N/A</v>
      </c>
      <c r="AX215" s="10" t="e">
        <f>(tbl_MTG_Set[[#This Row],[Collector Booster Box Cost]] + v_Item_Shipping_Cost_In) / tbl_MTG_Set[[#This Row],[Collector Booster Box Size]]</f>
        <v>#N/A</v>
      </c>
      <c r="AY215" s="10" t="str" cm="1">
        <f t="array" ref="AY2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5" s="10"/>
      <c r="BA2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5" s="17" t="e">
        <f>tbl_MTG_Set[[#This Row],[Collector Booster CardMarket Profit]]/tbl_MTG_Set[[#This Row],[Collector Booster Cost]]</f>
        <v>#N/A</v>
      </c>
      <c r="BC215" s="10"/>
      <c r="BF2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5" s="11" t="e">
        <f>tbl_MTG_Set[[#This Row],[Play Singles CardMarket Profit MTG Stocks]]/tbl_MTG_Set[[#This Row],[Play Booster Cost]]</f>
        <v>#VALUE!</v>
      </c>
      <c r="BI215" s="11" t="b">
        <f>tbl_MTG_Set[[#This Row],[Play Singles CardMarket Profit MTG Stocks]]&gt;0</f>
        <v>0</v>
      </c>
      <c r="BM215" s="10" t="e">
        <f>tbl_MTG_Set[[#This Row],[Play Booster Sell Price CardMarket]]*tbl_MTG_Set[[#This Row],[Play Booster Expected Market Value BotBox]]/tbl_MTG_Set[[#This Row],[Play Booster Sealed Market Value BotBox]]</f>
        <v>#VALUE!</v>
      </c>
      <c r="BN2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5" s="10" t="e">
        <f>tbl_MTG_Set[[#This Row],[Play Singles CardMarket Profit BotBox]]/tbl_MTG_Set[[#This Row],[Play Booster Cost]]</f>
        <v>#VALUE!</v>
      </c>
      <c r="BP215" s="10" t="b">
        <f>tbl_MTG_Set[[#This Row],[Play Singles CardMarket Profit BotBox]]&gt;0</f>
        <v>0</v>
      </c>
      <c r="BQ215" s="10"/>
      <c r="BR215" s="10"/>
      <c r="BS215" s="10"/>
      <c r="BT2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5" s="19" t="e">
        <f>tbl_MTG_Set[[#This Row],[Collector Singles CardMarket Profit MTG Stocks]]/tbl_MTG_Set[[#This Row],[Collector Booster Cost]]</f>
        <v>#N/A</v>
      </c>
      <c r="BW215" s="10" t="b">
        <f>tbl_MTG_Set[[#This Row],[Collector Singles CardMarket Profit MTG Stocks]]&gt;0</f>
        <v>0</v>
      </c>
      <c r="BX215" s="10"/>
      <c r="BY215" s="10"/>
      <c r="BZ2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5" s="10" t="e">
        <f>tbl_MTG_Set[[#This Row],[Collector Singles CardMarket Profit BotBox]]/tbl_MTG_Set[[#This Row],[Collector Booster Cost]]</f>
        <v>#N/A</v>
      </c>
      <c r="CC215" s="10" t="b">
        <f>tbl_MTG_Set[[#This Row],[Collector Singles CardMarket Profit BotBox]]&gt;0</f>
        <v>0</v>
      </c>
      <c r="CD2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6" spans="1:86" hidden="1">
      <c r="A216">
        <v>236</v>
      </c>
      <c r="B216" t="s">
        <v>389</v>
      </c>
      <c r="C216">
        <v>81</v>
      </c>
      <c r="D216" s="3">
        <v>44883</v>
      </c>
      <c r="E216" t="s">
        <v>59</v>
      </c>
      <c r="F216" t="s">
        <v>174</v>
      </c>
      <c r="G216">
        <v>418</v>
      </c>
      <c r="H216">
        <f ca="1">MONTH(NOW())+12*YEAR(NOW())-MONTH(tbl_MTG_Set[[#This Row],[Released On]])-12*YEAR(tbl_MTG_Set[[#This Row],[Released On]])</f>
        <v>40</v>
      </c>
      <c r="I216">
        <f>_xlfn.XLOOKUP(tbl_MTG_Set[[#This Row],[Type Name]], tbl_MTG_Set_Type[Set Type], tbl_MTG_Set_Type[Index], "(Set Type not found)")</f>
        <v>1</v>
      </c>
      <c r="J216">
        <f>_xlfn.XLOOKUP(tbl_MTG_Set[[#This Row],[Type Name]], tbl_MTG_Set_Type[Set Type], tbl_MTG_Set_Type[Buy Window Month Start], "(Set Type not found)")</f>
        <v>18</v>
      </c>
      <c r="K216" s="3">
        <f>tbl_MTG_Set[[#This Row],[Released On]]+tbl_MTG_Set[[#This Row],[Buy Window Month Start]]*365.25/12</f>
        <v>45430.875</v>
      </c>
      <c r="L216">
        <f>_xlfn.XLOOKUP(tbl_MTG_Set[[#This Row],[Type Name]], tbl_MTG_Set_Type[Set Type], tbl_MTG_Set_Type[Buy Window Month End], "(Set Type not found)", 0, 1)</f>
        <v>24</v>
      </c>
      <c r="M216" s="3">
        <f>tbl_MTG_Set[[#This Row],[Released On]]+tbl_MTG_Set[[#This Row],[Buy Window Month End]]*365.25/12</f>
        <v>45613.5</v>
      </c>
      <c r="N216" s="3" t="b">
        <f ca="1">AND(NOW()&gt;=tbl_MTG_Set[[#This Row],[Buy Window Start]], NOW()&lt;=tbl_MTG_Set[[#This Row],[Buy Window End]])</f>
        <v>0</v>
      </c>
      <c r="O216">
        <f>_xlfn.XLOOKUP(tbl_MTG_Set[[#This Row],[Type Name]], tbl_MTG_Set_Type[Set Type], tbl_MTG_Set_Type[Heavy Printing Window Month Start], "(Set Type not found)", 0, 1)</f>
        <v>1</v>
      </c>
      <c r="P216" s="3">
        <f>tbl_MTG_Set[[#This Row],[Released On]]+tbl_MTG_Set[[#This Row],[Heavy Printing Window Month Start]]*365.25/12</f>
        <v>44913.4375</v>
      </c>
      <c r="Q216">
        <f>_xlfn.XLOOKUP(tbl_MTG_Set[[#This Row],[Type Name]], tbl_MTG_Set_Type[Set Type], tbl_MTG_Set_Type[Heavy Printing Window Month End], "(Set Type not found)", 0, 1)</f>
        <v>18</v>
      </c>
      <c r="R216" s="3">
        <f>tbl_MTG_Set[[#This Row],[Released On]]+tbl_MTG_Set[[#This Row],[Heavy Printing Window Month End]]*365.25/12</f>
        <v>45430.875</v>
      </c>
      <c r="S216" s="3" t="b">
        <f ca="1">AND(NOW()&gt;=tbl_MTG_Set[[#This Row],[Heavy Printing Window Start]], NOW()&lt;=tbl_MTG_Set[[#This Row],[Heavy Printing Window End]])</f>
        <v>0</v>
      </c>
      <c r="T216">
        <f>_xlfn.XLOOKUP(tbl_MTG_Set[[#This Row],[Type Name]], tbl_MTG_Set_Type[Set Type], tbl_MTG_Set_Type[Sell Window Month Start], "(Set Type not found)", 0, 1)</f>
        <v>36</v>
      </c>
      <c r="U216" s="3">
        <f>tbl_MTG_Set[[#This Row],[Released On]]+tbl_MTG_Set[[#This Row],[Sell Window Month Start]]*365.25/12</f>
        <v>45978.75</v>
      </c>
      <c r="V216">
        <f>_xlfn.XLOOKUP(tbl_MTG_Set[[#This Row],[Type Name]], tbl_MTG_Set_Type[Set Type], tbl_MTG_Set_Type[Sell Window Month End], "(Set Type not found)", 0, 1)</f>
        <v>48</v>
      </c>
      <c r="W216" s="3">
        <f>tbl_MTG_Set[[#This Row],[Released On]]+tbl_MTG_Set[[#This Row],[Sell Window Month End]]*365.25/12</f>
        <v>46344</v>
      </c>
      <c r="X216" s="3" t="b">
        <f ca="1">AND(NOW()&gt;=tbl_MTG_Set[[#This Row],[Sell Window Start]], NOW()&lt;=tbl_MTG_Set[[#This Row],[Sell Window End]])</f>
        <v>1</v>
      </c>
      <c r="AG216" s="10"/>
      <c r="AH216" s="10"/>
      <c r="AM216" s="10" t="str" cm="1">
        <f t="array" ref="AM2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6" s="10" t="str" cm="1">
        <f t="array" ref="AN2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6" s="4" t="e">
        <f>_xlfn.XLOOKUP(tbl_MTG_Set[[#This Row],[Play Booster Box Product Id]], tbl_Product[Product Id], tbl_Product[Pack Size])</f>
        <v>#N/A</v>
      </c>
      <c r="AP216" s="10" t="e">
        <f>(tbl_MTG_Set[[#This Row],[Play Booster Box Cost]]+v_Item_Shipping_Cost_In)/tbl_MTG_Set[[#This Row],[Play Booster Box Size]]</f>
        <v>#VALUE!</v>
      </c>
      <c r="AQ216" s="10" t="str" cm="1">
        <f t="array" ref="AQ2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6" s="10"/>
      <c r="AS216" s="10"/>
      <c r="AT216" s="17" t="e">
        <f>tbl_MTG_Set[[#This Row],[Play Booster CardMarket Profit]]/tbl_MTG_Set[[#This Row],[Play Booster Cost]]</f>
        <v>#VALUE!</v>
      </c>
      <c r="AU216" s="10" t="e">
        <f>_xlfn.XLOOKUP(tbl_MTG_Set[[#This Row],[Collector Booster Box Product Id]], tbl_Product[Product Id], tbl_Product[Min Cost])</f>
        <v>#N/A</v>
      </c>
      <c r="AV216" s="10" t="e">
        <f>_xlfn.XLOOKUP(tbl_MTG_Set[[#This Row],[Collector Booster Box Product Id]], tbl_Product[Product Id], tbl_Product[Best Source])</f>
        <v>#N/A</v>
      </c>
      <c r="AW216" s="4" t="e">
        <f>_xlfn.XLOOKUP(tbl_MTG_Set[[#This Row],[Collector Booster Box Product Id]], tbl_Product[Product Id], tbl_Product[Pack Size])</f>
        <v>#N/A</v>
      </c>
      <c r="AX216" s="10" t="e">
        <f>(tbl_MTG_Set[[#This Row],[Collector Booster Box Cost]] + v_Item_Shipping_Cost_In) / tbl_MTG_Set[[#This Row],[Collector Booster Box Size]]</f>
        <v>#N/A</v>
      </c>
      <c r="AY216" s="10" t="str" cm="1">
        <f t="array" ref="AY2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6" s="10"/>
      <c r="BA2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6" s="17" t="e">
        <f>tbl_MTG_Set[[#This Row],[Collector Booster CardMarket Profit]]/tbl_MTG_Set[[#This Row],[Collector Booster Cost]]</f>
        <v>#N/A</v>
      </c>
      <c r="BC216" s="10"/>
      <c r="BF2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6" s="11" t="e">
        <f>tbl_MTG_Set[[#This Row],[Play Singles CardMarket Profit MTG Stocks]]/tbl_MTG_Set[[#This Row],[Play Booster Cost]]</f>
        <v>#VALUE!</v>
      </c>
      <c r="BI216" s="11" t="b">
        <f>tbl_MTG_Set[[#This Row],[Play Singles CardMarket Profit MTG Stocks]]&gt;0</f>
        <v>0</v>
      </c>
      <c r="BM216" s="10" t="e">
        <f>tbl_MTG_Set[[#This Row],[Play Booster Sell Price CardMarket]]*tbl_MTG_Set[[#This Row],[Play Booster Expected Market Value BotBox]]/tbl_MTG_Set[[#This Row],[Play Booster Sealed Market Value BotBox]]</f>
        <v>#VALUE!</v>
      </c>
      <c r="BN2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6" s="10" t="e">
        <f>tbl_MTG_Set[[#This Row],[Play Singles CardMarket Profit BotBox]]/tbl_MTG_Set[[#This Row],[Play Booster Cost]]</f>
        <v>#VALUE!</v>
      </c>
      <c r="BP216" s="10" t="b">
        <f>tbl_MTG_Set[[#This Row],[Play Singles CardMarket Profit BotBox]]&gt;0</f>
        <v>0</v>
      </c>
      <c r="BQ216" s="10"/>
      <c r="BR216" s="10"/>
      <c r="BS216" s="10"/>
      <c r="BT2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6" s="19" t="e">
        <f>tbl_MTG_Set[[#This Row],[Collector Singles CardMarket Profit MTG Stocks]]/tbl_MTG_Set[[#This Row],[Collector Booster Cost]]</f>
        <v>#N/A</v>
      </c>
      <c r="BW216" s="10" t="b">
        <f>tbl_MTG_Set[[#This Row],[Collector Singles CardMarket Profit MTG Stocks]]&gt;0</f>
        <v>0</v>
      </c>
      <c r="BX216" s="10"/>
      <c r="BY216" s="10"/>
      <c r="BZ2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6" s="10" t="e">
        <f>tbl_MTG_Set[[#This Row],[Collector Singles CardMarket Profit BotBox]]/tbl_MTG_Set[[#This Row],[Collector Booster Cost]]</f>
        <v>#N/A</v>
      </c>
      <c r="CC216" s="10" t="b">
        <f>tbl_MTG_Set[[#This Row],[Collector Singles CardMarket Profit BotBox]]&gt;0</f>
        <v>0</v>
      </c>
      <c r="CD2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7" spans="1:86" hidden="1">
      <c r="A217">
        <v>237</v>
      </c>
      <c r="B217" t="s">
        <v>390</v>
      </c>
      <c r="C217">
        <v>3</v>
      </c>
      <c r="D217" s="3">
        <v>44883</v>
      </c>
      <c r="E217" t="s">
        <v>59</v>
      </c>
      <c r="F217" t="s">
        <v>174</v>
      </c>
      <c r="G217">
        <v>420</v>
      </c>
      <c r="H217">
        <f ca="1">MONTH(NOW())+12*YEAR(NOW())-MONTH(tbl_MTG_Set[[#This Row],[Released On]])-12*YEAR(tbl_MTG_Set[[#This Row],[Released On]])</f>
        <v>40</v>
      </c>
      <c r="I217">
        <f>_xlfn.XLOOKUP(tbl_MTG_Set[[#This Row],[Type Name]], tbl_MTG_Set_Type[Set Type], tbl_MTG_Set_Type[Index], "(Set Type not found)")</f>
        <v>1</v>
      </c>
      <c r="J217">
        <f>_xlfn.XLOOKUP(tbl_MTG_Set[[#This Row],[Type Name]], tbl_MTG_Set_Type[Set Type], tbl_MTG_Set_Type[Buy Window Month Start], "(Set Type not found)")</f>
        <v>18</v>
      </c>
      <c r="K217" s="3">
        <f>tbl_MTG_Set[[#This Row],[Released On]]+tbl_MTG_Set[[#This Row],[Buy Window Month Start]]*365.25/12</f>
        <v>45430.875</v>
      </c>
      <c r="L217">
        <f>_xlfn.XLOOKUP(tbl_MTG_Set[[#This Row],[Type Name]], tbl_MTG_Set_Type[Set Type], tbl_MTG_Set_Type[Buy Window Month End], "(Set Type not found)", 0, 1)</f>
        <v>24</v>
      </c>
      <c r="M217" s="3">
        <f>tbl_MTG_Set[[#This Row],[Released On]]+tbl_MTG_Set[[#This Row],[Buy Window Month End]]*365.25/12</f>
        <v>45613.5</v>
      </c>
      <c r="N217" s="3" t="b">
        <f ca="1">AND(NOW()&gt;=tbl_MTG_Set[[#This Row],[Buy Window Start]], NOW()&lt;=tbl_MTG_Set[[#This Row],[Buy Window End]])</f>
        <v>0</v>
      </c>
      <c r="O217">
        <f>_xlfn.XLOOKUP(tbl_MTG_Set[[#This Row],[Type Name]], tbl_MTG_Set_Type[Set Type], tbl_MTG_Set_Type[Heavy Printing Window Month Start], "(Set Type not found)", 0, 1)</f>
        <v>1</v>
      </c>
      <c r="P217" s="3">
        <f>tbl_MTG_Set[[#This Row],[Released On]]+tbl_MTG_Set[[#This Row],[Heavy Printing Window Month Start]]*365.25/12</f>
        <v>44913.4375</v>
      </c>
      <c r="Q217">
        <f>_xlfn.XLOOKUP(tbl_MTG_Set[[#This Row],[Type Name]], tbl_MTG_Set_Type[Set Type], tbl_MTG_Set_Type[Heavy Printing Window Month End], "(Set Type not found)", 0, 1)</f>
        <v>18</v>
      </c>
      <c r="R217" s="3">
        <f>tbl_MTG_Set[[#This Row],[Released On]]+tbl_MTG_Set[[#This Row],[Heavy Printing Window Month End]]*365.25/12</f>
        <v>45430.875</v>
      </c>
      <c r="S217" s="3" t="b">
        <f ca="1">AND(NOW()&gt;=tbl_MTG_Set[[#This Row],[Heavy Printing Window Start]], NOW()&lt;=tbl_MTG_Set[[#This Row],[Heavy Printing Window End]])</f>
        <v>0</v>
      </c>
      <c r="T217">
        <f>_xlfn.XLOOKUP(tbl_MTG_Set[[#This Row],[Type Name]], tbl_MTG_Set_Type[Set Type], tbl_MTG_Set_Type[Sell Window Month Start], "(Set Type not found)", 0, 1)</f>
        <v>36</v>
      </c>
      <c r="U217" s="3">
        <f>tbl_MTG_Set[[#This Row],[Released On]]+tbl_MTG_Set[[#This Row],[Sell Window Month Start]]*365.25/12</f>
        <v>45978.75</v>
      </c>
      <c r="V217">
        <f>_xlfn.XLOOKUP(tbl_MTG_Set[[#This Row],[Type Name]], tbl_MTG_Set_Type[Set Type], tbl_MTG_Set_Type[Sell Window Month End], "(Set Type not found)", 0, 1)</f>
        <v>48</v>
      </c>
      <c r="W217" s="3">
        <f>tbl_MTG_Set[[#This Row],[Released On]]+tbl_MTG_Set[[#This Row],[Sell Window Month End]]*365.25/12</f>
        <v>46344</v>
      </c>
      <c r="X217" s="3" t="b">
        <f ca="1">AND(NOW()&gt;=tbl_MTG_Set[[#This Row],[Sell Window Start]], NOW()&lt;=tbl_MTG_Set[[#This Row],[Sell Window End]])</f>
        <v>1</v>
      </c>
      <c r="AG217" s="10"/>
      <c r="AH217" s="10"/>
      <c r="AM217" s="10" t="str" cm="1">
        <f t="array" ref="AM2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7" s="10" t="str" cm="1">
        <f t="array" ref="AN2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7" s="4" t="e">
        <f>_xlfn.XLOOKUP(tbl_MTG_Set[[#This Row],[Play Booster Box Product Id]], tbl_Product[Product Id], tbl_Product[Pack Size])</f>
        <v>#N/A</v>
      </c>
      <c r="AP217" s="10" t="e">
        <f>(tbl_MTG_Set[[#This Row],[Play Booster Box Cost]]+v_Item_Shipping_Cost_In)/tbl_MTG_Set[[#This Row],[Play Booster Box Size]]</f>
        <v>#VALUE!</v>
      </c>
      <c r="AQ217" s="10" t="str" cm="1">
        <f t="array" ref="AQ2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7" s="10"/>
      <c r="AS217" s="10"/>
      <c r="AT217" s="17" t="e">
        <f>tbl_MTG_Set[[#This Row],[Play Booster CardMarket Profit]]/tbl_MTG_Set[[#This Row],[Play Booster Cost]]</f>
        <v>#VALUE!</v>
      </c>
      <c r="AU217" s="10" t="e">
        <f>_xlfn.XLOOKUP(tbl_MTG_Set[[#This Row],[Collector Booster Box Product Id]], tbl_Product[Product Id], tbl_Product[Min Cost])</f>
        <v>#N/A</v>
      </c>
      <c r="AV217" s="10" t="e">
        <f>_xlfn.XLOOKUP(tbl_MTG_Set[[#This Row],[Collector Booster Box Product Id]], tbl_Product[Product Id], tbl_Product[Best Source])</f>
        <v>#N/A</v>
      </c>
      <c r="AW217" s="4" t="e">
        <f>_xlfn.XLOOKUP(tbl_MTG_Set[[#This Row],[Collector Booster Box Product Id]], tbl_Product[Product Id], tbl_Product[Pack Size])</f>
        <v>#N/A</v>
      </c>
      <c r="AX217" s="10" t="e">
        <f>(tbl_MTG_Set[[#This Row],[Collector Booster Box Cost]] + v_Item_Shipping_Cost_In) / tbl_MTG_Set[[#This Row],[Collector Booster Box Size]]</f>
        <v>#N/A</v>
      </c>
      <c r="AY217" s="10" t="str" cm="1">
        <f t="array" ref="AY2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7" s="10"/>
      <c r="BA2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7" s="17" t="e">
        <f>tbl_MTG_Set[[#This Row],[Collector Booster CardMarket Profit]]/tbl_MTG_Set[[#This Row],[Collector Booster Cost]]</f>
        <v>#N/A</v>
      </c>
      <c r="BC217" s="10"/>
      <c r="BF2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7" s="11" t="e">
        <f>tbl_MTG_Set[[#This Row],[Play Singles CardMarket Profit MTG Stocks]]/tbl_MTG_Set[[#This Row],[Play Booster Cost]]</f>
        <v>#VALUE!</v>
      </c>
      <c r="BI217" s="11" t="b">
        <f>tbl_MTG_Set[[#This Row],[Play Singles CardMarket Profit MTG Stocks]]&gt;0</f>
        <v>0</v>
      </c>
      <c r="BM217" s="10" t="e">
        <f>tbl_MTG_Set[[#This Row],[Play Booster Sell Price CardMarket]]*tbl_MTG_Set[[#This Row],[Play Booster Expected Market Value BotBox]]/tbl_MTG_Set[[#This Row],[Play Booster Sealed Market Value BotBox]]</f>
        <v>#VALUE!</v>
      </c>
      <c r="BN2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7" s="10" t="e">
        <f>tbl_MTG_Set[[#This Row],[Play Singles CardMarket Profit BotBox]]/tbl_MTG_Set[[#This Row],[Play Booster Cost]]</f>
        <v>#VALUE!</v>
      </c>
      <c r="BP217" s="10" t="b">
        <f>tbl_MTG_Set[[#This Row],[Play Singles CardMarket Profit BotBox]]&gt;0</f>
        <v>0</v>
      </c>
      <c r="BQ217" s="10"/>
      <c r="BR217" s="10"/>
      <c r="BS217" s="10"/>
      <c r="BT2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7" s="19" t="e">
        <f>tbl_MTG_Set[[#This Row],[Collector Singles CardMarket Profit MTG Stocks]]/tbl_MTG_Set[[#This Row],[Collector Booster Cost]]</f>
        <v>#N/A</v>
      </c>
      <c r="BW217" s="10" t="b">
        <f>tbl_MTG_Set[[#This Row],[Collector Singles CardMarket Profit MTG Stocks]]&gt;0</f>
        <v>0</v>
      </c>
      <c r="BX217" s="10"/>
      <c r="BY217" s="10"/>
      <c r="BZ2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7" s="10" t="e">
        <f>tbl_MTG_Set[[#This Row],[Collector Singles CardMarket Profit BotBox]]/tbl_MTG_Set[[#This Row],[Collector Booster Cost]]</f>
        <v>#N/A</v>
      </c>
      <c r="CC217" s="10" t="b">
        <f>tbl_MTG_Set[[#This Row],[Collector Singles CardMarket Profit BotBox]]&gt;0</f>
        <v>0</v>
      </c>
      <c r="CD2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8" spans="1:86" hidden="1">
      <c r="A218">
        <v>238</v>
      </c>
      <c r="B218" t="s">
        <v>391</v>
      </c>
      <c r="C218">
        <v>5</v>
      </c>
      <c r="D218" s="3">
        <v>44883</v>
      </c>
      <c r="E218" t="s">
        <v>59</v>
      </c>
      <c r="F218" t="s">
        <v>174</v>
      </c>
      <c r="G218">
        <v>422</v>
      </c>
      <c r="H218">
        <f ca="1">MONTH(NOW())+12*YEAR(NOW())-MONTH(tbl_MTG_Set[[#This Row],[Released On]])-12*YEAR(tbl_MTG_Set[[#This Row],[Released On]])</f>
        <v>40</v>
      </c>
      <c r="I218">
        <f>_xlfn.XLOOKUP(tbl_MTG_Set[[#This Row],[Type Name]], tbl_MTG_Set_Type[Set Type], tbl_MTG_Set_Type[Index], "(Set Type not found)")</f>
        <v>1</v>
      </c>
      <c r="J218">
        <f>_xlfn.XLOOKUP(tbl_MTG_Set[[#This Row],[Type Name]], tbl_MTG_Set_Type[Set Type], tbl_MTG_Set_Type[Buy Window Month Start], "(Set Type not found)")</f>
        <v>18</v>
      </c>
      <c r="K218" s="3">
        <f>tbl_MTG_Set[[#This Row],[Released On]]+tbl_MTG_Set[[#This Row],[Buy Window Month Start]]*365.25/12</f>
        <v>45430.875</v>
      </c>
      <c r="L218">
        <f>_xlfn.XLOOKUP(tbl_MTG_Set[[#This Row],[Type Name]], tbl_MTG_Set_Type[Set Type], tbl_MTG_Set_Type[Buy Window Month End], "(Set Type not found)", 0, 1)</f>
        <v>24</v>
      </c>
      <c r="M218" s="3">
        <f>tbl_MTG_Set[[#This Row],[Released On]]+tbl_MTG_Set[[#This Row],[Buy Window Month End]]*365.25/12</f>
        <v>45613.5</v>
      </c>
      <c r="N218" s="3" t="b">
        <f ca="1">AND(NOW()&gt;=tbl_MTG_Set[[#This Row],[Buy Window Start]], NOW()&lt;=tbl_MTG_Set[[#This Row],[Buy Window End]])</f>
        <v>0</v>
      </c>
      <c r="O218">
        <f>_xlfn.XLOOKUP(tbl_MTG_Set[[#This Row],[Type Name]], tbl_MTG_Set_Type[Set Type], tbl_MTG_Set_Type[Heavy Printing Window Month Start], "(Set Type not found)", 0, 1)</f>
        <v>1</v>
      </c>
      <c r="P218" s="3">
        <f>tbl_MTG_Set[[#This Row],[Released On]]+tbl_MTG_Set[[#This Row],[Heavy Printing Window Month Start]]*365.25/12</f>
        <v>44913.4375</v>
      </c>
      <c r="Q218">
        <f>_xlfn.XLOOKUP(tbl_MTG_Set[[#This Row],[Type Name]], tbl_MTG_Set_Type[Set Type], tbl_MTG_Set_Type[Heavy Printing Window Month End], "(Set Type not found)", 0, 1)</f>
        <v>18</v>
      </c>
      <c r="R218" s="3">
        <f>tbl_MTG_Set[[#This Row],[Released On]]+tbl_MTG_Set[[#This Row],[Heavy Printing Window Month End]]*365.25/12</f>
        <v>45430.875</v>
      </c>
      <c r="S218" s="3" t="b">
        <f ca="1">AND(NOW()&gt;=tbl_MTG_Set[[#This Row],[Heavy Printing Window Start]], NOW()&lt;=tbl_MTG_Set[[#This Row],[Heavy Printing Window End]])</f>
        <v>0</v>
      </c>
      <c r="T218">
        <f>_xlfn.XLOOKUP(tbl_MTG_Set[[#This Row],[Type Name]], tbl_MTG_Set_Type[Set Type], tbl_MTG_Set_Type[Sell Window Month Start], "(Set Type not found)", 0, 1)</f>
        <v>36</v>
      </c>
      <c r="U218" s="3">
        <f>tbl_MTG_Set[[#This Row],[Released On]]+tbl_MTG_Set[[#This Row],[Sell Window Month Start]]*365.25/12</f>
        <v>45978.75</v>
      </c>
      <c r="V218">
        <f>_xlfn.XLOOKUP(tbl_MTG_Set[[#This Row],[Type Name]], tbl_MTG_Set_Type[Set Type], tbl_MTG_Set_Type[Sell Window Month End], "(Set Type not found)", 0, 1)</f>
        <v>48</v>
      </c>
      <c r="W218" s="3">
        <f>tbl_MTG_Set[[#This Row],[Released On]]+tbl_MTG_Set[[#This Row],[Sell Window Month End]]*365.25/12</f>
        <v>46344</v>
      </c>
      <c r="X218" s="3" t="b">
        <f ca="1">AND(NOW()&gt;=tbl_MTG_Set[[#This Row],[Sell Window Start]], NOW()&lt;=tbl_MTG_Set[[#This Row],[Sell Window End]])</f>
        <v>1</v>
      </c>
      <c r="AG218" s="10"/>
      <c r="AH218" s="10"/>
      <c r="AM218" s="10" t="str" cm="1">
        <f t="array" ref="AM2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8" s="10" t="str" cm="1">
        <f t="array" ref="AN2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8" s="4" t="e">
        <f>_xlfn.XLOOKUP(tbl_MTG_Set[[#This Row],[Play Booster Box Product Id]], tbl_Product[Product Id], tbl_Product[Pack Size])</f>
        <v>#N/A</v>
      </c>
      <c r="AP218" s="10" t="e">
        <f>(tbl_MTG_Set[[#This Row],[Play Booster Box Cost]]+v_Item_Shipping_Cost_In)/tbl_MTG_Set[[#This Row],[Play Booster Box Size]]</f>
        <v>#VALUE!</v>
      </c>
      <c r="AQ218" s="10" t="str" cm="1">
        <f t="array" ref="AQ2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8" s="10"/>
      <c r="AS218" s="10"/>
      <c r="AT218" s="17" t="e">
        <f>tbl_MTG_Set[[#This Row],[Play Booster CardMarket Profit]]/tbl_MTG_Set[[#This Row],[Play Booster Cost]]</f>
        <v>#VALUE!</v>
      </c>
      <c r="AU218" s="10" t="e">
        <f>_xlfn.XLOOKUP(tbl_MTG_Set[[#This Row],[Collector Booster Box Product Id]], tbl_Product[Product Id], tbl_Product[Min Cost])</f>
        <v>#N/A</v>
      </c>
      <c r="AV218" s="10" t="e">
        <f>_xlfn.XLOOKUP(tbl_MTG_Set[[#This Row],[Collector Booster Box Product Id]], tbl_Product[Product Id], tbl_Product[Best Source])</f>
        <v>#N/A</v>
      </c>
      <c r="AW218" s="4" t="e">
        <f>_xlfn.XLOOKUP(tbl_MTG_Set[[#This Row],[Collector Booster Box Product Id]], tbl_Product[Product Id], tbl_Product[Pack Size])</f>
        <v>#N/A</v>
      </c>
      <c r="AX218" s="10" t="e">
        <f>(tbl_MTG_Set[[#This Row],[Collector Booster Box Cost]] + v_Item_Shipping_Cost_In) / tbl_MTG_Set[[#This Row],[Collector Booster Box Size]]</f>
        <v>#N/A</v>
      </c>
      <c r="AY218" s="10" t="str" cm="1">
        <f t="array" ref="AY2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8" s="10"/>
      <c r="BA2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8" s="17" t="e">
        <f>tbl_MTG_Set[[#This Row],[Collector Booster CardMarket Profit]]/tbl_MTG_Set[[#This Row],[Collector Booster Cost]]</f>
        <v>#N/A</v>
      </c>
      <c r="BC218" s="10"/>
      <c r="BF2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8" s="11" t="e">
        <f>tbl_MTG_Set[[#This Row],[Play Singles CardMarket Profit MTG Stocks]]/tbl_MTG_Set[[#This Row],[Play Booster Cost]]</f>
        <v>#VALUE!</v>
      </c>
      <c r="BI218" s="11" t="b">
        <f>tbl_MTG_Set[[#This Row],[Play Singles CardMarket Profit MTG Stocks]]&gt;0</f>
        <v>0</v>
      </c>
      <c r="BM218" s="10" t="e">
        <f>tbl_MTG_Set[[#This Row],[Play Booster Sell Price CardMarket]]*tbl_MTG_Set[[#This Row],[Play Booster Expected Market Value BotBox]]/tbl_MTG_Set[[#This Row],[Play Booster Sealed Market Value BotBox]]</f>
        <v>#VALUE!</v>
      </c>
      <c r="BN2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8" s="10" t="e">
        <f>tbl_MTG_Set[[#This Row],[Play Singles CardMarket Profit BotBox]]/tbl_MTG_Set[[#This Row],[Play Booster Cost]]</f>
        <v>#VALUE!</v>
      </c>
      <c r="BP218" s="10" t="b">
        <f>tbl_MTG_Set[[#This Row],[Play Singles CardMarket Profit BotBox]]&gt;0</f>
        <v>0</v>
      </c>
      <c r="BQ218" s="10"/>
      <c r="BR218" s="10"/>
      <c r="BS218" s="10"/>
      <c r="BT2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8" s="19" t="e">
        <f>tbl_MTG_Set[[#This Row],[Collector Singles CardMarket Profit MTG Stocks]]/tbl_MTG_Set[[#This Row],[Collector Booster Cost]]</f>
        <v>#N/A</v>
      </c>
      <c r="BW218" s="10" t="b">
        <f>tbl_MTG_Set[[#This Row],[Collector Singles CardMarket Profit MTG Stocks]]&gt;0</f>
        <v>0</v>
      </c>
      <c r="BX218" s="10"/>
      <c r="BY218" s="10"/>
      <c r="BZ2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8" s="10" t="e">
        <f>tbl_MTG_Set[[#This Row],[Collector Singles CardMarket Profit BotBox]]/tbl_MTG_Set[[#This Row],[Collector Booster Cost]]</f>
        <v>#N/A</v>
      </c>
      <c r="CC218" s="10" t="b">
        <f>tbl_MTG_Set[[#This Row],[Collector Singles CardMarket Profit BotBox]]&gt;0</f>
        <v>0</v>
      </c>
      <c r="CD2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19" spans="1:86" hidden="1">
      <c r="A219">
        <v>239</v>
      </c>
      <c r="B219" t="s">
        <v>392</v>
      </c>
      <c r="C219">
        <v>135</v>
      </c>
      <c r="D219" s="3">
        <v>44848</v>
      </c>
      <c r="F219" t="s">
        <v>174</v>
      </c>
      <c r="G219">
        <v>424</v>
      </c>
      <c r="H219">
        <f ca="1">MONTH(NOW())+12*YEAR(NOW())-MONTH(tbl_MTG_Set[[#This Row],[Released On]])-12*YEAR(tbl_MTG_Set[[#This Row],[Released On]])</f>
        <v>41</v>
      </c>
      <c r="I219" t="str">
        <f>_xlfn.XLOOKUP(tbl_MTG_Set[[#This Row],[Type Name]], tbl_MTG_Set_Type[Set Type], tbl_MTG_Set_Type[Index], "(Set Type not found)")</f>
        <v>(Set Type not found)</v>
      </c>
      <c r="J219" t="str">
        <f>_xlfn.XLOOKUP(tbl_MTG_Set[[#This Row],[Type Name]], tbl_MTG_Set_Type[Set Type], tbl_MTG_Set_Type[Buy Window Month Start], "(Set Type not found)")</f>
        <v>(Set Type not found)</v>
      </c>
      <c r="K219" s="3" t="e">
        <f>tbl_MTG_Set[[#This Row],[Released On]]+tbl_MTG_Set[[#This Row],[Buy Window Month Start]]*365.25/12</f>
        <v>#VALUE!</v>
      </c>
      <c r="L219" t="str">
        <f>_xlfn.XLOOKUP(tbl_MTG_Set[[#This Row],[Type Name]], tbl_MTG_Set_Type[Set Type], tbl_MTG_Set_Type[Buy Window Month End], "(Set Type not found)", 0, 1)</f>
        <v>(Set Type not found)</v>
      </c>
      <c r="M219" s="3" t="e">
        <f>tbl_MTG_Set[[#This Row],[Released On]]+tbl_MTG_Set[[#This Row],[Buy Window Month End]]*365.25/12</f>
        <v>#VALUE!</v>
      </c>
      <c r="N219" s="3" t="e">
        <f ca="1">AND(NOW()&gt;=tbl_MTG_Set[[#This Row],[Buy Window Start]], NOW()&lt;=tbl_MTG_Set[[#This Row],[Buy Window End]])</f>
        <v>#VALUE!</v>
      </c>
      <c r="O219" t="str">
        <f>_xlfn.XLOOKUP(tbl_MTG_Set[[#This Row],[Type Name]], tbl_MTG_Set_Type[Set Type], tbl_MTG_Set_Type[Heavy Printing Window Month Start], "(Set Type not found)", 0, 1)</f>
        <v>(Set Type not found)</v>
      </c>
      <c r="P219" s="3" t="e">
        <f>tbl_MTG_Set[[#This Row],[Released On]]+tbl_MTG_Set[[#This Row],[Heavy Printing Window Month Start]]*365.25/12</f>
        <v>#VALUE!</v>
      </c>
      <c r="Q219" t="str">
        <f>_xlfn.XLOOKUP(tbl_MTG_Set[[#This Row],[Type Name]], tbl_MTG_Set_Type[Set Type], tbl_MTG_Set_Type[Heavy Printing Window Month End], "(Set Type not found)", 0, 1)</f>
        <v>(Set Type not found)</v>
      </c>
      <c r="R219" s="3" t="e">
        <f>tbl_MTG_Set[[#This Row],[Released On]]+tbl_MTG_Set[[#This Row],[Heavy Printing Window Month End]]*365.25/12</f>
        <v>#VALUE!</v>
      </c>
      <c r="S219" s="3" t="e">
        <f ca="1">AND(NOW()&gt;=tbl_MTG_Set[[#This Row],[Heavy Printing Window Start]], NOW()&lt;=tbl_MTG_Set[[#This Row],[Heavy Printing Window End]])</f>
        <v>#VALUE!</v>
      </c>
      <c r="T219" t="str">
        <f>_xlfn.XLOOKUP(tbl_MTG_Set[[#This Row],[Type Name]], tbl_MTG_Set_Type[Set Type], tbl_MTG_Set_Type[Sell Window Month Start], "(Set Type not found)", 0, 1)</f>
        <v>(Set Type not found)</v>
      </c>
      <c r="U219" s="3" t="e">
        <f>tbl_MTG_Set[[#This Row],[Released On]]+tbl_MTG_Set[[#This Row],[Sell Window Month Start]]*365.25/12</f>
        <v>#VALUE!</v>
      </c>
      <c r="V219" t="str">
        <f>_xlfn.XLOOKUP(tbl_MTG_Set[[#This Row],[Type Name]], tbl_MTG_Set_Type[Set Type], tbl_MTG_Set_Type[Sell Window Month End], "(Set Type not found)", 0, 1)</f>
        <v>(Set Type not found)</v>
      </c>
      <c r="W219" s="3" t="e">
        <f>tbl_MTG_Set[[#This Row],[Released On]]+tbl_MTG_Set[[#This Row],[Sell Window Month End]]*365.25/12</f>
        <v>#VALUE!</v>
      </c>
      <c r="X219" s="3" t="e">
        <f ca="1">AND(NOW()&gt;=tbl_MTG_Set[[#This Row],[Sell Window Start]], NOW()&lt;=tbl_MTG_Set[[#This Row],[Sell Window End]])</f>
        <v>#VALUE!</v>
      </c>
      <c r="AG219" s="10"/>
      <c r="AH219" s="10"/>
      <c r="AM219" s="10" t="str" cm="1">
        <f t="array" ref="AM2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19" s="10" t="str" cm="1">
        <f t="array" ref="AN2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19" s="4" t="e">
        <f>_xlfn.XLOOKUP(tbl_MTG_Set[[#This Row],[Play Booster Box Product Id]], tbl_Product[Product Id], tbl_Product[Pack Size])</f>
        <v>#N/A</v>
      </c>
      <c r="AP219" s="10" t="e">
        <f>(tbl_MTG_Set[[#This Row],[Play Booster Box Cost]]+v_Item_Shipping_Cost_In)/tbl_MTG_Set[[#This Row],[Play Booster Box Size]]</f>
        <v>#VALUE!</v>
      </c>
      <c r="AQ219" s="10" t="str" cm="1">
        <f t="array" ref="AQ2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19" s="10"/>
      <c r="AS219" s="10"/>
      <c r="AT219" s="17" t="e">
        <f>tbl_MTG_Set[[#This Row],[Play Booster CardMarket Profit]]/tbl_MTG_Set[[#This Row],[Play Booster Cost]]</f>
        <v>#VALUE!</v>
      </c>
      <c r="AU219" s="10" t="e">
        <f>_xlfn.XLOOKUP(tbl_MTG_Set[[#This Row],[Collector Booster Box Product Id]], tbl_Product[Product Id], tbl_Product[Min Cost])</f>
        <v>#N/A</v>
      </c>
      <c r="AV219" s="10" t="e">
        <f>_xlfn.XLOOKUP(tbl_MTG_Set[[#This Row],[Collector Booster Box Product Id]], tbl_Product[Product Id], tbl_Product[Best Source])</f>
        <v>#N/A</v>
      </c>
      <c r="AW219" s="4" t="e">
        <f>_xlfn.XLOOKUP(tbl_MTG_Set[[#This Row],[Collector Booster Box Product Id]], tbl_Product[Product Id], tbl_Product[Pack Size])</f>
        <v>#N/A</v>
      </c>
      <c r="AX219" s="10" t="e">
        <f>(tbl_MTG_Set[[#This Row],[Collector Booster Box Cost]] + v_Item_Shipping_Cost_In) / tbl_MTG_Set[[#This Row],[Collector Booster Box Size]]</f>
        <v>#N/A</v>
      </c>
      <c r="AY219" s="10" t="str" cm="1">
        <f t="array" ref="AY2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19" s="10"/>
      <c r="BA2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19" s="17" t="e">
        <f>tbl_MTG_Set[[#This Row],[Collector Booster CardMarket Profit]]/tbl_MTG_Set[[#This Row],[Collector Booster Cost]]</f>
        <v>#N/A</v>
      </c>
      <c r="BC219" s="10"/>
      <c r="BF2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19" s="11" t="e">
        <f>tbl_MTG_Set[[#This Row],[Play Singles CardMarket Profit MTG Stocks]]/tbl_MTG_Set[[#This Row],[Play Booster Cost]]</f>
        <v>#VALUE!</v>
      </c>
      <c r="BI219" s="11" t="b">
        <f>tbl_MTG_Set[[#This Row],[Play Singles CardMarket Profit MTG Stocks]]&gt;0</f>
        <v>0</v>
      </c>
      <c r="BM219" s="10" t="e">
        <f>tbl_MTG_Set[[#This Row],[Play Booster Sell Price CardMarket]]*tbl_MTG_Set[[#This Row],[Play Booster Expected Market Value BotBox]]/tbl_MTG_Set[[#This Row],[Play Booster Sealed Market Value BotBox]]</f>
        <v>#VALUE!</v>
      </c>
      <c r="BN2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19" s="10" t="e">
        <f>tbl_MTG_Set[[#This Row],[Play Singles CardMarket Profit BotBox]]/tbl_MTG_Set[[#This Row],[Play Booster Cost]]</f>
        <v>#VALUE!</v>
      </c>
      <c r="BP219" s="10" t="b">
        <f>tbl_MTG_Set[[#This Row],[Play Singles CardMarket Profit BotBox]]&gt;0</f>
        <v>0</v>
      </c>
      <c r="BQ219" s="10"/>
      <c r="BR219" s="10"/>
      <c r="BS219" s="10"/>
      <c r="BT2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19" s="19" t="e">
        <f>tbl_MTG_Set[[#This Row],[Collector Singles CardMarket Profit MTG Stocks]]/tbl_MTG_Set[[#This Row],[Collector Booster Cost]]</f>
        <v>#N/A</v>
      </c>
      <c r="BW219" s="10" t="b">
        <f>tbl_MTG_Set[[#This Row],[Collector Singles CardMarket Profit MTG Stocks]]&gt;0</f>
        <v>0</v>
      </c>
      <c r="BX219" s="10"/>
      <c r="BY219" s="10"/>
      <c r="BZ2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19" s="10" t="e">
        <f>tbl_MTG_Set[[#This Row],[Collector Singles CardMarket Profit BotBox]]/tbl_MTG_Set[[#This Row],[Collector Booster Cost]]</f>
        <v>#N/A</v>
      </c>
      <c r="CC219" s="10" t="b">
        <f>tbl_MTG_Set[[#This Row],[Collector Singles CardMarket Profit BotBox]]&gt;0</f>
        <v>0</v>
      </c>
      <c r="CD2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0" spans="1:86" hidden="1">
      <c r="A220">
        <v>240</v>
      </c>
      <c r="B220" t="s">
        <v>393</v>
      </c>
      <c r="C220">
        <v>10</v>
      </c>
      <c r="D220" s="3">
        <v>44848</v>
      </c>
      <c r="F220" t="s">
        <v>174</v>
      </c>
      <c r="G220">
        <v>426</v>
      </c>
      <c r="H220">
        <f ca="1">MONTH(NOW())+12*YEAR(NOW())-MONTH(tbl_MTG_Set[[#This Row],[Released On]])-12*YEAR(tbl_MTG_Set[[#This Row],[Released On]])</f>
        <v>41</v>
      </c>
      <c r="I220" t="str">
        <f>_xlfn.XLOOKUP(tbl_MTG_Set[[#This Row],[Type Name]], tbl_MTG_Set_Type[Set Type], tbl_MTG_Set_Type[Index], "(Set Type not found)")</f>
        <v>(Set Type not found)</v>
      </c>
      <c r="J220" t="str">
        <f>_xlfn.XLOOKUP(tbl_MTG_Set[[#This Row],[Type Name]], tbl_MTG_Set_Type[Set Type], tbl_MTG_Set_Type[Buy Window Month Start], "(Set Type not found)")</f>
        <v>(Set Type not found)</v>
      </c>
      <c r="K220" s="3" t="e">
        <f>tbl_MTG_Set[[#This Row],[Released On]]+tbl_MTG_Set[[#This Row],[Buy Window Month Start]]*365.25/12</f>
        <v>#VALUE!</v>
      </c>
      <c r="L220" t="str">
        <f>_xlfn.XLOOKUP(tbl_MTG_Set[[#This Row],[Type Name]], tbl_MTG_Set_Type[Set Type], tbl_MTG_Set_Type[Buy Window Month End], "(Set Type not found)", 0, 1)</f>
        <v>(Set Type not found)</v>
      </c>
      <c r="M220" s="3" t="e">
        <f>tbl_MTG_Set[[#This Row],[Released On]]+tbl_MTG_Set[[#This Row],[Buy Window Month End]]*365.25/12</f>
        <v>#VALUE!</v>
      </c>
      <c r="N220" s="3" t="e">
        <f ca="1">AND(NOW()&gt;=tbl_MTG_Set[[#This Row],[Buy Window Start]], NOW()&lt;=tbl_MTG_Set[[#This Row],[Buy Window End]])</f>
        <v>#VALUE!</v>
      </c>
      <c r="O220" t="str">
        <f>_xlfn.XLOOKUP(tbl_MTG_Set[[#This Row],[Type Name]], tbl_MTG_Set_Type[Set Type], tbl_MTG_Set_Type[Heavy Printing Window Month Start], "(Set Type not found)", 0, 1)</f>
        <v>(Set Type not found)</v>
      </c>
      <c r="P220" s="3" t="e">
        <f>tbl_MTG_Set[[#This Row],[Released On]]+tbl_MTG_Set[[#This Row],[Heavy Printing Window Month Start]]*365.25/12</f>
        <v>#VALUE!</v>
      </c>
      <c r="Q220" t="str">
        <f>_xlfn.XLOOKUP(tbl_MTG_Set[[#This Row],[Type Name]], tbl_MTG_Set_Type[Set Type], tbl_MTG_Set_Type[Heavy Printing Window Month End], "(Set Type not found)", 0, 1)</f>
        <v>(Set Type not found)</v>
      </c>
      <c r="R220" s="3" t="e">
        <f>tbl_MTG_Set[[#This Row],[Released On]]+tbl_MTG_Set[[#This Row],[Heavy Printing Window Month End]]*365.25/12</f>
        <v>#VALUE!</v>
      </c>
      <c r="S220" s="3" t="e">
        <f ca="1">AND(NOW()&gt;=tbl_MTG_Set[[#This Row],[Heavy Printing Window Start]], NOW()&lt;=tbl_MTG_Set[[#This Row],[Heavy Printing Window End]])</f>
        <v>#VALUE!</v>
      </c>
      <c r="T220" t="str">
        <f>_xlfn.XLOOKUP(tbl_MTG_Set[[#This Row],[Type Name]], tbl_MTG_Set_Type[Set Type], tbl_MTG_Set_Type[Sell Window Month Start], "(Set Type not found)", 0, 1)</f>
        <v>(Set Type not found)</v>
      </c>
      <c r="U220" s="3" t="e">
        <f>tbl_MTG_Set[[#This Row],[Released On]]+tbl_MTG_Set[[#This Row],[Sell Window Month Start]]*365.25/12</f>
        <v>#VALUE!</v>
      </c>
      <c r="V220" t="str">
        <f>_xlfn.XLOOKUP(tbl_MTG_Set[[#This Row],[Type Name]], tbl_MTG_Set_Type[Set Type], tbl_MTG_Set_Type[Sell Window Month End], "(Set Type not found)", 0, 1)</f>
        <v>(Set Type not found)</v>
      </c>
      <c r="W220" s="3" t="e">
        <f>tbl_MTG_Set[[#This Row],[Released On]]+tbl_MTG_Set[[#This Row],[Sell Window Month End]]*365.25/12</f>
        <v>#VALUE!</v>
      </c>
      <c r="X220" s="3" t="e">
        <f ca="1">AND(NOW()&gt;=tbl_MTG_Set[[#This Row],[Sell Window Start]], NOW()&lt;=tbl_MTG_Set[[#This Row],[Sell Window End]])</f>
        <v>#VALUE!</v>
      </c>
      <c r="AG220" s="10"/>
      <c r="AH220" s="10"/>
      <c r="AM220" s="10" t="str" cm="1">
        <f t="array" ref="AM2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0" s="10" t="str" cm="1">
        <f t="array" ref="AN2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0" s="4" t="e">
        <f>_xlfn.XLOOKUP(tbl_MTG_Set[[#This Row],[Play Booster Box Product Id]], tbl_Product[Product Id], tbl_Product[Pack Size])</f>
        <v>#N/A</v>
      </c>
      <c r="AP220" s="10" t="e">
        <f>(tbl_MTG_Set[[#This Row],[Play Booster Box Cost]]+v_Item_Shipping_Cost_In)/tbl_MTG_Set[[#This Row],[Play Booster Box Size]]</f>
        <v>#VALUE!</v>
      </c>
      <c r="AQ220" s="10" t="str" cm="1">
        <f t="array" ref="AQ2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0" s="10"/>
      <c r="AS220" s="10"/>
      <c r="AT220" s="17" t="e">
        <f>tbl_MTG_Set[[#This Row],[Play Booster CardMarket Profit]]/tbl_MTG_Set[[#This Row],[Play Booster Cost]]</f>
        <v>#VALUE!</v>
      </c>
      <c r="AU220" s="10" t="e">
        <f>_xlfn.XLOOKUP(tbl_MTG_Set[[#This Row],[Collector Booster Box Product Id]], tbl_Product[Product Id], tbl_Product[Min Cost])</f>
        <v>#N/A</v>
      </c>
      <c r="AV220" s="10" t="e">
        <f>_xlfn.XLOOKUP(tbl_MTG_Set[[#This Row],[Collector Booster Box Product Id]], tbl_Product[Product Id], tbl_Product[Best Source])</f>
        <v>#N/A</v>
      </c>
      <c r="AW220" s="4" t="e">
        <f>_xlfn.XLOOKUP(tbl_MTG_Set[[#This Row],[Collector Booster Box Product Id]], tbl_Product[Product Id], tbl_Product[Pack Size])</f>
        <v>#N/A</v>
      </c>
      <c r="AX220" s="10" t="e">
        <f>(tbl_MTG_Set[[#This Row],[Collector Booster Box Cost]] + v_Item_Shipping_Cost_In) / tbl_MTG_Set[[#This Row],[Collector Booster Box Size]]</f>
        <v>#N/A</v>
      </c>
      <c r="AY220" s="10" t="str" cm="1">
        <f t="array" ref="AY2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0" s="10"/>
      <c r="BA2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0" s="17" t="e">
        <f>tbl_MTG_Set[[#This Row],[Collector Booster CardMarket Profit]]/tbl_MTG_Set[[#This Row],[Collector Booster Cost]]</f>
        <v>#N/A</v>
      </c>
      <c r="BC220" s="10"/>
      <c r="BF2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0" s="11" t="e">
        <f>tbl_MTG_Set[[#This Row],[Play Singles CardMarket Profit MTG Stocks]]/tbl_MTG_Set[[#This Row],[Play Booster Cost]]</f>
        <v>#VALUE!</v>
      </c>
      <c r="BI220" s="11" t="b">
        <f>tbl_MTG_Set[[#This Row],[Play Singles CardMarket Profit MTG Stocks]]&gt;0</f>
        <v>0</v>
      </c>
      <c r="BM220" s="10" t="e">
        <f>tbl_MTG_Set[[#This Row],[Play Booster Sell Price CardMarket]]*tbl_MTG_Set[[#This Row],[Play Booster Expected Market Value BotBox]]/tbl_MTG_Set[[#This Row],[Play Booster Sealed Market Value BotBox]]</f>
        <v>#VALUE!</v>
      </c>
      <c r="BN2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0" s="10" t="e">
        <f>tbl_MTG_Set[[#This Row],[Play Singles CardMarket Profit BotBox]]/tbl_MTG_Set[[#This Row],[Play Booster Cost]]</f>
        <v>#VALUE!</v>
      </c>
      <c r="BP220" s="10" t="b">
        <f>tbl_MTG_Set[[#This Row],[Play Singles CardMarket Profit BotBox]]&gt;0</f>
        <v>0</v>
      </c>
      <c r="BQ220" s="10"/>
      <c r="BR220" s="10"/>
      <c r="BS220" s="10"/>
      <c r="BT2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0" s="19" t="e">
        <f>tbl_MTG_Set[[#This Row],[Collector Singles CardMarket Profit MTG Stocks]]/tbl_MTG_Set[[#This Row],[Collector Booster Cost]]</f>
        <v>#N/A</v>
      </c>
      <c r="BW220" s="10" t="b">
        <f>tbl_MTG_Set[[#This Row],[Collector Singles CardMarket Profit MTG Stocks]]&gt;0</f>
        <v>0</v>
      </c>
      <c r="BX220" s="10"/>
      <c r="BY220" s="10"/>
      <c r="BZ2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0" s="10" t="e">
        <f>tbl_MTG_Set[[#This Row],[Collector Singles CardMarket Profit BotBox]]/tbl_MTG_Set[[#This Row],[Collector Booster Cost]]</f>
        <v>#N/A</v>
      </c>
      <c r="CC220" s="10" t="b">
        <f>tbl_MTG_Set[[#This Row],[Collector Singles CardMarket Profit BotBox]]&gt;0</f>
        <v>0</v>
      </c>
      <c r="CD2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1" spans="1:86" hidden="1">
      <c r="A221">
        <v>241</v>
      </c>
      <c r="B221" t="s">
        <v>394</v>
      </c>
      <c r="C221">
        <v>639</v>
      </c>
      <c r="D221" s="3">
        <v>44841</v>
      </c>
      <c r="F221" t="s">
        <v>174</v>
      </c>
      <c r="G221">
        <v>428</v>
      </c>
      <c r="H221">
        <f ca="1">MONTH(NOW())+12*YEAR(NOW())-MONTH(tbl_MTG_Set[[#This Row],[Released On]])-12*YEAR(tbl_MTG_Set[[#This Row],[Released On]])</f>
        <v>41</v>
      </c>
      <c r="I221" t="str">
        <f>_xlfn.XLOOKUP(tbl_MTG_Set[[#This Row],[Type Name]], tbl_MTG_Set_Type[Set Type], tbl_MTG_Set_Type[Index], "(Set Type not found)")</f>
        <v>(Set Type not found)</v>
      </c>
      <c r="J221" t="str">
        <f>_xlfn.XLOOKUP(tbl_MTG_Set[[#This Row],[Type Name]], tbl_MTG_Set_Type[Set Type], tbl_MTG_Set_Type[Buy Window Month Start], "(Set Type not found)")</f>
        <v>(Set Type not found)</v>
      </c>
      <c r="K221" s="3" t="e">
        <f>tbl_MTG_Set[[#This Row],[Released On]]+tbl_MTG_Set[[#This Row],[Buy Window Month Start]]*365.25/12</f>
        <v>#VALUE!</v>
      </c>
      <c r="L221" t="str">
        <f>_xlfn.XLOOKUP(tbl_MTG_Set[[#This Row],[Type Name]], tbl_MTG_Set_Type[Set Type], tbl_MTG_Set_Type[Buy Window Month End], "(Set Type not found)", 0, 1)</f>
        <v>(Set Type not found)</v>
      </c>
      <c r="M221" s="3" t="e">
        <f>tbl_MTG_Set[[#This Row],[Released On]]+tbl_MTG_Set[[#This Row],[Buy Window Month End]]*365.25/12</f>
        <v>#VALUE!</v>
      </c>
      <c r="N221" s="3" t="e">
        <f ca="1">AND(NOW()&gt;=tbl_MTG_Set[[#This Row],[Buy Window Start]], NOW()&lt;=tbl_MTG_Set[[#This Row],[Buy Window End]])</f>
        <v>#VALUE!</v>
      </c>
      <c r="O221" t="str">
        <f>_xlfn.XLOOKUP(tbl_MTG_Set[[#This Row],[Type Name]], tbl_MTG_Set_Type[Set Type], tbl_MTG_Set_Type[Heavy Printing Window Month Start], "(Set Type not found)", 0, 1)</f>
        <v>(Set Type not found)</v>
      </c>
      <c r="P221" s="3" t="e">
        <f>tbl_MTG_Set[[#This Row],[Released On]]+tbl_MTG_Set[[#This Row],[Heavy Printing Window Month Start]]*365.25/12</f>
        <v>#VALUE!</v>
      </c>
      <c r="Q221" t="str">
        <f>_xlfn.XLOOKUP(tbl_MTG_Set[[#This Row],[Type Name]], tbl_MTG_Set_Type[Set Type], tbl_MTG_Set_Type[Heavy Printing Window Month End], "(Set Type not found)", 0, 1)</f>
        <v>(Set Type not found)</v>
      </c>
      <c r="R221" s="3" t="e">
        <f>tbl_MTG_Set[[#This Row],[Released On]]+tbl_MTG_Set[[#This Row],[Heavy Printing Window Month End]]*365.25/12</f>
        <v>#VALUE!</v>
      </c>
      <c r="S221" s="3" t="e">
        <f ca="1">AND(NOW()&gt;=tbl_MTG_Set[[#This Row],[Heavy Printing Window Start]], NOW()&lt;=tbl_MTG_Set[[#This Row],[Heavy Printing Window End]])</f>
        <v>#VALUE!</v>
      </c>
      <c r="T221" t="str">
        <f>_xlfn.XLOOKUP(tbl_MTG_Set[[#This Row],[Type Name]], tbl_MTG_Set_Type[Set Type], tbl_MTG_Set_Type[Sell Window Month Start], "(Set Type not found)", 0, 1)</f>
        <v>(Set Type not found)</v>
      </c>
      <c r="U221" s="3" t="e">
        <f>tbl_MTG_Set[[#This Row],[Released On]]+tbl_MTG_Set[[#This Row],[Sell Window Month Start]]*365.25/12</f>
        <v>#VALUE!</v>
      </c>
      <c r="V221" t="str">
        <f>_xlfn.XLOOKUP(tbl_MTG_Set[[#This Row],[Type Name]], tbl_MTG_Set_Type[Set Type], tbl_MTG_Set_Type[Sell Window Month End], "(Set Type not found)", 0, 1)</f>
        <v>(Set Type not found)</v>
      </c>
      <c r="W221" s="3" t="e">
        <f>tbl_MTG_Set[[#This Row],[Released On]]+tbl_MTG_Set[[#This Row],[Sell Window Month End]]*365.25/12</f>
        <v>#VALUE!</v>
      </c>
      <c r="X221" s="3" t="e">
        <f ca="1">AND(NOW()&gt;=tbl_MTG_Set[[#This Row],[Sell Window Start]], NOW()&lt;=tbl_MTG_Set[[#This Row],[Sell Window End]])</f>
        <v>#VALUE!</v>
      </c>
      <c r="AG221" s="10"/>
      <c r="AH221" s="10"/>
      <c r="AM221" s="10" t="str" cm="1">
        <f t="array" ref="AM2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1" s="10" t="str" cm="1">
        <f t="array" ref="AN2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1" s="4" t="e">
        <f>_xlfn.XLOOKUP(tbl_MTG_Set[[#This Row],[Play Booster Box Product Id]], tbl_Product[Product Id], tbl_Product[Pack Size])</f>
        <v>#N/A</v>
      </c>
      <c r="AP221" s="10" t="e">
        <f>(tbl_MTG_Set[[#This Row],[Play Booster Box Cost]]+v_Item_Shipping_Cost_In)/tbl_MTG_Set[[#This Row],[Play Booster Box Size]]</f>
        <v>#VALUE!</v>
      </c>
      <c r="AQ221" s="10" t="str" cm="1">
        <f t="array" ref="AQ2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1" s="10"/>
      <c r="AS221" s="10"/>
      <c r="AT221" s="17" t="e">
        <f>tbl_MTG_Set[[#This Row],[Play Booster CardMarket Profit]]/tbl_MTG_Set[[#This Row],[Play Booster Cost]]</f>
        <v>#VALUE!</v>
      </c>
      <c r="AU221" s="10" t="e">
        <f>_xlfn.XLOOKUP(tbl_MTG_Set[[#This Row],[Collector Booster Box Product Id]], tbl_Product[Product Id], tbl_Product[Min Cost])</f>
        <v>#N/A</v>
      </c>
      <c r="AV221" s="10" t="e">
        <f>_xlfn.XLOOKUP(tbl_MTG_Set[[#This Row],[Collector Booster Box Product Id]], tbl_Product[Product Id], tbl_Product[Best Source])</f>
        <v>#N/A</v>
      </c>
      <c r="AW221" s="4" t="e">
        <f>_xlfn.XLOOKUP(tbl_MTG_Set[[#This Row],[Collector Booster Box Product Id]], tbl_Product[Product Id], tbl_Product[Pack Size])</f>
        <v>#N/A</v>
      </c>
      <c r="AX221" s="10" t="e">
        <f>(tbl_MTG_Set[[#This Row],[Collector Booster Box Cost]] + v_Item_Shipping_Cost_In) / tbl_MTG_Set[[#This Row],[Collector Booster Box Size]]</f>
        <v>#N/A</v>
      </c>
      <c r="AY221" s="10" t="str" cm="1">
        <f t="array" ref="AY2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1" s="10"/>
      <c r="BA2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1" s="17" t="e">
        <f>tbl_MTG_Set[[#This Row],[Collector Booster CardMarket Profit]]/tbl_MTG_Set[[#This Row],[Collector Booster Cost]]</f>
        <v>#N/A</v>
      </c>
      <c r="BC221" s="10"/>
      <c r="BF2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1" s="11" t="e">
        <f>tbl_MTG_Set[[#This Row],[Play Singles CardMarket Profit MTG Stocks]]/tbl_MTG_Set[[#This Row],[Play Booster Cost]]</f>
        <v>#VALUE!</v>
      </c>
      <c r="BI221" s="11" t="b">
        <f>tbl_MTG_Set[[#This Row],[Play Singles CardMarket Profit MTG Stocks]]&gt;0</f>
        <v>0</v>
      </c>
      <c r="BM221" s="10" t="e">
        <f>tbl_MTG_Set[[#This Row],[Play Booster Sell Price CardMarket]]*tbl_MTG_Set[[#This Row],[Play Booster Expected Market Value BotBox]]/tbl_MTG_Set[[#This Row],[Play Booster Sealed Market Value BotBox]]</f>
        <v>#VALUE!</v>
      </c>
      <c r="BN2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1" s="10" t="e">
        <f>tbl_MTG_Set[[#This Row],[Play Singles CardMarket Profit BotBox]]/tbl_MTG_Set[[#This Row],[Play Booster Cost]]</f>
        <v>#VALUE!</v>
      </c>
      <c r="BP221" s="10" t="b">
        <f>tbl_MTG_Set[[#This Row],[Play Singles CardMarket Profit BotBox]]&gt;0</f>
        <v>0</v>
      </c>
      <c r="BQ221" s="10"/>
      <c r="BR221" s="10"/>
      <c r="BS221" s="10"/>
      <c r="BT2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1" s="19" t="e">
        <f>tbl_MTG_Set[[#This Row],[Collector Singles CardMarket Profit MTG Stocks]]/tbl_MTG_Set[[#This Row],[Collector Booster Cost]]</f>
        <v>#N/A</v>
      </c>
      <c r="BW221" s="10" t="b">
        <f>tbl_MTG_Set[[#This Row],[Collector Singles CardMarket Profit MTG Stocks]]&gt;0</f>
        <v>0</v>
      </c>
      <c r="BX221" s="10"/>
      <c r="BY221" s="10"/>
      <c r="BZ2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1" s="10" t="e">
        <f>tbl_MTG_Set[[#This Row],[Collector Singles CardMarket Profit BotBox]]/tbl_MTG_Set[[#This Row],[Collector Booster Cost]]</f>
        <v>#N/A</v>
      </c>
      <c r="CC221" s="10" t="b">
        <f>tbl_MTG_Set[[#This Row],[Collector Singles CardMarket Profit BotBox]]&gt;0</f>
        <v>0</v>
      </c>
      <c r="CD2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2" spans="1:86" hidden="1">
      <c r="A222">
        <v>242</v>
      </c>
      <c r="B222" t="s">
        <v>395</v>
      </c>
      <c r="C222">
        <v>14</v>
      </c>
      <c r="D222" s="3">
        <v>44841</v>
      </c>
      <c r="F222" t="s">
        <v>174</v>
      </c>
      <c r="G222">
        <v>430</v>
      </c>
      <c r="H222">
        <f ca="1">MONTH(NOW())+12*YEAR(NOW())-MONTH(tbl_MTG_Set[[#This Row],[Released On]])-12*YEAR(tbl_MTG_Set[[#This Row],[Released On]])</f>
        <v>41</v>
      </c>
      <c r="I222" t="str">
        <f>_xlfn.XLOOKUP(tbl_MTG_Set[[#This Row],[Type Name]], tbl_MTG_Set_Type[Set Type], tbl_MTG_Set_Type[Index], "(Set Type not found)")</f>
        <v>(Set Type not found)</v>
      </c>
      <c r="J222" t="str">
        <f>_xlfn.XLOOKUP(tbl_MTG_Set[[#This Row],[Type Name]], tbl_MTG_Set_Type[Set Type], tbl_MTG_Set_Type[Buy Window Month Start], "(Set Type not found)")</f>
        <v>(Set Type not found)</v>
      </c>
      <c r="K222" s="3" t="e">
        <f>tbl_MTG_Set[[#This Row],[Released On]]+tbl_MTG_Set[[#This Row],[Buy Window Month Start]]*365.25/12</f>
        <v>#VALUE!</v>
      </c>
      <c r="L222" t="str">
        <f>_xlfn.XLOOKUP(tbl_MTG_Set[[#This Row],[Type Name]], tbl_MTG_Set_Type[Set Type], tbl_MTG_Set_Type[Buy Window Month End], "(Set Type not found)", 0, 1)</f>
        <v>(Set Type not found)</v>
      </c>
      <c r="M222" s="3" t="e">
        <f>tbl_MTG_Set[[#This Row],[Released On]]+tbl_MTG_Set[[#This Row],[Buy Window Month End]]*365.25/12</f>
        <v>#VALUE!</v>
      </c>
      <c r="N222" s="3" t="e">
        <f ca="1">AND(NOW()&gt;=tbl_MTG_Set[[#This Row],[Buy Window Start]], NOW()&lt;=tbl_MTG_Set[[#This Row],[Buy Window End]])</f>
        <v>#VALUE!</v>
      </c>
      <c r="O222" t="str">
        <f>_xlfn.XLOOKUP(tbl_MTG_Set[[#This Row],[Type Name]], tbl_MTG_Set_Type[Set Type], tbl_MTG_Set_Type[Heavy Printing Window Month Start], "(Set Type not found)", 0, 1)</f>
        <v>(Set Type not found)</v>
      </c>
      <c r="P222" s="3" t="e">
        <f>tbl_MTG_Set[[#This Row],[Released On]]+tbl_MTG_Set[[#This Row],[Heavy Printing Window Month Start]]*365.25/12</f>
        <v>#VALUE!</v>
      </c>
      <c r="Q222" t="str">
        <f>_xlfn.XLOOKUP(tbl_MTG_Set[[#This Row],[Type Name]], tbl_MTG_Set_Type[Set Type], tbl_MTG_Set_Type[Heavy Printing Window Month End], "(Set Type not found)", 0, 1)</f>
        <v>(Set Type not found)</v>
      </c>
      <c r="R222" s="3" t="e">
        <f>tbl_MTG_Set[[#This Row],[Released On]]+tbl_MTG_Set[[#This Row],[Heavy Printing Window Month End]]*365.25/12</f>
        <v>#VALUE!</v>
      </c>
      <c r="S222" s="3" t="e">
        <f ca="1">AND(NOW()&gt;=tbl_MTG_Set[[#This Row],[Heavy Printing Window Start]], NOW()&lt;=tbl_MTG_Set[[#This Row],[Heavy Printing Window End]])</f>
        <v>#VALUE!</v>
      </c>
      <c r="T222" t="str">
        <f>_xlfn.XLOOKUP(tbl_MTG_Set[[#This Row],[Type Name]], tbl_MTG_Set_Type[Set Type], tbl_MTG_Set_Type[Sell Window Month Start], "(Set Type not found)", 0, 1)</f>
        <v>(Set Type not found)</v>
      </c>
      <c r="U222" s="3" t="e">
        <f>tbl_MTG_Set[[#This Row],[Released On]]+tbl_MTG_Set[[#This Row],[Sell Window Month Start]]*365.25/12</f>
        <v>#VALUE!</v>
      </c>
      <c r="V222" t="str">
        <f>_xlfn.XLOOKUP(tbl_MTG_Set[[#This Row],[Type Name]], tbl_MTG_Set_Type[Set Type], tbl_MTG_Set_Type[Sell Window Month End], "(Set Type not found)", 0, 1)</f>
        <v>(Set Type not found)</v>
      </c>
      <c r="W222" s="3" t="e">
        <f>tbl_MTG_Set[[#This Row],[Released On]]+tbl_MTG_Set[[#This Row],[Sell Window Month End]]*365.25/12</f>
        <v>#VALUE!</v>
      </c>
      <c r="X222" s="3" t="e">
        <f ca="1">AND(NOW()&gt;=tbl_MTG_Set[[#This Row],[Sell Window Start]], NOW()&lt;=tbl_MTG_Set[[#This Row],[Sell Window End]])</f>
        <v>#VALUE!</v>
      </c>
      <c r="AG222" s="10"/>
      <c r="AH222" s="10"/>
      <c r="AM222" s="10" t="str" cm="1">
        <f t="array" ref="AM2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2" s="10" t="str" cm="1">
        <f t="array" ref="AN2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2" s="4" t="e">
        <f>_xlfn.XLOOKUP(tbl_MTG_Set[[#This Row],[Play Booster Box Product Id]], tbl_Product[Product Id], tbl_Product[Pack Size])</f>
        <v>#N/A</v>
      </c>
      <c r="AP222" s="10" t="e">
        <f>(tbl_MTG_Set[[#This Row],[Play Booster Box Cost]]+v_Item_Shipping_Cost_In)/tbl_MTG_Set[[#This Row],[Play Booster Box Size]]</f>
        <v>#VALUE!</v>
      </c>
      <c r="AQ222" s="10" t="str" cm="1">
        <f t="array" ref="AQ2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2" s="10"/>
      <c r="AS222" s="10"/>
      <c r="AT222" s="17" t="e">
        <f>tbl_MTG_Set[[#This Row],[Play Booster CardMarket Profit]]/tbl_MTG_Set[[#This Row],[Play Booster Cost]]</f>
        <v>#VALUE!</v>
      </c>
      <c r="AU222" s="10" t="e">
        <f>_xlfn.XLOOKUP(tbl_MTG_Set[[#This Row],[Collector Booster Box Product Id]], tbl_Product[Product Id], tbl_Product[Min Cost])</f>
        <v>#N/A</v>
      </c>
      <c r="AV222" s="10" t="e">
        <f>_xlfn.XLOOKUP(tbl_MTG_Set[[#This Row],[Collector Booster Box Product Id]], tbl_Product[Product Id], tbl_Product[Best Source])</f>
        <v>#N/A</v>
      </c>
      <c r="AW222" s="4" t="e">
        <f>_xlfn.XLOOKUP(tbl_MTG_Set[[#This Row],[Collector Booster Box Product Id]], tbl_Product[Product Id], tbl_Product[Pack Size])</f>
        <v>#N/A</v>
      </c>
      <c r="AX222" s="10" t="e">
        <f>(tbl_MTG_Set[[#This Row],[Collector Booster Box Cost]] + v_Item_Shipping_Cost_In) / tbl_MTG_Set[[#This Row],[Collector Booster Box Size]]</f>
        <v>#N/A</v>
      </c>
      <c r="AY222" s="10" t="str" cm="1">
        <f t="array" ref="AY2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2" s="10"/>
      <c r="BA2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2" s="17" t="e">
        <f>tbl_MTG_Set[[#This Row],[Collector Booster CardMarket Profit]]/tbl_MTG_Set[[#This Row],[Collector Booster Cost]]</f>
        <v>#N/A</v>
      </c>
      <c r="BC222" s="10"/>
      <c r="BF2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2" s="11" t="e">
        <f>tbl_MTG_Set[[#This Row],[Play Singles CardMarket Profit MTG Stocks]]/tbl_MTG_Set[[#This Row],[Play Booster Cost]]</f>
        <v>#VALUE!</v>
      </c>
      <c r="BI222" s="11" t="b">
        <f>tbl_MTG_Set[[#This Row],[Play Singles CardMarket Profit MTG Stocks]]&gt;0</f>
        <v>0</v>
      </c>
      <c r="BM222" s="10" t="e">
        <f>tbl_MTG_Set[[#This Row],[Play Booster Sell Price CardMarket]]*tbl_MTG_Set[[#This Row],[Play Booster Expected Market Value BotBox]]/tbl_MTG_Set[[#This Row],[Play Booster Sealed Market Value BotBox]]</f>
        <v>#VALUE!</v>
      </c>
      <c r="BN2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2" s="10" t="e">
        <f>tbl_MTG_Set[[#This Row],[Play Singles CardMarket Profit BotBox]]/tbl_MTG_Set[[#This Row],[Play Booster Cost]]</f>
        <v>#VALUE!</v>
      </c>
      <c r="BP222" s="10" t="b">
        <f>tbl_MTG_Set[[#This Row],[Play Singles CardMarket Profit BotBox]]&gt;0</f>
        <v>0</v>
      </c>
      <c r="BQ222" s="10"/>
      <c r="BR222" s="10"/>
      <c r="BS222" s="10"/>
      <c r="BT2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2" s="19" t="e">
        <f>tbl_MTG_Set[[#This Row],[Collector Singles CardMarket Profit MTG Stocks]]/tbl_MTG_Set[[#This Row],[Collector Booster Cost]]</f>
        <v>#N/A</v>
      </c>
      <c r="BW222" s="10" t="b">
        <f>tbl_MTG_Set[[#This Row],[Collector Singles CardMarket Profit MTG Stocks]]&gt;0</f>
        <v>0</v>
      </c>
      <c r="BX222" s="10"/>
      <c r="BY222" s="10"/>
      <c r="BZ2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2" s="10" t="e">
        <f>tbl_MTG_Set[[#This Row],[Collector Singles CardMarket Profit BotBox]]/tbl_MTG_Set[[#This Row],[Collector Booster Cost]]</f>
        <v>#N/A</v>
      </c>
      <c r="CC222" s="10" t="b">
        <f>tbl_MTG_Set[[#This Row],[Collector Singles CardMarket Profit BotBox]]&gt;0</f>
        <v>0</v>
      </c>
      <c r="CD2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3" spans="1:86" hidden="1">
      <c r="A223">
        <v>243</v>
      </c>
      <c r="B223" t="s">
        <v>396</v>
      </c>
      <c r="C223">
        <v>48</v>
      </c>
      <c r="D223" s="3">
        <v>44841</v>
      </c>
      <c r="F223" t="s">
        <v>174</v>
      </c>
      <c r="G223">
        <v>432</v>
      </c>
      <c r="H223">
        <f ca="1">MONTH(NOW())+12*YEAR(NOW())-MONTH(tbl_MTG_Set[[#This Row],[Released On]])-12*YEAR(tbl_MTG_Set[[#This Row],[Released On]])</f>
        <v>41</v>
      </c>
      <c r="I223" t="str">
        <f>_xlfn.XLOOKUP(tbl_MTG_Set[[#This Row],[Type Name]], tbl_MTG_Set_Type[Set Type], tbl_MTG_Set_Type[Index], "(Set Type not found)")</f>
        <v>(Set Type not found)</v>
      </c>
      <c r="J223" t="str">
        <f>_xlfn.XLOOKUP(tbl_MTG_Set[[#This Row],[Type Name]], tbl_MTG_Set_Type[Set Type], tbl_MTG_Set_Type[Buy Window Month Start], "(Set Type not found)")</f>
        <v>(Set Type not found)</v>
      </c>
      <c r="K223" s="3" t="e">
        <f>tbl_MTG_Set[[#This Row],[Released On]]+tbl_MTG_Set[[#This Row],[Buy Window Month Start]]*365.25/12</f>
        <v>#VALUE!</v>
      </c>
      <c r="L223" t="str">
        <f>_xlfn.XLOOKUP(tbl_MTG_Set[[#This Row],[Type Name]], tbl_MTG_Set_Type[Set Type], tbl_MTG_Set_Type[Buy Window Month End], "(Set Type not found)", 0, 1)</f>
        <v>(Set Type not found)</v>
      </c>
      <c r="M223" s="3" t="e">
        <f>tbl_MTG_Set[[#This Row],[Released On]]+tbl_MTG_Set[[#This Row],[Buy Window Month End]]*365.25/12</f>
        <v>#VALUE!</v>
      </c>
      <c r="N223" s="3" t="e">
        <f ca="1">AND(NOW()&gt;=tbl_MTG_Set[[#This Row],[Buy Window Start]], NOW()&lt;=tbl_MTG_Set[[#This Row],[Buy Window End]])</f>
        <v>#VALUE!</v>
      </c>
      <c r="O223" t="str">
        <f>_xlfn.XLOOKUP(tbl_MTG_Set[[#This Row],[Type Name]], tbl_MTG_Set_Type[Set Type], tbl_MTG_Set_Type[Heavy Printing Window Month Start], "(Set Type not found)", 0, 1)</f>
        <v>(Set Type not found)</v>
      </c>
      <c r="P223" s="3" t="e">
        <f>tbl_MTG_Set[[#This Row],[Released On]]+tbl_MTG_Set[[#This Row],[Heavy Printing Window Month Start]]*365.25/12</f>
        <v>#VALUE!</v>
      </c>
      <c r="Q223" t="str">
        <f>_xlfn.XLOOKUP(tbl_MTG_Set[[#This Row],[Type Name]], tbl_MTG_Set_Type[Set Type], tbl_MTG_Set_Type[Heavy Printing Window Month End], "(Set Type not found)", 0, 1)</f>
        <v>(Set Type not found)</v>
      </c>
      <c r="R223" s="3" t="e">
        <f>tbl_MTG_Set[[#This Row],[Released On]]+tbl_MTG_Set[[#This Row],[Heavy Printing Window Month End]]*365.25/12</f>
        <v>#VALUE!</v>
      </c>
      <c r="S223" s="3" t="e">
        <f ca="1">AND(NOW()&gt;=tbl_MTG_Set[[#This Row],[Heavy Printing Window Start]], NOW()&lt;=tbl_MTG_Set[[#This Row],[Heavy Printing Window End]])</f>
        <v>#VALUE!</v>
      </c>
      <c r="T223" t="str">
        <f>_xlfn.XLOOKUP(tbl_MTG_Set[[#This Row],[Type Name]], tbl_MTG_Set_Type[Set Type], tbl_MTG_Set_Type[Sell Window Month Start], "(Set Type not found)", 0, 1)</f>
        <v>(Set Type not found)</v>
      </c>
      <c r="U223" s="3" t="e">
        <f>tbl_MTG_Set[[#This Row],[Released On]]+tbl_MTG_Set[[#This Row],[Sell Window Month Start]]*365.25/12</f>
        <v>#VALUE!</v>
      </c>
      <c r="V223" t="str">
        <f>_xlfn.XLOOKUP(tbl_MTG_Set[[#This Row],[Type Name]], tbl_MTG_Set_Type[Set Type], tbl_MTG_Set_Type[Sell Window Month End], "(Set Type not found)", 0, 1)</f>
        <v>(Set Type not found)</v>
      </c>
      <c r="W223" s="3" t="e">
        <f>tbl_MTG_Set[[#This Row],[Released On]]+tbl_MTG_Set[[#This Row],[Sell Window Month End]]*365.25/12</f>
        <v>#VALUE!</v>
      </c>
      <c r="X223" s="3" t="e">
        <f ca="1">AND(NOW()&gt;=tbl_MTG_Set[[#This Row],[Sell Window Start]], NOW()&lt;=tbl_MTG_Set[[#This Row],[Sell Window End]])</f>
        <v>#VALUE!</v>
      </c>
      <c r="AG223" s="10"/>
      <c r="AH223" s="10"/>
      <c r="AM223" s="10" t="str" cm="1">
        <f t="array" ref="AM2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3" s="10" t="str" cm="1">
        <f t="array" ref="AN2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3" s="4" t="e">
        <f>_xlfn.XLOOKUP(tbl_MTG_Set[[#This Row],[Play Booster Box Product Id]], tbl_Product[Product Id], tbl_Product[Pack Size])</f>
        <v>#N/A</v>
      </c>
      <c r="AP223" s="10" t="e">
        <f>(tbl_MTG_Set[[#This Row],[Play Booster Box Cost]]+v_Item_Shipping_Cost_In)/tbl_MTG_Set[[#This Row],[Play Booster Box Size]]</f>
        <v>#VALUE!</v>
      </c>
      <c r="AQ223" s="10" t="str" cm="1">
        <f t="array" ref="AQ2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3" s="10"/>
      <c r="AS223" s="10"/>
      <c r="AT223" s="17" t="e">
        <f>tbl_MTG_Set[[#This Row],[Play Booster CardMarket Profit]]/tbl_MTG_Set[[#This Row],[Play Booster Cost]]</f>
        <v>#VALUE!</v>
      </c>
      <c r="AU223" s="10" t="e">
        <f>_xlfn.XLOOKUP(tbl_MTG_Set[[#This Row],[Collector Booster Box Product Id]], tbl_Product[Product Id], tbl_Product[Min Cost])</f>
        <v>#N/A</v>
      </c>
      <c r="AV223" s="10" t="e">
        <f>_xlfn.XLOOKUP(tbl_MTG_Set[[#This Row],[Collector Booster Box Product Id]], tbl_Product[Product Id], tbl_Product[Best Source])</f>
        <v>#N/A</v>
      </c>
      <c r="AW223" s="4" t="e">
        <f>_xlfn.XLOOKUP(tbl_MTG_Set[[#This Row],[Collector Booster Box Product Id]], tbl_Product[Product Id], tbl_Product[Pack Size])</f>
        <v>#N/A</v>
      </c>
      <c r="AX223" s="10" t="e">
        <f>(tbl_MTG_Set[[#This Row],[Collector Booster Box Cost]] + v_Item_Shipping_Cost_In) / tbl_MTG_Set[[#This Row],[Collector Booster Box Size]]</f>
        <v>#N/A</v>
      </c>
      <c r="AY223" s="10" t="str" cm="1">
        <f t="array" ref="AY2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3" s="10"/>
      <c r="BA2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3" s="17" t="e">
        <f>tbl_MTG_Set[[#This Row],[Collector Booster CardMarket Profit]]/tbl_MTG_Set[[#This Row],[Collector Booster Cost]]</f>
        <v>#N/A</v>
      </c>
      <c r="BC223" s="10"/>
      <c r="BF2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3" s="11" t="e">
        <f>tbl_MTG_Set[[#This Row],[Play Singles CardMarket Profit MTG Stocks]]/tbl_MTG_Set[[#This Row],[Play Booster Cost]]</f>
        <v>#VALUE!</v>
      </c>
      <c r="BI223" s="11" t="b">
        <f>tbl_MTG_Set[[#This Row],[Play Singles CardMarket Profit MTG Stocks]]&gt;0</f>
        <v>0</v>
      </c>
      <c r="BM223" s="10" t="e">
        <f>tbl_MTG_Set[[#This Row],[Play Booster Sell Price CardMarket]]*tbl_MTG_Set[[#This Row],[Play Booster Expected Market Value BotBox]]/tbl_MTG_Set[[#This Row],[Play Booster Sealed Market Value BotBox]]</f>
        <v>#VALUE!</v>
      </c>
      <c r="BN2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3" s="10" t="e">
        <f>tbl_MTG_Set[[#This Row],[Play Singles CardMarket Profit BotBox]]/tbl_MTG_Set[[#This Row],[Play Booster Cost]]</f>
        <v>#VALUE!</v>
      </c>
      <c r="BP223" s="10" t="b">
        <f>tbl_MTG_Set[[#This Row],[Play Singles CardMarket Profit BotBox]]&gt;0</f>
        <v>0</v>
      </c>
      <c r="BQ223" s="10"/>
      <c r="BR223" s="10"/>
      <c r="BS223" s="10"/>
      <c r="BT2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3" s="19" t="e">
        <f>tbl_MTG_Set[[#This Row],[Collector Singles CardMarket Profit MTG Stocks]]/tbl_MTG_Set[[#This Row],[Collector Booster Cost]]</f>
        <v>#N/A</v>
      </c>
      <c r="BW223" s="10" t="b">
        <f>tbl_MTG_Set[[#This Row],[Collector Singles CardMarket Profit MTG Stocks]]&gt;0</f>
        <v>0</v>
      </c>
      <c r="BX223" s="10"/>
      <c r="BY223" s="10"/>
      <c r="BZ2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3" s="10" t="e">
        <f>tbl_MTG_Set[[#This Row],[Collector Singles CardMarket Profit BotBox]]/tbl_MTG_Set[[#This Row],[Collector Booster Cost]]</f>
        <v>#N/A</v>
      </c>
      <c r="CC223" s="10" t="b">
        <f>tbl_MTG_Set[[#This Row],[Collector Singles CardMarket Profit BotBox]]&gt;0</f>
        <v>0</v>
      </c>
      <c r="CD2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4" spans="1:86" hidden="1">
      <c r="A224">
        <v>244</v>
      </c>
      <c r="B224" t="s">
        <v>397</v>
      </c>
      <c r="C224">
        <v>617</v>
      </c>
      <c r="D224" s="3">
        <v>44841</v>
      </c>
      <c r="E224" t="s">
        <v>86</v>
      </c>
      <c r="F224" t="s">
        <v>174</v>
      </c>
      <c r="G224">
        <v>434</v>
      </c>
      <c r="H224">
        <f ca="1">MONTH(NOW())+12*YEAR(NOW())-MONTH(tbl_MTG_Set[[#This Row],[Released On]])-12*YEAR(tbl_MTG_Set[[#This Row],[Released On]])</f>
        <v>41</v>
      </c>
      <c r="I224">
        <f>_xlfn.XLOOKUP(tbl_MTG_Set[[#This Row],[Type Name]], tbl_MTG_Set_Type[Set Type], tbl_MTG_Set_Type[Index], "(Set Type not found)")</f>
        <v>6</v>
      </c>
      <c r="J224">
        <f>_xlfn.XLOOKUP(tbl_MTG_Set[[#This Row],[Type Name]], tbl_MTG_Set_Type[Set Type], tbl_MTG_Set_Type[Buy Window Month Start], "(Set Type not found)")</f>
        <v>3</v>
      </c>
      <c r="K224" s="3">
        <f>tbl_MTG_Set[[#This Row],[Released On]]+tbl_MTG_Set[[#This Row],[Buy Window Month Start]]*365.25/12</f>
        <v>44932.3125</v>
      </c>
      <c r="L224">
        <f>_xlfn.XLOOKUP(tbl_MTG_Set[[#This Row],[Type Name]], tbl_MTG_Set_Type[Set Type], tbl_MTG_Set_Type[Buy Window Month End], "(Set Type not found)", 0, 1)</f>
        <v>6</v>
      </c>
      <c r="M224" s="3">
        <f>tbl_MTG_Set[[#This Row],[Released On]]+tbl_MTG_Set[[#This Row],[Buy Window Month End]]*365.25/12</f>
        <v>45023.625</v>
      </c>
      <c r="N224" s="3" t="b">
        <f ca="1">AND(NOW()&gt;=tbl_MTG_Set[[#This Row],[Buy Window Start]], NOW()&lt;=tbl_MTG_Set[[#This Row],[Buy Window End]])</f>
        <v>0</v>
      </c>
      <c r="O224">
        <f>_xlfn.XLOOKUP(tbl_MTG_Set[[#This Row],[Type Name]], tbl_MTG_Set_Type[Set Type], tbl_MTG_Set_Type[Heavy Printing Window Month Start], "(Set Type not found)", 0, 1)</f>
        <v>0</v>
      </c>
      <c r="P224" s="3">
        <f>tbl_MTG_Set[[#This Row],[Released On]]+tbl_MTG_Set[[#This Row],[Heavy Printing Window Month Start]]*365.25/12</f>
        <v>44841</v>
      </c>
      <c r="Q224">
        <f>_xlfn.XLOOKUP(tbl_MTG_Set[[#This Row],[Type Name]], tbl_MTG_Set_Type[Set Type], tbl_MTG_Set_Type[Heavy Printing Window Month End], "(Set Type not found)", 0, 1)</f>
        <v>0</v>
      </c>
      <c r="R224" s="3">
        <f>tbl_MTG_Set[[#This Row],[Released On]]+tbl_MTG_Set[[#This Row],[Heavy Printing Window Month End]]*365.25/12</f>
        <v>44841</v>
      </c>
      <c r="S224" s="3" t="b">
        <f ca="1">AND(NOW()&gt;=tbl_MTG_Set[[#This Row],[Heavy Printing Window Start]], NOW()&lt;=tbl_MTG_Set[[#This Row],[Heavy Printing Window End]])</f>
        <v>0</v>
      </c>
      <c r="T224">
        <f>_xlfn.XLOOKUP(tbl_MTG_Set[[#This Row],[Type Name]], tbl_MTG_Set_Type[Set Type], tbl_MTG_Set_Type[Sell Window Month Start], "(Set Type not found)", 0, 1)</f>
        <v>0</v>
      </c>
      <c r="U224" s="3">
        <f>tbl_MTG_Set[[#This Row],[Released On]]+tbl_MTG_Set[[#This Row],[Sell Window Month Start]]*365.25/12</f>
        <v>44841</v>
      </c>
      <c r="V224">
        <f>_xlfn.XLOOKUP(tbl_MTG_Set[[#This Row],[Type Name]], tbl_MTG_Set_Type[Set Type], tbl_MTG_Set_Type[Sell Window Month End], "(Set Type not found)", 0, 1)</f>
        <v>0</v>
      </c>
      <c r="W224" s="3">
        <f>tbl_MTG_Set[[#This Row],[Released On]]+tbl_MTG_Set[[#This Row],[Sell Window Month End]]*365.25/12</f>
        <v>44841</v>
      </c>
      <c r="X224" s="3" t="b">
        <f ca="1">AND(NOW()&gt;=tbl_MTG_Set[[#This Row],[Sell Window Start]], NOW()&lt;=tbl_MTG_Set[[#This Row],[Sell Window End]])</f>
        <v>0</v>
      </c>
      <c r="AG224" s="10"/>
      <c r="AH224" s="10"/>
      <c r="AM224" s="10" t="str" cm="1">
        <f t="array" ref="AM2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4" s="10" t="str" cm="1">
        <f t="array" ref="AN2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4" s="4" t="e">
        <f>_xlfn.XLOOKUP(tbl_MTG_Set[[#This Row],[Play Booster Box Product Id]], tbl_Product[Product Id], tbl_Product[Pack Size])</f>
        <v>#N/A</v>
      </c>
      <c r="AP224" s="10" t="e">
        <f>(tbl_MTG_Set[[#This Row],[Play Booster Box Cost]]+v_Item_Shipping_Cost_In)/tbl_MTG_Set[[#This Row],[Play Booster Box Size]]</f>
        <v>#VALUE!</v>
      </c>
      <c r="AQ224" s="10" t="str" cm="1">
        <f t="array" ref="AQ2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4" s="10"/>
      <c r="AS224" s="10"/>
      <c r="AT224" s="17" t="e">
        <f>tbl_MTG_Set[[#This Row],[Play Booster CardMarket Profit]]/tbl_MTG_Set[[#This Row],[Play Booster Cost]]</f>
        <v>#VALUE!</v>
      </c>
      <c r="AU224" s="10" t="e">
        <f>_xlfn.XLOOKUP(tbl_MTG_Set[[#This Row],[Collector Booster Box Product Id]], tbl_Product[Product Id], tbl_Product[Min Cost])</f>
        <v>#N/A</v>
      </c>
      <c r="AV224" s="10" t="e">
        <f>_xlfn.XLOOKUP(tbl_MTG_Set[[#This Row],[Collector Booster Box Product Id]], tbl_Product[Product Id], tbl_Product[Best Source])</f>
        <v>#N/A</v>
      </c>
      <c r="AW224" s="4" t="e">
        <f>_xlfn.XLOOKUP(tbl_MTG_Set[[#This Row],[Collector Booster Box Product Id]], tbl_Product[Product Id], tbl_Product[Pack Size])</f>
        <v>#N/A</v>
      </c>
      <c r="AX224" s="10" t="e">
        <f>(tbl_MTG_Set[[#This Row],[Collector Booster Box Cost]] + v_Item_Shipping_Cost_In) / tbl_MTG_Set[[#This Row],[Collector Booster Box Size]]</f>
        <v>#N/A</v>
      </c>
      <c r="AY224" s="10" t="str" cm="1">
        <f t="array" ref="AY2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4" s="10"/>
      <c r="BA2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4" s="17" t="e">
        <f>tbl_MTG_Set[[#This Row],[Collector Booster CardMarket Profit]]/tbl_MTG_Set[[#This Row],[Collector Booster Cost]]</f>
        <v>#N/A</v>
      </c>
      <c r="BC224" s="10"/>
      <c r="BF2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4" s="11" t="e">
        <f>tbl_MTG_Set[[#This Row],[Play Singles CardMarket Profit MTG Stocks]]/tbl_MTG_Set[[#This Row],[Play Booster Cost]]</f>
        <v>#VALUE!</v>
      </c>
      <c r="BI224" s="11" t="b">
        <f>tbl_MTG_Set[[#This Row],[Play Singles CardMarket Profit MTG Stocks]]&gt;0</f>
        <v>0</v>
      </c>
      <c r="BM224" s="10" t="e">
        <f>tbl_MTG_Set[[#This Row],[Play Booster Sell Price CardMarket]]*tbl_MTG_Set[[#This Row],[Play Booster Expected Market Value BotBox]]/tbl_MTG_Set[[#This Row],[Play Booster Sealed Market Value BotBox]]</f>
        <v>#VALUE!</v>
      </c>
      <c r="BN2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4" s="10" t="e">
        <f>tbl_MTG_Set[[#This Row],[Play Singles CardMarket Profit BotBox]]/tbl_MTG_Set[[#This Row],[Play Booster Cost]]</f>
        <v>#VALUE!</v>
      </c>
      <c r="BP224" s="10" t="b">
        <f>tbl_MTG_Set[[#This Row],[Play Singles CardMarket Profit BotBox]]&gt;0</f>
        <v>0</v>
      </c>
      <c r="BQ224" s="10"/>
      <c r="BR224" s="10"/>
      <c r="BS224" s="10"/>
      <c r="BT2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4" s="19" t="e">
        <f>tbl_MTG_Set[[#This Row],[Collector Singles CardMarket Profit MTG Stocks]]/tbl_MTG_Set[[#This Row],[Collector Booster Cost]]</f>
        <v>#N/A</v>
      </c>
      <c r="BW224" s="10" t="b">
        <f>tbl_MTG_Set[[#This Row],[Collector Singles CardMarket Profit MTG Stocks]]&gt;0</f>
        <v>0</v>
      </c>
      <c r="BX224" s="10"/>
      <c r="BY224" s="10"/>
      <c r="BZ2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4" s="10" t="e">
        <f>tbl_MTG_Set[[#This Row],[Collector Singles CardMarket Profit BotBox]]/tbl_MTG_Set[[#This Row],[Collector Booster Cost]]</f>
        <v>#N/A</v>
      </c>
      <c r="CC224" s="10" t="b">
        <f>tbl_MTG_Set[[#This Row],[Collector Singles CardMarket Profit BotBox]]&gt;0</f>
        <v>0</v>
      </c>
      <c r="CD2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5" spans="1:86" hidden="1">
      <c r="A225">
        <v>245</v>
      </c>
      <c r="B225" t="s">
        <v>398</v>
      </c>
      <c r="C225">
        <v>31</v>
      </c>
      <c r="D225" s="3">
        <v>44841</v>
      </c>
      <c r="E225" t="s">
        <v>86</v>
      </c>
      <c r="F225" t="s">
        <v>174</v>
      </c>
      <c r="G225">
        <v>436</v>
      </c>
      <c r="H225">
        <f ca="1">MONTH(NOW())+12*YEAR(NOW())-MONTH(tbl_MTG_Set[[#This Row],[Released On]])-12*YEAR(tbl_MTG_Set[[#This Row],[Released On]])</f>
        <v>41</v>
      </c>
      <c r="I225">
        <f>_xlfn.XLOOKUP(tbl_MTG_Set[[#This Row],[Type Name]], tbl_MTG_Set_Type[Set Type], tbl_MTG_Set_Type[Index], "(Set Type not found)")</f>
        <v>6</v>
      </c>
      <c r="J225">
        <f>_xlfn.XLOOKUP(tbl_MTG_Set[[#This Row],[Type Name]], tbl_MTG_Set_Type[Set Type], tbl_MTG_Set_Type[Buy Window Month Start], "(Set Type not found)")</f>
        <v>3</v>
      </c>
      <c r="K225" s="3">
        <f>tbl_MTG_Set[[#This Row],[Released On]]+tbl_MTG_Set[[#This Row],[Buy Window Month Start]]*365.25/12</f>
        <v>44932.3125</v>
      </c>
      <c r="L225">
        <f>_xlfn.XLOOKUP(tbl_MTG_Set[[#This Row],[Type Name]], tbl_MTG_Set_Type[Set Type], tbl_MTG_Set_Type[Buy Window Month End], "(Set Type not found)", 0, 1)</f>
        <v>6</v>
      </c>
      <c r="M225" s="3">
        <f>tbl_MTG_Set[[#This Row],[Released On]]+tbl_MTG_Set[[#This Row],[Buy Window Month End]]*365.25/12</f>
        <v>45023.625</v>
      </c>
      <c r="N225" s="3" t="b">
        <f ca="1">AND(NOW()&gt;=tbl_MTG_Set[[#This Row],[Buy Window Start]], NOW()&lt;=tbl_MTG_Set[[#This Row],[Buy Window End]])</f>
        <v>0</v>
      </c>
      <c r="O225">
        <f>_xlfn.XLOOKUP(tbl_MTG_Set[[#This Row],[Type Name]], tbl_MTG_Set_Type[Set Type], tbl_MTG_Set_Type[Heavy Printing Window Month Start], "(Set Type not found)", 0, 1)</f>
        <v>0</v>
      </c>
      <c r="P225" s="3">
        <f>tbl_MTG_Set[[#This Row],[Released On]]+tbl_MTG_Set[[#This Row],[Heavy Printing Window Month Start]]*365.25/12</f>
        <v>44841</v>
      </c>
      <c r="Q225">
        <f>_xlfn.XLOOKUP(tbl_MTG_Set[[#This Row],[Type Name]], tbl_MTG_Set_Type[Set Type], tbl_MTG_Set_Type[Heavy Printing Window Month End], "(Set Type not found)", 0, 1)</f>
        <v>0</v>
      </c>
      <c r="R225" s="3">
        <f>tbl_MTG_Set[[#This Row],[Released On]]+tbl_MTG_Set[[#This Row],[Heavy Printing Window Month End]]*365.25/12</f>
        <v>44841</v>
      </c>
      <c r="S225" s="3" t="b">
        <f ca="1">AND(NOW()&gt;=tbl_MTG_Set[[#This Row],[Heavy Printing Window Start]], NOW()&lt;=tbl_MTG_Set[[#This Row],[Heavy Printing Window End]])</f>
        <v>0</v>
      </c>
      <c r="T225">
        <f>_xlfn.XLOOKUP(tbl_MTG_Set[[#This Row],[Type Name]], tbl_MTG_Set_Type[Set Type], tbl_MTG_Set_Type[Sell Window Month Start], "(Set Type not found)", 0, 1)</f>
        <v>0</v>
      </c>
      <c r="U225" s="3">
        <f>tbl_MTG_Set[[#This Row],[Released On]]+tbl_MTG_Set[[#This Row],[Sell Window Month Start]]*365.25/12</f>
        <v>44841</v>
      </c>
      <c r="V225">
        <f>_xlfn.XLOOKUP(tbl_MTG_Set[[#This Row],[Type Name]], tbl_MTG_Set_Type[Set Type], tbl_MTG_Set_Type[Sell Window Month End], "(Set Type not found)", 0, 1)</f>
        <v>0</v>
      </c>
      <c r="W225" s="3">
        <f>tbl_MTG_Set[[#This Row],[Released On]]+tbl_MTG_Set[[#This Row],[Sell Window Month End]]*365.25/12</f>
        <v>44841</v>
      </c>
      <c r="X225" s="3" t="b">
        <f ca="1">AND(NOW()&gt;=tbl_MTG_Set[[#This Row],[Sell Window Start]], NOW()&lt;=tbl_MTG_Set[[#This Row],[Sell Window End]])</f>
        <v>0</v>
      </c>
      <c r="AG225" s="10"/>
      <c r="AH225" s="10"/>
      <c r="AM225" s="10" t="str" cm="1">
        <f t="array" ref="AM2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5" s="10" t="str" cm="1">
        <f t="array" ref="AN2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5" s="4" t="e">
        <f>_xlfn.XLOOKUP(tbl_MTG_Set[[#This Row],[Play Booster Box Product Id]], tbl_Product[Product Id], tbl_Product[Pack Size])</f>
        <v>#N/A</v>
      </c>
      <c r="AP225" s="10" t="e">
        <f>(tbl_MTG_Set[[#This Row],[Play Booster Box Cost]]+v_Item_Shipping_Cost_In)/tbl_MTG_Set[[#This Row],[Play Booster Box Size]]</f>
        <v>#VALUE!</v>
      </c>
      <c r="AQ225" s="10" t="str" cm="1">
        <f t="array" ref="AQ2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5" s="10"/>
      <c r="AS225" s="10"/>
      <c r="AT225" s="17" t="e">
        <f>tbl_MTG_Set[[#This Row],[Play Booster CardMarket Profit]]/tbl_MTG_Set[[#This Row],[Play Booster Cost]]</f>
        <v>#VALUE!</v>
      </c>
      <c r="AU225" s="10" t="e">
        <f>_xlfn.XLOOKUP(tbl_MTG_Set[[#This Row],[Collector Booster Box Product Id]], tbl_Product[Product Id], tbl_Product[Min Cost])</f>
        <v>#N/A</v>
      </c>
      <c r="AV225" s="10" t="e">
        <f>_xlfn.XLOOKUP(tbl_MTG_Set[[#This Row],[Collector Booster Box Product Id]], tbl_Product[Product Id], tbl_Product[Best Source])</f>
        <v>#N/A</v>
      </c>
      <c r="AW225" s="4" t="e">
        <f>_xlfn.XLOOKUP(tbl_MTG_Set[[#This Row],[Collector Booster Box Product Id]], tbl_Product[Product Id], tbl_Product[Pack Size])</f>
        <v>#N/A</v>
      </c>
      <c r="AX225" s="10" t="e">
        <f>(tbl_MTG_Set[[#This Row],[Collector Booster Box Cost]] + v_Item_Shipping_Cost_In) / tbl_MTG_Set[[#This Row],[Collector Booster Box Size]]</f>
        <v>#N/A</v>
      </c>
      <c r="AY225" s="10" t="str" cm="1">
        <f t="array" ref="AY2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5" s="10"/>
      <c r="BA2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5" s="17" t="e">
        <f>tbl_MTG_Set[[#This Row],[Collector Booster CardMarket Profit]]/tbl_MTG_Set[[#This Row],[Collector Booster Cost]]</f>
        <v>#N/A</v>
      </c>
      <c r="BC225" s="10"/>
      <c r="BF2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5" s="11" t="e">
        <f>tbl_MTG_Set[[#This Row],[Play Singles CardMarket Profit MTG Stocks]]/tbl_MTG_Set[[#This Row],[Play Booster Cost]]</f>
        <v>#VALUE!</v>
      </c>
      <c r="BI225" s="11" t="b">
        <f>tbl_MTG_Set[[#This Row],[Play Singles CardMarket Profit MTG Stocks]]&gt;0</f>
        <v>0</v>
      </c>
      <c r="BM225" s="10" t="e">
        <f>tbl_MTG_Set[[#This Row],[Play Booster Sell Price CardMarket]]*tbl_MTG_Set[[#This Row],[Play Booster Expected Market Value BotBox]]/tbl_MTG_Set[[#This Row],[Play Booster Sealed Market Value BotBox]]</f>
        <v>#VALUE!</v>
      </c>
      <c r="BN2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5" s="10" t="e">
        <f>tbl_MTG_Set[[#This Row],[Play Singles CardMarket Profit BotBox]]/tbl_MTG_Set[[#This Row],[Play Booster Cost]]</f>
        <v>#VALUE!</v>
      </c>
      <c r="BP225" s="10" t="b">
        <f>tbl_MTG_Set[[#This Row],[Play Singles CardMarket Profit BotBox]]&gt;0</f>
        <v>0</v>
      </c>
      <c r="BQ225" s="10"/>
      <c r="BR225" s="10"/>
      <c r="BS225" s="10"/>
      <c r="BT2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5" s="19" t="e">
        <f>tbl_MTG_Set[[#This Row],[Collector Singles CardMarket Profit MTG Stocks]]/tbl_MTG_Set[[#This Row],[Collector Booster Cost]]</f>
        <v>#N/A</v>
      </c>
      <c r="BW225" s="10" t="b">
        <f>tbl_MTG_Set[[#This Row],[Collector Singles CardMarket Profit MTG Stocks]]&gt;0</f>
        <v>0</v>
      </c>
      <c r="BX225" s="10"/>
      <c r="BY225" s="10"/>
      <c r="BZ2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5" s="10" t="e">
        <f>tbl_MTG_Set[[#This Row],[Collector Singles CardMarket Profit BotBox]]/tbl_MTG_Set[[#This Row],[Collector Booster Cost]]</f>
        <v>#N/A</v>
      </c>
      <c r="CC225" s="10" t="b">
        <f>tbl_MTG_Set[[#This Row],[Collector Singles CardMarket Profit BotBox]]&gt;0</f>
        <v>0</v>
      </c>
      <c r="CD2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6" spans="1:86" hidden="1">
      <c r="A226">
        <v>246</v>
      </c>
      <c r="B226" t="s">
        <v>399</v>
      </c>
      <c r="C226">
        <v>3</v>
      </c>
      <c r="D226" s="3">
        <v>44835</v>
      </c>
      <c r="F226" t="s">
        <v>174</v>
      </c>
      <c r="G226">
        <v>438</v>
      </c>
      <c r="H226">
        <f ca="1">MONTH(NOW())+12*YEAR(NOW())-MONTH(tbl_MTG_Set[[#This Row],[Released On]])-12*YEAR(tbl_MTG_Set[[#This Row],[Released On]])</f>
        <v>41</v>
      </c>
      <c r="I226" t="str">
        <f>_xlfn.XLOOKUP(tbl_MTG_Set[[#This Row],[Type Name]], tbl_MTG_Set_Type[Set Type], tbl_MTG_Set_Type[Index], "(Set Type not found)")</f>
        <v>(Set Type not found)</v>
      </c>
      <c r="J226" t="str">
        <f>_xlfn.XLOOKUP(tbl_MTG_Set[[#This Row],[Type Name]], tbl_MTG_Set_Type[Set Type], tbl_MTG_Set_Type[Buy Window Month Start], "(Set Type not found)")</f>
        <v>(Set Type not found)</v>
      </c>
      <c r="K226" s="3" t="e">
        <f>tbl_MTG_Set[[#This Row],[Released On]]+tbl_MTG_Set[[#This Row],[Buy Window Month Start]]*365.25/12</f>
        <v>#VALUE!</v>
      </c>
      <c r="L226" t="str">
        <f>_xlfn.XLOOKUP(tbl_MTG_Set[[#This Row],[Type Name]], tbl_MTG_Set_Type[Set Type], tbl_MTG_Set_Type[Buy Window Month End], "(Set Type not found)", 0, 1)</f>
        <v>(Set Type not found)</v>
      </c>
      <c r="M226" s="3" t="e">
        <f>tbl_MTG_Set[[#This Row],[Released On]]+tbl_MTG_Set[[#This Row],[Buy Window Month End]]*365.25/12</f>
        <v>#VALUE!</v>
      </c>
      <c r="N226" s="3" t="e">
        <f ca="1">AND(NOW()&gt;=tbl_MTG_Set[[#This Row],[Buy Window Start]], NOW()&lt;=tbl_MTG_Set[[#This Row],[Buy Window End]])</f>
        <v>#VALUE!</v>
      </c>
      <c r="O226" t="str">
        <f>_xlfn.XLOOKUP(tbl_MTG_Set[[#This Row],[Type Name]], tbl_MTG_Set_Type[Set Type], tbl_MTG_Set_Type[Heavy Printing Window Month Start], "(Set Type not found)", 0, 1)</f>
        <v>(Set Type not found)</v>
      </c>
      <c r="P226" s="3" t="e">
        <f>tbl_MTG_Set[[#This Row],[Released On]]+tbl_MTG_Set[[#This Row],[Heavy Printing Window Month Start]]*365.25/12</f>
        <v>#VALUE!</v>
      </c>
      <c r="Q226" t="str">
        <f>_xlfn.XLOOKUP(tbl_MTG_Set[[#This Row],[Type Name]], tbl_MTG_Set_Type[Set Type], tbl_MTG_Set_Type[Heavy Printing Window Month End], "(Set Type not found)", 0, 1)</f>
        <v>(Set Type not found)</v>
      </c>
      <c r="R226" s="3" t="e">
        <f>tbl_MTG_Set[[#This Row],[Released On]]+tbl_MTG_Set[[#This Row],[Heavy Printing Window Month End]]*365.25/12</f>
        <v>#VALUE!</v>
      </c>
      <c r="S226" s="3" t="e">
        <f ca="1">AND(NOW()&gt;=tbl_MTG_Set[[#This Row],[Heavy Printing Window Start]], NOW()&lt;=tbl_MTG_Set[[#This Row],[Heavy Printing Window End]])</f>
        <v>#VALUE!</v>
      </c>
      <c r="T226" t="str">
        <f>_xlfn.XLOOKUP(tbl_MTG_Set[[#This Row],[Type Name]], tbl_MTG_Set_Type[Set Type], tbl_MTG_Set_Type[Sell Window Month Start], "(Set Type not found)", 0, 1)</f>
        <v>(Set Type not found)</v>
      </c>
      <c r="U226" s="3" t="e">
        <f>tbl_MTG_Set[[#This Row],[Released On]]+tbl_MTG_Set[[#This Row],[Sell Window Month Start]]*365.25/12</f>
        <v>#VALUE!</v>
      </c>
      <c r="V226" t="str">
        <f>_xlfn.XLOOKUP(tbl_MTG_Set[[#This Row],[Type Name]], tbl_MTG_Set_Type[Set Type], tbl_MTG_Set_Type[Sell Window Month End], "(Set Type not found)", 0, 1)</f>
        <v>(Set Type not found)</v>
      </c>
      <c r="W226" s="3" t="e">
        <f>tbl_MTG_Set[[#This Row],[Released On]]+tbl_MTG_Set[[#This Row],[Sell Window Month End]]*365.25/12</f>
        <v>#VALUE!</v>
      </c>
      <c r="X226" s="3" t="e">
        <f ca="1">AND(NOW()&gt;=tbl_MTG_Set[[#This Row],[Sell Window Start]], NOW()&lt;=tbl_MTG_Set[[#This Row],[Sell Window End]])</f>
        <v>#VALUE!</v>
      </c>
      <c r="AG226" s="10"/>
      <c r="AH226" s="10"/>
      <c r="AM226" s="10" t="str" cm="1">
        <f t="array" ref="AM2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6" s="10" t="str" cm="1">
        <f t="array" ref="AN2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6" s="4" t="e">
        <f>_xlfn.XLOOKUP(tbl_MTG_Set[[#This Row],[Play Booster Box Product Id]], tbl_Product[Product Id], tbl_Product[Pack Size])</f>
        <v>#N/A</v>
      </c>
      <c r="AP226" s="10" t="e">
        <f>(tbl_MTG_Set[[#This Row],[Play Booster Box Cost]]+v_Item_Shipping_Cost_In)/tbl_MTG_Set[[#This Row],[Play Booster Box Size]]</f>
        <v>#VALUE!</v>
      </c>
      <c r="AQ226" s="10" t="str" cm="1">
        <f t="array" ref="AQ2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6" s="10"/>
      <c r="AS226" s="10"/>
      <c r="AT226" s="17" t="e">
        <f>tbl_MTG_Set[[#This Row],[Play Booster CardMarket Profit]]/tbl_MTG_Set[[#This Row],[Play Booster Cost]]</f>
        <v>#VALUE!</v>
      </c>
      <c r="AU226" s="10" t="e">
        <f>_xlfn.XLOOKUP(tbl_MTG_Set[[#This Row],[Collector Booster Box Product Id]], tbl_Product[Product Id], tbl_Product[Min Cost])</f>
        <v>#N/A</v>
      </c>
      <c r="AV226" s="10" t="e">
        <f>_xlfn.XLOOKUP(tbl_MTG_Set[[#This Row],[Collector Booster Box Product Id]], tbl_Product[Product Id], tbl_Product[Best Source])</f>
        <v>#N/A</v>
      </c>
      <c r="AW226" s="4" t="e">
        <f>_xlfn.XLOOKUP(tbl_MTG_Set[[#This Row],[Collector Booster Box Product Id]], tbl_Product[Product Id], tbl_Product[Pack Size])</f>
        <v>#N/A</v>
      </c>
      <c r="AX226" s="10" t="e">
        <f>(tbl_MTG_Set[[#This Row],[Collector Booster Box Cost]] + v_Item_Shipping_Cost_In) / tbl_MTG_Set[[#This Row],[Collector Booster Box Size]]</f>
        <v>#N/A</v>
      </c>
      <c r="AY226" s="10" t="str" cm="1">
        <f t="array" ref="AY2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6" s="10"/>
      <c r="BA2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6" s="17" t="e">
        <f>tbl_MTG_Set[[#This Row],[Collector Booster CardMarket Profit]]/tbl_MTG_Set[[#This Row],[Collector Booster Cost]]</f>
        <v>#N/A</v>
      </c>
      <c r="BC226" s="10"/>
      <c r="BF2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6" s="11" t="e">
        <f>tbl_MTG_Set[[#This Row],[Play Singles CardMarket Profit MTG Stocks]]/tbl_MTG_Set[[#This Row],[Play Booster Cost]]</f>
        <v>#VALUE!</v>
      </c>
      <c r="BI226" s="11" t="b">
        <f>tbl_MTG_Set[[#This Row],[Play Singles CardMarket Profit MTG Stocks]]&gt;0</f>
        <v>0</v>
      </c>
      <c r="BM226" s="10" t="e">
        <f>tbl_MTG_Set[[#This Row],[Play Booster Sell Price CardMarket]]*tbl_MTG_Set[[#This Row],[Play Booster Expected Market Value BotBox]]/tbl_MTG_Set[[#This Row],[Play Booster Sealed Market Value BotBox]]</f>
        <v>#VALUE!</v>
      </c>
      <c r="BN2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6" s="10" t="e">
        <f>tbl_MTG_Set[[#This Row],[Play Singles CardMarket Profit BotBox]]/tbl_MTG_Set[[#This Row],[Play Booster Cost]]</f>
        <v>#VALUE!</v>
      </c>
      <c r="BP226" s="10" t="b">
        <f>tbl_MTG_Set[[#This Row],[Play Singles CardMarket Profit BotBox]]&gt;0</f>
        <v>0</v>
      </c>
      <c r="BQ226" s="10"/>
      <c r="BR226" s="10"/>
      <c r="BS226" s="10"/>
      <c r="BT2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6" s="19" t="e">
        <f>tbl_MTG_Set[[#This Row],[Collector Singles CardMarket Profit MTG Stocks]]/tbl_MTG_Set[[#This Row],[Collector Booster Cost]]</f>
        <v>#N/A</v>
      </c>
      <c r="BW226" s="10" t="b">
        <f>tbl_MTG_Set[[#This Row],[Collector Singles CardMarket Profit MTG Stocks]]&gt;0</f>
        <v>0</v>
      </c>
      <c r="BX226" s="10"/>
      <c r="BY226" s="10"/>
      <c r="BZ2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6" s="10" t="e">
        <f>tbl_MTG_Set[[#This Row],[Collector Singles CardMarket Profit BotBox]]/tbl_MTG_Set[[#This Row],[Collector Booster Cost]]</f>
        <v>#N/A</v>
      </c>
      <c r="CC226" s="10" t="b">
        <f>tbl_MTG_Set[[#This Row],[Collector Singles CardMarket Profit BotBox]]&gt;0</f>
        <v>0</v>
      </c>
      <c r="CD2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7" spans="1:86" hidden="1">
      <c r="A227">
        <v>248</v>
      </c>
      <c r="B227" t="s">
        <v>400</v>
      </c>
      <c r="C227">
        <v>161</v>
      </c>
      <c r="D227" s="3">
        <v>44813</v>
      </c>
      <c r="E227" t="s">
        <v>59</v>
      </c>
      <c r="F227" t="s">
        <v>174</v>
      </c>
      <c r="G227">
        <v>442</v>
      </c>
      <c r="H227">
        <f ca="1">MONTH(NOW())+12*YEAR(NOW())-MONTH(tbl_MTG_Set[[#This Row],[Released On]])-12*YEAR(tbl_MTG_Set[[#This Row],[Released On]])</f>
        <v>42</v>
      </c>
      <c r="I227">
        <f>_xlfn.XLOOKUP(tbl_MTG_Set[[#This Row],[Type Name]], tbl_MTG_Set_Type[Set Type], tbl_MTG_Set_Type[Index], "(Set Type not found)")</f>
        <v>1</v>
      </c>
      <c r="J227">
        <f>_xlfn.XLOOKUP(tbl_MTG_Set[[#This Row],[Type Name]], tbl_MTG_Set_Type[Set Type], tbl_MTG_Set_Type[Buy Window Month Start], "(Set Type not found)")</f>
        <v>18</v>
      </c>
      <c r="K227" s="3">
        <f>tbl_MTG_Set[[#This Row],[Released On]]+tbl_MTG_Set[[#This Row],[Buy Window Month Start]]*365.25/12</f>
        <v>45360.875</v>
      </c>
      <c r="L227">
        <f>_xlfn.XLOOKUP(tbl_MTG_Set[[#This Row],[Type Name]], tbl_MTG_Set_Type[Set Type], tbl_MTG_Set_Type[Buy Window Month End], "(Set Type not found)", 0, 1)</f>
        <v>24</v>
      </c>
      <c r="M227" s="3">
        <f>tbl_MTG_Set[[#This Row],[Released On]]+tbl_MTG_Set[[#This Row],[Buy Window Month End]]*365.25/12</f>
        <v>45543.5</v>
      </c>
      <c r="N227" s="3" t="b">
        <f ca="1">AND(NOW()&gt;=tbl_MTG_Set[[#This Row],[Buy Window Start]], NOW()&lt;=tbl_MTG_Set[[#This Row],[Buy Window End]])</f>
        <v>0</v>
      </c>
      <c r="O227">
        <f>_xlfn.XLOOKUP(tbl_MTG_Set[[#This Row],[Type Name]], tbl_MTG_Set_Type[Set Type], tbl_MTG_Set_Type[Heavy Printing Window Month Start], "(Set Type not found)", 0, 1)</f>
        <v>1</v>
      </c>
      <c r="P227" s="3">
        <f>tbl_MTG_Set[[#This Row],[Released On]]+tbl_MTG_Set[[#This Row],[Heavy Printing Window Month Start]]*365.25/12</f>
        <v>44843.4375</v>
      </c>
      <c r="Q227">
        <f>_xlfn.XLOOKUP(tbl_MTG_Set[[#This Row],[Type Name]], tbl_MTG_Set_Type[Set Type], tbl_MTG_Set_Type[Heavy Printing Window Month End], "(Set Type not found)", 0, 1)</f>
        <v>18</v>
      </c>
      <c r="R227" s="3">
        <f>tbl_MTG_Set[[#This Row],[Released On]]+tbl_MTG_Set[[#This Row],[Heavy Printing Window Month End]]*365.25/12</f>
        <v>45360.875</v>
      </c>
      <c r="S227" s="3" t="b">
        <f ca="1">AND(NOW()&gt;=tbl_MTG_Set[[#This Row],[Heavy Printing Window Start]], NOW()&lt;=tbl_MTG_Set[[#This Row],[Heavy Printing Window End]])</f>
        <v>0</v>
      </c>
      <c r="T227">
        <f>_xlfn.XLOOKUP(tbl_MTG_Set[[#This Row],[Type Name]], tbl_MTG_Set_Type[Set Type], tbl_MTG_Set_Type[Sell Window Month Start], "(Set Type not found)", 0, 1)</f>
        <v>36</v>
      </c>
      <c r="U227" s="3">
        <f>tbl_MTG_Set[[#This Row],[Released On]]+tbl_MTG_Set[[#This Row],[Sell Window Month Start]]*365.25/12</f>
        <v>45908.75</v>
      </c>
      <c r="V227">
        <f>_xlfn.XLOOKUP(tbl_MTG_Set[[#This Row],[Type Name]], tbl_MTG_Set_Type[Set Type], tbl_MTG_Set_Type[Sell Window Month End], "(Set Type not found)", 0, 1)</f>
        <v>48</v>
      </c>
      <c r="W227" s="3">
        <f>tbl_MTG_Set[[#This Row],[Released On]]+tbl_MTG_Set[[#This Row],[Sell Window Month End]]*365.25/12</f>
        <v>46274</v>
      </c>
      <c r="X227" s="3" t="b">
        <f ca="1">AND(NOW()&gt;=tbl_MTG_Set[[#This Row],[Sell Window Start]], NOW()&lt;=tbl_MTG_Set[[#This Row],[Sell Window End]])</f>
        <v>1</v>
      </c>
      <c r="AG227" s="10"/>
      <c r="AH227" s="10"/>
      <c r="AM227" s="10" t="str" cm="1">
        <f t="array" ref="AM2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7" s="10" t="str" cm="1">
        <f t="array" ref="AN2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7" s="4" t="e">
        <f>_xlfn.XLOOKUP(tbl_MTG_Set[[#This Row],[Play Booster Box Product Id]], tbl_Product[Product Id], tbl_Product[Pack Size])</f>
        <v>#N/A</v>
      </c>
      <c r="AP227" s="10" t="e">
        <f>(tbl_MTG_Set[[#This Row],[Play Booster Box Cost]]+v_Item_Shipping_Cost_In)/tbl_MTG_Set[[#This Row],[Play Booster Box Size]]</f>
        <v>#VALUE!</v>
      </c>
      <c r="AQ227" s="10" t="str" cm="1">
        <f t="array" ref="AQ2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7" s="10"/>
      <c r="AS227" s="10"/>
      <c r="AT227" s="17" t="e">
        <f>tbl_MTG_Set[[#This Row],[Play Booster CardMarket Profit]]/tbl_MTG_Set[[#This Row],[Play Booster Cost]]</f>
        <v>#VALUE!</v>
      </c>
      <c r="AU227" s="10" t="e">
        <f>_xlfn.XLOOKUP(tbl_MTG_Set[[#This Row],[Collector Booster Box Product Id]], tbl_Product[Product Id], tbl_Product[Min Cost])</f>
        <v>#N/A</v>
      </c>
      <c r="AV227" s="10" t="e">
        <f>_xlfn.XLOOKUP(tbl_MTG_Set[[#This Row],[Collector Booster Box Product Id]], tbl_Product[Product Id], tbl_Product[Best Source])</f>
        <v>#N/A</v>
      </c>
      <c r="AW227" s="4" t="e">
        <f>_xlfn.XLOOKUP(tbl_MTG_Set[[#This Row],[Collector Booster Box Product Id]], tbl_Product[Product Id], tbl_Product[Pack Size])</f>
        <v>#N/A</v>
      </c>
      <c r="AX227" s="10" t="e">
        <f>(tbl_MTG_Set[[#This Row],[Collector Booster Box Cost]] + v_Item_Shipping_Cost_In) / tbl_MTG_Set[[#This Row],[Collector Booster Box Size]]</f>
        <v>#N/A</v>
      </c>
      <c r="AY227" s="10" t="str" cm="1">
        <f t="array" ref="AY2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7" s="10"/>
      <c r="BA2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7" s="17" t="e">
        <f>tbl_MTG_Set[[#This Row],[Collector Booster CardMarket Profit]]/tbl_MTG_Set[[#This Row],[Collector Booster Cost]]</f>
        <v>#N/A</v>
      </c>
      <c r="BC227" s="10"/>
      <c r="BF2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7" s="11" t="e">
        <f>tbl_MTG_Set[[#This Row],[Play Singles CardMarket Profit MTG Stocks]]/tbl_MTG_Set[[#This Row],[Play Booster Cost]]</f>
        <v>#VALUE!</v>
      </c>
      <c r="BI227" s="11" t="b">
        <f>tbl_MTG_Set[[#This Row],[Play Singles CardMarket Profit MTG Stocks]]&gt;0</f>
        <v>0</v>
      </c>
      <c r="BM227" s="10" t="e">
        <f>tbl_MTG_Set[[#This Row],[Play Booster Sell Price CardMarket]]*tbl_MTG_Set[[#This Row],[Play Booster Expected Market Value BotBox]]/tbl_MTG_Set[[#This Row],[Play Booster Sealed Market Value BotBox]]</f>
        <v>#VALUE!</v>
      </c>
      <c r="BN2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7" s="10" t="e">
        <f>tbl_MTG_Set[[#This Row],[Play Singles CardMarket Profit BotBox]]/tbl_MTG_Set[[#This Row],[Play Booster Cost]]</f>
        <v>#VALUE!</v>
      </c>
      <c r="BP227" s="10" t="b">
        <f>tbl_MTG_Set[[#This Row],[Play Singles CardMarket Profit BotBox]]&gt;0</f>
        <v>0</v>
      </c>
      <c r="BQ227" s="10"/>
      <c r="BR227" s="10"/>
      <c r="BS227" s="10"/>
      <c r="BT2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7" s="19" t="e">
        <f>tbl_MTG_Set[[#This Row],[Collector Singles CardMarket Profit MTG Stocks]]/tbl_MTG_Set[[#This Row],[Collector Booster Cost]]</f>
        <v>#N/A</v>
      </c>
      <c r="BW227" s="10" t="b">
        <f>tbl_MTG_Set[[#This Row],[Collector Singles CardMarket Profit MTG Stocks]]&gt;0</f>
        <v>0</v>
      </c>
      <c r="BX227" s="10"/>
      <c r="BY227" s="10"/>
      <c r="BZ2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7" s="10" t="e">
        <f>tbl_MTG_Set[[#This Row],[Collector Singles CardMarket Profit BotBox]]/tbl_MTG_Set[[#This Row],[Collector Booster Cost]]</f>
        <v>#N/A</v>
      </c>
      <c r="CC227" s="10" t="b">
        <f>tbl_MTG_Set[[#This Row],[Collector Singles CardMarket Profit BotBox]]&gt;0</f>
        <v>0</v>
      </c>
      <c r="CD2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8" spans="1:86" hidden="1">
      <c r="A228">
        <v>249</v>
      </c>
      <c r="B228" t="s">
        <v>401</v>
      </c>
      <c r="C228">
        <v>26</v>
      </c>
      <c r="D228" s="3">
        <v>44813</v>
      </c>
      <c r="E228" t="s">
        <v>59</v>
      </c>
      <c r="F228" t="s">
        <v>174</v>
      </c>
      <c r="G228">
        <v>444</v>
      </c>
      <c r="H228">
        <f ca="1">MONTH(NOW())+12*YEAR(NOW())-MONTH(tbl_MTG_Set[[#This Row],[Released On]])-12*YEAR(tbl_MTG_Set[[#This Row],[Released On]])</f>
        <v>42</v>
      </c>
      <c r="I228">
        <f>_xlfn.XLOOKUP(tbl_MTG_Set[[#This Row],[Type Name]], tbl_MTG_Set_Type[Set Type], tbl_MTG_Set_Type[Index], "(Set Type not found)")</f>
        <v>1</v>
      </c>
      <c r="J228">
        <f>_xlfn.XLOOKUP(tbl_MTG_Set[[#This Row],[Type Name]], tbl_MTG_Set_Type[Set Type], tbl_MTG_Set_Type[Buy Window Month Start], "(Set Type not found)")</f>
        <v>18</v>
      </c>
      <c r="K228" s="3">
        <f>tbl_MTG_Set[[#This Row],[Released On]]+tbl_MTG_Set[[#This Row],[Buy Window Month Start]]*365.25/12</f>
        <v>45360.875</v>
      </c>
      <c r="L228">
        <f>_xlfn.XLOOKUP(tbl_MTG_Set[[#This Row],[Type Name]], tbl_MTG_Set_Type[Set Type], tbl_MTG_Set_Type[Buy Window Month End], "(Set Type not found)", 0, 1)</f>
        <v>24</v>
      </c>
      <c r="M228" s="3">
        <f>tbl_MTG_Set[[#This Row],[Released On]]+tbl_MTG_Set[[#This Row],[Buy Window Month End]]*365.25/12</f>
        <v>45543.5</v>
      </c>
      <c r="N228" s="3" t="b">
        <f ca="1">AND(NOW()&gt;=tbl_MTG_Set[[#This Row],[Buy Window Start]], NOW()&lt;=tbl_MTG_Set[[#This Row],[Buy Window End]])</f>
        <v>0</v>
      </c>
      <c r="O228">
        <f>_xlfn.XLOOKUP(tbl_MTG_Set[[#This Row],[Type Name]], tbl_MTG_Set_Type[Set Type], tbl_MTG_Set_Type[Heavy Printing Window Month Start], "(Set Type not found)", 0, 1)</f>
        <v>1</v>
      </c>
      <c r="P228" s="3">
        <f>tbl_MTG_Set[[#This Row],[Released On]]+tbl_MTG_Set[[#This Row],[Heavy Printing Window Month Start]]*365.25/12</f>
        <v>44843.4375</v>
      </c>
      <c r="Q228">
        <f>_xlfn.XLOOKUP(tbl_MTG_Set[[#This Row],[Type Name]], tbl_MTG_Set_Type[Set Type], tbl_MTG_Set_Type[Heavy Printing Window Month End], "(Set Type not found)", 0, 1)</f>
        <v>18</v>
      </c>
      <c r="R228" s="3">
        <f>tbl_MTG_Set[[#This Row],[Released On]]+tbl_MTG_Set[[#This Row],[Heavy Printing Window Month End]]*365.25/12</f>
        <v>45360.875</v>
      </c>
      <c r="S228" s="3" t="b">
        <f ca="1">AND(NOW()&gt;=tbl_MTG_Set[[#This Row],[Heavy Printing Window Start]], NOW()&lt;=tbl_MTG_Set[[#This Row],[Heavy Printing Window End]])</f>
        <v>0</v>
      </c>
      <c r="T228">
        <f>_xlfn.XLOOKUP(tbl_MTG_Set[[#This Row],[Type Name]], tbl_MTG_Set_Type[Set Type], tbl_MTG_Set_Type[Sell Window Month Start], "(Set Type not found)", 0, 1)</f>
        <v>36</v>
      </c>
      <c r="U228" s="3">
        <f>tbl_MTG_Set[[#This Row],[Released On]]+tbl_MTG_Set[[#This Row],[Sell Window Month Start]]*365.25/12</f>
        <v>45908.75</v>
      </c>
      <c r="V228">
        <f>_xlfn.XLOOKUP(tbl_MTG_Set[[#This Row],[Type Name]], tbl_MTG_Set_Type[Set Type], tbl_MTG_Set_Type[Sell Window Month End], "(Set Type not found)", 0, 1)</f>
        <v>48</v>
      </c>
      <c r="W228" s="3">
        <f>tbl_MTG_Set[[#This Row],[Released On]]+tbl_MTG_Set[[#This Row],[Sell Window Month End]]*365.25/12</f>
        <v>46274</v>
      </c>
      <c r="X228" s="3" t="b">
        <f ca="1">AND(NOW()&gt;=tbl_MTG_Set[[#This Row],[Sell Window Start]], NOW()&lt;=tbl_MTG_Set[[#This Row],[Sell Window End]])</f>
        <v>1</v>
      </c>
      <c r="AG228" s="10"/>
      <c r="AH228" s="10"/>
      <c r="AM228" s="10" t="str" cm="1">
        <f t="array" ref="AM2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8" s="10" t="str" cm="1">
        <f t="array" ref="AN2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8" s="4" t="e">
        <f>_xlfn.XLOOKUP(tbl_MTG_Set[[#This Row],[Play Booster Box Product Id]], tbl_Product[Product Id], tbl_Product[Pack Size])</f>
        <v>#N/A</v>
      </c>
      <c r="AP228" s="10" t="e">
        <f>(tbl_MTG_Set[[#This Row],[Play Booster Box Cost]]+v_Item_Shipping_Cost_In)/tbl_MTG_Set[[#This Row],[Play Booster Box Size]]</f>
        <v>#VALUE!</v>
      </c>
      <c r="AQ228" s="10" t="str" cm="1">
        <f t="array" ref="AQ2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8" s="10"/>
      <c r="AS228" s="10"/>
      <c r="AT228" s="17" t="e">
        <f>tbl_MTG_Set[[#This Row],[Play Booster CardMarket Profit]]/tbl_MTG_Set[[#This Row],[Play Booster Cost]]</f>
        <v>#VALUE!</v>
      </c>
      <c r="AU228" s="10" t="e">
        <f>_xlfn.XLOOKUP(tbl_MTG_Set[[#This Row],[Collector Booster Box Product Id]], tbl_Product[Product Id], tbl_Product[Min Cost])</f>
        <v>#N/A</v>
      </c>
      <c r="AV228" s="10" t="e">
        <f>_xlfn.XLOOKUP(tbl_MTG_Set[[#This Row],[Collector Booster Box Product Id]], tbl_Product[Product Id], tbl_Product[Best Source])</f>
        <v>#N/A</v>
      </c>
      <c r="AW228" s="4" t="e">
        <f>_xlfn.XLOOKUP(tbl_MTG_Set[[#This Row],[Collector Booster Box Product Id]], tbl_Product[Product Id], tbl_Product[Pack Size])</f>
        <v>#N/A</v>
      </c>
      <c r="AX228" s="10" t="e">
        <f>(tbl_MTG_Set[[#This Row],[Collector Booster Box Cost]] + v_Item_Shipping_Cost_In) / tbl_MTG_Set[[#This Row],[Collector Booster Box Size]]</f>
        <v>#N/A</v>
      </c>
      <c r="AY228" s="10" t="str" cm="1">
        <f t="array" ref="AY2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8" s="10"/>
      <c r="BA2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8" s="17" t="e">
        <f>tbl_MTG_Set[[#This Row],[Collector Booster CardMarket Profit]]/tbl_MTG_Set[[#This Row],[Collector Booster Cost]]</f>
        <v>#N/A</v>
      </c>
      <c r="BC228" s="10"/>
      <c r="BF2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8" s="11" t="e">
        <f>tbl_MTG_Set[[#This Row],[Play Singles CardMarket Profit MTG Stocks]]/tbl_MTG_Set[[#This Row],[Play Booster Cost]]</f>
        <v>#VALUE!</v>
      </c>
      <c r="BI228" s="11" t="b">
        <f>tbl_MTG_Set[[#This Row],[Play Singles CardMarket Profit MTG Stocks]]&gt;0</f>
        <v>0</v>
      </c>
      <c r="BM228" s="10" t="e">
        <f>tbl_MTG_Set[[#This Row],[Play Booster Sell Price CardMarket]]*tbl_MTG_Set[[#This Row],[Play Booster Expected Market Value BotBox]]/tbl_MTG_Set[[#This Row],[Play Booster Sealed Market Value BotBox]]</f>
        <v>#VALUE!</v>
      </c>
      <c r="BN2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8" s="10" t="e">
        <f>tbl_MTG_Set[[#This Row],[Play Singles CardMarket Profit BotBox]]/tbl_MTG_Set[[#This Row],[Play Booster Cost]]</f>
        <v>#VALUE!</v>
      </c>
      <c r="BP228" s="10" t="b">
        <f>tbl_MTG_Set[[#This Row],[Play Singles CardMarket Profit BotBox]]&gt;0</f>
        <v>0</v>
      </c>
      <c r="BQ228" s="10"/>
      <c r="BR228" s="10"/>
      <c r="BS228" s="10"/>
      <c r="BT2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8" s="19" t="e">
        <f>tbl_MTG_Set[[#This Row],[Collector Singles CardMarket Profit MTG Stocks]]/tbl_MTG_Set[[#This Row],[Collector Booster Cost]]</f>
        <v>#N/A</v>
      </c>
      <c r="BW228" s="10" t="b">
        <f>tbl_MTG_Set[[#This Row],[Collector Singles CardMarket Profit MTG Stocks]]&gt;0</f>
        <v>0</v>
      </c>
      <c r="BX228" s="10"/>
      <c r="BY228" s="10"/>
      <c r="BZ2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8" s="10" t="e">
        <f>tbl_MTG_Set[[#This Row],[Collector Singles CardMarket Profit BotBox]]/tbl_MTG_Set[[#This Row],[Collector Booster Cost]]</f>
        <v>#N/A</v>
      </c>
      <c r="CC228" s="10" t="b">
        <f>tbl_MTG_Set[[#This Row],[Collector Singles CardMarket Profit BotBox]]&gt;0</f>
        <v>0</v>
      </c>
      <c r="CD2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29" spans="1:86" hidden="1">
      <c r="A229">
        <v>250</v>
      </c>
      <c r="B229" t="s">
        <v>402</v>
      </c>
      <c r="C229">
        <v>39</v>
      </c>
      <c r="D229" s="3">
        <v>44839</v>
      </c>
      <c r="F229" t="s">
        <v>174</v>
      </c>
      <c r="G229">
        <v>446</v>
      </c>
      <c r="H229">
        <f ca="1">MONTH(NOW())+12*YEAR(NOW())-MONTH(tbl_MTG_Set[[#This Row],[Released On]])-12*YEAR(tbl_MTG_Set[[#This Row],[Released On]])</f>
        <v>41</v>
      </c>
      <c r="I229" t="str">
        <f>_xlfn.XLOOKUP(tbl_MTG_Set[[#This Row],[Type Name]], tbl_MTG_Set_Type[Set Type], tbl_MTG_Set_Type[Index], "(Set Type not found)")</f>
        <v>(Set Type not found)</v>
      </c>
      <c r="J229" t="str">
        <f>_xlfn.XLOOKUP(tbl_MTG_Set[[#This Row],[Type Name]], tbl_MTG_Set_Type[Set Type], tbl_MTG_Set_Type[Buy Window Month Start], "(Set Type not found)")</f>
        <v>(Set Type not found)</v>
      </c>
      <c r="K229" s="3" t="e">
        <f>tbl_MTG_Set[[#This Row],[Released On]]+tbl_MTG_Set[[#This Row],[Buy Window Month Start]]*365.25/12</f>
        <v>#VALUE!</v>
      </c>
      <c r="L229" t="str">
        <f>_xlfn.XLOOKUP(tbl_MTG_Set[[#This Row],[Type Name]], tbl_MTG_Set_Type[Set Type], tbl_MTG_Set_Type[Buy Window Month End], "(Set Type not found)", 0, 1)</f>
        <v>(Set Type not found)</v>
      </c>
      <c r="M229" s="3" t="e">
        <f>tbl_MTG_Set[[#This Row],[Released On]]+tbl_MTG_Set[[#This Row],[Buy Window Month End]]*365.25/12</f>
        <v>#VALUE!</v>
      </c>
      <c r="N229" s="3" t="e">
        <f ca="1">AND(NOW()&gt;=tbl_MTG_Set[[#This Row],[Buy Window Start]], NOW()&lt;=tbl_MTG_Set[[#This Row],[Buy Window End]])</f>
        <v>#VALUE!</v>
      </c>
      <c r="O229" t="str">
        <f>_xlfn.XLOOKUP(tbl_MTG_Set[[#This Row],[Type Name]], tbl_MTG_Set_Type[Set Type], tbl_MTG_Set_Type[Heavy Printing Window Month Start], "(Set Type not found)", 0, 1)</f>
        <v>(Set Type not found)</v>
      </c>
      <c r="P229" s="3" t="e">
        <f>tbl_MTG_Set[[#This Row],[Released On]]+tbl_MTG_Set[[#This Row],[Heavy Printing Window Month Start]]*365.25/12</f>
        <v>#VALUE!</v>
      </c>
      <c r="Q229" t="str">
        <f>_xlfn.XLOOKUP(tbl_MTG_Set[[#This Row],[Type Name]], tbl_MTG_Set_Type[Set Type], tbl_MTG_Set_Type[Heavy Printing Window Month End], "(Set Type not found)", 0, 1)</f>
        <v>(Set Type not found)</v>
      </c>
      <c r="R229" s="3" t="e">
        <f>tbl_MTG_Set[[#This Row],[Released On]]+tbl_MTG_Set[[#This Row],[Heavy Printing Window Month End]]*365.25/12</f>
        <v>#VALUE!</v>
      </c>
      <c r="S229" s="3" t="e">
        <f ca="1">AND(NOW()&gt;=tbl_MTG_Set[[#This Row],[Heavy Printing Window Start]], NOW()&lt;=tbl_MTG_Set[[#This Row],[Heavy Printing Window End]])</f>
        <v>#VALUE!</v>
      </c>
      <c r="T229" t="str">
        <f>_xlfn.XLOOKUP(tbl_MTG_Set[[#This Row],[Type Name]], tbl_MTG_Set_Type[Set Type], tbl_MTG_Set_Type[Sell Window Month Start], "(Set Type not found)", 0, 1)</f>
        <v>(Set Type not found)</v>
      </c>
      <c r="U229" s="3" t="e">
        <f>tbl_MTG_Set[[#This Row],[Released On]]+tbl_MTG_Set[[#This Row],[Sell Window Month Start]]*365.25/12</f>
        <v>#VALUE!</v>
      </c>
      <c r="V229" t="str">
        <f>_xlfn.XLOOKUP(tbl_MTG_Set[[#This Row],[Type Name]], tbl_MTG_Set_Type[Set Type], tbl_MTG_Set_Type[Sell Window Month End], "(Set Type not found)", 0, 1)</f>
        <v>(Set Type not found)</v>
      </c>
      <c r="W229" s="3" t="e">
        <f>tbl_MTG_Set[[#This Row],[Released On]]+tbl_MTG_Set[[#This Row],[Sell Window Month End]]*365.25/12</f>
        <v>#VALUE!</v>
      </c>
      <c r="X229" s="3" t="e">
        <f ca="1">AND(NOW()&gt;=tbl_MTG_Set[[#This Row],[Sell Window Start]], NOW()&lt;=tbl_MTG_Set[[#This Row],[Sell Window End]])</f>
        <v>#VALUE!</v>
      </c>
      <c r="AG229" s="10"/>
      <c r="AH229" s="10"/>
      <c r="AM229" s="10" t="str" cm="1">
        <f t="array" ref="AM2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29" s="10" t="str" cm="1">
        <f t="array" ref="AN2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29" s="4" t="e">
        <f>_xlfn.XLOOKUP(tbl_MTG_Set[[#This Row],[Play Booster Box Product Id]], tbl_Product[Product Id], tbl_Product[Pack Size])</f>
        <v>#N/A</v>
      </c>
      <c r="AP229" s="10" t="e">
        <f>(tbl_MTG_Set[[#This Row],[Play Booster Box Cost]]+v_Item_Shipping_Cost_In)/tbl_MTG_Set[[#This Row],[Play Booster Box Size]]</f>
        <v>#VALUE!</v>
      </c>
      <c r="AQ229" s="10" t="str" cm="1">
        <f t="array" ref="AQ2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29" s="10"/>
      <c r="AS229" s="10"/>
      <c r="AT229" s="17" t="e">
        <f>tbl_MTG_Set[[#This Row],[Play Booster CardMarket Profit]]/tbl_MTG_Set[[#This Row],[Play Booster Cost]]</f>
        <v>#VALUE!</v>
      </c>
      <c r="AU229" s="10" t="e">
        <f>_xlfn.XLOOKUP(tbl_MTG_Set[[#This Row],[Collector Booster Box Product Id]], tbl_Product[Product Id], tbl_Product[Min Cost])</f>
        <v>#N/A</v>
      </c>
      <c r="AV229" s="10" t="e">
        <f>_xlfn.XLOOKUP(tbl_MTG_Set[[#This Row],[Collector Booster Box Product Id]], tbl_Product[Product Id], tbl_Product[Best Source])</f>
        <v>#N/A</v>
      </c>
      <c r="AW229" s="4" t="e">
        <f>_xlfn.XLOOKUP(tbl_MTG_Set[[#This Row],[Collector Booster Box Product Id]], tbl_Product[Product Id], tbl_Product[Pack Size])</f>
        <v>#N/A</v>
      </c>
      <c r="AX229" s="10" t="e">
        <f>(tbl_MTG_Set[[#This Row],[Collector Booster Box Cost]] + v_Item_Shipping_Cost_In) / tbl_MTG_Set[[#This Row],[Collector Booster Box Size]]</f>
        <v>#N/A</v>
      </c>
      <c r="AY229" s="10" t="str" cm="1">
        <f t="array" ref="AY2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29" s="10"/>
      <c r="BA2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29" s="17" t="e">
        <f>tbl_MTG_Set[[#This Row],[Collector Booster CardMarket Profit]]/tbl_MTG_Set[[#This Row],[Collector Booster Cost]]</f>
        <v>#N/A</v>
      </c>
      <c r="BC229" s="10"/>
      <c r="BF2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29" s="11" t="e">
        <f>tbl_MTG_Set[[#This Row],[Play Singles CardMarket Profit MTG Stocks]]/tbl_MTG_Set[[#This Row],[Play Booster Cost]]</f>
        <v>#VALUE!</v>
      </c>
      <c r="BI229" s="11" t="b">
        <f>tbl_MTG_Set[[#This Row],[Play Singles CardMarket Profit MTG Stocks]]&gt;0</f>
        <v>0</v>
      </c>
      <c r="BM229" s="10" t="e">
        <f>tbl_MTG_Set[[#This Row],[Play Booster Sell Price CardMarket]]*tbl_MTG_Set[[#This Row],[Play Booster Expected Market Value BotBox]]/tbl_MTG_Set[[#This Row],[Play Booster Sealed Market Value BotBox]]</f>
        <v>#VALUE!</v>
      </c>
      <c r="BN2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29" s="10" t="e">
        <f>tbl_MTG_Set[[#This Row],[Play Singles CardMarket Profit BotBox]]/tbl_MTG_Set[[#This Row],[Play Booster Cost]]</f>
        <v>#VALUE!</v>
      </c>
      <c r="BP229" s="10" t="b">
        <f>tbl_MTG_Set[[#This Row],[Play Singles CardMarket Profit BotBox]]&gt;0</f>
        <v>0</v>
      </c>
      <c r="BQ229" s="10"/>
      <c r="BR229" s="10"/>
      <c r="BS229" s="10"/>
      <c r="BT2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29" s="19" t="e">
        <f>tbl_MTG_Set[[#This Row],[Collector Singles CardMarket Profit MTG Stocks]]/tbl_MTG_Set[[#This Row],[Collector Booster Cost]]</f>
        <v>#N/A</v>
      </c>
      <c r="BW229" s="10" t="b">
        <f>tbl_MTG_Set[[#This Row],[Collector Singles CardMarket Profit MTG Stocks]]&gt;0</f>
        <v>0</v>
      </c>
      <c r="BX229" s="10"/>
      <c r="BY229" s="10"/>
      <c r="BZ2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29" s="10" t="e">
        <f>tbl_MTG_Set[[#This Row],[Collector Singles CardMarket Profit BotBox]]/tbl_MTG_Set[[#This Row],[Collector Booster Cost]]</f>
        <v>#N/A</v>
      </c>
      <c r="CC229" s="10" t="b">
        <f>tbl_MTG_Set[[#This Row],[Collector Singles CardMarket Profit BotBox]]&gt;0</f>
        <v>0</v>
      </c>
      <c r="CD2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0" spans="1:86" hidden="1">
      <c r="A230">
        <v>251</v>
      </c>
      <c r="B230" t="s">
        <v>403</v>
      </c>
      <c r="C230">
        <v>3</v>
      </c>
      <c r="D230" s="3">
        <v>44813</v>
      </c>
      <c r="E230" t="s">
        <v>59</v>
      </c>
      <c r="F230" t="s">
        <v>174</v>
      </c>
      <c r="G230">
        <v>448</v>
      </c>
      <c r="H230">
        <f ca="1">MONTH(NOW())+12*YEAR(NOW())-MONTH(tbl_MTG_Set[[#This Row],[Released On]])-12*YEAR(tbl_MTG_Set[[#This Row],[Released On]])</f>
        <v>42</v>
      </c>
      <c r="I230">
        <f>_xlfn.XLOOKUP(tbl_MTG_Set[[#This Row],[Type Name]], tbl_MTG_Set_Type[Set Type], tbl_MTG_Set_Type[Index], "(Set Type not found)")</f>
        <v>1</v>
      </c>
      <c r="J230">
        <f>_xlfn.XLOOKUP(tbl_MTG_Set[[#This Row],[Type Name]], tbl_MTG_Set_Type[Set Type], tbl_MTG_Set_Type[Buy Window Month Start], "(Set Type not found)")</f>
        <v>18</v>
      </c>
      <c r="K230" s="3">
        <f>tbl_MTG_Set[[#This Row],[Released On]]+tbl_MTG_Set[[#This Row],[Buy Window Month Start]]*365.25/12</f>
        <v>45360.875</v>
      </c>
      <c r="L230">
        <f>_xlfn.XLOOKUP(tbl_MTG_Set[[#This Row],[Type Name]], tbl_MTG_Set_Type[Set Type], tbl_MTG_Set_Type[Buy Window Month End], "(Set Type not found)", 0, 1)</f>
        <v>24</v>
      </c>
      <c r="M230" s="3">
        <f>tbl_MTG_Set[[#This Row],[Released On]]+tbl_MTG_Set[[#This Row],[Buy Window Month End]]*365.25/12</f>
        <v>45543.5</v>
      </c>
      <c r="N230" s="3" t="b">
        <f ca="1">AND(NOW()&gt;=tbl_MTG_Set[[#This Row],[Buy Window Start]], NOW()&lt;=tbl_MTG_Set[[#This Row],[Buy Window End]])</f>
        <v>0</v>
      </c>
      <c r="O230">
        <f>_xlfn.XLOOKUP(tbl_MTG_Set[[#This Row],[Type Name]], tbl_MTG_Set_Type[Set Type], tbl_MTG_Set_Type[Heavy Printing Window Month Start], "(Set Type not found)", 0, 1)</f>
        <v>1</v>
      </c>
      <c r="P230" s="3">
        <f>tbl_MTG_Set[[#This Row],[Released On]]+tbl_MTG_Set[[#This Row],[Heavy Printing Window Month Start]]*365.25/12</f>
        <v>44843.4375</v>
      </c>
      <c r="Q230">
        <f>_xlfn.XLOOKUP(tbl_MTG_Set[[#This Row],[Type Name]], tbl_MTG_Set_Type[Set Type], tbl_MTG_Set_Type[Heavy Printing Window Month End], "(Set Type not found)", 0, 1)</f>
        <v>18</v>
      </c>
      <c r="R230" s="3">
        <f>tbl_MTG_Set[[#This Row],[Released On]]+tbl_MTG_Set[[#This Row],[Heavy Printing Window Month End]]*365.25/12</f>
        <v>45360.875</v>
      </c>
      <c r="S230" s="3" t="b">
        <f ca="1">AND(NOW()&gt;=tbl_MTG_Set[[#This Row],[Heavy Printing Window Start]], NOW()&lt;=tbl_MTG_Set[[#This Row],[Heavy Printing Window End]])</f>
        <v>0</v>
      </c>
      <c r="T230">
        <f>_xlfn.XLOOKUP(tbl_MTG_Set[[#This Row],[Type Name]], tbl_MTG_Set_Type[Set Type], tbl_MTG_Set_Type[Sell Window Month Start], "(Set Type not found)", 0, 1)</f>
        <v>36</v>
      </c>
      <c r="U230" s="3">
        <f>tbl_MTG_Set[[#This Row],[Released On]]+tbl_MTG_Set[[#This Row],[Sell Window Month Start]]*365.25/12</f>
        <v>45908.75</v>
      </c>
      <c r="V230">
        <f>_xlfn.XLOOKUP(tbl_MTG_Set[[#This Row],[Type Name]], tbl_MTG_Set_Type[Set Type], tbl_MTG_Set_Type[Sell Window Month End], "(Set Type not found)", 0, 1)</f>
        <v>48</v>
      </c>
      <c r="W230" s="3">
        <f>tbl_MTG_Set[[#This Row],[Released On]]+tbl_MTG_Set[[#This Row],[Sell Window Month End]]*365.25/12</f>
        <v>46274</v>
      </c>
      <c r="X230" s="3" t="b">
        <f ca="1">AND(NOW()&gt;=tbl_MTG_Set[[#This Row],[Sell Window Start]], NOW()&lt;=tbl_MTG_Set[[#This Row],[Sell Window End]])</f>
        <v>1</v>
      </c>
      <c r="AG230" s="10"/>
      <c r="AH230" s="10"/>
      <c r="AM230" s="10" t="str" cm="1">
        <f t="array" ref="AM2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0" s="10" t="str" cm="1">
        <f t="array" ref="AN2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0" s="4" t="e">
        <f>_xlfn.XLOOKUP(tbl_MTG_Set[[#This Row],[Play Booster Box Product Id]], tbl_Product[Product Id], tbl_Product[Pack Size])</f>
        <v>#N/A</v>
      </c>
      <c r="AP230" s="10" t="e">
        <f>(tbl_MTG_Set[[#This Row],[Play Booster Box Cost]]+v_Item_Shipping_Cost_In)/tbl_MTG_Set[[#This Row],[Play Booster Box Size]]</f>
        <v>#VALUE!</v>
      </c>
      <c r="AQ230" s="10" t="str" cm="1">
        <f t="array" ref="AQ2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0" s="10"/>
      <c r="AS230" s="10"/>
      <c r="AT230" s="17" t="e">
        <f>tbl_MTG_Set[[#This Row],[Play Booster CardMarket Profit]]/tbl_MTG_Set[[#This Row],[Play Booster Cost]]</f>
        <v>#VALUE!</v>
      </c>
      <c r="AU230" s="10" t="e">
        <f>_xlfn.XLOOKUP(tbl_MTG_Set[[#This Row],[Collector Booster Box Product Id]], tbl_Product[Product Id], tbl_Product[Min Cost])</f>
        <v>#N/A</v>
      </c>
      <c r="AV230" s="10" t="e">
        <f>_xlfn.XLOOKUP(tbl_MTG_Set[[#This Row],[Collector Booster Box Product Id]], tbl_Product[Product Id], tbl_Product[Best Source])</f>
        <v>#N/A</v>
      </c>
      <c r="AW230" s="4" t="e">
        <f>_xlfn.XLOOKUP(tbl_MTG_Set[[#This Row],[Collector Booster Box Product Id]], tbl_Product[Product Id], tbl_Product[Pack Size])</f>
        <v>#N/A</v>
      </c>
      <c r="AX230" s="10" t="e">
        <f>(tbl_MTG_Set[[#This Row],[Collector Booster Box Cost]] + v_Item_Shipping_Cost_In) / tbl_MTG_Set[[#This Row],[Collector Booster Box Size]]</f>
        <v>#N/A</v>
      </c>
      <c r="AY230" s="10" t="str" cm="1">
        <f t="array" ref="AY2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0" s="10"/>
      <c r="BA2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0" s="17" t="e">
        <f>tbl_MTG_Set[[#This Row],[Collector Booster CardMarket Profit]]/tbl_MTG_Set[[#This Row],[Collector Booster Cost]]</f>
        <v>#N/A</v>
      </c>
      <c r="BC230" s="10"/>
      <c r="BF2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0" s="11" t="e">
        <f>tbl_MTG_Set[[#This Row],[Play Singles CardMarket Profit MTG Stocks]]/tbl_MTG_Set[[#This Row],[Play Booster Cost]]</f>
        <v>#VALUE!</v>
      </c>
      <c r="BI230" s="11" t="b">
        <f>tbl_MTG_Set[[#This Row],[Play Singles CardMarket Profit MTG Stocks]]&gt;0</f>
        <v>0</v>
      </c>
      <c r="BM230" s="10" t="e">
        <f>tbl_MTG_Set[[#This Row],[Play Booster Sell Price CardMarket]]*tbl_MTG_Set[[#This Row],[Play Booster Expected Market Value BotBox]]/tbl_MTG_Set[[#This Row],[Play Booster Sealed Market Value BotBox]]</f>
        <v>#VALUE!</v>
      </c>
      <c r="BN2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0" s="10" t="e">
        <f>tbl_MTG_Set[[#This Row],[Play Singles CardMarket Profit BotBox]]/tbl_MTG_Set[[#This Row],[Play Booster Cost]]</f>
        <v>#VALUE!</v>
      </c>
      <c r="BP230" s="10" t="b">
        <f>tbl_MTG_Set[[#This Row],[Play Singles CardMarket Profit BotBox]]&gt;0</f>
        <v>0</v>
      </c>
      <c r="BQ230" s="10"/>
      <c r="BR230" s="10"/>
      <c r="BS230" s="10"/>
      <c r="BT2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0" s="19" t="e">
        <f>tbl_MTG_Set[[#This Row],[Collector Singles CardMarket Profit MTG Stocks]]/tbl_MTG_Set[[#This Row],[Collector Booster Cost]]</f>
        <v>#N/A</v>
      </c>
      <c r="BW230" s="10" t="b">
        <f>tbl_MTG_Set[[#This Row],[Collector Singles CardMarket Profit MTG Stocks]]&gt;0</f>
        <v>0</v>
      </c>
      <c r="BX230" s="10"/>
      <c r="BY230" s="10"/>
      <c r="BZ2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0" s="10" t="e">
        <f>tbl_MTG_Set[[#This Row],[Collector Singles CardMarket Profit BotBox]]/tbl_MTG_Set[[#This Row],[Collector Booster Cost]]</f>
        <v>#N/A</v>
      </c>
      <c r="CC230" s="10" t="b">
        <f>tbl_MTG_Set[[#This Row],[Collector Singles CardMarket Profit BotBox]]&gt;0</f>
        <v>0</v>
      </c>
      <c r="CD2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1" spans="1:86" hidden="1">
      <c r="A231">
        <v>252</v>
      </c>
      <c r="B231" t="s">
        <v>404</v>
      </c>
      <c r="C231">
        <v>10</v>
      </c>
      <c r="D231" s="3">
        <v>44813</v>
      </c>
      <c r="E231" t="s">
        <v>59</v>
      </c>
      <c r="F231" t="s">
        <v>174</v>
      </c>
      <c r="G231">
        <v>450</v>
      </c>
      <c r="H231">
        <f ca="1">MONTH(NOW())+12*YEAR(NOW())-MONTH(tbl_MTG_Set[[#This Row],[Released On]])-12*YEAR(tbl_MTG_Set[[#This Row],[Released On]])</f>
        <v>42</v>
      </c>
      <c r="I231">
        <f>_xlfn.XLOOKUP(tbl_MTG_Set[[#This Row],[Type Name]], tbl_MTG_Set_Type[Set Type], tbl_MTG_Set_Type[Index], "(Set Type not found)")</f>
        <v>1</v>
      </c>
      <c r="J231">
        <f>_xlfn.XLOOKUP(tbl_MTG_Set[[#This Row],[Type Name]], tbl_MTG_Set_Type[Set Type], tbl_MTG_Set_Type[Buy Window Month Start], "(Set Type not found)")</f>
        <v>18</v>
      </c>
      <c r="K231" s="3">
        <f>tbl_MTG_Set[[#This Row],[Released On]]+tbl_MTG_Set[[#This Row],[Buy Window Month Start]]*365.25/12</f>
        <v>45360.875</v>
      </c>
      <c r="L231">
        <f>_xlfn.XLOOKUP(tbl_MTG_Set[[#This Row],[Type Name]], tbl_MTG_Set_Type[Set Type], tbl_MTG_Set_Type[Buy Window Month End], "(Set Type not found)", 0, 1)</f>
        <v>24</v>
      </c>
      <c r="M231" s="3">
        <f>tbl_MTG_Set[[#This Row],[Released On]]+tbl_MTG_Set[[#This Row],[Buy Window Month End]]*365.25/12</f>
        <v>45543.5</v>
      </c>
      <c r="N231" s="3" t="b">
        <f ca="1">AND(NOW()&gt;=tbl_MTG_Set[[#This Row],[Buy Window Start]], NOW()&lt;=tbl_MTG_Set[[#This Row],[Buy Window End]])</f>
        <v>0</v>
      </c>
      <c r="O231">
        <f>_xlfn.XLOOKUP(tbl_MTG_Set[[#This Row],[Type Name]], tbl_MTG_Set_Type[Set Type], tbl_MTG_Set_Type[Heavy Printing Window Month Start], "(Set Type not found)", 0, 1)</f>
        <v>1</v>
      </c>
      <c r="P231" s="3">
        <f>tbl_MTG_Set[[#This Row],[Released On]]+tbl_MTG_Set[[#This Row],[Heavy Printing Window Month Start]]*365.25/12</f>
        <v>44843.4375</v>
      </c>
      <c r="Q231">
        <f>_xlfn.XLOOKUP(tbl_MTG_Set[[#This Row],[Type Name]], tbl_MTG_Set_Type[Set Type], tbl_MTG_Set_Type[Heavy Printing Window Month End], "(Set Type not found)", 0, 1)</f>
        <v>18</v>
      </c>
      <c r="R231" s="3">
        <f>tbl_MTG_Set[[#This Row],[Released On]]+tbl_MTG_Set[[#This Row],[Heavy Printing Window Month End]]*365.25/12</f>
        <v>45360.875</v>
      </c>
      <c r="S231" s="3" t="b">
        <f ca="1">AND(NOW()&gt;=tbl_MTG_Set[[#This Row],[Heavy Printing Window Start]], NOW()&lt;=tbl_MTG_Set[[#This Row],[Heavy Printing Window End]])</f>
        <v>0</v>
      </c>
      <c r="T231">
        <f>_xlfn.XLOOKUP(tbl_MTG_Set[[#This Row],[Type Name]], tbl_MTG_Set_Type[Set Type], tbl_MTG_Set_Type[Sell Window Month Start], "(Set Type not found)", 0, 1)</f>
        <v>36</v>
      </c>
      <c r="U231" s="3">
        <f>tbl_MTG_Set[[#This Row],[Released On]]+tbl_MTG_Set[[#This Row],[Sell Window Month Start]]*365.25/12</f>
        <v>45908.75</v>
      </c>
      <c r="V231">
        <f>_xlfn.XLOOKUP(tbl_MTG_Set[[#This Row],[Type Name]], tbl_MTG_Set_Type[Set Type], tbl_MTG_Set_Type[Sell Window Month End], "(Set Type not found)", 0, 1)</f>
        <v>48</v>
      </c>
      <c r="W231" s="3">
        <f>tbl_MTG_Set[[#This Row],[Released On]]+tbl_MTG_Set[[#This Row],[Sell Window Month End]]*365.25/12</f>
        <v>46274</v>
      </c>
      <c r="X231" s="3" t="b">
        <f ca="1">AND(NOW()&gt;=tbl_MTG_Set[[#This Row],[Sell Window Start]], NOW()&lt;=tbl_MTG_Set[[#This Row],[Sell Window End]])</f>
        <v>1</v>
      </c>
      <c r="AG231" s="10"/>
      <c r="AH231" s="10"/>
      <c r="AM231" s="10" t="str" cm="1">
        <f t="array" ref="AM2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1" s="10" t="str" cm="1">
        <f t="array" ref="AN2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1" s="4" t="e">
        <f>_xlfn.XLOOKUP(tbl_MTG_Set[[#This Row],[Play Booster Box Product Id]], tbl_Product[Product Id], tbl_Product[Pack Size])</f>
        <v>#N/A</v>
      </c>
      <c r="AP231" s="10" t="e">
        <f>(tbl_MTG_Set[[#This Row],[Play Booster Box Cost]]+v_Item_Shipping_Cost_In)/tbl_MTG_Set[[#This Row],[Play Booster Box Size]]</f>
        <v>#VALUE!</v>
      </c>
      <c r="AQ231" s="10" t="str" cm="1">
        <f t="array" ref="AQ2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1" s="10"/>
      <c r="AS231" s="10"/>
      <c r="AT231" s="17" t="e">
        <f>tbl_MTG_Set[[#This Row],[Play Booster CardMarket Profit]]/tbl_MTG_Set[[#This Row],[Play Booster Cost]]</f>
        <v>#VALUE!</v>
      </c>
      <c r="AU231" s="10" t="e">
        <f>_xlfn.XLOOKUP(tbl_MTG_Set[[#This Row],[Collector Booster Box Product Id]], tbl_Product[Product Id], tbl_Product[Min Cost])</f>
        <v>#N/A</v>
      </c>
      <c r="AV231" s="10" t="e">
        <f>_xlfn.XLOOKUP(tbl_MTG_Set[[#This Row],[Collector Booster Box Product Id]], tbl_Product[Product Id], tbl_Product[Best Source])</f>
        <v>#N/A</v>
      </c>
      <c r="AW231" s="4" t="e">
        <f>_xlfn.XLOOKUP(tbl_MTG_Set[[#This Row],[Collector Booster Box Product Id]], tbl_Product[Product Id], tbl_Product[Pack Size])</f>
        <v>#N/A</v>
      </c>
      <c r="AX231" s="10" t="e">
        <f>(tbl_MTG_Set[[#This Row],[Collector Booster Box Cost]] + v_Item_Shipping_Cost_In) / tbl_MTG_Set[[#This Row],[Collector Booster Box Size]]</f>
        <v>#N/A</v>
      </c>
      <c r="AY231" s="10" t="str" cm="1">
        <f t="array" ref="AY2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1" s="10"/>
      <c r="BA2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1" s="17" t="e">
        <f>tbl_MTG_Set[[#This Row],[Collector Booster CardMarket Profit]]/tbl_MTG_Set[[#This Row],[Collector Booster Cost]]</f>
        <v>#N/A</v>
      </c>
      <c r="BC231" s="10"/>
      <c r="BF2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1" s="11" t="e">
        <f>tbl_MTG_Set[[#This Row],[Play Singles CardMarket Profit MTG Stocks]]/tbl_MTG_Set[[#This Row],[Play Booster Cost]]</f>
        <v>#VALUE!</v>
      </c>
      <c r="BI231" s="11" t="b">
        <f>tbl_MTG_Set[[#This Row],[Play Singles CardMarket Profit MTG Stocks]]&gt;0</f>
        <v>0</v>
      </c>
      <c r="BM231" s="10" t="e">
        <f>tbl_MTG_Set[[#This Row],[Play Booster Sell Price CardMarket]]*tbl_MTG_Set[[#This Row],[Play Booster Expected Market Value BotBox]]/tbl_MTG_Set[[#This Row],[Play Booster Sealed Market Value BotBox]]</f>
        <v>#VALUE!</v>
      </c>
      <c r="BN2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1" s="10" t="e">
        <f>tbl_MTG_Set[[#This Row],[Play Singles CardMarket Profit BotBox]]/tbl_MTG_Set[[#This Row],[Play Booster Cost]]</f>
        <v>#VALUE!</v>
      </c>
      <c r="BP231" s="10" t="b">
        <f>tbl_MTG_Set[[#This Row],[Play Singles CardMarket Profit BotBox]]&gt;0</f>
        <v>0</v>
      </c>
      <c r="BQ231" s="10"/>
      <c r="BR231" s="10"/>
      <c r="BS231" s="10"/>
      <c r="BT2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1" s="19" t="e">
        <f>tbl_MTG_Set[[#This Row],[Collector Singles CardMarket Profit MTG Stocks]]/tbl_MTG_Set[[#This Row],[Collector Booster Cost]]</f>
        <v>#N/A</v>
      </c>
      <c r="BW231" s="10" t="b">
        <f>tbl_MTG_Set[[#This Row],[Collector Singles CardMarket Profit MTG Stocks]]&gt;0</f>
        <v>0</v>
      </c>
      <c r="BX231" s="10"/>
      <c r="BY231" s="10"/>
      <c r="BZ2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1" s="10" t="e">
        <f>tbl_MTG_Set[[#This Row],[Collector Singles CardMarket Profit BotBox]]/tbl_MTG_Set[[#This Row],[Collector Booster Cost]]</f>
        <v>#N/A</v>
      </c>
      <c r="CC231" s="10" t="b">
        <f>tbl_MTG_Set[[#This Row],[Collector Singles CardMarket Profit BotBox]]&gt;0</f>
        <v>0</v>
      </c>
      <c r="CD2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2" spans="1:86" hidden="1">
      <c r="A232">
        <v>253</v>
      </c>
      <c r="B232" t="s">
        <v>405</v>
      </c>
      <c r="C232">
        <v>5</v>
      </c>
      <c r="D232" s="3">
        <v>44813</v>
      </c>
      <c r="E232" t="s">
        <v>59</v>
      </c>
      <c r="F232" t="s">
        <v>174</v>
      </c>
      <c r="G232">
        <v>452</v>
      </c>
      <c r="H232">
        <f ca="1">MONTH(NOW())+12*YEAR(NOW())-MONTH(tbl_MTG_Set[[#This Row],[Released On]])-12*YEAR(tbl_MTG_Set[[#This Row],[Released On]])</f>
        <v>42</v>
      </c>
      <c r="I232">
        <f>_xlfn.XLOOKUP(tbl_MTG_Set[[#This Row],[Type Name]], tbl_MTG_Set_Type[Set Type], tbl_MTG_Set_Type[Index], "(Set Type not found)")</f>
        <v>1</v>
      </c>
      <c r="J232">
        <f>_xlfn.XLOOKUP(tbl_MTG_Set[[#This Row],[Type Name]], tbl_MTG_Set_Type[Set Type], tbl_MTG_Set_Type[Buy Window Month Start], "(Set Type not found)")</f>
        <v>18</v>
      </c>
      <c r="K232" s="3">
        <f>tbl_MTG_Set[[#This Row],[Released On]]+tbl_MTG_Set[[#This Row],[Buy Window Month Start]]*365.25/12</f>
        <v>45360.875</v>
      </c>
      <c r="L232">
        <f>_xlfn.XLOOKUP(tbl_MTG_Set[[#This Row],[Type Name]], tbl_MTG_Set_Type[Set Type], tbl_MTG_Set_Type[Buy Window Month End], "(Set Type not found)", 0, 1)</f>
        <v>24</v>
      </c>
      <c r="M232" s="3">
        <f>tbl_MTG_Set[[#This Row],[Released On]]+tbl_MTG_Set[[#This Row],[Buy Window Month End]]*365.25/12</f>
        <v>45543.5</v>
      </c>
      <c r="N232" s="3" t="b">
        <f ca="1">AND(NOW()&gt;=tbl_MTG_Set[[#This Row],[Buy Window Start]], NOW()&lt;=tbl_MTG_Set[[#This Row],[Buy Window End]])</f>
        <v>0</v>
      </c>
      <c r="O232">
        <f>_xlfn.XLOOKUP(tbl_MTG_Set[[#This Row],[Type Name]], tbl_MTG_Set_Type[Set Type], tbl_MTG_Set_Type[Heavy Printing Window Month Start], "(Set Type not found)", 0, 1)</f>
        <v>1</v>
      </c>
      <c r="P232" s="3">
        <f>tbl_MTG_Set[[#This Row],[Released On]]+tbl_MTG_Set[[#This Row],[Heavy Printing Window Month Start]]*365.25/12</f>
        <v>44843.4375</v>
      </c>
      <c r="Q232">
        <f>_xlfn.XLOOKUP(tbl_MTG_Set[[#This Row],[Type Name]], tbl_MTG_Set_Type[Set Type], tbl_MTG_Set_Type[Heavy Printing Window Month End], "(Set Type not found)", 0, 1)</f>
        <v>18</v>
      </c>
      <c r="R232" s="3">
        <f>tbl_MTG_Set[[#This Row],[Released On]]+tbl_MTG_Set[[#This Row],[Heavy Printing Window Month End]]*365.25/12</f>
        <v>45360.875</v>
      </c>
      <c r="S232" s="3" t="b">
        <f ca="1">AND(NOW()&gt;=tbl_MTG_Set[[#This Row],[Heavy Printing Window Start]], NOW()&lt;=tbl_MTG_Set[[#This Row],[Heavy Printing Window End]])</f>
        <v>0</v>
      </c>
      <c r="T232">
        <f>_xlfn.XLOOKUP(tbl_MTG_Set[[#This Row],[Type Name]], tbl_MTG_Set_Type[Set Type], tbl_MTG_Set_Type[Sell Window Month Start], "(Set Type not found)", 0, 1)</f>
        <v>36</v>
      </c>
      <c r="U232" s="3">
        <f>tbl_MTG_Set[[#This Row],[Released On]]+tbl_MTG_Set[[#This Row],[Sell Window Month Start]]*365.25/12</f>
        <v>45908.75</v>
      </c>
      <c r="V232">
        <f>_xlfn.XLOOKUP(tbl_MTG_Set[[#This Row],[Type Name]], tbl_MTG_Set_Type[Set Type], tbl_MTG_Set_Type[Sell Window Month End], "(Set Type not found)", 0, 1)</f>
        <v>48</v>
      </c>
      <c r="W232" s="3">
        <f>tbl_MTG_Set[[#This Row],[Released On]]+tbl_MTG_Set[[#This Row],[Sell Window Month End]]*365.25/12</f>
        <v>46274</v>
      </c>
      <c r="X232" s="3" t="b">
        <f ca="1">AND(NOW()&gt;=tbl_MTG_Set[[#This Row],[Sell Window Start]], NOW()&lt;=tbl_MTG_Set[[#This Row],[Sell Window End]])</f>
        <v>1</v>
      </c>
      <c r="AG232" s="10"/>
      <c r="AH232" s="10"/>
      <c r="AM232" s="10" t="str" cm="1">
        <f t="array" ref="AM2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2" s="10" t="str" cm="1">
        <f t="array" ref="AN2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2" s="4" t="e">
        <f>_xlfn.XLOOKUP(tbl_MTG_Set[[#This Row],[Play Booster Box Product Id]], tbl_Product[Product Id], tbl_Product[Pack Size])</f>
        <v>#N/A</v>
      </c>
      <c r="AP232" s="10" t="e">
        <f>(tbl_MTG_Set[[#This Row],[Play Booster Box Cost]]+v_Item_Shipping_Cost_In)/tbl_MTG_Set[[#This Row],[Play Booster Box Size]]</f>
        <v>#VALUE!</v>
      </c>
      <c r="AQ232" s="10" t="str" cm="1">
        <f t="array" ref="AQ2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2" s="10"/>
      <c r="AS232" s="10"/>
      <c r="AT232" s="17" t="e">
        <f>tbl_MTG_Set[[#This Row],[Play Booster CardMarket Profit]]/tbl_MTG_Set[[#This Row],[Play Booster Cost]]</f>
        <v>#VALUE!</v>
      </c>
      <c r="AU232" s="10" t="e">
        <f>_xlfn.XLOOKUP(tbl_MTG_Set[[#This Row],[Collector Booster Box Product Id]], tbl_Product[Product Id], tbl_Product[Min Cost])</f>
        <v>#N/A</v>
      </c>
      <c r="AV232" s="10" t="e">
        <f>_xlfn.XLOOKUP(tbl_MTG_Set[[#This Row],[Collector Booster Box Product Id]], tbl_Product[Product Id], tbl_Product[Best Source])</f>
        <v>#N/A</v>
      </c>
      <c r="AW232" s="4" t="e">
        <f>_xlfn.XLOOKUP(tbl_MTG_Set[[#This Row],[Collector Booster Box Product Id]], tbl_Product[Product Id], tbl_Product[Pack Size])</f>
        <v>#N/A</v>
      </c>
      <c r="AX232" s="10" t="e">
        <f>(tbl_MTG_Set[[#This Row],[Collector Booster Box Cost]] + v_Item_Shipping_Cost_In) / tbl_MTG_Set[[#This Row],[Collector Booster Box Size]]</f>
        <v>#N/A</v>
      </c>
      <c r="AY232" s="10" t="str" cm="1">
        <f t="array" ref="AY2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2" s="10"/>
      <c r="BA2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2" s="17" t="e">
        <f>tbl_MTG_Set[[#This Row],[Collector Booster CardMarket Profit]]/tbl_MTG_Set[[#This Row],[Collector Booster Cost]]</f>
        <v>#N/A</v>
      </c>
      <c r="BC232" s="10"/>
      <c r="BF2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2" s="11" t="e">
        <f>tbl_MTG_Set[[#This Row],[Play Singles CardMarket Profit MTG Stocks]]/tbl_MTG_Set[[#This Row],[Play Booster Cost]]</f>
        <v>#VALUE!</v>
      </c>
      <c r="BI232" s="11" t="b">
        <f>tbl_MTG_Set[[#This Row],[Play Singles CardMarket Profit MTG Stocks]]&gt;0</f>
        <v>0</v>
      </c>
      <c r="BM232" s="10" t="e">
        <f>tbl_MTG_Set[[#This Row],[Play Booster Sell Price CardMarket]]*tbl_MTG_Set[[#This Row],[Play Booster Expected Market Value BotBox]]/tbl_MTG_Set[[#This Row],[Play Booster Sealed Market Value BotBox]]</f>
        <v>#VALUE!</v>
      </c>
      <c r="BN2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2" s="10" t="e">
        <f>tbl_MTG_Set[[#This Row],[Play Singles CardMarket Profit BotBox]]/tbl_MTG_Set[[#This Row],[Play Booster Cost]]</f>
        <v>#VALUE!</v>
      </c>
      <c r="BP232" s="10" t="b">
        <f>tbl_MTG_Set[[#This Row],[Play Singles CardMarket Profit BotBox]]&gt;0</f>
        <v>0</v>
      </c>
      <c r="BQ232" s="10"/>
      <c r="BR232" s="10"/>
      <c r="BS232" s="10"/>
      <c r="BT2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2" s="19" t="e">
        <f>tbl_MTG_Set[[#This Row],[Collector Singles CardMarket Profit MTG Stocks]]/tbl_MTG_Set[[#This Row],[Collector Booster Cost]]</f>
        <v>#N/A</v>
      </c>
      <c r="BW232" s="10" t="b">
        <f>tbl_MTG_Set[[#This Row],[Collector Singles CardMarket Profit MTG Stocks]]&gt;0</f>
        <v>0</v>
      </c>
      <c r="BX232" s="10"/>
      <c r="BY232" s="10"/>
      <c r="BZ2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2" s="10" t="e">
        <f>tbl_MTG_Set[[#This Row],[Collector Singles CardMarket Profit BotBox]]/tbl_MTG_Set[[#This Row],[Collector Booster Cost]]</f>
        <v>#N/A</v>
      </c>
      <c r="CC232" s="10" t="b">
        <f>tbl_MTG_Set[[#This Row],[Collector Singles CardMarket Profit BotBox]]&gt;0</f>
        <v>0</v>
      </c>
      <c r="CD2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3" spans="1:86" hidden="1">
      <c r="A233">
        <v>254</v>
      </c>
      <c r="B233" t="s">
        <v>406</v>
      </c>
      <c r="C233">
        <v>81</v>
      </c>
      <c r="D233" s="3">
        <v>44813</v>
      </c>
      <c r="E233" t="s">
        <v>59</v>
      </c>
      <c r="F233" t="s">
        <v>174</v>
      </c>
      <c r="G233">
        <v>454</v>
      </c>
      <c r="H233">
        <f ca="1">MONTH(NOW())+12*YEAR(NOW())-MONTH(tbl_MTG_Set[[#This Row],[Released On]])-12*YEAR(tbl_MTG_Set[[#This Row],[Released On]])</f>
        <v>42</v>
      </c>
      <c r="I233">
        <f>_xlfn.XLOOKUP(tbl_MTG_Set[[#This Row],[Type Name]], tbl_MTG_Set_Type[Set Type], tbl_MTG_Set_Type[Index], "(Set Type not found)")</f>
        <v>1</v>
      </c>
      <c r="J233">
        <f>_xlfn.XLOOKUP(tbl_MTG_Set[[#This Row],[Type Name]], tbl_MTG_Set_Type[Set Type], tbl_MTG_Set_Type[Buy Window Month Start], "(Set Type not found)")</f>
        <v>18</v>
      </c>
      <c r="K233" s="3">
        <f>tbl_MTG_Set[[#This Row],[Released On]]+tbl_MTG_Set[[#This Row],[Buy Window Month Start]]*365.25/12</f>
        <v>45360.875</v>
      </c>
      <c r="L233">
        <f>_xlfn.XLOOKUP(tbl_MTG_Set[[#This Row],[Type Name]], tbl_MTG_Set_Type[Set Type], tbl_MTG_Set_Type[Buy Window Month End], "(Set Type not found)", 0, 1)</f>
        <v>24</v>
      </c>
      <c r="M233" s="3">
        <f>tbl_MTG_Set[[#This Row],[Released On]]+tbl_MTG_Set[[#This Row],[Buy Window Month End]]*365.25/12</f>
        <v>45543.5</v>
      </c>
      <c r="N233" s="3" t="b">
        <f ca="1">AND(NOW()&gt;=tbl_MTG_Set[[#This Row],[Buy Window Start]], NOW()&lt;=tbl_MTG_Set[[#This Row],[Buy Window End]])</f>
        <v>0</v>
      </c>
      <c r="O233">
        <f>_xlfn.XLOOKUP(tbl_MTG_Set[[#This Row],[Type Name]], tbl_MTG_Set_Type[Set Type], tbl_MTG_Set_Type[Heavy Printing Window Month Start], "(Set Type not found)", 0, 1)</f>
        <v>1</v>
      </c>
      <c r="P233" s="3">
        <f>tbl_MTG_Set[[#This Row],[Released On]]+tbl_MTG_Set[[#This Row],[Heavy Printing Window Month Start]]*365.25/12</f>
        <v>44843.4375</v>
      </c>
      <c r="Q233">
        <f>_xlfn.XLOOKUP(tbl_MTG_Set[[#This Row],[Type Name]], tbl_MTG_Set_Type[Set Type], tbl_MTG_Set_Type[Heavy Printing Window Month End], "(Set Type not found)", 0, 1)</f>
        <v>18</v>
      </c>
      <c r="R233" s="3">
        <f>tbl_MTG_Set[[#This Row],[Released On]]+tbl_MTG_Set[[#This Row],[Heavy Printing Window Month End]]*365.25/12</f>
        <v>45360.875</v>
      </c>
      <c r="S233" s="3" t="b">
        <f ca="1">AND(NOW()&gt;=tbl_MTG_Set[[#This Row],[Heavy Printing Window Start]], NOW()&lt;=tbl_MTG_Set[[#This Row],[Heavy Printing Window End]])</f>
        <v>0</v>
      </c>
      <c r="T233">
        <f>_xlfn.XLOOKUP(tbl_MTG_Set[[#This Row],[Type Name]], tbl_MTG_Set_Type[Set Type], tbl_MTG_Set_Type[Sell Window Month Start], "(Set Type not found)", 0, 1)</f>
        <v>36</v>
      </c>
      <c r="U233" s="3">
        <f>tbl_MTG_Set[[#This Row],[Released On]]+tbl_MTG_Set[[#This Row],[Sell Window Month Start]]*365.25/12</f>
        <v>45908.75</v>
      </c>
      <c r="V233">
        <f>_xlfn.XLOOKUP(tbl_MTG_Set[[#This Row],[Type Name]], tbl_MTG_Set_Type[Set Type], tbl_MTG_Set_Type[Sell Window Month End], "(Set Type not found)", 0, 1)</f>
        <v>48</v>
      </c>
      <c r="W233" s="3">
        <f>tbl_MTG_Set[[#This Row],[Released On]]+tbl_MTG_Set[[#This Row],[Sell Window Month End]]*365.25/12</f>
        <v>46274</v>
      </c>
      <c r="X233" s="3" t="b">
        <f ca="1">AND(NOW()&gt;=tbl_MTG_Set[[#This Row],[Sell Window Start]], NOW()&lt;=tbl_MTG_Set[[#This Row],[Sell Window End]])</f>
        <v>1</v>
      </c>
      <c r="AG233" s="10"/>
      <c r="AH233" s="10"/>
      <c r="AM233" s="10" t="str" cm="1">
        <f t="array" ref="AM2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3" s="10" t="str" cm="1">
        <f t="array" ref="AN2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3" s="4" t="e">
        <f>_xlfn.XLOOKUP(tbl_MTG_Set[[#This Row],[Play Booster Box Product Id]], tbl_Product[Product Id], tbl_Product[Pack Size])</f>
        <v>#N/A</v>
      </c>
      <c r="AP233" s="10" t="e">
        <f>(tbl_MTG_Set[[#This Row],[Play Booster Box Cost]]+v_Item_Shipping_Cost_In)/tbl_MTG_Set[[#This Row],[Play Booster Box Size]]</f>
        <v>#VALUE!</v>
      </c>
      <c r="AQ233" s="10" t="str" cm="1">
        <f t="array" ref="AQ2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3" s="10"/>
      <c r="AS233" s="10"/>
      <c r="AT233" s="17" t="e">
        <f>tbl_MTG_Set[[#This Row],[Play Booster CardMarket Profit]]/tbl_MTG_Set[[#This Row],[Play Booster Cost]]</f>
        <v>#VALUE!</v>
      </c>
      <c r="AU233" s="10" t="e">
        <f>_xlfn.XLOOKUP(tbl_MTG_Set[[#This Row],[Collector Booster Box Product Id]], tbl_Product[Product Id], tbl_Product[Min Cost])</f>
        <v>#N/A</v>
      </c>
      <c r="AV233" s="10" t="e">
        <f>_xlfn.XLOOKUP(tbl_MTG_Set[[#This Row],[Collector Booster Box Product Id]], tbl_Product[Product Id], tbl_Product[Best Source])</f>
        <v>#N/A</v>
      </c>
      <c r="AW233" s="4" t="e">
        <f>_xlfn.XLOOKUP(tbl_MTG_Set[[#This Row],[Collector Booster Box Product Id]], tbl_Product[Product Id], tbl_Product[Pack Size])</f>
        <v>#N/A</v>
      </c>
      <c r="AX233" s="10" t="e">
        <f>(tbl_MTG_Set[[#This Row],[Collector Booster Box Cost]] + v_Item_Shipping_Cost_In) / tbl_MTG_Set[[#This Row],[Collector Booster Box Size]]</f>
        <v>#N/A</v>
      </c>
      <c r="AY233" s="10" t="str" cm="1">
        <f t="array" ref="AY2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3" s="10"/>
      <c r="BA2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3" s="17" t="e">
        <f>tbl_MTG_Set[[#This Row],[Collector Booster CardMarket Profit]]/tbl_MTG_Set[[#This Row],[Collector Booster Cost]]</f>
        <v>#N/A</v>
      </c>
      <c r="BC233" s="10"/>
      <c r="BF2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3" s="11" t="e">
        <f>tbl_MTG_Set[[#This Row],[Play Singles CardMarket Profit MTG Stocks]]/tbl_MTG_Set[[#This Row],[Play Booster Cost]]</f>
        <v>#VALUE!</v>
      </c>
      <c r="BI233" s="11" t="b">
        <f>tbl_MTG_Set[[#This Row],[Play Singles CardMarket Profit MTG Stocks]]&gt;0</f>
        <v>0</v>
      </c>
      <c r="BM233" s="10" t="e">
        <f>tbl_MTG_Set[[#This Row],[Play Booster Sell Price CardMarket]]*tbl_MTG_Set[[#This Row],[Play Booster Expected Market Value BotBox]]/tbl_MTG_Set[[#This Row],[Play Booster Sealed Market Value BotBox]]</f>
        <v>#VALUE!</v>
      </c>
      <c r="BN2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3" s="10" t="e">
        <f>tbl_MTG_Set[[#This Row],[Play Singles CardMarket Profit BotBox]]/tbl_MTG_Set[[#This Row],[Play Booster Cost]]</f>
        <v>#VALUE!</v>
      </c>
      <c r="BP233" s="10" t="b">
        <f>tbl_MTG_Set[[#This Row],[Play Singles CardMarket Profit BotBox]]&gt;0</f>
        <v>0</v>
      </c>
      <c r="BQ233" s="10"/>
      <c r="BR233" s="10"/>
      <c r="BS233" s="10"/>
      <c r="BT2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3" s="19" t="e">
        <f>tbl_MTG_Set[[#This Row],[Collector Singles CardMarket Profit MTG Stocks]]/tbl_MTG_Set[[#This Row],[Collector Booster Cost]]</f>
        <v>#N/A</v>
      </c>
      <c r="BW233" s="10" t="b">
        <f>tbl_MTG_Set[[#This Row],[Collector Singles CardMarket Profit MTG Stocks]]&gt;0</f>
        <v>0</v>
      </c>
      <c r="BX233" s="10"/>
      <c r="BY233" s="10"/>
      <c r="BZ2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3" s="10" t="e">
        <f>tbl_MTG_Set[[#This Row],[Collector Singles CardMarket Profit BotBox]]/tbl_MTG_Set[[#This Row],[Collector Booster Cost]]</f>
        <v>#N/A</v>
      </c>
      <c r="CC233" s="10" t="b">
        <f>tbl_MTG_Set[[#This Row],[Collector Singles CardMarket Profit BotBox]]&gt;0</f>
        <v>0</v>
      </c>
      <c r="CD2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4" spans="1:86" hidden="1">
      <c r="A234">
        <v>255</v>
      </c>
      <c r="B234" t="s">
        <v>407</v>
      </c>
      <c r="C234">
        <v>240</v>
      </c>
      <c r="D234" s="3">
        <v>44813</v>
      </c>
      <c r="E234" t="s">
        <v>59</v>
      </c>
      <c r="F234" t="s">
        <v>174</v>
      </c>
      <c r="G234">
        <v>456</v>
      </c>
      <c r="H234">
        <f ca="1">MONTH(NOW())+12*YEAR(NOW())-MONTH(tbl_MTG_Set[[#This Row],[Released On]])-12*YEAR(tbl_MTG_Set[[#This Row],[Released On]])</f>
        <v>42</v>
      </c>
      <c r="I234">
        <f>_xlfn.XLOOKUP(tbl_MTG_Set[[#This Row],[Type Name]], tbl_MTG_Set_Type[Set Type], tbl_MTG_Set_Type[Index], "(Set Type not found)")</f>
        <v>1</v>
      </c>
      <c r="J234">
        <f>_xlfn.XLOOKUP(tbl_MTG_Set[[#This Row],[Type Name]], tbl_MTG_Set_Type[Set Type], tbl_MTG_Set_Type[Buy Window Month Start], "(Set Type not found)")</f>
        <v>18</v>
      </c>
      <c r="K234" s="3">
        <f>tbl_MTG_Set[[#This Row],[Released On]]+tbl_MTG_Set[[#This Row],[Buy Window Month Start]]*365.25/12</f>
        <v>45360.875</v>
      </c>
      <c r="L234">
        <f>_xlfn.XLOOKUP(tbl_MTG_Set[[#This Row],[Type Name]], tbl_MTG_Set_Type[Set Type], tbl_MTG_Set_Type[Buy Window Month End], "(Set Type not found)", 0, 1)</f>
        <v>24</v>
      </c>
      <c r="M234" s="3">
        <f>tbl_MTG_Set[[#This Row],[Released On]]+tbl_MTG_Set[[#This Row],[Buy Window Month End]]*365.25/12</f>
        <v>45543.5</v>
      </c>
      <c r="N234" s="3" t="b">
        <f ca="1">AND(NOW()&gt;=tbl_MTG_Set[[#This Row],[Buy Window Start]], NOW()&lt;=tbl_MTG_Set[[#This Row],[Buy Window End]])</f>
        <v>0</v>
      </c>
      <c r="O234">
        <f>_xlfn.XLOOKUP(tbl_MTG_Set[[#This Row],[Type Name]], tbl_MTG_Set_Type[Set Type], tbl_MTG_Set_Type[Heavy Printing Window Month Start], "(Set Type not found)", 0, 1)</f>
        <v>1</v>
      </c>
      <c r="P234" s="3">
        <f>tbl_MTG_Set[[#This Row],[Released On]]+tbl_MTG_Set[[#This Row],[Heavy Printing Window Month Start]]*365.25/12</f>
        <v>44843.4375</v>
      </c>
      <c r="Q234">
        <f>_xlfn.XLOOKUP(tbl_MTG_Set[[#This Row],[Type Name]], tbl_MTG_Set_Type[Set Type], tbl_MTG_Set_Type[Heavy Printing Window Month End], "(Set Type not found)", 0, 1)</f>
        <v>18</v>
      </c>
      <c r="R234" s="3">
        <f>tbl_MTG_Set[[#This Row],[Released On]]+tbl_MTG_Set[[#This Row],[Heavy Printing Window Month End]]*365.25/12</f>
        <v>45360.875</v>
      </c>
      <c r="S234" s="3" t="b">
        <f ca="1">AND(NOW()&gt;=tbl_MTG_Set[[#This Row],[Heavy Printing Window Start]], NOW()&lt;=tbl_MTG_Set[[#This Row],[Heavy Printing Window End]])</f>
        <v>0</v>
      </c>
      <c r="T234">
        <f>_xlfn.XLOOKUP(tbl_MTG_Set[[#This Row],[Type Name]], tbl_MTG_Set_Type[Set Type], tbl_MTG_Set_Type[Sell Window Month Start], "(Set Type not found)", 0, 1)</f>
        <v>36</v>
      </c>
      <c r="U234" s="3">
        <f>tbl_MTG_Set[[#This Row],[Released On]]+tbl_MTG_Set[[#This Row],[Sell Window Month Start]]*365.25/12</f>
        <v>45908.75</v>
      </c>
      <c r="V234">
        <f>_xlfn.XLOOKUP(tbl_MTG_Set[[#This Row],[Type Name]], tbl_MTG_Set_Type[Set Type], tbl_MTG_Set_Type[Sell Window Month End], "(Set Type not found)", 0, 1)</f>
        <v>48</v>
      </c>
      <c r="W234" s="3">
        <f>tbl_MTG_Set[[#This Row],[Released On]]+tbl_MTG_Set[[#This Row],[Sell Window Month End]]*365.25/12</f>
        <v>46274</v>
      </c>
      <c r="X234" s="3" t="b">
        <f ca="1">AND(NOW()&gt;=tbl_MTG_Set[[#This Row],[Sell Window Start]], NOW()&lt;=tbl_MTG_Set[[#This Row],[Sell Window End]])</f>
        <v>1</v>
      </c>
      <c r="AG234" s="10"/>
      <c r="AH234" s="10"/>
      <c r="AM234" s="10" t="str" cm="1">
        <f t="array" ref="AM2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4" s="10" t="str" cm="1">
        <f t="array" ref="AN2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4" s="4" t="e">
        <f>_xlfn.XLOOKUP(tbl_MTG_Set[[#This Row],[Play Booster Box Product Id]], tbl_Product[Product Id], tbl_Product[Pack Size])</f>
        <v>#N/A</v>
      </c>
      <c r="AP234" s="10" t="e">
        <f>(tbl_MTG_Set[[#This Row],[Play Booster Box Cost]]+v_Item_Shipping_Cost_In)/tbl_MTG_Set[[#This Row],[Play Booster Box Size]]</f>
        <v>#VALUE!</v>
      </c>
      <c r="AQ234" s="10" t="str" cm="1">
        <f t="array" ref="AQ2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4" s="10"/>
      <c r="AS234" s="10"/>
      <c r="AT234" s="17" t="e">
        <f>tbl_MTG_Set[[#This Row],[Play Booster CardMarket Profit]]/tbl_MTG_Set[[#This Row],[Play Booster Cost]]</f>
        <v>#VALUE!</v>
      </c>
      <c r="AU234" s="10" t="e">
        <f>_xlfn.XLOOKUP(tbl_MTG_Set[[#This Row],[Collector Booster Box Product Id]], tbl_Product[Product Id], tbl_Product[Min Cost])</f>
        <v>#N/A</v>
      </c>
      <c r="AV234" s="10" t="e">
        <f>_xlfn.XLOOKUP(tbl_MTG_Set[[#This Row],[Collector Booster Box Product Id]], tbl_Product[Product Id], tbl_Product[Best Source])</f>
        <v>#N/A</v>
      </c>
      <c r="AW234" s="4" t="e">
        <f>_xlfn.XLOOKUP(tbl_MTG_Set[[#This Row],[Collector Booster Box Product Id]], tbl_Product[Product Id], tbl_Product[Pack Size])</f>
        <v>#N/A</v>
      </c>
      <c r="AX234" s="10" t="e">
        <f>(tbl_MTG_Set[[#This Row],[Collector Booster Box Cost]] + v_Item_Shipping_Cost_In) / tbl_MTG_Set[[#This Row],[Collector Booster Box Size]]</f>
        <v>#N/A</v>
      </c>
      <c r="AY234" s="10" t="str" cm="1">
        <f t="array" ref="AY2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4" s="10"/>
      <c r="BA2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4" s="17" t="e">
        <f>tbl_MTG_Set[[#This Row],[Collector Booster CardMarket Profit]]/tbl_MTG_Set[[#This Row],[Collector Booster Cost]]</f>
        <v>#N/A</v>
      </c>
      <c r="BC234" s="10"/>
      <c r="BF2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4" s="11" t="e">
        <f>tbl_MTG_Set[[#This Row],[Play Singles CardMarket Profit MTG Stocks]]/tbl_MTG_Set[[#This Row],[Play Booster Cost]]</f>
        <v>#VALUE!</v>
      </c>
      <c r="BI234" s="11" t="b">
        <f>tbl_MTG_Set[[#This Row],[Play Singles CardMarket Profit MTG Stocks]]&gt;0</f>
        <v>0</v>
      </c>
      <c r="BM234" s="10" t="e">
        <f>tbl_MTG_Set[[#This Row],[Play Booster Sell Price CardMarket]]*tbl_MTG_Set[[#This Row],[Play Booster Expected Market Value BotBox]]/tbl_MTG_Set[[#This Row],[Play Booster Sealed Market Value BotBox]]</f>
        <v>#VALUE!</v>
      </c>
      <c r="BN2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4" s="10" t="e">
        <f>tbl_MTG_Set[[#This Row],[Play Singles CardMarket Profit BotBox]]/tbl_MTG_Set[[#This Row],[Play Booster Cost]]</f>
        <v>#VALUE!</v>
      </c>
      <c r="BP234" s="10" t="b">
        <f>tbl_MTG_Set[[#This Row],[Play Singles CardMarket Profit BotBox]]&gt;0</f>
        <v>0</v>
      </c>
      <c r="BQ234" s="10"/>
      <c r="BR234" s="10"/>
      <c r="BS234" s="10"/>
      <c r="BT2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4" s="19" t="e">
        <f>tbl_MTG_Set[[#This Row],[Collector Singles CardMarket Profit MTG Stocks]]/tbl_MTG_Set[[#This Row],[Collector Booster Cost]]</f>
        <v>#N/A</v>
      </c>
      <c r="BW234" s="10" t="b">
        <f>tbl_MTG_Set[[#This Row],[Collector Singles CardMarket Profit MTG Stocks]]&gt;0</f>
        <v>0</v>
      </c>
      <c r="BX234" s="10"/>
      <c r="BY234" s="10"/>
      <c r="BZ2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4" s="10" t="e">
        <f>tbl_MTG_Set[[#This Row],[Collector Singles CardMarket Profit BotBox]]/tbl_MTG_Set[[#This Row],[Collector Booster Cost]]</f>
        <v>#N/A</v>
      </c>
      <c r="CC234" s="10" t="b">
        <f>tbl_MTG_Set[[#This Row],[Collector Singles CardMarket Profit BotBox]]&gt;0</f>
        <v>0</v>
      </c>
      <c r="CD2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5" spans="1:86" hidden="1">
      <c r="A235">
        <v>256</v>
      </c>
      <c r="B235" t="s">
        <v>408</v>
      </c>
      <c r="C235">
        <v>12</v>
      </c>
      <c r="D235" s="3">
        <v>44813</v>
      </c>
      <c r="E235" t="s">
        <v>59</v>
      </c>
      <c r="F235" t="s">
        <v>174</v>
      </c>
      <c r="G235">
        <v>458</v>
      </c>
      <c r="H235">
        <f ca="1">MONTH(NOW())+12*YEAR(NOW())-MONTH(tbl_MTG_Set[[#This Row],[Released On]])-12*YEAR(tbl_MTG_Set[[#This Row],[Released On]])</f>
        <v>42</v>
      </c>
      <c r="I235">
        <f>_xlfn.XLOOKUP(tbl_MTG_Set[[#This Row],[Type Name]], tbl_MTG_Set_Type[Set Type], tbl_MTG_Set_Type[Index], "(Set Type not found)")</f>
        <v>1</v>
      </c>
      <c r="J235">
        <f>_xlfn.XLOOKUP(tbl_MTG_Set[[#This Row],[Type Name]], tbl_MTG_Set_Type[Set Type], tbl_MTG_Set_Type[Buy Window Month Start], "(Set Type not found)")</f>
        <v>18</v>
      </c>
      <c r="K235" s="3">
        <f>tbl_MTG_Set[[#This Row],[Released On]]+tbl_MTG_Set[[#This Row],[Buy Window Month Start]]*365.25/12</f>
        <v>45360.875</v>
      </c>
      <c r="L235">
        <f>_xlfn.XLOOKUP(tbl_MTG_Set[[#This Row],[Type Name]], tbl_MTG_Set_Type[Set Type], tbl_MTG_Set_Type[Buy Window Month End], "(Set Type not found)", 0, 1)</f>
        <v>24</v>
      </c>
      <c r="M235" s="3">
        <f>tbl_MTG_Set[[#This Row],[Released On]]+tbl_MTG_Set[[#This Row],[Buy Window Month End]]*365.25/12</f>
        <v>45543.5</v>
      </c>
      <c r="N235" s="3" t="b">
        <f ca="1">AND(NOW()&gt;=tbl_MTG_Set[[#This Row],[Buy Window Start]], NOW()&lt;=tbl_MTG_Set[[#This Row],[Buy Window End]])</f>
        <v>0</v>
      </c>
      <c r="O235">
        <f>_xlfn.XLOOKUP(tbl_MTG_Set[[#This Row],[Type Name]], tbl_MTG_Set_Type[Set Type], tbl_MTG_Set_Type[Heavy Printing Window Month Start], "(Set Type not found)", 0, 1)</f>
        <v>1</v>
      </c>
      <c r="P235" s="3">
        <f>tbl_MTG_Set[[#This Row],[Released On]]+tbl_MTG_Set[[#This Row],[Heavy Printing Window Month Start]]*365.25/12</f>
        <v>44843.4375</v>
      </c>
      <c r="Q235">
        <f>_xlfn.XLOOKUP(tbl_MTG_Set[[#This Row],[Type Name]], tbl_MTG_Set_Type[Set Type], tbl_MTG_Set_Type[Heavy Printing Window Month End], "(Set Type not found)", 0, 1)</f>
        <v>18</v>
      </c>
      <c r="R235" s="3">
        <f>tbl_MTG_Set[[#This Row],[Released On]]+tbl_MTG_Set[[#This Row],[Heavy Printing Window Month End]]*365.25/12</f>
        <v>45360.875</v>
      </c>
      <c r="S235" s="3" t="b">
        <f ca="1">AND(NOW()&gt;=tbl_MTG_Set[[#This Row],[Heavy Printing Window Start]], NOW()&lt;=tbl_MTG_Set[[#This Row],[Heavy Printing Window End]])</f>
        <v>0</v>
      </c>
      <c r="T235">
        <f>_xlfn.XLOOKUP(tbl_MTG_Set[[#This Row],[Type Name]], tbl_MTG_Set_Type[Set Type], tbl_MTG_Set_Type[Sell Window Month Start], "(Set Type not found)", 0, 1)</f>
        <v>36</v>
      </c>
      <c r="U235" s="3">
        <f>tbl_MTG_Set[[#This Row],[Released On]]+tbl_MTG_Set[[#This Row],[Sell Window Month Start]]*365.25/12</f>
        <v>45908.75</v>
      </c>
      <c r="V235">
        <f>_xlfn.XLOOKUP(tbl_MTG_Set[[#This Row],[Type Name]], tbl_MTG_Set_Type[Set Type], tbl_MTG_Set_Type[Sell Window Month End], "(Set Type not found)", 0, 1)</f>
        <v>48</v>
      </c>
      <c r="W235" s="3">
        <f>tbl_MTG_Set[[#This Row],[Released On]]+tbl_MTG_Set[[#This Row],[Sell Window Month End]]*365.25/12</f>
        <v>46274</v>
      </c>
      <c r="X235" s="3" t="b">
        <f ca="1">AND(NOW()&gt;=tbl_MTG_Set[[#This Row],[Sell Window Start]], NOW()&lt;=tbl_MTG_Set[[#This Row],[Sell Window End]])</f>
        <v>1</v>
      </c>
      <c r="AG235" s="10"/>
      <c r="AH235" s="10"/>
      <c r="AM235" s="10" t="str" cm="1">
        <f t="array" ref="AM2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5" s="10" t="str" cm="1">
        <f t="array" ref="AN2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5" s="4" t="e">
        <f>_xlfn.XLOOKUP(tbl_MTG_Set[[#This Row],[Play Booster Box Product Id]], tbl_Product[Product Id], tbl_Product[Pack Size])</f>
        <v>#N/A</v>
      </c>
      <c r="AP235" s="10" t="e">
        <f>(tbl_MTG_Set[[#This Row],[Play Booster Box Cost]]+v_Item_Shipping_Cost_In)/tbl_MTG_Set[[#This Row],[Play Booster Box Size]]</f>
        <v>#VALUE!</v>
      </c>
      <c r="AQ235" s="10" t="str" cm="1">
        <f t="array" ref="AQ2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5" s="10"/>
      <c r="AS235" s="10"/>
      <c r="AT235" s="17" t="e">
        <f>tbl_MTG_Set[[#This Row],[Play Booster CardMarket Profit]]/tbl_MTG_Set[[#This Row],[Play Booster Cost]]</f>
        <v>#VALUE!</v>
      </c>
      <c r="AU235" s="10" t="e">
        <f>_xlfn.XLOOKUP(tbl_MTG_Set[[#This Row],[Collector Booster Box Product Id]], tbl_Product[Product Id], tbl_Product[Min Cost])</f>
        <v>#N/A</v>
      </c>
      <c r="AV235" s="10" t="e">
        <f>_xlfn.XLOOKUP(tbl_MTG_Set[[#This Row],[Collector Booster Box Product Id]], tbl_Product[Product Id], tbl_Product[Best Source])</f>
        <v>#N/A</v>
      </c>
      <c r="AW235" s="4" t="e">
        <f>_xlfn.XLOOKUP(tbl_MTG_Set[[#This Row],[Collector Booster Box Product Id]], tbl_Product[Product Id], tbl_Product[Pack Size])</f>
        <v>#N/A</v>
      </c>
      <c r="AX235" s="10" t="e">
        <f>(tbl_MTG_Set[[#This Row],[Collector Booster Box Cost]] + v_Item_Shipping_Cost_In) / tbl_MTG_Set[[#This Row],[Collector Booster Box Size]]</f>
        <v>#N/A</v>
      </c>
      <c r="AY235" s="10" t="str" cm="1">
        <f t="array" ref="AY2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5" s="10"/>
      <c r="BA2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5" s="17" t="e">
        <f>tbl_MTG_Set[[#This Row],[Collector Booster CardMarket Profit]]/tbl_MTG_Set[[#This Row],[Collector Booster Cost]]</f>
        <v>#N/A</v>
      </c>
      <c r="BC235" s="10"/>
      <c r="BF2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5" s="11" t="e">
        <f>tbl_MTG_Set[[#This Row],[Play Singles CardMarket Profit MTG Stocks]]/tbl_MTG_Set[[#This Row],[Play Booster Cost]]</f>
        <v>#VALUE!</v>
      </c>
      <c r="BI235" s="11" t="b">
        <f>tbl_MTG_Set[[#This Row],[Play Singles CardMarket Profit MTG Stocks]]&gt;0</f>
        <v>0</v>
      </c>
      <c r="BM235" s="10" t="e">
        <f>tbl_MTG_Set[[#This Row],[Play Booster Sell Price CardMarket]]*tbl_MTG_Set[[#This Row],[Play Booster Expected Market Value BotBox]]/tbl_MTG_Set[[#This Row],[Play Booster Sealed Market Value BotBox]]</f>
        <v>#VALUE!</v>
      </c>
      <c r="BN2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5" s="10" t="e">
        <f>tbl_MTG_Set[[#This Row],[Play Singles CardMarket Profit BotBox]]/tbl_MTG_Set[[#This Row],[Play Booster Cost]]</f>
        <v>#VALUE!</v>
      </c>
      <c r="BP235" s="10" t="b">
        <f>tbl_MTG_Set[[#This Row],[Play Singles CardMarket Profit BotBox]]&gt;0</f>
        <v>0</v>
      </c>
      <c r="BQ235" s="10"/>
      <c r="BR235" s="10"/>
      <c r="BS235" s="10"/>
      <c r="BT2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5" s="19" t="e">
        <f>tbl_MTG_Set[[#This Row],[Collector Singles CardMarket Profit MTG Stocks]]/tbl_MTG_Set[[#This Row],[Collector Booster Cost]]</f>
        <v>#N/A</v>
      </c>
      <c r="BW235" s="10" t="b">
        <f>tbl_MTG_Set[[#This Row],[Collector Singles CardMarket Profit MTG Stocks]]&gt;0</f>
        <v>0</v>
      </c>
      <c r="BX235" s="10"/>
      <c r="BY235" s="10"/>
      <c r="BZ2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5" s="10" t="e">
        <f>tbl_MTG_Set[[#This Row],[Collector Singles CardMarket Profit BotBox]]/tbl_MTG_Set[[#This Row],[Collector Booster Cost]]</f>
        <v>#N/A</v>
      </c>
      <c r="CC235" s="10" t="b">
        <f>tbl_MTG_Set[[#This Row],[Collector Singles CardMarket Profit BotBox]]&gt;0</f>
        <v>0</v>
      </c>
      <c r="CD2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6" spans="1:86" hidden="1">
      <c r="A236">
        <v>257</v>
      </c>
      <c r="B236" t="s">
        <v>409</v>
      </c>
      <c r="C236">
        <v>3</v>
      </c>
      <c r="D236" s="3">
        <v>44813</v>
      </c>
      <c r="E236" t="s">
        <v>59</v>
      </c>
      <c r="F236" t="s">
        <v>174</v>
      </c>
      <c r="G236">
        <v>460</v>
      </c>
      <c r="H236">
        <f ca="1">MONTH(NOW())+12*YEAR(NOW())-MONTH(tbl_MTG_Set[[#This Row],[Released On]])-12*YEAR(tbl_MTG_Set[[#This Row],[Released On]])</f>
        <v>42</v>
      </c>
      <c r="I236">
        <f>_xlfn.XLOOKUP(tbl_MTG_Set[[#This Row],[Type Name]], tbl_MTG_Set_Type[Set Type], tbl_MTG_Set_Type[Index], "(Set Type not found)")</f>
        <v>1</v>
      </c>
      <c r="J236">
        <f>_xlfn.XLOOKUP(tbl_MTG_Set[[#This Row],[Type Name]], tbl_MTG_Set_Type[Set Type], tbl_MTG_Set_Type[Buy Window Month Start], "(Set Type not found)")</f>
        <v>18</v>
      </c>
      <c r="K236" s="3">
        <f>tbl_MTG_Set[[#This Row],[Released On]]+tbl_MTG_Set[[#This Row],[Buy Window Month Start]]*365.25/12</f>
        <v>45360.875</v>
      </c>
      <c r="L236">
        <f>_xlfn.XLOOKUP(tbl_MTG_Set[[#This Row],[Type Name]], tbl_MTG_Set_Type[Set Type], tbl_MTG_Set_Type[Buy Window Month End], "(Set Type not found)", 0, 1)</f>
        <v>24</v>
      </c>
      <c r="M236" s="3">
        <f>tbl_MTG_Set[[#This Row],[Released On]]+tbl_MTG_Set[[#This Row],[Buy Window Month End]]*365.25/12</f>
        <v>45543.5</v>
      </c>
      <c r="N236" s="3" t="b">
        <f ca="1">AND(NOW()&gt;=tbl_MTG_Set[[#This Row],[Buy Window Start]], NOW()&lt;=tbl_MTG_Set[[#This Row],[Buy Window End]])</f>
        <v>0</v>
      </c>
      <c r="O236">
        <f>_xlfn.XLOOKUP(tbl_MTG_Set[[#This Row],[Type Name]], tbl_MTG_Set_Type[Set Type], tbl_MTG_Set_Type[Heavy Printing Window Month Start], "(Set Type not found)", 0, 1)</f>
        <v>1</v>
      </c>
      <c r="P236" s="3">
        <f>tbl_MTG_Set[[#This Row],[Released On]]+tbl_MTG_Set[[#This Row],[Heavy Printing Window Month Start]]*365.25/12</f>
        <v>44843.4375</v>
      </c>
      <c r="Q236">
        <f>_xlfn.XLOOKUP(tbl_MTG_Set[[#This Row],[Type Name]], tbl_MTG_Set_Type[Set Type], tbl_MTG_Set_Type[Heavy Printing Window Month End], "(Set Type not found)", 0, 1)</f>
        <v>18</v>
      </c>
      <c r="R236" s="3">
        <f>tbl_MTG_Set[[#This Row],[Released On]]+tbl_MTG_Set[[#This Row],[Heavy Printing Window Month End]]*365.25/12</f>
        <v>45360.875</v>
      </c>
      <c r="S236" s="3" t="b">
        <f ca="1">AND(NOW()&gt;=tbl_MTG_Set[[#This Row],[Heavy Printing Window Start]], NOW()&lt;=tbl_MTG_Set[[#This Row],[Heavy Printing Window End]])</f>
        <v>0</v>
      </c>
      <c r="T236">
        <f>_xlfn.XLOOKUP(tbl_MTG_Set[[#This Row],[Type Name]], tbl_MTG_Set_Type[Set Type], tbl_MTG_Set_Type[Sell Window Month Start], "(Set Type not found)", 0, 1)</f>
        <v>36</v>
      </c>
      <c r="U236" s="3">
        <f>tbl_MTG_Set[[#This Row],[Released On]]+tbl_MTG_Set[[#This Row],[Sell Window Month Start]]*365.25/12</f>
        <v>45908.75</v>
      </c>
      <c r="V236">
        <f>_xlfn.XLOOKUP(tbl_MTG_Set[[#This Row],[Type Name]], tbl_MTG_Set_Type[Set Type], tbl_MTG_Set_Type[Sell Window Month End], "(Set Type not found)", 0, 1)</f>
        <v>48</v>
      </c>
      <c r="W236" s="3">
        <f>tbl_MTG_Set[[#This Row],[Released On]]+tbl_MTG_Set[[#This Row],[Sell Window Month End]]*365.25/12</f>
        <v>46274</v>
      </c>
      <c r="X236" s="3" t="b">
        <f ca="1">AND(NOW()&gt;=tbl_MTG_Set[[#This Row],[Sell Window Start]], NOW()&lt;=tbl_MTG_Set[[#This Row],[Sell Window End]])</f>
        <v>1</v>
      </c>
      <c r="AG236" s="10"/>
      <c r="AH236" s="10"/>
      <c r="AM236" s="10" t="str" cm="1">
        <f t="array" ref="AM2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6" s="10" t="str" cm="1">
        <f t="array" ref="AN2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6" s="4" t="e">
        <f>_xlfn.XLOOKUP(tbl_MTG_Set[[#This Row],[Play Booster Box Product Id]], tbl_Product[Product Id], tbl_Product[Pack Size])</f>
        <v>#N/A</v>
      </c>
      <c r="AP236" s="10" t="e">
        <f>(tbl_MTG_Set[[#This Row],[Play Booster Box Cost]]+v_Item_Shipping_Cost_In)/tbl_MTG_Set[[#This Row],[Play Booster Box Size]]</f>
        <v>#VALUE!</v>
      </c>
      <c r="AQ236" s="10" t="str" cm="1">
        <f t="array" ref="AQ2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6" s="10"/>
      <c r="AS236" s="10"/>
      <c r="AT236" s="17" t="e">
        <f>tbl_MTG_Set[[#This Row],[Play Booster CardMarket Profit]]/tbl_MTG_Set[[#This Row],[Play Booster Cost]]</f>
        <v>#VALUE!</v>
      </c>
      <c r="AU236" s="10" t="e">
        <f>_xlfn.XLOOKUP(tbl_MTG_Set[[#This Row],[Collector Booster Box Product Id]], tbl_Product[Product Id], tbl_Product[Min Cost])</f>
        <v>#N/A</v>
      </c>
      <c r="AV236" s="10" t="e">
        <f>_xlfn.XLOOKUP(tbl_MTG_Set[[#This Row],[Collector Booster Box Product Id]], tbl_Product[Product Id], tbl_Product[Best Source])</f>
        <v>#N/A</v>
      </c>
      <c r="AW236" s="4" t="e">
        <f>_xlfn.XLOOKUP(tbl_MTG_Set[[#This Row],[Collector Booster Box Product Id]], tbl_Product[Product Id], tbl_Product[Pack Size])</f>
        <v>#N/A</v>
      </c>
      <c r="AX236" s="10" t="e">
        <f>(tbl_MTG_Set[[#This Row],[Collector Booster Box Cost]] + v_Item_Shipping_Cost_In) / tbl_MTG_Set[[#This Row],[Collector Booster Box Size]]</f>
        <v>#N/A</v>
      </c>
      <c r="AY236" s="10" t="str" cm="1">
        <f t="array" ref="AY2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6" s="10"/>
      <c r="BA2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6" s="17" t="e">
        <f>tbl_MTG_Set[[#This Row],[Collector Booster CardMarket Profit]]/tbl_MTG_Set[[#This Row],[Collector Booster Cost]]</f>
        <v>#N/A</v>
      </c>
      <c r="BC236" s="10"/>
      <c r="BF2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6" s="11" t="e">
        <f>tbl_MTG_Set[[#This Row],[Play Singles CardMarket Profit MTG Stocks]]/tbl_MTG_Set[[#This Row],[Play Booster Cost]]</f>
        <v>#VALUE!</v>
      </c>
      <c r="BI236" s="11" t="b">
        <f>tbl_MTG_Set[[#This Row],[Play Singles CardMarket Profit MTG Stocks]]&gt;0</f>
        <v>0</v>
      </c>
      <c r="BM236" s="10" t="e">
        <f>tbl_MTG_Set[[#This Row],[Play Booster Sell Price CardMarket]]*tbl_MTG_Set[[#This Row],[Play Booster Expected Market Value BotBox]]/tbl_MTG_Set[[#This Row],[Play Booster Sealed Market Value BotBox]]</f>
        <v>#VALUE!</v>
      </c>
      <c r="BN2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6" s="10" t="e">
        <f>tbl_MTG_Set[[#This Row],[Play Singles CardMarket Profit BotBox]]/tbl_MTG_Set[[#This Row],[Play Booster Cost]]</f>
        <v>#VALUE!</v>
      </c>
      <c r="BP236" s="10" t="b">
        <f>tbl_MTG_Set[[#This Row],[Play Singles CardMarket Profit BotBox]]&gt;0</f>
        <v>0</v>
      </c>
      <c r="BQ236" s="10"/>
      <c r="BR236" s="10"/>
      <c r="BS236" s="10"/>
      <c r="BT2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6" s="19" t="e">
        <f>tbl_MTG_Set[[#This Row],[Collector Singles CardMarket Profit MTG Stocks]]/tbl_MTG_Set[[#This Row],[Collector Booster Cost]]</f>
        <v>#N/A</v>
      </c>
      <c r="BW236" s="10" t="b">
        <f>tbl_MTG_Set[[#This Row],[Collector Singles CardMarket Profit MTG Stocks]]&gt;0</f>
        <v>0</v>
      </c>
      <c r="BX236" s="10"/>
      <c r="BY236" s="10"/>
      <c r="BZ2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6" s="10" t="e">
        <f>tbl_MTG_Set[[#This Row],[Collector Singles CardMarket Profit BotBox]]/tbl_MTG_Set[[#This Row],[Collector Booster Cost]]</f>
        <v>#N/A</v>
      </c>
      <c r="CC236" s="10" t="b">
        <f>tbl_MTG_Set[[#This Row],[Collector Singles CardMarket Profit BotBox]]&gt;0</f>
        <v>0</v>
      </c>
      <c r="CD2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7" spans="1:86" hidden="1">
      <c r="A237">
        <v>258</v>
      </c>
      <c r="B237" t="s">
        <v>410</v>
      </c>
      <c r="C237">
        <v>3</v>
      </c>
      <c r="D237" s="3">
        <v>44774</v>
      </c>
      <c r="F237" t="s">
        <v>174</v>
      </c>
      <c r="G237">
        <v>462</v>
      </c>
      <c r="H237">
        <f ca="1">MONTH(NOW())+12*YEAR(NOW())-MONTH(tbl_MTG_Set[[#This Row],[Released On]])-12*YEAR(tbl_MTG_Set[[#This Row],[Released On]])</f>
        <v>43</v>
      </c>
      <c r="I237" t="str">
        <f>_xlfn.XLOOKUP(tbl_MTG_Set[[#This Row],[Type Name]], tbl_MTG_Set_Type[Set Type], tbl_MTG_Set_Type[Index], "(Set Type not found)")</f>
        <v>(Set Type not found)</v>
      </c>
      <c r="J237" t="str">
        <f>_xlfn.XLOOKUP(tbl_MTG_Set[[#This Row],[Type Name]], tbl_MTG_Set_Type[Set Type], tbl_MTG_Set_Type[Buy Window Month Start], "(Set Type not found)")</f>
        <v>(Set Type not found)</v>
      </c>
      <c r="K237" s="3" t="e">
        <f>tbl_MTG_Set[[#This Row],[Released On]]+tbl_MTG_Set[[#This Row],[Buy Window Month Start]]*365.25/12</f>
        <v>#VALUE!</v>
      </c>
      <c r="L237" t="str">
        <f>_xlfn.XLOOKUP(tbl_MTG_Set[[#This Row],[Type Name]], tbl_MTG_Set_Type[Set Type], tbl_MTG_Set_Type[Buy Window Month End], "(Set Type not found)", 0, 1)</f>
        <v>(Set Type not found)</v>
      </c>
      <c r="M237" s="3" t="e">
        <f>tbl_MTG_Set[[#This Row],[Released On]]+tbl_MTG_Set[[#This Row],[Buy Window Month End]]*365.25/12</f>
        <v>#VALUE!</v>
      </c>
      <c r="N237" s="3" t="e">
        <f ca="1">AND(NOW()&gt;=tbl_MTG_Set[[#This Row],[Buy Window Start]], NOW()&lt;=tbl_MTG_Set[[#This Row],[Buy Window End]])</f>
        <v>#VALUE!</v>
      </c>
      <c r="O237" t="str">
        <f>_xlfn.XLOOKUP(tbl_MTG_Set[[#This Row],[Type Name]], tbl_MTG_Set_Type[Set Type], tbl_MTG_Set_Type[Heavy Printing Window Month Start], "(Set Type not found)", 0, 1)</f>
        <v>(Set Type not found)</v>
      </c>
      <c r="P237" s="3" t="e">
        <f>tbl_MTG_Set[[#This Row],[Released On]]+tbl_MTG_Set[[#This Row],[Heavy Printing Window Month Start]]*365.25/12</f>
        <v>#VALUE!</v>
      </c>
      <c r="Q237" t="str">
        <f>_xlfn.XLOOKUP(tbl_MTG_Set[[#This Row],[Type Name]], tbl_MTG_Set_Type[Set Type], tbl_MTG_Set_Type[Heavy Printing Window Month End], "(Set Type not found)", 0, 1)</f>
        <v>(Set Type not found)</v>
      </c>
      <c r="R237" s="3" t="e">
        <f>tbl_MTG_Set[[#This Row],[Released On]]+tbl_MTG_Set[[#This Row],[Heavy Printing Window Month End]]*365.25/12</f>
        <v>#VALUE!</v>
      </c>
      <c r="S237" s="3" t="e">
        <f ca="1">AND(NOW()&gt;=tbl_MTG_Set[[#This Row],[Heavy Printing Window Start]], NOW()&lt;=tbl_MTG_Set[[#This Row],[Heavy Printing Window End]])</f>
        <v>#VALUE!</v>
      </c>
      <c r="T237" t="str">
        <f>_xlfn.XLOOKUP(tbl_MTG_Set[[#This Row],[Type Name]], tbl_MTG_Set_Type[Set Type], tbl_MTG_Set_Type[Sell Window Month Start], "(Set Type not found)", 0, 1)</f>
        <v>(Set Type not found)</v>
      </c>
      <c r="U237" s="3" t="e">
        <f>tbl_MTG_Set[[#This Row],[Released On]]+tbl_MTG_Set[[#This Row],[Sell Window Month Start]]*365.25/12</f>
        <v>#VALUE!</v>
      </c>
      <c r="V237" t="str">
        <f>_xlfn.XLOOKUP(tbl_MTG_Set[[#This Row],[Type Name]], tbl_MTG_Set_Type[Set Type], tbl_MTG_Set_Type[Sell Window Month End], "(Set Type not found)", 0, 1)</f>
        <v>(Set Type not found)</v>
      </c>
      <c r="W237" s="3" t="e">
        <f>tbl_MTG_Set[[#This Row],[Released On]]+tbl_MTG_Set[[#This Row],[Sell Window Month End]]*365.25/12</f>
        <v>#VALUE!</v>
      </c>
      <c r="X237" s="3" t="e">
        <f ca="1">AND(NOW()&gt;=tbl_MTG_Set[[#This Row],[Sell Window Start]], NOW()&lt;=tbl_MTG_Set[[#This Row],[Sell Window End]])</f>
        <v>#VALUE!</v>
      </c>
      <c r="AG237" s="10"/>
      <c r="AH237" s="10"/>
      <c r="AM237" s="10" t="str" cm="1">
        <f t="array" ref="AM2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7" s="10" t="str" cm="1">
        <f t="array" ref="AN2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7" s="4" t="e">
        <f>_xlfn.XLOOKUP(tbl_MTG_Set[[#This Row],[Play Booster Box Product Id]], tbl_Product[Product Id], tbl_Product[Pack Size])</f>
        <v>#N/A</v>
      </c>
      <c r="AP237" s="10" t="e">
        <f>(tbl_MTG_Set[[#This Row],[Play Booster Box Cost]]+v_Item_Shipping_Cost_In)/tbl_MTG_Set[[#This Row],[Play Booster Box Size]]</f>
        <v>#VALUE!</v>
      </c>
      <c r="AQ237" s="10" t="str" cm="1">
        <f t="array" ref="AQ2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7" s="10"/>
      <c r="AS237" s="10"/>
      <c r="AT237" s="17" t="e">
        <f>tbl_MTG_Set[[#This Row],[Play Booster CardMarket Profit]]/tbl_MTG_Set[[#This Row],[Play Booster Cost]]</f>
        <v>#VALUE!</v>
      </c>
      <c r="AU237" s="10" t="e">
        <f>_xlfn.XLOOKUP(tbl_MTG_Set[[#This Row],[Collector Booster Box Product Id]], tbl_Product[Product Id], tbl_Product[Min Cost])</f>
        <v>#N/A</v>
      </c>
      <c r="AV237" s="10" t="e">
        <f>_xlfn.XLOOKUP(tbl_MTG_Set[[#This Row],[Collector Booster Box Product Id]], tbl_Product[Product Id], tbl_Product[Best Source])</f>
        <v>#N/A</v>
      </c>
      <c r="AW237" s="4" t="e">
        <f>_xlfn.XLOOKUP(tbl_MTG_Set[[#This Row],[Collector Booster Box Product Id]], tbl_Product[Product Id], tbl_Product[Pack Size])</f>
        <v>#N/A</v>
      </c>
      <c r="AX237" s="10" t="e">
        <f>(tbl_MTG_Set[[#This Row],[Collector Booster Box Cost]] + v_Item_Shipping_Cost_In) / tbl_MTG_Set[[#This Row],[Collector Booster Box Size]]</f>
        <v>#N/A</v>
      </c>
      <c r="AY237" s="10" t="str" cm="1">
        <f t="array" ref="AY2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7" s="10"/>
      <c r="BA2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7" s="17" t="e">
        <f>tbl_MTG_Set[[#This Row],[Collector Booster CardMarket Profit]]/tbl_MTG_Set[[#This Row],[Collector Booster Cost]]</f>
        <v>#N/A</v>
      </c>
      <c r="BC237" s="10"/>
      <c r="BF2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7" s="11" t="e">
        <f>tbl_MTG_Set[[#This Row],[Play Singles CardMarket Profit MTG Stocks]]/tbl_MTG_Set[[#This Row],[Play Booster Cost]]</f>
        <v>#VALUE!</v>
      </c>
      <c r="BI237" s="11" t="b">
        <f>tbl_MTG_Set[[#This Row],[Play Singles CardMarket Profit MTG Stocks]]&gt;0</f>
        <v>0</v>
      </c>
      <c r="BM237" s="10" t="e">
        <f>tbl_MTG_Set[[#This Row],[Play Booster Sell Price CardMarket]]*tbl_MTG_Set[[#This Row],[Play Booster Expected Market Value BotBox]]/tbl_MTG_Set[[#This Row],[Play Booster Sealed Market Value BotBox]]</f>
        <v>#VALUE!</v>
      </c>
      <c r="BN2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7" s="10" t="e">
        <f>tbl_MTG_Set[[#This Row],[Play Singles CardMarket Profit BotBox]]/tbl_MTG_Set[[#This Row],[Play Booster Cost]]</f>
        <v>#VALUE!</v>
      </c>
      <c r="BP237" s="10" t="b">
        <f>tbl_MTG_Set[[#This Row],[Play Singles CardMarket Profit BotBox]]&gt;0</f>
        <v>0</v>
      </c>
      <c r="BQ237" s="10"/>
      <c r="BR237" s="10"/>
      <c r="BS237" s="10"/>
      <c r="BT2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7" s="19" t="e">
        <f>tbl_MTG_Set[[#This Row],[Collector Singles CardMarket Profit MTG Stocks]]/tbl_MTG_Set[[#This Row],[Collector Booster Cost]]</f>
        <v>#N/A</v>
      </c>
      <c r="BW237" s="10" t="b">
        <f>tbl_MTG_Set[[#This Row],[Collector Singles CardMarket Profit MTG Stocks]]&gt;0</f>
        <v>0</v>
      </c>
      <c r="BX237" s="10"/>
      <c r="BY237" s="10"/>
      <c r="BZ2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7" s="10" t="e">
        <f>tbl_MTG_Set[[#This Row],[Collector Singles CardMarket Profit BotBox]]/tbl_MTG_Set[[#This Row],[Collector Booster Cost]]</f>
        <v>#N/A</v>
      </c>
      <c r="CC237" s="10" t="b">
        <f>tbl_MTG_Set[[#This Row],[Collector Singles CardMarket Profit BotBox]]&gt;0</f>
        <v>0</v>
      </c>
      <c r="CD2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8" spans="1:86" hidden="1">
      <c r="A238">
        <v>259</v>
      </c>
      <c r="B238" t="s">
        <v>411</v>
      </c>
      <c r="C238">
        <v>4</v>
      </c>
      <c r="D238" s="3">
        <v>44774</v>
      </c>
      <c r="F238" t="s">
        <v>174</v>
      </c>
      <c r="G238">
        <v>464</v>
      </c>
      <c r="H238">
        <f ca="1">MONTH(NOW())+12*YEAR(NOW())-MONTH(tbl_MTG_Set[[#This Row],[Released On]])-12*YEAR(tbl_MTG_Set[[#This Row],[Released On]])</f>
        <v>43</v>
      </c>
      <c r="I238" t="str">
        <f>_xlfn.XLOOKUP(tbl_MTG_Set[[#This Row],[Type Name]], tbl_MTG_Set_Type[Set Type], tbl_MTG_Set_Type[Index], "(Set Type not found)")</f>
        <v>(Set Type not found)</v>
      </c>
      <c r="J238" t="str">
        <f>_xlfn.XLOOKUP(tbl_MTG_Set[[#This Row],[Type Name]], tbl_MTG_Set_Type[Set Type], tbl_MTG_Set_Type[Buy Window Month Start], "(Set Type not found)")</f>
        <v>(Set Type not found)</v>
      </c>
      <c r="K238" s="3" t="e">
        <f>tbl_MTG_Set[[#This Row],[Released On]]+tbl_MTG_Set[[#This Row],[Buy Window Month Start]]*365.25/12</f>
        <v>#VALUE!</v>
      </c>
      <c r="L238" t="str">
        <f>_xlfn.XLOOKUP(tbl_MTG_Set[[#This Row],[Type Name]], tbl_MTG_Set_Type[Set Type], tbl_MTG_Set_Type[Buy Window Month End], "(Set Type not found)", 0, 1)</f>
        <v>(Set Type not found)</v>
      </c>
      <c r="M238" s="3" t="e">
        <f>tbl_MTG_Set[[#This Row],[Released On]]+tbl_MTG_Set[[#This Row],[Buy Window Month End]]*365.25/12</f>
        <v>#VALUE!</v>
      </c>
      <c r="N238" s="3" t="e">
        <f ca="1">AND(NOW()&gt;=tbl_MTG_Set[[#This Row],[Buy Window Start]], NOW()&lt;=tbl_MTG_Set[[#This Row],[Buy Window End]])</f>
        <v>#VALUE!</v>
      </c>
      <c r="O238" t="str">
        <f>_xlfn.XLOOKUP(tbl_MTG_Set[[#This Row],[Type Name]], tbl_MTG_Set_Type[Set Type], tbl_MTG_Set_Type[Heavy Printing Window Month Start], "(Set Type not found)", 0, 1)</f>
        <v>(Set Type not found)</v>
      </c>
      <c r="P238" s="3" t="e">
        <f>tbl_MTG_Set[[#This Row],[Released On]]+tbl_MTG_Set[[#This Row],[Heavy Printing Window Month Start]]*365.25/12</f>
        <v>#VALUE!</v>
      </c>
      <c r="Q238" t="str">
        <f>_xlfn.XLOOKUP(tbl_MTG_Set[[#This Row],[Type Name]], tbl_MTG_Set_Type[Set Type], tbl_MTG_Set_Type[Heavy Printing Window Month End], "(Set Type not found)", 0, 1)</f>
        <v>(Set Type not found)</v>
      </c>
      <c r="R238" s="3" t="e">
        <f>tbl_MTG_Set[[#This Row],[Released On]]+tbl_MTG_Set[[#This Row],[Heavy Printing Window Month End]]*365.25/12</f>
        <v>#VALUE!</v>
      </c>
      <c r="S238" s="3" t="e">
        <f ca="1">AND(NOW()&gt;=tbl_MTG_Set[[#This Row],[Heavy Printing Window Start]], NOW()&lt;=tbl_MTG_Set[[#This Row],[Heavy Printing Window End]])</f>
        <v>#VALUE!</v>
      </c>
      <c r="T238" t="str">
        <f>_xlfn.XLOOKUP(tbl_MTG_Set[[#This Row],[Type Name]], tbl_MTG_Set_Type[Set Type], tbl_MTG_Set_Type[Sell Window Month Start], "(Set Type not found)", 0, 1)</f>
        <v>(Set Type not found)</v>
      </c>
      <c r="U238" s="3" t="e">
        <f>tbl_MTG_Set[[#This Row],[Released On]]+tbl_MTG_Set[[#This Row],[Sell Window Month Start]]*365.25/12</f>
        <v>#VALUE!</v>
      </c>
      <c r="V238" t="str">
        <f>_xlfn.XLOOKUP(tbl_MTG_Set[[#This Row],[Type Name]], tbl_MTG_Set_Type[Set Type], tbl_MTG_Set_Type[Sell Window Month End], "(Set Type not found)", 0, 1)</f>
        <v>(Set Type not found)</v>
      </c>
      <c r="W238" s="3" t="e">
        <f>tbl_MTG_Set[[#This Row],[Released On]]+tbl_MTG_Set[[#This Row],[Sell Window Month End]]*365.25/12</f>
        <v>#VALUE!</v>
      </c>
      <c r="X238" s="3" t="e">
        <f ca="1">AND(NOW()&gt;=tbl_MTG_Set[[#This Row],[Sell Window Start]], NOW()&lt;=tbl_MTG_Set[[#This Row],[Sell Window End]])</f>
        <v>#VALUE!</v>
      </c>
      <c r="AG238" s="10"/>
      <c r="AH238" s="10"/>
      <c r="AM238" s="10" t="str" cm="1">
        <f t="array" ref="AM2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8" s="10" t="str" cm="1">
        <f t="array" ref="AN2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8" s="4" t="e">
        <f>_xlfn.XLOOKUP(tbl_MTG_Set[[#This Row],[Play Booster Box Product Id]], tbl_Product[Product Id], tbl_Product[Pack Size])</f>
        <v>#N/A</v>
      </c>
      <c r="AP238" s="10" t="e">
        <f>(tbl_MTG_Set[[#This Row],[Play Booster Box Cost]]+v_Item_Shipping_Cost_In)/tbl_MTG_Set[[#This Row],[Play Booster Box Size]]</f>
        <v>#VALUE!</v>
      </c>
      <c r="AQ238" s="10" t="str" cm="1">
        <f t="array" ref="AQ2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8" s="10"/>
      <c r="AS238" s="10"/>
      <c r="AT238" s="17" t="e">
        <f>tbl_MTG_Set[[#This Row],[Play Booster CardMarket Profit]]/tbl_MTG_Set[[#This Row],[Play Booster Cost]]</f>
        <v>#VALUE!</v>
      </c>
      <c r="AU238" s="10" t="e">
        <f>_xlfn.XLOOKUP(tbl_MTG_Set[[#This Row],[Collector Booster Box Product Id]], tbl_Product[Product Id], tbl_Product[Min Cost])</f>
        <v>#N/A</v>
      </c>
      <c r="AV238" s="10" t="e">
        <f>_xlfn.XLOOKUP(tbl_MTG_Set[[#This Row],[Collector Booster Box Product Id]], tbl_Product[Product Id], tbl_Product[Best Source])</f>
        <v>#N/A</v>
      </c>
      <c r="AW238" s="4" t="e">
        <f>_xlfn.XLOOKUP(tbl_MTG_Set[[#This Row],[Collector Booster Box Product Id]], tbl_Product[Product Id], tbl_Product[Pack Size])</f>
        <v>#N/A</v>
      </c>
      <c r="AX238" s="10" t="e">
        <f>(tbl_MTG_Set[[#This Row],[Collector Booster Box Cost]] + v_Item_Shipping_Cost_In) / tbl_MTG_Set[[#This Row],[Collector Booster Box Size]]</f>
        <v>#N/A</v>
      </c>
      <c r="AY238" s="10" t="str" cm="1">
        <f t="array" ref="AY2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8" s="10"/>
      <c r="BA2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8" s="17" t="e">
        <f>tbl_MTG_Set[[#This Row],[Collector Booster CardMarket Profit]]/tbl_MTG_Set[[#This Row],[Collector Booster Cost]]</f>
        <v>#N/A</v>
      </c>
      <c r="BC238" s="10"/>
      <c r="BF2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8" s="11" t="e">
        <f>tbl_MTG_Set[[#This Row],[Play Singles CardMarket Profit MTG Stocks]]/tbl_MTG_Set[[#This Row],[Play Booster Cost]]</f>
        <v>#VALUE!</v>
      </c>
      <c r="BI238" s="11" t="b">
        <f>tbl_MTG_Set[[#This Row],[Play Singles CardMarket Profit MTG Stocks]]&gt;0</f>
        <v>0</v>
      </c>
      <c r="BM238" s="10" t="e">
        <f>tbl_MTG_Set[[#This Row],[Play Booster Sell Price CardMarket]]*tbl_MTG_Set[[#This Row],[Play Booster Expected Market Value BotBox]]/tbl_MTG_Set[[#This Row],[Play Booster Sealed Market Value BotBox]]</f>
        <v>#VALUE!</v>
      </c>
      <c r="BN2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8" s="10" t="e">
        <f>tbl_MTG_Set[[#This Row],[Play Singles CardMarket Profit BotBox]]/tbl_MTG_Set[[#This Row],[Play Booster Cost]]</f>
        <v>#VALUE!</v>
      </c>
      <c r="BP238" s="10" t="b">
        <f>tbl_MTG_Set[[#This Row],[Play Singles CardMarket Profit BotBox]]&gt;0</f>
        <v>0</v>
      </c>
      <c r="BQ238" s="10"/>
      <c r="BR238" s="10"/>
      <c r="BS238" s="10"/>
      <c r="BT2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8" s="19" t="e">
        <f>tbl_MTG_Set[[#This Row],[Collector Singles CardMarket Profit MTG Stocks]]/tbl_MTG_Set[[#This Row],[Collector Booster Cost]]</f>
        <v>#N/A</v>
      </c>
      <c r="BW238" s="10" t="b">
        <f>tbl_MTG_Set[[#This Row],[Collector Singles CardMarket Profit MTG Stocks]]&gt;0</f>
        <v>0</v>
      </c>
      <c r="BX238" s="10"/>
      <c r="BY238" s="10"/>
      <c r="BZ2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8" s="10" t="e">
        <f>tbl_MTG_Set[[#This Row],[Collector Singles CardMarket Profit BotBox]]/tbl_MTG_Set[[#This Row],[Collector Booster Cost]]</f>
        <v>#N/A</v>
      </c>
      <c r="CC238" s="10" t="b">
        <f>tbl_MTG_Set[[#This Row],[Collector Singles CardMarket Profit BotBox]]&gt;0</f>
        <v>0</v>
      </c>
      <c r="CD2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39" spans="1:86" hidden="1">
      <c r="A239">
        <v>260</v>
      </c>
      <c r="B239" t="s">
        <v>412</v>
      </c>
      <c r="C239">
        <v>20</v>
      </c>
      <c r="D239" s="3">
        <v>44770</v>
      </c>
      <c r="F239" t="s">
        <v>174</v>
      </c>
      <c r="G239">
        <v>466</v>
      </c>
      <c r="H239">
        <f ca="1">MONTH(NOW())+12*YEAR(NOW())-MONTH(tbl_MTG_Set[[#This Row],[Released On]])-12*YEAR(tbl_MTG_Set[[#This Row],[Released On]])</f>
        <v>44</v>
      </c>
      <c r="I239" t="str">
        <f>_xlfn.XLOOKUP(tbl_MTG_Set[[#This Row],[Type Name]], tbl_MTG_Set_Type[Set Type], tbl_MTG_Set_Type[Index], "(Set Type not found)")</f>
        <v>(Set Type not found)</v>
      </c>
      <c r="J239" t="str">
        <f>_xlfn.XLOOKUP(tbl_MTG_Set[[#This Row],[Type Name]], tbl_MTG_Set_Type[Set Type], tbl_MTG_Set_Type[Buy Window Month Start], "(Set Type not found)")</f>
        <v>(Set Type not found)</v>
      </c>
      <c r="K239" s="3" t="e">
        <f>tbl_MTG_Set[[#This Row],[Released On]]+tbl_MTG_Set[[#This Row],[Buy Window Month Start]]*365.25/12</f>
        <v>#VALUE!</v>
      </c>
      <c r="L239" t="str">
        <f>_xlfn.XLOOKUP(tbl_MTG_Set[[#This Row],[Type Name]], tbl_MTG_Set_Type[Set Type], tbl_MTG_Set_Type[Buy Window Month End], "(Set Type not found)", 0, 1)</f>
        <v>(Set Type not found)</v>
      </c>
      <c r="M239" s="3" t="e">
        <f>tbl_MTG_Set[[#This Row],[Released On]]+tbl_MTG_Set[[#This Row],[Buy Window Month End]]*365.25/12</f>
        <v>#VALUE!</v>
      </c>
      <c r="N239" s="3" t="e">
        <f ca="1">AND(NOW()&gt;=tbl_MTG_Set[[#This Row],[Buy Window Start]], NOW()&lt;=tbl_MTG_Set[[#This Row],[Buy Window End]])</f>
        <v>#VALUE!</v>
      </c>
      <c r="O239" t="str">
        <f>_xlfn.XLOOKUP(tbl_MTG_Set[[#This Row],[Type Name]], tbl_MTG_Set_Type[Set Type], tbl_MTG_Set_Type[Heavy Printing Window Month Start], "(Set Type not found)", 0, 1)</f>
        <v>(Set Type not found)</v>
      </c>
      <c r="P239" s="3" t="e">
        <f>tbl_MTG_Set[[#This Row],[Released On]]+tbl_MTG_Set[[#This Row],[Heavy Printing Window Month Start]]*365.25/12</f>
        <v>#VALUE!</v>
      </c>
      <c r="Q239" t="str">
        <f>_xlfn.XLOOKUP(tbl_MTG_Set[[#This Row],[Type Name]], tbl_MTG_Set_Type[Set Type], tbl_MTG_Set_Type[Heavy Printing Window Month End], "(Set Type not found)", 0, 1)</f>
        <v>(Set Type not found)</v>
      </c>
      <c r="R239" s="3" t="e">
        <f>tbl_MTG_Set[[#This Row],[Released On]]+tbl_MTG_Set[[#This Row],[Heavy Printing Window Month End]]*365.25/12</f>
        <v>#VALUE!</v>
      </c>
      <c r="S239" s="3" t="e">
        <f ca="1">AND(NOW()&gt;=tbl_MTG_Set[[#This Row],[Heavy Printing Window Start]], NOW()&lt;=tbl_MTG_Set[[#This Row],[Heavy Printing Window End]])</f>
        <v>#VALUE!</v>
      </c>
      <c r="T239" t="str">
        <f>_xlfn.XLOOKUP(tbl_MTG_Set[[#This Row],[Type Name]], tbl_MTG_Set_Type[Set Type], tbl_MTG_Set_Type[Sell Window Month Start], "(Set Type not found)", 0, 1)</f>
        <v>(Set Type not found)</v>
      </c>
      <c r="U239" s="3" t="e">
        <f>tbl_MTG_Set[[#This Row],[Released On]]+tbl_MTG_Set[[#This Row],[Sell Window Month Start]]*365.25/12</f>
        <v>#VALUE!</v>
      </c>
      <c r="V239" t="str">
        <f>_xlfn.XLOOKUP(tbl_MTG_Set[[#This Row],[Type Name]], tbl_MTG_Set_Type[Set Type], tbl_MTG_Set_Type[Sell Window Month End], "(Set Type not found)", 0, 1)</f>
        <v>(Set Type not found)</v>
      </c>
      <c r="W239" s="3" t="e">
        <f>tbl_MTG_Set[[#This Row],[Released On]]+tbl_MTG_Set[[#This Row],[Sell Window Month End]]*365.25/12</f>
        <v>#VALUE!</v>
      </c>
      <c r="X239" s="3" t="e">
        <f ca="1">AND(NOW()&gt;=tbl_MTG_Set[[#This Row],[Sell Window Start]], NOW()&lt;=tbl_MTG_Set[[#This Row],[Sell Window End]])</f>
        <v>#VALUE!</v>
      </c>
      <c r="AG239" s="10"/>
      <c r="AH239" s="10"/>
      <c r="AM239" s="10" t="str" cm="1">
        <f t="array" ref="AM2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39" s="10" t="str" cm="1">
        <f t="array" ref="AN2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39" s="4" t="e">
        <f>_xlfn.XLOOKUP(tbl_MTG_Set[[#This Row],[Play Booster Box Product Id]], tbl_Product[Product Id], tbl_Product[Pack Size])</f>
        <v>#N/A</v>
      </c>
      <c r="AP239" s="10" t="e">
        <f>(tbl_MTG_Set[[#This Row],[Play Booster Box Cost]]+v_Item_Shipping_Cost_In)/tbl_MTG_Set[[#This Row],[Play Booster Box Size]]</f>
        <v>#VALUE!</v>
      </c>
      <c r="AQ239" s="10" t="str" cm="1">
        <f t="array" ref="AQ2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39" s="10"/>
      <c r="AS239" s="10"/>
      <c r="AT239" s="17" t="e">
        <f>tbl_MTG_Set[[#This Row],[Play Booster CardMarket Profit]]/tbl_MTG_Set[[#This Row],[Play Booster Cost]]</f>
        <v>#VALUE!</v>
      </c>
      <c r="AU239" s="10" t="e">
        <f>_xlfn.XLOOKUP(tbl_MTG_Set[[#This Row],[Collector Booster Box Product Id]], tbl_Product[Product Id], tbl_Product[Min Cost])</f>
        <v>#N/A</v>
      </c>
      <c r="AV239" s="10" t="e">
        <f>_xlfn.XLOOKUP(tbl_MTG_Set[[#This Row],[Collector Booster Box Product Id]], tbl_Product[Product Id], tbl_Product[Best Source])</f>
        <v>#N/A</v>
      </c>
      <c r="AW239" s="4" t="e">
        <f>_xlfn.XLOOKUP(tbl_MTG_Set[[#This Row],[Collector Booster Box Product Id]], tbl_Product[Product Id], tbl_Product[Pack Size])</f>
        <v>#N/A</v>
      </c>
      <c r="AX239" s="10" t="e">
        <f>(tbl_MTG_Set[[#This Row],[Collector Booster Box Cost]] + v_Item_Shipping_Cost_In) / tbl_MTG_Set[[#This Row],[Collector Booster Box Size]]</f>
        <v>#N/A</v>
      </c>
      <c r="AY239" s="10" t="str" cm="1">
        <f t="array" ref="AY2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39" s="10"/>
      <c r="BA2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39" s="17" t="e">
        <f>tbl_MTG_Set[[#This Row],[Collector Booster CardMarket Profit]]/tbl_MTG_Set[[#This Row],[Collector Booster Cost]]</f>
        <v>#N/A</v>
      </c>
      <c r="BC239" s="10"/>
      <c r="BF2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39" s="11" t="e">
        <f>tbl_MTG_Set[[#This Row],[Play Singles CardMarket Profit MTG Stocks]]/tbl_MTG_Set[[#This Row],[Play Booster Cost]]</f>
        <v>#VALUE!</v>
      </c>
      <c r="BI239" s="11" t="b">
        <f>tbl_MTG_Set[[#This Row],[Play Singles CardMarket Profit MTG Stocks]]&gt;0</f>
        <v>0</v>
      </c>
      <c r="BM239" s="10" t="e">
        <f>tbl_MTG_Set[[#This Row],[Play Booster Sell Price CardMarket]]*tbl_MTG_Set[[#This Row],[Play Booster Expected Market Value BotBox]]/tbl_MTG_Set[[#This Row],[Play Booster Sealed Market Value BotBox]]</f>
        <v>#VALUE!</v>
      </c>
      <c r="BN2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39" s="10" t="e">
        <f>tbl_MTG_Set[[#This Row],[Play Singles CardMarket Profit BotBox]]/tbl_MTG_Set[[#This Row],[Play Booster Cost]]</f>
        <v>#VALUE!</v>
      </c>
      <c r="BP239" s="10" t="b">
        <f>tbl_MTG_Set[[#This Row],[Play Singles CardMarket Profit BotBox]]&gt;0</f>
        <v>0</v>
      </c>
      <c r="BQ239" s="10"/>
      <c r="BR239" s="10"/>
      <c r="BS239" s="10"/>
      <c r="BT2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39" s="19" t="e">
        <f>tbl_MTG_Set[[#This Row],[Collector Singles CardMarket Profit MTG Stocks]]/tbl_MTG_Set[[#This Row],[Collector Booster Cost]]</f>
        <v>#N/A</v>
      </c>
      <c r="BW239" s="10" t="b">
        <f>tbl_MTG_Set[[#This Row],[Collector Singles CardMarket Profit MTG Stocks]]&gt;0</f>
        <v>0</v>
      </c>
      <c r="BX239" s="10"/>
      <c r="BY239" s="10"/>
      <c r="BZ2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39" s="10" t="e">
        <f>tbl_MTG_Set[[#This Row],[Collector Singles CardMarket Profit BotBox]]/tbl_MTG_Set[[#This Row],[Collector Booster Cost]]</f>
        <v>#N/A</v>
      </c>
      <c r="CC239" s="10" t="b">
        <f>tbl_MTG_Set[[#This Row],[Collector Singles CardMarket Profit BotBox]]&gt;0</f>
        <v>0</v>
      </c>
      <c r="CD2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0" spans="1:86" hidden="1">
      <c r="A240">
        <v>261</v>
      </c>
      <c r="B240" t="s">
        <v>413</v>
      </c>
      <c r="C240">
        <v>20</v>
      </c>
      <c r="D240" s="3">
        <v>44770</v>
      </c>
      <c r="F240" t="s">
        <v>174</v>
      </c>
      <c r="G240">
        <v>468</v>
      </c>
      <c r="H240">
        <f ca="1">MONTH(NOW())+12*YEAR(NOW())-MONTH(tbl_MTG_Set[[#This Row],[Released On]])-12*YEAR(tbl_MTG_Set[[#This Row],[Released On]])</f>
        <v>44</v>
      </c>
      <c r="I240" t="str">
        <f>_xlfn.XLOOKUP(tbl_MTG_Set[[#This Row],[Type Name]], tbl_MTG_Set_Type[Set Type], tbl_MTG_Set_Type[Index], "(Set Type not found)")</f>
        <v>(Set Type not found)</v>
      </c>
      <c r="J240" t="str">
        <f>_xlfn.XLOOKUP(tbl_MTG_Set[[#This Row],[Type Name]], tbl_MTG_Set_Type[Set Type], tbl_MTG_Set_Type[Buy Window Month Start], "(Set Type not found)")</f>
        <v>(Set Type not found)</v>
      </c>
      <c r="K240" s="3" t="e">
        <f>tbl_MTG_Set[[#This Row],[Released On]]+tbl_MTG_Set[[#This Row],[Buy Window Month Start]]*365.25/12</f>
        <v>#VALUE!</v>
      </c>
      <c r="L240" t="str">
        <f>_xlfn.XLOOKUP(tbl_MTG_Set[[#This Row],[Type Name]], tbl_MTG_Set_Type[Set Type], tbl_MTG_Set_Type[Buy Window Month End], "(Set Type not found)", 0, 1)</f>
        <v>(Set Type not found)</v>
      </c>
      <c r="M240" s="3" t="e">
        <f>tbl_MTG_Set[[#This Row],[Released On]]+tbl_MTG_Set[[#This Row],[Buy Window Month End]]*365.25/12</f>
        <v>#VALUE!</v>
      </c>
      <c r="N240" s="3" t="e">
        <f ca="1">AND(NOW()&gt;=tbl_MTG_Set[[#This Row],[Buy Window Start]], NOW()&lt;=tbl_MTG_Set[[#This Row],[Buy Window End]])</f>
        <v>#VALUE!</v>
      </c>
      <c r="O240" t="str">
        <f>_xlfn.XLOOKUP(tbl_MTG_Set[[#This Row],[Type Name]], tbl_MTG_Set_Type[Set Type], tbl_MTG_Set_Type[Heavy Printing Window Month Start], "(Set Type not found)", 0, 1)</f>
        <v>(Set Type not found)</v>
      </c>
      <c r="P240" s="3" t="e">
        <f>tbl_MTG_Set[[#This Row],[Released On]]+tbl_MTG_Set[[#This Row],[Heavy Printing Window Month Start]]*365.25/12</f>
        <v>#VALUE!</v>
      </c>
      <c r="Q240" t="str">
        <f>_xlfn.XLOOKUP(tbl_MTG_Set[[#This Row],[Type Name]], tbl_MTG_Set_Type[Set Type], tbl_MTG_Set_Type[Heavy Printing Window Month End], "(Set Type not found)", 0, 1)</f>
        <v>(Set Type not found)</v>
      </c>
      <c r="R240" s="3" t="e">
        <f>tbl_MTG_Set[[#This Row],[Released On]]+tbl_MTG_Set[[#This Row],[Heavy Printing Window Month End]]*365.25/12</f>
        <v>#VALUE!</v>
      </c>
      <c r="S240" s="3" t="e">
        <f ca="1">AND(NOW()&gt;=tbl_MTG_Set[[#This Row],[Heavy Printing Window Start]], NOW()&lt;=tbl_MTG_Set[[#This Row],[Heavy Printing Window End]])</f>
        <v>#VALUE!</v>
      </c>
      <c r="T240" t="str">
        <f>_xlfn.XLOOKUP(tbl_MTG_Set[[#This Row],[Type Name]], tbl_MTG_Set_Type[Set Type], tbl_MTG_Set_Type[Sell Window Month Start], "(Set Type not found)", 0, 1)</f>
        <v>(Set Type not found)</v>
      </c>
      <c r="U240" s="3" t="e">
        <f>tbl_MTG_Set[[#This Row],[Released On]]+tbl_MTG_Set[[#This Row],[Sell Window Month Start]]*365.25/12</f>
        <v>#VALUE!</v>
      </c>
      <c r="V240" t="str">
        <f>_xlfn.XLOOKUP(tbl_MTG_Set[[#This Row],[Type Name]], tbl_MTG_Set_Type[Set Type], tbl_MTG_Set_Type[Sell Window Month End], "(Set Type not found)", 0, 1)</f>
        <v>(Set Type not found)</v>
      </c>
      <c r="W240" s="3" t="e">
        <f>tbl_MTG_Set[[#This Row],[Released On]]+tbl_MTG_Set[[#This Row],[Sell Window Month End]]*365.25/12</f>
        <v>#VALUE!</v>
      </c>
      <c r="X240" s="3" t="e">
        <f ca="1">AND(NOW()&gt;=tbl_MTG_Set[[#This Row],[Sell Window Start]], NOW()&lt;=tbl_MTG_Set[[#This Row],[Sell Window End]])</f>
        <v>#VALUE!</v>
      </c>
      <c r="AG240" s="10"/>
      <c r="AH240" s="10"/>
      <c r="AM240" s="10" t="str" cm="1">
        <f t="array" ref="AM2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0" s="10" t="str" cm="1">
        <f t="array" ref="AN2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0" s="4" t="e">
        <f>_xlfn.XLOOKUP(tbl_MTG_Set[[#This Row],[Play Booster Box Product Id]], tbl_Product[Product Id], tbl_Product[Pack Size])</f>
        <v>#N/A</v>
      </c>
      <c r="AP240" s="10" t="e">
        <f>(tbl_MTG_Set[[#This Row],[Play Booster Box Cost]]+v_Item_Shipping_Cost_In)/tbl_MTG_Set[[#This Row],[Play Booster Box Size]]</f>
        <v>#VALUE!</v>
      </c>
      <c r="AQ240" s="10" t="str" cm="1">
        <f t="array" ref="AQ2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0" s="10"/>
      <c r="AS240" s="10"/>
      <c r="AT240" s="17" t="e">
        <f>tbl_MTG_Set[[#This Row],[Play Booster CardMarket Profit]]/tbl_MTG_Set[[#This Row],[Play Booster Cost]]</f>
        <v>#VALUE!</v>
      </c>
      <c r="AU240" s="10" t="e">
        <f>_xlfn.XLOOKUP(tbl_MTG_Set[[#This Row],[Collector Booster Box Product Id]], tbl_Product[Product Id], tbl_Product[Min Cost])</f>
        <v>#N/A</v>
      </c>
      <c r="AV240" s="10" t="e">
        <f>_xlfn.XLOOKUP(tbl_MTG_Set[[#This Row],[Collector Booster Box Product Id]], tbl_Product[Product Id], tbl_Product[Best Source])</f>
        <v>#N/A</v>
      </c>
      <c r="AW240" s="4" t="e">
        <f>_xlfn.XLOOKUP(tbl_MTG_Set[[#This Row],[Collector Booster Box Product Id]], tbl_Product[Product Id], tbl_Product[Pack Size])</f>
        <v>#N/A</v>
      </c>
      <c r="AX240" s="10" t="e">
        <f>(tbl_MTG_Set[[#This Row],[Collector Booster Box Cost]] + v_Item_Shipping_Cost_In) / tbl_MTG_Set[[#This Row],[Collector Booster Box Size]]</f>
        <v>#N/A</v>
      </c>
      <c r="AY240" s="10" t="str" cm="1">
        <f t="array" ref="AY2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0" s="10"/>
      <c r="BA2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0" s="17" t="e">
        <f>tbl_MTG_Set[[#This Row],[Collector Booster CardMarket Profit]]/tbl_MTG_Set[[#This Row],[Collector Booster Cost]]</f>
        <v>#N/A</v>
      </c>
      <c r="BC240" s="10"/>
      <c r="BF2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0" s="11" t="e">
        <f>tbl_MTG_Set[[#This Row],[Play Singles CardMarket Profit MTG Stocks]]/tbl_MTG_Set[[#This Row],[Play Booster Cost]]</f>
        <v>#VALUE!</v>
      </c>
      <c r="BI240" s="11" t="b">
        <f>tbl_MTG_Set[[#This Row],[Play Singles CardMarket Profit MTG Stocks]]&gt;0</f>
        <v>0</v>
      </c>
      <c r="BM240" s="10" t="e">
        <f>tbl_MTG_Set[[#This Row],[Play Booster Sell Price CardMarket]]*tbl_MTG_Set[[#This Row],[Play Booster Expected Market Value BotBox]]/tbl_MTG_Set[[#This Row],[Play Booster Sealed Market Value BotBox]]</f>
        <v>#VALUE!</v>
      </c>
      <c r="BN2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0" s="10" t="e">
        <f>tbl_MTG_Set[[#This Row],[Play Singles CardMarket Profit BotBox]]/tbl_MTG_Set[[#This Row],[Play Booster Cost]]</f>
        <v>#VALUE!</v>
      </c>
      <c r="BP240" s="10" t="b">
        <f>tbl_MTG_Set[[#This Row],[Play Singles CardMarket Profit BotBox]]&gt;0</f>
        <v>0</v>
      </c>
      <c r="BQ240" s="10"/>
      <c r="BR240" s="10"/>
      <c r="BS240" s="10"/>
      <c r="BT2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0" s="19" t="e">
        <f>tbl_MTG_Set[[#This Row],[Collector Singles CardMarket Profit MTG Stocks]]/tbl_MTG_Set[[#This Row],[Collector Booster Cost]]</f>
        <v>#N/A</v>
      </c>
      <c r="BW240" s="10" t="b">
        <f>tbl_MTG_Set[[#This Row],[Collector Singles CardMarket Profit MTG Stocks]]&gt;0</f>
        <v>0</v>
      </c>
      <c r="BX240" s="10"/>
      <c r="BY240" s="10"/>
      <c r="BZ2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0" s="10" t="e">
        <f>tbl_MTG_Set[[#This Row],[Collector Singles CardMarket Profit BotBox]]/tbl_MTG_Set[[#This Row],[Collector Booster Cost]]</f>
        <v>#N/A</v>
      </c>
      <c r="CC240" s="10" t="b">
        <f>tbl_MTG_Set[[#This Row],[Collector Singles CardMarket Profit BotBox]]&gt;0</f>
        <v>0</v>
      </c>
      <c r="CD2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1" spans="1:86" hidden="1">
      <c r="A241">
        <v>262</v>
      </c>
      <c r="B241" t="s">
        <v>414</v>
      </c>
      <c r="C241">
        <v>44</v>
      </c>
      <c r="D241" s="3">
        <v>44751</v>
      </c>
      <c r="F241" t="s">
        <v>174</v>
      </c>
      <c r="G241">
        <v>470</v>
      </c>
      <c r="H241">
        <f ca="1">MONTH(NOW())+12*YEAR(NOW())-MONTH(tbl_MTG_Set[[#This Row],[Released On]])-12*YEAR(tbl_MTG_Set[[#This Row],[Released On]])</f>
        <v>44</v>
      </c>
      <c r="I241" t="str">
        <f>_xlfn.XLOOKUP(tbl_MTG_Set[[#This Row],[Type Name]], tbl_MTG_Set_Type[Set Type], tbl_MTG_Set_Type[Index], "(Set Type not found)")</f>
        <v>(Set Type not found)</v>
      </c>
      <c r="J241" t="str">
        <f>_xlfn.XLOOKUP(tbl_MTG_Set[[#This Row],[Type Name]], tbl_MTG_Set_Type[Set Type], tbl_MTG_Set_Type[Buy Window Month Start], "(Set Type not found)")</f>
        <v>(Set Type not found)</v>
      </c>
      <c r="K241" s="3" t="e">
        <f>tbl_MTG_Set[[#This Row],[Released On]]+tbl_MTG_Set[[#This Row],[Buy Window Month Start]]*365.25/12</f>
        <v>#VALUE!</v>
      </c>
      <c r="L241" t="str">
        <f>_xlfn.XLOOKUP(tbl_MTG_Set[[#This Row],[Type Name]], tbl_MTG_Set_Type[Set Type], tbl_MTG_Set_Type[Buy Window Month End], "(Set Type not found)", 0, 1)</f>
        <v>(Set Type not found)</v>
      </c>
      <c r="M241" s="3" t="e">
        <f>tbl_MTG_Set[[#This Row],[Released On]]+tbl_MTG_Set[[#This Row],[Buy Window Month End]]*365.25/12</f>
        <v>#VALUE!</v>
      </c>
      <c r="N241" s="3" t="e">
        <f ca="1">AND(NOW()&gt;=tbl_MTG_Set[[#This Row],[Buy Window Start]], NOW()&lt;=tbl_MTG_Set[[#This Row],[Buy Window End]])</f>
        <v>#VALUE!</v>
      </c>
      <c r="O241" t="str">
        <f>_xlfn.XLOOKUP(tbl_MTG_Set[[#This Row],[Type Name]], tbl_MTG_Set_Type[Set Type], tbl_MTG_Set_Type[Heavy Printing Window Month Start], "(Set Type not found)", 0, 1)</f>
        <v>(Set Type not found)</v>
      </c>
      <c r="P241" s="3" t="e">
        <f>tbl_MTG_Set[[#This Row],[Released On]]+tbl_MTG_Set[[#This Row],[Heavy Printing Window Month Start]]*365.25/12</f>
        <v>#VALUE!</v>
      </c>
      <c r="Q241" t="str">
        <f>_xlfn.XLOOKUP(tbl_MTG_Set[[#This Row],[Type Name]], tbl_MTG_Set_Type[Set Type], tbl_MTG_Set_Type[Heavy Printing Window Month End], "(Set Type not found)", 0, 1)</f>
        <v>(Set Type not found)</v>
      </c>
      <c r="R241" s="3" t="e">
        <f>tbl_MTG_Set[[#This Row],[Released On]]+tbl_MTG_Set[[#This Row],[Heavy Printing Window Month End]]*365.25/12</f>
        <v>#VALUE!</v>
      </c>
      <c r="S241" s="3" t="e">
        <f ca="1">AND(NOW()&gt;=tbl_MTG_Set[[#This Row],[Heavy Printing Window Start]], NOW()&lt;=tbl_MTG_Set[[#This Row],[Heavy Printing Window End]])</f>
        <v>#VALUE!</v>
      </c>
      <c r="T241" t="str">
        <f>_xlfn.XLOOKUP(tbl_MTG_Set[[#This Row],[Type Name]], tbl_MTG_Set_Type[Set Type], tbl_MTG_Set_Type[Sell Window Month Start], "(Set Type not found)", 0, 1)</f>
        <v>(Set Type not found)</v>
      </c>
      <c r="U241" s="3" t="e">
        <f>tbl_MTG_Set[[#This Row],[Released On]]+tbl_MTG_Set[[#This Row],[Sell Window Month Start]]*365.25/12</f>
        <v>#VALUE!</v>
      </c>
      <c r="V241" t="str">
        <f>_xlfn.XLOOKUP(tbl_MTG_Set[[#This Row],[Type Name]], tbl_MTG_Set_Type[Set Type], tbl_MTG_Set_Type[Sell Window Month End], "(Set Type not found)", 0, 1)</f>
        <v>(Set Type not found)</v>
      </c>
      <c r="W241" s="3" t="e">
        <f>tbl_MTG_Set[[#This Row],[Released On]]+tbl_MTG_Set[[#This Row],[Sell Window Month End]]*365.25/12</f>
        <v>#VALUE!</v>
      </c>
      <c r="X241" s="3" t="e">
        <f ca="1">AND(NOW()&gt;=tbl_MTG_Set[[#This Row],[Sell Window Start]], NOW()&lt;=tbl_MTG_Set[[#This Row],[Sell Window End]])</f>
        <v>#VALUE!</v>
      </c>
      <c r="AG241" s="10"/>
      <c r="AH241" s="10"/>
      <c r="AM241" s="10" t="str" cm="1">
        <f t="array" ref="AM2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1" s="10" t="str" cm="1">
        <f t="array" ref="AN2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1" s="4" t="e">
        <f>_xlfn.XLOOKUP(tbl_MTG_Set[[#This Row],[Play Booster Box Product Id]], tbl_Product[Product Id], tbl_Product[Pack Size])</f>
        <v>#N/A</v>
      </c>
      <c r="AP241" s="10" t="e">
        <f>(tbl_MTG_Set[[#This Row],[Play Booster Box Cost]]+v_Item_Shipping_Cost_In)/tbl_MTG_Set[[#This Row],[Play Booster Box Size]]</f>
        <v>#VALUE!</v>
      </c>
      <c r="AQ241" s="10" t="str" cm="1">
        <f t="array" ref="AQ2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1" s="10"/>
      <c r="AS241" s="10"/>
      <c r="AT241" s="17" t="e">
        <f>tbl_MTG_Set[[#This Row],[Play Booster CardMarket Profit]]/tbl_MTG_Set[[#This Row],[Play Booster Cost]]</f>
        <v>#VALUE!</v>
      </c>
      <c r="AU241" s="10" t="e">
        <f>_xlfn.XLOOKUP(tbl_MTG_Set[[#This Row],[Collector Booster Box Product Id]], tbl_Product[Product Id], tbl_Product[Min Cost])</f>
        <v>#N/A</v>
      </c>
      <c r="AV241" s="10" t="e">
        <f>_xlfn.XLOOKUP(tbl_MTG_Set[[#This Row],[Collector Booster Box Product Id]], tbl_Product[Product Id], tbl_Product[Best Source])</f>
        <v>#N/A</v>
      </c>
      <c r="AW241" s="4" t="e">
        <f>_xlfn.XLOOKUP(tbl_MTG_Set[[#This Row],[Collector Booster Box Product Id]], tbl_Product[Product Id], tbl_Product[Pack Size])</f>
        <v>#N/A</v>
      </c>
      <c r="AX241" s="10" t="e">
        <f>(tbl_MTG_Set[[#This Row],[Collector Booster Box Cost]] + v_Item_Shipping_Cost_In) / tbl_MTG_Set[[#This Row],[Collector Booster Box Size]]</f>
        <v>#N/A</v>
      </c>
      <c r="AY241" s="10" t="str" cm="1">
        <f t="array" ref="AY2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1" s="10"/>
      <c r="BA2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1" s="17" t="e">
        <f>tbl_MTG_Set[[#This Row],[Collector Booster CardMarket Profit]]/tbl_MTG_Set[[#This Row],[Collector Booster Cost]]</f>
        <v>#N/A</v>
      </c>
      <c r="BC241" s="10"/>
      <c r="BF2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1" s="11" t="e">
        <f>tbl_MTG_Set[[#This Row],[Play Singles CardMarket Profit MTG Stocks]]/tbl_MTG_Set[[#This Row],[Play Booster Cost]]</f>
        <v>#VALUE!</v>
      </c>
      <c r="BI241" s="11" t="b">
        <f>tbl_MTG_Set[[#This Row],[Play Singles CardMarket Profit MTG Stocks]]&gt;0</f>
        <v>0</v>
      </c>
      <c r="BM241" s="10" t="e">
        <f>tbl_MTG_Set[[#This Row],[Play Booster Sell Price CardMarket]]*tbl_MTG_Set[[#This Row],[Play Booster Expected Market Value BotBox]]/tbl_MTG_Set[[#This Row],[Play Booster Sealed Market Value BotBox]]</f>
        <v>#VALUE!</v>
      </c>
      <c r="BN2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1" s="10" t="e">
        <f>tbl_MTG_Set[[#This Row],[Play Singles CardMarket Profit BotBox]]/tbl_MTG_Set[[#This Row],[Play Booster Cost]]</f>
        <v>#VALUE!</v>
      </c>
      <c r="BP241" s="10" t="b">
        <f>tbl_MTG_Set[[#This Row],[Play Singles CardMarket Profit BotBox]]&gt;0</f>
        <v>0</v>
      </c>
      <c r="BQ241" s="10"/>
      <c r="BR241" s="10"/>
      <c r="BS241" s="10"/>
      <c r="BT2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1" s="19" t="e">
        <f>tbl_MTG_Set[[#This Row],[Collector Singles CardMarket Profit MTG Stocks]]/tbl_MTG_Set[[#This Row],[Collector Booster Cost]]</f>
        <v>#N/A</v>
      </c>
      <c r="BW241" s="10" t="b">
        <f>tbl_MTG_Set[[#This Row],[Collector Singles CardMarket Profit MTG Stocks]]&gt;0</f>
        <v>0</v>
      </c>
      <c r="BX241" s="10"/>
      <c r="BY241" s="10"/>
      <c r="BZ2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1" s="10" t="e">
        <f>tbl_MTG_Set[[#This Row],[Collector Singles CardMarket Profit BotBox]]/tbl_MTG_Set[[#This Row],[Collector Booster Cost]]</f>
        <v>#N/A</v>
      </c>
      <c r="CC241" s="10" t="b">
        <f>tbl_MTG_Set[[#This Row],[Collector Singles CardMarket Profit BotBox]]&gt;0</f>
        <v>0</v>
      </c>
      <c r="CD2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2" spans="1:86" hidden="1">
      <c r="A242">
        <v>263</v>
      </c>
      <c r="B242" t="s">
        <v>415</v>
      </c>
      <c r="C242">
        <v>579</v>
      </c>
      <c r="D242" s="3">
        <v>44750</v>
      </c>
      <c r="F242" t="s">
        <v>174</v>
      </c>
      <c r="G242">
        <v>472</v>
      </c>
      <c r="H242">
        <f ca="1">MONTH(NOW())+12*YEAR(NOW())-MONTH(tbl_MTG_Set[[#This Row],[Released On]])-12*YEAR(tbl_MTG_Set[[#This Row],[Released On]])</f>
        <v>44</v>
      </c>
      <c r="I242" t="str">
        <f>_xlfn.XLOOKUP(tbl_MTG_Set[[#This Row],[Type Name]], tbl_MTG_Set_Type[Set Type], tbl_MTG_Set_Type[Index], "(Set Type not found)")</f>
        <v>(Set Type not found)</v>
      </c>
      <c r="J242" t="str">
        <f>_xlfn.XLOOKUP(tbl_MTG_Set[[#This Row],[Type Name]], tbl_MTG_Set_Type[Set Type], tbl_MTG_Set_Type[Buy Window Month Start], "(Set Type not found)")</f>
        <v>(Set Type not found)</v>
      </c>
      <c r="K242" s="3" t="e">
        <f>tbl_MTG_Set[[#This Row],[Released On]]+tbl_MTG_Set[[#This Row],[Buy Window Month Start]]*365.25/12</f>
        <v>#VALUE!</v>
      </c>
      <c r="L242" t="str">
        <f>_xlfn.XLOOKUP(tbl_MTG_Set[[#This Row],[Type Name]], tbl_MTG_Set_Type[Set Type], tbl_MTG_Set_Type[Buy Window Month End], "(Set Type not found)", 0, 1)</f>
        <v>(Set Type not found)</v>
      </c>
      <c r="M242" s="3" t="e">
        <f>tbl_MTG_Set[[#This Row],[Released On]]+tbl_MTG_Set[[#This Row],[Buy Window Month End]]*365.25/12</f>
        <v>#VALUE!</v>
      </c>
      <c r="N242" s="3" t="e">
        <f ca="1">AND(NOW()&gt;=tbl_MTG_Set[[#This Row],[Buy Window Start]], NOW()&lt;=tbl_MTG_Set[[#This Row],[Buy Window End]])</f>
        <v>#VALUE!</v>
      </c>
      <c r="O242" t="str">
        <f>_xlfn.XLOOKUP(tbl_MTG_Set[[#This Row],[Type Name]], tbl_MTG_Set_Type[Set Type], tbl_MTG_Set_Type[Heavy Printing Window Month Start], "(Set Type not found)", 0, 1)</f>
        <v>(Set Type not found)</v>
      </c>
      <c r="P242" s="3" t="e">
        <f>tbl_MTG_Set[[#This Row],[Released On]]+tbl_MTG_Set[[#This Row],[Heavy Printing Window Month Start]]*365.25/12</f>
        <v>#VALUE!</v>
      </c>
      <c r="Q242" t="str">
        <f>_xlfn.XLOOKUP(tbl_MTG_Set[[#This Row],[Type Name]], tbl_MTG_Set_Type[Set Type], tbl_MTG_Set_Type[Heavy Printing Window Month End], "(Set Type not found)", 0, 1)</f>
        <v>(Set Type not found)</v>
      </c>
      <c r="R242" s="3" t="e">
        <f>tbl_MTG_Set[[#This Row],[Released On]]+tbl_MTG_Set[[#This Row],[Heavy Printing Window Month End]]*365.25/12</f>
        <v>#VALUE!</v>
      </c>
      <c r="S242" s="3" t="e">
        <f ca="1">AND(NOW()&gt;=tbl_MTG_Set[[#This Row],[Heavy Printing Window Start]], NOW()&lt;=tbl_MTG_Set[[#This Row],[Heavy Printing Window End]])</f>
        <v>#VALUE!</v>
      </c>
      <c r="T242" t="str">
        <f>_xlfn.XLOOKUP(tbl_MTG_Set[[#This Row],[Type Name]], tbl_MTG_Set_Type[Set Type], tbl_MTG_Set_Type[Sell Window Month Start], "(Set Type not found)", 0, 1)</f>
        <v>(Set Type not found)</v>
      </c>
      <c r="U242" s="3" t="e">
        <f>tbl_MTG_Set[[#This Row],[Released On]]+tbl_MTG_Set[[#This Row],[Sell Window Month Start]]*365.25/12</f>
        <v>#VALUE!</v>
      </c>
      <c r="V242" t="str">
        <f>_xlfn.XLOOKUP(tbl_MTG_Set[[#This Row],[Type Name]], tbl_MTG_Set_Type[Set Type], tbl_MTG_Set_Type[Sell Window Month End], "(Set Type not found)", 0, 1)</f>
        <v>(Set Type not found)</v>
      </c>
      <c r="W242" s="3" t="e">
        <f>tbl_MTG_Set[[#This Row],[Released On]]+tbl_MTG_Set[[#This Row],[Sell Window Month End]]*365.25/12</f>
        <v>#VALUE!</v>
      </c>
      <c r="X242" s="3" t="e">
        <f ca="1">AND(NOW()&gt;=tbl_MTG_Set[[#This Row],[Sell Window Start]], NOW()&lt;=tbl_MTG_Set[[#This Row],[Sell Window End]])</f>
        <v>#VALUE!</v>
      </c>
      <c r="AG242" s="10"/>
      <c r="AH242" s="10"/>
      <c r="AM242" s="10" t="str" cm="1">
        <f t="array" ref="AM2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2" s="10" t="str" cm="1">
        <f t="array" ref="AN2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2" s="4" t="e">
        <f>_xlfn.XLOOKUP(tbl_MTG_Set[[#This Row],[Play Booster Box Product Id]], tbl_Product[Product Id], tbl_Product[Pack Size])</f>
        <v>#N/A</v>
      </c>
      <c r="AP242" s="10" t="e">
        <f>(tbl_MTG_Set[[#This Row],[Play Booster Box Cost]]+v_Item_Shipping_Cost_In)/tbl_MTG_Set[[#This Row],[Play Booster Box Size]]</f>
        <v>#VALUE!</v>
      </c>
      <c r="AQ242" s="10" t="str" cm="1">
        <f t="array" ref="AQ2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2" s="10"/>
      <c r="AS242" s="10"/>
      <c r="AT242" s="17" t="e">
        <f>tbl_MTG_Set[[#This Row],[Play Booster CardMarket Profit]]/tbl_MTG_Set[[#This Row],[Play Booster Cost]]</f>
        <v>#VALUE!</v>
      </c>
      <c r="AU242" s="10" t="e">
        <f>_xlfn.XLOOKUP(tbl_MTG_Set[[#This Row],[Collector Booster Box Product Id]], tbl_Product[Product Id], tbl_Product[Min Cost])</f>
        <v>#N/A</v>
      </c>
      <c r="AV242" s="10" t="e">
        <f>_xlfn.XLOOKUP(tbl_MTG_Set[[#This Row],[Collector Booster Box Product Id]], tbl_Product[Product Id], tbl_Product[Best Source])</f>
        <v>#N/A</v>
      </c>
      <c r="AW242" s="4" t="e">
        <f>_xlfn.XLOOKUP(tbl_MTG_Set[[#This Row],[Collector Booster Box Product Id]], tbl_Product[Product Id], tbl_Product[Pack Size])</f>
        <v>#N/A</v>
      </c>
      <c r="AX242" s="10" t="e">
        <f>(tbl_MTG_Set[[#This Row],[Collector Booster Box Cost]] + v_Item_Shipping_Cost_In) / tbl_MTG_Set[[#This Row],[Collector Booster Box Size]]</f>
        <v>#N/A</v>
      </c>
      <c r="AY242" s="10" t="str" cm="1">
        <f t="array" ref="AY2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2" s="10"/>
      <c r="BA2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2" s="17" t="e">
        <f>tbl_MTG_Set[[#This Row],[Collector Booster CardMarket Profit]]/tbl_MTG_Set[[#This Row],[Collector Booster Cost]]</f>
        <v>#N/A</v>
      </c>
      <c r="BC242" s="10"/>
      <c r="BF2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2" s="11" t="e">
        <f>tbl_MTG_Set[[#This Row],[Play Singles CardMarket Profit MTG Stocks]]/tbl_MTG_Set[[#This Row],[Play Booster Cost]]</f>
        <v>#VALUE!</v>
      </c>
      <c r="BI242" s="11" t="b">
        <f>tbl_MTG_Set[[#This Row],[Play Singles CardMarket Profit MTG Stocks]]&gt;0</f>
        <v>0</v>
      </c>
      <c r="BM242" s="10" t="e">
        <f>tbl_MTG_Set[[#This Row],[Play Booster Sell Price CardMarket]]*tbl_MTG_Set[[#This Row],[Play Booster Expected Market Value BotBox]]/tbl_MTG_Set[[#This Row],[Play Booster Sealed Market Value BotBox]]</f>
        <v>#VALUE!</v>
      </c>
      <c r="BN2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2" s="10" t="e">
        <f>tbl_MTG_Set[[#This Row],[Play Singles CardMarket Profit BotBox]]/tbl_MTG_Set[[#This Row],[Play Booster Cost]]</f>
        <v>#VALUE!</v>
      </c>
      <c r="BP242" s="10" t="b">
        <f>tbl_MTG_Set[[#This Row],[Play Singles CardMarket Profit BotBox]]&gt;0</f>
        <v>0</v>
      </c>
      <c r="BQ242" s="10"/>
      <c r="BR242" s="10"/>
      <c r="BS242" s="10"/>
      <c r="BT2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2" s="19" t="e">
        <f>tbl_MTG_Set[[#This Row],[Collector Singles CardMarket Profit MTG Stocks]]/tbl_MTG_Set[[#This Row],[Collector Booster Cost]]</f>
        <v>#N/A</v>
      </c>
      <c r="BW242" s="10" t="b">
        <f>tbl_MTG_Set[[#This Row],[Collector Singles CardMarket Profit MTG Stocks]]&gt;0</f>
        <v>0</v>
      </c>
      <c r="BX242" s="10"/>
      <c r="BY242" s="10"/>
      <c r="BZ2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2" s="10" t="e">
        <f>tbl_MTG_Set[[#This Row],[Collector Singles CardMarket Profit BotBox]]/tbl_MTG_Set[[#This Row],[Collector Booster Cost]]</f>
        <v>#N/A</v>
      </c>
      <c r="CC242" s="10" t="b">
        <f>tbl_MTG_Set[[#This Row],[Collector Singles CardMarket Profit BotBox]]&gt;0</f>
        <v>0</v>
      </c>
      <c r="CD2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3" spans="1:86" hidden="1">
      <c r="A243">
        <v>264</v>
      </c>
      <c r="B243" t="s">
        <v>416</v>
      </c>
      <c r="C243">
        <v>24</v>
      </c>
      <c r="D243" s="3">
        <v>44750</v>
      </c>
      <c r="F243" t="s">
        <v>174</v>
      </c>
      <c r="G243">
        <v>474</v>
      </c>
      <c r="H243">
        <f ca="1">MONTH(NOW())+12*YEAR(NOW())-MONTH(tbl_MTG_Set[[#This Row],[Released On]])-12*YEAR(tbl_MTG_Set[[#This Row],[Released On]])</f>
        <v>44</v>
      </c>
      <c r="I243" t="str">
        <f>_xlfn.XLOOKUP(tbl_MTG_Set[[#This Row],[Type Name]], tbl_MTG_Set_Type[Set Type], tbl_MTG_Set_Type[Index], "(Set Type not found)")</f>
        <v>(Set Type not found)</v>
      </c>
      <c r="J243" t="str">
        <f>_xlfn.XLOOKUP(tbl_MTG_Set[[#This Row],[Type Name]], tbl_MTG_Set_Type[Set Type], tbl_MTG_Set_Type[Buy Window Month Start], "(Set Type not found)")</f>
        <v>(Set Type not found)</v>
      </c>
      <c r="K243" s="3" t="e">
        <f>tbl_MTG_Set[[#This Row],[Released On]]+tbl_MTG_Set[[#This Row],[Buy Window Month Start]]*365.25/12</f>
        <v>#VALUE!</v>
      </c>
      <c r="L243" t="str">
        <f>_xlfn.XLOOKUP(tbl_MTG_Set[[#This Row],[Type Name]], tbl_MTG_Set_Type[Set Type], tbl_MTG_Set_Type[Buy Window Month End], "(Set Type not found)", 0, 1)</f>
        <v>(Set Type not found)</v>
      </c>
      <c r="M243" s="3" t="e">
        <f>tbl_MTG_Set[[#This Row],[Released On]]+tbl_MTG_Set[[#This Row],[Buy Window Month End]]*365.25/12</f>
        <v>#VALUE!</v>
      </c>
      <c r="N243" s="3" t="e">
        <f ca="1">AND(NOW()&gt;=tbl_MTG_Set[[#This Row],[Buy Window Start]], NOW()&lt;=tbl_MTG_Set[[#This Row],[Buy Window End]])</f>
        <v>#VALUE!</v>
      </c>
      <c r="O243" t="str">
        <f>_xlfn.XLOOKUP(tbl_MTG_Set[[#This Row],[Type Name]], tbl_MTG_Set_Type[Set Type], tbl_MTG_Set_Type[Heavy Printing Window Month Start], "(Set Type not found)", 0, 1)</f>
        <v>(Set Type not found)</v>
      </c>
      <c r="P243" s="3" t="e">
        <f>tbl_MTG_Set[[#This Row],[Released On]]+tbl_MTG_Set[[#This Row],[Heavy Printing Window Month Start]]*365.25/12</f>
        <v>#VALUE!</v>
      </c>
      <c r="Q243" t="str">
        <f>_xlfn.XLOOKUP(tbl_MTG_Set[[#This Row],[Type Name]], tbl_MTG_Set_Type[Set Type], tbl_MTG_Set_Type[Heavy Printing Window Month End], "(Set Type not found)", 0, 1)</f>
        <v>(Set Type not found)</v>
      </c>
      <c r="R243" s="3" t="e">
        <f>tbl_MTG_Set[[#This Row],[Released On]]+tbl_MTG_Set[[#This Row],[Heavy Printing Window Month End]]*365.25/12</f>
        <v>#VALUE!</v>
      </c>
      <c r="S243" s="3" t="e">
        <f ca="1">AND(NOW()&gt;=tbl_MTG_Set[[#This Row],[Heavy Printing Window Start]], NOW()&lt;=tbl_MTG_Set[[#This Row],[Heavy Printing Window End]])</f>
        <v>#VALUE!</v>
      </c>
      <c r="T243" t="str">
        <f>_xlfn.XLOOKUP(tbl_MTG_Set[[#This Row],[Type Name]], tbl_MTG_Set_Type[Set Type], tbl_MTG_Set_Type[Sell Window Month Start], "(Set Type not found)", 0, 1)</f>
        <v>(Set Type not found)</v>
      </c>
      <c r="U243" s="3" t="e">
        <f>tbl_MTG_Set[[#This Row],[Released On]]+tbl_MTG_Set[[#This Row],[Sell Window Month Start]]*365.25/12</f>
        <v>#VALUE!</v>
      </c>
      <c r="V243" t="str">
        <f>_xlfn.XLOOKUP(tbl_MTG_Set[[#This Row],[Type Name]], tbl_MTG_Set_Type[Set Type], tbl_MTG_Set_Type[Sell Window Month End], "(Set Type not found)", 0, 1)</f>
        <v>(Set Type not found)</v>
      </c>
      <c r="W243" s="3" t="e">
        <f>tbl_MTG_Set[[#This Row],[Released On]]+tbl_MTG_Set[[#This Row],[Sell Window Month End]]*365.25/12</f>
        <v>#VALUE!</v>
      </c>
      <c r="X243" s="3" t="e">
        <f ca="1">AND(NOW()&gt;=tbl_MTG_Set[[#This Row],[Sell Window Start]], NOW()&lt;=tbl_MTG_Set[[#This Row],[Sell Window End]])</f>
        <v>#VALUE!</v>
      </c>
      <c r="AG243" s="10"/>
      <c r="AH243" s="10"/>
      <c r="AM243" s="10" t="str" cm="1">
        <f t="array" ref="AM2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3" s="10" t="str" cm="1">
        <f t="array" ref="AN2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3" s="4" t="e">
        <f>_xlfn.XLOOKUP(tbl_MTG_Set[[#This Row],[Play Booster Box Product Id]], tbl_Product[Product Id], tbl_Product[Pack Size])</f>
        <v>#N/A</v>
      </c>
      <c r="AP243" s="10" t="e">
        <f>(tbl_MTG_Set[[#This Row],[Play Booster Box Cost]]+v_Item_Shipping_Cost_In)/tbl_MTG_Set[[#This Row],[Play Booster Box Size]]</f>
        <v>#VALUE!</v>
      </c>
      <c r="AQ243" s="10" t="str" cm="1">
        <f t="array" ref="AQ2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3" s="10"/>
      <c r="AS243" s="10"/>
      <c r="AT243" s="17" t="e">
        <f>tbl_MTG_Set[[#This Row],[Play Booster CardMarket Profit]]/tbl_MTG_Set[[#This Row],[Play Booster Cost]]</f>
        <v>#VALUE!</v>
      </c>
      <c r="AU243" s="10" t="e">
        <f>_xlfn.XLOOKUP(tbl_MTG_Set[[#This Row],[Collector Booster Box Product Id]], tbl_Product[Product Id], tbl_Product[Min Cost])</f>
        <v>#N/A</v>
      </c>
      <c r="AV243" s="10" t="e">
        <f>_xlfn.XLOOKUP(tbl_MTG_Set[[#This Row],[Collector Booster Box Product Id]], tbl_Product[Product Id], tbl_Product[Best Source])</f>
        <v>#N/A</v>
      </c>
      <c r="AW243" s="4" t="e">
        <f>_xlfn.XLOOKUP(tbl_MTG_Set[[#This Row],[Collector Booster Box Product Id]], tbl_Product[Product Id], tbl_Product[Pack Size])</f>
        <v>#N/A</v>
      </c>
      <c r="AX243" s="10" t="e">
        <f>(tbl_MTG_Set[[#This Row],[Collector Booster Box Cost]] + v_Item_Shipping_Cost_In) / tbl_MTG_Set[[#This Row],[Collector Booster Box Size]]</f>
        <v>#N/A</v>
      </c>
      <c r="AY243" s="10" t="str" cm="1">
        <f t="array" ref="AY2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3" s="10"/>
      <c r="BA2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3" s="17" t="e">
        <f>tbl_MTG_Set[[#This Row],[Collector Booster CardMarket Profit]]/tbl_MTG_Set[[#This Row],[Collector Booster Cost]]</f>
        <v>#N/A</v>
      </c>
      <c r="BC243" s="10"/>
      <c r="BF2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3" s="11" t="e">
        <f>tbl_MTG_Set[[#This Row],[Play Singles CardMarket Profit MTG Stocks]]/tbl_MTG_Set[[#This Row],[Play Booster Cost]]</f>
        <v>#VALUE!</v>
      </c>
      <c r="BI243" s="11" t="b">
        <f>tbl_MTG_Set[[#This Row],[Play Singles CardMarket Profit MTG Stocks]]&gt;0</f>
        <v>0</v>
      </c>
      <c r="BM243" s="10" t="e">
        <f>tbl_MTG_Set[[#This Row],[Play Booster Sell Price CardMarket]]*tbl_MTG_Set[[#This Row],[Play Booster Expected Market Value BotBox]]/tbl_MTG_Set[[#This Row],[Play Booster Sealed Market Value BotBox]]</f>
        <v>#VALUE!</v>
      </c>
      <c r="BN2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3" s="10" t="e">
        <f>tbl_MTG_Set[[#This Row],[Play Singles CardMarket Profit BotBox]]/tbl_MTG_Set[[#This Row],[Play Booster Cost]]</f>
        <v>#VALUE!</v>
      </c>
      <c r="BP243" s="10" t="b">
        <f>tbl_MTG_Set[[#This Row],[Play Singles CardMarket Profit BotBox]]&gt;0</f>
        <v>0</v>
      </c>
      <c r="BQ243" s="10"/>
      <c r="BR243" s="10"/>
      <c r="BS243" s="10"/>
      <c r="BT2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3" s="19" t="e">
        <f>tbl_MTG_Set[[#This Row],[Collector Singles CardMarket Profit MTG Stocks]]/tbl_MTG_Set[[#This Row],[Collector Booster Cost]]</f>
        <v>#N/A</v>
      </c>
      <c r="BW243" s="10" t="b">
        <f>tbl_MTG_Set[[#This Row],[Collector Singles CardMarket Profit MTG Stocks]]&gt;0</f>
        <v>0</v>
      </c>
      <c r="BX243" s="10"/>
      <c r="BY243" s="10"/>
      <c r="BZ2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3" s="10" t="e">
        <f>tbl_MTG_Set[[#This Row],[Collector Singles CardMarket Profit BotBox]]/tbl_MTG_Set[[#This Row],[Collector Booster Cost]]</f>
        <v>#N/A</v>
      </c>
      <c r="CC243" s="10" t="b">
        <f>tbl_MTG_Set[[#This Row],[Collector Singles CardMarket Profit BotBox]]&gt;0</f>
        <v>0</v>
      </c>
      <c r="CD2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4" spans="1:86" hidden="1">
      <c r="A244">
        <v>265</v>
      </c>
      <c r="B244" t="s">
        <v>417</v>
      </c>
      <c r="C244">
        <v>436</v>
      </c>
      <c r="D244" s="3">
        <v>44749</v>
      </c>
      <c r="F244" t="s">
        <v>174</v>
      </c>
      <c r="G244">
        <v>476</v>
      </c>
      <c r="H244">
        <f ca="1">MONTH(NOW())+12*YEAR(NOW())-MONTH(tbl_MTG_Set[[#This Row],[Released On]])-12*YEAR(tbl_MTG_Set[[#This Row],[Released On]])</f>
        <v>44</v>
      </c>
      <c r="I244" t="str">
        <f>_xlfn.XLOOKUP(tbl_MTG_Set[[#This Row],[Type Name]], tbl_MTG_Set_Type[Set Type], tbl_MTG_Set_Type[Index], "(Set Type not found)")</f>
        <v>(Set Type not found)</v>
      </c>
      <c r="J244" t="str">
        <f>_xlfn.XLOOKUP(tbl_MTG_Set[[#This Row],[Type Name]], tbl_MTG_Set_Type[Set Type], tbl_MTG_Set_Type[Buy Window Month Start], "(Set Type not found)")</f>
        <v>(Set Type not found)</v>
      </c>
      <c r="K244" s="3" t="e">
        <f>tbl_MTG_Set[[#This Row],[Released On]]+tbl_MTG_Set[[#This Row],[Buy Window Month Start]]*365.25/12</f>
        <v>#VALUE!</v>
      </c>
      <c r="L244" t="str">
        <f>_xlfn.XLOOKUP(tbl_MTG_Set[[#This Row],[Type Name]], tbl_MTG_Set_Type[Set Type], tbl_MTG_Set_Type[Buy Window Month End], "(Set Type not found)", 0, 1)</f>
        <v>(Set Type not found)</v>
      </c>
      <c r="M244" s="3" t="e">
        <f>tbl_MTG_Set[[#This Row],[Released On]]+tbl_MTG_Set[[#This Row],[Buy Window Month End]]*365.25/12</f>
        <v>#VALUE!</v>
      </c>
      <c r="N244" s="3" t="e">
        <f ca="1">AND(NOW()&gt;=tbl_MTG_Set[[#This Row],[Buy Window Start]], NOW()&lt;=tbl_MTG_Set[[#This Row],[Buy Window End]])</f>
        <v>#VALUE!</v>
      </c>
      <c r="O244" t="str">
        <f>_xlfn.XLOOKUP(tbl_MTG_Set[[#This Row],[Type Name]], tbl_MTG_Set_Type[Set Type], tbl_MTG_Set_Type[Heavy Printing Window Month Start], "(Set Type not found)", 0, 1)</f>
        <v>(Set Type not found)</v>
      </c>
      <c r="P244" s="3" t="e">
        <f>tbl_MTG_Set[[#This Row],[Released On]]+tbl_MTG_Set[[#This Row],[Heavy Printing Window Month Start]]*365.25/12</f>
        <v>#VALUE!</v>
      </c>
      <c r="Q244" t="str">
        <f>_xlfn.XLOOKUP(tbl_MTG_Set[[#This Row],[Type Name]], tbl_MTG_Set_Type[Set Type], tbl_MTG_Set_Type[Heavy Printing Window Month End], "(Set Type not found)", 0, 1)</f>
        <v>(Set Type not found)</v>
      </c>
      <c r="R244" s="3" t="e">
        <f>tbl_MTG_Set[[#This Row],[Released On]]+tbl_MTG_Set[[#This Row],[Heavy Printing Window Month End]]*365.25/12</f>
        <v>#VALUE!</v>
      </c>
      <c r="S244" s="3" t="e">
        <f ca="1">AND(NOW()&gt;=tbl_MTG_Set[[#This Row],[Heavy Printing Window Start]], NOW()&lt;=tbl_MTG_Set[[#This Row],[Heavy Printing Window End]])</f>
        <v>#VALUE!</v>
      </c>
      <c r="T244" t="str">
        <f>_xlfn.XLOOKUP(tbl_MTG_Set[[#This Row],[Type Name]], tbl_MTG_Set_Type[Set Type], tbl_MTG_Set_Type[Sell Window Month Start], "(Set Type not found)", 0, 1)</f>
        <v>(Set Type not found)</v>
      </c>
      <c r="U244" s="3" t="e">
        <f>tbl_MTG_Set[[#This Row],[Released On]]+tbl_MTG_Set[[#This Row],[Sell Window Month Start]]*365.25/12</f>
        <v>#VALUE!</v>
      </c>
      <c r="V244" t="str">
        <f>_xlfn.XLOOKUP(tbl_MTG_Set[[#This Row],[Type Name]], tbl_MTG_Set_Type[Set Type], tbl_MTG_Set_Type[Sell Window Month End], "(Set Type not found)", 0, 1)</f>
        <v>(Set Type not found)</v>
      </c>
      <c r="W244" s="3" t="e">
        <f>tbl_MTG_Set[[#This Row],[Released On]]+tbl_MTG_Set[[#This Row],[Sell Window Month End]]*365.25/12</f>
        <v>#VALUE!</v>
      </c>
      <c r="X244" s="3" t="e">
        <f ca="1">AND(NOW()&gt;=tbl_MTG_Set[[#This Row],[Sell Window Start]], NOW()&lt;=tbl_MTG_Set[[#This Row],[Sell Window End]])</f>
        <v>#VALUE!</v>
      </c>
      <c r="AG244" s="10"/>
      <c r="AH244" s="10"/>
      <c r="AM244" s="10" t="str" cm="1">
        <f t="array" ref="AM2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4" s="10" t="str" cm="1">
        <f t="array" ref="AN2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4" s="4" t="e">
        <f>_xlfn.XLOOKUP(tbl_MTG_Set[[#This Row],[Play Booster Box Product Id]], tbl_Product[Product Id], tbl_Product[Pack Size])</f>
        <v>#N/A</v>
      </c>
      <c r="AP244" s="10" t="e">
        <f>(tbl_MTG_Set[[#This Row],[Play Booster Box Cost]]+v_Item_Shipping_Cost_In)/tbl_MTG_Set[[#This Row],[Play Booster Box Size]]</f>
        <v>#VALUE!</v>
      </c>
      <c r="AQ244" s="10" t="str" cm="1">
        <f t="array" ref="AQ2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4" s="10"/>
      <c r="AS244" s="10"/>
      <c r="AT244" s="17" t="e">
        <f>tbl_MTG_Set[[#This Row],[Play Booster CardMarket Profit]]/tbl_MTG_Set[[#This Row],[Play Booster Cost]]</f>
        <v>#VALUE!</v>
      </c>
      <c r="AU244" s="10" t="e">
        <f>_xlfn.XLOOKUP(tbl_MTG_Set[[#This Row],[Collector Booster Box Product Id]], tbl_Product[Product Id], tbl_Product[Min Cost])</f>
        <v>#N/A</v>
      </c>
      <c r="AV244" s="10" t="e">
        <f>_xlfn.XLOOKUP(tbl_MTG_Set[[#This Row],[Collector Booster Box Product Id]], tbl_Product[Product Id], tbl_Product[Best Source])</f>
        <v>#N/A</v>
      </c>
      <c r="AW244" s="4" t="e">
        <f>_xlfn.XLOOKUP(tbl_MTG_Set[[#This Row],[Collector Booster Box Product Id]], tbl_Product[Product Id], tbl_Product[Pack Size])</f>
        <v>#N/A</v>
      </c>
      <c r="AX244" s="10" t="e">
        <f>(tbl_MTG_Set[[#This Row],[Collector Booster Box Cost]] + v_Item_Shipping_Cost_In) / tbl_MTG_Set[[#This Row],[Collector Booster Box Size]]</f>
        <v>#N/A</v>
      </c>
      <c r="AY244" s="10" t="str" cm="1">
        <f t="array" ref="AY2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4" s="10"/>
      <c r="BA2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4" s="17" t="e">
        <f>tbl_MTG_Set[[#This Row],[Collector Booster CardMarket Profit]]/tbl_MTG_Set[[#This Row],[Collector Booster Cost]]</f>
        <v>#N/A</v>
      </c>
      <c r="BC244" s="10"/>
      <c r="BF2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4" s="11" t="e">
        <f>tbl_MTG_Set[[#This Row],[Play Singles CardMarket Profit MTG Stocks]]/tbl_MTG_Set[[#This Row],[Play Booster Cost]]</f>
        <v>#VALUE!</v>
      </c>
      <c r="BI244" s="11" t="b">
        <f>tbl_MTG_Set[[#This Row],[Play Singles CardMarket Profit MTG Stocks]]&gt;0</f>
        <v>0</v>
      </c>
      <c r="BM244" s="10" t="e">
        <f>tbl_MTG_Set[[#This Row],[Play Booster Sell Price CardMarket]]*tbl_MTG_Set[[#This Row],[Play Booster Expected Market Value BotBox]]/tbl_MTG_Set[[#This Row],[Play Booster Sealed Market Value BotBox]]</f>
        <v>#VALUE!</v>
      </c>
      <c r="BN2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4" s="10" t="e">
        <f>tbl_MTG_Set[[#This Row],[Play Singles CardMarket Profit BotBox]]/tbl_MTG_Set[[#This Row],[Play Booster Cost]]</f>
        <v>#VALUE!</v>
      </c>
      <c r="BP244" s="10" t="b">
        <f>tbl_MTG_Set[[#This Row],[Play Singles CardMarket Profit BotBox]]&gt;0</f>
        <v>0</v>
      </c>
      <c r="BQ244" s="10"/>
      <c r="BR244" s="10"/>
      <c r="BS244" s="10"/>
      <c r="BT2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4" s="19" t="e">
        <f>tbl_MTG_Set[[#This Row],[Collector Singles CardMarket Profit MTG Stocks]]/tbl_MTG_Set[[#This Row],[Collector Booster Cost]]</f>
        <v>#N/A</v>
      </c>
      <c r="BW244" s="10" t="b">
        <f>tbl_MTG_Set[[#This Row],[Collector Singles CardMarket Profit MTG Stocks]]&gt;0</f>
        <v>0</v>
      </c>
      <c r="BX244" s="10"/>
      <c r="BY244" s="10"/>
      <c r="BZ2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4" s="10" t="e">
        <f>tbl_MTG_Set[[#This Row],[Collector Singles CardMarket Profit BotBox]]/tbl_MTG_Set[[#This Row],[Collector Booster Cost]]</f>
        <v>#N/A</v>
      </c>
      <c r="CC244" s="10" t="b">
        <f>tbl_MTG_Set[[#This Row],[Collector Singles CardMarket Profit BotBox]]&gt;0</f>
        <v>0</v>
      </c>
      <c r="CD2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5" spans="1:86" hidden="1">
      <c r="A245">
        <v>266</v>
      </c>
      <c r="B245" t="s">
        <v>418</v>
      </c>
      <c r="C245">
        <v>2</v>
      </c>
      <c r="D245" s="3">
        <v>44743</v>
      </c>
      <c r="F245" t="s">
        <v>174</v>
      </c>
      <c r="G245">
        <v>478</v>
      </c>
      <c r="H245">
        <f ca="1">MONTH(NOW())+12*YEAR(NOW())-MONTH(tbl_MTG_Set[[#This Row],[Released On]])-12*YEAR(tbl_MTG_Set[[#This Row],[Released On]])</f>
        <v>44</v>
      </c>
      <c r="I245" t="str">
        <f>_xlfn.XLOOKUP(tbl_MTG_Set[[#This Row],[Type Name]], tbl_MTG_Set_Type[Set Type], tbl_MTG_Set_Type[Index], "(Set Type not found)")</f>
        <v>(Set Type not found)</v>
      </c>
      <c r="J245" t="str">
        <f>_xlfn.XLOOKUP(tbl_MTG_Set[[#This Row],[Type Name]], tbl_MTG_Set_Type[Set Type], tbl_MTG_Set_Type[Buy Window Month Start], "(Set Type not found)")</f>
        <v>(Set Type not found)</v>
      </c>
      <c r="K245" s="3" t="e">
        <f>tbl_MTG_Set[[#This Row],[Released On]]+tbl_MTG_Set[[#This Row],[Buy Window Month Start]]*365.25/12</f>
        <v>#VALUE!</v>
      </c>
      <c r="L245" t="str">
        <f>_xlfn.XLOOKUP(tbl_MTG_Set[[#This Row],[Type Name]], tbl_MTG_Set_Type[Set Type], tbl_MTG_Set_Type[Buy Window Month End], "(Set Type not found)", 0, 1)</f>
        <v>(Set Type not found)</v>
      </c>
      <c r="M245" s="3" t="e">
        <f>tbl_MTG_Set[[#This Row],[Released On]]+tbl_MTG_Set[[#This Row],[Buy Window Month End]]*365.25/12</f>
        <v>#VALUE!</v>
      </c>
      <c r="N245" s="3" t="e">
        <f ca="1">AND(NOW()&gt;=tbl_MTG_Set[[#This Row],[Buy Window Start]], NOW()&lt;=tbl_MTG_Set[[#This Row],[Buy Window End]])</f>
        <v>#VALUE!</v>
      </c>
      <c r="O245" t="str">
        <f>_xlfn.XLOOKUP(tbl_MTG_Set[[#This Row],[Type Name]], tbl_MTG_Set_Type[Set Type], tbl_MTG_Set_Type[Heavy Printing Window Month Start], "(Set Type not found)", 0, 1)</f>
        <v>(Set Type not found)</v>
      </c>
      <c r="P245" s="3" t="e">
        <f>tbl_MTG_Set[[#This Row],[Released On]]+tbl_MTG_Set[[#This Row],[Heavy Printing Window Month Start]]*365.25/12</f>
        <v>#VALUE!</v>
      </c>
      <c r="Q245" t="str">
        <f>_xlfn.XLOOKUP(tbl_MTG_Set[[#This Row],[Type Name]], tbl_MTG_Set_Type[Set Type], tbl_MTG_Set_Type[Heavy Printing Window Month End], "(Set Type not found)", 0, 1)</f>
        <v>(Set Type not found)</v>
      </c>
      <c r="R245" s="3" t="e">
        <f>tbl_MTG_Set[[#This Row],[Released On]]+tbl_MTG_Set[[#This Row],[Heavy Printing Window Month End]]*365.25/12</f>
        <v>#VALUE!</v>
      </c>
      <c r="S245" s="3" t="e">
        <f ca="1">AND(NOW()&gt;=tbl_MTG_Set[[#This Row],[Heavy Printing Window Start]], NOW()&lt;=tbl_MTG_Set[[#This Row],[Heavy Printing Window End]])</f>
        <v>#VALUE!</v>
      </c>
      <c r="T245" t="str">
        <f>_xlfn.XLOOKUP(tbl_MTG_Set[[#This Row],[Type Name]], tbl_MTG_Set_Type[Set Type], tbl_MTG_Set_Type[Sell Window Month Start], "(Set Type not found)", 0, 1)</f>
        <v>(Set Type not found)</v>
      </c>
      <c r="U245" s="3" t="e">
        <f>tbl_MTG_Set[[#This Row],[Released On]]+tbl_MTG_Set[[#This Row],[Sell Window Month Start]]*365.25/12</f>
        <v>#VALUE!</v>
      </c>
      <c r="V245" t="str">
        <f>_xlfn.XLOOKUP(tbl_MTG_Set[[#This Row],[Type Name]], tbl_MTG_Set_Type[Set Type], tbl_MTG_Set_Type[Sell Window Month End], "(Set Type not found)", 0, 1)</f>
        <v>(Set Type not found)</v>
      </c>
      <c r="W245" s="3" t="e">
        <f>tbl_MTG_Set[[#This Row],[Released On]]+tbl_MTG_Set[[#This Row],[Sell Window Month End]]*365.25/12</f>
        <v>#VALUE!</v>
      </c>
      <c r="X245" s="3" t="e">
        <f ca="1">AND(NOW()&gt;=tbl_MTG_Set[[#This Row],[Sell Window Start]], NOW()&lt;=tbl_MTG_Set[[#This Row],[Sell Window End]])</f>
        <v>#VALUE!</v>
      </c>
      <c r="AG245" s="10"/>
      <c r="AH245" s="10"/>
      <c r="AM245" s="10" t="str" cm="1">
        <f t="array" ref="AM2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5" s="10" t="str" cm="1">
        <f t="array" ref="AN2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5" s="4" t="e">
        <f>_xlfn.XLOOKUP(tbl_MTG_Set[[#This Row],[Play Booster Box Product Id]], tbl_Product[Product Id], tbl_Product[Pack Size])</f>
        <v>#N/A</v>
      </c>
      <c r="AP245" s="10" t="e">
        <f>(tbl_MTG_Set[[#This Row],[Play Booster Box Cost]]+v_Item_Shipping_Cost_In)/tbl_MTG_Set[[#This Row],[Play Booster Box Size]]</f>
        <v>#VALUE!</v>
      </c>
      <c r="AQ245" s="10" t="str" cm="1">
        <f t="array" ref="AQ2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5" s="10"/>
      <c r="AS245" s="10"/>
      <c r="AT245" s="17" t="e">
        <f>tbl_MTG_Set[[#This Row],[Play Booster CardMarket Profit]]/tbl_MTG_Set[[#This Row],[Play Booster Cost]]</f>
        <v>#VALUE!</v>
      </c>
      <c r="AU245" s="10" t="e">
        <f>_xlfn.XLOOKUP(tbl_MTG_Set[[#This Row],[Collector Booster Box Product Id]], tbl_Product[Product Id], tbl_Product[Min Cost])</f>
        <v>#N/A</v>
      </c>
      <c r="AV245" s="10" t="e">
        <f>_xlfn.XLOOKUP(tbl_MTG_Set[[#This Row],[Collector Booster Box Product Id]], tbl_Product[Product Id], tbl_Product[Best Source])</f>
        <v>#N/A</v>
      </c>
      <c r="AW245" s="4" t="e">
        <f>_xlfn.XLOOKUP(tbl_MTG_Set[[#This Row],[Collector Booster Box Product Id]], tbl_Product[Product Id], tbl_Product[Pack Size])</f>
        <v>#N/A</v>
      </c>
      <c r="AX245" s="10" t="e">
        <f>(tbl_MTG_Set[[#This Row],[Collector Booster Box Cost]] + v_Item_Shipping_Cost_In) / tbl_MTG_Set[[#This Row],[Collector Booster Box Size]]</f>
        <v>#N/A</v>
      </c>
      <c r="AY245" s="10" t="str" cm="1">
        <f t="array" ref="AY2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5" s="10"/>
      <c r="BA2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5" s="17" t="e">
        <f>tbl_MTG_Set[[#This Row],[Collector Booster CardMarket Profit]]/tbl_MTG_Set[[#This Row],[Collector Booster Cost]]</f>
        <v>#N/A</v>
      </c>
      <c r="BC245" s="10"/>
      <c r="BF2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5" s="11" t="e">
        <f>tbl_MTG_Set[[#This Row],[Play Singles CardMarket Profit MTG Stocks]]/tbl_MTG_Set[[#This Row],[Play Booster Cost]]</f>
        <v>#VALUE!</v>
      </c>
      <c r="BI245" s="11" t="b">
        <f>tbl_MTG_Set[[#This Row],[Play Singles CardMarket Profit MTG Stocks]]&gt;0</f>
        <v>0</v>
      </c>
      <c r="BM245" s="10" t="e">
        <f>tbl_MTG_Set[[#This Row],[Play Booster Sell Price CardMarket]]*tbl_MTG_Set[[#This Row],[Play Booster Expected Market Value BotBox]]/tbl_MTG_Set[[#This Row],[Play Booster Sealed Market Value BotBox]]</f>
        <v>#VALUE!</v>
      </c>
      <c r="BN2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5" s="10" t="e">
        <f>tbl_MTG_Set[[#This Row],[Play Singles CardMarket Profit BotBox]]/tbl_MTG_Set[[#This Row],[Play Booster Cost]]</f>
        <v>#VALUE!</v>
      </c>
      <c r="BP245" s="10" t="b">
        <f>tbl_MTG_Set[[#This Row],[Play Singles CardMarket Profit BotBox]]&gt;0</f>
        <v>0</v>
      </c>
      <c r="BQ245" s="10"/>
      <c r="BR245" s="10"/>
      <c r="BS245" s="10"/>
      <c r="BT2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5" s="19" t="e">
        <f>tbl_MTG_Set[[#This Row],[Collector Singles CardMarket Profit MTG Stocks]]/tbl_MTG_Set[[#This Row],[Collector Booster Cost]]</f>
        <v>#N/A</v>
      </c>
      <c r="BW245" s="10" t="b">
        <f>tbl_MTG_Set[[#This Row],[Collector Singles CardMarket Profit MTG Stocks]]&gt;0</f>
        <v>0</v>
      </c>
      <c r="BX245" s="10"/>
      <c r="BY245" s="10"/>
      <c r="BZ2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5" s="10" t="e">
        <f>tbl_MTG_Set[[#This Row],[Collector Singles CardMarket Profit BotBox]]/tbl_MTG_Set[[#This Row],[Collector Booster Cost]]</f>
        <v>#N/A</v>
      </c>
      <c r="CC245" s="10" t="b">
        <f>tbl_MTG_Set[[#This Row],[Collector Singles CardMarket Profit BotBox]]&gt;0</f>
        <v>0</v>
      </c>
      <c r="CD2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6" spans="1:86" hidden="1">
      <c r="A246">
        <v>267</v>
      </c>
      <c r="B246" t="s">
        <v>419</v>
      </c>
      <c r="C246">
        <v>936</v>
      </c>
      <c r="D246" s="3">
        <v>44722</v>
      </c>
      <c r="F246" t="s">
        <v>174</v>
      </c>
      <c r="G246">
        <v>480</v>
      </c>
      <c r="H246">
        <f ca="1">MONTH(NOW())+12*YEAR(NOW())-MONTH(tbl_MTG_Set[[#This Row],[Released On]])-12*YEAR(tbl_MTG_Set[[#This Row],[Released On]])</f>
        <v>45</v>
      </c>
      <c r="I246" t="str">
        <f>_xlfn.XLOOKUP(tbl_MTG_Set[[#This Row],[Type Name]], tbl_MTG_Set_Type[Set Type], tbl_MTG_Set_Type[Index], "(Set Type not found)")</f>
        <v>(Set Type not found)</v>
      </c>
      <c r="J246" t="str">
        <f>_xlfn.XLOOKUP(tbl_MTG_Set[[#This Row],[Type Name]], tbl_MTG_Set_Type[Set Type], tbl_MTG_Set_Type[Buy Window Month Start], "(Set Type not found)")</f>
        <v>(Set Type not found)</v>
      </c>
      <c r="K246" s="3" t="e">
        <f>tbl_MTG_Set[[#This Row],[Released On]]+tbl_MTG_Set[[#This Row],[Buy Window Month Start]]*365.25/12</f>
        <v>#VALUE!</v>
      </c>
      <c r="L246" t="str">
        <f>_xlfn.XLOOKUP(tbl_MTG_Set[[#This Row],[Type Name]], tbl_MTG_Set_Type[Set Type], tbl_MTG_Set_Type[Buy Window Month End], "(Set Type not found)", 0, 1)</f>
        <v>(Set Type not found)</v>
      </c>
      <c r="M246" s="3" t="e">
        <f>tbl_MTG_Set[[#This Row],[Released On]]+tbl_MTG_Set[[#This Row],[Buy Window Month End]]*365.25/12</f>
        <v>#VALUE!</v>
      </c>
      <c r="N246" s="3" t="e">
        <f ca="1">AND(NOW()&gt;=tbl_MTG_Set[[#This Row],[Buy Window Start]], NOW()&lt;=tbl_MTG_Set[[#This Row],[Buy Window End]])</f>
        <v>#VALUE!</v>
      </c>
      <c r="O246" t="str">
        <f>_xlfn.XLOOKUP(tbl_MTG_Set[[#This Row],[Type Name]], tbl_MTG_Set_Type[Set Type], tbl_MTG_Set_Type[Heavy Printing Window Month Start], "(Set Type not found)", 0, 1)</f>
        <v>(Set Type not found)</v>
      </c>
      <c r="P246" s="3" t="e">
        <f>tbl_MTG_Set[[#This Row],[Released On]]+tbl_MTG_Set[[#This Row],[Heavy Printing Window Month Start]]*365.25/12</f>
        <v>#VALUE!</v>
      </c>
      <c r="Q246" t="str">
        <f>_xlfn.XLOOKUP(tbl_MTG_Set[[#This Row],[Type Name]], tbl_MTG_Set_Type[Set Type], tbl_MTG_Set_Type[Heavy Printing Window Month End], "(Set Type not found)", 0, 1)</f>
        <v>(Set Type not found)</v>
      </c>
      <c r="R246" s="3" t="e">
        <f>tbl_MTG_Set[[#This Row],[Released On]]+tbl_MTG_Set[[#This Row],[Heavy Printing Window Month End]]*365.25/12</f>
        <v>#VALUE!</v>
      </c>
      <c r="S246" s="3" t="e">
        <f ca="1">AND(NOW()&gt;=tbl_MTG_Set[[#This Row],[Heavy Printing Window Start]], NOW()&lt;=tbl_MTG_Set[[#This Row],[Heavy Printing Window End]])</f>
        <v>#VALUE!</v>
      </c>
      <c r="T246" t="str">
        <f>_xlfn.XLOOKUP(tbl_MTG_Set[[#This Row],[Type Name]], tbl_MTG_Set_Type[Set Type], tbl_MTG_Set_Type[Sell Window Month Start], "(Set Type not found)", 0, 1)</f>
        <v>(Set Type not found)</v>
      </c>
      <c r="U246" s="3" t="e">
        <f>tbl_MTG_Set[[#This Row],[Released On]]+tbl_MTG_Set[[#This Row],[Sell Window Month Start]]*365.25/12</f>
        <v>#VALUE!</v>
      </c>
      <c r="V246" t="str">
        <f>_xlfn.XLOOKUP(tbl_MTG_Set[[#This Row],[Type Name]], tbl_MTG_Set_Type[Set Type], tbl_MTG_Set_Type[Sell Window Month End], "(Set Type not found)", 0, 1)</f>
        <v>(Set Type not found)</v>
      </c>
      <c r="W246" s="3" t="e">
        <f>tbl_MTG_Set[[#This Row],[Released On]]+tbl_MTG_Set[[#This Row],[Sell Window Month End]]*365.25/12</f>
        <v>#VALUE!</v>
      </c>
      <c r="X246" s="3" t="e">
        <f ca="1">AND(NOW()&gt;=tbl_MTG_Set[[#This Row],[Sell Window Start]], NOW()&lt;=tbl_MTG_Set[[#This Row],[Sell Window End]])</f>
        <v>#VALUE!</v>
      </c>
      <c r="AG246" s="10"/>
      <c r="AH246" s="10"/>
      <c r="AM246" s="10" t="str" cm="1">
        <f t="array" ref="AM2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6" s="10" t="str" cm="1">
        <f t="array" ref="AN2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6" s="4" t="e">
        <f>_xlfn.XLOOKUP(tbl_MTG_Set[[#This Row],[Play Booster Box Product Id]], tbl_Product[Product Id], tbl_Product[Pack Size])</f>
        <v>#N/A</v>
      </c>
      <c r="AP246" s="10" t="e">
        <f>(tbl_MTG_Set[[#This Row],[Play Booster Box Cost]]+v_Item_Shipping_Cost_In)/tbl_MTG_Set[[#This Row],[Play Booster Box Size]]</f>
        <v>#VALUE!</v>
      </c>
      <c r="AQ246" s="10" t="str" cm="1">
        <f t="array" ref="AQ2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6" s="10"/>
      <c r="AS246" s="10"/>
      <c r="AT246" s="17" t="e">
        <f>tbl_MTG_Set[[#This Row],[Play Booster CardMarket Profit]]/tbl_MTG_Set[[#This Row],[Play Booster Cost]]</f>
        <v>#VALUE!</v>
      </c>
      <c r="AU246" s="10" t="e">
        <f>_xlfn.XLOOKUP(tbl_MTG_Set[[#This Row],[Collector Booster Box Product Id]], tbl_Product[Product Id], tbl_Product[Min Cost])</f>
        <v>#N/A</v>
      </c>
      <c r="AV246" s="10" t="e">
        <f>_xlfn.XLOOKUP(tbl_MTG_Set[[#This Row],[Collector Booster Box Product Id]], tbl_Product[Product Id], tbl_Product[Best Source])</f>
        <v>#N/A</v>
      </c>
      <c r="AW246" s="4" t="e">
        <f>_xlfn.XLOOKUP(tbl_MTG_Set[[#This Row],[Collector Booster Box Product Id]], tbl_Product[Product Id], tbl_Product[Pack Size])</f>
        <v>#N/A</v>
      </c>
      <c r="AX246" s="10" t="e">
        <f>(tbl_MTG_Set[[#This Row],[Collector Booster Box Cost]] + v_Item_Shipping_Cost_In) / tbl_MTG_Set[[#This Row],[Collector Booster Box Size]]</f>
        <v>#N/A</v>
      </c>
      <c r="AY246" s="10" t="str" cm="1">
        <f t="array" ref="AY2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6" s="10"/>
      <c r="BA2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6" s="17" t="e">
        <f>tbl_MTG_Set[[#This Row],[Collector Booster CardMarket Profit]]/tbl_MTG_Set[[#This Row],[Collector Booster Cost]]</f>
        <v>#N/A</v>
      </c>
      <c r="BC246" s="10"/>
      <c r="BF2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6" s="11" t="e">
        <f>tbl_MTG_Set[[#This Row],[Play Singles CardMarket Profit MTG Stocks]]/tbl_MTG_Set[[#This Row],[Play Booster Cost]]</f>
        <v>#VALUE!</v>
      </c>
      <c r="BI246" s="11" t="b">
        <f>tbl_MTG_Set[[#This Row],[Play Singles CardMarket Profit MTG Stocks]]&gt;0</f>
        <v>0</v>
      </c>
      <c r="BM246" s="10" t="e">
        <f>tbl_MTG_Set[[#This Row],[Play Booster Sell Price CardMarket]]*tbl_MTG_Set[[#This Row],[Play Booster Expected Market Value BotBox]]/tbl_MTG_Set[[#This Row],[Play Booster Sealed Market Value BotBox]]</f>
        <v>#VALUE!</v>
      </c>
      <c r="BN2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6" s="10" t="e">
        <f>tbl_MTG_Set[[#This Row],[Play Singles CardMarket Profit BotBox]]/tbl_MTG_Set[[#This Row],[Play Booster Cost]]</f>
        <v>#VALUE!</v>
      </c>
      <c r="BP246" s="10" t="b">
        <f>tbl_MTG_Set[[#This Row],[Play Singles CardMarket Profit BotBox]]&gt;0</f>
        <v>0</v>
      </c>
      <c r="BQ246" s="10"/>
      <c r="BR246" s="10"/>
      <c r="BS246" s="10"/>
      <c r="BT2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6" s="19" t="e">
        <f>tbl_MTG_Set[[#This Row],[Collector Singles CardMarket Profit MTG Stocks]]/tbl_MTG_Set[[#This Row],[Collector Booster Cost]]</f>
        <v>#N/A</v>
      </c>
      <c r="BW246" s="10" t="b">
        <f>tbl_MTG_Set[[#This Row],[Collector Singles CardMarket Profit MTG Stocks]]&gt;0</f>
        <v>0</v>
      </c>
      <c r="BX246" s="10"/>
      <c r="BY246" s="10"/>
      <c r="BZ2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6" s="10" t="e">
        <f>tbl_MTG_Set[[#This Row],[Collector Singles CardMarket Profit BotBox]]/tbl_MTG_Set[[#This Row],[Collector Booster Cost]]</f>
        <v>#N/A</v>
      </c>
      <c r="CC246" s="10" t="b">
        <f>tbl_MTG_Set[[#This Row],[Collector Singles CardMarket Profit BotBox]]&gt;0</f>
        <v>0</v>
      </c>
      <c r="CD2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7" spans="1:86" hidden="1">
      <c r="A247">
        <v>268</v>
      </c>
      <c r="B247" t="s">
        <v>420</v>
      </c>
      <c r="C247">
        <v>104</v>
      </c>
      <c r="D247" s="3">
        <v>44722</v>
      </c>
      <c r="F247" t="s">
        <v>174</v>
      </c>
      <c r="G247">
        <v>482</v>
      </c>
      <c r="H247">
        <f ca="1">MONTH(NOW())+12*YEAR(NOW())-MONTH(tbl_MTG_Set[[#This Row],[Released On]])-12*YEAR(tbl_MTG_Set[[#This Row],[Released On]])</f>
        <v>45</v>
      </c>
      <c r="I247" t="str">
        <f>_xlfn.XLOOKUP(tbl_MTG_Set[[#This Row],[Type Name]], tbl_MTG_Set_Type[Set Type], tbl_MTG_Set_Type[Index], "(Set Type not found)")</f>
        <v>(Set Type not found)</v>
      </c>
      <c r="J247" t="str">
        <f>_xlfn.XLOOKUP(tbl_MTG_Set[[#This Row],[Type Name]], tbl_MTG_Set_Type[Set Type], tbl_MTG_Set_Type[Buy Window Month Start], "(Set Type not found)")</f>
        <v>(Set Type not found)</v>
      </c>
      <c r="K247" s="3" t="e">
        <f>tbl_MTG_Set[[#This Row],[Released On]]+tbl_MTG_Set[[#This Row],[Buy Window Month Start]]*365.25/12</f>
        <v>#VALUE!</v>
      </c>
      <c r="L247" t="str">
        <f>_xlfn.XLOOKUP(tbl_MTG_Set[[#This Row],[Type Name]], tbl_MTG_Set_Type[Set Type], tbl_MTG_Set_Type[Buy Window Month End], "(Set Type not found)", 0, 1)</f>
        <v>(Set Type not found)</v>
      </c>
      <c r="M247" s="3" t="e">
        <f>tbl_MTG_Set[[#This Row],[Released On]]+tbl_MTG_Set[[#This Row],[Buy Window Month End]]*365.25/12</f>
        <v>#VALUE!</v>
      </c>
      <c r="N247" s="3" t="e">
        <f ca="1">AND(NOW()&gt;=tbl_MTG_Set[[#This Row],[Buy Window Start]], NOW()&lt;=tbl_MTG_Set[[#This Row],[Buy Window End]])</f>
        <v>#VALUE!</v>
      </c>
      <c r="O247" t="str">
        <f>_xlfn.XLOOKUP(tbl_MTG_Set[[#This Row],[Type Name]], tbl_MTG_Set_Type[Set Type], tbl_MTG_Set_Type[Heavy Printing Window Month Start], "(Set Type not found)", 0, 1)</f>
        <v>(Set Type not found)</v>
      </c>
      <c r="P247" s="3" t="e">
        <f>tbl_MTG_Set[[#This Row],[Released On]]+tbl_MTG_Set[[#This Row],[Heavy Printing Window Month Start]]*365.25/12</f>
        <v>#VALUE!</v>
      </c>
      <c r="Q247" t="str">
        <f>_xlfn.XLOOKUP(tbl_MTG_Set[[#This Row],[Type Name]], tbl_MTG_Set_Type[Set Type], tbl_MTG_Set_Type[Heavy Printing Window Month End], "(Set Type not found)", 0, 1)</f>
        <v>(Set Type not found)</v>
      </c>
      <c r="R247" s="3" t="e">
        <f>tbl_MTG_Set[[#This Row],[Released On]]+tbl_MTG_Set[[#This Row],[Heavy Printing Window Month End]]*365.25/12</f>
        <v>#VALUE!</v>
      </c>
      <c r="S247" s="3" t="e">
        <f ca="1">AND(NOW()&gt;=tbl_MTG_Set[[#This Row],[Heavy Printing Window Start]], NOW()&lt;=tbl_MTG_Set[[#This Row],[Heavy Printing Window End]])</f>
        <v>#VALUE!</v>
      </c>
      <c r="T247" t="str">
        <f>_xlfn.XLOOKUP(tbl_MTG_Set[[#This Row],[Type Name]], tbl_MTG_Set_Type[Set Type], tbl_MTG_Set_Type[Sell Window Month Start], "(Set Type not found)", 0, 1)</f>
        <v>(Set Type not found)</v>
      </c>
      <c r="U247" s="3" t="e">
        <f>tbl_MTG_Set[[#This Row],[Released On]]+tbl_MTG_Set[[#This Row],[Sell Window Month Start]]*365.25/12</f>
        <v>#VALUE!</v>
      </c>
      <c r="V247" t="str">
        <f>_xlfn.XLOOKUP(tbl_MTG_Set[[#This Row],[Type Name]], tbl_MTG_Set_Type[Set Type], tbl_MTG_Set_Type[Sell Window Month End], "(Set Type not found)", 0, 1)</f>
        <v>(Set Type not found)</v>
      </c>
      <c r="W247" s="3" t="e">
        <f>tbl_MTG_Set[[#This Row],[Released On]]+tbl_MTG_Set[[#This Row],[Sell Window Month End]]*365.25/12</f>
        <v>#VALUE!</v>
      </c>
      <c r="X247" s="3" t="e">
        <f ca="1">AND(NOW()&gt;=tbl_MTG_Set[[#This Row],[Sell Window Start]], NOW()&lt;=tbl_MTG_Set[[#This Row],[Sell Window End]])</f>
        <v>#VALUE!</v>
      </c>
      <c r="AG247" s="10"/>
      <c r="AH247" s="10"/>
      <c r="AM247" s="10" t="str" cm="1">
        <f t="array" ref="AM2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7" s="10" t="str" cm="1">
        <f t="array" ref="AN2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7" s="4" t="e">
        <f>_xlfn.XLOOKUP(tbl_MTG_Set[[#This Row],[Play Booster Box Product Id]], tbl_Product[Product Id], tbl_Product[Pack Size])</f>
        <v>#N/A</v>
      </c>
      <c r="AP247" s="10" t="e">
        <f>(tbl_MTG_Set[[#This Row],[Play Booster Box Cost]]+v_Item_Shipping_Cost_In)/tbl_MTG_Set[[#This Row],[Play Booster Box Size]]</f>
        <v>#VALUE!</v>
      </c>
      <c r="AQ247" s="10" t="str" cm="1">
        <f t="array" ref="AQ2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7" s="10"/>
      <c r="AS247" s="10"/>
      <c r="AT247" s="17" t="e">
        <f>tbl_MTG_Set[[#This Row],[Play Booster CardMarket Profit]]/tbl_MTG_Set[[#This Row],[Play Booster Cost]]</f>
        <v>#VALUE!</v>
      </c>
      <c r="AU247" s="10" t="e">
        <f>_xlfn.XLOOKUP(tbl_MTG_Set[[#This Row],[Collector Booster Box Product Id]], tbl_Product[Product Id], tbl_Product[Min Cost])</f>
        <v>#N/A</v>
      </c>
      <c r="AV247" s="10" t="e">
        <f>_xlfn.XLOOKUP(tbl_MTG_Set[[#This Row],[Collector Booster Box Product Id]], tbl_Product[Product Id], tbl_Product[Best Source])</f>
        <v>#N/A</v>
      </c>
      <c r="AW247" s="4" t="e">
        <f>_xlfn.XLOOKUP(tbl_MTG_Set[[#This Row],[Collector Booster Box Product Id]], tbl_Product[Product Id], tbl_Product[Pack Size])</f>
        <v>#N/A</v>
      </c>
      <c r="AX247" s="10" t="e">
        <f>(tbl_MTG_Set[[#This Row],[Collector Booster Box Cost]] + v_Item_Shipping_Cost_In) / tbl_MTG_Set[[#This Row],[Collector Booster Box Size]]</f>
        <v>#N/A</v>
      </c>
      <c r="AY247" s="10" t="str" cm="1">
        <f t="array" ref="AY2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7" s="10"/>
      <c r="BA2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7" s="17" t="e">
        <f>tbl_MTG_Set[[#This Row],[Collector Booster CardMarket Profit]]/tbl_MTG_Set[[#This Row],[Collector Booster Cost]]</f>
        <v>#N/A</v>
      </c>
      <c r="BC247" s="10"/>
      <c r="BF2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7" s="11" t="e">
        <f>tbl_MTG_Set[[#This Row],[Play Singles CardMarket Profit MTG Stocks]]/tbl_MTG_Set[[#This Row],[Play Booster Cost]]</f>
        <v>#VALUE!</v>
      </c>
      <c r="BI247" s="11" t="b">
        <f>tbl_MTG_Set[[#This Row],[Play Singles CardMarket Profit MTG Stocks]]&gt;0</f>
        <v>0</v>
      </c>
      <c r="BM247" s="10" t="e">
        <f>tbl_MTG_Set[[#This Row],[Play Booster Sell Price CardMarket]]*tbl_MTG_Set[[#This Row],[Play Booster Expected Market Value BotBox]]/tbl_MTG_Set[[#This Row],[Play Booster Sealed Market Value BotBox]]</f>
        <v>#VALUE!</v>
      </c>
      <c r="BN2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7" s="10" t="e">
        <f>tbl_MTG_Set[[#This Row],[Play Singles CardMarket Profit BotBox]]/tbl_MTG_Set[[#This Row],[Play Booster Cost]]</f>
        <v>#VALUE!</v>
      </c>
      <c r="BP247" s="10" t="b">
        <f>tbl_MTG_Set[[#This Row],[Play Singles CardMarket Profit BotBox]]&gt;0</f>
        <v>0</v>
      </c>
      <c r="BQ247" s="10"/>
      <c r="BR247" s="10"/>
      <c r="BS247" s="10"/>
      <c r="BT2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7" s="19" t="e">
        <f>tbl_MTG_Set[[#This Row],[Collector Singles CardMarket Profit MTG Stocks]]/tbl_MTG_Set[[#This Row],[Collector Booster Cost]]</f>
        <v>#N/A</v>
      </c>
      <c r="BW247" s="10" t="b">
        <f>tbl_MTG_Set[[#This Row],[Collector Singles CardMarket Profit MTG Stocks]]&gt;0</f>
        <v>0</v>
      </c>
      <c r="BX247" s="10"/>
      <c r="BY247" s="10"/>
      <c r="BZ2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7" s="10" t="e">
        <f>tbl_MTG_Set[[#This Row],[Collector Singles CardMarket Profit BotBox]]/tbl_MTG_Set[[#This Row],[Collector Booster Cost]]</f>
        <v>#N/A</v>
      </c>
      <c r="CC247" s="10" t="b">
        <f>tbl_MTG_Set[[#This Row],[Collector Singles CardMarket Profit BotBox]]&gt;0</f>
        <v>0</v>
      </c>
      <c r="CD2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8" spans="1:86" hidden="1">
      <c r="A248">
        <v>269</v>
      </c>
      <c r="B248" t="s">
        <v>421</v>
      </c>
      <c r="C248">
        <v>51</v>
      </c>
      <c r="D248" s="3">
        <v>44722</v>
      </c>
      <c r="F248" t="s">
        <v>174</v>
      </c>
      <c r="G248">
        <v>484</v>
      </c>
      <c r="H248">
        <f ca="1">MONTH(NOW())+12*YEAR(NOW())-MONTH(tbl_MTG_Set[[#This Row],[Released On]])-12*YEAR(tbl_MTG_Set[[#This Row],[Released On]])</f>
        <v>45</v>
      </c>
      <c r="I248" t="str">
        <f>_xlfn.XLOOKUP(tbl_MTG_Set[[#This Row],[Type Name]], tbl_MTG_Set_Type[Set Type], tbl_MTG_Set_Type[Index], "(Set Type not found)")</f>
        <v>(Set Type not found)</v>
      </c>
      <c r="J248" t="str">
        <f>_xlfn.XLOOKUP(tbl_MTG_Set[[#This Row],[Type Name]], tbl_MTG_Set_Type[Set Type], tbl_MTG_Set_Type[Buy Window Month Start], "(Set Type not found)")</f>
        <v>(Set Type not found)</v>
      </c>
      <c r="K248" s="3" t="e">
        <f>tbl_MTG_Set[[#This Row],[Released On]]+tbl_MTG_Set[[#This Row],[Buy Window Month Start]]*365.25/12</f>
        <v>#VALUE!</v>
      </c>
      <c r="L248" t="str">
        <f>_xlfn.XLOOKUP(tbl_MTG_Set[[#This Row],[Type Name]], tbl_MTG_Set_Type[Set Type], tbl_MTG_Set_Type[Buy Window Month End], "(Set Type not found)", 0, 1)</f>
        <v>(Set Type not found)</v>
      </c>
      <c r="M248" s="3" t="e">
        <f>tbl_MTG_Set[[#This Row],[Released On]]+tbl_MTG_Set[[#This Row],[Buy Window Month End]]*365.25/12</f>
        <v>#VALUE!</v>
      </c>
      <c r="N248" s="3" t="e">
        <f ca="1">AND(NOW()&gt;=tbl_MTG_Set[[#This Row],[Buy Window Start]], NOW()&lt;=tbl_MTG_Set[[#This Row],[Buy Window End]])</f>
        <v>#VALUE!</v>
      </c>
      <c r="O248" t="str">
        <f>_xlfn.XLOOKUP(tbl_MTG_Set[[#This Row],[Type Name]], tbl_MTG_Set_Type[Set Type], tbl_MTG_Set_Type[Heavy Printing Window Month Start], "(Set Type not found)", 0, 1)</f>
        <v>(Set Type not found)</v>
      </c>
      <c r="P248" s="3" t="e">
        <f>tbl_MTG_Set[[#This Row],[Released On]]+tbl_MTG_Set[[#This Row],[Heavy Printing Window Month Start]]*365.25/12</f>
        <v>#VALUE!</v>
      </c>
      <c r="Q248" t="str">
        <f>_xlfn.XLOOKUP(tbl_MTG_Set[[#This Row],[Type Name]], tbl_MTG_Set_Type[Set Type], tbl_MTG_Set_Type[Heavy Printing Window Month End], "(Set Type not found)", 0, 1)</f>
        <v>(Set Type not found)</v>
      </c>
      <c r="R248" s="3" t="e">
        <f>tbl_MTG_Set[[#This Row],[Released On]]+tbl_MTG_Set[[#This Row],[Heavy Printing Window Month End]]*365.25/12</f>
        <v>#VALUE!</v>
      </c>
      <c r="S248" s="3" t="e">
        <f ca="1">AND(NOW()&gt;=tbl_MTG_Set[[#This Row],[Heavy Printing Window Start]], NOW()&lt;=tbl_MTG_Set[[#This Row],[Heavy Printing Window End]])</f>
        <v>#VALUE!</v>
      </c>
      <c r="T248" t="str">
        <f>_xlfn.XLOOKUP(tbl_MTG_Set[[#This Row],[Type Name]], tbl_MTG_Set_Type[Set Type], tbl_MTG_Set_Type[Sell Window Month Start], "(Set Type not found)", 0, 1)</f>
        <v>(Set Type not found)</v>
      </c>
      <c r="U248" s="3" t="e">
        <f>tbl_MTG_Set[[#This Row],[Released On]]+tbl_MTG_Set[[#This Row],[Sell Window Month Start]]*365.25/12</f>
        <v>#VALUE!</v>
      </c>
      <c r="V248" t="str">
        <f>_xlfn.XLOOKUP(tbl_MTG_Set[[#This Row],[Type Name]], tbl_MTG_Set_Type[Set Type], tbl_MTG_Set_Type[Sell Window Month End], "(Set Type not found)", 0, 1)</f>
        <v>(Set Type not found)</v>
      </c>
      <c r="W248" s="3" t="e">
        <f>tbl_MTG_Set[[#This Row],[Released On]]+tbl_MTG_Set[[#This Row],[Sell Window Month End]]*365.25/12</f>
        <v>#VALUE!</v>
      </c>
      <c r="X248" s="3" t="e">
        <f ca="1">AND(NOW()&gt;=tbl_MTG_Set[[#This Row],[Sell Window Start]], NOW()&lt;=tbl_MTG_Set[[#This Row],[Sell Window End]])</f>
        <v>#VALUE!</v>
      </c>
      <c r="AG248" s="10"/>
      <c r="AH248" s="10"/>
      <c r="AM248" s="10" t="str" cm="1">
        <f t="array" ref="AM2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8" s="10" t="str" cm="1">
        <f t="array" ref="AN2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8" s="4" t="e">
        <f>_xlfn.XLOOKUP(tbl_MTG_Set[[#This Row],[Play Booster Box Product Id]], tbl_Product[Product Id], tbl_Product[Pack Size])</f>
        <v>#N/A</v>
      </c>
      <c r="AP248" s="10" t="e">
        <f>(tbl_MTG_Set[[#This Row],[Play Booster Box Cost]]+v_Item_Shipping_Cost_In)/tbl_MTG_Set[[#This Row],[Play Booster Box Size]]</f>
        <v>#VALUE!</v>
      </c>
      <c r="AQ248" s="10" t="str" cm="1">
        <f t="array" ref="AQ2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8" s="10"/>
      <c r="AS248" s="10"/>
      <c r="AT248" s="17" t="e">
        <f>tbl_MTG_Set[[#This Row],[Play Booster CardMarket Profit]]/tbl_MTG_Set[[#This Row],[Play Booster Cost]]</f>
        <v>#VALUE!</v>
      </c>
      <c r="AU248" s="10" t="e">
        <f>_xlfn.XLOOKUP(tbl_MTG_Set[[#This Row],[Collector Booster Box Product Id]], tbl_Product[Product Id], tbl_Product[Min Cost])</f>
        <v>#N/A</v>
      </c>
      <c r="AV248" s="10" t="e">
        <f>_xlfn.XLOOKUP(tbl_MTG_Set[[#This Row],[Collector Booster Box Product Id]], tbl_Product[Product Id], tbl_Product[Best Source])</f>
        <v>#N/A</v>
      </c>
      <c r="AW248" s="4" t="e">
        <f>_xlfn.XLOOKUP(tbl_MTG_Set[[#This Row],[Collector Booster Box Product Id]], tbl_Product[Product Id], tbl_Product[Pack Size])</f>
        <v>#N/A</v>
      </c>
      <c r="AX248" s="10" t="e">
        <f>(tbl_MTG_Set[[#This Row],[Collector Booster Box Cost]] + v_Item_Shipping_Cost_In) / tbl_MTG_Set[[#This Row],[Collector Booster Box Size]]</f>
        <v>#N/A</v>
      </c>
      <c r="AY248" s="10" t="str" cm="1">
        <f t="array" ref="AY2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8" s="10"/>
      <c r="BA2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8" s="17" t="e">
        <f>tbl_MTG_Set[[#This Row],[Collector Booster CardMarket Profit]]/tbl_MTG_Set[[#This Row],[Collector Booster Cost]]</f>
        <v>#N/A</v>
      </c>
      <c r="BC248" s="10"/>
      <c r="BF2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8" s="11" t="e">
        <f>tbl_MTG_Set[[#This Row],[Play Singles CardMarket Profit MTG Stocks]]/tbl_MTG_Set[[#This Row],[Play Booster Cost]]</f>
        <v>#VALUE!</v>
      </c>
      <c r="BI248" s="11" t="b">
        <f>tbl_MTG_Set[[#This Row],[Play Singles CardMarket Profit MTG Stocks]]&gt;0</f>
        <v>0</v>
      </c>
      <c r="BM248" s="10" t="e">
        <f>tbl_MTG_Set[[#This Row],[Play Booster Sell Price CardMarket]]*tbl_MTG_Set[[#This Row],[Play Booster Expected Market Value BotBox]]/tbl_MTG_Set[[#This Row],[Play Booster Sealed Market Value BotBox]]</f>
        <v>#VALUE!</v>
      </c>
      <c r="BN2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8" s="10" t="e">
        <f>tbl_MTG_Set[[#This Row],[Play Singles CardMarket Profit BotBox]]/tbl_MTG_Set[[#This Row],[Play Booster Cost]]</f>
        <v>#VALUE!</v>
      </c>
      <c r="BP248" s="10" t="b">
        <f>tbl_MTG_Set[[#This Row],[Play Singles CardMarket Profit BotBox]]&gt;0</f>
        <v>0</v>
      </c>
      <c r="BQ248" s="10"/>
      <c r="BR248" s="10"/>
      <c r="BS248" s="10"/>
      <c r="BT2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8" s="19" t="e">
        <f>tbl_MTG_Set[[#This Row],[Collector Singles CardMarket Profit MTG Stocks]]/tbl_MTG_Set[[#This Row],[Collector Booster Cost]]</f>
        <v>#N/A</v>
      </c>
      <c r="BW248" s="10" t="b">
        <f>tbl_MTG_Set[[#This Row],[Collector Singles CardMarket Profit MTG Stocks]]&gt;0</f>
        <v>0</v>
      </c>
      <c r="BX248" s="10"/>
      <c r="BY248" s="10"/>
      <c r="BZ2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8" s="10" t="e">
        <f>tbl_MTG_Set[[#This Row],[Collector Singles CardMarket Profit BotBox]]/tbl_MTG_Set[[#This Row],[Collector Booster Cost]]</f>
        <v>#N/A</v>
      </c>
      <c r="CC248" s="10" t="b">
        <f>tbl_MTG_Set[[#This Row],[Collector Singles CardMarket Profit BotBox]]&gt;0</f>
        <v>0</v>
      </c>
      <c r="CD2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49" spans="1:86" hidden="1">
      <c r="A249">
        <v>270</v>
      </c>
      <c r="B249" t="s">
        <v>422</v>
      </c>
      <c r="C249">
        <v>3</v>
      </c>
      <c r="D249" s="3">
        <v>44722</v>
      </c>
      <c r="F249" t="s">
        <v>174</v>
      </c>
      <c r="G249">
        <v>486</v>
      </c>
      <c r="H249">
        <f ca="1">MONTH(NOW())+12*YEAR(NOW())-MONTH(tbl_MTG_Set[[#This Row],[Released On]])-12*YEAR(tbl_MTG_Set[[#This Row],[Released On]])</f>
        <v>45</v>
      </c>
      <c r="I249" t="str">
        <f>_xlfn.XLOOKUP(tbl_MTG_Set[[#This Row],[Type Name]], tbl_MTG_Set_Type[Set Type], tbl_MTG_Set_Type[Index], "(Set Type not found)")</f>
        <v>(Set Type not found)</v>
      </c>
      <c r="J249" t="str">
        <f>_xlfn.XLOOKUP(tbl_MTG_Set[[#This Row],[Type Name]], tbl_MTG_Set_Type[Set Type], tbl_MTG_Set_Type[Buy Window Month Start], "(Set Type not found)")</f>
        <v>(Set Type not found)</v>
      </c>
      <c r="K249" s="3" t="e">
        <f>tbl_MTG_Set[[#This Row],[Released On]]+tbl_MTG_Set[[#This Row],[Buy Window Month Start]]*365.25/12</f>
        <v>#VALUE!</v>
      </c>
      <c r="L249" t="str">
        <f>_xlfn.XLOOKUP(tbl_MTG_Set[[#This Row],[Type Name]], tbl_MTG_Set_Type[Set Type], tbl_MTG_Set_Type[Buy Window Month End], "(Set Type not found)", 0, 1)</f>
        <v>(Set Type not found)</v>
      </c>
      <c r="M249" s="3" t="e">
        <f>tbl_MTG_Set[[#This Row],[Released On]]+tbl_MTG_Set[[#This Row],[Buy Window Month End]]*365.25/12</f>
        <v>#VALUE!</v>
      </c>
      <c r="N249" s="3" t="e">
        <f ca="1">AND(NOW()&gt;=tbl_MTG_Set[[#This Row],[Buy Window Start]], NOW()&lt;=tbl_MTG_Set[[#This Row],[Buy Window End]])</f>
        <v>#VALUE!</v>
      </c>
      <c r="O249" t="str">
        <f>_xlfn.XLOOKUP(tbl_MTG_Set[[#This Row],[Type Name]], tbl_MTG_Set_Type[Set Type], tbl_MTG_Set_Type[Heavy Printing Window Month Start], "(Set Type not found)", 0, 1)</f>
        <v>(Set Type not found)</v>
      </c>
      <c r="P249" s="3" t="e">
        <f>tbl_MTG_Set[[#This Row],[Released On]]+tbl_MTG_Set[[#This Row],[Heavy Printing Window Month Start]]*365.25/12</f>
        <v>#VALUE!</v>
      </c>
      <c r="Q249" t="str">
        <f>_xlfn.XLOOKUP(tbl_MTG_Set[[#This Row],[Type Name]], tbl_MTG_Set_Type[Set Type], tbl_MTG_Set_Type[Heavy Printing Window Month End], "(Set Type not found)", 0, 1)</f>
        <v>(Set Type not found)</v>
      </c>
      <c r="R249" s="3" t="e">
        <f>tbl_MTG_Set[[#This Row],[Released On]]+tbl_MTG_Set[[#This Row],[Heavy Printing Window Month End]]*365.25/12</f>
        <v>#VALUE!</v>
      </c>
      <c r="S249" s="3" t="e">
        <f ca="1">AND(NOW()&gt;=tbl_MTG_Set[[#This Row],[Heavy Printing Window Start]], NOW()&lt;=tbl_MTG_Set[[#This Row],[Heavy Printing Window End]])</f>
        <v>#VALUE!</v>
      </c>
      <c r="T249" t="str">
        <f>_xlfn.XLOOKUP(tbl_MTG_Set[[#This Row],[Type Name]], tbl_MTG_Set_Type[Set Type], tbl_MTG_Set_Type[Sell Window Month Start], "(Set Type not found)", 0, 1)</f>
        <v>(Set Type not found)</v>
      </c>
      <c r="U249" s="3" t="e">
        <f>tbl_MTG_Set[[#This Row],[Released On]]+tbl_MTG_Set[[#This Row],[Sell Window Month Start]]*365.25/12</f>
        <v>#VALUE!</v>
      </c>
      <c r="V249" t="str">
        <f>_xlfn.XLOOKUP(tbl_MTG_Set[[#This Row],[Type Name]], tbl_MTG_Set_Type[Set Type], tbl_MTG_Set_Type[Sell Window Month End], "(Set Type not found)", 0, 1)</f>
        <v>(Set Type not found)</v>
      </c>
      <c r="W249" s="3" t="e">
        <f>tbl_MTG_Set[[#This Row],[Released On]]+tbl_MTG_Set[[#This Row],[Sell Window Month End]]*365.25/12</f>
        <v>#VALUE!</v>
      </c>
      <c r="X249" s="3" t="e">
        <f ca="1">AND(NOW()&gt;=tbl_MTG_Set[[#This Row],[Sell Window Start]], NOW()&lt;=tbl_MTG_Set[[#This Row],[Sell Window End]])</f>
        <v>#VALUE!</v>
      </c>
      <c r="AG249" s="10"/>
      <c r="AH249" s="10"/>
      <c r="AM249" s="10" t="str" cm="1">
        <f t="array" ref="AM2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49" s="10" t="str" cm="1">
        <f t="array" ref="AN2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49" s="4" t="e">
        <f>_xlfn.XLOOKUP(tbl_MTG_Set[[#This Row],[Play Booster Box Product Id]], tbl_Product[Product Id], tbl_Product[Pack Size])</f>
        <v>#N/A</v>
      </c>
      <c r="AP249" s="10" t="e">
        <f>(tbl_MTG_Set[[#This Row],[Play Booster Box Cost]]+v_Item_Shipping_Cost_In)/tbl_MTG_Set[[#This Row],[Play Booster Box Size]]</f>
        <v>#VALUE!</v>
      </c>
      <c r="AQ249" s="10" t="str" cm="1">
        <f t="array" ref="AQ2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49" s="10"/>
      <c r="AS249" s="10"/>
      <c r="AT249" s="17" t="e">
        <f>tbl_MTG_Set[[#This Row],[Play Booster CardMarket Profit]]/tbl_MTG_Set[[#This Row],[Play Booster Cost]]</f>
        <v>#VALUE!</v>
      </c>
      <c r="AU249" s="10" t="e">
        <f>_xlfn.XLOOKUP(tbl_MTG_Set[[#This Row],[Collector Booster Box Product Id]], tbl_Product[Product Id], tbl_Product[Min Cost])</f>
        <v>#N/A</v>
      </c>
      <c r="AV249" s="10" t="e">
        <f>_xlfn.XLOOKUP(tbl_MTG_Set[[#This Row],[Collector Booster Box Product Id]], tbl_Product[Product Id], tbl_Product[Best Source])</f>
        <v>#N/A</v>
      </c>
      <c r="AW249" s="4" t="e">
        <f>_xlfn.XLOOKUP(tbl_MTG_Set[[#This Row],[Collector Booster Box Product Id]], tbl_Product[Product Id], tbl_Product[Pack Size])</f>
        <v>#N/A</v>
      </c>
      <c r="AX249" s="10" t="e">
        <f>(tbl_MTG_Set[[#This Row],[Collector Booster Box Cost]] + v_Item_Shipping_Cost_In) / tbl_MTG_Set[[#This Row],[Collector Booster Box Size]]</f>
        <v>#N/A</v>
      </c>
      <c r="AY249" s="10" t="str" cm="1">
        <f t="array" ref="AY2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49" s="10"/>
      <c r="BA2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49" s="17" t="e">
        <f>tbl_MTG_Set[[#This Row],[Collector Booster CardMarket Profit]]/tbl_MTG_Set[[#This Row],[Collector Booster Cost]]</f>
        <v>#N/A</v>
      </c>
      <c r="BC249" s="10"/>
      <c r="BF2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49" s="11" t="e">
        <f>tbl_MTG_Set[[#This Row],[Play Singles CardMarket Profit MTG Stocks]]/tbl_MTG_Set[[#This Row],[Play Booster Cost]]</f>
        <v>#VALUE!</v>
      </c>
      <c r="BI249" s="11" t="b">
        <f>tbl_MTG_Set[[#This Row],[Play Singles CardMarket Profit MTG Stocks]]&gt;0</f>
        <v>0</v>
      </c>
      <c r="BM249" s="10" t="e">
        <f>tbl_MTG_Set[[#This Row],[Play Booster Sell Price CardMarket]]*tbl_MTG_Set[[#This Row],[Play Booster Expected Market Value BotBox]]/tbl_MTG_Set[[#This Row],[Play Booster Sealed Market Value BotBox]]</f>
        <v>#VALUE!</v>
      </c>
      <c r="BN2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49" s="10" t="e">
        <f>tbl_MTG_Set[[#This Row],[Play Singles CardMarket Profit BotBox]]/tbl_MTG_Set[[#This Row],[Play Booster Cost]]</f>
        <v>#VALUE!</v>
      </c>
      <c r="BP249" s="10" t="b">
        <f>tbl_MTG_Set[[#This Row],[Play Singles CardMarket Profit BotBox]]&gt;0</f>
        <v>0</v>
      </c>
      <c r="BQ249" s="10"/>
      <c r="BR249" s="10"/>
      <c r="BS249" s="10"/>
      <c r="BT2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49" s="19" t="e">
        <f>tbl_MTG_Set[[#This Row],[Collector Singles CardMarket Profit MTG Stocks]]/tbl_MTG_Set[[#This Row],[Collector Booster Cost]]</f>
        <v>#N/A</v>
      </c>
      <c r="BW249" s="10" t="b">
        <f>tbl_MTG_Set[[#This Row],[Collector Singles CardMarket Profit MTG Stocks]]&gt;0</f>
        <v>0</v>
      </c>
      <c r="BX249" s="10"/>
      <c r="BY249" s="10"/>
      <c r="BZ2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49" s="10" t="e">
        <f>tbl_MTG_Set[[#This Row],[Collector Singles CardMarket Profit BotBox]]/tbl_MTG_Set[[#This Row],[Collector Booster Cost]]</f>
        <v>#N/A</v>
      </c>
      <c r="CC249" s="10" t="b">
        <f>tbl_MTG_Set[[#This Row],[Collector Singles CardMarket Profit BotBox]]&gt;0</f>
        <v>0</v>
      </c>
      <c r="CD2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0" spans="1:86" hidden="1">
      <c r="A250">
        <v>271</v>
      </c>
      <c r="B250" t="s">
        <v>423</v>
      </c>
      <c r="C250">
        <v>1</v>
      </c>
      <c r="D250" s="3">
        <v>44722</v>
      </c>
      <c r="F250" t="s">
        <v>174</v>
      </c>
      <c r="G250">
        <v>488</v>
      </c>
      <c r="H250">
        <f ca="1">MONTH(NOW())+12*YEAR(NOW())-MONTH(tbl_MTG_Set[[#This Row],[Released On]])-12*YEAR(tbl_MTG_Set[[#This Row],[Released On]])</f>
        <v>45</v>
      </c>
      <c r="I250" t="str">
        <f>_xlfn.XLOOKUP(tbl_MTG_Set[[#This Row],[Type Name]], tbl_MTG_Set_Type[Set Type], tbl_MTG_Set_Type[Index], "(Set Type not found)")</f>
        <v>(Set Type not found)</v>
      </c>
      <c r="J250" t="str">
        <f>_xlfn.XLOOKUP(tbl_MTG_Set[[#This Row],[Type Name]], tbl_MTG_Set_Type[Set Type], tbl_MTG_Set_Type[Buy Window Month Start], "(Set Type not found)")</f>
        <v>(Set Type not found)</v>
      </c>
      <c r="K250" s="3" t="e">
        <f>tbl_MTG_Set[[#This Row],[Released On]]+tbl_MTG_Set[[#This Row],[Buy Window Month Start]]*365.25/12</f>
        <v>#VALUE!</v>
      </c>
      <c r="L250" t="str">
        <f>_xlfn.XLOOKUP(tbl_MTG_Set[[#This Row],[Type Name]], tbl_MTG_Set_Type[Set Type], tbl_MTG_Set_Type[Buy Window Month End], "(Set Type not found)", 0, 1)</f>
        <v>(Set Type not found)</v>
      </c>
      <c r="M250" s="3" t="e">
        <f>tbl_MTG_Set[[#This Row],[Released On]]+tbl_MTG_Set[[#This Row],[Buy Window Month End]]*365.25/12</f>
        <v>#VALUE!</v>
      </c>
      <c r="N250" s="3" t="e">
        <f ca="1">AND(NOW()&gt;=tbl_MTG_Set[[#This Row],[Buy Window Start]], NOW()&lt;=tbl_MTG_Set[[#This Row],[Buy Window End]])</f>
        <v>#VALUE!</v>
      </c>
      <c r="O250" t="str">
        <f>_xlfn.XLOOKUP(tbl_MTG_Set[[#This Row],[Type Name]], tbl_MTG_Set_Type[Set Type], tbl_MTG_Set_Type[Heavy Printing Window Month Start], "(Set Type not found)", 0, 1)</f>
        <v>(Set Type not found)</v>
      </c>
      <c r="P250" s="3" t="e">
        <f>tbl_MTG_Set[[#This Row],[Released On]]+tbl_MTG_Set[[#This Row],[Heavy Printing Window Month Start]]*365.25/12</f>
        <v>#VALUE!</v>
      </c>
      <c r="Q250" t="str">
        <f>_xlfn.XLOOKUP(tbl_MTG_Set[[#This Row],[Type Name]], tbl_MTG_Set_Type[Set Type], tbl_MTG_Set_Type[Heavy Printing Window Month End], "(Set Type not found)", 0, 1)</f>
        <v>(Set Type not found)</v>
      </c>
      <c r="R250" s="3" t="e">
        <f>tbl_MTG_Set[[#This Row],[Released On]]+tbl_MTG_Set[[#This Row],[Heavy Printing Window Month End]]*365.25/12</f>
        <v>#VALUE!</v>
      </c>
      <c r="S250" s="3" t="e">
        <f ca="1">AND(NOW()&gt;=tbl_MTG_Set[[#This Row],[Heavy Printing Window Start]], NOW()&lt;=tbl_MTG_Set[[#This Row],[Heavy Printing Window End]])</f>
        <v>#VALUE!</v>
      </c>
      <c r="T250" t="str">
        <f>_xlfn.XLOOKUP(tbl_MTG_Set[[#This Row],[Type Name]], tbl_MTG_Set_Type[Set Type], tbl_MTG_Set_Type[Sell Window Month Start], "(Set Type not found)", 0, 1)</f>
        <v>(Set Type not found)</v>
      </c>
      <c r="U250" s="3" t="e">
        <f>tbl_MTG_Set[[#This Row],[Released On]]+tbl_MTG_Set[[#This Row],[Sell Window Month Start]]*365.25/12</f>
        <v>#VALUE!</v>
      </c>
      <c r="V250" t="str">
        <f>_xlfn.XLOOKUP(tbl_MTG_Set[[#This Row],[Type Name]], tbl_MTG_Set_Type[Set Type], tbl_MTG_Set_Type[Sell Window Month End], "(Set Type not found)", 0, 1)</f>
        <v>(Set Type not found)</v>
      </c>
      <c r="W250" s="3" t="e">
        <f>tbl_MTG_Set[[#This Row],[Released On]]+tbl_MTG_Set[[#This Row],[Sell Window Month End]]*365.25/12</f>
        <v>#VALUE!</v>
      </c>
      <c r="X250" s="3" t="e">
        <f ca="1">AND(NOW()&gt;=tbl_MTG_Set[[#This Row],[Sell Window Start]], NOW()&lt;=tbl_MTG_Set[[#This Row],[Sell Window End]])</f>
        <v>#VALUE!</v>
      </c>
      <c r="AG250" s="10"/>
      <c r="AH250" s="10"/>
      <c r="AM250" s="10" t="str" cm="1">
        <f t="array" ref="AM2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0" s="10" t="str" cm="1">
        <f t="array" ref="AN2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0" s="4" t="e">
        <f>_xlfn.XLOOKUP(tbl_MTG_Set[[#This Row],[Play Booster Box Product Id]], tbl_Product[Product Id], tbl_Product[Pack Size])</f>
        <v>#N/A</v>
      </c>
      <c r="AP250" s="10" t="e">
        <f>(tbl_MTG_Set[[#This Row],[Play Booster Box Cost]]+v_Item_Shipping_Cost_In)/tbl_MTG_Set[[#This Row],[Play Booster Box Size]]</f>
        <v>#VALUE!</v>
      </c>
      <c r="AQ250" s="10" t="str" cm="1">
        <f t="array" ref="AQ2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0" s="10"/>
      <c r="AS250" s="10"/>
      <c r="AT250" s="17" t="e">
        <f>tbl_MTG_Set[[#This Row],[Play Booster CardMarket Profit]]/tbl_MTG_Set[[#This Row],[Play Booster Cost]]</f>
        <v>#VALUE!</v>
      </c>
      <c r="AU250" s="10" t="e">
        <f>_xlfn.XLOOKUP(tbl_MTG_Set[[#This Row],[Collector Booster Box Product Id]], tbl_Product[Product Id], tbl_Product[Min Cost])</f>
        <v>#N/A</v>
      </c>
      <c r="AV250" s="10" t="e">
        <f>_xlfn.XLOOKUP(tbl_MTG_Set[[#This Row],[Collector Booster Box Product Id]], tbl_Product[Product Id], tbl_Product[Best Source])</f>
        <v>#N/A</v>
      </c>
      <c r="AW250" s="4" t="e">
        <f>_xlfn.XLOOKUP(tbl_MTG_Set[[#This Row],[Collector Booster Box Product Id]], tbl_Product[Product Id], tbl_Product[Pack Size])</f>
        <v>#N/A</v>
      </c>
      <c r="AX250" s="10" t="e">
        <f>(tbl_MTG_Set[[#This Row],[Collector Booster Box Cost]] + v_Item_Shipping_Cost_In) / tbl_MTG_Set[[#This Row],[Collector Booster Box Size]]</f>
        <v>#N/A</v>
      </c>
      <c r="AY250" s="10" t="str" cm="1">
        <f t="array" ref="AY2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0" s="10"/>
      <c r="BA2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0" s="17" t="e">
        <f>tbl_MTG_Set[[#This Row],[Collector Booster CardMarket Profit]]/tbl_MTG_Set[[#This Row],[Collector Booster Cost]]</f>
        <v>#N/A</v>
      </c>
      <c r="BC250" s="10"/>
      <c r="BF2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0" s="11" t="e">
        <f>tbl_MTG_Set[[#This Row],[Play Singles CardMarket Profit MTG Stocks]]/tbl_MTG_Set[[#This Row],[Play Booster Cost]]</f>
        <v>#VALUE!</v>
      </c>
      <c r="BI250" s="11" t="b">
        <f>tbl_MTG_Set[[#This Row],[Play Singles CardMarket Profit MTG Stocks]]&gt;0</f>
        <v>0</v>
      </c>
      <c r="BM250" s="10" t="e">
        <f>tbl_MTG_Set[[#This Row],[Play Booster Sell Price CardMarket]]*tbl_MTG_Set[[#This Row],[Play Booster Expected Market Value BotBox]]/tbl_MTG_Set[[#This Row],[Play Booster Sealed Market Value BotBox]]</f>
        <v>#VALUE!</v>
      </c>
      <c r="BN2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0" s="10" t="e">
        <f>tbl_MTG_Set[[#This Row],[Play Singles CardMarket Profit BotBox]]/tbl_MTG_Set[[#This Row],[Play Booster Cost]]</f>
        <v>#VALUE!</v>
      </c>
      <c r="BP250" s="10" t="b">
        <f>tbl_MTG_Set[[#This Row],[Play Singles CardMarket Profit BotBox]]&gt;0</f>
        <v>0</v>
      </c>
      <c r="BQ250" s="10"/>
      <c r="BR250" s="10"/>
      <c r="BS250" s="10"/>
      <c r="BT2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0" s="19" t="e">
        <f>tbl_MTG_Set[[#This Row],[Collector Singles CardMarket Profit MTG Stocks]]/tbl_MTG_Set[[#This Row],[Collector Booster Cost]]</f>
        <v>#N/A</v>
      </c>
      <c r="BW250" s="10" t="b">
        <f>tbl_MTG_Set[[#This Row],[Collector Singles CardMarket Profit MTG Stocks]]&gt;0</f>
        <v>0</v>
      </c>
      <c r="BX250" s="10"/>
      <c r="BY250" s="10"/>
      <c r="BZ2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0" s="10" t="e">
        <f>tbl_MTG_Set[[#This Row],[Collector Singles CardMarket Profit BotBox]]/tbl_MTG_Set[[#This Row],[Collector Booster Cost]]</f>
        <v>#N/A</v>
      </c>
      <c r="CC250" s="10" t="b">
        <f>tbl_MTG_Set[[#This Row],[Collector Singles CardMarket Profit BotBox]]&gt;0</f>
        <v>0</v>
      </c>
      <c r="CD2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1" spans="1:86" hidden="1">
      <c r="A251">
        <v>272</v>
      </c>
      <c r="B251" t="s">
        <v>424</v>
      </c>
      <c r="C251">
        <v>81</v>
      </c>
      <c r="D251" s="3">
        <v>44722</v>
      </c>
      <c r="F251" t="s">
        <v>174</v>
      </c>
      <c r="G251">
        <v>490</v>
      </c>
      <c r="H251">
        <f ca="1">MONTH(NOW())+12*YEAR(NOW())-MONTH(tbl_MTG_Set[[#This Row],[Released On]])-12*YEAR(tbl_MTG_Set[[#This Row],[Released On]])</f>
        <v>45</v>
      </c>
      <c r="I251" t="str">
        <f>_xlfn.XLOOKUP(tbl_MTG_Set[[#This Row],[Type Name]], tbl_MTG_Set_Type[Set Type], tbl_MTG_Set_Type[Index], "(Set Type not found)")</f>
        <v>(Set Type not found)</v>
      </c>
      <c r="J251" t="str">
        <f>_xlfn.XLOOKUP(tbl_MTG_Set[[#This Row],[Type Name]], tbl_MTG_Set_Type[Set Type], tbl_MTG_Set_Type[Buy Window Month Start], "(Set Type not found)")</f>
        <v>(Set Type not found)</v>
      </c>
      <c r="K251" s="3" t="e">
        <f>tbl_MTG_Set[[#This Row],[Released On]]+tbl_MTG_Set[[#This Row],[Buy Window Month Start]]*365.25/12</f>
        <v>#VALUE!</v>
      </c>
      <c r="L251" t="str">
        <f>_xlfn.XLOOKUP(tbl_MTG_Set[[#This Row],[Type Name]], tbl_MTG_Set_Type[Set Type], tbl_MTG_Set_Type[Buy Window Month End], "(Set Type not found)", 0, 1)</f>
        <v>(Set Type not found)</v>
      </c>
      <c r="M251" s="3" t="e">
        <f>tbl_MTG_Set[[#This Row],[Released On]]+tbl_MTG_Set[[#This Row],[Buy Window Month End]]*365.25/12</f>
        <v>#VALUE!</v>
      </c>
      <c r="N251" s="3" t="e">
        <f ca="1">AND(NOW()&gt;=tbl_MTG_Set[[#This Row],[Buy Window Start]], NOW()&lt;=tbl_MTG_Set[[#This Row],[Buy Window End]])</f>
        <v>#VALUE!</v>
      </c>
      <c r="O251" t="str">
        <f>_xlfn.XLOOKUP(tbl_MTG_Set[[#This Row],[Type Name]], tbl_MTG_Set_Type[Set Type], tbl_MTG_Set_Type[Heavy Printing Window Month Start], "(Set Type not found)", 0, 1)</f>
        <v>(Set Type not found)</v>
      </c>
      <c r="P251" s="3" t="e">
        <f>tbl_MTG_Set[[#This Row],[Released On]]+tbl_MTG_Set[[#This Row],[Heavy Printing Window Month Start]]*365.25/12</f>
        <v>#VALUE!</v>
      </c>
      <c r="Q251" t="str">
        <f>_xlfn.XLOOKUP(tbl_MTG_Set[[#This Row],[Type Name]], tbl_MTG_Set_Type[Set Type], tbl_MTG_Set_Type[Heavy Printing Window Month End], "(Set Type not found)", 0, 1)</f>
        <v>(Set Type not found)</v>
      </c>
      <c r="R251" s="3" t="e">
        <f>tbl_MTG_Set[[#This Row],[Released On]]+tbl_MTG_Set[[#This Row],[Heavy Printing Window Month End]]*365.25/12</f>
        <v>#VALUE!</v>
      </c>
      <c r="S251" s="3" t="e">
        <f ca="1">AND(NOW()&gt;=tbl_MTG_Set[[#This Row],[Heavy Printing Window Start]], NOW()&lt;=tbl_MTG_Set[[#This Row],[Heavy Printing Window End]])</f>
        <v>#VALUE!</v>
      </c>
      <c r="T251" t="str">
        <f>_xlfn.XLOOKUP(tbl_MTG_Set[[#This Row],[Type Name]], tbl_MTG_Set_Type[Set Type], tbl_MTG_Set_Type[Sell Window Month Start], "(Set Type not found)", 0, 1)</f>
        <v>(Set Type not found)</v>
      </c>
      <c r="U251" s="3" t="e">
        <f>tbl_MTG_Set[[#This Row],[Released On]]+tbl_MTG_Set[[#This Row],[Sell Window Month Start]]*365.25/12</f>
        <v>#VALUE!</v>
      </c>
      <c r="V251" t="str">
        <f>_xlfn.XLOOKUP(tbl_MTG_Set[[#This Row],[Type Name]], tbl_MTG_Set_Type[Set Type], tbl_MTG_Set_Type[Sell Window Month End], "(Set Type not found)", 0, 1)</f>
        <v>(Set Type not found)</v>
      </c>
      <c r="W251" s="3" t="e">
        <f>tbl_MTG_Set[[#This Row],[Released On]]+tbl_MTG_Set[[#This Row],[Sell Window Month End]]*365.25/12</f>
        <v>#VALUE!</v>
      </c>
      <c r="X251" s="3" t="e">
        <f ca="1">AND(NOW()&gt;=tbl_MTG_Set[[#This Row],[Sell Window Start]], NOW()&lt;=tbl_MTG_Set[[#This Row],[Sell Window End]])</f>
        <v>#VALUE!</v>
      </c>
      <c r="AG251" s="10"/>
      <c r="AH251" s="10"/>
      <c r="AM251" s="10" t="str" cm="1">
        <f t="array" ref="AM2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1" s="10" t="str" cm="1">
        <f t="array" ref="AN2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1" s="4" t="e">
        <f>_xlfn.XLOOKUP(tbl_MTG_Set[[#This Row],[Play Booster Box Product Id]], tbl_Product[Product Id], tbl_Product[Pack Size])</f>
        <v>#N/A</v>
      </c>
      <c r="AP251" s="10" t="e">
        <f>(tbl_MTG_Set[[#This Row],[Play Booster Box Cost]]+v_Item_Shipping_Cost_In)/tbl_MTG_Set[[#This Row],[Play Booster Box Size]]</f>
        <v>#VALUE!</v>
      </c>
      <c r="AQ251" s="10" t="str" cm="1">
        <f t="array" ref="AQ2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1" s="10"/>
      <c r="AS251" s="10"/>
      <c r="AT251" s="17" t="e">
        <f>tbl_MTG_Set[[#This Row],[Play Booster CardMarket Profit]]/tbl_MTG_Set[[#This Row],[Play Booster Cost]]</f>
        <v>#VALUE!</v>
      </c>
      <c r="AU251" s="10" t="e">
        <f>_xlfn.XLOOKUP(tbl_MTG_Set[[#This Row],[Collector Booster Box Product Id]], tbl_Product[Product Id], tbl_Product[Min Cost])</f>
        <v>#N/A</v>
      </c>
      <c r="AV251" s="10" t="e">
        <f>_xlfn.XLOOKUP(tbl_MTG_Set[[#This Row],[Collector Booster Box Product Id]], tbl_Product[Product Id], tbl_Product[Best Source])</f>
        <v>#N/A</v>
      </c>
      <c r="AW251" s="4" t="e">
        <f>_xlfn.XLOOKUP(tbl_MTG_Set[[#This Row],[Collector Booster Box Product Id]], tbl_Product[Product Id], tbl_Product[Pack Size])</f>
        <v>#N/A</v>
      </c>
      <c r="AX251" s="10" t="e">
        <f>(tbl_MTG_Set[[#This Row],[Collector Booster Box Cost]] + v_Item_Shipping_Cost_In) / tbl_MTG_Set[[#This Row],[Collector Booster Box Size]]</f>
        <v>#N/A</v>
      </c>
      <c r="AY251" s="10" t="str" cm="1">
        <f t="array" ref="AY2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1" s="10"/>
      <c r="BA2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1" s="17" t="e">
        <f>tbl_MTG_Set[[#This Row],[Collector Booster CardMarket Profit]]/tbl_MTG_Set[[#This Row],[Collector Booster Cost]]</f>
        <v>#N/A</v>
      </c>
      <c r="BC251" s="10"/>
      <c r="BF2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1" s="11" t="e">
        <f>tbl_MTG_Set[[#This Row],[Play Singles CardMarket Profit MTG Stocks]]/tbl_MTG_Set[[#This Row],[Play Booster Cost]]</f>
        <v>#VALUE!</v>
      </c>
      <c r="BI251" s="11" t="b">
        <f>tbl_MTG_Set[[#This Row],[Play Singles CardMarket Profit MTG Stocks]]&gt;0</f>
        <v>0</v>
      </c>
      <c r="BM251" s="10" t="e">
        <f>tbl_MTG_Set[[#This Row],[Play Booster Sell Price CardMarket]]*tbl_MTG_Set[[#This Row],[Play Booster Expected Market Value BotBox]]/tbl_MTG_Set[[#This Row],[Play Booster Sealed Market Value BotBox]]</f>
        <v>#VALUE!</v>
      </c>
      <c r="BN2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1" s="10" t="e">
        <f>tbl_MTG_Set[[#This Row],[Play Singles CardMarket Profit BotBox]]/tbl_MTG_Set[[#This Row],[Play Booster Cost]]</f>
        <v>#VALUE!</v>
      </c>
      <c r="BP251" s="10" t="b">
        <f>tbl_MTG_Set[[#This Row],[Play Singles CardMarket Profit BotBox]]&gt;0</f>
        <v>0</v>
      </c>
      <c r="BQ251" s="10"/>
      <c r="BR251" s="10"/>
      <c r="BS251" s="10"/>
      <c r="BT2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1" s="19" t="e">
        <f>tbl_MTG_Set[[#This Row],[Collector Singles CardMarket Profit MTG Stocks]]/tbl_MTG_Set[[#This Row],[Collector Booster Cost]]</f>
        <v>#N/A</v>
      </c>
      <c r="BW251" s="10" t="b">
        <f>tbl_MTG_Set[[#This Row],[Collector Singles CardMarket Profit MTG Stocks]]&gt;0</f>
        <v>0</v>
      </c>
      <c r="BX251" s="10"/>
      <c r="BY251" s="10"/>
      <c r="BZ2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1" s="10" t="e">
        <f>tbl_MTG_Set[[#This Row],[Collector Singles CardMarket Profit BotBox]]/tbl_MTG_Set[[#This Row],[Collector Booster Cost]]</f>
        <v>#N/A</v>
      </c>
      <c r="CC251" s="10" t="b">
        <f>tbl_MTG_Set[[#This Row],[Collector Singles CardMarket Profit BotBox]]&gt;0</f>
        <v>0</v>
      </c>
      <c r="CD2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2" spans="1:86" hidden="1">
      <c r="A252">
        <v>274</v>
      </c>
      <c r="B252" t="s">
        <v>425</v>
      </c>
      <c r="C252">
        <v>161</v>
      </c>
      <c r="D252" s="3">
        <v>44680</v>
      </c>
      <c r="E252" t="s">
        <v>59</v>
      </c>
      <c r="F252" t="s">
        <v>174</v>
      </c>
      <c r="G252">
        <v>494</v>
      </c>
      <c r="H252">
        <f ca="1">MONTH(NOW())+12*YEAR(NOW())-MONTH(tbl_MTG_Set[[#This Row],[Released On]])-12*YEAR(tbl_MTG_Set[[#This Row],[Released On]])</f>
        <v>47</v>
      </c>
      <c r="I252">
        <f>_xlfn.XLOOKUP(tbl_MTG_Set[[#This Row],[Type Name]], tbl_MTG_Set_Type[Set Type], tbl_MTG_Set_Type[Index], "(Set Type not found)")</f>
        <v>1</v>
      </c>
      <c r="J252">
        <f>_xlfn.XLOOKUP(tbl_MTG_Set[[#This Row],[Type Name]], tbl_MTG_Set_Type[Set Type], tbl_MTG_Set_Type[Buy Window Month Start], "(Set Type not found)")</f>
        <v>18</v>
      </c>
      <c r="K252" s="3">
        <f>tbl_MTG_Set[[#This Row],[Released On]]+tbl_MTG_Set[[#This Row],[Buy Window Month Start]]*365.25/12</f>
        <v>45227.875</v>
      </c>
      <c r="L252">
        <f>_xlfn.XLOOKUP(tbl_MTG_Set[[#This Row],[Type Name]], tbl_MTG_Set_Type[Set Type], tbl_MTG_Set_Type[Buy Window Month End], "(Set Type not found)", 0, 1)</f>
        <v>24</v>
      </c>
      <c r="M252" s="3">
        <f>tbl_MTG_Set[[#This Row],[Released On]]+tbl_MTG_Set[[#This Row],[Buy Window Month End]]*365.25/12</f>
        <v>45410.5</v>
      </c>
      <c r="N252" s="3" t="b">
        <f ca="1">AND(NOW()&gt;=tbl_MTG_Set[[#This Row],[Buy Window Start]], NOW()&lt;=tbl_MTG_Set[[#This Row],[Buy Window End]])</f>
        <v>0</v>
      </c>
      <c r="O252">
        <f>_xlfn.XLOOKUP(tbl_MTG_Set[[#This Row],[Type Name]], tbl_MTG_Set_Type[Set Type], tbl_MTG_Set_Type[Heavy Printing Window Month Start], "(Set Type not found)", 0, 1)</f>
        <v>1</v>
      </c>
      <c r="P252" s="3">
        <f>tbl_MTG_Set[[#This Row],[Released On]]+tbl_MTG_Set[[#This Row],[Heavy Printing Window Month Start]]*365.25/12</f>
        <v>44710.4375</v>
      </c>
      <c r="Q252">
        <f>_xlfn.XLOOKUP(tbl_MTG_Set[[#This Row],[Type Name]], tbl_MTG_Set_Type[Set Type], tbl_MTG_Set_Type[Heavy Printing Window Month End], "(Set Type not found)", 0, 1)</f>
        <v>18</v>
      </c>
      <c r="R252" s="3">
        <f>tbl_MTG_Set[[#This Row],[Released On]]+tbl_MTG_Set[[#This Row],[Heavy Printing Window Month End]]*365.25/12</f>
        <v>45227.875</v>
      </c>
      <c r="S252" s="3" t="b">
        <f ca="1">AND(NOW()&gt;=tbl_MTG_Set[[#This Row],[Heavy Printing Window Start]], NOW()&lt;=tbl_MTG_Set[[#This Row],[Heavy Printing Window End]])</f>
        <v>0</v>
      </c>
      <c r="T252">
        <f>_xlfn.XLOOKUP(tbl_MTG_Set[[#This Row],[Type Name]], tbl_MTG_Set_Type[Set Type], tbl_MTG_Set_Type[Sell Window Month Start], "(Set Type not found)", 0, 1)</f>
        <v>36</v>
      </c>
      <c r="U252" s="3">
        <f>tbl_MTG_Set[[#This Row],[Released On]]+tbl_MTG_Set[[#This Row],[Sell Window Month Start]]*365.25/12</f>
        <v>45775.75</v>
      </c>
      <c r="V252">
        <f>_xlfn.XLOOKUP(tbl_MTG_Set[[#This Row],[Type Name]], tbl_MTG_Set_Type[Set Type], tbl_MTG_Set_Type[Sell Window Month End], "(Set Type not found)", 0, 1)</f>
        <v>48</v>
      </c>
      <c r="W252" s="3">
        <f>tbl_MTG_Set[[#This Row],[Released On]]+tbl_MTG_Set[[#This Row],[Sell Window Month End]]*365.25/12</f>
        <v>46141</v>
      </c>
      <c r="X252" s="3" t="b">
        <f ca="1">AND(NOW()&gt;=tbl_MTG_Set[[#This Row],[Sell Window Start]], NOW()&lt;=tbl_MTG_Set[[#This Row],[Sell Window End]])</f>
        <v>1</v>
      </c>
      <c r="AG252" s="10"/>
      <c r="AH252" s="10"/>
      <c r="AM252" s="10" t="str" cm="1">
        <f t="array" ref="AM2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2" s="10" t="str" cm="1">
        <f t="array" ref="AN2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2" s="4" t="e">
        <f>_xlfn.XLOOKUP(tbl_MTG_Set[[#This Row],[Play Booster Box Product Id]], tbl_Product[Product Id], tbl_Product[Pack Size])</f>
        <v>#N/A</v>
      </c>
      <c r="AP252" s="10" t="e">
        <f>(tbl_MTG_Set[[#This Row],[Play Booster Box Cost]]+v_Item_Shipping_Cost_In)/tbl_MTG_Set[[#This Row],[Play Booster Box Size]]</f>
        <v>#VALUE!</v>
      </c>
      <c r="AQ252" s="10" t="str" cm="1">
        <f t="array" ref="AQ2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2" s="10"/>
      <c r="AS252" s="10"/>
      <c r="AT252" s="17" t="e">
        <f>tbl_MTG_Set[[#This Row],[Play Booster CardMarket Profit]]/tbl_MTG_Set[[#This Row],[Play Booster Cost]]</f>
        <v>#VALUE!</v>
      </c>
      <c r="AU252" s="10" t="e">
        <f>_xlfn.XLOOKUP(tbl_MTG_Set[[#This Row],[Collector Booster Box Product Id]], tbl_Product[Product Id], tbl_Product[Min Cost])</f>
        <v>#N/A</v>
      </c>
      <c r="AV252" s="10" t="e">
        <f>_xlfn.XLOOKUP(tbl_MTG_Set[[#This Row],[Collector Booster Box Product Id]], tbl_Product[Product Id], tbl_Product[Best Source])</f>
        <v>#N/A</v>
      </c>
      <c r="AW252" s="4" t="e">
        <f>_xlfn.XLOOKUP(tbl_MTG_Set[[#This Row],[Collector Booster Box Product Id]], tbl_Product[Product Id], tbl_Product[Pack Size])</f>
        <v>#N/A</v>
      </c>
      <c r="AX252" s="10" t="e">
        <f>(tbl_MTG_Set[[#This Row],[Collector Booster Box Cost]] + v_Item_Shipping_Cost_In) / tbl_MTG_Set[[#This Row],[Collector Booster Box Size]]</f>
        <v>#N/A</v>
      </c>
      <c r="AY252" s="10" t="str" cm="1">
        <f t="array" ref="AY2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2" s="10"/>
      <c r="BA2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2" s="17" t="e">
        <f>tbl_MTG_Set[[#This Row],[Collector Booster CardMarket Profit]]/tbl_MTG_Set[[#This Row],[Collector Booster Cost]]</f>
        <v>#N/A</v>
      </c>
      <c r="BC252" s="10"/>
      <c r="BF2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2" s="11" t="e">
        <f>tbl_MTG_Set[[#This Row],[Play Singles CardMarket Profit MTG Stocks]]/tbl_MTG_Set[[#This Row],[Play Booster Cost]]</f>
        <v>#VALUE!</v>
      </c>
      <c r="BI252" s="11" t="b">
        <f>tbl_MTG_Set[[#This Row],[Play Singles CardMarket Profit MTG Stocks]]&gt;0</f>
        <v>0</v>
      </c>
      <c r="BM252" s="10" t="e">
        <f>tbl_MTG_Set[[#This Row],[Play Booster Sell Price CardMarket]]*tbl_MTG_Set[[#This Row],[Play Booster Expected Market Value BotBox]]/tbl_MTG_Set[[#This Row],[Play Booster Sealed Market Value BotBox]]</f>
        <v>#VALUE!</v>
      </c>
      <c r="BN2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2" s="10" t="e">
        <f>tbl_MTG_Set[[#This Row],[Play Singles CardMarket Profit BotBox]]/tbl_MTG_Set[[#This Row],[Play Booster Cost]]</f>
        <v>#VALUE!</v>
      </c>
      <c r="BP252" s="10" t="b">
        <f>tbl_MTG_Set[[#This Row],[Play Singles CardMarket Profit BotBox]]&gt;0</f>
        <v>0</v>
      </c>
      <c r="BQ252" s="10"/>
      <c r="BR252" s="10"/>
      <c r="BS252" s="10"/>
      <c r="BT2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2" s="19" t="e">
        <f>tbl_MTG_Set[[#This Row],[Collector Singles CardMarket Profit MTG Stocks]]/tbl_MTG_Set[[#This Row],[Collector Booster Cost]]</f>
        <v>#N/A</v>
      </c>
      <c r="BW252" s="10" t="b">
        <f>tbl_MTG_Set[[#This Row],[Collector Singles CardMarket Profit MTG Stocks]]&gt;0</f>
        <v>0</v>
      </c>
      <c r="BX252" s="10"/>
      <c r="BY252" s="10"/>
      <c r="BZ2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2" s="10" t="e">
        <f>tbl_MTG_Set[[#This Row],[Collector Singles CardMarket Profit BotBox]]/tbl_MTG_Set[[#This Row],[Collector Booster Cost]]</f>
        <v>#N/A</v>
      </c>
      <c r="CC252" s="10" t="b">
        <f>tbl_MTG_Set[[#This Row],[Collector Singles CardMarket Profit BotBox]]&gt;0</f>
        <v>0</v>
      </c>
      <c r="CD2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3" spans="1:86" hidden="1">
      <c r="A253">
        <v>275</v>
      </c>
      <c r="B253" t="s">
        <v>426</v>
      </c>
      <c r="C253">
        <v>6</v>
      </c>
      <c r="D253" s="3">
        <v>44681</v>
      </c>
      <c r="E253" t="s">
        <v>59</v>
      </c>
      <c r="F253" t="s">
        <v>174</v>
      </c>
      <c r="G253">
        <v>496</v>
      </c>
      <c r="H253">
        <f ca="1">MONTH(NOW())+12*YEAR(NOW())-MONTH(tbl_MTG_Set[[#This Row],[Released On]])-12*YEAR(tbl_MTG_Set[[#This Row],[Released On]])</f>
        <v>47</v>
      </c>
      <c r="I253">
        <f>_xlfn.XLOOKUP(tbl_MTG_Set[[#This Row],[Type Name]], tbl_MTG_Set_Type[Set Type], tbl_MTG_Set_Type[Index], "(Set Type not found)")</f>
        <v>1</v>
      </c>
      <c r="J253">
        <f>_xlfn.XLOOKUP(tbl_MTG_Set[[#This Row],[Type Name]], tbl_MTG_Set_Type[Set Type], tbl_MTG_Set_Type[Buy Window Month Start], "(Set Type not found)")</f>
        <v>18</v>
      </c>
      <c r="K253" s="3">
        <f>tbl_MTG_Set[[#This Row],[Released On]]+tbl_MTG_Set[[#This Row],[Buy Window Month Start]]*365.25/12</f>
        <v>45228.875</v>
      </c>
      <c r="L253">
        <f>_xlfn.XLOOKUP(tbl_MTG_Set[[#This Row],[Type Name]], tbl_MTG_Set_Type[Set Type], tbl_MTG_Set_Type[Buy Window Month End], "(Set Type not found)", 0, 1)</f>
        <v>24</v>
      </c>
      <c r="M253" s="3">
        <f>tbl_MTG_Set[[#This Row],[Released On]]+tbl_MTG_Set[[#This Row],[Buy Window Month End]]*365.25/12</f>
        <v>45411.5</v>
      </c>
      <c r="N253" s="3" t="b">
        <f ca="1">AND(NOW()&gt;=tbl_MTG_Set[[#This Row],[Buy Window Start]], NOW()&lt;=tbl_MTG_Set[[#This Row],[Buy Window End]])</f>
        <v>0</v>
      </c>
      <c r="O253">
        <f>_xlfn.XLOOKUP(tbl_MTG_Set[[#This Row],[Type Name]], tbl_MTG_Set_Type[Set Type], tbl_MTG_Set_Type[Heavy Printing Window Month Start], "(Set Type not found)", 0, 1)</f>
        <v>1</v>
      </c>
      <c r="P253" s="3">
        <f>tbl_MTG_Set[[#This Row],[Released On]]+tbl_MTG_Set[[#This Row],[Heavy Printing Window Month Start]]*365.25/12</f>
        <v>44711.4375</v>
      </c>
      <c r="Q253">
        <f>_xlfn.XLOOKUP(tbl_MTG_Set[[#This Row],[Type Name]], tbl_MTG_Set_Type[Set Type], tbl_MTG_Set_Type[Heavy Printing Window Month End], "(Set Type not found)", 0, 1)</f>
        <v>18</v>
      </c>
      <c r="R253" s="3">
        <f>tbl_MTG_Set[[#This Row],[Released On]]+tbl_MTG_Set[[#This Row],[Heavy Printing Window Month End]]*365.25/12</f>
        <v>45228.875</v>
      </c>
      <c r="S253" s="3" t="b">
        <f ca="1">AND(NOW()&gt;=tbl_MTG_Set[[#This Row],[Heavy Printing Window Start]], NOW()&lt;=tbl_MTG_Set[[#This Row],[Heavy Printing Window End]])</f>
        <v>0</v>
      </c>
      <c r="T253">
        <f>_xlfn.XLOOKUP(tbl_MTG_Set[[#This Row],[Type Name]], tbl_MTG_Set_Type[Set Type], tbl_MTG_Set_Type[Sell Window Month Start], "(Set Type not found)", 0, 1)</f>
        <v>36</v>
      </c>
      <c r="U253" s="3">
        <f>tbl_MTG_Set[[#This Row],[Released On]]+tbl_MTG_Set[[#This Row],[Sell Window Month Start]]*365.25/12</f>
        <v>45776.75</v>
      </c>
      <c r="V253">
        <f>_xlfn.XLOOKUP(tbl_MTG_Set[[#This Row],[Type Name]], tbl_MTG_Set_Type[Set Type], tbl_MTG_Set_Type[Sell Window Month End], "(Set Type not found)", 0, 1)</f>
        <v>48</v>
      </c>
      <c r="W253" s="3">
        <f>tbl_MTG_Set[[#This Row],[Released On]]+tbl_MTG_Set[[#This Row],[Sell Window Month End]]*365.25/12</f>
        <v>46142</v>
      </c>
      <c r="X253" s="3" t="b">
        <f ca="1">AND(NOW()&gt;=tbl_MTG_Set[[#This Row],[Sell Window Start]], NOW()&lt;=tbl_MTG_Set[[#This Row],[Sell Window End]])</f>
        <v>1</v>
      </c>
      <c r="AG253" s="10"/>
      <c r="AH253" s="10"/>
      <c r="AM253" s="10" t="str" cm="1">
        <f t="array" ref="AM2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3" s="10" t="str" cm="1">
        <f t="array" ref="AN2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3" s="4" t="e">
        <f>_xlfn.XLOOKUP(tbl_MTG_Set[[#This Row],[Play Booster Box Product Id]], tbl_Product[Product Id], tbl_Product[Pack Size])</f>
        <v>#N/A</v>
      </c>
      <c r="AP253" s="10" t="e">
        <f>(tbl_MTG_Set[[#This Row],[Play Booster Box Cost]]+v_Item_Shipping_Cost_In)/tbl_MTG_Set[[#This Row],[Play Booster Box Size]]</f>
        <v>#VALUE!</v>
      </c>
      <c r="AQ253" s="10" t="str" cm="1">
        <f t="array" ref="AQ2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3" s="10"/>
      <c r="AS253" s="10"/>
      <c r="AT253" s="17" t="e">
        <f>tbl_MTG_Set[[#This Row],[Play Booster CardMarket Profit]]/tbl_MTG_Set[[#This Row],[Play Booster Cost]]</f>
        <v>#VALUE!</v>
      </c>
      <c r="AU253" s="10" t="e">
        <f>_xlfn.XLOOKUP(tbl_MTG_Set[[#This Row],[Collector Booster Box Product Id]], tbl_Product[Product Id], tbl_Product[Min Cost])</f>
        <v>#N/A</v>
      </c>
      <c r="AV253" s="10" t="e">
        <f>_xlfn.XLOOKUP(tbl_MTG_Set[[#This Row],[Collector Booster Box Product Id]], tbl_Product[Product Id], tbl_Product[Best Source])</f>
        <v>#N/A</v>
      </c>
      <c r="AW253" s="4" t="e">
        <f>_xlfn.XLOOKUP(tbl_MTG_Set[[#This Row],[Collector Booster Box Product Id]], tbl_Product[Product Id], tbl_Product[Pack Size])</f>
        <v>#N/A</v>
      </c>
      <c r="AX253" s="10" t="e">
        <f>(tbl_MTG_Set[[#This Row],[Collector Booster Box Cost]] + v_Item_Shipping_Cost_In) / tbl_MTG_Set[[#This Row],[Collector Booster Box Size]]</f>
        <v>#N/A</v>
      </c>
      <c r="AY253" s="10" t="str" cm="1">
        <f t="array" ref="AY2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3" s="10"/>
      <c r="BA2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3" s="17" t="e">
        <f>tbl_MTG_Set[[#This Row],[Collector Booster CardMarket Profit]]/tbl_MTG_Set[[#This Row],[Collector Booster Cost]]</f>
        <v>#N/A</v>
      </c>
      <c r="BC253" s="10"/>
      <c r="BF2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3" s="11" t="e">
        <f>tbl_MTG_Set[[#This Row],[Play Singles CardMarket Profit MTG Stocks]]/tbl_MTG_Set[[#This Row],[Play Booster Cost]]</f>
        <v>#VALUE!</v>
      </c>
      <c r="BI253" s="11" t="b">
        <f>tbl_MTG_Set[[#This Row],[Play Singles CardMarket Profit MTG Stocks]]&gt;0</f>
        <v>0</v>
      </c>
      <c r="BM253" s="10" t="e">
        <f>tbl_MTG_Set[[#This Row],[Play Booster Sell Price CardMarket]]*tbl_MTG_Set[[#This Row],[Play Booster Expected Market Value BotBox]]/tbl_MTG_Set[[#This Row],[Play Booster Sealed Market Value BotBox]]</f>
        <v>#VALUE!</v>
      </c>
      <c r="BN2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3" s="10" t="e">
        <f>tbl_MTG_Set[[#This Row],[Play Singles CardMarket Profit BotBox]]/tbl_MTG_Set[[#This Row],[Play Booster Cost]]</f>
        <v>#VALUE!</v>
      </c>
      <c r="BP253" s="10" t="b">
        <f>tbl_MTG_Set[[#This Row],[Play Singles CardMarket Profit BotBox]]&gt;0</f>
        <v>0</v>
      </c>
      <c r="BQ253" s="10"/>
      <c r="BR253" s="10"/>
      <c r="BS253" s="10"/>
      <c r="BT2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3" s="19" t="e">
        <f>tbl_MTG_Set[[#This Row],[Collector Singles CardMarket Profit MTG Stocks]]/tbl_MTG_Set[[#This Row],[Collector Booster Cost]]</f>
        <v>#N/A</v>
      </c>
      <c r="BW253" s="10" t="b">
        <f>tbl_MTG_Set[[#This Row],[Collector Singles CardMarket Profit MTG Stocks]]&gt;0</f>
        <v>0</v>
      </c>
      <c r="BX253" s="10"/>
      <c r="BY253" s="10"/>
      <c r="BZ2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3" s="10" t="e">
        <f>tbl_MTG_Set[[#This Row],[Collector Singles CardMarket Profit BotBox]]/tbl_MTG_Set[[#This Row],[Collector Booster Cost]]</f>
        <v>#N/A</v>
      </c>
      <c r="CC253" s="10" t="b">
        <f>tbl_MTG_Set[[#This Row],[Collector Singles CardMarket Profit BotBox]]&gt;0</f>
        <v>0</v>
      </c>
      <c r="CD2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4" spans="1:86" hidden="1">
      <c r="A254">
        <v>276</v>
      </c>
      <c r="B254" t="s">
        <v>427</v>
      </c>
      <c r="C254">
        <v>19</v>
      </c>
      <c r="D254" s="3">
        <v>44680</v>
      </c>
      <c r="E254" t="s">
        <v>59</v>
      </c>
      <c r="F254" t="s">
        <v>174</v>
      </c>
      <c r="G254">
        <v>498</v>
      </c>
      <c r="H254">
        <f ca="1">MONTH(NOW())+12*YEAR(NOW())-MONTH(tbl_MTG_Set[[#This Row],[Released On]])-12*YEAR(tbl_MTG_Set[[#This Row],[Released On]])</f>
        <v>47</v>
      </c>
      <c r="I254">
        <f>_xlfn.XLOOKUP(tbl_MTG_Set[[#This Row],[Type Name]], tbl_MTG_Set_Type[Set Type], tbl_MTG_Set_Type[Index], "(Set Type not found)")</f>
        <v>1</v>
      </c>
      <c r="J254">
        <f>_xlfn.XLOOKUP(tbl_MTG_Set[[#This Row],[Type Name]], tbl_MTG_Set_Type[Set Type], tbl_MTG_Set_Type[Buy Window Month Start], "(Set Type not found)")</f>
        <v>18</v>
      </c>
      <c r="K254" s="3">
        <f>tbl_MTG_Set[[#This Row],[Released On]]+tbl_MTG_Set[[#This Row],[Buy Window Month Start]]*365.25/12</f>
        <v>45227.875</v>
      </c>
      <c r="L254">
        <f>_xlfn.XLOOKUP(tbl_MTG_Set[[#This Row],[Type Name]], tbl_MTG_Set_Type[Set Type], tbl_MTG_Set_Type[Buy Window Month End], "(Set Type not found)", 0, 1)</f>
        <v>24</v>
      </c>
      <c r="M254" s="3">
        <f>tbl_MTG_Set[[#This Row],[Released On]]+tbl_MTG_Set[[#This Row],[Buy Window Month End]]*365.25/12</f>
        <v>45410.5</v>
      </c>
      <c r="N254" s="3" t="b">
        <f ca="1">AND(NOW()&gt;=tbl_MTG_Set[[#This Row],[Buy Window Start]], NOW()&lt;=tbl_MTG_Set[[#This Row],[Buy Window End]])</f>
        <v>0</v>
      </c>
      <c r="O254">
        <f>_xlfn.XLOOKUP(tbl_MTG_Set[[#This Row],[Type Name]], tbl_MTG_Set_Type[Set Type], tbl_MTG_Set_Type[Heavy Printing Window Month Start], "(Set Type not found)", 0, 1)</f>
        <v>1</v>
      </c>
      <c r="P254" s="3">
        <f>tbl_MTG_Set[[#This Row],[Released On]]+tbl_MTG_Set[[#This Row],[Heavy Printing Window Month Start]]*365.25/12</f>
        <v>44710.4375</v>
      </c>
      <c r="Q254">
        <f>_xlfn.XLOOKUP(tbl_MTG_Set[[#This Row],[Type Name]], tbl_MTG_Set_Type[Set Type], tbl_MTG_Set_Type[Heavy Printing Window Month End], "(Set Type not found)", 0, 1)</f>
        <v>18</v>
      </c>
      <c r="R254" s="3">
        <f>tbl_MTG_Set[[#This Row],[Released On]]+tbl_MTG_Set[[#This Row],[Heavy Printing Window Month End]]*365.25/12</f>
        <v>45227.875</v>
      </c>
      <c r="S254" s="3" t="b">
        <f ca="1">AND(NOW()&gt;=tbl_MTG_Set[[#This Row],[Heavy Printing Window Start]], NOW()&lt;=tbl_MTG_Set[[#This Row],[Heavy Printing Window End]])</f>
        <v>0</v>
      </c>
      <c r="T254">
        <f>_xlfn.XLOOKUP(tbl_MTG_Set[[#This Row],[Type Name]], tbl_MTG_Set_Type[Set Type], tbl_MTG_Set_Type[Sell Window Month Start], "(Set Type not found)", 0, 1)</f>
        <v>36</v>
      </c>
      <c r="U254" s="3">
        <f>tbl_MTG_Set[[#This Row],[Released On]]+tbl_MTG_Set[[#This Row],[Sell Window Month Start]]*365.25/12</f>
        <v>45775.75</v>
      </c>
      <c r="V254">
        <f>_xlfn.XLOOKUP(tbl_MTG_Set[[#This Row],[Type Name]], tbl_MTG_Set_Type[Set Type], tbl_MTG_Set_Type[Sell Window Month End], "(Set Type not found)", 0, 1)</f>
        <v>48</v>
      </c>
      <c r="W254" s="3">
        <f>tbl_MTG_Set[[#This Row],[Released On]]+tbl_MTG_Set[[#This Row],[Sell Window Month End]]*365.25/12</f>
        <v>46141</v>
      </c>
      <c r="X254" s="3" t="b">
        <f ca="1">AND(NOW()&gt;=tbl_MTG_Set[[#This Row],[Sell Window Start]], NOW()&lt;=tbl_MTG_Set[[#This Row],[Sell Window End]])</f>
        <v>1</v>
      </c>
      <c r="AG254" s="10"/>
      <c r="AH254" s="10"/>
      <c r="AM254" s="10" t="str" cm="1">
        <f t="array" ref="AM2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4" s="10" t="str" cm="1">
        <f t="array" ref="AN2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4" s="4" t="e">
        <f>_xlfn.XLOOKUP(tbl_MTG_Set[[#This Row],[Play Booster Box Product Id]], tbl_Product[Product Id], tbl_Product[Pack Size])</f>
        <v>#N/A</v>
      </c>
      <c r="AP254" s="10" t="e">
        <f>(tbl_MTG_Set[[#This Row],[Play Booster Box Cost]]+v_Item_Shipping_Cost_In)/tbl_MTG_Set[[#This Row],[Play Booster Box Size]]</f>
        <v>#VALUE!</v>
      </c>
      <c r="AQ254" s="10" t="str" cm="1">
        <f t="array" ref="AQ2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4" s="10"/>
      <c r="AS254" s="10"/>
      <c r="AT254" s="17" t="e">
        <f>tbl_MTG_Set[[#This Row],[Play Booster CardMarket Profit]]/tbl_MTG_Set[[#This Row],[Play Booster Cost]]</f>
        <v>#VALUE!</v>
      </c>
      <c r="AU254" s="10" t="e">
        <f>_xlfn.XLOOKUP(tbl_MTG_Set[[#This Row],[Collector Booster Box Product Id]], tbl_Product[Product Id], tbl_Product[Min Cost])</f>
        <v>#N/A</v>
      </c>
      <c r="AV254" s="10" t="e">
        <f>_xlfn.XLOOKUP(tbl_MTG_Set[[#This Row],[Collector Booster Box Product Id]], tbl_Product[Product Id], tbl_Product[Best Source])</f>
        <v>#N/A</v>
      </c>
      <c r="AW254" s="4" t="e">
        <f>_xlfn.XLOOKUP(tbl_MTG_Set[[#This Row],[Collector Booster Box Product Id]], tbl_Product[Product Id], tbl_Product[Pack Size])</f>
        <v>#N/A</v>
      </c>
      <c r="AX254" s="10" t="e">
        <f>(tbl_MTG_Set[[#This Row],[Collector Booster Box Cost]] + v_Item_Shipping_Cost_In) / tbl_MTG_Set[[#This Row],[Collector Booster Box Size]]</f>
        <v>#N/A</v>
      </c>
      <c r="AY254" s="10" t="str" cm="1">
        <f t="array" ref="AY2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4" s="10"/>
      <c r="BA2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4" s="17" t="e">
        <f>tbl_MTG_Set[[#This Row],[Collector Booster CardMarket Profit]]/tbl_MTG_Set[[#This Row],[Collector Booster Cost]]</f>
        <v>#N/A</v>
      </c>
      <c r="BC254" s="10"/>
      <c r="BF2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4" s="11" t="e">
        <f>tbl_MTG_Set[[#This Row],[Play Singles CardMarket Profit MTG Stocks]]/tbl_MTG_Set[[#This Row],[Play Booster Cost]]</f>
        <v>#VALUE!</v>
      </c>
      <c r="BI254" s="11" t="b">
        <f>tbl_MTG_Set[[#This Row],[Play Singles CardMarket Profit MTG Stocks]]&gt;0</f>
        <v>0</v>
      </c>
      <c r="BM254" s="10" t="e">
        <f>tbl_MTG_Set[[#This Row],[Play Booster Sell Price CardMarket]]*tbl_MTG_Set[[#This Row],[Play Booster Expected Market Value BotBox]]/tbl_MTG_Set[[#This Row],[Play Booster Sealed Market Value BotBox]]</f>
        <v>#VALUE!</v>
      </c>
      <c r="BN2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4" s="10" t="e">
        <f>tbl_MTG_Set[[#This Row],[Play Singles CardMarket Profit BotBox]]/tbl_MTG_Set[[#This Row],[Play Booster Cost]]</f>
        <v>#VALUE!</v>
      </c>
      <c r="BP254" s="10" t="b">
        <f>tbl_MTG_Set[[#This Row],[Play Singles CardMarket Profit BotBox]]&gt;0</f>
        <v>0</v>
      </c>
      <c r="BQ254" s="10"/>
      <c r="BR254" s="10"/>
      <c r="BS254" s="10"/>
      <c r="BT2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4" s="19" t="e">
        <f>tbl_MTG_Set[[#This Row],[Collector Singles CardMarket Profit MTG Stocks]]/tbl_MTG_Set[[#This Row],[Collector Booster Cost]]</f>
        <v>#N/A</v>
      </c>
      <c r="BW254" s="10" t="b">
        <f>tbl_MTG_Set[[#This Row],[Collector Singles CardMarket Profit MTG Stocks]]&gt;0</f>
        <v>0</v>
      </c>
      <c r="BX254" s="10"/>
      <c r="BY254" s="10"/>
      <c r="BZ2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4" s="10" t="e">
        <f>tbl_MTG_Set[[#This Row],[Collector Singles CardMarket Profit BotBox]]/tbl_MTG_Set[[#This Row],[Collector Booster Cost]]</f>
        <v>#N/A</v>
      </c>
      <c r="CC254" s="10" t="b">
        <f>tbl_MTG_Set[[#This Row],[Collector Singles CardMarket Profit BotBox]]&gt;0</f>
        <v>0</v>
      </c>
      <c r="CD2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5" spans="1:86" hidden="1">
      <c r="A255">
        <v>277</v>
      </c>
      <c r="B255" t="s">
        <v>428</v>
      </c>
      <c r="C255">
        <v>30</v>
      </c>
      <c r="D255" s="3">
        <v>44714</v>
      </c>
      <c r="F255" t="s">
        <v>174</v>
      </c>
      <c r="G255">
        <v>500</v>
      </c>
      <c r="H255">
        <f ca="1">MONTH(NOW())+12*YEAR(NOW())-MONTH(tbl_MTG_Set[[#This Row],[Released On]])-12*YEAR(tbl_MTG_Set[[#This Row],[Released On]])</f>
        <v>45</v>
      </c>
      <c r="I255" t="str">
        <f>_xlfn.XLOOKUP(tbl_MTG_Set[[#This Row],[Type Name]], tbl_MTG_Set_Type[Set Type], tbl_MTG_Set_Type[Index], "(Set Type not found)")</f>
        <v>(Set Type not found)</v>
      </c>
      <c r="J255" t="str">
        <f>_xlfn.XLOOKUP(tbl_MTG_Set[[#This Row],[Type Name]], tbl_MTG_Set_Type[Set Type], tbl_MTG_Set_Type[Buy Window Month Start], "(Set Type not found)")</f>
        <v>(Set Type not found)</v>
      </c>
      <c r="K255" s="3" t="e">
        <f>tbl_MTG_Set[[#This Row],[Released On]]+tbl_MTG_Set[[#This Row],[Buy Window Month Start]]*365.25/12</f>
        <v>#VALUE!</v>
      </c>
      <c r="L255" t="str">
        <f>_xlfn.XLOOKUP(tbl_MTG_Set[[#This Row],[Type Name]], tbl_MTG_Set_Type[Set Type], tbl_MTG_Set_Type[Buy Window Month End], "(Set Type not found)", 0, 1)</f>
        <v>(Set Type not found)</v>
      </c>
      <c r="M255" s="3" t="e">
        <f>tbl_MTG_Set[[#This Row],[Released On]]+tbl_MTG_Set[[#This Row],[Buy Window Month End]]*365.25/12</f>
        <v>#VALUE!</v>
      </c>
      <c r="N255" s="3" t="e">
        <f ca="1">AND(NOW()&gt;=tbl_MTG_Set[[#This Row],[Buy Window Start]], NOW()&lt;=tbl_MTG_Set[[#This Row],[Buy Window End]])</f>
        <v>#VALUE!</v>
      </c>
      <c r="O255" t="str">
        <f>_xlfn.XLOOKUP(tbl_MTG_Set[[#This Row],[Type Name]], tbl_MTG_Set_Type[Set Type], tbl_MTG_Set_Type[Heavy Printing Window Month Start], "(Set Type not found)", 0, 1)</f>
        <v>(Set Type not found)</v>
      </c>
      <c r="P255" s="3" t="e">
        <f>tbl_MTG_Set[[#This Row],[Released On]]+tbl_MTG_Set[[#This Row],[Heavy Printing Window Month Start]]*365.25/12</f>
        <v>#VALUE!</v>
      </c>
      <c r="Q255" t="str">
        <f>_xlfn.XLOOKUP(tbl_MTG_Set[[#This Row],[Type Name]], tbl_MTG_Set_Type[Set Type], tbl_MTG_Set_Type[Heavy Printing Window Month End], "(Set Type not found)", 0, 1)</f>
        <v>(Set Type not found)</v>
      </c>
      <c r="R255" s="3" t="e">
        <f>tbl_MTG_Set[[#This Row],[Released On]]+tbl_MTG_Set[[#This Row],[Heavy Printing Window Month End]]*365.25/12</f>
        <v>#VALUE!</v>
      </c>
      <c r="S255" s="3" t="e">
        <f ca="1">AND(NOW()&gt;=tbl_MTG_Set[[#This Row],[Heavy Printing Window Start]], NOW()&lt;=tbl_MTG_Set[[#This Row],[Heavy Printing Window End]])</f>
        <v>#VALUE!</v>
      </c>
      <c r="T255" t="str">
        <f>_xlfn.XLOOKUP(tbl_MTG_Set[[#This Row],[Type Name]], tbl_MTG_Set_Type[Set Type], tbl_MTG_Set_Type[Sell Window Month Start], "(Set Type not found)", 0, 1)</f>
        <v>(Set Type not found)</v>
      </c>
      <c r="U255" s="3" t="e">
        <f>tbl_MTG_Set[[#This Row],[Released On]]+tbl_MTG_Set[[#This Row],[Sell Window Month Start]]*365.25/12</f>
        <v>#VALUE!</v>
      </c>
      <c r="V255" t="str">
        <f>_xlfn.XLOOKUP(tbl_MTG_Set[[#This Row],[Type Name]], tbl_MTG_Set_Type[Set Type], tbl_MTG_Set_Type[Sell Window Month End], "(Set Type not found)", 0, 1)</f>
        <v>(Set Type not found)</v>
      </c>
      <c r="W255" s="3" t="e">
        <f>tbl_MTG_Set[[#This Row],[Released On]]+tbl_MTG_Set[[#This Row],[Sell Window Month End]]*365.25/12</f>
        <v>#VALUE!</v>
      </c>
      <c r="X255" s="3" t="e">
        <f ca="1">AND(NOW()&gt;=tbl_MTG_Set[[#This Row],[Sell Window Start]], NOW()&lt;=tbl_MTG_Set[[#This Row],[Sell Window End]])</f>
        <v>#VALUE!</v>
      </c>
      <c r="AG255" s="10"/>
      <c r="AH255" s="10"/>
      <c r="AM255" s="10" t="str" cm="1">
        <f t="array" ref="AM2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5" s="10" t="str" cm="1">
        <f t="array" ref="AN2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5" s="4" t="e">
        <f>_xlfn.XLOOKUP(tbl_MTG_Set[[#This Row],[Play Booster Box Product Id]], tbl_Product[Product Id], tbl_Product[Pack Size])</f>
        <v>#N/A</v>
      </c>
      <c r="AP255" s="10" t="e">
        <f>(tbl_MTG_Set[[#This Row],[Play Booster Box Cost]]+v_Item_Shipping_Cost_In)/tbl_MTG_Set[[#This Row],[Play Booster Box Size]]</f>
        <v>#VALUE!</v>
      </c>
      <c r="AQ255" s="10" t="str" cm="1">
        <f t="array" ref="AQ2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5" s="10"/>
      <c r="AS255" s="10"/>
      <c r="AT255" s="17" t="e">
        <f>tbl_MTG_Set[[#This Row],[Play Booster CardMarket Profit]]/tbl_MTG_Set[[#This Row],[Play Booster Cost]]</f>
        <v>#VALUE!</v>
      </c>
      <c r="AU255" s="10" t="e">
        <f>_xlfn.XLOOKUP(tbl_MTG_Set[[#This Row],[Collector Booster Box Product Id]], tbl_Product[Product Id], tbl_Product[Min Cost])</f>
        <v>#N/A</v>
      </c>
      <c r="AV255" s="10" t="e">
        <f>_xlfn.XLOOKUP(tbl_MTG_Set[[#This Row],[Collector Booster Box Product Id]], tbl_Product[Product Id], tbl_Product[Best Source])</f>
        <v>#N/A</v>
      </c>
      <c r="AW255" s="4" t="e">
        <f>_xlfn.XLOOKUP(tbl_MTG_Set[[#This Row],[Collector Booster Box Product Id]], tbl_Product[Product Id], tbl_Product[Pack Size])</f>
        <v>#N/A</v>
      </c>
      <c r="AX255" s="10" t="e">
        <f>(tbl_MTG_Set[[#This Row],[Collector Booster Box Cost]] + v_Item_Shipping_Cost_In) / tbl_MTG_Set[[#This Row],[Collector Booster Box Size]]</f>
        <v>#N/A</v>
      </c>
      <c r="AY255" s="10" t="str" cm="1">
        <f t="array" ref="AY2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5" s="10"/>
      <c r="BA2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5" s="17" t="e">
        <f>tbl_MTG_Set[[#This Row],[Collector Booster CardMarket Profit]]/tbl_MTG_Set[[#This Row],[Collector Booster Cost]]</f>
        <v>#N/A</v>
      </c>
      <c r="BC255" s="10"/>
      <c r="BF2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5" s="11" t="e">
        <f>tbl_MTG_Set[[#This Row],[Play Singles CardMarket Profit MTG Stocks]]/tbl_MTG_Set[[#This Row],[Play Booster Cost]]</f>
        <v>#VALUE!</v>
      </c>
      <c r="BI255" s="11" t="b">
        <f>tbl_MTG_Set[[#This Row],[Play Singles CardMarket Profit MTG Stocks]]&gt;0</f>
        <v>0</v>
      </c>
      <c r="BM255" s="10" t="e">
        <f>tbl_MTG_Set[[#This Row],[Play Booster Sell Price CardMarket]]*tbl_MTG_Set[[#This Row],[Play Booster Expected Market Value BotBox]]/tbl_MTG_Set[[#This Row],[Play Booster Sealed Market Value BotBox]]</f>
        <v>#VALUE!</v>
      </c>
      <c r="BN2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5" s="10" t="e">
        <f>tbl_MTG_Set[[#This Row],[Play Singles CardMarket Profit BotBox]]/tbl_MTG_Set[[#This Row],[Play Booster Cost]]</f>
        <v>#VALUE!</v>
      </c>
      <c r="BP255" s="10" t="b">
        <f>tbl_MTG_Set[[#This Row],[Play Singles CardMarket Profit BotBox]]&gt;0</f>
        <v>0</v>
      </c>
      <c r="BQ255" s="10"/>
      <c r="BR255" s="10"/>
      <c r="BS255" s="10"/>
      <c r="BT2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5" s="19" t="e">
        <f>tbl_MTG_Set[[#This Row],[Collector Singles CardMarket Profit MTG Stocks]]/tbl_MTG_Set[[#This Row],[Collector Booster Cost]]</f>
        <v>#N/A</v>
      </c>
      <c r="BW255" s="10" t="b">
        <f>tbl_MTG_Set[[#This Row],[Collector Singles CardMarket Profit MTG Stocks]]&gt;0</f>
        <v>0</v>
      </c>
      <c r="BX255" s="10"/>
      <c r="BY255" s="10"/>
      <c r="BZ2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5" s="10" t="e">
        <f>tbl_MTG_Set[[#This Row],[Collector Singles CardMarket Profit BotBox]]/tbl_MTG_Set[[#This Row],[Collector Booster Cost]]</f>
        <v>#N/A</v>
      </c>
      <c r="CC255" s="10" t="b">
        <f>tbl_MTG_Set[[#This Row],[Collector Singles CardMarket Profit BotBox]]&gt;0</f>
        <v>0</v>
      </c>
      <c r="CD2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6" spans="1:86" hidden="1">
      <c r="A256">
        <v>278</v>
      </c>
      <c r="B256" t="s">
        <v>429</v>
      </c>
      <c r="C256">
        <v>447</v>
      </c>
      <c r="D256" s="3">
        <v>44680</v>
      </c>
      <c r="F256" t="s">
        <v>174</v>
      </c>
      <c r="G256">
        <v>502</v>
      </c>
      <c r="H256">
        <f ca="1">MONTH(NOW())+12*YEAR(NOW())-MONTH(tbl_MTG_Set[[#This Row],[Released On]])-12*YEAR(tbl_MTG_Set[[#This Row],[Released On]])</f>
        <v>47</v>
      </c>
      <c r="I256" t="str">
        <f>_xlfn.XLOOKUP(tbl_MTG_Set[[#This Row],[Type Name]], tbl_MTG_Set_Type[Set Type], tbl_MTG_Set_Type[Index], "(Set Type not found)")</f>
        <v>(Set Type not found)</v>
      </c>
      <c r="J256" t="str">
        <f>_xlfn.XLOOKUP(tbl_MTG_Set[[#This Row],[Type Name]], tbl_MTG_Set_Type[Set Type], tbl_MTG_Set_Type[Buy Window Month Start], "(Set Type not found)")</f>
        <v>(Set Type not found)</v>
      </c>
      <c r="K256" s="3" t="e">
        <f>tbl_MTG_Set[[#This Row],[Released On]]+tbl_MTG_Set[[#This Row],[Buy Window Month Start]]*365.25/12</f>
        <v>#VALUE!</v>
      </c>
      <c r="L256" t="str">
        <f>_xlfn.XLOOKUP(tbl_MTG_Set[[#This Row],[Type Name]], tbl_MTG_Set_Type[Set Type], tbl_MTG_Set_Type[Buy Window Month End], "(Set Type not found)", 0, 1)</f>
        <v>(Set Type not found)</v>
      </c>
      <c r="M256" s="3" t="e">
        <f>tbl_MTG_Set[[#This Row],[Released On]]+tbl_MTG_Set[[#This Row],[Buy Window Month End]]*365.25/12</f>
        <v>#VALUE!</v>
      </c>
      <c r="N256" s="3" t="e">
        <f ca="1">AND(NOW()&gt;=tbl_MTG_Set[[#This Row],[Buy Window Start]], NOW()&lt;=tbl_MTG_Set[[#This Row],[Buy Window End]])</f>
        <v>#VALUE!</v>
      </c>
      <c r="O256" t="str">
        <f>_xlfn.XLOOKUP(tbl_MTG_Set[[#This Row],[Type Name]], tbl_MTG_Set_Type[Set Type], tbl_MTG_Set_Type[Heavy Printing Window Month Start], "(Set Type not found)", 0, 1)</f>
        <v>(Set Type not found)</v>
      </c>
      <c r="P256" s="3" t="e">
        <f>tbl_MTG_Set[[#This Row],[Released On]]+tbl_MTG_Set[[#This Row],[Heavy Printing Window Month Start]]*365.25/12</f>
        <v>#VALUE!</v>
      </c>
      <c r="Q256" t="str">
        <f>_xlfn.XLOOKUP(tbl_MTG_Set[[#This Row],[Type Name]], tbl_MTG_Set_Type[Set Type], tbl_MTG_Set_Type[Heavy Printing Window Month End], "(Set Type not found)", 0, 1)</f>
        <v>(Set Type not found)</v>
      </c>
      <c r="R256" s="3" t="e">
        <f>tbl_MTG_Set[[#This Row],[Released On]]+tbl_MTG_Set[[#This Row],[Heavy Printing Window Month End]]*365.25/12</f>
        <v>#VALUE!</v>
      </c>
      <c r="S256" s="3" t="e">
        <f ca="1">AND(NOW()&gt;=tbl_MTG_Set[[#This Row],[Heavy Printing Window Start]], NOW()&lt;=tbl_MTG_Set[[#This Row],[Heavy Printing Window End]])</f>
        <v>#VALUE!</v>
      </c>
      <c r="T256" t="str">
        <f>_xlfn.XLOOKUP(tbl_MTG_Set[[#This Row],[Type Name]], tbl_MTG_Set_Type[Set Type], tbl_MTG_Set_Type[Sell Window Month Start], "(Set Type not found)", 0, 1)</f>
        <v>(Set Type not found)</v>
      </c>
      <c r="U256" s="3" t="e">
        <f>tbl_MTG_Set[[#This Row],[Released On]]+tbl_MTG_Set[[#This Row],[Sell Window Month Start]]*365.25/12</f>
        <v>#VALUE!</v>
      </c>
      <c r="V256" t="str">
        <f>_xlfn.XLOOKUP(tbl_MTG_Set[[#This Row],[Type Name]], tbl_MTG_Set_Type[Set Type], tbl_MTG_Set_Type[Sell Window Month End], "(Set Type not found)", 0, 1)</f>
        <v>(Set Type not found)</v>
      </c>
      <c r="W256" s="3" t="e">
        <f>tbl_MTG_Set[[#This Row],[Released On]]+tbl_MTG_Set[[#This Row],[Sell Window Month End]]*365.25/12</f>
        <v>#VALUE!</v>
      </c>
      <c r="X256" s="3" t="e">
        <f ca="1">AND(NOW()&gt;=tbl_MTG_Set[[#This Row],[Sell Window Start]], NOW()&lt;=tbl_MTG_Set[[#This Row],[Sell Window End]])</f>
        <v>#VALUE!</v>
      </c>
      <c r="Y256" s="6"/>
      <c r="Z256" s="6"/>
      <c r="AA256" s="6"/>
      <c r="AG256" s="10"/>
      <c r="AH256" s="10"/>
      <c r="AM256" s="10" t="str" cm="1">
        <f t="array" ref="AM2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6" s="10" t="str" cm="1">
        <f t="array" ref="AN2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6" s="4" t="e">
        <f>_xlfn.XLOOKUP(tbl_MTG_Set[[#This Row],[Play Booster Box Product Id]], tbl_Product[Product Id], tbl_Product[Pack Size])</f>
        <v>#N/A</v>
      </c>
      <c r="AP256" s="10" t="e">
        <f>(tbl_MTG_Set[[#This Row],[Play Booster Box Cost]]+v_Item_Shipping_Cost_In)/tbl_MTG_Set[[#This Row],[Play Booster Box Size]]</f>
        <v>#VALUE!</v>
      </c>
      <c r="AQ256" s="10" t="str" cm="1">
        <f t="array" ref="AQ2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6" s="6"/>
      <c r="AS256" s="10"/>
      <c r="AT256" s="17" t="e">
        <f>tbl_MTG_Set[[#This Row],[Play Booster CardMarket Profit]]/tbl_MTG_Set[[#This Row],[Play Booster Cost]]</f>
        <v>#VALUE!</v>
      </c>
      <c r="AU256" s="10" t="e">
        <f>_xlfn.XLOOKUP(tbl_MTG_Set[[#This Row],[Collector Booster Box Product Id]], tbl_Product[Product Id], tbl_Product[Min Cost])</f>
        <v>#N/A</v>
      </c>
      <c r="AV256" s="10" t="e">
        <f>_xlfn.XLOOKUP(tbl_MTG_Set[[#This Row],[Collector Booster Box Product Id]], tbl_Product[Product Id], tbl_Product[Best Source])</f>
        <v>#N/A</v>
      </c>
      <c r="AW256" s="4" t="e">
        <f>_xlfn.XLOOKUP(tbl_MTG_Set[[#This Row],[Collector Booster Box Product Id]], tbl_Product[Product Id], tbl_Product[Pack Size])</f>
        <v>#N/A</v>
      </c>
      <c r="AX256" s="10" t="e">
        <f>(tbl_MTG_Set[[#This Row],[Collector Booster Box Cost]] + v_Item_Shipping_Cost_In) / tbl_MTG_Set[[#This Row],[Collector Booster Box Size]]</f>
        <v>#N/A</v>
      </c>
      <c r="AY256" s="10" t="str" cm="1">
        <f t="array" ref="AY2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6" s="10"/>
      <c r="BA2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6" s="17" t="e">
        <f>tbl_MTG_Set[[#This Row],[Collector Booster CardMarket Profit]]/tbl_MTG_Set[[#This Row],[Collector Booster Cost]]</f>
        <v>#N/A</v>
      </c>
      <c r="BC256" s="10"/>
      <c r="BF2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6" s="11" t="e">
        <f>tbl_MTG_Set[[#This Row],[Play Singles CardMarket Profit MTG Stocks]]/tbl_MTG_Set[[#This Row],[Play Booster Cost]]</f>
        <v>#VALUE!</v>
      </c>
      <c r="BI256" s="11" t="b">
        <f>tbl_MTG_Set[[#This Row],[Play Singles CardMarket Profit MTG Stocks]]&gt;0</f>
        <v>0</v>
      </c>
      <c r="BM256" s="10" t="e">
        <f>tbl_MTG_Set[[#This Row],[Play Booster Sell Price CardMarket]]*tbl_MTG_Set[[#This Row],[Play Booster Expected Market Value BotBox]]/tbl_MTG_Set[[#This Row],[Play Booster Sealed Market Value BotBox]]</f>
        <v>#VALUE!</v>
      </c>
      <c r="BN2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6" s="10" t="e">
        <f>tbl_MTG_Set[[#This Row],[Play Singles CardMarket Profit BotBox]]/tbl_MTG_Set[[#This Row],[Play Booster Cost]]</f>
        <v>#VALUE!</v>
      </c>
      <c r="BP256" s="10" t="b">
        <f>tbl_MTG_Set[[#This Row],[Play Singles CardMarket Profit BotBox]]&gt;0</f>
        <v>0</v>
      </c>
      <c r="BQ256" s="10"/>
      <c r="BR256" s="10"/>
      <c r="BS256" s="10"/>
      <c r="BT2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6" s="19" t="e">
        <f>tbl_MTG_Set[[#This Row],[Collector Singles CardMarket Profit MTG Stocks]]/tbl_MTG_Set[[#This Row],[Collector Booster Cost]]</f>
        <v>#N/A</v>
      </c>
      <c r="BW256" s="10" t="b">
        <f>tbl_MTG_Set[[#This Row],[Collector Singles CardMarket Profit MTG Stocks]]&gt;0</f>
        <v>0</v>
      </c>
      <c r="BX256" s="10"/>
      <c r="BY256" s="10"/>
      <c r="BZ2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6" s="10" t="e">
        <f>tbl_MTG_Set[[#This Row],[Collector Singles CardMarket Profit BotBox]]/tbl_MTG_Set[[#This Row],[Collector Booster Cost]]</f>
        <v>#N/A</v>
      </c>
      <c r="CC256" s="10" t="b">
        <f>tbl_MTG_Set[[#This Row],[Collector Singles CardMarket Profit BotBox]]&gt;0</f>
        <v>0</v>
      </c>
      <c r="CD2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7" spans="1:86" hidden="1">
      <c r="A257">
        <v>279</v>
      </c>
      <c r="B257" t="s">
        <v>430</v>
      </c>
      <c r="C257">
        <v>75</v>
      </c>
      <c r="D257" s="3">
        <v>44680</v>
      </c>
      <c r="F257" t="s">
        <v>174</v>
      </c>
      <c r="G257">
        <v>504</v>
      </c>
      <c r="H257">
        <f ca="1">MONTH(NOW())+12*YEAR(NOW())-MONTH(tbl_MTG_Set[[#This Row],[Released On]])-12*YEAR(tbl_MTG_Set[[#This Row],[Released On]])</f>
        <v>47</v>
      </c>
      <c r="I257" t="str">
        <f>_xlfn.XLOOKUP(tbl_MTG_Set[[#This Row],[Type Name]], tbl_MTG_Set_Type[Set Type], tbl_MTG_Set_Type[Index], "(Set Type not found)")</f>
        <v>(Set Type not found)</v>
      </c>
      <c r="J257" t="str">
        <f>_xlfn.XLOOKUP(tbl_MTG_Set[[#This Row],[Type Name]], tbl_MTG_Set_Type[Set Type], tbl_MTG_Set_Type[Buy Window Month Start], "(Set Type not found)")</f>
        <v>(Set Type not found)</v>
      </c>
      <c r="K257" s="3" t="e">
        <f>tbl_MTG_Set[[#This Row],[Released On]]+tbl_MTG_Set[[#This Row],[Buy Window Month Start]]*365.25/12</f>
        <v>#VALUE!</v>
      </c>
      <c r="L257" t="str">
        <f>_xlfn.XLOOKUP(tbl_MTG_Set[[#This Row],[Type Name]], tbl_MTG_Set_Type[Set Type], tbl_MTG_Set_Type[Buy Window Month End], "(Set Type not found)", 0, 1)</f>
        <v>(Set Type not found)</v>
      </c>
      <c r="M257" s="3" t="e">
        <f>tbl_MTG_Set[[#This Row],[Released On]]+tbl_MTG_Set[[#This Row],[Buy Window Month End]]*365.25/12</f>
        <v>#VALUE!</v>
      </c>
      <c r="N257" s="3" t="e">
        <f ca="1">AND(NOW()&gt;=tbl_MTG_Set[[#This Row],[Buy Window Start]], NOW()&lt;=tbl_MTG_Set[[#This Row],[Buy Window End]])</f>
        <v>#VALUE!</v>
      </c>
      <c r="O257" t="str">
        <f>_xlfn.XLOOKUP(tbl_MTG_Set[[#This Row],[Type Name]], tbl_MTG_Set_Type[Set Type], tbl_MTG_Set_Type[Heavy Printing Window Month Start], "(Set Type not found)", 0, 1)</f>
        <v>(Set Type not found)</v>
      </c>
      <c r="P257" s="3" t="e">
        <f>tbl_MTG_Set[[#This Row],[Released On]]+tbl_MTG_Set[[#This Row],[Heavy Printing Window Month Start]]*365.25/12</f>
        <v>#VALUE!</v>
      </c>
      <c r="Q257" t="str">
        <f>_xlfn.XLOOKUP(tbl_MTG_Set[[#This Row],[Type Name]], tbl_MTG_Set_Type[Set Type], tbl_MTG_Set_Type[Heavy Printing Window Month End], "(Set Type not found)", 0, 1)</f>
        <v>(Set Type not found)</v>
      </c>
      <c r="R257" s="3" t="e">
        <f>tbl_MTG_Set[[#This Row],[Released On]]+tbl_MTG_Set[[#This Row],[Heavy Printing Window Month End]]*365.25/12</f>
        <v>#VALUE!</v>
      </c>
      <c r="S257" s="3" t="e">
        <f ca="1">AND(NOW()&gt;=tbl_MTG_Set[[#This Row],[Heavy Printing Window Start]], NOW()&lt;=tbl_MTG_Set[[#This Row],[Heavy Printing Window End]])</f>
        <v>#VALUE!</v>
      </c>
      <c r="T257" t="str">
        <f>_xlfn.XLOOKUP(tbl_MTG_Set[[#This Row],[Type Name]], tbl_MTG_Set_Type[Set Type], tbl_MTG_Set_Type[Sell Window Month Start], "(Set Type not found)", 0, 1)</f>
        <v>(Set Type not found)</v>
      </c>
      <c r="U257" s="3" t="e">
        <f>tbl_MTG_Set[[#This Row],[Released On]]+tbl_MTG_Set[[#This Row],[Sell Window Month Start]]*365.25/12</f>
        <v>#VALUE!</v>
      </c>
      <c r="V257" t="str">
        <f>_xlfn.XLOOKUP(tbl_MTG_Set[[#This Row],[Type Name]], tbl_MTG_Set_Type[Set Type], tbl_MTG_Set_Type[Sell Window Month End], "(Set Type not found)", 0, 1)</f>
        <v>(Set Type not found)</v>
      </c>
      <c r="W257" s="3" t="e">
        <f>tbl_MTG_Set[[#This Row],[Released On]]+tbl_MTG_Set[[#This Row],[Sell Window Month End]]*365.25/12</f>
        <v>#VALUE!</v>
      </c>
      <c r="X257" s="3" t="e">
        <f ca="1">AND(NOW()&gt;=tbl_MTG_Set[[#This Row],[Sell Window Start]], NOW()&lt;=tbl_MTG_Set[[#This Row],[Sell Window End]])</f>
        <v>#VALUE!</v>
      </c>
      <c r="AG257" s="10"/>
      <c r="AH257" s="10"/>
      <c r="AM257" s="10" t="str" cm="1">
        <f t="array" ref="AM2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7" s="10" t="str" cm="1">
        <f t="array" ref="AN2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7" s="4" t="e">
        <f>_xlfn.XLOOKUP(tbl_MTG_Set[[#This Row],[Play Booster Box Product Id]], tbl_Product[Product Id], tbl_Product[Pack Size])</f>
        <v>#N/A</v>
      </c>
      <c r="AP257" s="10" t="e">
        <f>(tbl_MTG_Set[[#This Row],[Play Booster Box Cost]]+v_Item_Shipping_Cost_In)/tbl_MTG_Set[[#This Row],[Play Booster Box Size]]</f>
        <v>#VALUE!</v>
      </c>
      <c r="AQ257" s="10" t="str" cm="1">
        <f t="array" ref="AQ2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7" s="10"/>
      <c r="AS257" s="10"/>
      <c r="AT257" s="17" t="e">
        <f>tbl_MTG_Set[[#This Row],[Play Booster CardMarket Profit]]/tbl_MTG_Set[[#This Row],[Play Booster Cost]]</f>
        <v>#VALUE!</v>
      </c>
      <c r="AU257" s="10" t="e">
        <f>_xlfn.XLOOKUP(tbl_MTG_Set[[#This Row],[Collector Booster Box Product Id]], tbl_Product[Product Id], tbl_Product[Min Cost])</f>
        <v>#N/A</v>
      </c>
      <c r="AV257" s="10" t="e">
        <f>_xlfn.XLOOKUP(tbl_MTG_Set[[#This Row],[Collector Booster Box Product Id]], tbl_Product[Product Id], tbl_Product[Best Source])</f>
        <v>#N/A</v>
      </c>
      <c r="AW257" s="4" t="e">
        <f>_xlfn.XLOOKUP(tbl_MTG_Set[[#This Row],[Collector Booster Box Product Id]], tbl_Product[Product Id], tbl_Product[Pack Size])</f>
        <v>#N/A</v>
      </c>
      <c r="AX257" s="10" t="e">
        <f>(tbl_MTG_Set[[#This Row],[Collector Booster Box Cost]] + v_Item_Shipping_Cost_In) / tbl_MTG_Set[[#This Row],[Collector Booster Box Size]]</f>
        <v>#N/A</v>
      </c>
      <c r="AY257" s="10" t="str" cm="1">
        <f t="array" ref="AY2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7" s="10"/>
      <c r="BA2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7" s="17" t="e">
        <f>tbl_MTG_Set[[#This Row],[Collector Booster CardMarket Profit]]/tbl_MTG_Set[[#This Row],[Collector Booster Cost]]</f>
        <v>#N/A</v>
      </c>
      <c r="BC257" s="10"/>
      <c r="BF2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7" s="11" t="e">
        <f>tbl_MTG_Set[[#This Row],[Play Singles CardMarket Profit MTG Stocks]]/tbl_MTG_Set[[#This Row],[Play Booster Cost]]</f>
        <v>#VALUE!</v>
      </c>
      <c r="BI257" s="11" t="b">
        <f>tbl_MTG_Set[[#This Row],[Play Singles CardMarket Profit MTG Stocks]]&gt;0</f>
        <v>0</v>
      </c>
      <c r="BM257" s="10" t="e">
        <f>tbl_MTG_Set[[#This Row],[Play Booster Sell Price CardMarket]]*tbl_MTG_Set[[#This Row],[Play Booster Expected Market Value BotBox]]/tbl_MTG_Set[[#This Row],[Play Booster Sealed Market Value BotBox]]</f>
        <v>#VALUE!</v>
      </c>
      <c r="BN2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7" s="10" t="e">
        <f>tbl_MTG_Set[[#This Row],[Play Singles CardMarket Profit BotBox]]/tbl_MTG_Set[[#This Row],[Play Booster Cost]]</f>
        <v>#VALUE!</v>
      </c>
      <c r="BP257" s="10" t="b">
        <f>tbl_MTG_Set[[#This Row],[Play Singles CardMarket Profit BotBox]]&gt;0</f>
        <v>0</v>
      </c>
      <c r="BQ257" s="10"/>
      <c r="BR257" s="10"/>
      <c r="BS257" s="10"/>
      <c r="BT2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7" s="19" t="e">
        <f>tbl_MTG_Set[[#This Row],[Collector Singles CardMarket Profit MTG Stocks]]/tbl_MTG_Set[[#This Row],[Collector Booster Cost]]</f>
        <v>#N/A</v>
      </c>
      <c r="BW257" s="10" t="b">
        <f>tbl_MTG_Set[[#This Row],[Collector Singles CardMarket Profit MTG Stocks]]&gt;0</f>
        <v>0</v>
      </c>
      <c r="BX257" s="10"/>
      <c r="BY257" s="10"/>
      <c r="BZ2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7" s="10" t="e">
        <f>tbl_MTG_Set[[#This Row],[Collector Singles CardMarket Profit BotBox]]/tbl_MTG_Set[[#This Row],[Collector Booster Cost]]</f>
        <v>#N/A</v>
      </c>
      <c r="CC257" s="10" t="b">
        <f>tbl_MTG_Set[[#This Row],[Collector Singles CardMarket Profit BotBox]]&gt;0</f>
        <v>0</v>
      </c>
      <c r="CD2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8" spans="1:86" hidden="1">
      <c r="A258">
        <v>280</v>
      </c>
      <c r="B258" t="s">
        <v>431</v>
      </c>
      <c r="C258">
        <v>36</v>
      </c>
      <c r="D258" s="3">
        <v>44680</v>
      </c>
      <c r="F258" t="s">
        <v>174</v>
      </c>
      <c r="G258">
        <v>506</v>
      </c>
      <c r="H258">
        <f ca="1">MONTH(NOW())+12*YEAR(NOW())-MONTH(tbl_MTG_Set[[#This Row],[Released On]])-12*YEAR(tbl_MTG_Set[[#This Row],[Released On]])</f>
        <v>47</v>
      </c>
      <c r="I258" t="str">
        <f>_xlfn.XLOOKUP(tbl_MTG_Set[[#This Row],[Type Name]], tbl_MTG_Set_Type[Set Type], tbl_MTG_Set_Type[Index], "(Set Type not found)")</f>
        <v>(Set Type not found)</v>
      </c>
      <c r="J258" t="str">
        <f>_xlfn.XLOOKUP(tbl_MTG_Set[[#This Row],[Type Name]], tbl_MTG_Set_Type[Set Type], tbl_MTG_Set_Type[Buy Window Month Start], "(Set Type not found)")</f>
        <v>(Set Type not found)</v>
      </c>
      <c r="K258" s="3" t="e">
        <f>tbl_MTG_Set[[#This Row],[Released On]]+tbl_MTG_Set[[#This Row],[Buy Window Month Start]]*365.25/12</f>
        <v>#VALUE!</v>
      </c>
      <c r="L258" t="str">
        <f>_xlfn.XLOOKUP(tbl_MTG_Set[[#This Row],[Type Name]], tbl_MTG_Set_Type[Set Type], tbl_MTG_Set_Type[Buy Window Month End], "(Set Type not found)", 0, 1)</f>
        <v>(Set Type not found)</v>
      </c>
      <c r="M258" s="3" t="e">
        <f>tbl_MTG_Set[[#This Row],[Released On]]+tbl_MTG_Set[[#This Row],[Buy Window Month End]]*365.25/12</f>
        <v>#VALUE!</v>
      </c>
      <c r="N258" s="3" t="e">
        <f ca="1">AND(NOW()&gt;=tbl_MTG_Set[[#This Row],[Buy Window Start]], NOW()&lt;=tbl_MTG_Set[[#This Row],[Buy Window End]])</f>
        <v>#VALUE!</v>
      </c>
      <c r="O258" t="str">
        <f>_xlfn.XLOOKUP(tbl_MTG_Set[[#This Row],[Type Name]], tbl_MTG_Set_Type[Set Type], tbl_MTG_Set_Type[Heavy Printing Window Month Start], "(Set Type not found)", 0, 1)</f>
        <v>(Set Type not found)</v>
      </c>
      <c r="P258" s="3" t="e">
        <f>tbl_MTG_Set[[#This Row],[Released On]]+tbl_MTG_Set[[#This Row],[Heavy Printing Window Month Start]]*365.25/12</f>
        <v>#VALUE!</v>
      </c>
      <c r="Q258" t="str">
        <f>_xlfn.XLOOKUP(tbl_MTG_Set[[#This Row],[Type Name]], tbl_MTG_Set_Type[Set Type], tbl_MTG_Set_Type[Heavy Printing Window Month End], "(Set Type not found)", 0, 1)</f>
        <v>(Set Type not found)</v>
      </c>
      <c r="R258" s="3" t="e">
        <f>tbl_MTG_Set[[#This Row],[Released On]]+tbl_MTG_Set[[#This Row],[Heavy Printing Window Month End]]*365.25/12</f>
        <v>#VALUE!</v>
      </c>
      <c r="S258" s="3" t="e">
        <f ca="1">AND(NOW()&gt;=tbl_MTG_Set[[#This Row],[Heavy Printing Window Start]], NOW()&lt;=tbl_MTG_Set[[#This Row],[Heavy Printing Window End]])</f>
        <v>#VALUE!</v>
      </c>
      <c r="T258" t="str">
        <f>_xlfn.XLOOKUP(tbl_MTG_Set[[#This Row],[Type Name]], tbl_MTG_Set_Type[Set Type], tbl_MTG_Set_Type[Sell Window Month Start], "(Set Type not found)", 0, 1)</f>
        <v>(Set Type not found)</v>
      </c>
      <c r="U258" s="3" t="e">
        <f>tbl_MTG_Set[[#This Row],[Released On]]+tbl_MTG_Set[[#This Row],[Sell Window Month Start]]*365.25/12</f>
        <v>#VALUE!</v>
      </c>
      <c r="V258" t="str">
        <f>_xlfn.XLOOKUP(tbl_MTG_Set[[#This Row],[Type Name]], tbl_MTG_Set_Type[Set Type], tbl_MTG_Set_Type[Sell Window Month End], "(Set Type not found)", 0, 1)</f>
        <v>(Set Type not found)</v>
      </c>
      <c r="W258" s="3" t="e">
        <f>tbl_MTG_Set[[#This Row],[Released On]]+tbl_MTG_Set[[#This Row],[Sell Window Month End]]*365.25/12</f>
        <v>#VALUE!</v>
      </c>
      <c r="X258" s="3" t="e">
        <f ca="1">AND(NOW()&gt;=tbl_MTG_Set[[#This Row],[Sell Window Start]], NOW()&lt;=tbl_MTG_Set[[#This Row],[Sell Window End]])</f>
        <v>#VALUE!</v>
      </c>
      <c r="AG258" s="10"/>
      <c r="AH258" s="10"/>
      <c r="AM258" s="10" t="str" cm="1">
        <f t="array" ref="AM2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8" s="10" t="str" cm="1">
        <f t="array" ref="AN2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8" s="4" t="e">
        <f>_xlfn.XLOOKUP(tbl_MTG_Set[[#This Row],[Play Booster Box Product Id]], tbl_Product[Product Id], tbl_Product[Pack Size])</f>
        <v>#N/A</v>
      </c>
      <c r="AP258" s="10" t="e">
        <f>(tbl_MTG_Set[[#This Row],[Play Booster Box Cost]]+v_Item_Shipping_Cost_In)/tbl_MTG_Set[[#This Row],[Play Booster Box Size]]</f>
        <v>#VALUE!</v>
      </c>
      <c r="AQ258" s="10" t="str" cm="1">
        <f t="array" ref="AQ2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8" s="10"/>
      <c r="AS258" s="10"/>
      <c r="AT258" s="17" t="e">
        <f>tbl_MTG_Set[[#This Row],[Play Booster CardMarket Profit]]/tbl_MTG_Set[[#This Row],[Play Booster Cost]]</f>
        <v>#VALUE!</v>
      </c>
      <c r="AU258" s="10" t="e">
        <f>_xlfn.XLOOKUP(tbl_MTG_Set[[#This Row],[Collector Booster Box Product Id]], tbl_Product[Product Id], tbl_Product[Min Cost])</f>
        <v>#N/A</v>
      </c>
      <c r="AV258" s="10" t="e">
        <f>_xlfn.XLOOKUP(tbl_MTG_Set[[#This Row],[Collector Booster Box Product Id]], tbl_Product[Product Id], tbl_Product[Best Source])</f>
        <v>#N/A</v>
      </c>
      <c r="AW258" s="4" t="e">
        <f>_xlfn.XLOOKUP(tbl_MTG_Set[[#This Row],[Collector Booster Box Product Id]], tbl_Product[Product Id], tbl_Product[Pack Size])</f>
        <v>#N/A</v>
      </c>
      <c r="AX258" s="10" t="e">
        <f>(tbl_MTG_Set[[#This Row],[Collector Booster Box Cost]] + v_Item_Shipping_Cost_In) / tbl_MTG_Set[[#This Row],[Collector Booster Box Size]]</f>
        <v>#N/A</v>
      </c>
      <c r="AY258" s="10" t="str" cm="1">
        <f t="array" ref="AY2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8" s="10"/>
      <c r="BA2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8" s="17" t="e">
        <f>tbl_MTG_Set[[#This Row],[Collector Booster CardMarket Profit]]/tbl_MTG_Set[[#This Row],[Collector Booster Cost]]</f>
        <v>#N/A</v>
      </c>
      <c r="BC258" s="10"/>
      <c r="BF2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8" s="11" t="e">
        <f>tbl_MTG_Set[[#This Row],[Play Singles CardMarket Profit MTG Stocks]]/tbl_MTG_Set[[#This Row],[Play Booster Cost]]</f>
        <v>#VALUE!</v>
      </c>
      <c r="BI258" s="11" t="b">
        <f>tbl_MTG_Set[[#This Row],[Play Singles CardMarket Profit MTG Stocks]]&gt;0</f>
        <v>0</v>
      </c>
      <c r="BM258" s="10" t="e">
        <f>tbl_MTG_Set[[#This Row],[Play Booster Sell Price CardMarket]]*tbl_MTG_Set[[#This Row],[Play Booster Expected Market Value BotBox]]/tbl_MTG_Set[[#This Row],[Play Booster Sealed Market Value BotBox]]</f>
        <v>#VALUE!</v>
      </c>
      <c r="BN2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8" s="10" t="e">
        <f>tbl_MTG_Set[[#This Row],[Play Singles CardMarket Profit BotBox]]/tbl_MTG_Set[[#This Row],[Play Booster Cost]]</f>
        <v>#VALUE!</v>
      </c>
      <c r="BP258" s="10" t="b">
        <f>tbl_MTG_Set[[#This Row],[Play Singles CardMarket Profit BotBox]]&gt;0</f>
        <v>0</v>
      </c>
      <c r="BQ258" s="10"/>
      <c r="BR258" s="10"/>
      <c r="BS258" s="10"/>
      <c r="BT2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8" s="19" t="e">
        <f>tbl_MTG_Set[[#This Row],[Collector Singles CardMarket Profit MTG Stocks]]/tbl_MTG_Set[[#This Row],[Collector Booster Cost]]</f>
        <v>#N/A</v>
      </c>
      <c r="BW258" s="10" t="b">
        <f>tbl_MTG_Set[[#This Row],[Collector Singles CardMarket Profit MTG Stocks]]&gt;0</f>
        <v>0</v>
      </c>
      <c r="BX258" s="10"/>
      <c r="BY258" s="10"/>
      <c r="BZ2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8" s="10" t="e">
        <f>tbl_MTG_Set[[#This Row],[Collector Singles CardMarket Profit BotBox]]/tbl_MTG_Set[[#This Row],[Collector Booster Cost]]</f>
        <v>#N/A</v>
      </c>
      <c r="CC258" s="10" t="b">
        <f>tbl_MTG_Set[[#This Row],[Collector Singles CardMarket Profit BotBox]]&gt;0</f>
        <v>0</v>
      </c>
      <c r="CD2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59" spans="1:86" hidden="1">
      <c r="A259">
        <v>281</v>
      </c>
      <c r="B259" t="s">
        <v>432</v>
      </c>
      <c r="C259">
        <v>3</v>
      </c>
      <c r="D259" s="3">
        <v>44680</v>
      </c>
      <c r="E259" t="s">
        <v>59</v>
      </c>
      <c r="F259" t="s">
        <v>174</v>
      </c>
      <c r="G259">
        <v>508</v>
      </c>
      <c r="H259">
        <f ca="1">MONTH(NOW())+12*YEAR(NOW())-MONTH(tbl_MTG_Set[[#This Row],[Released On]])-12*YEAR(tbl_MTG_Set[[#This Row],[Released On]])</f>
        <v>47</v>
      </c>
      <c r="I259">
        <f>_xlfn.XLOOKUP(tbl_MTG_Set[[#This Row],[Type Name]], tbl_MTG_Set_Type[Set Type], tbl_MTG_Set_Type[Index], "(Set Type not found)")</f>
        <v>1</v>
      </c>
      <c r="J259">
        <f>_xlfn.XLOOKUP(tbl_MTG_Set[[#This Row],[Type Name]], tbl_MTG_Set_Type[Set Type], tbl_MTG_Set_Type[Buy Window Month Start], "(Set Type not found)")</f>
        <v>18</v>
      </c>
      <c r="K259" s="3">
        <f>tbl_MTG_Set[[#This Row],[Released On]]+tbl_MTG_Set[[#This Row],[Buy Window Month Start]]*365.25/12</f>
        <v>45227.875</v>
      </c>
      <c r="L259">
        <f>_xlfn.XLOOKUP(tbl_MTG_Set[[#This Row],[Type Name]], tbl_MTG_Set_Type[Set Type], tbl_MTG_Set_Type[Buy Window Month End], "(Set Type not found)", 0, 1)</f>
        <v>24</v>
      </c>
      <c r="M259" s="3">
        <f>tbl_MTG_Set[[#This Row],[Released On]]+tbl_MTG_Set[[#This Row],[Buy Window Month End]]*365.25/12</f>
        <v>45410.5</v>
      </c>
      <c r="N259" s="3" t="b">
        <f ca="1">AND(NOW()&gt;=tbl_MTG_Set[[#This Row],[Buy Window Start]], NOW()&lt;=tbl_MTG_Set[[#This Row],[Buy Window End]])</f>
        <v>0</v>
      </c>
      <c r="O259">
        <f>_xlfn.XLOOKUP(tbl_MTG_Set[[#This Row],[Type Name]], tbl_MTG_Set_Type[Set Type], tbl_MTG_Set_Type[Heavy Printing Window Month Start], "(Set Type not found)", 0, 1)</f>
        <v>1</v>
      </c>
      <c r="P259" s="3">
        <f>tbl_MTG_Set[[#This Row],[Released On]]+tbl_MTG_Set[[#This Row],[Heavy Printing Window Month Start]]*365.25/12</f>
        <v>44710.4375</v>
      </c>
      <c r="Q259">
        <f>_xlfn.XLOOKUP(tbl_MTG_Set[[#This Row],[Type Name]], tbl_MTG_Set_Type[Set Type], tbl_MTG_Set_Type[Heavy Printing Window Month End], "(Set Type not found)", 0, 1)</f>
        <v>18</v>
      </c>
      <c r="R259" s="3">
        <f>tbl_MTG_Set[[#This Row],[Released On]]+tbl_MTG_Set[[#This Row],[Heavy Printing Window Month End]]*365.25/12</f>
        <v>45227.875</v>
      </c>
      <c r="S259" s="3" t="b">
        <f ca="1">AND(NOW()&gt;=tbl_MTG_Set[[#This Row],[Heavy Printing Window Start]], NOW()&lt;=tbl_MTG_Set[[#This Row],[Heavy Printing Window End]])</f>
        <v>0</v>
      </c>
      <c r="T259">
        <f>_xlfn.XLOOKUP(tbl_MTG_Set[[#This Row],[Type Name]], tbl_MTG_Set_Type[Set Type], tbl_MTG_Set_Type[Sell Window Month Start], "(Set Type not found)", 0, 1)</f>
        <v>36</v>
      </c>
      <c r="U259" s="3">
        <f>tbl_MTG_Set[[#This Row],[Released On]]+tbl_MTG_Set[[#This Row],[Sell Window Month Start]]*365.25/12</f>
        <v>45775.75</v>
      </c>
      <c r="V259">
        <f>_xlfn.XLOOKUP(tbl_MTG_Set[[#This Row],[Type Name]], tbl_MTG_Set_Type[Set Type], tbl_MTG_Set_Type[Sell Window Month End], "(Set Type not found)", 0, 1)</f>
        <v>48</v>
      </c>
      <c r="W259" s="3">
        <f>tbl_MTG_Set[[#This Row],[Released On]]+tbl_MTG_Set[[#This Row],[Sell Window Month End]]*365.25/12</f>
        <v>46141</v>
      </c>
      <c r="X259" s="3" t="b">
        <f ca="1">AND(NOW()&gt;=tbl_MTG_Set[[#This Row],[Sell Window Start]], NOW()&lt;=tbl_MTG_Set[[#This Row],[Sell Window End]])</f>
        <v>1</v>
      </c>
      <c r="AG259" s="10"/>
      <c r="AH259" s="10"/>
      <c r="AM259" s="10" t="str" cm="1">
        <f t="array" ref="AM2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59" s="10" t="str" cm="1">
        <f t="array" ref="AN2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59" s="4" t="e">
        <f>_xlfn.XLOOKUP(tbl_MTG_Set[[#This Row],[Play Booster Box Product Id]], tbl_Product[Product Id], tbl_Product[Pack Size])</f>
        <v>#N/A</v>
      </c>
      <c r="AP259" s="10" t="e">
        <f>(tbl_MTG_Set[[#This Row],[Play Booster Box Cost]]+v_Item_Shipping_Cost_In)/tbl_MTG_Set[[#This Row],[Play Booster Box Size]]</f>
        <v>#VALUE!</v>
      </c>
      <c r="AQ259" s="10" t="str" cm="1">
        <f t="array" ref="AQ2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59" s="10"/>
      <c r="AS259" s="10"/>
      <c r="AT259" s="17" t="e">
        <f>tbl_MTG_Set[[#This Row],[Play Booster CardMarket Profit]]/tbl_MTG_Set[[#This Row],[Play Booster Cost]]</f>
        <v>#VALUE!</v>
      </c>
      <c r="AU259" s="10" t="e">
        <f>_xlfn.XLOOKUP(tbl_MTG_Set[[#This Row],[Collector Booster Box Product Id]], tbl_Product[Product Id], tbl_Product[Min Cost])</f>
        <v>#N/A</v>
      </c>
      <c r="AV259" s="10" t="e">
        <f>_xlfn.XLOOKUP(tbl_MTG_Set[[#This Row],[Collector Booster Box Product Id]], tbl_Product[Product Id], tbl_Product[Best Source])</f>
        <v>#N/A</v>
      </c>
      <c r="AW259" s="4" t="e">
        <f>_xlfn.XLOOKUP(tbl_MTG_Set[[#This Row],[Collector Booster Box Product Id]], tbl_Product[Product Id], tbl_Product[Pack Size])</f>
        <v>#N/A</v>
      </c>
      <c r="AX259" s="10" t="e">
        <f>(tbl_MTG_Set[[#This Row],[Collector Booster Box Cost]] + v_Item_Shipping_Cost_In) / tbl_MTG_Set[[#This Row],[Collector Booster Box Size]]</f>
        <v>#N/A</v>
      </c>
      <c r="AY259" s="10" t="str" cm="1">
        <f t="array" ref="AY2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59" s="10"/>
      <c r="BA2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59" s="17" t="e">
        <f>tbl_MTG_Set[[#This Row],[Collector Booster CardMarket Profit]]/tbl_MTG_Set[[#This Row],[Collector Booster Cost]]</f>
        <v>#N/A</v>
      </c>
      <c r="BC259" s="10"/>
      <c r="BF2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59" s="11" t="e">
        <f>tbl_MTG_Set[[#This Row],[Play Singles CardMarket Profit MTG Stocks]]/tbl_MTG_Set[[#This Row],[Play Booster Cost]]</f>
        <v>#VALUE!</v>
      </c>
      <c r="BI259" s="11" t="b">
        <f>tbl_MTG_Set[[#This Row],[Play Singles CardMarket Profit MTG Stocks]]&gt;0</f>
        <v>0</v>
      </c>
      <c r="BM259" s="10" t="e">
        <f>tbl_MTG_Set[[#This Row],[Play Booster Sell Price CardMarket]]*tbl_MTG_Set[[#This Row],[Play Booster Expected Market Value BotBox]]/tbl_MTG_Set[[#This Row],[Play Booster Sealed Market Value BotBox]]</f>
        <v>#VALUE!</v>
      </c>
      <c r="BN2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59" s="10" t="e">
        <f>tbl_MTG_Set[[#This Row],[Play Singles CardMarket Profit BotBox]]/tbl_MTG_Set[[#This Row],[Play Booster Cost]]</f>
        <v>#VALUE!</v>
      </c>
      <c r="BP259" s="10" t="b">
        <f>tbl_MTG_Set[[#This Row],[Play Singles CardMarket Profit BotBox]]&gt;0</f>
        <v>0</v>
      </c>
      <c r="BQ259" s="10"/>
      <c r="BR259" s="10"/>
      <c r="BS259" s="10"/>
      <c r="BT2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59" s="19" t="e">
        <f>tbl_MTG_Set[[#This Row],[Collector Singles CardMarket Profit MTG Stocks]]/tbl_MTG_Set[[#This Row],[Collector Booster Cost]]</f>
        <v>#N/A</v>
      </c>
      <c r="BW259" s="10" t="b">
        <f>tbl_MTG_Set[[#This Row],[Collector Singles CardMarket Profit MTG Stocks]]&gt;0</f>
        <v>0</v>
      </c>
      <c r="BX259" s="10"/>
      <c r="BY259" s="10"/>
      <c r="BZ2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59" s="10" t="e">
        <f>tbl_MTG_Set[[#This Row],[Collector Singles CardMarket Profit BotBox]]/tbl_MTG_Set[[#This Row],[Collector Booster Cost]]</f>
        <v>#N/A</v>
      </c>
      <c r="CC259" s="10" t="b">
        <f>tbl_MTG_Set[[#This Row],[Collector Singles CardMarket Profit BotBox]]&gt;0</f>
        <v>0</v>
      </c>
      <c r="CD2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0" spans="1:86" hidden="1">
      <c r="A260">
        <v>283</v>
      </c>
      <c r="B260" t="s">
        <v>433</v>
      </c>
      <c r="C260">
        <v>9</v>
      </c>
      <c r="D260" s="3">
        <v>44659</v>
      </c>
      <c r="F260" t="s">
        <v>174</v>
      </c>
      <c r="G260">
        <v>512</v>
      </c>
      <c r="H260">
        <f ca="1">MONTH(NOW())+12*YEAR(NOW())-MONTH(tbl_MTG_Set[[#This Row],[Released On]])-12*YEAR(tbl_MTG_Set[[#This Row],[Released On]])</f>
        <v>47</v>
      </c>
      <c r="I260" t="str">
        <f>_xlfn.XLOOKUP(tbl_MTG_Set[[#This Row],[Type Name]], tbl_MTG_Set_Type[Set Type], tbl_MTG_Set_Type[Index], "(Set Type not found)")</f>
        <v>(Set Type not found)</v>
      </c>
      <c r="J260" t="str">
        <f>_xlfn.XLOOKUP(tbl_MTG_Set[[#This Row],[Type Name]], tbl_MTG_Set_Type[Set Type], tbl_MTG_Set_Type[Buy Window Month Start], "(Set Type not found)")</f>
        <v>(Set Type not found)</v>
      </c>
      <c r="K260" s="3" t="e">
        <f>tbl_MTG_Set[[#This Row],[Released On]]+tbl_MTG_Set[[#This Row],[Buy Window Month Start]]*365.25/12</f>
        <v>#VALUE!</v>
      </c>
      <c r="L260" t="str">
        <f>_xlfn.XLOOKUP(tbl_MTG_Set[[#This Row],[Type Name]], tbl_MTG_Set_Type[Set Type], tbl_MTG_Set_Type[Buy Window Month End], "(Set Type not found)", 0, 1)</f>
        <v>(Set Type not found)</v>
      </c>
      <c r="M260" s="3" t="e">
        <f>tbl_MTG_Set[[#This Row],[Released On]]+tbl_MTG_Set[[#This Row],[Buy Window Month End]]*365.25/12</f>
        <v>#VALUE!</v>
      </c>
      <c r="N260" s="3" t="e">
        <f ca="1">AND(NOW()&gt;=tbl_MTG_Set[[#This Row],[Buy Window Start]], NOW()&lt;=tbl_MTG_Set[[#This Row],[Buy Window End]])</f>
        <v>#VALUE!</v>
      </c>
      <c r="O260" t="str">
        <f>_xlfn.XLOOKUP(tbl_MTG_Set[[#This Row],[Type Name]], tbl_MTG_Set_Type[Set Type], tbl_MTG_Set_Type[Heavy Printing Window Month Start], "(Set Type not found)", 0, 1)</f>
        <v>(Set Type not found)</v>
      </c>
      <c r="P260" s="3" t="e">
        <f>tbl_MTG_Set[[#This Row],[Released On]]+tbl_MTG_Set[[#This Row],[Heavy Printing Window Month Start]]*365.25/12</f>
        <v>#VALUE!</v>
      </c>
      <c r="Q260" t="str">
        <f>_xlfn.XLOOKUP(tbl_MTG_Set[[#This Row],[Type Name]], tbl_MTG_Set_Type[Set Type], tbl_MTG_Set_Type[Heavy Printing Window Month End], "(Set Type not found)", 0, 1)</f>
        <v>(Set Type not found)</v>
      </c>
      <c r="R260" s="3" t="e">
        <f>tbl_MTG_Set[[#This Row],[Released On]]+tbl_MTG_Set[[#This Row],[Heavy Printing Window Month End]]*365.25/12</f>
        <v>#VALUE!</v>
      </c>
      <c r="S260" s="3" t="e">
        <f ca="1">AND(NOW()&gt;=tbl_MTG_Set[[#This Row],[Heavy Printing Window Start]], NOW()&lt;=tbl_MTG_Set[[#This Row],[Heavy Printing Window End]])</f>
        <v>#VALUE!</v>
      </c>
      <c r="T260" t="str">
        <f>_xlfn.XLOOKUP(tbl_MTG_Set[[#This Row],[Type Name]], tbl_MTG_Set_Type[Set Type], tbl_MTG_Set_Type[Sell Window Month Start], "(Set Type not found)", 0, 1)</f>
        <v>(Set Type not found)</v>
      </c>
      <c r="U260" s="3" t="e">
        <f>tbl_MTG_Set[[#This Row],[Released On]]+tbl_MTG_Set[[#This Row],[Sell Window Month Start]]*365.25/12</f>
        <v>#VALUE!</v>
      </c>
      <c r="V260" t="str">
        <f>_xlfn.XLOOKUP(tbl_MTG_Set[[#This Row],[Type Name]], tbl_MTG_Set_Type[Set Type], tbl_MTG_Set_Type[Sell Window Month End], "(Set Type not found)", 0, 1)</f>
        <v>(Set Type not found)</v>
      </c>
      <c r="W260" s="3" t="e">
        <f>tbl_MTG_Set[[#This Row],[Released On]]+tbl_MTG_Set[[#This Row],[Sell Window Month End]]*365.25/12</f>
        <v>#VALUE!</v>
      </c>
      <c r="X260" s="3" t="e">
        <f ca="1">AND(NOW()&gt;=tbl_MTG_Set[[#This Row],[Sell Window Start]], NOW()&lt;=tbl_MTG_Set[[#This Row],[Sell Window End]])</f>
        <v>#VALUE!</v>
      </c>
      <c r="AG260" s="10"/>
      <c r="AH260" s="10"/>
      <c r="AM260" s="10" t="str" cm="1">
        <f t="array" ref="AM2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0" s="10" t="str" cm="1">
        <f t="array" ref="AN2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0" s="4" t="e">
        <f>_xlfn.XLOOKUP(tbl_MTG_Set[[#This Row],[Play Booster Box Product Id]], tbl_Product[Product Id], tbl_Product[Pack Size])</f>
        <v>#N/A</v>
      </c>
      <c r="AP260" s="10" t="e">
        <f>(tbl_MTG_Set[[#This Row],[Play Booster Box Cost]]+v_Item_Shipping_Cost_In)/tbl_MTG_Set[[#This Row],[Play Booster Box Size]]</f>
        <v>#VALUE!</v>
      </c>
      <c r="AQ260" s="10" t="str" cm="1">
        <f t="array" ref="AQ2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0" s="10"/>
      <c r="AS260" s="10"/>
      <c r="AT260" s="17" t="e">
        <f>tbl_MTG_Set[[#This Row],[Play Booster CardMarket Profit]]/tbl_MTG_Set[[#This Row],[Play Booster Cost]]</f>
        <v>#VALUE!</v>
      </c>
      <c r="AU260" s="10" t="e">
        <f>_xlfn.XLOOKUP(tbl_MTG_Set[[#This Row],[Collector Booster Box Product Id]], tbl_Product[Product Id], tbl_Product[Min Cost])</f>
        <v>#N/A</v>
      </c>
      <c r="AV260" s="10" t="e">
        <f>_xlfn.XLOOKUP(tbl_MTG_Set[[#This Row],[Collector Booster Box Product Id]], tbl_Product[Product Id], tbl_Product[Best Source])</f>
        <v>#N/A</v>
      </c>
      <c r="AW260" s="4" t="e">
        <f>_xlfn.XLOOKUP(tbl_MTG_Set[[#This Row],[Collector Booster Box Product Id]], tbl_Product[Product Id], tbl_Product[Pack Size])</f>
        <v>#N/A</v>
      </c>
      <c r="AX260" s="10" t="e">
        <f>(tbl_MTG_Set[[#This Row],[Collector Booster Box Cost]] + v_Item_Shipping_Cost_In) / tbl_MTG_Set[[#This Row],[Collector Booster Box Size]]</f>
        <v>#N/A</v>
      </c>
      <c r="AY260" s="10" t="str" cm="1">
        <f t="array" ref="AY2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0" s="10"/>
      <c r="BA2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0" s="17" t="e">
        <f>tbl_MTG_Set[[#This Row],[Collector Booster CardMarket Profit]]/tbl_MTG_Set[[#This Row],[Collector Booster Cost]]</f>
        <v>#N/A</v>
      </c>
      <c r="BC260" s="10"/>
      <c r="BF2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0" s="11" t="e">
        <f>tbl_MTG_Set[[#This Row],[Play Singles CardMarket Profit MTG Stocks]]/tbl_MTG_Set[[#This Row],[Play Booster Cost]]</f>
        <v>#VALUE!</v>
      </c>
      <c r="BI260" s="11" t="b">
        <f>tbl_MTG_Set[[#This Row],[Play Singles CardMarket Profit MTG Stocks]]&gt;0</f>
        <v>0</v>
      </c>
      <c r="BM260" s="10" t="e">
        <f>tbl_MTG_Set[[#This Row],[Play Booster Sell Price CardMarket]]*tbl_MTG_Set[[#This Row],[Play Booster Expected Market Value BotBox]]/tbl_MTG_Set[[#This Row],[Play Booster Sealed Market Value BotBox]]</f>
        <v>#VALUE!</v>
      </c>
      <c r="BN2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0" s="10" t="e">
        <f>tbl_MTG_Set[[#This Row],[Play Singles CardMarket Profit BotBox]]/tbl_MTG_Set[[#This Row],[Play Booster Cost]]</f>
        <v>#VALUE!</v>
      </c>
      <c r="BP260" s="10" t="b">
        <f>tbl_MTG_Set[[#This Row],[Play Singles CardMarket Profit BotBox]]&gt;0</f>
        <v>0</v>
      </c>
      <c r="BQ260" s="10"/>
      <c r="BR260" s="10"/>
      <c r="BS260" s="10"/>
      <c r="BT2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0" s="19" t="e">
        <f>tbl_MTG_Set[[#This Row],[Collector Singles CardMarket Profit MTG Stocks]]/tbl_MTG_Set[[#This Row],[Collector Booster Cost]]</f>
        <v>#N/A</v>
      </c>
      <c r="BW260" s="10" t="b">
        <f>tbl_MTG_Set[[#This Row],[Collector Singles CardMarket Profit MTG Stocks]]&gt;0</f>
        <v>0</v>
      </c>
      <c r="BX260" s="10"/>
      <c r="BY260" s="10"/>
      <c r="BZ2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0" s="10" t="e">
        <f>tbl_MTG_Set[[#This Row],[Collector Singles CardMarket Profit BotBox]]/tbl_MTG_Set[[#This Row],[Collector Booster Cost]]</f>
        <v>#N/A</v>
      </c>
      <c r="CC260" s="10" t="b">
        <f>tbl_MTG_Set[[#This Row],[Collector Singles CardMarket Profit BotBox]]&gt;0</f>
        <v>0</v>
      </c>
      <c r="CD2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1" spans="1:86" hidden="1">
      <c r="A261">
        <v>284</v>
      </c>
      <c r="B261" t="s">
        <v>434</v>
      </c>
      <c r="C261">
        <v>1</v>
      </c>
      <c r="D261" s="3">
        <v>44652</v>
      </c>
      <c r="F261" t="s">
        <v>174</v>
      </c>
      <c r="G261">
        <v>514</v>
      </c>
      <c r="H261">
        <f ca="1">MONTH(NOW())+12*YEAR(NOW())-MONTH(tbl_MTG_Set[[#This Row],[Released On]])-12*YEAR(tbl_MTG_Set[[#This Row],[Released On]])</f>
        <v>47</v>
      </c>
      <c r="I261" t="str">
        <f>_xlfn.XLOOKUP(tbl_MTG_Set[[#This Row],[Type Name]], tbl_MTG_Set_Type[Set Type], tbl_MTG_Set_Type[Index], "(Set Type not found)")</f>
        <v>(Set Type not found)</v>
      </c>
      <c r="J261" t="str">
        <f>_xlfn.XLOOKUP(tbl_MTG_Set[[#This Row],[Type Name]], tbl_MTG_Set_Type[Set Type], tbl_MTG_Set_Type[Buy Window Month Start], "(Set Type not found)")</f>
        <v>(Set Type not found)</v>
      </c>
      <c r="K261" s="3" t="e">
        <f>tbl_MTG_Set[[#This Row],[Released On]]+tbl_MTG_Set[[#This Row],[Buy Window Month Start]]*365.25/12</f>
        <v>#VALUE!</v>
      </c>
      <c r="L261" t="str">
        <f>_xlfn.XLOOKUP(tbl_MTG_Set[[#This Row],[Type Name]], tbl_MTG_Set_Type[Set Type], tbl_MTG_Set_Type[Buy Window Month End], "(Set Type not found)", 0, 1)</f>
        <v>(Set Type not found)</v>
      </c>
      <c r="M261" s="3" t="e">
        <f>tbl_MTG_Set[[#This Row],[Released On]]+tbl_MTG_Set[[#This Row],[Buy Window Month End]]*365.25/12</f>
        <v>#VALUE!</v>
      </c>
      <c r="N261" s="3" t="e">
        <f ca="1">AND(NOW()&gt;=tbl_MTG_Set[[#This Row],[Buy Window Start]], NOW()&lt;=tbl_MTG_Set[[#This Row],[Buy Window End]])</f>
        <v>#VALUE!</v>
      </c>
      <c r="O261" t="str">
        <f>_xlfn.XLOOKUP(tbl_MTG_Set[[#This Row],[Type Name]], tbl_MTG_Set_Type[Set Type], tbl_MTG_Set_Type[Heavy Printing Window Month Start], "(Set Type not found)", 0, 1)</f>
        <v>(Set Type not found)</v>
      </c>
      <c r="P261" s="3" t="e">
        <f>tbl_MTG_Set[[#This Row],[Released On]]+tbl_MTG_Set[[#This Row],[Heavy Printing Window Month Start]]*365.25/12</f>
        <v>#VALUE!</v>
      </c>
      <c r="Q261" t="str">
        <f>_xlfn.XLOOKUP(tbl_MTG_Set[[#This Row],[Type Name]], tbl_MTG_Set_Type[Set Type], tbl_MTG_Set_Type[Heavy Printing Window Month End], "(Set Type not found)", 0, 1)</f>
        <v>(Set Type not found)</v>
      </c>
      <c r="R261" s="3" t="e">
        <f>tbl_MTG_Set[[#This Row],[Released On]]+tbl_MTG_Set[[#This Row],[Heavy Printing Window Month End]]*365.25/12</f>
        <v>#VALUE!</v>
      </c>
      <c r="S261" s="3" t="e">
        <f ca="1">AND(NOW()&gt;=tbl_MTG_Set[[#This Row],[Heavy Printing Window Start]], NOW()&lt;=tbl_MTG_Set[[#This Row],[Heavy Printing Window End]])</f>
        <v>#VALUE!</v>
      </c>
      <c r="T261" t="str">
        <f>_xlfn.XLOOKUP(tbl_MTG_Set[[#This Row],[Type Name]], tbl_MTG_Set_Type[Set Type], tbl_MTG_Set_Type[Sell Window Month Start], "(Set Type not found)", 0, 1)</f>
        <v>(Set Type not found)</v>
      </c>
      <c r="U261" s="3" t="e">
        <f>tbl_MTG_Set[[#This Row],[Released On]]+tbl_MTG_Set[[#This Row],[Sell Window Month Start]]*365.25/12</f>
        <v>#VALUE!</v>
      </c>
      <c r="V261" t="str">
        <f>_xlfn.XLOOKUP(tbl_MTG_Set[[#This Row],[Type Name]], tbl_MTG_Set_Type[Set Type], tbl_MTG_Set_Type[Sell Window Month End], "(Set Type not found)", 0, 1)</f>
        <v>(Set Type not found)</v>
      </c>
      <c r="W261" s="3" t="e">
        <f>tbl_MTG_Set[[#This Row],[Released On]]+tbl_MTG_Set[[#This Row],[Sell Window Month End]]*365.25/12</f>
        <v>#VALUE!</v>
      </c>
      <c r="X261" s="3" t="e">
        <f ca="1">AND(NOW()&gt;=tbl_MTG_Set[[#This Row],[Sell Window Start]], NOW()&lt;=tbl_MTG_Set[[#This Row],[Sell Window End]])</f>
        <v>#VALUE!</v>
      </c>
      <c r="AG261" s="10"/>
      <c r="AH261" s="10"/>
      <c r="AM261" s="10" t="str" cm="1">
        <f t="array" ref="AM2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1" s="10" t="str" cm="1">
        <f t="array" ref="AN2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1" s="4" t="e">
        <f>_xlfn.XLOOKUP(tbl_MTG_Set[[#This Row],[Play Booster Box Product Id]], tbl_Product[Product Id], tbl_Product[Pack Size])</f>
        <v>#N/A</v>
      </c>
      <c r="AP261" s="10" t="e">
        <f>(tbl_MTG_Set[[#This Row],[Play Booster Box Cost]]+v_Item_Shipping_Cost_In)/tbl_MTG_Set[[#This Row],[Play Booster Box Size]]</f>
        <v>#VALUE!</v>
      </c>
      <c r="AQ261" s="10" t="str" cm="1">
        <f t="array" ref="AQ2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1" s="10"/>
      <c r="AS261" s="10"/>
      <c r="AT261" s="17" t="e">
        <f>tbl_MTG_Set[[#This Row],[Play Booster CardMarket Profit]]/tbl_MTG_Set[[#This Row],[Play Booster Cost]]</f>
        <v>#VALUE!</v>
      </c>
      <c r="AU261" s="10" t="e">
        <f>_xlfn.XLOOKUP(tbl_MTG_Set[[#This Row],[Collector Booster Box Product Id]], tbl_Product[Product Id], tbl_Product[Min Cost])</f>
        <v>#N/A</v>
      </c>
      <c r="AV261" s="10" t="e">
        <f>_xlfn.XLOOKUP(tbl_MTG_Set[[#This Row],[Collector Booster Box Product Id]], tbl_Product[Product Id], tbl_Product[Best Source])</f>
        <v>#N/A</v>
      </c>
      <c r="AW261" s="4" t="e">
        <f>_xlfn.XLOOKUP(tbl_MTG_Set[[#This Row],[Collector Booster Box Product Id]], tbl_Product[Product Id], tbl_Product[Pack Size])</f>
        <v>#N/A</v>
      </c>
      <c r="AX261" s="10" t="e">
        <f>(tbl_MTG_Set[[#This Row],[Collector Booster Box Cost]] + v_Item_Shipping_Cost_In) / tbl_MTG_Set[[#This Row],[Collector Booster Box Size]]</f>
        <v>#N/A</v>
      </c>
      <c r="AY261" s="10" t="str" cm="1">
        <f t="array" ref="AY2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1" s="10"/>
      <c r="BA2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1" s="17" t="e">
        <f>tbl_MTG_Set[[#This Row],[Collector Booster CardMarket Profit]]/tbl_MTG_Set[[#This Row],[Collector Booster Cost]]</f>
        <v>#N/A</v>
      </c>
      <c r="BC261" s="10"/>
      <c r="BF2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1" s="11" t="e">
        <f>tbl_MTG_Set[[#This Row],[Play Singles CardMarket Profit MTG Stocks]]/tbl_MTG_Set[[#This Row],[Play Booster Cost]]</f>
        <v>#VALUE!</v>
      </c>
      <c r="BI261" s="11" t="b">
        <f>tbl_MTG_Set[[#This Row],[Play Singles CardMarket Profit MTG Stocks]]&gt;0</f>
        <v>0</v>
      </c>
      <c r="BM261" s="10" t="e">
        <f>tbl_MTG_Set[[#This Row],[Play Booster Sell Price CardMarket]]*tbl_MTG_Set[[#This Row],[Play Booster Expected Market Value BotBox]]/tbl_MTG_Set[[#This Row],[Play Booster Sealed Market Value BotBox]]</f>
        <v>#VALUE!</v>
      </c>
      <c r="BN2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1" s="10" t="e">
        <f>tbl_MTG_Set[[#This Row],[Play Singles CardMarket Profit BotBox]]/tbl_MTG_Set[[#This Row],[Play Booster Cost]]</f>
        <v>#VALUE!</v>
      </c>
      <c r="BP261" s="10" t="b">
        <f>tbl_MTG_Set[[#This Row],[Play Singles CardMarket Profit BotBox]]&gt;0</f>
        <v>0</v>
      </c>
      <c r="BQ261" s="10"/>
      <c r="BR261" s="10"/>
      <c r="BS261" s="10"/>
      <c r="BT2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1" s="19" t="e">
        <f>tbl_MTG_Set[[#This Row],[Collector Singles CardMarket Profit MTG Stocks]]/tbl_MTG_Set[[#This Row],[Collector Booster Cost]]</f>
        <v>#N/A</v>
      </c>
      <c r="BW261" s="10" t="b">
        <f>tbl_MTG_Set[[#This Row],[Collector Singles CardMarket Profit MTG Stocks]]&gt;0</f>
        <v>0</v>
      </c>
      <c r="BX261" s="10"/>
      <c r="BY261" s="10"/>
      <c r="BZ2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1" s="10" t="e">
        <f>tbl_MTG_Set[[#This Row],[Collector Singles CardMarket Profit BotBox]]/tbl_MTG_Set[[#This Row],[Collector Booster Cost]]</f>
        <v>#N/A</v>
      </c>
      <c r="CC261" s="10" t="b">
        <f>tbl_MTG_Set[[#This Row],[Collector Singles CardMarket Profit BotBox]]&gt;0</f>
        <v>0</v>
      </c>
      <c r="CD2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2" spans="1:86" hidden="1">
      <c r="A262">
        <v>285</v>
      </c>
      <c r="B262" t="s">
        <v>435</v>
      </c>
      <c r="C262">
        <v>6</v>
      </c>
      <c r="D262" s="3">
        <v>44625</v>
      </c>
      <c r="F262" t="s">
        <v>174</v>
      </c>
      <c r="G262">
        <v>516</v>
      </c>
      <c r="H262">
        <f ca="1">MONTH(NOW())+12*YEAR(NOW())-MONTH(tbl_MTG_Set[[#This Row],[Released On]])-12*YEAR(tbl_MTG_Set[[#This Row],[Released On]])</f>
        <v>48</v>
      </c>
      <c r="I262" t="str">
        <f>_xlfn.XLOOKUP(tbl_MTG_Set[[#This Row],[Type Name]], tbl_MTG_Set_Type[Set Type], tbl_MTG_Set_Type[Index], "(Set Type not found)")</f>
        <v>(Set Type not found)</v>
      </c>
      <c r="J262" t="str">
        <f>_xlfn.XLOOKUP(tbl_MTG_Set[[#This Row],[Type Name]], tbl_MTG_Set_Type[Set Type], tbl_MTG_Set_Type[Buy Window Month Start], "(Set Type not found)")</f>
        <v>(Set Type not found)</v>
      </c>
      <c r="K262" s="3" t="e">
        <f>tbl_MTG_Set[[#This Row],[Released On]]+tbl_MTG_Set[[#This Row],[Buy Window Month Start]]*365.25/12</f>
        <v>#VALUE!</v>
      </c>
      <c r="L262" t="str">
        <f>_xlfn.XLOOKUP(tbl_MTG_Set[[#This Row],[Type Name]], tbl_MTG_Set_Type[Set Type], tbl_MTG_Set_Type[Buy Window Month End], "(Set Type not found)", 0, 1)</f>
        <v>(Set Type not found)</v>
      </c>
      <c r="M262" s="3" t="e">
        <f>tbl_MTG_Set[[#This Row],[Released On]]+tbl_MTG_Set[[#This Row],[Buy Window Month End]]*365.25/12</f>
        <v>#VALUE!</v>
      </c>
      <c r="N262" s="3" t="e">
        <f ca="1">AND(NOW()&gt;=tbl_MTG_Set[[#This Row],[Buy Window Start]], NOW()&lt;=tbl_MTG_Set[[#This Row],[Buy Window End]])</f>
        <v>#VALUE!</v>
      </c>
      <c r="O262" t="str">
        <f>_xlfn.XLOOKUP(tbl_MTG_Set[[#This Row],[Type Name]], tbl_MTG_Set_Type[Set Type], tbl_MTG_Set_Type[Heavy Printing Window Month Start], "(Set Type not found)", 0, 1)</f>
        <v>(Set Type not found)</v>
      </c>
      <c r="P262" s="3" t="e">
        <f>tbl_MTG_Set[[#This Row],[Released On]]+tbl_MTG_Set[[#This Row],[Heavy Printing Window Month Start]]*365.25/12</f>
        <v>#VALUE!</v>
      </c>
      <c r="Q262" t="str">
        <f>_xlfn.XLOOKUP(tbl_MTG_Set[[#This Row],[Type Name]], tbl_MTG_Set_Type[Set Type], tbl_MTG_Set_Type[Heavy Printing Window Month End], "(Set Type not found)", 0, 1)</f>
        <v>(Set Type not found)</v>
      </c>
      <c r="R262" s="3" t="e">
        <f>tbl_MTG_Set[[#This Row],[Released On]]+tbl_MTG_Set[[#This Row],[Heavy Printing Window Month End]]*365.25/12</f>
        <v>#VALUE!</v>
      </c>
      <c r="S262" s="3" t="e">
        <f ca="1">AND(NOW()&gt;=tbl_MTG_Set[[#This Row],[Heavy Printing Window Start]], NOW()&lt;=tbl_MTG_Set[[#This Row],[Heavy Printing Window End]])</f>
        <v>#VALUE!</v>
      </c>
      <c r="T262" t="str">
        <f>_xlfn.XLOOKUP(tbl_MTG_Set[[#This Row],[Type Name]], tbl_MTG_Set_Type[Set Type], tbl_MTG_Set_Type[Sell Window Month Start], "(Set Type not found)", 0, 1)</f>
        <v>(Set Type not found)</v>
      </c>
      <c r="U262" s="3" t="e">
        <f>tbl_MTG_Set[[#This Row],[Released On]]+tbl_MTG_Set[[#This Row],[Sell Window Month Start]]*365.25/12</f>
        <v>#VALUE!</v>
      </c>
      <c r="V262" t="str">
        <f>_xlfn.XLOOKUP(tbl_MTG_Set[[#This Row],[Type Name]], tbl_MTG_Set_Type[Set Type], tbl_MTG_Set_Type[Sell Window Month End], "(Set Type not found)", 0, 1)</f>
        <v>(Set Type not found)</v>
      </c>
      <c r="W262" s="3" t="e">
        <f>tbl_MTG_Set[[#This Row],[Released On]]+tbl_MTG_Set[[#This Row],[Sell Window Month End]]*365.25/12</f>
        <v>#VALUE!</v>
      </c>
      <c r="X262" s="3" t="e">
        <f ca="1">AND(NOW()&gt;=tbl_MTG_Set[[#This Row],[Sell Window Start]], NOW()&lt;=tbl_MTG_Set[[#This Row],[Sell Window End]])</f>
        <v>#VALUE!</v>
      </c>
      <c r="AG262" s="10"/>
      <c r="AH262" s="10"/>
      <c r="AM262" s="10" t="str" cm="1">
        <f t="array" ref="AM2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2" s="10" t="str" cm="1">
        <f t="array" ref="AN2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2" s="4" t="e">
        <f>_xlfn.XLOOKUP(tbl_MTG_Set[[#This Row],[Play Booster Box Product Id]], tbl_Product[Product Id], tbl_Product[Pack Size])</f>
        <v>#N/A</v>
      </c>
      <c r="AP262" s="10" t="e">
        <f>(tbl_MTG_Set[[#This Row],[Play Booster Box Cost]]+v_Item_Shipping_Cost_In)/tbl_MTG_Set[[#This Row],[Play Booster Box Size]]</f>
        <v>#VALUE!</v>
      </c>
      <c r="AQ262" s="10" t="str" cm="1">
        <f t="array" ref="AQ2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2" s="10"/>
      <c r="AS262" s="10"/>
      <c r="AT262" s="17" t="e">
        <f>tbl_MTG_Set[[#This Row],[Play Booster CardMarket Profit]]/tbl_MTG_Set[[#This Row],[Play Booster Cost]]</f>
        <v>#VALUE!</v>
      </c>
      <c r="AU262" s="10" t="e">
        <f>_xlfn.XLOOKUP(tbl_MTG_Set[[#This Row],[Collector Booster Box Product Id]], tbl_Product[Product Id], tbl_Product[Min Cost])</f>
        <v>#N/A</v>
      </c>
      <c r="AV262" s="10" t="e">
        <f>_xlfn.XLOOKUP(tbl_MTG_Set[[#This Row],[Collector Booster Box Product Id]], tbl_Product[Product Id], tbl_Product[Best Source])</f>
        <v>#N/A</v>
      </c>
      <c r="AW262" s="4" t="e">
        <f>_xlfn.XLOOKUP(tbl_MTG_Set[[#This Row],[Collector Booster Box Product Id]], tbl_Product[Product Id], tbl_Product[Pack Size])</f>
        <v>#N/A</v>
      </c>
      <c r="AX262" s="10" t="e">
        <f>(tbl_MTG_Set[[#This Row],[Collector Booster Box Cost]] + v_Item_Shipping_Cost_In) / tbl_MTG_Set[[#This Row],[Collector Booster Box Size]]</f>
        <v>#N/A</v>
      </c>
      <c r="AY262" s="10" t="str" cm="1">
        <f t="array" ref="AY2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2" s="10"/>
      <c r="BA2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2" s="17" t="e">
        <f>tbl_MTG_Set[[#This Row],[Collector Booster CardMarket Profit]]/tbl_MTG_Set[[#This Row],[Collector Booster Cost]]</f>
        <v>#N/A</v>
      </c>
      <c r="BC262" s="10"/>
      <c r="BF2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2" s="11" t="e">
        <f>tbl_MTG_Set[[#This Row],[Play Singles CardMarket Profit MTG Stocks]]/tbl_MTG_Set[[#This Row],[Play Booster Cost]]</f>
        <v>#VALUE!</v>
      </c>
      <c r="BI262" s="11" t="b">
        <f>tbl_MTG_Set[[#This Row],[Play Singles CardMarket Profit MTG Stocks]]&gt;0</f>
        <v>0</v>
      </c>
      <c r="BM262" s="10" t="e">
        <f>tbl_MTG_Set[[#This Row],[Play Booster Sell Price CardMarket]]*tbl_MTG_Set[[#This Row],[Play Booster Expected Market Value BotBox]]/tbl_MTG_Set[[#This Row],[Play Booster Sealed Market Value BotBox]]</f>
        <v>#VALUE!</v>
      </c>
      <c r="BN2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2" s="10" t="e">
        <f>tbl_MTG_Set[[#This Row],[Play Singles CardMarket Profit BotBox]]/tbl_MTG_Set[[#This Row],[Play Booster Cost]]</f>
        <v>#VALUE!</v>
      </c>
      <c r="BP262" s="10" t="b">
        <f>tbl_MTG_Set[[#This Row],[Play Singles CardMarket Profit BotBox]]&gt;0</f>
        <v>0</v>
      </c>
      <c r="BQ262" s="10"/>
      <c r="BR262" s="10"/>
      <c r="BS262" s="10"/>
      <c r="BT2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2" s="19" t="e">
        <f>tbl_MTG_Set[[#This Row],[Collector Singles CardMarket Profit MTG Stocks]]/tbl_MTG_Set[[#This Row],[Collector Booster Cost]]</f>
        <v>#N/A</v>
      </c>
      <c r="BW262" s="10" t="b">
        <f>tbl_MTG_Set[[#This Row],[Collector Singles CardMarket Profit MTG Stocks]]&gt;0</f>
        <v>0</v>
      </c>
      <c r="BX262" s="10"/>
      <c r="BY262" s="10"/>
      <c r="BZ2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2" s="10" t="e">
        <f>tbl_MTG_Set[[#This Row],[Collector Singles CardMarket Profit BotBox]]/tbl_MTG_Set[[#This Row],[Collector Booster Cost]]</f>
        <v>#N/A</v>
      </c>
      <c r="CC262" s="10" t="b">
        <f>tbl_MTG_Set[[#This Row],[Collector Singles CardMarket Profit BotBox]]&gt;0</f>
        <v>0</v>
      </c>
      <c r="CD2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3" spans="1:86" hidden="1">
      <c r="A263">
        <v>286</v>
      </c>
      <c r="B263" t="s">
        <v>436</v>
      </c>
      <c r="C263">
        <v>5</v>
      </c>
      <c r="D263" s="3">
        <v>44617</v>
      </c>
      <c r="F263" t="s">
        <v>174</v>
      </c>
      <c r="G263">
        <v>518</v>
      </c>
      <c r="H263">
        <f ca="1">MONTH(NOW())+12*YEAR(NOW())-MONTH(tbl_MTG_Set[[#This Row],[Released On]])-12*YEAR(tbl_MTG_Set[[#This Row],[Released On]])</f>
        <v>49</v>
      </c>
      <c r="I263" t="str">
        <f>_xlfn.XLOOKUP(tbl_MTG_Set[[#This Row],[Type Name]], tbl_MTG_Set_Type[Set Type], tbl_MTG_Set_Type[Index], "(Set Type not found)")</f>
        <v>(Set Type not found)</v>
      </c>
      <c r="J263" t="str">
        <f>_xlfn.XLOOKUP(tbl_MTG_Set[[#This Row],[Type Name]], tbl_MTG_Set_Type[Set Type], tbl_MTG_Set_Type[Buy Window Month Start], "(Set Type not found)")</f>
        <v>(Set Type not found)</v>
      </c>
      <c r="K263" s="3" t="e">
        <f>tbl_MTG_Set[[#This Row],[Released On]]+tbl_MTG_Set[[#This Row],[Buy Window Month Start]]*365.25/12</f>
        <v>#VALUE!</v>
      </c>
      <c r="L263" t="str">
        <f>_xlfn.XLOOKUP(tbl_MTG_Set[[#This Row],[Type Name]], tbl_MTG_Set_Type[Set Type], tbl_MTG_Set_Type[Buy Window Month End], "(Set Type not found)", 0, 1)</f>
        <v>(Set Type not found)</v>
      </c>
      <c r="M263" s="3" t="e">
        <f>tbl_MTG_Set[[#This Row],[Released On]]+tbl_MTG_Set[[#This Row],[Buy Window Month End]]*365.25/12</f>
        <v>#VALUE!</v>
      </c>
      <c r="N263" s="3" t="e">
        <f ca="1">AND(NOW()&gt;=tbl_MTG_Set[[#This Row],[Buy Window Start]], NOW()&lt;=tbl_MTG_Set[[#This Row],[Buy Window End]])</f>
        <v>#VALUE!</v>
      </c>
      <c r="O263" t="str">
        <f>_xlfn.XLOOKUP(tbl_MTG_Set[[#This Row],[Type Name]], tbl_MTG_Set_Type[Set Type], tbl_MTG_Set_Type[Heavy Printing Window Month Start], "(Set Type not found)", 0, 1)</f>
        <v>(Set Type not found)</v>
      </c>
      <c r="P263" s="3" t="e">
        <f>tbl_MTG_Set[[#This Row],[Released On]]+tbl_MTG_Set[[#This Row],[Heavy Printing Window Month Start]]*365.25/12</f>
        <v>#VALUE!</v>
      </c>
      <c r="Q263" t="str">
        <f>_xlfn.XLOOKUP(tbl_MTG_Set[[#This Row],[Type Name]], tbl_MTG_Set_Type[Set Type], tbl_MTG_Set_Type[Heavy Printing Window Month End], "(Set Type not found)", 0, 1)</f>
        <v>(Set Type not found)</v>
      </c>
      <c r="R263" s="3" t="e">
        <f>tbl_MTG_Set[[#This Row],[Released On]]+tbl_MTG_Set[[#This Row],[Heavy Printing Window Month End]]*365.25/12</f>
        <v>#VALUE!</v>
      </c>
      <c r="S263" s="3" t="e">
        <f ca="1">AND(NOW()&gt;=tbl_MTG_Set[[#This Row],[Heavy Printing Window Start]], NOW()&lt;=tbl_MTG_Set[[#This Row],[Heavy Printing Window End]])</f>
        <v>#VALUE!</v>
      </c>
      <c r="T263" t="str">
        <f>_xlfn.XLOOKUP(tbl_MTG_Set[[#This Row],[Type Name]], tbl_MTG_Set_Type[Set Type], tbl_MTG_Set_Type[Sell Window Month Start], "(Set Type not found)", 0, 1)</f>
        <v>(Set Type not found)</v>
      </c>
      <c r="U263" s="3" t="e">
        <f>tbl_MTG_Set[[#This Row],[Released On]]+tbl_MTG_Set[[#This Row],[Sell Window Month Start]]*365.25/12</f>
        <v>#VALUE!</v>
      </c>
      <c r="V263" t="str">
        <f>_xlfn.XLOOKUP(tbl_MTG_Set[[#This Row],[Type Name]], tbl_MTG_Set_Type[Set Type], tbl_MTG_Set_Type[Sell Window Month End], "(Set Type not found)", 0, 1)</f>
        <v>(Set Type not found)</v>
      </c>
      <c r="W263" s="3" t="e">
        <f>tbl_MTG_Set[[#This Row],[Released On]]+tbl_MTG_Set[[#This Row],[Sell Window Month End]]*365.25/12</f>
        <v>#VALUE!</v>
      </c>
      <c r="X263" s="3" t="e">
        <f ca="1">AND(NOW()&gt;=tbl_MTG_Set[[#This Row],[Sell Window Start]], NOW()&lt;=tbl_MTG_Set[[#This Row],[Sell Window End]])</f>
        <v>#VALUE!</v>
      </c>
      <c r="AG263" s="10"/>
      <c r="AH263" s="10"/>
      <c r="AM263" s="10" t="str" cm="1">
        <f t="array" ref="AM2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3" s="10" t="str" cm="1">
        <f t="array" ref="AN2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3" s="4" t="e">
        <f>_xlfn.XLOOKUP(tbl_MTG_Set[[#This Row],[Play Booster Box Product Id]], tbl_Product[Product Id], tbl_Product[Pack Size])</f>
        <v>#N/A</v>
      </c>
      <c r="AP263" s="10" t="e">
        <f>(tbl_MTG_Set[[#This Row],[Play Booster Box Cost]]+v_Item_Shipping_Cost_In)/tbl_MTG_Set[[#This Row],[Play Booster Box Size]]</f>
        <v>#VALUE!</v>
      </c>
      <c r="AQ263" s="10" t="str" cm="1">
        <f t="array" ref="AQ2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3" s="10"/>
      <c r="AS263" s="10"/>
      <c r="AT263" s="17" t="e">
        <f>tbl_MTG_Set[[#This Row],[Play Booster CardMarket Profit]]/tbl_MTG_Set[[#This Row],[Play Booster Cost]]</f>
        <v>#VALUE!</v>
      </c>
      <c r="AU263" s="10" t="e">
        <f>_xlfn.XLOOKUP(tbl_MTG_Set[[#This Row],[Collector Booster Box Product Id]], tbl_Product[Product Id], tbl_Product[Min Cost])</f>
        <v>#N/A</v>
      </c>
      <c r="AV263" s="10" t="e">
        <f>_xlfn.XLOOKUP(tbl_MTG_Set[[#This Row],[Collector Booster Box Product Id]], tbl_Product[Product Id], tbl_Product[Best Source])</f>
        <v>#N/A</v>
      </c>
      <c r="AW263" s="4" t="e">
        <f>_xlfn.XLOOKUP(tbl_MTG_Set[[#This Row],[Collector Booster Box Product Id]], tbl_Product[Product Id], tbl_Product[Pack Size])</f>
        <v>#N/A</v>
      </c>
      <c r="AX263" s="10" t="e">
        <f>(tbl_MTG_Set[[#This Row],[Collector Booster Box Cost]] + v_Item_Shipping_Cost_In) / tbl_MTG_Set[[#This Row],[Collector Booster Box Size]]</f>
        <v>#N/A</v>
      </c>
      <c r="AY263" s="10" t="str" cm="1">
        <f t="array" ref="AY2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3" s="10"/>
      <c r="BA2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3" s="17" t="e">
        <f>tbl_MTG_Set[[#This Row],[Collector Booster CardMarket Profit]]/tbl_MTG_Set[[#This Row],[Collector Booster Cost]]</f>
        <v>#N/A</v>
      </c>
      <c r="BC263" s="10"/>
      <c r="BF2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3" s="11" t="e">
        <f>tbl_MTG_Set[[#This Row],[Play Singles CardMarket Profit MTG Stocks]]/tbl_MTG_Set[[#This Row],[Play Booster Cost]]</f>
        <v>#VALUE!</v>
      </c>
      <c r="BI263" s="11" t="b">
        <f>tbl_MTG_Set[[#This Row],[Play Singles CardMarket Profit MTG Stocks]]&gt;0</f>
        <v>0</v>
      </c>
      <c r="BM263" s="10" t="e">
        <f>tbl_MTG_Set[[#This Row],[Play Booster Sell Price CardMarket]]*tbl_MTG_Set[[#This Row],[Play Booster Expected Market Value BotBox]]/tbl_MTG_Set[[#This Row],[Play Booster Sealed Market Value BotBox]]</f>
        <v>#VALUE!</v>
      </c>
      <c r="BN2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3" s="10" t="e">
        <f>tbl_MTG_Set[[#This Row],[Play Singles CardMarket Profit BotBox]]/tbl_MTG_Set[[#This Row],[Play Booster Cost]]</f>
        <v>#VALUE!</v>
      </c>
      <c r="BP263" s="10" t="b">
        <f>tbl_MTG_Set[[#This Row],[Play Singles CardMarket Profit BotBox]]&gt;0</f>
        <v>0</v>
      </c>
      <c r="BQ263" s="10"/>
      <c r="BR263" s="10"/>
      <c r="BS263" s="10"/>
      <c r="BT2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3" s="19" t="e">
        <f>tbl_MTG_Set[[#This Row],[Collector Singles CardMarket Profit MTG Stocks]]/tbl_MTG_Set[[#This Row],[Collector Booster Cost]]</f>
        <v>#N/A</v>
      </c>
      <c r="BW263" s="10" t="b">
        <f>tbl_MTG_Set[[#This Row],[Collector Singles CardMarket Profit MTG Stocks]]&gt;0</f>
        <v>0</v>
      </c>
      <c r="BX263" s="10"/>
      <c r="BY263" s="10"/>
      <c r="BZ2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3" s="10" t="e">
        <f>tbl_MTG_Set[[#This Row],[Collector Singles CardMarket Profit BotBox]]/tbl_MTG_Set[[#This Row],[Collector Booster Cost]]</f>
        <v>#N/A</v>
      </c>
      <c r="CC263" s="10" t="b">
        <f>tbl_MTG_Set[[#This Row],[Collector Singles CardMarket Profit BotBox]]&gt;0</f>
        <v>0</v>
      </c>
      <c r="CD2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4" spans="1:86" hidden="1">
      <c r="A264">
        <v>288</v>
      </c>
      <c r="B264" t="s">
        <v>437</v>
      </c>
      <c r="C264">
        <v>148</v>
      </c>
      <c r="D264" s="3">
        <v>44610</v>
      </c>
      <c r="E264" t="s">
        <v>59</v>
      </c>
      <c r="F264" t="s">
        <v>174</v>
      </c>
      <c r="G264">
        <v>522</v>
      </c>
      <c r="H264">
        <f ca="1">MONTH(NOW())+12*YEAR(NOW())-MONTH(tbl_MTG_Set[[#This Row],[Released On]])-12*YEAR(tbl_MTG_Set[[#This Row],[Released On]])</f>
        <v>49</v>
      </c>
      <c r="I264">
        <f>_xlfn.XLOOKUP(tbl_MTG_Set[[#This Row],[Type Name]], tbl_MTG_Set_Type[Set Type], tbl_MTG_Set_Type[Index], "(Set Type not found)")</f>
        <v>1</v>
      </c>
      <c r="J264">
        <f>_xlfn.XLOOKUP(tbl_MTG_Set[[#This Row],[Type Name]], tbl_MTG_Set_Type[Set Type], tbl_MTG_Set_Type[Buy Window Month Start], "(Set Type not found)")</f>
        <v>18</v>
      </c>
      <c r="K264" s="3">
        <f>tbl_MTG_Set[[#This Row],[Released On]]+tbl_MTG_Set[[#This Row],[Buy Window Month Start]]*365.25/12</f>
        <v>45157.875</v>
      </c>
      <c r="L264">
        <f>_xlfn.XLOOKUP(tbl_MTG_Set[[#This Row],[Type Name]], tbl_MTG_Set_Type[Set Type], tbl_MTG_Set_Type[Buy Window Month End], "(Set Type not found)", 0, 1)</f>
        <v>24</v>
      </c>
      <c r="M264" s="3">
        <f>tbl_MTG_Set[[#This Row],[Released On]]+tbl_MTG_Set[[#This Row],[Buy Window Month End]]*365.25/12</f>
        <v>45340.5</v>
      </c>
      <c r="N264" s="3" t="b">
        <f ca="1">AND(NOW()&gt;=tbl_MTG_Set[[#This Row],[Buy Window Start]], NOW()&lt;=tbl_MTG_Set[[#This Row],[Buy Window End]])</f>
        <v>0</v>
      </c>
      <c r="O264">
        <f>_xlfn.XLOOKUP(tbl_MTG_Set[[#This Row],[Type Name]], tbl_MTG_Set_Type[Set Type], tbl_MTG_Set_Type[Heavy Printing Window Month Start], "(Set Type not found)", 0, 1)</f>
        <v>1</v>
      </c>
      <c r="P264" s="3">
        <f>tbl_MTG_Set[[#This Row],[Released On]]+tbl_MTG_Set[[#This Row],[Heavy Printing Window Month Start]]*365.25/12</f>
        <v>44640.4375</v>
      </c>
      <c r="Q264">
        <f>_xlfn.XLOOKUP(tbl_MTG_Set[[#This Row],[Type Name]], tbl_MTG_Set_Type[Set Type], tbl_MTG_Set_Type[Heavy Printing Window Month End], "(Set Type not found)", 0, 1)</f>
        <v>18</v>
      </c>
      <c r="R264" s="3">
        <f>tbl_MTG_Set[[#This Row],[Released On]]+tbl_MTG_Set[[#This Row],[Heavy Printing Window Month End]]*365.25/12</f>
        <v>45157.875</v>
      </c>
      <c r="S264" s="3" t="b">
        <f ca="1">AND(NOW()&gt;=tbl_MTG_Set[[#This Row],[Heavy Printing Window Start]], NOW()&lt;=tbl_MTG_Set[[#This Row],[Heavy Printing Window End]])</f>
        <v>0</v>
      </c>
      <c r="T264">
        <f>_xlfn.XLOOKUP(tbl_MTG_Set[[#This Row],[Type Name]], tbl_MTG_Set_Type[Set Type], tbl_MTG_Set_Type[Sell Window Month Start], "(Set Type not found)", 0, 1)</f>
        <v>36</v>
      </c>
      <c r="U264" s="3">
        <f>tbl_MTG_Set[[#This Row],[Released On]]+tbl_MTG_Set[[#This Row],[Sell Window Month Start]]*365.25/12</f>
        <v>45705.75</v>
      </c>
      <c r="V264">
        <f>_xlfn.XLOOKUP(tbl_MTG_Set[[#This Row],[Type Name]], tbl_MTG_Set_Type[Set Type], tbl_MTG_Set_Type[Sell Window Month End], "(Set Type not found)", 0, 1)</f>
        <v>48</v>
      </c>
      <c r="W264" s="3">
        <f>tbl_MTG_Set[[#This Row],[Released On]]+tbl_MTG_Set[[#This Row],[Sell Window Month End]]*365.25/12</f>
        <v>46071</v>
      </c>
      <c r="X264" s="3" t="b">
        <f ca="1">AND(NOW()&gt;=tbl_MTG_Set[[#This Row],[Sell Window Start]], NOW()&lt;=tbl_MTG_Set[[#This Row],[Sell Window End]])</f>
        <v>0</v>
      </c>
      <c r="AG264" s="10"/>
      <c r="AH264" s="10"/>
      <c r="AM264" s="10" t="str" cm="1">
        <f t="array" ref="AM2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4" s="10" t="str" cm="1">
        <f t="array" ref="AN2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4" s="4" t="e">
        <f>_xlfn.XLOOKUP(tbl_MTG_Set[[#This Row],[Play Booster Box Product Id]], tbl_Product[Product Id], tbl_Product[Pack Size])</f>
        <v>#N/A</v>
      </c>
      <c r="AP264" s="10" t="e">
        <f>(tbl_MTG_Set[[#This Row],[Play Booster Box Cost]]+v_Item_Shipping_Cost_In)/tbl_MTG_Set[[#This Row],[Play Booster Box Size]]</f>
        <v>#VALUE!</v>
      </c>
      <c r="AQ264" s="10" t="str" cm="1">
        <f t="array" ref="AQ2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4" s="10"/>
      <c r="AS264" s="10"/>
      <c r="AT264" s="17" t="e">
        <f>tbl_MTG_Set[[#This Row],[Play Booster CardMarket Profit]]/tbl_MTG_Set[[#This Row],[Play Booster Cost]]</f>
        <v>#VALUE!</v>
      </c>
      <c r="AU264" s="10" t="e">
        <f>_xlfn.XLOOKUP(tbl_MTG_Set[[#This Row],[Collector Booster Box Product Id]], tbl_Product[Product Id], tbl_Product[Min Cost])</f>
        <v>#N/A</v>
      </c>
      <c r="AV264" s="10" t="e">
        <f>_xlfn.XLOOKUP(tbl_MTG_Set[[#This Row],[Collector Booster Box Product Id]], tbl_Product[Product Id], tbl_Product[Best Source])</f>
        <v>#N/A</v>
      </c>
      <c r="AW264" s="4" t="e">
        <f>_xlfn.XLOOKUP(tbl_MTG_Set[[#This Row],[Collector Booster Box Product Id]], tbl_Product[Product Id], tbl_Product[Pack Size])</f>
        <v>#N/A</v>
      </c>
      <c r="AX264" s="10" t="e">
        <f>(tbl_MTG_Set[[#This Row],[Collector Booster Box Cost]] + v_Item_Shipping_Cost_In) / tbl_MTG_Set[[#This Row],[Collector Booster Box Size]]</f>
        <v>#N/A</v>
      </c>
      <c r="AY264" s="10" t="str" cm="1">
        <f t="array" ref="AY2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4" s="10"/>
      <c r="BA2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4" s="17" t="e">
        <f>tbl_MTG_Set[[#This Row],[Collector Booster CardMarket Profit]]/tbl_MTG_Set[[#This Row],[Collector Booster Cost]]</f>
        <v>#N/A</v>
      </c>
      <c r="BC264" s="10"/>
      <c r="BF2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4" s="11" t="e">
        <f>tbl_MTG_Set[[#This Row],[Play Singles CardMarket Profit MTG Stocks]]/tbl_MTG_Set[[#This Row],[Play Booster Cost]]</f>
        <v>#VALUE!</v>
      </c>
      <c r="BI264" s="11" t="b">
        <f>tbl_MTG_Set[[#This Row],[Play Singles CardMarket Profit MTG Stocks]]&gt;0</f>
        <v>0</v>
      </c>
      <c r="BM264" s="10" t="e">
        <f>tbl_MTG_Set[[#This Row],[Play Booster Sell Price CardMarket]]*tbl_MTG_Set[[#This Row],[Play Booster Expected Market Value BotBox]]/tbl_MTG_Set[[#This Row],[Play Booster Sealed Market Value BotBox]]</f>
        <v>#VALUE!</v>
      </c>
      <c r="BN2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4" s="10" t="e">
        <f>tbl_MTG_Set[[#This Row],[Play Singles CardMarket Profit BotBox]]/tbl_MTG_Set[[#This Row],[Play Booster Cost]]</f>
        <v>#VALUE!</v>
      </c>
      <c r="BP264" s="10" t="b">
        <f>tbl_MTG_Set[[#This Row],[Play Singles CardMarket Profit BotBox]]&gt;0</f>
        <v>0</v>
      </c>
      <c r="BQ264" s="10"/>
      <c r="BR264" s="10"/>
      <c r="BS264" s="10"/>
      <c r="BT2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4" s="19" t="e">
        <f>tbl_MTG_Set[[#This Row],[Collector Singles CardMarket Profit MTG Stocks]]/tbl_MTG_Set[[#This Row],[Collector Booster Cost]]</f>
        <v>#N/A</v>
      </c>
      <c r="BW264" s="10" t="b">
        <f>tbl_MTG_Set[[#This Row],[Collector Singles CardMarket Profit MTG Stocks]]&gt;0</f>
        <v>0</v>
      </c>
      <c r="BX264" s="10"/>
      <c r="BY264" s="10"/>
      <c r="BZ2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4" s="10" t="e">
        <f>tbl_MTG_Set[[#This Row],[Collector Singles CardMarket Profit BotBox]]/tbl_MTG_Set[[#This Row],[Collector Booster Cost]]</f>
        <v>#N/A</v>
      </c>
      <c r="CC264" s="10" t="b">
        <f>tbl_MTG_Set[[#This Row],[Collector Singles CardMarket Profit BotBox]]&gt;0</f>
        <v>0</v>
      </c>
      <c r="CD2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5" spans="1:86" hidden="1">
      <c r="A265">
        <v>289</v>
      </c>
      <c r="B265" t="s">
        <v>438</v>
      </c>
      <c r="C265">
        <v>19</v>
      </c>
      <c r="D265" s="3">
        <v>44610</v>
      </c>
      <c r="E265" t="s">
        <v>59</v>
      </c>
      <c r="F265" t="s">
        <v>174</v>
      </c>
      <c r="G265">
        <v>524</v>
      </c>
      <c r="H265">
        <f ca="1">MONTH(NOW())+12*YEAR(NOW())-MONTH(tbl_MTG_Set[[#This Row],[Released On]])-12*YEAR(tbl_MTG_Set[[#This Row],[Released On]])</f>
        <v>49</v>
      </c>
      <c r="I265">
        <f>_xlfn.XLOOKUP(tbl_MTG_Set[[#This Row],[Type Name]], tbl_MTG_Set_Type[Set Type], tbl_MTG_Set_Type[Index], "(Set Type not found)")</f>
        <v>1</v>
      </c>
      <c r="J265">
        <f>_xlfn.XLOOKUP(tbl_MTG_Set[[#This Row],[Type Name]], tbl_MTG_Set_Type[Set Type], tbl_MTG_Set_Type[Buy Window Month Start], "(Set Type not found)")</f>
        <v>18</v>
      </c>
      <c r="K265" s="3">
        <f>tbl_MTG_Set[[#This Row],[Released On]]+tbl_MTG_Set[[#This Row],[Buy Window Month Start]]*365.25/12</f>
        <v>45157.875</v>
      </c>
      <c r="L265">
        <f>_xlfn.XLOOKUP(tbl_MTG_Set[[#This Row],[Type Name]], tbl_MTG_Set_Type[Set Type], tbl_MTG_Set_Type[Buy Window Month End], "(Set Type not found)", 0, 1)</f>
        <v>24</v>
      </c>
      <c r="M265" s="3">
        <f>tbl_MTG_Set[[#This Row],[Released On]]+tbl_MTG_Set[[#This Row],[Buy Window Month End]]*365.25/12</f>
        <v>45340.5</v>
      </c>
      <c r="N265" s="3" t="b">
        <f ca="1">AND(NOW()&gt;=tbl_MTG_Set[[#This Row],[Buy Window Start]], NOW()&lt;=tbl_MTG_Set[[#This Row],[Buy Window End]])</f>
        <v>0</v>
      </c>
      <c r="O265">
        <f>_xlfn.XLOOKUP(tbl_MTG_Set[[#This Row],[Type Name]], tbl_MTG_Set_Type[Set Type], tbl_MTG_Set_Type[Heavy Printing Window Month Start], "(Set Type not found)", 0, 1)</f>
        <v>1</v>
      </c>
      <c r="P265" s="3">
        <f>tbl_MTG_Set[[#This Row],[Released On]]+tbl_MTG_Set[[#This Row],[Heavy Printing Window Month Start]]*365.25/12</f>
        <v>44640.4375</v>
      </c>
      <c r="Q265">
        <f>_xlfn.XLOOKUP(tbl_MTG_Set[[#This Row],[Type Name]], tbl_MTG_Set_Type[Set Type], tbl_MTG_Set_Type[Heavy Printing Window Month End], "(Set Type not found)", 0, 1)</f>
        <v>18</v>
      </c>
      <c r="R265" s="3">
        <f>tbl_MTG_Set[[#This Row],[Released On]]+tbl_MTG_Set[[#This Row],[Heavy Printing Window Month End]]*365.25/12</f>
        <v>45157.875</v>
      </c>
      <c r="S265" s="3" t="b">
        <f ca="1">AND(NOW()&gt;=tbl_MTG_Set[[#This Row],[Heavy Printing Window Start]], NOW()&lt;=tbl_MTG_Set[[#This Row],[Heavy Printing Window End]])</f>
        <v>0</v>
      </c>
      <c r="T265">
        <f>_xlfn.XLOOKUP(tbl_MTG_Set[[#This Row],[Type Name]], tbl_MTG_Set_Type[Set Type], tbl_MTG_Set_Type[Sell Window Month Start], "(Set Type not found)", 0, 1)</f>
        <v>36</v>
      </c>
      <c r="U265" s="3">
        <f>tbl_MTG_Set[[#This Row],[Released On]]+tbl_MTG_Set[[#This Row],[Sell Window Month Start]]*365.25/12</f>
        <v>45705.75</v>
      </c>
      <c r="V265">
        <f>_xlfn.XLOOKUP(tbl_MTG_Set[[#This Row],[Type Name]], tbl_MTG_Set_Type[Set Type], tbl_MTG_Set_Type[Sell Window Month End], "(Set Type not found)", 0, 1)</f>
        <v>48</v>
      </c>
      <c r="W265" s="3">
        <f>tbl_MTG_Set[[#This Row],[Released On]]+tbl_MTG_Set[[#This Row],[Sell Window Month End]]*365.25/12</f>
        <v>46071</v>
      </c>
      <c r="X265" s="3" t="b">
        <f ca="1">AND(NOW()&gt;=tbl_MTG_Set[[#This Row],[Sell Window Start]], NOW()&lt;=tbl_MTG_Set[[#This Row],[Sell Window End]])</f>
        <v>0</v>
      </c>
      <c r="AG265" s="10"/>
      <c r="AH265" s="10"/>
      <c r="AM265" s="10" t="str" cm="1">
        <f t="array" ref="AM2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5" s="10" t="str" cm="1">
        <f t="array" ref="AN2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5" s="4" t="e">
        <f>_xlfn.XLOOKUP(tbl_MTG_Set[[#This Row],[Play Booster Box Product Id]], tbl_Product[Product Id], tbl_Product[Pack Size])</f>
        <v>#N/A</v>
      </c>
      <c r="AP265" s="10" t="e">
        <f>(tbl_MTG_Set[[#This Row],[Play Booster Box Cost]]+v_Item_Shipping_Cost_In)/tbl_MTG_Set[[#This Row],[Play Booster Box Size]]</f>
        <v>#VALUE!</v>
      </c>
      <c r="AQ265" s="10" t="str" cm="1">
        <f t="array" ref="AQ2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5" s="10"/>
      <c r="AS265" s="10"/>
      <c r="AT265" s="17" t="e">
        <f>tbl_MTG_Set[[#This Row],[Play Booster CardMarket Profit]]/tbl_MTG_Set[[#This Row],[Play Booster Cost]]</f>
        <v>#VALUE!</v>
      </c>
      <c r="AU265" s="10" t="e">
        <f>_xlfn.XLOOKUP(tbl_MTG_Set[[#This Row],[Collector Booster Box Product Id]], tbl_Product[Product Id], tbl_Product[Min Cost])</f>
        <v>#N/A</v>
      </c>
      <c r="AV265" s="10" t="e">
        <f>_xlfn.XLOOKUP(tbl_MTG_Set[[#This Row],[Collector Booster Box Product Id]], tbl_Product[Product Id], tbl_Product[Best Source])</f>
        <v>#N/A</v>
      </c>
      <c r="AW265" s="4" t="e">
        <f>_xlfn.XLOOKUP(tbl_MTG_Set[[#This Row],[Collector Booster Box Product Id]], tbl_Product[Product Id], tbl_Product[Pack Size])</f>
        <v>#N/A</v>
      </c>
      <c r="AX265" s="10" t="e">
        <f>(tbl_MTG_Set[[#This Row],[Collector Booster Box Cost]] + v_Item_Shipping_Cost_In) / tbl_MTG_Set[[#This Row],[Collector Booster Box Size]]</f>
        <v>#N/A</v>
      </c>
      <c r="AY265" s="10" t="str" cm="1">
        <f t="array" ref="AY2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5" s="10"/>
      <c r="BA2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5" s="17" t="e">
        <f>tbl_MTG_Set[[#This Row],[Collector Booster CardMarket Profit]]/tbl_MTG_Set[[#This Row],[Collector Booster Cost]]</f>
        <v>#N/A</v>
      </c>
      <c r="BC265" s="10"/>
      <c r="BF2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5" s="11" t="e">
        <f>tbl_MTG_Set[[#This Row],[Play Singles CardMarket Profit MTG Stocks]]/tbl_MTG_Set[[#This Row],[Play Booster Cost]]</f>
        <v>#VALUE!</v>
      </c>
      <c r="BI265" s="11" t="b">
        <f>tbl_MTG_Set[[#This Row],[Play Singles CardMarket Profit MTG Stocks]]&gt;0</f>
        <v>0</v>
      </c>
      <c r="BM265" s="10" t="e">
        <f>tbl_MTG_Set[[#This Row],[Play Booster Sell Price CardMarket]]*tbl_MTG_Set[[#This Row],[Play Booster Expected Market Value BotBox]]/tbl_MTG_Set[[#This Row],[Play Booster Sealed Market Value BotBox]]</f>
        <v>#VALUE!</v>
      </c>
      <c r="BN2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5" s="10" t="e">
        <f>tbl_MTG_Set[[#This Row],[Play Singles CardMarket Profit BotBox]]/tbl_MTG_Set[[#This Row],[Play Booster Cost]]</f>
        <v>#VALUE!</v>
      </c>
      <c r="BP265" s="10" t="b">
        <f>tbl_MTG_Set[[#This Row],[Play Singles CardMarket Profit BotBox]]&gt;0</f>
        <v>0</v>
      </c>
      <c r="BQ265" s="10"/>
      <c r="BR265" s="10"/>
      <c r="BS265" s="10"/>
      <c r="BT2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5" s="19" t="e">
        <f>tbl_MTG_Set[[#This Row],[Collector Singles CardMarket Profit MTG Stocks]]/tbl_MTG_Set[[#This Row],[Collector Booster Cost]]</f>
        <v>#N/A</v>
      </c>
      <c r="BW265" s="10" t="b">
        <f>tbl_MTG_Set[[#This Row],[Collector Singles CardMarket Profit MTG Stocks]]&gt;0</f>
        <v>0</v>
      </c>
      <c r="BX265" s="10"/>
      <c r="BY265" s="10"/>
      <c r="BZ2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5" s="10" t="e">
        <f>tbl_MTG_Set[[#This Row],[Collector Singles CardMarket Profit BotBox]]/tbl_MTG_Set[[#This Row],[Collector Booster Cost]]</f>
        <v>#N/A</v>
      </c>
      <c r="CC265" s="10" t="b">
        <f>tbl_MTG_Set[[#This Row],[Collector Singles CardMarket Profit BotBox]]&gt;0</f>
        <v>0</v>
      </c>
      <c r="CD2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6" spans="1:86" hidden="1">
      <c r="A266">
        <v>290</v>
      </c>
      <c r="B266" t="s">
        <v>439</v>
      </c>
      <c r="C266">
        <v>30</v>
      </c>
      <c r="D266" s="3">
        <v>44637</v>
      </c>
      <c r="F266" t="s">
        <v>174</v>
      </c>
      <c r="G266">
        <v>526</v>
      </c>
      <c r="H266">
        <f ca="1">MONTH(NOW())+12*YEAR(NOW())-MONTH(tbl_MTG_Set[[#This Row],[Released On]])-12*YEAR(tbl_MTG_Set[[#This Row],[Released On]])</f>
        <v>48</v>
      </c>
      <c r="I266" t="str">
        <f>_xlfn.XLOOKUP(tbl_MTG_Set[[#This Row],[Type Name]], tbl_MTG_Set_Type[Set Type], tbl_MTG_Set_Type[Index], "(Set Type not found)")</f>
        <v>(Set Type not found)</v>
      </c>
      <c r="J266" t="str">
        <f>_xlfn.XLOOKUP(tbl_MTG_Set[[#This Row],[Type Name]], tbl_MTG_Set_Type[Set Type], tbl_MTG_Set_Type[Buy Window Month Start], "(Set Type not found)")</f>
        <v>(Set Type not found)</v>
      </c>
      <c r="K266" s="3" t="e">
        <f>tbl_MTG_Set[[#This Row],[Released On]]+tbl_MTG_Set[[#This Row],[Buy Window Month Start]]*365.25/12</f>
        <v>#VALUE!</v>
      </c>
      <c r="L266" t="str">
        <f>_xlfn.XLOOKUP(tbl_MTG_Set[[#This Row],[Type Name]], tbl_MTG_Set_Type[Set Type], tbl_MTG_Set_Type[Buy Window Month End], "(Set Type not found)", 0, 1)</f>
        <v>(Set Type not found)</v>
      </c>
      <c r="M266" s="3" t="e">
        <f>tbl_MTG_Set[[#This Row],[Released On]]+tbl_MTG_Set[[#This Row],[Buy Window Month End]]*365.25/12</f>
        <v>#VALUE!</v>
      </c>
      <c r="N266" s="3" t="e">
        <f ca="1">AND(NOW()&gt;=tbl_MTG_Set[[#This Row],[Buy Window Start]], NOW()&lt;=tbl_MTG_Set[[#This Row],[Buy Window End]])</f>
        <v>#VALUE!</v>
      </c>
      <c r="O266" t="str">
        <f>_xlfn.XLOOKUP(tbl_MTG_Set[[#This Row],[Type Name]], tbl_MTG_Set_Type[Set Type], tbl_MTG_Set_Type[Heavy Printing Window Month Start], "(Set Type not found)", 0, 1)</f>
        <v>(Set Type not found)</v>
      </c>
      <c r="P266" s="3" t="e">
        <f>tbl_MTG_Set[[#This Row],[Released On]]+tbl_MTG_Set[[#This Row],[Heavy Printing Window Month Start]]*365.25/12</f>
        <v>#VALUE!</v>
      </c>
      <c r="Q266" t="str">
        <f>_xlfn.XLOOKUP(tbl_MTG_Set[[#This Row],[Type Name]], tbl_MTG_Set_Type[Set Type], tbl_MTG_Set_Type[Heavy Printing Window Month End], "(Set Type not found)", 0, 1)</f>
        <v>(Set Type not found)</v>
      </c>
      <c r="R266" s="3" t="e">
        <f>tbl_MTG_Set[[#This Row],[Released On]]+tbl_MTG_Set[[#This Row],[Heavy Printing Window Month End]]*365.25/12</f>
        <v>#VALUE!</v>
      </c>
      <c r="S266" s="3" t="e">
        <f ca="1">AND(NOW()&gt;=tbl_MTG_Set[[#This Row],[Heavy Printing Window Start]], NOW()&lt;=tbl_MTG_Set[[#This Row],[Heavy Printing Window End]])</f>
        <v>#VALUE!</v>
      </c>
      <c r="T266" t="str">
        <f>_xlfn.XLOOKUP(tbl_MTG_Set[[#This Row],[Type Name]], tbl_MTG_Set_Type[Set Type], tbl_MTG_Set_Type[Sell Window Month Start], "(Set Type not found)", 0, 1)</f>
        <v>(Set Type not found)</v>
      </c>
      <c r="U266" s="3" t="e">
        <f>tbl_MTG_Set[[#This Row],[Released On]]+tbl_MTG_Set[[#This Row],[Sell Window Month Start]]*365.25/12</f>
        <v>#VALUE!</v>
      </c>
      <c r="V266" t="str">
        <f>_xlfn.XLOOKUP(tbl_MTG_Set[[#This Row],[Type Name]], tbl_MTG_Set_Type[Set Type], tbl_MTG_Set_Type[Sell Window Month End], "(Set Type not found)", 0, 1)</f>
        <v>(Set Type not found)</v>
      </c>
      <c r="W266" s="3" t="e">
        <f>tbl_MTG_Set[[#This Row],[Released On]]+tbl_MTG_Set[[#This Row],[Sell Window Month End]]*365.25/12</f>
        <v>#VALUE!</v>
      </c>
      <c r="X266" s="3" t="e">
        <f ca="1">AND(NOW()&gt;=tbl_MTG_Set[[#This Row],[Sell Window Start]], NOW()&lt;=tbl_MTG_Set[[#This Row],[Sell Window End]])</f>
        <v>#VALUE!</v>
      </c>
      <c r="AG266" s="10"/>
      <c r="AH266" s="10"/>
      <c r="AM266" s="10" t="str" cm="1">
        <f t="array" ref="AM2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6" s="10" t="str" cm="1">
        <f t="array" ref="AN2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6" s="4" t="e">
        <f>_xlfn.XLOOKUP(tbl_MTG_Set[[#This Row],[Play Booster Box Product Id]], tbl_Product[Product Id], tbl_Product[Pack Size])</f>
        <v>#N/A</v>
      </c>
      <c r="AP266" s="10" t="e">
        <f>(tbl_MTG_Set[[#This Row],[Play Booster Box Cost]]+v_Item_Shipping_Cost_In)/tbl_MTG_Set[[#This Row],[Play Booster Box Size]]</f>
        <v>#VALUE!</v>
      </c>
      <c r="AQ266" s="10" t="str" cm="1">
        <f t="array" ref="AQ2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6" s="10"/>
      <c r="AS266" s="10"/>
      <c r="AT266" s="17" t="e">
        <f>tbl_MTG_Set[[#This Row],[Play Booster CardMarket Profit]]/tbl_MTG_Set[[#This Row],[Play Booster Cost]]</f>
        <v>#VALUE!</v>
      </c>
      <c r="AU266" s="10" t="e">
        <f>_xlfn.XLOOKUP(tbl_MTG_Set[[#This Row],[Collector Booster Box Product Id]], tbl_Product[Product Id], tbl_Product[Min Cost])</f>
        <v>#N/A</v>
      </c>
      <c r="AV266" s="10" t="e">
        <f>_xlfn.XLOOKUP(tbl_MTG_Set[[#This Row],[Collector Booster Box Product Id]], tbl_Product[Product Id], tbl_Product[Best Source])</f>
        <v>#N/A</v>
      </c>
      <c r="AW266" s="4" t="e">
        <f>_xlfn.XLOOKUP(tbl_MTG_Set[[#This Row],[Collector Booster Box Product Id]], tbl_Product[Product Id], tbl_Product[Pack Size])</f>
        <v>#N/A</v>
      </c>
      <c r="AX266" s="10" t="e">
        <f>(tbl_MTG_Set[[#This Row],[Collector Booster Box Cost]] + v_Item_Shipping_Cost_In) / tbl_MTG_Set[[#This Row],[Collector Booster Box Size]]</f>
        <v>#N/A</v>
      </c>
      <c r="AY266" s="10" t="str" cm="1">
        <f t="array" ref="AY2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6" s="10"/>
      <c r="BA2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6" s="17" t="e">
        <f>tbl_MTG_Set[[#This Row],[Collector Booster CardMarket Profit]]/tbl_MTG_Set[[#This Row],[Collector Booster Cost]]</f>
        <v>#N/A</v>
      </c>
      <c r="BC266" s="10"/>
      <c r="BF2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6" s="11" t="e">
        <f>tbl_MTG_Set[[#This Row],[Play Singles CardMarket Profit MTG Stocks]]/tbl_MTG_Set[[#This Row],[Play Booster Cost]]</f>
        <v>#VALUE!</v>
      </c>
      <c r="BI266" s="11" t="b">
        <f>tbl_MTG_Set[[#This Row],[Play Singles CardMarket Profit MTG Stocks]]&gt;0</f>
        <v>0</v>
      </c>
      <c r="BM266" s="10" t="e">
        <f>tbl_MTG_Set[[#This Row],[Play Booster Sell Price CardMarket]]*tbl_MTG_Set[[#This Row],[Play Booster Expected Market Value BotBox]]/tbl_MTG_Set[[#This Row],[Play Booster Sealed Market Value BotBox]]</f>
        <v>#VALUE!</v>
      </c>
      <c r="BN2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6" s="10" t="e">
        <f>tbl_MTG_Set[[#This Row],[Play Singles CardMarket Profit BotBox]]/tbl_MTG_Set[[#This Row],[Play Booster Cost]]</f>
        <v>#VALUE!</v>
      </c>
      <c r="BP266" s="10" t="b">
        <f>tbl_MTG_Set[[#This Row],[Play Singles CardMarket Profit BotBox]]&gt;0</f>
        <v>0</v>
      </c>
      <c r="BQ266" s="10"/>
      <c r="BR266" s="10"/>
      <c r="BS266" s="10"/>
      <c r="BT2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6" s="19" t="e">
        <f>tbl_MTG_Set[[#This Row],[Collector Singles CardMarket Profit MTG Stocks]]/tbl_MTG_Set[[#This Row],[Collector Booster Cost]]</f>
        <v>#N/A</v>
      </c>
      <c r="BW266" s="10" t="b">
        <f>tbl_MTG_Set[[#This Row],[Collector Singles CardMarket Profit MTG Stocks]]&gt;0</f>
        <v>0</v>
      </c>
      <c r="BX266" s="10"/>
      <c r="BY266" s="10"/>
      <c r="BZ2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6" s="10" t="e">
        <f>tbl_MTG_Set[[#This Row],[Collector Singles CardMarket Profit BotBox]]/tbl_MTG_Set[[#This Row],[Collector Booster Cost]]</f>
        <v>#N/A</v>
      </c>
      <c r="CC266" s="10" t="b">
        <f>tbl_MTG_Set[[#This Row],[Collector Singles CardMarket Profit BotBox]]&gt;0</f>
        <v>0</v>
      </c>
      <c r="CD2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7" spans="1:86" hidden="1">
      <c r="A267">
        <v>291</v>
      </c>
      <c r="B267" t="s">
        <v>440</v>
      </c>
      <c r="C267">
        <v>3</v>
      </c>
      <c r="D267" s="3">
        <v>44610</v>
      </c>
      <c r="E267" t="s">
        <v>59</v>
      </c>
      <c r="F267" t="s">
        <v>174</v>
      </c>
      <c r="G267">
        <v>528</v>
      </c>
      <c r="H267">
        <f ca="1">MONTH(NOW())+12*YEAR(NOW())-MONTH(tbl_MTG_Set[[#This Row],[Released On]])-12*YEAR(tbl_MTG_Set[[#This Row],[Released On]])</f>
        <v>49</v>
      </c>
      <c r="I267">
        <f>_xlfn.XLOOKUP(tbl_MTG_Set[[#This Row],[Type Name]], tbl_MTG_Set_Type[Set Type], tbl_MTG_Set_Type[Index], "(Set Type not found)")</f>
        <v>1</v>
      </c>
      <c r="J267">
        <f>_xlfn.XLOOKUP(tbl_MTG_Set[[#This Row],[Type Name]], tbl_MTG_Set_Type[Set Type], tbl_MTG_Set_Type[Buy Window Month Start], "(Set Type not found)")</f>
        <v>18</v>
      </c>
      <c r="K267" s="3">
        <f>tbl_MTG_Set[[#This Row],[Released On]]+tbl_MTG_Set[[#This Row],[Buy Window Month Start]]*365.25/12</f>
        <v>45157.875</v>
      </c>
      <c r="L267">
        <f>_xlfn.XLOOKUP(tbl_MTG_Set[[#This Row],[Type Name]], tbl_MTG_Set_Type[Set Type], tbl_MTG_Set_Type[Buy Window Month End], "(Set Type not found)", 0, 1)</f>
        <v>24</v>
      </c>
      <c r="M267" s="3">
        <f>tbl_MTG_Set[[#This Row],[Released On]]+tbl_MTG_Set[[#This Row],[Buy Window Month End]]*365.25/12</f>
        <v>45340.5</v>
      </c>
      <c r="N267" s="3" t="b">
        <f ca="1">AND(NOW()&gt;=tbl_MTG_Set[[#This Row],[Buy Window Start]], NOW()&lt;=tbl_MTG_Set[[#This Row],[Buy Window End]])</f>
        <v>0</v>
      </c>
      <c r="O267">
        <f>_xlfn.XLOOKUP(tbl_MTG_Set[[#This Row],[Type Name]], tbl_MTG_Set_Type[Set Type], tbl_MTG_Set_Type[Heavy Printing Window Month Start], "(Set Type not found)", 0, 1)</f>
        <v>1</v>
      </c>
      <c r="P267" s="3">
        <f>tbl_MTG_Set[[#This Row],[Released On]]+tbl_MTG_Set[[#This Row],[Heavy Printing Window Month Start]]*365.25/12</f>
        <v>44640.4375</v>
      </c>
      <c r="Q267">
        <f>_xlfn.XLOOKUP(tbl_MTG_Set[[#This Row],[Type Name]], tbl_MTG_Set_Type[Set Type], tbl_MTG_Set_Type[Heavy Printing Window Month End], "(Set Type not found)", 0, 1)</f>
        <v>18</v>
      </c>
      <c r="R267" s="3">
        <f>tbl_MTG_Set[[#This Row],[Released On]]+tbl_MTG_Set[[#This Row],[Heavy Printing Window Month End]]*365.25/12</f>
        <v>45157.875</v>
      </c>
      <c r="S267" s="3" t="b">
        <f ca="1">AND(NOW()&gt;=tbl_MTG_Set[[#This Row],[Heavy Printing Window Start]], NOW()&lt;=tbl_MTG_Set[[#This Row],[Heavy Printing Window End]])</f>
        <v>0</v>
      </c>
      <c r="T267">
        <f>_xlfn.XLOOKUP(tbl_MTG_Set[[#This Row],[Type Name]], tbl_MTG_Set_Type[Set Type], tbl_MTG_Set_Type[Sell Window Month Start], "(Set Type not found)", 0, 1)</f>
        <v>36</v>
      </c>
      <c r="U267" s="3">
        <f>tbl_MTG_Set[[#This Row],[Released On]]+tbl_MTG_Set[[#This Row],[Sell Window Month Start]]*365.25/12</f>
        <v>45705.75</v>
      </c>
      <c r="V267">
        <f>_xlfn.XLOOKUP(tbl_MTG_Set[[#This Row],[Type Name]], tbl_MTG_Set_Type[Set Type], tbl_MTG_Set_Type[Sell Window Month End], "(Set Type not found)", 0, 1)</f>
        <v>48</v>
      </c>
      <c r="W267" s="3">
        <f>tbl_MTG_Set[[#This Row],[Released On]]+tbl_MTG_Set[[#This Row],[Sell Window Month End]]*365.25/12</f>
        <v>46071</v>
      </c>
      <c r="X267" s="3" t="b">
        <f ca="1">AND(NOW()&gt;=tbl_MTG_Set[[#This Row],[Sell Window Start]], NOW()&lt;=tbl_MTG_Set[[#This Row],[Sell Window End]])</f>
        <v>0</v>
      </c>
      <c r="AG267" s="10"/>
      <c r="AH267" s="10"/>
      <c r="AM267" s="10" t="str" cm="1">
        <f t="array" ref="AM2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7" s="10" t="str" cm="1">
        <f t="array" ref="AN2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7" s="4" t="e">
        <f>_xlfn.XLOOKUP(tbl_MTG_Set[[#This Row],[Play Booster Box Product Id]], tbl_Product[Product Id], tbl_Product[Pack Size])</f>
        <v>#N/A</v>
      </c>
      <c r="AP267" s="10" t="e">
        <f>(tbl_MTG_Set[[#This Row],[Play Booster Box Cost]]+v_Item_Shipping_Cost_In)/tbl_MTG_Set[[#This Row],[Play Booster Box Size]]</f>
        <v>#VALUE!</v>
      </c>
      <c r="AQ267" s="10" t="str" cm="1">
        <f t="array" ref="AQ2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7" s="10"/>
      <c r="AS267" s="10"/>
      <c r="AT267" s="17" t="e">
        <f>tbl_MTG_Set[[#This Row],[Play Booster CardMarket Profit]]/tbl_MTG_Set[[#This Row],[Play Booster Cost]]</f>
        <v>#VALUE!</v>
      </c>
      <c r="AU267" s="10" t="e">
        <f>_xlfn.XLOOKUP(tbl_MTG_Set[[#This Row],[Collector Booster Box Product Id]], tbl_Product[Product Id], tbl_Product[Min Cost])</f>
        <v>#N/A</v>
      </c>
      <c r="AV267" s="10" t="e">
        <f>_xlfn.XLOOKUP(tbl_MTG_Set[[#This Row],[Collector Booster Box Product Id]], tbl_Product[Product Id], tbl_Product[Best Source])</f>
        <v>#N/A</v>
      </c>
      <c r="AW267" s="4" t="e">
        <f>_xlfn.XLOOKUP(tbl_MTG_Set[[#This Row],[Collector Booster Box Product Id]], tbl_Product[Product Id], tbl_Product[Pack Size])</f>
        <v>#N/A</v>
      </c>
      <c r="AX267" s="10" t="e">
        <f>(tbl_MTG_Set[[#This Row],[Collector Booster Box Cost]] + v_Item_Shipping_Cost_In) / tbl_MTG_Set[[#This Row],[Collector Booster Box Size]]</f>
        <v>#N/A</v>
      </c>
      <c r="AY267" s="10" t="str" cm="1">
        <f t="array" ref="AY2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7" s="10"/>
      <c r="BA2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7" s="17" t="e">
        <f>tbl_MTG_Set[[#This Row],[Collector Booster CardMarket Profit]]/tbl_MTG_Set[[#This Row],[Collector Booster Cost]]</f>
        <v>#N/A</v>
      </c>
      <c r="BC267" s="10"/>
      <c r="BF2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7" s="11" t="e">
        <f>tbl_MTG_Set[[#This Row],[Play Singles CardMarket Profit MTG Stocks]]/tbl_MTG_Set[[#This Row],[Play Booster Cost]]</f>
        <v>#VALUE!</v>
      </c>
      <c r="BI267" s="11" t="b">
        <f>tbl_MTG_Set[[#This Row],[Play Singles CardMarket Profit MTG Stocks]]&gt;0</f>
        <v>0</v>
      </c>
      <c r="BM267" s="10" t="e">
        <f>tbl_MTG_Set[[#This Row],[Play Booster Sell Price CardMarket]]*tbl_MTG_Set[[#This Row],[Play Booster Expected Market Value BotBox]]/tbl_MTG_Set[[#This Row],[Play Booster Sealed Market Value BotBox]]</f>
        <v>#VALUE!</v>
      </c>
      <c r="BN2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7" s="10" t="e">
        <f>tbl_MTG_Set[[#This Row],[Play Singles CardMarket Profit BotBox]]/tbl_MTG_Set[[#This Row],[Play Booster Cost]]</f>
        <v>#VALUE!</v>
      </c>
      <c r="BP267" s="10" t="b">
        <f>tbl_MTG_Set[[#This Row],[Play Singles CardMarket Profit BotBox]]&gt;0</f>
        <v>0</v>
      </c>
      <c r="BQ267" s="10"/>
      <c r="BR267" s="10"/>
      <c r="BS267" s="10"/>
      <c r="BT2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7" s="19" t="e">
        <f>tbl_MTG_Set[[#This Row],[Collector Singles CardMarket Profit MTG Stocks]]/tbl_MTG_Set[[#This Row],[Collector Booster Cost]]</f>
        <v>#N/A</v>
      </c>
      <c r="BW267" s="10" t="b">
        <f>tbl_MTG_Set[[#This Row],[Collector Singles CardMarket Profit MTG Stocks]]&gt;0</f>
        <v>0</v>
      </c>
      <c r="BX267" s="10"/>
      <c r="BY267" s="10"/>
      <c r="BZ2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7" s="10" t="e">
        <f>tbl_MTG_Set[[#This Row],[Collector Singles CardMarket Profit BotBox]]/tbl_MTG_Set[[#This Row],[Collector Booster Cost]]</f>
        <v>#N/A</v>
      </c>
      <c r="CC267" s="10" t="b">
        <f>tbl_MTG_Set[[#This Row],[Collector Singles CardMarket Profit BotBox]]&gt;0</f>
        <v>0</v>
      </c>
      <c r="CD2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8" spans="1:86" hidden="1">
      <c r="A268">
        <v>292</v>
      </c>
      <c r="B268" t="s">
        <v>441</v>
      </c>
      <c r="C268">
        <v>9</v>
      </c>
      <c r="D268" s="3">
        <v>44610</v>
      </c>
      <c r="E268" t="s">
        <v>59</v>
      </c>
      <c r="F268" t="s">
        <v>174</v>
      </c>
      <c r="G268">
        <v>530</v>
      </c>
      <c r="H268">
        <f ca="1">MONTH(NOW())+12*YEAR(NOW())-MONTH(tbl_MTG_Set[[#This Row],[Released On]])-12*YEAR(tbl_MTG_Set[[#This Row],[Released On]])</f>
        <v>49</v>
      </c>
      <c r="I268">
        <f>_xlfn.XLOOKUP(tbl_MTG_Set[[#This Row],[Type Name]], tbl_MTG_Set_Type[Set Type], tbl_MTG_Set_Type[Index], "(Set Type not found)")</f>
        <v>1</v>
      </c>
      <c r="J268">
        <f>_xlfn.XLOOKUP(tbl_MTG_Set[[#This Row],[Type Name]], tbl_MTG_Set_Type[Set Type], tbl_MTG_Set_Type[Buy Window Month Start], "(Set Type not found)")</f>
        <v>18</v>
      </c>
      <c r="K268" s="3">
        <f>tbl_MTG_Set[[#This Row],[Released On]]+tbl_MTG_Set[[#This Row],[Buy Window Month Start]]*365.25/12</f>
        <v>45157.875</v>
      </c>
      <c r="L268">
        <f>_xlfn.XLOOKUP(tbl_MTG_Set[[#This Row],[Type Name]], tbl_MTG_Set_Type[Set Type], tbl_MTG_Set_Type[Buy Window Month End], "(Set Type not found)", 0, 1)</f>
        <v>24</v>
      </c>
      <c r="M268" s="3">
        <f>tbl_MTG_Set[[#This Row],[Released On]]+tbl_MTG_Set[[#This Row],[Buy Window Month End]]*365.25/12</f>
        <v>45340.5</v>
      </c>
      <c r="N268" s="3" t="b">
        <f ca="1">AND(NOW()&gt;=tbl_MTG_Set[[#This Row],[Buy Window Start]], NOW()&lt;=tbl_MTG_Set[[#This Row],[Buy Window End]])</f>
        <v>0</v>
      </c>
      <c r="O268">
        <f>_xlfn.XLOOKUP(tbl_MTG_Set[[#This Row],[Type Name]], tbl_MTG_Set_Type[Set Type], tbl_MTG_Set_Type[Heavy Printing Window Month Start], "(Set Type not found)", 0, 1)</f>
        <v>1</v>
      </c>
      <c r="P268" s="3">
        <f>tbl_MTG_Set[[#This Row],[Released On]]+tbl_MTG_Set[[#This Row],[Heavy Printing Window Month Start]]*365.25/12</f>
        <v>44640.4375</v>
      </c>
      <c r="Q268">
        <f>_xlfn.XLOOKUP(tbl_MTG_Set[[#This Row],[Type Name]], tbl_MTG_Set_Type[Set Type], tbl_MTG_Set_Type[Heavy Printing Window Month End], "(Set Type not found)", 0, 1)</f>
        <v>18</v>
      </c>
      <c r="R268" s="3">
        <f>tbl_MTG_Set[[#This Row],[Released On]]+tbl_MTG_Set[[#This Row],[Heavy Printing Window Month End]]*365.25/12</f>
        <v>45157.875</v>
      </c>
      <c r="S268" s="3" t="b">
        <f ca="1">AND(NOW()&gt;=tbl_MTG_Set[[#This Row],[Heavy Printing Window Start]], NOW()&lt;=tbl_MTG_Set[[#This Row],[Heavy Printing Window End]])</f>
        <v>0</v>
      </c>
      <c r="T268">
        <f>_xlfn.XLOOKUP(tbl_MTG_Set[[#This Row],[Type Name]], tbl_MTG_Set_Type[Set Type], tbl_MTG_Set_Type[Sell Window Month Start], "(Set Type not found)", 0, 1)</f>
        <v>36</v>
      </c>
      <c r="U268" s="3">
        <f>tbl_MTG_Set[[#This Row],[Released On]]+tbl_MTG_Set[[#This Row],[Sell Window Month Start]]*365.25/12</f>
        <v>45705.75</v>
      </c>
      <c r="V268">
        <f>_xlfn.XLOOKUP(tbl_MTG_Set[[#This Row],[Type Name]], tbl_MTG_Set_Type[Set Type], tbl_MTG_Set_Type[Sell Window Month End], "(Set Type not found)", 0, 1)</f>
        <v>48</v>
      </c>
      <c r="W268" s="3">
        <f>tbl_MTG_Set[[#This Row],[Released On]]+tbl_MTG_Set[[#This Row],[Sell Window Month End]]*365.25/12</f>
        <v>46071</v>
      </c>
      <c r="X268" s="3" t="b">
        <f ca="1">AND(NOW()&gt;=tbl_MTG_Set[[#This Row],[Sell Window Start]], NOW()&lt;=tbl_MTG_Set[[#This Row],[Sell Window End]])</f>
        <v>0</v>
      </c>
      <c r="AG268" s="10"/>
      <c r="AH268" s="10"/>
      <c r="AM268" s="10" t="str" cm="1">
        <f t="array" ref="AM2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8" s="10" t="str" cm="1">
        <f t="array" ref="AN2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8" s="4" t="e">
        <f>_xlfn.XLOOKUP(tbl_MTG_Set[[#This Row],[Play Booster Box Product Id]], tbl_Product[Product Id], tbl_Product[Pack Size])</f>
        <v>#N/A</v>
      </c>
      <c r="AP268" s="10" t="e">
        <f>(tbl_MTG_Set[[#This Row],[Play Booster Box Cost]]+v_Item_Shipping_Cost_In)/tbl_MTG_Set[[#This Row],[Play Booster Box Size]]</f>
        <v>#VALUE!</v>
      </c>
      <c r="AQ268" s="10" t="str" cm="1">
        <f t="array" ref="AQ2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8" s="10"/>
      <c r="AS268" s="10"/>
      <c r="AT268" s="17" t="e">
        <f>tbl_MTG_Set[[#This Row],[Play Booster CardMarket Profit]]/tbl_MTG_Set[[#This Row],[Play Booster Cost]]</f>
        <v>#VALUE!</v>
      </c>
      <c r="AU268" s="10" t="e">
        <f>_xlfn.XLOOKUP(tbl_MTG_Set[[#This Row],[Collector Booster Box Product Id]], tbl_Product[Product Id], tbl_Product[Min Cost])</f>
        <v>#N/A</v>
      </c>
      <c r="AV268" s="10" t="e">
        <f>_xlfn.XLOOKUP(tbl_MTG_Set[[#This Row],[Collector Booster Box Product Id]], tbl_Product[Product Id], tbl_Product[Best Source])</f>
        <v>#N/A</v>
      </c>
      <c r="AW268" s="4" t="e">
        <f>_xlfn.XLOOKUP(tbl_MTG_Set[[#This Row],[Collector Booster Box Product Id]], tbl_Product[Product Id], tbl_Product[Pack Size])</f>
        <v>#N/A</v>
      </c>
      <c r="AX268" s="10" t="e">
        <f>(tbl_MTG_Set[[#This Row],[Collector Booster Box Cost]] + v_Item_Shipping_Cost_In) / tbl_MTG_Set[[#This Row],[Collector Booster Box Size]]</f>
        <v>#N/A</v>
      </c>
      <c r="AY268" s="10" t="str" cm="1">
        <f t="array" ref="AY2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8" s="10"/>
      <c r="BA2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8" s="17" t="e">
        <f>tbl_MTG_Set[[#This Row],[Collector Booster CardMarket Profit]]/tbl_MTG_Set[[#This Row],[Collector Booster Cost]]</f>
        <v>#N/A</v>
      </c>
      <c r="BC268" s="10"/>
      <c r="BF2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8" s="11" t="e">
        <f>tbl_MTG_Set[[#This Row],[Play Singles CardMarket Profit MTG Stocks]]/tbl_MTG_Set[[#This Row],[Play Booster Cost]]</f>
        <v>#VALUE!</v>
      </c>
      <c r="BI268" s="11" t="b">
        <f>tbl_MTG_Set[[#This Row],[Play Singles CardMarket Profit MTG Stocks]]&gt;0</f>
        <v>0</v>
      </c>
      <c r="BM268" s="10" t="e">
        <f>tbl_MTG_Set[[#This Row],[Play Booster Sell Price CardMarket]]*tbl_MTG_Set[[#This Row],[Play Booster Expected Market Value BotBox]]/tbl_MTG_Set[[#This Row],[Play Booster Sealed Market Value BotBox]]</f>
        <v>#VALUE!</v>
      </c>
      <c r="BN2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8" s="10" t="e">
        <f>tbl_MTG_Set[[#This Row],[Play Singles CardMarket Profit BotBox]]/tbl_MTG_Set[[#This Row],[Play Booster Cost]]</f>
        <v>#VALUE!</v>
      </c>
      <c r="BP268" s="10" t="b">
        <f>tbl_MTG_Set[[#This Row],[Play Singles CardMarket Profit BotBox]]&gt;0</f>
        <v>0</v>
      </c>
      <c r="BQ268" s="10"/>
      <c r="BR268" s="10"/>
      <c r="BS268" s="10"/>
      <c r="BT2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8" s="19" t="e">
        <f>tbl_MTG_Set[[#This Row],[Collector Singles CardMarket Profit MTG Stocks]]/tbl_MTG_Set[[#This Row],[Collector Booster Cost]]</f>
        <v>#N/A</v>
      </c>
      <c r="BW268" s="10" t="b">
        <f>tbl_MTG_Set[[#This Row],[Collector Singles CardMarket Profit MTG Stocks]]&gt;0</f>
        <v>0</v>
      </c>
      <c r="BX268" s="10"/>
      <c r="BY268" s="10"/>
      <c r="BZ2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8" s="10" t="e">
        <f>tbl_MTG_Set[[#This Row],[Collector Singles CardMarket Profit BotBox]]/tbl_MTG_Set[[#This Row],[Collector Booster Cost]]</f>
        <v>#N/A</v>
      </c>
      <c r="CC268" s="10" t="b">
        <f>tbl_MTG_Set[[#This Row],[Collector Singles CardMarket Profit BotBox]]&gt;0</f>
        <v>0</v>
      </c>
      <c r="CD2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69" spans="1:86" hidden="1">
      <c r="A269">
        <v>293</v>
      </c>
      <c r="B269" t="s">
        <v>442</v>
      </c>
      <c r="C269">
        <v>179</v>
      </c>
      <c r="D269" s="3">
        <v>44610</v>
      </c>
      <c r="F269" t="s">
        <v>174</v>
      </c>
      <c r="G269">
        <v>532</v>
      </c>
      <c r="H269">
        <f ca="1">MONTH(NOW())+12*YEAR(NOW())-MONTH(tbl_MTG_Set[[#This Row],[Released On]])-12*YEAR(tbl_MTG_Set[[#This Row],[Released On]])</f>
        <v>49</v>
      </c>
      <c r="I269" t="str">
        <f>_xlfn.XLOOKUP(tbl_MTG_Set[[#This Row],[Type Name]], tbl_MTG_Set_Type[Set Type], tbl_MTG_Set_Type[Index], "(Set Type not found)")</f>
        <v>(Set Type not found)</v>
      </c>
      <c r="J269" t="str">
        <f>_xlfn.XLOOKUP(tbl_MTG_Set[[#This Row],[Type Name]], tbl_MTG_Set_Type[Set Type], tbl_MTG_Set_Type[Buy Window Month Start], "(Set Type not found)")</f>
        <v>(Set Type not found)</v>
      </c>
      <c r="K269" s="3" t="e">
        <f>tbl_MTG_Set[[#This Row],[Released On]]+tbl_MTG_Set[[#This Row],[Buy Window Month Start]]*365.25/12</f>
        <v>#VALUE!</v>
      </c>
      <c r="L269" t="str">
        <f>_xlfn.XLOOKUP(tbl_MTG_Set[[#This Row],[Type Name]], tbl_MTG_Set_Type[Set Type], tbl_MTG_Set_Type[Buy Window Month End], "(Set Type not found)", 0, 1)</f>
        <v>(Set Type not found)</v>
      </c>
      <c r="M269" s="3" t="e">
        <f>tbl_MTG_Set[[#This Row],[Released On]]+tbl_MTG_Set[[#This Row],[Buy Window Month End]]*365.25/12</f>
        <v>#VALUE!</v>
      </c>
      <c r="N269" s="3" t="e">
        <f ca="1">AND(NOW()&gt;=tbl_MTG_Set[[#This Row],[Buy Window Start]], NOW()&lt;=tbl_MTG_Set[[#This Row],[Buy Window End]])</f>
        <v>#VALUE!</v>
      </c>
      <c r="O269" t="str">
        <f>_xlfn.XLOOKUP(tbl_MTG_Set[[#This Row],[Type Name]], tbl_MTG_Set_Type[Set Type], tbl_MTG_Set_Type[Heavy Printing Window Month Start], "(Set Type not found)", 0, 1)</f>
        <v>(Set Type not found)</v>
      </c>
      <c r="P269" s="3" t="e">
        <f>tbl_MTG_Set[[#This Row],[Released On]]+tbl_MTG_Set[[#This Row],[Heavy Printing Window Month Start]]*365.25/12</f>
        <v>#VALUE!</v>
      </c>
      <c r="Q269" t="str">
        <f>_xlfn.XLOOKUP(tbl_MTG_Set[[#This Row],[Type Name]], tbl_MTG_Set_Type[Set Type], tbl_MTG_Set_Type[Heavy Printing Window Month End], "(Set Type not found)", 0, 1)</f>
        <v>(Set Type not found)</v>
      </c>
      <c r="R269" s="3" t="e">
        <f>tbl_MTG_Set[[#This Row],[Released On]]+tbl_MTG_Set[[#This Row],[Heavy Printing Window Month End]]*365.25/12</f>
        <v>#VALUE!</v>
      </c>
      <c r="S269" s="3" t="e">
        <f ca="1">AND(NOW()&gt;=tbl_MTG_Set[[#This Row],[Heavy Printing Window Start]], NOW()&lt;=tbl_MTG_Set[[#This Row],[Heavy Printing Window End]])</f>
        <v>#VALUE!</v>
      </c>
      <c r="T269" t="str">
        <f>_xlfn.XLOOKUP(tbl_MTG_Set[[#This Row],[Type Name]], tbl_MTG_Set_Type[Set Type], tbl_MTG_Set_Type[Sell Window Month Start], "(Set Type not found)", 0, 1)</f>
        <v>(Set Type not found)</v>
      </c>
      <c r="U269" s="3" t="e">
        <f>tbl_MTG_Set[[#This Row],[Released On]]+tbl_MTG_Set[[#This Row],[Sell Window Month Start]]*365.25/12</f>
        <v>#VALUE!</v>
      </c>
      <c r="V269" t="str">
        <f>_xlfn.XLOOKUP(tbl_MTG_Set[[#This Row],[Type Name]], tbl_MTG_Set_Type[Set Type], tbl_MTG_Set_Type[Sell Window Month End], "(Set Type not found)", 0, 1)</f>
        <v>(Set Type not found)</v>
      </c>
      <c r="W269" s="3" t="e">
        <f>tbl_MTG_Set[[#This Row],[Released On]]+tbl_MTG_Set[[#This Row],[Sell Window Month End]]*365.25/12</f>
        <v>#VALUE!</v>
      </c>
      <c r="X269" s="3" t="e">
        <f ca="1">AND(NOW()&gt;=tbl_MTG_Set[[#This Row],[Sell Window Start]], NOW()&lt;=tbl_MTG_Set[[#This Row],[Sell Window End]])</f>
        <v>#VALUE!</v>
      </c>
      <c r="AG269" s="10"/>
      <c r="AH269" s="10"/>
      <c r="AM269" s="10" t="str" cm="1">
        <f t="array" ref="AM2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69" s="10" t="str" cm="1">
        <f t="array" ref="AN2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69" s="4" t="e">
        <f>_xlfn.XLOOKUP(tbl_MTG_Set[[#This Row],[Play Booster Box Product Id]], tbl_Product[Product Id], tbl_Product[Pack Size])</f>
        <v>#N/A</v>
      </c>
      <c r="AP269" s="10" t="e">
        <f>(tbl_MTG_Set[[#This Row],[Play Booster Box Cost]]+v_Item_Shipping_Cost_In)/tbl_MTG_Set[[#This Row],[Play Booster Box Size]]</f>
        <v>#VALUE!</v>
      </c>
      <c r="AQ269" s="10" t="str" cm="1">
        <f t="array" ref="AQ2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69" s="10"/>
      <c r="AS269" s="10"/>
      <c r="AT269" s="17" t="e">
        <f>tbl_MTG_Set[[#This Row],[Play Booster CardMarket Profit]]/tbl_MTG_Set[[#This Row],[Play Booster Cost]]</f>
        <v>#VALUE!</v>
      </c>
      <c r="AU269" s="10" t="e">
        <f>_xlfn.XLOOKUP(tbl_MTG_Set[[#This Row],[Collector Booster Box Product Id]], tbl_Product[Product Id], tbl_Product[Min Cost])</f>
        <v>#N/A</v>
      </c>
      <c r="AV269" s="10" t="e">
        <f>_xlfn.XLOOKUP(tbl_MTG_Set[[#This Row],[Collector Booster Box Product Id]], tbl_Product[Product Id], tbl_Product[Best Source])</f>
        <v>#N/A</v>
      </c>
      <c r="AW269" s="4" t="e">
        <f>_xlfn.XLOOKUP(tbl_MTG_Set[[#This Row],[Collector Booster Box Product Id]], tbl_Product[Product Id], tbl_Product[Pack Size])</f>
        <v>#N/A</v>
      </c>
      <c r="AX269" s="10" t="e">
        <f>(tbl_MTG_Set[[#This Row],[Collector Booster Box Cost]] + v_Item_Shipping_Cost_In) / tbl_MTG_Set[[#This Row],[Collector Booster Box Size]]</f>
        <v>#N/A</v>
      </c>
      <c r="AY269" s="10" t="str" cm="1">
        <f t="array" ref="AY2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69" s="10"/>
      <c r="BA2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69" s="17" t="e">
        <f>tbl_MTG_Set[[#This Row],[Collector Booster CardMarket Profit]]/tbl_MTG_Set[[#This Row],[Collector Booster Cost]]</f>
        <v>#N/A</v>
      </c>
      <c r="BC269" s="10"/>
      <c r="BF2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69" s="11" t="e">
        <f>tbl_MTG_Set[[#This Row],[Play Singles CardMarket Profit MTG Stocks]]/tbl_MTG_Set[[#This Row],[Play Booster Cost]]</f>
        <v>#VALUE!</v>
      </c>
      <c r="BI269" s="11" t="b">
        <f>tbl_MTG_Set[[#This Row],[Play Singles CardMarket Profit MTG Stocks]]&gt;0</f>
        <v>0</v>
      </c>
      <c r="BM269" s="10" t="e">
        <f>tbl_MTG_Set[[#This Row],[Play Booster Sell Price CardMarket]]*tbl_MTG_Set[[#This Row],[Play Booster Expected Market Value BotBox]]/tbl_MTG_Set[[#This Row],[Play Booster Sealed Market Value BotBox]]</f>
        <v>#VALUE!</v>
      </c>
      <c r="BN2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69" s="10" t="e">
        <f>tbl_MTG_Set[[#This Row],[Play Singles CardMarket Profit BotBox]]/tbl_MTG_Set[[#This Row],[Play Booster Cost]]</f>
        <v>#VALUE!</v>
      </c>
      <c r="BP269" s="10" t="b">
        <f>tbl_MTG_Set[[#This Row],[Play Singles CardMarket Profit BotBox]]&gt;0</f>
        <v>0</v>
      </c>
      <c r="BQ269" s="10"/>
      <c r="BR269" s="10"/>
      <c r="BS269" s="10"/>
      <c r="BT2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69" s="19" t="e">
        <f>tbl_MTG_Set[[#This Row],[Collector Singles CardMarket Profit MTG Stocks]]/tbl_MTG_Set[[#This Row],[Collector Booster Cost]]</f>
        <v>#N/A</v>
      </c>
      <c r="BW269" s="10" t="b">
        <f>tbl_MTG_Set[[#This Row],[Collector Singles CardMarket Profit MTG Stocks]]&gt;0</f>
        <v>0</v>
      </c>
      <c r="BX269" s="10"/>
      <c r="BY269" s="10"/>
      <c r="BZ2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69" s="10" t="e">
        <f>tbl_MTG_Set[[#This Row],[Collector Singles CardMarket Profit BotBox]]/tbl_MTG_Set[[#This Row],[Collector Booster Cost]]</f>
        <v>#N/A</v>
      </c>
      <c r="CC269" s="10" t="b">
        <f>tbl_MTG_Set[[#This Row],[Collector Singles CardMarket Profit BotBox]]&gt;0</f>
        <v>0</v>
      </c>
      <c r="CD2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0" spans="1:86" hidden="1">
      <c r="A270">
        <v>294</v>
      </c>
      <c r="B270" t="s">
        <v>443</v>
      </c>
      <c r="C270">
        <v>12</v>
      </c>
      <c r="D270" s="3">
        <v>44610</v>
      </c>
      <c r="F270" t="s">
        <v>174</v>
      </c>
      <c r="G270">
        <v>534</v>
      </c>
      <c r="H270">
        <f ca="1">MONTH(NOW())+12*YEAR(NOW())-MONTH(tbl_MTG_Set[[#This Row],[Released On]])-12*YEAR(tbl_MTG_Set[[#This Row],[Released On]])</f>
        <v>49</v>
      </c>
      <c r="I270" t="str">
        <f>_xlfn.XLOOKUP(tbl_MTG_Set[[#This Row],[Type Name]], tbl_MTG_Set_Type[Set Type], tbl_MTG_Set_Type[Index], "(Set Type not found)")</f>
        <v>(Set Type not found)</v>
      </c>
      <c r="J270" t="str">
        <f>_xlfn.XLOOKUP(tbl_MTG_Set[[#This Row],[Type Name]], tbl_MTG_Set_Type[Set Type], tbl_MTG_Set_Type[Buy Window Month Start], "(Set Type not found)")</f>
        <v>(Set Type not found)</v>
      </c>
      <c r="K270" s="3" t="e">
        <f>tbl_MTG_Set[[#This Row],[Released On]]+tbl_MTG_Set[[#This Row],[Buy Window Month Start]]*365.25/12</f>
        <v>#VALUE!</v>
      </c>
      <c r="L270" t="str">
        <f>_xlfn.XLOOKUP(tbl_MTG_Set[[#This Row],[Type Name]], tbl_MTG_Set_Type[Set Type], tbl_MTG_Set_Type[Buy Window Month End], "(Set Type not found)", 0, 1)</f>
        <v>(Set Type not found)</v>
      </c>
      <c r="M270" s="3" t="e">
        <f>tbl_MTG_Set[[#This Row],[Released On]]+tbl_MTG_Set[[#This Row],[Buy Window Month End]]*365.25/12</f>
        <v>#VALUE!</v>
      </c>
      <c r="N270" s="3" t="e">
        <f ca="1">AND(NOW()&gt;=tbl_MTG_Set[[#This Row],[Buy Window Start]], NOW()&lt;=tbl_MTG_Set[[#This Row],[Buy Window End]])</f>
        <v>#VALUE!</v>
      </c>
      <c r="O270" t="str">
        <f>_xlfn.XLOOKUP(tbl_MTG_Set[[#This Row],[Type Name]], tbl_MTG_Set_Type[Set Type], tbl_MTG_Set_Type[Heavy Printing Window Month Start], "(Set Type not found)", 0, 1)</f>
        <v>(Set Type not found)</v>
      </c>
      <c r="P270" s="3" t="e">
        <f>tbl_MTG_Set[[#This Row],[Released On]]+tbl_MTG_Set[[#This Row],[Heavy Printing Window Month Start]]*365.25/12</f>
        <v>#VALUE!</v>
      </c>
      <c r="Q270" t="str">
        <f>_xlfn.XLOOKUP(tbl_MTG_Set[[#This Row],[Type Name]], tbl_MTG_Set_Type[Set Type], tbl_MTG_Set_Type[Heavy Printing Window Month End], "(Set Type not found)", 0, 1)</f>
        <v>(Set Type not found)</v>
      </c>
      <c r="R270" s="3" t="e">
        <f>tbl_MTG_Set[[#This Row],[Released On]]+tbl_MTG_Set[[#This Row],[Heavy Printing Window Month End]]*365.25/12</f>
        <v>#VALUE!</v>
      </c>
      <c r="S270" s="3" t="e">
        <f ca="1">AND(NOW()&gt;=tbl_MTG_Set[[#This Row],[Heavy Printing Window Start]], NOW()&lt;=tbl_MTG_Set[[#This Row],[Heavy Printing Window End]])</f>
        <v>#VALUE!</v>
      </c>
      <c r="T270" t="str">
        <f>_xlfn.XLOOKUP(tbl_MTG_Set[[#This Row],[Type Name]], tbl_MTG_Set_Type[Set Type], tbl_MTG_Set_Type[Sell Window Month Start], "(Set Type not found)", 0, 1)</f>
        <v>(Set Type not found)</v>
      </c>
      <c r="U270" s="3" t="e">
        <f>tbl_MTG_Set[[#This Row],[Released On]]+tbl_MTG_Set[[#This Row],[Sell Window Month Start]]*365.25/12</f>
        <v>#VALUE!</v>
      </c>
      <c r="V270" t="str">
        <f>_xlfn.XLOOKUP(tbl_MTG_Set[[#This Row],[Type Name]], tbl_MTG_Set_Type[Set Type], tbl_MTG_Set_Type[Sell Window Month End], "(Set Type not found)", 0, 1)</f>
        <v>(Set Type not found)</v>
      </c>
      <c r="W270" s="3" t="e">
        <f>tbl_MTG_Set[[#This Row],[Released On]]+tbl_MTG_Set[[#This Row],[Sell Window Month End]]*365.25/12</f>
        <v>#VALUE!</v>
      </c>
      <c r="X270" s="3" t="e">
        <f ca="1">AND(NOW()&gt;=tbl_MTG_Set[[#This Row],[Sell Window Start]], NOW()&lt;=tbl_MTG_Set[[#This Row],[Sell Window End]])</f>
        <v>#VALUE!</v>
      </c>
      <c r="AG270" s="10"/>
      <c r="AH270" s="10"/>
      <c r="AM270" s="10" t="str" cm="1">
        <f t="array" ref="AM2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0" s="10" t="str" cm="1">
        <f t="array" ref="AN2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0" s="4" t="e">
        <f>_xlfn.XLOOKUP(tbl_MTG_Set[[#This Row],[Play Booster Box Product Id]], tbl_Product[Product Id], tbl_Product[Pack Size])</f>
        <v>#N/A</v>
      </c>
      <c r="AP270" s="10" t="e">
        <f>(tbl_MTG_Set[[#This Row],[Play Booster Box Cost]]+v_Item_Shipping_Cost_In)/tbl_MTG_Set[[#This Row],[Play Booster Box Size]]</f>
        <v>#VALUE!</v>
      </c>
      <c r="AQ270" s="10" t="str" cm="1">
        <f t="array" ref="AQ2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0" s="10"/>
      <c r="AS270" s="10"/>
      <c r="AT270" s="17" t="e">
        <f>tbl_MTG_Set[[#This Row],[Play Booster CardMarket Profit]]/tbl_MTG_Set[[#This Row],[Play Booster Cost]]</f>
        <v>#VALUE!</v>
      </c>
      <c r="AU270" s="10" t="e">
        <f>_xlfn.XLOOKUP(tbl_MTG_Set[[#This Row],[Collector Booster Box Product Id]], tbl_Product[Product Id], tbl_Product[Min Cost])</f>
        <v>#N/A</v>
      </c>
      <c r="AV270" s="10" t="e">
        <f>_xlfn.XLOOKUP(tbl_MTG_Set[[#This Row],[Collector Booster Box Product Id]], tbl_Product[Product Id], tbl_Product[Best Source])</f>
        <v>#N/A</v>
      </c>
      <c r="AW270" s="4" t="e">
        <f>_xlfn.XLOOKUP(tbl_MTG_Set[[#This Row],[Collector Booster Box Product Id]], tbl_Product[Product Id], tbl_Product[Pack Size])</f>
        <v>#N/A</v>
      </c>
      <c r="AX270" s="10" t="e">
        <f>(tbl_MTG_Set[[#This Row],[Collector Booster Box Cost]] + v_Item_Shipping_Cost_In) / tbl_MTG_Set[[#This Row],[Collector Booster Box Size]]</f>
        <v>#N/A</v>
      </c>
      <c r="AY270" s="10" t="str" cm="1">
        <f t="array" ref="AY2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0" s="10"/>
      <c r="BA2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0" s="17" t="e">
        <f>tbl_MTG_Set[[#This Row],[Collector Booster CardMarket Profit]]/tbl_MTG_Set[[#This Row],[Collector Booster Cost]]</f>
        <v>#N/A</v>
      </c>
      <c r="BC270" s="10"/>
      <c r="BF2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0" s="11" t="e">
        <f>tbl_MTG_Set[[#This Row],[Play Singles CardMarket Profit MTG Stocks]]/tbl_MTG_Set[[#This Row],[Play Booster Cost]]</f>
        <v>#VALUE!</v>
      </c>
      <c r="BI270" s="11" t="b">
        <f>tbl_MTG_Set[[#This Row],[Play Singles CardMarket Profit MTG Stocks]]&gt;0</f>
        <v>0</v>
      </c>
      <c r="BM270" s="10" t="e">
        <f>tbl_MTG_Set[[#This Row],[Play Booster Sell Price CardMarket]]*tbl_MTG_Set[[#This Row],[Play Booster Expected Market Value BotBox]]/tbl_MTG_Set[[#This Row],[Play Booster Sealed Market Value BotBox]]</f>
        <v>#VALUE!</v>
      </c>
      <c r="BN2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0" s="10" t="e">
        <f>tbl_MTG_Set[[#This Row],[Play Singles CardMarket Profit BotBox]]/tbl_MTG_Set[[#This Row],[Play Booster Cost]]</f>
        <v>#VALUE!</v>
      </c>
      <c r="BP270" s="10" t="b">
        <f>tbl_MTG_Set[[#This Row],[Play Singles CardMarket Profit BotBox]]&gt;0</f>
        <v>0</v>
      </c>
      <c r="BQ270" s="10"/>
      <c r="BR270" s="10"/>
      <c r="BS270" s="10"/>
      <c r="BT2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0" s="19" t="e">
        <f>tbl_MTG_Set[[#This Row],[Collector Singles CardMarket Profit MTG Stocks]]/tbl_MTG_Set[[#This Row],[Collector Booster Cost]]</f>
        <v>#N/A</v>
      </c>
      <c r="BW270" s="10" t="b">
        <f>tbl_MTG_Set[[#This Row],[Collector Singles CardMarket Profit MTG Stocks]]&gt;0</f>
        <v>0</v>
      </c>
      <c r="BX270" s="10"/>
      <c r="BY270" s="10"/>
      <c r="BZ2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0" s="10" t="e">
        <f>tbl_MTG_Set[[#This Row],[Collector Singles CardMarket Profit BotBox]]/tbl_MTG_Set[[#This Row],[Collector Booster Cost]]</f>
        <v>#N/A</v>
      </c>
      <c r="CC270" s="10" t="b">
        <f>tbl_MTG_Set[[#This Row],[Collector Singles CardMarket Profit BotBox]]&gt;0</f>
        <v>0</v>
      </c>
      <c r="CD2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1" spans="1:86" hidden="1">
      <c r="A271">
        <v>294</v>
      </c>
      <c r="B271" t="s">
        <v>444</v>
      </c>
      <c r="C271">
        <v>81</v>
      </c>
      <c r="D271" s="3">
        <v>44680</v>
      </c>
      <c r="F271" t="s">
        <v>174</v>
      </c>
      <c r="G271">
        <v>510</v>
      </c>
      <c r="H271">
        <f ca="1">MONTH(NOW())+12*YEAR(NOW())-MONTH(tbl_MTG_Set[[#This Row],[Released On]])-12*YEAR(tbl_MTG_Set[[#This Row],[Released On]])</f>
        <v>47</v>
      </c>
      <c r="I271" t="str">
        <f>_xlfn.XLOOKUP(tbl_MTG_Set[[#This Row],[Type Name]], tbl_MTG_Set_Type[Set Type], tbl_MTG_Set_Type[Index], "(Set Type not found)")</f>
        <v>(Set Type not found)</v>
      </c>
      <c r="J271" t="str">
        <f>_xlfn.XLOOKUP(tbl_MTG_Set[[#This Row],[Type Name]], tbl_MTG_Set_Type[Set Type], tbl_MTG_Set_Type[Buy Window Month Start], "(Set Type not found)")</f>
        <v>(Set Type not found)</v>
      </c>
      <c r="K271" s="3" t="e">
        <f>tbl_MTG_Set[[#This Row],[Released On]]+tbl_MTG_Set[[#This Row],[Buy Window Month Start]]*365.25/12</f>
        <v>#VALUE!</v>
      </c>
      <c r="L271" t="str">
        <f>_xlfn.XLOOKUP(tbl_MTG_Set[[#This Row],[Type Name]], tbl_MTG_Set_Type[Set Type], tbl_MTG_Set_Type[Buy Window Month End], "(Set Type not found)", 0, 1)</f>
        <v>(Set Type not found)</v>
      </c>
      <c r="M271" s="3" t="e">
        <f>tbl_MTG_Set[[#This Row],[Released On]]+tbl_MTG_Set[[#This Row],[Buy Window Month End]]*365.25/12</f>
        <v>#VALUE!</v>
      </c>
      <c r="N271" s="3" t="e">
        <f ca="1">AND(NOW()&gt;=tbl_MTG_Set[[#This Row],[Buy Window Start]], NOW()&lt;=tbl_MTG_Set[[#This Row],[Buy Window End]])</f>
        <v>#VALUE!</v>
      </c>
      <c r="O271" t="str">
        <f>_xlfn.XLOOKUP(tbl_MTG_Set[[#This Row],[Type Name]], tbl_MTG_Set_Type[Set Type], tbl_MTG_Set_Type[Heavy Printing Window Month Start], "(Set Type not found)", 0, 1)</f>
        <v>(Set Type not found)</v>
      </c>
      <c r="P271" s="3" t="e">
        <f>tbl_MTG_Set[[#This Row],[Released On]]+tbl_MTG_Set[[#This Row],[Heavy Printing Window Month Start]]*365.25/12</f>
        <v>#VALUE!</v>
      </c>
      <c r="Q271" t="str">
        <f>_xlfn.XLOOKUP(tbl_MTG_Set[[#This Row],[Type Name]], tbl_MTG_Set_Type[Set Type], tbl_MTG_Set_Type[Heavy Printing Window Month End], "(Set Type not found)", 0, 1)</f>
        <v>(Set Type not found)</v>
      </c>
      <c r="R271" s="3" t="e">
        <f>tbl_MTG_Set[[#This Row],[Released On]]+tbl_MTG_Set[[#This Row],[Heavy Printing Window Month End]]*365.25/12</f>
        <v>#VALUE!</v>
      </c>
      <c r="S271" s="3" t="e">
        <f ca="1">AND(NOW()&gt;=tbl_MTG_Set[[#This Row],[Heavy Printing Window Start]], NOW()&lt;=tbl_MTG_Set[[#This Row],[Heavy Printing Window End]])</f>
        <v>#VALUE!</v>
      </c>
      <c r="T271" t="str">
        <f>_xlfn.XLOOKUP(tbl_MTG_Set[[#This Row],[Type Name]], tbl_MTG_Set_Type[Set Type], tbl_MTG_Set_Type[Sell Window Month Start], "(Set Type not found)", 0, 1)</f>
        <v>(Set Type not found)</v>
      </c>
      <c r="U271" s="3" t="e">
        <f>tbl_MTG_Set[[#This Row],[Released On]]+tbl_MTG_Set[[#This Row],[Sell Window Month Start]]*365.25/12</f>
        <v>#VALUE!</v>
      </c>
      <c r="V271" t="str">
        <f>_xlfn.XLOOKUP(tbl_MTG_Set[[#This Row],[Type Name]], tbl_MTG_Set_Type[Set Type], tbl_MTG_Set_Type[Sell Window Month End], "(Set Type not found)", 0, 1)</f>
        <v>(Set Type not found)</v>
      </c>
      <c r="W271" s="3" t="e">
        <f>tbl_MTG_Set[[#This Row],[Released On]]+tbl_MTG_Set[[#This Row],[Sell Window Month End]]*365.25/12</f>
        <v>#VALUE!</v>
      </c>
      <c r="X271" s="3" t="e">
        <f ca="1">AND(NOW()&gt;=tbl_MTG_Set[[#This Row],[Sell Window Start]], NOW()&lt;=tbl_MTG_Set[[#This Row],[Sell Window End]])</f>
        <v>#VALUE!</v>
      </c>
      <c r="AG271" s="10"/>
      <c r="AH271" s="10"/>
      <c r="AM271" s="10" t="str" cm="1">
        <f t="array" ref="AM2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1" s="10" t="str" cm="1">
        <f t="array" ref="AN2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1" s="4" t="e">
        <f>_xlfn.XLOOKUP(tbl_MTG_Set[[#This Row],[Play Booster Box Product Id]], tbl_Product[Product Id], tbl_Product[Pack Size])</f>
        <v>#N/A</v>
      </c>
      <c r="AP271" s="10" t="e">
        <f>(tbl_MTG_Set[[#This Row],[Play Booster Box Cost]]+v_Item_Shipping_Cost_In)/tbl_MTG_Set[[#This Row],[Play Booster Box Size]]</f>
        <v>#VALUE!</v>
      </c>
      <c r="AQ271" s="10" t="str" cm="1">
        <f t="array" ref="AQ2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1" s="10"/>
      <c r="AS271" s="10"/>
      <c r="AT271" s="17" t="e">
        <f>tbl_MTG_Set[[#This Row],[Play Booster CardMarket Profit]]/tbl_MTG_Set[[#This Row],[Play Booster Cost]]</f>
        <v>#VALUE!</v>
      </c>
      <c r="AU271" s="10" t="e">
        <f>_xlfn.XLOOKUP(tbl_MTG_Set[[#This Row],[Collector Booster Box Product Id]], tbl_Product[Product Id], tbl_Product[Min Cost])</f>
        <v>#N/A</v>
      </c>
      <c r="AV271" s="10" t="e">
        <f>_xlfn.XLOOKUP(tbl_MTG_Set[[#This Row],[Collector Booster Box Product Id]], tbl_Product[Product Id], tbl_Product[Best Source])</f>
        <v>#N/A</v>
      </c>
      <c r="AW271" s="4" t="e">
        <f>_xlfn.XLOOKUP(tbl_MTG_Set[[#This Row],[Collector Booster Box Product Id]], tbl_Product[Product Id], tbl_Product[Pack Size])</f>
        <v>#N/A</v>
      </c>
      <c r="AX271" s="10" t="e">
        <f>(tbl_MTG_Set[[#This Row],[Collector Booster Box Cost]] + v_Item_Shipping_Cost_In) / tbl_MTG_Set[[#This Row],[Collector Booster Box Size]]</f>
        <v>#N/A</v>
      </c>
      <c r="AY271" s="10" t="str" cm="1">
        <f t="array" ref="AY2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1" s="10"/>
      <c r="BA2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1" s="17" t="e">
        <f>tbl_MTG_Set[[#This Row],[Collector Booster CardMarket Profit]]/tbl_MTG_Set[[#This Row],[Collector Booster Cost]]</f>
        <v>#N/A</v>
      </c>
      <c r="BC271" s="10"/>
      <c r="BF2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1" s="11" t="e">
        <f>tbl_MTG_Set[[#This Row],[Play Singles CardMarket Profit MTG Stocks]]/tbl_MTG_Set[[#This Row],[Play Booster Cost]]</f>
        <v>#VALUE!</v>
      </c>
      <c r="BI271" s="11" t="b">
        <f>tbl_MTG_Set[[#This Row],[Play Singles CardMarket Profit MTG Stocks]]&gt;0</f>
        <v>0</v>
      </c>
      <c r="BM271" s="10" t="e">
        <f>tbl_MTG_Set[[#This Row],[Play Booster Sell Price CardMarket]]*tbl_MTG_Set[[#This Row],[Play Booster Expected Market Value BotBox]]/tbl_MTG_Set[[#This Row],[Play Booster Sealed Market Value BotBox]]</f>
        <v>#VALUE!</v>
      </c>
      <c r="BN2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1" s="10" t="e">
        <f>tbl_MTG_Set[[#This Row],[Play Singles CardMarket Profit BotBox]]/tbl_MTG_Set[[#This Row],[Play Booster Cost]]</f>
        <v>#VALUE!</v>
      </c>
      <c r="BP271" s="10" t="b">
        <f>tbl_MTG_Set[[#This Row],[Play Singles CardMarket Profit BotBox]]&gt;0</f>
        <v>0</v>
      </c>
      <c r="BQ271" s="10"/>
      <c r="BR271" s="10"/>
      <c r="BS271" s="10"/>
      <c r="BT2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1" s="19" t="e">
        <f>tbl_MTG_Set[[#This Row],[Collector Singles CardMarket Profit MTG Stocks]]/tbl_MTG_Set[[#This Row],[Collector Booster Cost]]</f>
        <v>#N/A</v>
      </c>
      <c r="BW271" s="10" t="b">
        <f>tbl_MTG_Set[[#This Row],[Collector Singles CardMarket Profit MTG Stocks]]&gt;0</f>
        <v>0</v>
      </c>
      <c r="BX271" s="10"/>
      <c r="BY271" s="10"/>
      <c r="BZ2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1" s="10" t="e">
        <f>tbl_MTG_Set[[#This Row],[Collector Singles CardMarket Profit BotBox]]/tbl_MTG_Set[[#This Row],[Collector Booster Cost]]</f>
        <v>#N/A</v>
      </c>
      <c r="CC271" s="10" t="b">
        <f>tbl_MTG_Set[[#This Row],[Collector Singles CardMarket Profit BotBox]]&gt;0</f>
        <v>0</v>
      </c>
      <c r="CD2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2" spans="1:86" hidden="1">
      <c r="A272">
        <v>295</v>
      </c>
      <c r="B272" t="s">
        <v>445</v>
      </c>
      <c r="C272">
        <v>81</v>
      </c>
      <c r="D272" s="3">
        <v>44610</v>
      </c>
      <c r="F272" t="s">
        <v>174</v>
      </c>
      <c r="G272">
        <v>536</v>
      </c>
      <c r="H272">
        <f ca="1">MONTH(NOW())+12*YEAR(NOW())-MONTH(tbl_MTG_Set[[#This Row],[Released On]])-12*YEAR(tbl_MTG_Set[[#This Row],[Released On]])</f>
        <v>49</v>
      </c>
      <c r="I272" t="str">
        <f>_xlfn.XLOOKUP(tbl_MTG_Set[[#This Row],[Type Name]], tbl_MTG_Set_Type[Set Type], tbl_MTG_Set_Type[Index], "(Set Type not found)")</f>
        <v>(Set Type not found)</v>
      </c>
      <c r="J272" t="str">
        <f>_xlfn.XLOOKUP(tbl_MTG_Set[[#This Row],[Type Name]], tbl_MTG_Set_Type[Set Type], tbl_MTG_Set_Type[Buy Window Month Start], "(Set Type not found)")</f>
        <v>(Set Type not found)</v>
      </c>
      <c r="K272" s="3" t="e">
        <f>tbl_MTG_Set[[#This Row],[Released On]]+tbl_MTG_Set[[#This Row],[Buy Window Month Start]]*365.25/12</f>
        <v>#VALUE!</v>
      </c>
      <c r="L272" t="str">
        <f>_xlfn.XLOOKUP(tbl_MTG_Set[[#This Row],[Type Name]], tbl_MTG_Set_Type[Set Type], tbl_MTG_Set_Type[Buy Window Month End], "(Set Type not found)", 0, 1)</f>
        <v>(Set Type not found)</v>
      </c>
      <c r="M272" s="3" t="e">
        <f>tbl_MTG_Set[[#This Row],[Released On]]+tbl_MTG_Set[[#This Row],[Buy Window Month End]]*365.25/12</f>
        <v>#VALUE!</v>
      </c>
      <c r="N272" s="3" t="e">
        <f ca="1">AND(NOW()&gt;=tbl_MTG_Set[[#This Row],[Buy Window Start]], NOW()&lt;=tbl_MTG_Set[[#This Row],[Buy Window End]])</f>
        <v>#VALUE!</v>
      </c>
      <c r="O272" t="str">
        <f>_xlfn.XLOOKUP(tbl_MTG_Set[[#This Row],[Type Name]], tbl_MTG_Set_Type[Set Type], tbl_MTG_Set_Type[Heavy Printing Window Month Start], "(Set Type not found)", 0, 1)</f>
        <v>(Set Type not found)</v>
      </c>
      <c r="P272" s="3" t="e">
        <f>tbl_MTG_Set[[#This Row],[Released On]]+tbl_MTG_Set[[#This Row],[Heavy Printing Window Month Start]]*365.25/12</f>
        <v>#VALUE!</v>
      </c>
      <c r="Q272" t="str">
        <f>_xlfn.XLOOKUP(tbl_MTG_Set[[#This Row],[Type Name]], tbl_MTG_Set_Type[Set Type], tbl_MTG_Set_Type[Heavy Printing Window Month End], "(Set Type not found)", 0, 1)</f>
        <v>(Set Type not found)</v>
      </c>
      <c r="R272" s="3" t="e">
        <f>tbl_MTG_Set[[#This Row],[Released On]]+tbl_MTG_Set[[#This Row],[Heavy Printing Window Month End]]*365.25/12</f>
        <v>#VALUE!</v>
      </c>
      <c r="S272" s="3" t="e">
        <f ca="1">AND(NOW()&gt;=tbl_MTG_Set[[#This Row],[Heavy Printing Window Start]], NOW()&lt;=tbl_MTG_Set[[#This Row],[Heavy Printing Window End]])</f>
        <v>#VALUE!</v>
      </c>
      <c r="T272" t="str">
        <f>_xlfn.XLOOKUP(tbl_MTG_Set[[#This Row],[Type Name]], tbl_MTG_Set_Type[Set Type], tbl_MTG_Set_Type[Sell Window Month Start], "(Set Type not found)", 0, 1)</f>
        <v>(Set Type not found)</v>
      </c>
      <c r="U272" s="3" t="e">
        <f>tbl_MTG_Set[[#This Row],[Released On]]+tbl_MTG_Set[[#This Row],[Sell Window Month Start]]*365.25/12</f>
        <v>#VALUE!</v>
      </c>
      <c r="V272" t="str">
        <f>_xlfn.XLOOKUP(tbl_MTG_Set[[#This Row],[Type Name]], tbl_MTG_Set_Type[Set Type], tbl_MTG_Set_Type[Sell Window Month End], "(Set Type not found)", 0, 1)</f>
        <v>(Set Type not found)</v>
      </c>
      <c r="W272" s="3" t="e">
        <f>tbl_MTG_Set[[#This Row],[Released On]]+tbl_MTG_Set[[#This Row],[Sell Window Month End]]*365.25/12</f>
        <v>#VALUE!</v>
      </c>
      <c r="X272" s="3" t="e">
        <f ca="1">AND(NOW()&gt;=tbl_MTG_Set[[#This Row],[Sell Window Start]], NOW()&lt;=tbl_MTG_Set[[#This Row],[Sell Window End]])</f>
        <v>#VALUE!</v>
      </c>
      <c r="AG272" s="10"/>
      <c r="AH272" s="10"/>
      <c r="AM272" s="10" t="str" cm="1">
        <f t="array" ref="AM2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2" s="10" t="str" cm="1">
        <f t="array" ref="AN2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2" s="4" t="e">
        <f>_xlfn.XLOOKUP(tbl_MTG_Set[[#This Row],[Play Booster Box Product Id]], tbl_Product[Product Id], tbl_Product[Pack Size])</f>
        <v>#N/A</v>
      </c>
      <c r="AP272" s="10" t="e">
        <f>(tbl_MTG_Set[[#This Row],[Play Booster Box Cost]]+v_Item_Shipping_Cost_In)/tbl_MTG_Set[[#This Row],[Play Booster Box Size]]</f>
        <v>#VALUE!</v>
      </c>
      <c r="AQ272" s="10" t="str" cm="1">
        <f t="array" ref="AQ2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2" s="10"/>
      <c r="AS272" s="10"/>
      <c r="AT272" s="17" t="e">
        <f>tbl_MTG_Set[[#This Row],[Play Booster CardMarket Profit]]/tbl_MTG_Set[[#This Row],[Play Booster Cost]]</f>
        <v>#VALUE!</v>
      </c>
      <c r="AU272" s="10" t="e">
        <f>_xlfn.XLOOKUP(tbl_MTG_Set[[#This Row],[Collector Booster Box Product Id]], tbl_Product[Product Id], tbl_Product[Min Cost])</f>
        <v>#N/A</v>
      </c>
      <c r="AV272" s="10" t="e">
        <f>_xlfn.XLOOKUP(tbl_MTG_Set[[#This Row],[Collector Booster Box Product Id]], tbl_Product[Product Id], tbl_Product[Best Source])</f>
        <v>#N/A</v>
      </c>
      <c r="AW272" s="4" t="e">
        <f>_xlfn.XLOOKUP(tbl_MTG_Set[[#This Row],[Collector Booster Box Product Id]], tbl_Product[Product Id], tbl_Product[Pack Size])</f>
        <v>#N/A</v>
      </c>
      <c r="AX272" s="10" t="e">
        <f>(tbl_MTG_Set[[#This Row],[Collector Booster Box Cost]] + v_Item_Shipping_Cost_In) / tbl_MTG_Set[[#This Row],[Collector Booster Box Size]]</f>
        <v>#N/A</v>
      </c>
      <c r="AY272" s="10" t="str" cm="1">
        <f t="array" ref="AY2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2" s="10"/>
      <c r="BA2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2" s="17" t="e">
        <f>tbl_MTG_Set[[#This Row],[Collector Booster CardMarket Profit]]/tbl_MTG_Set[[#This Row],[Collector Booster Cost]]</f>
        <v>#N/A</v>
      </c>
      <c r="BC272" s="10"/>
      <c r="BF2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2" s="11" t="e">
        <f>tbl_MTG_Set[[#This Row],[Play Singles CardMarket Profit MTG Stocks]]/tbl_MTG_Set[[#This Row],[Play Booster Cost]]</f>
        <v>#VALUE!</v>
      </c>
      <c r="BI272" s="11" t="b">
        <f>tbl_MTG_Set[[#This Row],[Play Singles CardMarket Profit MTG Stocks]]&gt;0</f>
        <v>0</v>
      </c>
      <c r="BM272" s="10" t="e">
        <f>tbl_MTG_Set[[#This Row],[Play Booster Sell Price CardMarket]]*tbl_MTG_Set[[#This Row],[Play Booster Expected Market Value BotBox]]/tbl_MTG_Set[[#This Row],[Play Booster Sealed Market Value BotBox]]</f>
        <v>#VALUE!</v>
      </c>
      <c r="BN2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2" s="10" t="e">
        <f>tbl_MTG_Set[[#This Row],[Play Singles CardMarket Profit BotBox]]/tbl_MTG_Set[[#This Row],[Play Booster Cost]]</f>
        <v>#VALUE!</v>
      </c>
      <c r="BP272" s="10" t="b">
        <f>tbl_MTG_Set[[#This Row],[Play Singles CardMarket Profit BotBox]]&gt;0</f>
        <v>0</v>
      </c>
      <c r="BQ272" s="10"/>
      <c r="BR272" s="10"/>
      <c r="BS272" s="10"/>
      <c r="BT2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2" s="19" t="e">
        <f>tbl_MTG_Set[[#This Row],[Collector Singles CardMarket Profit MTG Stocks]]/tbl_MTG_Set[[#This Row],[Collector Booster Cost]]</f>
        <v>#N/A</v>
      </c>
      <c r="BW272" s="10" t="b">
        <f>tbl_MTG_Set[[#This Row],[Collector Singles CardMarket Profit MTG Stocks]]&gt;0</f>
        <v>0</v>
      </c>
      <c r="BX272" s="10"/>
      <c r="BY272" s="10"/>
      <c r="BZ2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2" s="10" t="e">
        <f>tbl_MTG_Set[[#This Row],[Collector Singles CardMarket Profit BotBox]]/tbl_MTG_Set[[#This Row],[Collector Booster Cost]]</f>
        <v>#N/A</v>
      </c>
      <c r="CC272" s="10" t="b">
        <f>tbl_MTG_Set[[#This Row],[Collector Singles CardMarket Profit BotBox]]&gt;0</f>
        <v>0</v>
      </c>
      <c r="CD2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3" spans="1:86" hidden="1">
      <c r="A273">
        <v>296</v>
      </c>
      <c r="B273" t="s">
        <v>446</v>
      </c>
      <c r="C273">
        <v>9</v>
      </c>
      <c r="D273" s="3">
        <v>44589</v>
      </c>
      <c r="F273" t="s">
        <v>174</v>
      </c>
      <c r="G273">
        <v>538</v>
      </c>
      <c r="H273">
        <f ca="1">MONTH(NOW())+12*YEAR(NOW())-MONTH(tbl_MTG_Set[[#This Row],[Released On]])-12*YEAR(tbl_MTG_Set[[#This Row],[Released On]])</f>
        <v>50</v>
      </c>
      <c r="I273" t="str">
        <f>_xlfn.XLOOKUP(tbl_MTG_Set[[#This Row],[Type Name]], tbl_MTG_Set_Type[Set Type], tbl_MTG_Set_Type[Index], "(Set Type not found)")</f>
        <v>(Set Type not found)</v>
      </c>
      <c r="J273" t="str">
        <f>_xlfn.XLOOKUP(tbl_MTG_Set[[#This Row],[Type Name]], tbl_MTG_Set_Type[Set Type], tbl_MTG_Set_Type[Buy Window Month Start], "(Set Type not found)")</f>
        <v>(Set Type not found)</v>
      </c>
      <c r="K273" s="3" t="e">
        <f>tbl_MTG_Set[[#This Row],[Released On]]+tbl_MTG_Set[[#This Row],[Buy Window Month Start]]*365.25/12</f>
        <v>#VALUE!</v>
      </c>
      <c r="L273" t="str">
        <f>_xlfn.XLOOKUP(tbl_MTG_Set[[#This Row],[Type Name]], tbl_MTG_Set_Type[Set Type], tbl_MTG_Set_Type[Buy Window Month End], "(Set Type not found)", 0, 1)</f>
        <v>(Set Type not found)</v>
      </c>
      <c r="M273" s="3" t="e">
        <f>tbl_MTG_Set[[#This Row],[Released On]]+tbl_MTG_Set[[#This Row],[Buy Window Month End]]*365.25/12</f>
        <v>#VALUE!</v>
      </c>
      <c r="N273" s="3" t="e">
        <f ca="1">AND(NOW()&gt;=tbl_MTG_Set[[#This Row],[Buy Window Start]], NOW()&lt;=tbl_MTG_Set[[#This Row],[Buy Window End]])</f>
        <v>#VALUE!</v>
      </c>
      <c r="O273" t="str">
        <f>_xlfn.XLOOKUP(tbl_MTG_Set[[#This Row],[Type Name]], tbl_MTG_Set_Type[Set Type], tbl_MTG_Set_Type[Heavy Printing Window Month Start], "(Set Type not found)", 0, 1)</f>
        <v>(Set Type not found)</v>
      </c>
      <c r="P273" s="3" t="e">
        <f>tbl_MTG_Set[[#This Row],[Released On]]+tbl_MTG_Set[[#This Row],[Heavy Printing Window Month Start]]*365.25/12</f>
        <v>#VALUE!</v>
      </c>
      <c r="Q273" t="str">
        <f>_xlfn.XLOOKUP(tbl_MTG_Set[[#This Row],[Type Name]], tbl_MTG_Set_Type[Set Type], tbl_MTG_Set_Type[Heavy Printing Window Month End], "(Set Type not found)", 0, 1)</f>
        <v>(Set Type not found)</v>
      </c>
      <c r="R273" s="3" t="e">
        <f>tbl_MTG_Set[[#This Row],[Released On]]+tbl_MTG_Set[[#This Row],[Heavy Printing Window Month End]]*365.25/12</f>
        <v>#VALUE!</v>
      </c>
      <c r="S273" s="3" t="e">
        <f ca="1">AND(NOW()&gt;=tbl_MTG_Set[[#This Row],[Heavy Printing Window Start]], NOW()&lt;=tbl_MTG_Set[[#This Row],[Heavy Printing Window End]])</f>
        <v>#VALUE!</v>
      </c>
      <c r="T273" t="str">
        <f>_xlfn.XLOOKUP(tbl_MTG_Set[[#This Row],[Type Name]], tbl_MTG_Set_Type[Set Type], tbl_MTG_Set_Type[Sell Window Month Start], "(Set Type not found)", 0, 1)</f>
        <v>(Set Type not found)</v>
      </c>
      <c r="U273" s="3" t="e">
        <f>tbl_MTG_Set[[#This Row],[Released On]]+tbl_MTG_Set[[#This Row],[Sell Window Month Start]]*365.25/12</f>
        <v>#VALUE!</v>
      </c>
      <c r="V273" t="str">
        <f>_xlfn.XLOOKUP(tbl_MTG_Set[[#This Row],[Type Name]], tbl_MTG_Set_Type[Set Type], tbl_MTG_Set_Type[Sell Window Month End], "(Set Type not found)", 0, 1)</f>
        <v>(Set Type not found)</v>
      </c>
      <c r="W273" s="3" t="e">
        <f>tbl_MTG_Set[[#This Row],[Released On]]+tbl_MTG_Set[[#This Row],[Sell Window Month End]]*365.25/12</f>
        <v>#VALUE!</v>
      </c>
      <c r="X273" s="3" t="e">
        <f ca="1">AND(NOW()&gt;=tbl_MTG_Set[[#This Row],[Sell Window Start]], NOW()&lt;=tbl_MTG_Set[[#This Row],[Sell Window End]])</f>
        <v>#VALUE!</v>
      </c>
      <c r="AG273" s="10"/>
      <c r="AH273" s="10"/>
      <c r="AM273" s="10" t="str" cm="1">
        <f t="array" ref="AM2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3" s="10" t="str" cm="1">
        <f t="array" ref="AN2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3" s="4" t="e">
        <f>_xlfn.XLOOKUP(tbl_MTG_Set[[#This Row],[Play Booster Box Product Id]], tbl_Product[Product Id], tbl_Product[Pack Size])</f>
        <v>#N/A</v>
      </c>
      <c r="AP273" s="10" t="e">
        <f>(tbl_MTG_Set[[#This Row],[Play Booster Box Cost]]+v_Item_Shipping_Cost_In)/tbl_MTG_Set[[#This Row],[Play Booster Box Size]]</f>
        <v>#VALUE!</v>
      </c>
      <c r="AQ273" s="10" t="str" cm="1">
        <f t="array" ref="AQ2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3" s="10"/>
      <c r="AS273" s="10"/>
      <c r="AT273" s="17" t="e">
        <f>tbl_MTG_Set[[#This Row],[Play Booster CardMarket Profit]]/tbl_MTG_Set[[#This Row],[Play Booster Cost]]</f>
        <v>#VALUE!</v>
      </c>
      <c r="AU273" s="10" t="e">
        <f>_xlfn.XLOOKUP(tbl_MTG_Set[[#This Row],[Collector Booster Box Product Id]], tbl_Product[Product Id], tbl_Product[Min Cost])</f>
        <v>#N/A</v>
      </c>
      <c r="AV273" s="10" t="e">
        <f>_xlfn.XLOOKUP(tbl_MTG_Set[[#This Row],[Collector Booster Box Product Id]], tbl_Product[Product Id], tbl_Product[Best Source])</f>
        <v>#N/A</v>
      </c>
      <c r="AW273" s="4" t="e">
        <f>_xlfn.XLOOKUP(tbl_MTG_Set[[#This Row],[Collector Booster Box Product Id]], tbl_Product[Product Id], tbl_Product[Pack Size])</f>
        <v>#N/A</v>
      </c>
      <c r="AX273" s="10" t="e">
        <f>(tbl_MTG_Set[[#This Row],[Collector Booster Box Cost]] + v_Item_Shipping_Cost_In) / tbl_MTG_Set[[#This Row],[Collector Booster Box Size]]</f>
        <v>#N/A</v>
      </c>
      <c r="AY273" s="10" t="str" cm="1">
        <f t="array" ref="AY2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3" s="10"/>
      <c r="BA2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3" s="17" t="e">
        <f>tbl_MTG_Set[[#This Row],[Collector Booster CardMarket Profit]]/tbl_MTG_Set[[#This Row],[Collector Booster Cost]]</f>
        <v>#N/A</v>
      </c>
      <c r="BC273" s="10"/>
      <c r="BF2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3" s="11" t="e">
        <f>tbl_MTG_Set[[#This Row],[Play Singles CardMarket Profit MTG Stocks]]/tbl_MTG_Set[[#This Row],[Play Booster Cost]]</f>
        <v>#VALUE!</v>
      </c>
      <c r="BI273" s="11" t="b">
        <f>tbl_MTG_Set[[#This Row],[Play Singles CardMarket Profit MTG Stocks]]&gt;0</f>
        <v>0</v>
      </c>
      <c r="BM273" s="10" t="e">
        <f>tbl_MTG_Set[[#This Row],[Play Booster Sell Price CardMarket]]*tbl_MTG_Set[[#This Row],[Play Booster Expected Market Value BotBox]]/tbl_MTG_Set[[#This Row],[Play Booster Sealed Market Value BotBox]]</f>
        <v>#VALUE!</v>
      </c>
      <c r="BN2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3" s="10" t="e">
        <f>tbl_MTG_Set[[#This Row],[Play Singles CardMarket Profit BotBox]]/tbl_MTG_Set[[#This Row],[Play Booster Cost]]</f>
        <v>#VALUE!</v>
      </c>
      <c r="BP273" s="10" t="b">
        <f>tbl_MTG_Set[[#This Row],[Play Singles CardMarket Profit BotBox]]&gt;0</f>
        <v>0</v>
      </c>
      <c r="BQ273" s="10"/>
      <c r="BR273" s="10"/>
      <c r="BS273" s="10"/>
      <c r="BT2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3" s="19" t="e">
        <f>tbl_MTG_Set[[#This Row],[Collector Singles CardMarket Profit MTG Stocks]]/tbl_MTG_Set[[#This Row],[Collector Booster Cost]]</f>
        <v>#N/A</v>
      </c>
      <c r="BW273" s="10" t="b">
        <f>tbl_MTG_Set[[#This Row],[Collector Singles CardMarket Profit MTG Stocks]]&gt;0</f>
        <v>0</v>
      </c>
      <c r="BX273" s="10"/>
      <c r="BY273" s="10"/>
      <c r="BZ2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3" s="10" t="e">
        <f>tbl_MTG_Set[[#This Row],[Collector Singles CardMarket Profit BotBox]]/tbl_MTG_Set[[#This Row],[Collector Booster Cost]]</f>
        <v>#N/A</v>
      </c>
      <c r="CC273" s="10" t="b">
        <f>tbl_MTG_Set[[#This Row],[Collector Singles CardMarket Profit BotBox]]&gt;0</f>
        <v>0</v>
      </c>
      <c r="CD2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4" spans="1:86" hidden="1">
      <c r="A274">
        <v>297</v>
      </c>
      <c r="B274" t="s">
        <v>447</v>
      </c>
      <c r="C274">
        <v>535</v>
      </c>
      <c r="D274" s="3">
        <v>44589</v>
      </c>
      <c r="E274" t="s">
        <v>59</v>
      </c>
      <c r="F274" t="s">
        <v>174</v>
      </c>
      <c r="G274">
        <v>540</v>
      </c>
      <c r="H274">
        <f ca="1">MONTH(NOW())+12*YEAR(NOW())-MONTH(tbl_MTG_Set[[#This Row],[Released On]])-12*YEAR(tbl_MTG_Set[[#This Row],[Released On]])</f>
        <v>50</v>
      </c>
      <c r="I274">
        <f>_xlfn.XLOOKUP(tbl_MTG_Set[[#This Row],[Type Name]], tbl_MTG_Set_Type[Set Type], tbl_MTG_Set_Type[Index], "(Set Type not found)")</f>
        <v>1</v>
      </c>
      <c r="J274">
        <f>_xlfn.XLOOKUP(tbl_MTG_Set[[#This Row],[Type Name]], tbl_MTG_Set_Type[Set Type], tbl_MTG_Set_Type[Buy Window Month Start], "(Set Type not found)")</f>
        <v>18</v>
      </c>
      <c r="K274" s="3">
        <f>tbl_MTG_Set[[#This Row],[Released On]]+tbl_MTG_Set[[#This Row],[Buy Window Month Start]]*365.25/12</f>
        <v>45136.875</v>
      </c>
      <c r="L274">
        <f>_xlfn.XLOOKUP(tbl_MTG_Set[[#This Row],[Type Name]], tbl_MTG_Set_Type[Set Type], tbl_MTG_Set_Type[Buy Window Month End], "(Set Type not found)", 0, 1)</f>
        <v>24</v>
      </c>
      <c r="M274" s="3">
        <f>tbl_MTG_Set[[#This Row],[Released On]]+tbl_MTG_Set[[#This Row],[Buy Window Month End]]*365.25/12</f>
        <v>45319.5</v>
      </c>
      <c r="N274" s="3" t="b">
        <f ca="1">AND(NOW()&gt;=tbl_MTG_Set[[#This Row],[Buy Window Start]], NOW()&lt;=tbl_MTG_Set[[#This Row],[Buy Window End]])</f>
        <v>0</v>
      </c>
      <c r="O274">
        <f>_xlfn.XLOOKUP(tbl_MTG_Set[[#This Row],[Type Name]], tbl_MTG_Set_Type[Set Type], tbl_MTG_Set_Type[Heavy Printing Window Month Start], "(Set Type not found)", 0, 1)</f>
        <v>1</v>
      </c>
      <c r="P274" s="3">
        <f>tbl_MTG_Set[[#This Row],[Released On]]+tbl_MTG_Set[[#This Row],[Heavy Printing Window Month Start]]*365.25/12</f>
        <v>44619.4375</v>
      </c>
      <c r="Q274">
        <f>_xlfn.XLOOKUP(tbl_MTG_Set[[#This Row],[Type Name]], tbl_MTG_Set_Type[Set Type], tbl_MTG_Set_Type[Heavy Printing Window Month End], "(Set Type not found)", 0, 1)</f>
        <v>18</v>
      </c>
      <c r="R274" s="3">
        <f>tbl_MTG_Set[[#This Row],[Released On]]+tbl_MTG_Set[[#This Row],[Heavy Printing Window Month End]]*365.25/12</f>
        <v>45136.875</v>
      </c>
      <c r="S274" s="3" t="b">
        <f ca="1">AND(NOW()&gt;=tbl_MTG_Set[[#This Row],[Heavy Printing Window Start]], NOW()&lt;=tbl_MTG_Set[[#This Row],[Heavy Printing Window End]])</f>
        <v>0</v>
      </c>
      <c r="T274">
        <f>_xlfn.XLOOKUP(tbl_MTG_Set[[#This Row],[Type Name]], tbl_MTG_Set_Type[Set Type], tbl_MTG_Set_Type[Sell Window Month Start], "(Set Type not found)", 0, 1)</f>
        <v>36</v>
      </c>
      <c r="U274" s="3">
        <f>tbl_MTG_Set[[#This Row],[Released On]]+tbl_MTG_Set[[#This Row],[Sell Window Month Start]]*365.25/12</f>
        <v>45684.75</v>
      </c>
      <c r="V274">
        <f>_xlfn.XLOOKUP(tbl_MTG_Set[[#This Row],[Type Name]], tbl_MTG_Set_Type[Set Type], tbl_MTG_Set_Type[Sell Window Month End], "(Set Type not found)", 0, 1)</f>
        <v>48</v>
      </c>
      <c r="W274" s="3">
        <f>tbl_MTG_Set[[#This Row],[Released On]]+tbl_MTG_Set[[#This Row],[Sell Window Month End]]*365.25/12</f>
        <v>46050</v>
      </c>
      <c r="X274" s="3" t="b">
        <f ca="1">AND(NOW()&gt;=tbl_MTG_Set[[#This Row],[Sell Window Start]], NOW()&lt;=tbl_MTG_Set[[#This Row],[Sell Window End]])</f>
        <v>0</v>
      </c>
      <c r="AG274" s="10"/>
      <c r="AH274" s="10"/>
      <c r="AM274" s="10" t="str" cm="1">
        <f t="array" ref="AM2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4" s="10" t="str" cm="1">
        <f t="array" ref="AN2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4" s="4" t="e">
        <f>_xlfn.XLOOKUP(tbl_MTG_Set[[#This Row],[Play Booster Box Product Id]], tbl_Product[Product Id], tbl_Product[Pack Size])</f>
        <v>#N/A</v>
      </c>
      <c r="AP274" s="10" t="e">
        <f>(tbl_MTG_Set[[#This Row],[Play Booster Box Cost]]+v_Item_Shipping_Cost_In)/tbl_MTG_Set[[#This Row],[Play Booster Box Size]]</f>
        <v>#VALUE!</v>
      </c>
      <c r="AQ274" s="10" t="str" cm="1">
        <f t="array" ref="AQ2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4" s="10"/>
      <c r="AS274" s="10"/>
      <c r="AT274" s="17" t="e">
        <f>tbl_MTG_Set[[#This Row],[Play Booster CardMarket Profit]]/tbl_MTG_Set[[#This Row],[Play Booster Cost]]</f>
        <v>#VALUE!</v>
      </c>
      <c r="AU274" s="10" t="e">
        <f>_xlfn.XLOOKUP(tbl_MTG_Set[[#This Row],[Collector Booster Box Product Id]], tbl_Product[Product Id], tbl_Product[Min Cost])</f>
        <v>#N/A</v>
      </c>
      <c r="AV274" s="10" t="e">
        <f>_xlfn.XLOOKUP(tbl_MTG_Set[[#This Row],[Collector Booster Box Product Id]], tbl_Product[Product Id], tbl_Product[Best Source])</f>
        <v>#N/A</v>
      </c>
      <c r="AW274" s="4" t="e">
        <f>_xlfn.XLOOKUP(tbl_MTG_Set[[#This Row],[Collector Booster Box Product Id]], tbl_Product[Product Id], tbl_Product[Pack Size])</f>
        <v>#N/A</v>
      </c>
      <c r="AX274" s="10" t="e">
        <f>(tbl_MTG_Set[[#This Row],[Collector Booster Box Cost]] + v_Item_Shipping_Cost_In) / tbl_MTG_Set[[#This Row],[Collector Booster Box Size]]</f>
        <v>#N/A</v>
      </c>
      <c r="AY274" s="10" t="str" cm="1">
        <f t="array" ref="AY2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4" s="10"/>
      <c r="BA2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4" s="17" t="e">
        <f>tbl_MTG_Set[[#This Row],[Collector Booster CardMarket Profit]]/tbl_MTG_Set[[#This Row],[Collector Booster Cost]]</f>
        <v>#N/A</v>
      </c>
      <c r="BC274" s="10"/>
      <c r="BF2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4" s="11" t="e">
        <f>tbl_MTG_Set[[#This Row],[Play Singles CardMarket Profit MTG Stocks]]/tbl_MTG_Set[[#This Row],[Play Booster Cost]]</f>
        <v>#VALUE!</v>
      </c>
      <c r="BI274" s="11" t="b">
        <f>tbl_MTG_Set[[#This Row],[Play Singles CardMarket Profit MTG Stocks]]&gt;0</f>
        <v>0</v>
      </c>
      <c r="BM274" s="10" t="e">
        <f>tbl_MTG_Set[[#This Row],[Play Booster Sell Price CardMarket]]*tbl_MTG_Set[[#This Row],[Play Booster Expected Market Value BotBox]]/tbl_MTG_Set[[#This Row],[Play Booster Sealed Market Value BotBox]]</f>
        <v>#VALUE!</v>
      </c>
      <c r="BN2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4" s="10" t="e">
        <f>tbl_MTG_Set[[#This Row],[Play Singles CardMarket Profit BotBox]]/tbl_MTG_Set[[#This Row],[Play Booster Cost]]</f>
        <v>#VALUE!</v>
      </c>
      <c r="BP274" s="10" t="b">
        <f>tbl_MTG_Set[[#This Row],[Play Singles CardMarket Profit BotBox]]&gt;0</f>
        <v>0</v>
      </c>
      <c r="BQ274" s="10"/>
      <c r="BR274" s="10"/>
      <c r="BS274" s="10"/>
      <c r="BT2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4" s="19" t="e">
        <f>tbl_MTG_Set[[#This Row],[Collector Singles CardMarket Profit MTG Stocks]]/tbl_MTG_Set[[#This Row],[Collector Booster Cost]]</f>
        <v>#N/A</v>
      </c>
      <c r="BW274" s="10" t="b">
        <f>tbl_MTG_Set[[#This Row],[Collector Singles CardMarket Profit MTG Stocks]]&gt;0</f>
        <v>0</v>
      </c>
      <c r="BX274" s="10"/>
      <c r="BY274" s="10"/>
      <c r="BZ2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4" s="10" t="e">
        <f>tbl_MTG_Set[[#This Row],[Collector Singles CardMarket Profit BotBox]]/tbl_MTG_Set[[#This Row],[Collector Booster Cost]]</f>
        <v>#N/A</v>
      </c>
      <c r="CC274" s="10" t="b">
        <f>tbl_MTG_Set[[#This Row],[Collector Singles CardMarket Profit BotBox]]&gt;0</f>
        <v>0</v>
      </c>
      <c r="CD2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5" spans="1:86" hidden="1">
      <c r="A275">
        <v>298</v>
      </c>
      <c r="B275" t="s">
        <v>448</v>
      </c>
      <c r="C275">
        <v>10</v>
      </c>
      <c r="D275" s="3">
        <v>44562</v>
      </c>
      <c r="F275" t="s">
        <v>174</v>
      </c>
      <c r="G275">
        <v>542</v>
      </c>
      <c r="H275">
        <f ca="1">MONTH(NOW())+12*YEAR(NOW())-MONTH(tbl_MTG_Set[[#This Row],[Released On]])-12*YEAR(tbl_MTG_Set[[#This Row],[Released On]])</f>
        <v>50</v>
      </c>
      <c r="I275" t="str">
        <f>_xlfn.XLOOKUP(tbl_MTG_Set[[#This Row],[Type Name]], tbl_MTG_Set_Type[Set Type], tbl_MTG_Set_Type[Index], "(Set Type not found)")</f>
        <v>(Set Type not found)</v>
      </c>
      <c r="J275" t="str">
        <f>_xlfn.XLOOKUP(tbl_MTG_Set[[#This Row],[Type Name]], tbl_MTG_Set_Type[Set Type], tbl_MTG_Set_Type[Buy Window Month Start], "(Set Type not found)")</f>
        <v>(Set Type not found)</v>
      </c>
      <c r="K275" s="3" t="e">
        <f>tbl_MTG_Set[[#This Row],[Released On]]+tbl_MTG_Set[[#This Row],[Buy Window Month Start]]*365.25/12</f>
        <v>#VALUE!</v>
      </c>
      <c r="L275" t="str">
        <f>_xlfn.XLOOKUP(tbl_MTG_Set[[#This Row],[Type Name]], tbl_MTG_Set_Type[Set Type], tbl_MTG_Set_Type[Buy Window Month End], "(Set Type not found)", 0, 1)</f>
        <v>(Set Type not found)</v>
      </c>
      <c r="M275" s="3" t="e">
        <f>tbl_MTG_Set[[#This Row],[Released On]]+tbl_MTG_Set[[#This Row],[Buy Window Month End]]*365.25/12</f>
        <v>#VALUE!</v>
      </c>
      <c r="N275" s="3" t="e">
        <f ca="1">AND(NOW()&gt;=tbl_MTG_Set[[#This Row],[Buy Window Start]], NOW()&lt;=tbl_MTG_Set[[#This Row],[Buy Window End]])</f>
        <v>#VALUE!</v>
      </c>
      <c r="O275" t="str">
        <f>_xlfn.XLOOKUP(tbl_MTG_Set[[#This Row],[Type Name]], tbl_MTG_Set_Type[Set Type], tbl_MTG_Set_Type[Heavy Printing Window Month Start], "(Set Type not found)", 0, 1)</f>
        <v>(Set Type not found)</v>
      </c>
      <c r="P275" s="3" t="e">
        <f>tbl_MTG_Set[[#This Row],[Released On]]+tbl_MTG_Set[[#This Row],[Heavy Printing Window Month Start]]*365.25/12</f>
        <v>#VALUE!</v>
      </c>
      <c r="Q275" t="str">
        <f>_xlfn.XLOOKUP(tbl_MTG_Set[[#This Row],[Type Name]], tbl_MTG_Set_Type[Set Type], tbl_MTG_Set_Type[Heavy Printing Window Month End], "(Set Type not found)", 0, 1)</f>
        <v>(Set Type not found)</v>
      </c>
      <c r="R275" s="3" t="e">
        <f>tbl_MTG_Set[[#This Row],[Released On]]+tbl_MTG_Set[[#This Row],[Heavy Printing Window Month End]]*365.25/12</f>
        <v>#VALUE!</v>
      </c>
      <c r="S275" s="3" t="e">
        <f ca="1">AND(NOW()&gt;=tbl_MTG_Set[[#This Row],[Heavy Printing Window Start]], NOW()&lt;=tbl_MTG_Set[[#This Row],[Heavy Printing Window End]])</f>
        <v>#VALUE!</v>
      </c>
      <c r="T275" t="str">
        <f>_xlfn.XLOOKUP(tbl_MTG_Set[[#This Row],[Type Name]], tbl_MTG_Set_Type[Set Type], tbl_MTG_Set_Type[Sell Window Month Start], "(Set Type not found)", 0, 1)</f>
        <v>(Set Type not found)</v>
      </c>
      <c r="U275" s="3" t="e">
        <f>tbl_MTG_Set[[#This Row],[Released On]]+tbl_MTG_Set[[#This Row],[Sell Window Month Start]]*365.25/12</f>
        <v>#VALUE!</v>
      </c>
      <c r="V275" t="str">
        <f>_xlfn.XLOOKUP(tbl_MTG_Set[[#This Row],[Type Name]], tbl_MTG_Set_Type[Set Type], tbl_MTG_Set_Type[Sell Window Month End], "(Set Type not found)", 0, 1)</f>
        <v>(Set Type not found)</v>
      </c>
      <c r="W275" s="3" t="e">
        <f>tbl_MTG_Set[[#This Row],[Released On]]+tbl_MTG_Set[[#This Row],[Sell Window Month End]]*365.25/12</f>
        <v>#VALUE!</v>
      </c>
      <c r="X275" s="3" t="e">
        <f ca="1">AND(NOW()&gt;=tbl_MTG_Set[[#This Row],[Sell Window Start]], NOW()&lt;=tbl_MTG_Set[[#This Row],[Sell Window End]])</f>
        <v>#VALUE!</v>
      </c>
      <c r="AG275" s="10"/>
      <c r="AH275" s="10"/>
      <c r="AM275" s="10" t="str" cm="1">
        <f t="array" ref="AM2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5" s="10" t="str" cm="1">
        <f t="array" ref="AN2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5" s="4" t="e">
        <f>_xlfn.XLOOKUP(tbl_MTG_Set[[#This Row],[Play Booster Box Product Id]], tbl_Product[Product Id], tbl_Product[Pack Size])</f>
        <v>#N/A</v>
      </c>
      <c r="AP275" s="10" t="e">
        <f>(tbl_MTG_Set[[#This Row],[Play Booster Box Cost]]+v_Item_Shipping_Cost_In)/tbl_MTG_Set[[#This Row],[Play Booster Box Size]]</f>
        <v>#VALUE!</v>
      </c>
      <c r="AQ275" s="10" t="str" cm="1">
        <f t="array" ref="AQ2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5" s="10"/>
      <c r="AS275" s="10"/>
      <c r="AT275" s="17" t="e">
        <f>tbl_MTG_Set[[#This Row],[Play Booster CardMarket Profit]]/tbl_MTG_Set[[#This Row],[Play Booster Cost]]</f>
        <v>#VALUE!</v>
      </c>
      <c r="AU275" s="10" t="e">
        <f>_xlfn.XLOOKUP(tbl_MTG_Set[[#This Row],[Collector Booster Box Product Id]], tbl_Product[Product Id], tbl_Product[Min Cost])</f>
        <v>#N/A</v>
      </c>
      <c r="AV275" s="10" t="e">
        <f>_xlfn.XLOOKUP(tbl_MTG_Set[[#This Row],[Collector Booster Box Product Id]], tbl_Product[Product Id], tbl_Product[Best Source])</f>
        <v>#N/A</v>
      </c>
      <c r="AW275" s="4" t="e">
        <f>_xlfn.XLOOKUP(tbl_MTG_Set[[#This Row],[Collector Booster Box Product Id]], tbl_Product[Product Id], tbl_Product[Pack Size])</f>
        <v>#N/A</v>
      </c>
      <c r="AX275" s="10" t="e">
        <f>(tbl_MTG_Set[[#This Row],[Collector Booster Box Cost]] + v_Item_Shipping_Cost_In) / tbl_MTG_Set[[#This Row],[Collector Booster Box Size]]</f>
        <v>#N/A</v>
      </c>
      <c r="AY275" s="10" t="str" cm="1">
        <f t="array" ref="AY2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5" s="10"/>
      <c r="BA2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5" s="17" t="e">
        <f>tbl_MTG_Set[[#This Row],[Collector Booster CardMarket Profit]]/tbl_MTG_Set[[#This Row],[Collector Booster Cost]]</f>
        <v>#N/A</v>
      </c>
      <c r="BC275" s="10"/>
      <c r="BF2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5" s="11" t="e">
        <f>tbl_MTG_Set[[#This Row],[Play Singles CardMarket Profit MTG Stocks]]/tbl_MTG_Set[[#This Row],[Play Booster Cost]]</f>
        <v>#VALUE!</v>
      </c>
      <c r="BI275" s="11" t="b">
        <f>tbl_MTG_Set[[#This Row],[Play Singles CardMarket Profit MTG Stocks]]&gt;0</f>
        <v>0</v>
      </c>
      <c r="BM275" s="10" t="e">
        <f>tbl_MTG_Set[[#This Row],[Play Booster Sell Price CardMarket]]*tbl_MTG_Set[[#This Row],[Play Booster Expected Market Value BotBox]]/tbl_MTG_Set[[#This Row],[Play Booster Sealed Market Value BotBox]]</f>
        <v>#VALUE!</v>
      </c>
      <c r="BN2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5" s="10" t="e">
        <f>tbl_MTG_Set[[#This Row],[Play Singles CardMarket Profit BotBox]]/tbl_MTG_Set[[#This Row],[Play Booster Cost]]</f>
        <v>#VALUE!</v>
      </c>
      <c r="BP275" s="10" t="b">
        <f>tbl_MTG_Set[[#This Row],[Play Singles CardMarket Profit BotBox]]&gt;0</f>
        <v>0</v>
      </c>
      <c r="BQ275" s="10"/>
      <c r="BR275" s="10"/>
      <c r="BS275" s="10"/>
      <c r="BT2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5" s="19" t="e">
        <f>tbl_MTG_Set[[#This Row],[Collector Singles CardMarket Profit MTG Stocks]]/tbl_MTG_Set[[#This Row],[Collector Booster Cost]]</f>
        <v>#N/A</v>
      </c>
      <c r="BW275" s="10" t="b">
        <f>tbl_MTG_Set[[#This Row],[Collector Singles CardMarket Profit MTG Stocks]]&gt;0</f>
        <v>0</v>
      </c>
      <c r="BX275" s="10"/>
      <c r="BY275" s="10"/>
      <c r="BZ2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5" s="10" t="e">
        <f>tbl_MTG_Set[[#This Row],[Collector Singles CardMarket Profit BotBox]]/tbl_MTG_Set[[#This Row],[Collector Booster Cost]]</f>
        <v>#N/A</v>
      </c>
      <c r="CC275" s="10" t="b">
        <f>tbl_MTG_Set[[#This Row],[Collector Singles CardMarket Profit BotBox]]&gt;0</f>
        <v>0</v>
      </c>
      <c r="CD2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6" spans="1:86" hidden="1">
      <c r="A276">
        <v>299</v>
      </c>
      <c r="B276" t="s">
        <v>449</v>
      </c>
      <c r="C276">
        <v>63</v>
      </c>
      <c r="D276" s="3">
        <v>44539</v>
      </c>
      <c r="F276" t="s">
        <v>174</v>
      </c>
      <c r="G276">
        <v>544</v>
      </c>
      <c r="H276">
        <f ca="1">MONTH(NOW())+12*YEAR(NOW())-MONTH(tbl_MTG_Set[[#This Row],[Released On]])-12*YEAR(tbl_MTG_Set[[#This Row],[Released On]])</f>
        <v>51</v>
      </c>
      <c r="I276" t="str">
        <f>_xlfn.XLOOKUP(tbl_MTG_Set[[#This Row],[Type Name]], tbl_MTG_Set_Type[Set Type], tbl_MTG_Set_Type[Index], "(Set Type not found)")</f>
        <v>(Set Type not found)</v>
      </c>
      <c r="J276" t="str">
        <f>_xlfn.XLOOKUP(tbl_MTG_Set[[#This Row],[Type Name]], tbl_MTG_Set_Type[Set Type], tbl_MTG_Set_Type[Buy Window Month Start], "(Set Type not found)")</f>
        <v>(Set Type not found)</v>
      </c>
      <c r="K276" s="3" t="e">
        <f>tbl_MTG_Set[[#This Row],[Released On]]+tbl_MTG_Set[[#This Row],[Buy Window Month Start]]*365.25/12</f>
        <v>#VALUE!</v>
      </c>
      <c r="L276" t="str">
        <f>_xlfn.XLOOKUP(tbl_MTG_Set[[#This Row],[Type Name]], tbl_MTG_Set_Type[Set Type], tbl_MTG_Set_Type[Buy Window Month End], "(Set Type not found)", 0, 1)</f>
        <v>(Set Type not found)</v>
      </c>
      <c r="M276" s="3" t="e">
        <f>tbl_MTG_Set[[#This Row],[Released On]]+tbl_MTG_Set[[#This Row],[Buy Window Month End]]*365.25/12</f>
        <v>#VALUE!</v>
      </c>
      <c r="N276" s="3" t="e">
        <f ca="1">AND(NOW()&gt;=tbl_MTG_Set[[#This Row],[Buy Window Start]], NOW()&lt;=tbl_MTG_Set[[#This Row],[Buy Window End]])</f>
        <v>#VALUE!</v>
      </c>
      <c r="O276" t="str">
        <f>_xlfn.XLOOKUP(tbl_MTG_Set[[#This Row],[Type Name]], tbl_MTG_Set_Type[Set Type], tbl_MTG_Set_Type[Heavy Printing Window Month Start], "(Set Type not found)", 0, 1)</f>
        <v>(Set Type not found)</v>
      </c>
      <c r="P276" s="3" t="e">
        <f>tbl_MTG_Set[[#This Row],[Released On]]+tbl_MTG_Set[[#This Row],[Heavy Printing Window Month Start]]*365.25/12</f>
        <v>#VALUE!</v>
      </c>
      <c r="Q276" t="str">
        <f>_xlfn.XLOOKUP(tbl_MTG_Set[[#This Row],[Type Name]], tbl_MTG_Set_Type[Set Type], tbl_MTG_Set_Type[Heavy Printing Window Month End], "(Set Type not found)", 0, 1)</f>
        <v>(Set Type not found)</v>
      </c>
      <c r="R276" s="3" t="e">
        <f>tbl_MTG_Set[[#This Row],[Released On]]+tbl_MTG_Set[[#This Row],[Heavy Printing Window Month End]]*365.25/12</f>
        <v>#VALUE!</v>
      </c>
      <c r="S276" s="3" t="e">
        <f ca="1">AND(NOW()&gt;=tbl_MTG_Set[[#This Row],[Heavy Printing Window Start]], NOW()&lt;=tbl_MTG_Set[[#This Row],[Heavy Printing Window End]])</f>
        <v>#VALUE!</v>
      </c>
      <c r="T276" t="str">
        <f>_xlfn.XLOOKUP(tbl_MTG_Set[[#This Row],[Type Name]], tbl_MTG_Set_Type[Set Type], tbl_MTG_Set_Type[Sell Window Month Start], "(Set Type not found)", 0, 1)</f>
        <v>(Set Type not found)</v>
      </c>
      <c r="U276" s="3" t="e">
        <f>tbl_MTG_Set[[#This Row],[Released On]]+tbl_MTG_Set[[#This Row],[Sell Window Month Start]]*365.25/12</f>
        <v>#VALUE!</v>
      </c>
      <c r="V276" t="str">
        <f>_xlfn.XLOOKUP(tbl_MTG_Set[[#This Row],[Type Name]], tbl_MTG_Set_Type[Set Type], tbl_MTG_Set_Type[Sell Window Month End], "(Set Type not found)", 0, 1)</f>
        <v>(Set Type not found)</v>
      </c>
      <c r="W276" s="3" t="e">
        <f>tbl_MTG_Set[[#This Row],[Released On]]+tbl_MTG_Set[[#This Row],[Sell Window Month End]]*365.25/12</f>
        <v>#VALUE!</v>
      </c>
      <c r="X276" s="3" t="e">
        <f ca="1">AND(NOW()&gt;=tbl_MTG_Set[[#This Row],[Sell Window Start]], NOW()&lt;=tbl_MTG_Set[[#This Row],[Sell Window End]])</f>
        <v>#VALUE!</v>
      </c>
      <c r="AG276" s="10"/>
      <c r="AH276" s="10"/>
      <c r="AM276" s="10" t="str" cm="1">
        <f t="array" ref="AM2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6" s="10" t="str" cm="1">
        <f t="array" ref="AN2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6" s="4" t="e">
        <f>_xlfn.XLOOKUP(tbl_MTG_Set[[#This Row],[Play Booster Box Product Id]], tbl_Product[Product Id], tbl_Product[Pack Size])</f>
        <v>#N/A</v>
      </c>
      <c r="AP276" s="10" t="e">
        <f>(tbl_MTG_Set[[#This Row],[Play Booster Box Cost]]+v_Item_Shipping_Cost_In)/tbl_MTG_Set[[#This Row],[Play Booster Box Size]]</f>
        <v>#VALUE!</v>
      </c>
      <c r="AQ276" s="10" t="str" cm="1">
        <f t="array" ref="AQ2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6" s="10"/>
      <c r="AS276" s="10"/>
      <c r="AT276" s="17" t="e">
        <f>tbl_MTG_Set[[#This Row],[Play Booster CardMarket Profit]]/tbl_MTG_Set[[#This Row],[Play Booster Cost]]</f>
        <v>#VALUE!</v>
      </c>
      <c r="AU276" s="10" t="e">
        <f>_xlfn.XLOOKUP(tbl_MTG_Set[[#This Row],[Collector Booster Box Product Id]], tbl_Product[Product Id], tbl_Product[Min Cost])</f>
        <v>#N/A</v>
      </c>
      <c r="AV276" s="10" t="e">
        <f>_xlfn.XLOOKUP(tbl_MTG_Set[[#This Row],[Collector Booster Box Product Id]], tbl_Product[Product Id], tbl_Product[Best Source])</f>
        <v>#N/A</v>
      </c>
      <c r="AW276" s="4" t="e">
        <f>_xlfn.XLOOKUP(tbl_MTG_Set[[#This Row],[Collector Booster Box Product Id]], tbl_Product[Product Id], tbl_Product[Pack Size])</f>
        <v>#N/A</v>
      </c>
      <c r="AX276" s="10" t="e">
        <f>(tbl_MTG_Set[[#This Row],[Collector Booster Box Cost]] + v_Item_Shipping_Cost_In) / tbl_MTG_Set[[#This Row],[Collector Booster Box Size]]</f>
        <v>#N/A</v>
      </c>
      <c r="AY276" s="10" t="str" cm="1">
        <f t="array" ref="AY2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6" s="10"/>
      <c r="BA2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6" s="17" t="e">
        <f>tbl_MTG_Set[[#This Row],[Collector Booster CardMarket Profit]]/tbl_MTG_Set[[#This Row],[Collector Booster Cost]]</f>
        <v>#N/A</v>
      </c>
      <c r="BC276" s="10"/>
      <c r="BF2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6" s="11" t="e">
        <f>tbl_MTG_Set[[#This Row],[Play Singles CardMarket Profit MTG Stocks]]/tbl_MTG_Set[[#This Row],[Play Booster Cost]]</f>
        <v>#VALUE!</v>
      </c>
      <c r="BI276" s="11" t="b">
        <f>tbl_MTG_Set[[#This Row],[Play Singles CardMarket Profit MTG Stocks]]&gt;0</f>
        <v>0</v>
      </c>
      <c r="BM276" s="10" t="e">
        <f>tbl_MTG_Set[[#This Row],[Play Booster Sell Price CardMarket]]*tbl_MTG_Set[[#This Row],[Play Booster Expected Market Value BotBox]]/tbl_MTG_Set[[#This Row],[Play Booster Sealed Market Value BotBox]]</f>
        <v>#VALUE!</v>
      </c>
      <c r="BN2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6" s="10" t="e">
        <f>tbl_MTG_Set[[#This Row],[Play Singles CardMarket Profit BotBox]]/tbl_MTG_Set[[#This Row],[Play Booster Cost]]</f>
        <v>#VALUE!</v>
      </c>
      <c r="BP276" s="10" t="b">
        <f>tbl_MTG_Set[[#This Row],[Play Singles CardMarket Profit BotBox]]&gt;0</f>
        <v>0</v>
      </c>
      <c r="BQ276" s="10"/>
      <c r="BR276" s="10"/>
      <c r="BS276" s="10"/>
      <c r="BT2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6" s="19" t="e">
        <f>tbl_MTG_Set[[#This Row],[Collector Singles CardMarket Profit MTG Stocks]]/tbl_MTG_Set[[#This Row],[Collector Booster Cost]]</f>
        <v>#N/A</v>
      </c>
      <c r="BW276" s="10" t="b">
        <f>tbl_MTG_Set[[#This Row],[Collector Singles CardMarket Profit MTG Stocks]]&gt;0</f>
        <v>0</v>
      </c>
      <c r="BX276" s="10"/>
      <c r="BY276" s="10"/>
      <c r="BZ2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6" s="10" t="e">
        <f>tbl_MTG_Set[[#This Row],[Collector Singles CardMarket Profit BotBox]]/tbl_MTG_Set[[#This Row],[Collector Booster Cost]]</f>
        <v>#N/A</v>
      </c>
      <c r="CC276" s="10" t="b">
        <f>tbl_MTG_Set[[#This Row],[Collector Singles CardMarket Profit BotBox]]&gt;0</f>
        <v>0</v>
      </c>
      <c r="CD2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7" spans="1:86" hidden="1">
      <c r="A277">
        <v>301</v>
      </c>
      <c r="B277" t="s">
        <v>450</v>
      </c>
      <c r="C277">
        <v>121</v>
      </c>
      <c r="D277" s="3">
        <v>44519</v>
      </c>
      <c r="E277" t="s">
        <v>59</v>
      </c>
      <c r="F277" t="s">
        <v>174</v>
      </c>
      <c r="G277">
        <v>548</v>
      </c>
      <c r="H277">
        <f ca="1">MONTH(NOW())+12*YEAR(NOW())-MONTH(tbl_MTG_Set[[#This Row],[Released On]])-12*YEAR(tbl_MTG_Set[[#This Row],[Released On]])</f>
        <v>52</v>
      </c>
      <c r="I277">
        <f>_xlfn.XLOOKUP(tbl_MTG_Set[[#This Row],[Type Name]], tbl_MTG_Set_Type[Set Type], tbl_MTG_Set_Type[Index], "(Set Type not found)")</f>
        <v>1</v>
      </c>
      <c r="J277">
        <f>_xlfn.XLOOKUP(tbl_MTG_Set[[#This Row],[Type Name]], tbl_MTG_Set_Type[Set Type], tbl_MTG_Set_Type[Buy Window Month Start], "(Set Type not found)")</f>
        <v>18</v>
      </c>
      <c r="K277" s="3">
        <f>tbl_MTG_Set[[#This Row],[Released On]]+tbl_MTG_Set[[#This Row],[Buy Window Month Start]]*365.25/12</f>
        <v>45066.875</v>
      </c>
      <c r="L277">
        <f>_xlfn.XLOOKUP(tbl_MTG_Set[[#This Row],[Type Name]], tbl_MTG_Set_Type[Set Type], tbl_MTG_Set_Type[Buy Window Month End], "(Set Type not found)", 0, 1)</f>
        <v>24</v>
      </c>
      <c r="M277" s="3">
        <f>tbl_MTG_Set[[#This Row],[Released On]]+tbl_MTG_Set[[#This Row],[Buy Window Month End]]*365.25/12</f>
        <v>45249.5</v>
      </c>
      <c r="N277" s="3" t="b">
        <f ca="1">AND(NOW()&gt;=tbl_MTG_Set[[#This Row],[Buy Window Start]], NOW()&lt;=tbl_MTG_Set[[#This Row],[Buy Window End]])</f>
        <v>0</v>
      </c>
      <c r="O277">
        <f>_xlfn.XLOOKUP(tbl_MTG_Set[[#This Row],[Type Name]], tbl_MTG_Set_Type[Set Type], tbl_MTG_Set_Type[Heavy Printing Window Month Start], "(Set Type not found)", 0, 1)</f>
        <v>1</v>
      </c>
      <c r="P277" s="3">
        <f>tbl_MTG_Set[[#This Row],[Released On]]+tbl_MTG_Set[[#This Row],[Heavy Printing Window Month Start]]*365.25/12</f>
        <v>44549.4375</v>
      </c>
      <c r="Q277">
        <f>_xlfn.XLOOKUP(tbl_MTG_Set[[#This Row],[Type Name]], tbl_MTG_Set_Type[Set Type], tbl_MTG_Set_Type[Heavy Printing Window Month End], "(Set Type not found)", 0, 1)</f>
        <v>18</v>
      </c>
      <c r="R277" s="3">
        <f>tbl_MTG_Set[[#This Row],[Released On]]+tbl_MTG_Set[[#This Row],[Heavy Printing Window Month End]]*365.25/12</f>
        <v>45066.875</v>
      </c>
      <c r="S277" s="3" t="b">
        <f ca="1">AND(NOW()&gt;=tbl_MTG_Set[[#This Row],[Heavy Printing Window Start]], NOW()&lt;=tbl_MTG_Set[[#This Row],[Heavy Printing Window End]])</f>
        <v>0</v>
      </c>
      <c r="T277">
        <f>_xlfn.XLOOKUP(tbl_MTG_Set[[#This Row],[Type Name]], tbl_MTG_Set_Type[Set Type], tbl_MTG_Set_Type[Sell Window Month Start], "(Set Type not found)", 0, 1)</f>
        <v>36</v>
      </c>
      <c r="U277" s="3">
        <f>tbl_MTG_Set[[#This Row],[Released On]]+tbl_MTG_Set[[#This Row],[Sell Window Month Start]]*365.25/12</f>
        <v>45614.75</v>
      </c>
      <c r="V277">
        <f>_xlfn.XLOOKUP(tbl_MTG_Set[[#This Row],[Type Name]], tbl_MTG_Set_Type[Set Type], tbl_MTG_Set_Type[Sell Window Month End], "(Set Type not found)", 0, 1)</f>
        <v>48</v>
      </c>
      <c r="W277" s="3">
        <f>tbl_MTG_Set[[#This Row],[Released On]]+tbl_MTG_Set[[#This Row],[Sell Window Month End]]*365.25/12</f>
        <v>45980</v>
      </c>
      <c r="X277" s="3" t="b">
        <f ca="1">AND(NOW()&gt;=tbl_MTG_Set[[#This Row],[Sell Window Start]], NOW()&lt;=tbl_MTG_Set[[#This Row],[Sell Window End]])</f>
        <v>0</v>
      </c>
      <c r="AG277" s="10"/>
      <c r="AH277" s="10"/>
      <c r="AM277" s="10" t="str" cm="1">
        <f t="array" ref="AM2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7" s="10" t="str" cm="1">
        <f t="array" ref="AN2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7" s="4" t="e">
        <f>_xlfn.XLOOKUP(tbl_MTG_Set[[#This Row],[Play Booster Box Product Id]], tbl_Product[Product Id], tbl_Product[Pack Size])</f>
        <v>#N/A</v>
      </c>
      <c r="AP277" s="10" t="e">
        <f>(tbl_MTG_Set[[#This Row],[Play Booster Box Cost]]+v_Item_Shipping_Cost_In)/tbl_MTG_Set[[#This Row],[Play Booster Box Size]]</f>
        <v>#VALUE!</v>
      </c>
      <c r="AQ277" s="10" t="str" cm="1">
        <f t="array" ref="AQ2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7" s="10"/>
      <c r="AS277" s="10"/>
      <c r="AT277" s="17" t="e">
        <f>tbl_MTG_Set[[#This Row],[Play Booster CardMarket Profit]]/tbl_MTG_Set[[#This Row],[Play Booster Cost]]</f>
        <v>#VALUE!</v>
      </c>
      <c r="AU277" s="10" t="e">
        <f>_xlfn.XLOOKUP(tbl_MTG_Set[[#This Row],[Collector Booster Box Product Id]], tbl_Product[Product Id], tbl_Product[Min Cost])</f>
        <v>#N/A</v>
      </c>
      <c r="AV277" s="10" t="e">
        <f>_xlfn.XLOOKUP(tbl_MTG_Set[[#This Row],[Collector Booster Box Product Id]], tbl_Product[Product Id], tbl_Product[Best Source])</f>
        <v>#N/A</v>
      </c>
      <c r="AW277" s="4" t="e">
        <f>_xlfn.XLOOKUP(tbl_MTG_Set[[#This Row],[Collector Booster Box Product Id]], tbl_Product[Product Id], tbl_Product[Pack Size])</f>
        <v>#N/A</v>
      </c>
      <c r="AX277" s="10" t="e">
        <f>(tbl_MTG_Set[[#This Row],[Collector Booster Box Cost]] + v_Item_Shipping_Cost_In) / tbl_MTG_Set[[#This Row],[Collector Booster Box Size]]</f>
        <v>#N/A</v>
      </c>
      <c r="AY277" s="10" t="str" cm="1">
        <f t="array" ref="AY2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7" s="10"/>
      <c r="BA2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7" s="17" t="e">
        <f>tbl_MTG_Set[[#This Row],[Collector Booster CardMarket Profit]]/tbl_MTG_Set[[#This Row],[Collector Booster Cost]]</f>
        <v>#N/A</v>
      </c>
      <c r="BC277" s="10"/>
      <c r="BF2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7" s="11" t="e">
        <f>tbl_MTG_Set[[#This Row],[Play Singles CardMarket Profit MTG Stocks]]/tbl_MTG_Set[[#This Row],[Play Booster Cost]]</f>
        <v>#VALUE!</v>
      </c>
      <c r="BI277" s="11" t="b">
        <f>tbl_MTG_Set[[#This Row],[Play Singles CardMarket Profit MTG Stocks]]&gt;0</f>
        <v>0</v>
      </c>
      <c r="BM277" s="10" t="e">
        <f>tbl_MTG_Set[[#This Row],[Play Booster Sell Price CardMarket]]*tbl_MTG_Set[[#This Row],[Play Booster Expected Market Value BotBox]]/tbl_MTG_Set[[#This Row],[Play Booster Sealed Market Value BotBox]]</f>
        <v>#VALUE!</v>
      </c>
      <c r="BN2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7" s="10" t="e">
        <f>tbl_MTG_Set[[#This Row],[Play Singles CardMarket Profit BotBox]]/tbl_MTG_Set[[#This Row],[Play Booster Cost]]</f>
        <v>#VALUE!</v>
      </c>
      <c r="BP277" s="10" t="b">
        <f>tbl_MTG_Set[[#This Row],[Play Singles CardMarket Profit BotBox]]&gt;0</f>
        <v>0</v>
      </c>
      <c r="BQ277" s="10"/>
      <c r="BR277" s="10"/>
      <c r="BS277" s="10"/>
      <c r="BT2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7" s="19" t="e">
        <f>tbl_MTG_Set[[#This Row],[Collector Singles CardMarket Profit MTG Stocks]]/tbl_MTG_Set[[#This Row],[Collector Booster Cost]]</f>
        <v>#N/A</v>
      </c>
      <c r="BW277" s="10" t="b">
        <f>tbl_MTG_Set[[#This Row],[Collector Singles CardMarket Profit MTG Stocks]]&gt;0</f>
        <v>0</v>
      </c>
      <c r="BX277" s="10"/>
      <c r="BY277" s="10"/>
      <c r="BZ2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7" s="10" t="e">
        <f>tbl_MTG_Set[[#This Row],[Collector Singles CardMarket Profit BotBox]]/tbl_MTG_Set[[#This Row],[Collector Booster Cost]]</f>
        <v>#N/A</v>
      </c>
      <c r="CC277" s="10" t="b">
        <f>tbl_MTG_Set[[#This Row],[Collector Singles CardMarket Profit BotBox]]&gt;0</f>
        <v>0</v>
      </c>
      <c r="CD2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8" spans="1:86" hidden="1">
      <c r="A278">
        <v>302</v>
      </c>
      <c r="B278" t="s">
        <v>451</v>
      </c>
      <c r="C278">
        <v>21</v>
      </c>
      <c r="D278" s="3">
        <v>44519</v>
      </c>
      <c r="E278" t="s">
        <v>59</v>
      </c>
      <c r="F278" t="s">
        <v>174</v>
      </c>
      <c r="G278">
        <v>550</v>
      </c>
      <c r="H278">
        <f ca="1">MONTH(NOW())+12*YEAR(NOW())-MONTH(tbl_MTG_Set[[#This Row],[Released On]])-12*YEAR(tbl_MTG_Set[[#This Row],[Released On]])</f>
        <v>52</v>
      </c>
      <c r="I278">
        <f>_xlfn.XLOOKUP(tbl_MTG_Set[[#This Row],[Type Name]], tbl_MTG_Set_Type[Set Type], tbl_MTG_Set_Type[Index], "(Set Type not found)")</f>
        <v>1</v>
      </c>
      <c r="J278">
        <f>_xlfn.XLOOKUP(tbl_MTG_Set[[#This Row],[Type Name]], tbl_MTG_Set_Type[Set Type], tbl_MTG_Set_Type[Buy Window Month Start], "(Set Type not found)")</f>
        <v>18</v>
      </c>
      <c r="K278" s="3">
        <f>tbl_MTG_Set[[#This Row],[Released On]]+tbl_MTG_Set[[#This Row],[Buy Window Month Start]]*365.25/12</f>
        <v>45066.875</v>
      </c>
      <c r="L278">
        <f>_xlfn.XLOOKUP(tbl_MTG_Set[[#This Row],[Type Name]], tbl_MTG_Set_Type[Set Type], tbl_MTG_Set_Type[Buy Window Month End], "(Set Type not found)", 0, 1)</f>
        <v>24</v>
      </c>
      <c r="M278" s="3">
        <f>tbl_MTG_Set[[#This Row],[Released On]]+tbl_MTG_Set[[#This Row],[Buy Window Month End]]*365.25/12</f>
        <v>45249.5</v>
      </c>
      <c r="N278" s="3" t="b">
        <f ca="1">AND(NOW()&gt;=tbl_MTG_Set[[#This Row],[Buy Window Start]], NOW()&lt;=tbl_MTG_Set[[#This Row],[Buy Window End]])</f>
        <v>0</v>
      </c>
      <c r="O278">
        <f>_xlfn.XLOOKUP(tbl_MTG_Set[[#This Row],[Type Name]], tbl_MTG_Set_Type[Set Type], tbl_MTG_Set_Type[Heavy Printing Window Month Start], "(Set Type not found)", 0, 1)</f>
        <v>1</v>
      </c>
      <c r="P278" s="3">
        <f>tbl_MTG_Set[[#This Row],[Released On]]+tbl_MTG_Set[[#This Row],[Heavy Printing Window Month Start]]*365.25/12</f>
        <v>44549.4375</v>
      </c>
      <c r="Q278">
        <f>_xlfn.XLOOKUP(tbl_MTG_Set[[#This Row],[Type Name]], tbl_MTG_Set_Type[Set Type], tbl_MTG_Set_Type[Heavy Printing Window Month End], "(Set Type not found)", 0, 1)</f>
        <v>18</v>
      </c>
      <c r="R278" s="3">
        <f>tbl_MTG_Set[[#This Row],[Released On]]+tbl_MTG_Set[[#This Row],[Heavy Printing Window Month End]]*365.25/12</f>
        <v>45066.875</v>
      </c>
      <c r="S278" s="3" t="b">
        <f ca="1">AND(NOW()&gt;=tbl_MTG_Set[[#This Row],[Heavy Printing Window Start]], NOW()&lt;=tbl_MTG_Set[[#This Row],[Heavy Printing Window End]])</f>
        <v>0</v>
      </c>
      <c r="T278">
        <f>_xlfn.XLOOKUP(tbl_MTG_Set[[#This Row],[Type Name]], tbl_MTG_Set_Type[Set Type], tbl_MTG_Set_Type[Sell Window Month Start], "(Set Type not found)", 0, 1)</f>
        <v>36</v>
      </c>
      <c r="U278" s="3">
        <f>tbl_MTG_Set[[#This Row],[Released On]]+tbl_MTG_Set[[#This Row],[Sell Window Month Start]]*365.25/12</f>
        <v>45614.75</v>
      </c>
      <c r="V278">
        <f>_xlfn.XLOOKUP(tbl_MTG_Set[[#This Row],[Type Name]], tbl_MTG_Set_Type[Set Type], tbl_MTG_Set_Type[Sell Window Month End], "(Set Type not found)", 0, 1)</f>
        <v>48</v>
      </c>
      <c r="W278" s="3">
        <f>tbl_MTG_Set[[#This Row],[Released On]]+tbl_MTG_Set[[#This Row],[Sell Window Month End]]*365.25/12</f>
        <v>45980</v>
      </c>
      <c r="X278" s="3" t="b">
        <f ca="1">AND(NOW()&gt;=tbl_MTG_Set[[#This Row],[Sell Window Start]], NOW()&lt;=tbl_MTG_Set[[#This Row],[Sell Window End]])</f>
        <v>0</v>
      </c>
      <c r="AG278" s="10"/>
      <c r="AH278" s="10"/>
      <c r="AM278" s="10" t="str" cm="1">
        <f t="array" ref="AM2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8" s="10" t="str" cm="1">
        <f t="array" ref="AN2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8" s="4" t="e">
        <f>_xlfn.XLOOKUP(tbl_MTG_Set[[#This Row],[Play Booster Box Product Id]], tbl_Product[Product Id], tbl_Product[Pack Size])</f>
        <v>#N/A</v>
      </c>
      <c r="AP278" s="10" t="e">
        <f>(tbl_MTG_Set[[#This Row],[Play Booster Box Cost]]+v_Item_Shipping_Cost_In)/tbl_MTG_Set[[#This Row],[Play Booster Box Size]]</f>
        <v>#VALUE!</v>
      </c>
      <c r="AQ278" s="10" t="str" cm="1">
        <f t="array" ref="AQ2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8" s="10"/>
      <c r="AS278" s="10"/>
      <c r="AT278" s="17" t="e">
        <f>tbl_MTG_Set[[#This Row],[Play Booster CardMarket Profit]]/tbl_MTG_Set[[#This Row],[Play Booster Cost]]</f>
        <v>#VALUE!</v>
      </c>
      <c r="AU278" s="10" t="e">
        <f>_xlfn.XLOOKUP(tbl_MTG_Set[[#This Row],[Collector Booster Box Product Id]], tbl_Product[Product Id], tbl_Product[Min Cost])</f>
        <v>#N/A</v>
      </c>
      <c r="AV278" s="10" t="e">
        <f>_xlfn.XLOOKUP(tbl_MTG_Set[[#This Row],[Collector Booster Box Product Id]], tbl_Product[Product Id], tbl_Product[Best Source])</f>
        <v>#N/A</v>
      </c>
      <c r="AW278" s="4" t="e">
        <f>_xlfn.XLOOKUP(tbl_MTG_Set[[#This Row],[Collector Booster Box Product Id]], tbl_Product[Product Id], tbl_Product[Pack Size])</f>
        <v>#N/A</v>
      </c>
      <c r="AX278" s="10" t="e">
        <f>(tbl_MTG_Set[[#This Row],[Collector Booster Box Cost]] + v_Item_Shipping_Cost_In) / tbl_MTG_Set[[#This Row],[Collector Booster Box Size]]</f>
        <v>#N/A</v>
      </c>
      <c r="AY278" s="10" t="str" cm="1">
        <f t="array" ref="AY2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8" s="10"/>
      <c r="BA2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8" s="17" t="e">
        <f>tbl_MTG_Set[[#This Row],[Collector Booster CardMarket Profit]]/tbl_MTG_Set[[#This Row],[Collector Booster Cost]]</f>
        <v>#N/A</v>
      </c>
      <c r="BC278" s="10"/>
      <c r="BF2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8" s="11" t="e">
        <f>tbl_MTG_Set[[#This Row],[Play Singles CardMarket Profit MTG Stocks]]/tbl_MTG_Set[[#This Row],[Play Booster Cost]]</f>
        <v>#VALUE!</v>
      </c>
      <c r="BI278" s="11" t="b">
        <f>tbl_MTG_Set[[#This Row],[Play Singles CardMarket Profit MTG Stocks]]&gt;0</f>
        <v>0</v>
      </c>
      <c r="BM278" s="10" t="e">
        <f>tbl_MTG_Set[[#This Row],[Play Booster Sell Price CardMarket]]*tbl_MTG_Set[[#This Row],[Play Booster Expected Market Value BotBox]]/tbl_MTG_Set[[#This Row],[Play Booster Sealed Market Value BotBox]]</f>
        <v>#VALUE!</v>
      </c>
      <c r="BN2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8" s="10" t="e">
        <f>tbl_MTG_Set[[#This Row],[Play Singles CardMarket Profit BotBox]]/tbl_MTG_Set[[#This Row],[Play Booster Cost]]</f>
        <v>#VALUE!</v>
      </c>
      <c r="BP278" s="10" t="b">
        <f>tbl_MTG_Set[[#This Row],[Play Singles CardMarket Profit BotBox]]&gt;0</f>
        <v>0</v>
      </c>
      <c r="BQ278" s="10"/>
      <c r="BR278" s="10"/>
      <c r="BS278" s="10"/>
      <c r="BT2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8" s="19" t="e">
        <f>tbl_MTG_Set[[#This Row],[Collector Singles CardMarket Profit MTG Stocks]]/tbl_MTG_Set[[#This Row],[Collector Booster Cost]]</f>
        <v>#N/A</v>
      </c>
      <c r="BW278" s="10" t="b">
        <f>tbl_MTG_Set[[#This Row],[Collector Singles CardMarket Profit MTG Stocks]]&gt;0</f>
        <v>0</v>
      </c>
      <c r="BX278" s="10"/>
      <c r="BY278" s="10"/>
      <c r="BZ2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8" s="10" t="e">
        <f>tbl_MTG_Set[[#This Row],[Collector Singles CardMarket Profit BotBox]]/tbl_MTG_Set[[#This Row],[Collector Booster Cost]]</f>
        <v>#N/A</v>
      </c>
      <c r="CC278" s="10" t="b">
        <f>tbl_MTG_Set[[#This Row],[Collector Singles CardMarket Profit BotBox]]&gt;0</f>
        <v>0</v>
      </c>
      <c r="CD2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79" spans="1:86" hidden="1">
      <c r="A279">
        <v>303</v>
      </c>
      <c r="B279" t="s">
        <v>452</v>
      </c>
      <c r="C279">
        <v>3</v>
      </c>
      <c r="D279" s="3">
        <v>44519</v>
      </c>
      <c r="E279" t="s">
        <v>59</v>
      </c>
      <c r="F279" t="s">
        <v>174</v>
      </c>
      <c r="G279">
        <v>552</v>
      </c>
      <c r="H279">
        <f ca="1">MONTH(NOW())+12*YEAR(NOW())-MONTH(tbl_MTG_Set[[#This Row],[Released On]])-12*YEAR(tbl_MTG_Set[[#This Row],[Released On]])</f>
        <v>52</v>
      </c>
      <c r="I279">
        <f>_xlfn.XLOOKUP(tbl_MTG_Set[[#This Row],[Type Name]], tbl_MTG_Set_Type[Set Type], tbl_MTG_Set_Type[Index], "(Set Type not found)")</f>
        <v>1</v>
      </c>
      <c r="J279">
        <f>_xlfn.XLOOKUP(tbl_MTG_Set[[#This Row],[Type Name]], tbl_MTG_Set_Type[Set Type], tbl_MTG_Set_Type[Buy Window Month Start], "(Set Type not found)")</f>
        <v>18</v>
      </c>
      <c r="K279" s="3">
        <f>tbl_MTG_Set[[#This Row],[Released On]]+tbl_MTG_Set[[#This Row],[Buy Window Month Start]]*365.25/12</f>
        <v>45066.875</v>
      </c>
      <c r="L279">
        <f>_xlfn.XLOOKUP(tbl_MTG_Set[[#This Row],[Type Name]], tbl_MTG_Set_Type[Set Type], tbl_MTG_Set_Type[Buy Window Month End], "(Set Type not found)", 0, 1)</f>
        <v>24</v>
      </c>
      <c r="M279" s="3">
        <f>tbl_MTG_Set[[#This Row],[Released On]]+tbl_MTG_Set[[#This Row],[Buy Window Month End]]*365.25/12</f>
        <v>45249.5</v>
      </c>
      <c r="N279" s="3" t="b">
        <f ca="1">AND(NOW()&gt;=tbl_MTG_Set[[#This Row],[Buy Window Start]], NOW()&lt;=tbl_MTG_Set[[#This Row],[Buy Window End]])</f>
        <v>0</v>
      </c>
      <c r="O279">
        <f>_xlfn.XLOOKUP(tbl_MTG_Set[[#This Row],[Type Name]], tbl_MTG_Set_Type[Set Type], tbl_MTG_Set_Type[Heavy Printing Window Month Start], "(Set Type not found)", 0, 1)</f>
        <v>1</v>
      </c>
      <c r="P279" s="3">
        <f>tbl_MTG_Set[[#This Row],[Released On]]+tbl_MTG_Set[[#This Row],[Heavy Printing Window Month Start]]*365.25/12</f>
        <v>44549.4375</v>
      </c>
      <c r="Q279">
        <f>_xlfn.XLOOKUP(tbl_MTG_Set[[#This Row],[Type Name]], tbl_MTG_Set_Type[Set Type], tbl_MTG_Set_Type[Heavy Printing Window Month End], "(Set Type not found)", 0, 1)</f>
        <v>18</v>
      </c>
      <c r="R279" s="3">
        <f>tbl_MTG_Set[[#This Row],[Released On]]+tbl_MTG_Set[[#This Row],[Heavy Printing Window Month End]]*365.25/12</f>
        <v>45066.875</v>
      </c>
      <c r="S279" s="3" t="b">
        <f ca="1">AND(NOW()&gt;=tbl_MTG_Set[[#This Row],[Heavy Printing Window Start]], NOW()&lt;=tbl_MTG_Set[[#This Row],[Heavy Printing Window End]])</f>
        <v>0</v>
      </c>
      <c r="T279">
        <f>_xlfn.XLOOKUP(tbl_MTG_Set[[#This Row],[Type Name]], tbl_MTG_Set_Type[Set Type], tbl_MTG_Set_Type[Sell Window Month Start], "(Set Type not found)", 0, 1)</f>
        <v>36</v>
      </c>
      <c r="U279" s="3">
        <f>tbl_MTG_Set[[#This Row],[Released On]]+tbl_MTG_Set[[#This Row],[Sell Window Month Start]]*365.25/12</f>
        <v>45614.75</v>
      </c>
      <c r="V279">
        <f>_xlfn.XLOOKUP(tbl_MTG_Set[[#This Row],[Type Name]], tbl_MTG_Set_Type[Set Type], tbl_MTG_Set_Type[Sell Window Month End], "(Set Type not found)", 0, 1)</f>
        <v>48</v>
      </c>
      <c r="W279" s="3">
        <f>tbl_MTG_Set[[#This Row],[Released On]]+tbl_MTG_Set[[#This Row],[Sell Window Month End]]*365.25/12</f>
        <v>45980</v>
      </c>
      <c r="X279" s="3" t="b">
        <f ca="1">AND(NOW()&gt;=tbl_MTG_Set[[#This Row],[Sell Window Start]], NOW()&lt;=tbl_MTG_Set[[#This Row],[Sell Window End]])</f>
        <v>0</v>
      </c>
      <c r="AG279" s="10"/>
      <c r="AH279" s="10"/>
      <c r="AM279" s="10" t="str" cm="1">
        <f t="array" ref="AM2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79" s="10" t="str" cm="1">
        <f t="array" ref="AN2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79" s="4" t="e">
        <f>_xlfn.XLOOKUP(tbl_MTG_Set[[#This Row],[Play Booster Box Product Id]], tbl_Product[Product Id], tbl_Product[Pack Size])</f>
        <v>#N/A</v>
      </c>
      <c r="AP279" s="10" t="e">
        <f>(tbl_MTG_Set[[#This Row],[Play Booster Box Cost]]+v_Item_Shipping_Cost_In)/tbl_MTG_Set[[#This Row],[Play Booster Box Size]]</f>
        <v>#VALUE!</v>
      </c>
      <c r="AQ279" s="10" t="str" cm="1">
        <f t="array" ref="AQ2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79" s="10"/>
      <c r="AS279" s="10"/>
      <c r="AT279" s="17" t="e">
        <f>tbl_MTG_Set[[#This Row],[Play Booster CardMarket Profit]]/tbl_MTG_Set[[#This Row],[Play Booster Cost]]</f>
        <v>#VALUE!</v>
      </c>
      <c r="AU279" s="10" t="e">
        <f>_xlfn.XLOOKUP(tbl_MTG_Set[[#This Row],[Collector Booster Box Product Id]], tbl_Product[Product Id], tbl_Product[Min Cost])</f>
        <v>#N/A</v>
      </c>
      <c r="AV279" s="10" t="e">
        <f>_xlfn.XLOOKUP(tbl_MTG_Set[[#This Row],[Collector Booster Box Product Id]], tbl_Product[Product Id], tbl_Product[Best Source])</f>
        <v>#N/A</v>
      </c>
      <c r="AW279" s="4" t="e">
        <f>_xlfn.XLOOKUP(tbl_MTG_Set[[#This Row],[Collector Booster Box Product Id]], tbl_Product[Product Id], tbl_Product[Pack Size])</f>
        <v>#N/A</v>
      </c>
      <c r="AX279" s="10" t="e">
        <f>(tbl_MTG_Set[[#This Row],[Collector Booster Box Cost]] + v_Item_Shipping_Cost_In) / tbl_MTG_Set[[#This Row],[Collector Booster Box Size]]</f>
        <v>#N/A</v>
      </c>
      <c r="AY279" s="10" t="str" cm="1">
        <f t="array" ref="AY2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79" s="10"/>
      <c r="BA2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79" s="17" t="e">
        <f>tbl_MTG_Set[[#This Row],[Collector Booster CardMarket Profit]]/tbl_MTG_Set[[#This Row],[Collector Booster Cost]]</f>
        <v>#N/A</v>
      </c>
      <c r="BC279" s="10"/>
      <c r="BF2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79" s="11" t="e">
        <f>tbl_MTG_Set[[#This Row],[Play Singles CardMarket Profit MTG Stocks]]/tbl_MTG_Set[[#This Row],[Play Booster Cost]]</f>
        <v>#VALUE!</v>
      </c>
      <c r="BI279" s="11" t="b">
        <f>tbl_MTG_Set[[#This Row],[Play Singles CardMarket Profit MTG Stocks]]&gt;0</f>
        <v>0</v>
      </c>
      <c r="BM279" s="10" t="e">
        <f>tbl_MTG_Set[[#This Row],[Play Booster Sell Price CardMarket]]*tbl_MTG_Set[[#This Row],[Play Booster Expected Market Value BotBox]]/tbl_MTG_Set[[#This Row],[Play Booster Sealed Market Value BotBox]]</f>
        <v>#VALUE!</v>
      </c>
      <c r="BN2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79" s="10" t="e">
        <f>tbl_MTG_Set[[#This Row],[Play Singles CardMarket Profit BotBox]]/tbl_MTG_Set[[#This Row],[Play Booster Cost]]</f>
        <v>#VALUE!</v>
      </c>
      <c r="BP279" s="10" t="b">
        <f>tbl_MTG_Set[[#This Row],[Play Singles CardMarket Profit BotBox]]&gt;0</f>
        <v>0</v>
      </c>
      <c r="BQ279" s="10"/>
      <c r="BR279" s="10"/>
      <c r="BS279" s="10"/>
      <c r="BT2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79" s="19" t="e">
        <f>tbl_MTG_Set[[#This Row],[Collector Singles CardMarket Profit MTG Stocks]]/tbl_MTG_Set[[#This Row],[Collector Booster Cost]]</f>
        <v>#N/A</v>
      </c>
      <c r="BW279" s="10" t="b">
        <f>tbl_MTG_Set[[#This Row],[Collector Singles CardMarket Profit MTG Stocks]]&gt;0</f>
        <v>0</v>
      </c>
      <c r="BX279" s="10"/>
      <c r="BY279" s="10"/>
      <c r="BZ2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79" s="10" t="e">
        <f>tbl_MTG_Set[[#This Row],[Collector Singles CardMarket Profit BotBox]]/tbl_MTG_Set[[#This Row],[Collector Booster Cost]]</f>
        <v>#N/A</v>
      </c>
      <c r="CC279" s="10" t="b">
        <f>tbl_MTG_Set[[#This Row],[Collector Singles CardMarket Profit BotBox]]&gt;0</f>
        <v>0</v>
      </c>
      <c r="CD2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0" spans="1:86" hidden="1">
      <c r="A280">
        <v>304</v>
      </c>
      <c r="B280" t="s">
        <v>453</v>
      </c>
      <c r="C280">
        <v>9</v>
      </c>
      <c r="D280" s="3">
        <v>44519</v>
      </c>
      <c r="E280" t="s">
        <v>59</v>
      </c>
      <c r="F280" t="s">
        <v>174</v>
      </c>
      <c r="G280">
        <v>554</v>
      </c>
      <c r="H280">
        <f ca="1">MONTH(NOW())+12*YEAR(NOW())-MONTH(tbl_MTG_Set[[#This Row],[Released On]])-12*YEAR(tbl_MTG_Set[[#This Row],[Released On]])</f>
        <v>52</v>
      </c>
      <c r="I280">
        <f>_xlfn.XLOOKUP(tbl_MTG_Set[[#This Row],[Type Name]], tbl_MTG_Set_Type[Set Type], tbl_MTG_Set_Type[Index], "(Set Type not found)")</f>
        <v>1</v>
      </c>
      <c r="J280">
        <f>_xlfn.XLOOKUP(tbl_MTG_Set[[#This Row],[Type Name]], tbl_MTG_Set_Type[Set Type], tbl_MTG_Set_Type[Buy Window Month Start], "(Set Type not found)")</f>
        <v>18</v>
      </c>
      <c r="K280" s="3">
        <f>tbl_MTG_Set[[#This Row],[Released On]]+tbl_MTG_Set[[#This Row],[Buy Window Month Start]]*365.25/12</f>
        <v>45066.875</v>
      </c>
      <c r="L280">
        <f>_xlfn.XLOOKUP(tbl_MTG_Set[[#This Row],[Type Name]], tbl_MTG_Set_Type[Set Type], tbl_MTG_Set_Type[Buy Window Month End], "(Set Type not found)", 0, 1)</f>
        <v>24</v>
      </c>
      <c r="M280" s="3">
        <f>tbl_MTG_Set[[#This Row],[Released On]]+tbl_MTG_Set[[#This Row],[Buy Window Month End]]*365.25/12</f>
        <v>45249.5</v>
      </c>
      <c r="N280" s="3" t="b">
        <f ca="1">AND(NOW()&gt;=tbl_MTG_Set[[#This Row],[Buy Window Start]], NOW()&lt;=tbl_MTG_Set[[#This Row],[Buy Window End]])</f>
        <v>0</v>
      </c>
      <c r="O280">
        <f>_xlfn.XLOOKUP(tbl_MTG_Set[[#This Row],[Type Name]], tbl_MTG_Set_Type[Set Type], tbl_MTG_Set_Type[Heavy Printing Window Month Start], "(Set Type not found)", 0, 1)</f>
        <v>1</v>
      </c>
      <c r="P280" s="3">
        <f>tbl_MTG_Set[[#This Row],[Released On]]+tbl_MTG_Set[[#This Row],[Heavy Printing Window Month Start]]*365.25/12</f>
        <v>44549.4375</v>
      </c>
      <c r="Q280">
        <f>_xlfn.XLOOKUP(tbl_MTG_Set[[#This Row],[Type Name]], tbl_MTG_Set_Type[Set Type], tbl_MTG_Set_Type[Heavy Printing Window Month End], "(Set Type not found)", 0, 1)</f>
        <v>18</v>
      </c>
      <c r="R280" s="3">
        <f>tbl_MTG_Set[[#This Row],[Released On]]+tbl_MTG_Set[[#This Row],[Heavy Printing Window Month End]]*365.25/12</f>
        <v>45066.875</v>
      </c>
      <c r="S280" s="3" t="b">
        <f ca="1">AND(NOW()&gt;=tbl_MTG_Set[[#This Row],[Heavy Printing Window Start]], NOW()&lt;=tbl_MTG_Set[[#This Row],[Heavy Printing Window End]])</f>
        <v>0</v>
      </c>
      <c r="T280">
        <f>_xlfn.XLOOKUP(tbl_MTG_Set[[#This Row],[Type Name]], tbl_MTG_Set_Type[Set Type], tbl_MTG_Set_Type[Sell Window Month Start], "(Set Type not found)", 0, 1)</f>
        <v>36</v>
      </c>
      <c r="U280" s="3">
        <f>tbl_MTG_Set[[#This Row],[Released On]]+tbl_MTG_Set[[#This Row],[Sell Window Month Start]]*365.25/12</f>
        <v>45614.75</v>
      </c>
      <c r="V280">
        <f>_xlfn.XLOOKUP(tbl_MTG_Set[[#This Row],[Type Name]], tbl_MTG_Set_Type[Set Type], tbl_MTG_Set_Type[Sell Window Month End], "(Set Type not found)", 0, 1)</f>
        <v>48</v>
      </c>
      <c r="W280" s="3">
        <f>tbl_MTG_Set[[#This Row],[Released On]]+tbl_MTG_Set[[#This Row],[Sell Window Month End]]*365.25/12</f>
        <v>45980</v>
      </c>
      <c r="X280" s="3" t="b">
        <f ca="1">AND(NOW()&gt;=tbl_MTG_Set[[#This Row],[Sell Window Start]], NOW()&lt;=tbl_MTG_Set[[#This Row],[Sell Window End]])</f>
        <v>0</v>
      </c>
      <c r="AG280" s="10"/>
      <c r="AH280" s="10"/>
      <c r="AM280" s="10" t="str" cm="1">
        <f t="array" ref="AM2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0" s="10" t="str" cm="1">
        <f t="array" ref="AN2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0" s="4" t="e">
        <f>_xlfn.XLOOKUP(tbl_MTG_Set[[#This Row],[Play Booster Box Product Id]], tbl_Product[Product Id], tbl_Product[Pack Size])</f>
        <v>#N/A</v>
      </c>
      <c r="AP280" s="10" t="e">
        <f>(tbl_MTG_Set[[#This Row],[Play Booster Box Cost]]+v_Item_Shipping_Cost_In)/tbl_MTG_Set[[#This Row],[Play Booster Box Size]]</f>
        <v>#VALUE!</v>
      </c>
      <c r="AQ280" s="10" t="str" cm="1">
        <f t="array" ref="AQ2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0" s="10"/>
      <c r="AS280" s="10"/>
      <c r="AT280" s="17" t="e">
        <f>tbl_MTG_Set[[#This Row],[Play Booster CardMarket Profit]]/tbl_MTG_Set[[#This Row],[Play Booster Cost]]</f>
        <v>#VALUE!</v>
      </c>
      <c r="AU280" s="10" t="e">
        <f>_xlfn.XLOOKUP(tbl_MTG_Set[[#This Row],[Collector Booster Box Product Id]], tbl_Product[Product Id], tbl_Product[Min Cost])</f>
        <v>#N/A</v>
      </c>
      <c r="AV280" s="10" t="e">
        <f>_xlfn.XLOOKUP(tbl_MTG_Set[[#This Row],[Collector Booster Box Product Id]], tbl_Product[Product Id], tbl_Product[Best Source])</f>
        <v>#N/A</v>
      </c>
      <c r="AW280" s="4" t="e">
        <f>_xlfn.XLOOKUP(tbl_MTG_Set[[#This Row],[Collector Booster Box Product Id]], tbl_Product[Product Id], tbl_Product[Pack Size])</f>
        <v>#N/A</v>
      </c>
      <c r="AX280" s="10" t="e">
        <f>(tbl_MTG_Set[[#This Row],[Collector Booster Box Cost]] + v_Item_Shipping_Cost_In) / tbl_MTG_Set[[#This Row],[Collector Booster Box Size]]</f>
        <v>#N/A</v>
      </c>
      <c r="AY280" s="10" t="str" cm="1">
        <f t="array" ref="AY2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0" s="10"/>
      <c r="BA2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0" s="17" t="e">
        <f>tbl_MTG_Set[[#This Row],[Collector Booster CardMarket Profit]]/tbl_MTG_Set[[#This Row],[Collector Booster Cost]]</f>
        <v>#N/A</v>
      </c>
      <c r="BC280" s="10"/>
      <c r="BF2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0" s="11" t="e">
        <f>tbl_MTG_Set[[#This Row],[Play Singles CardMarket Profit MTG Stocks]]/tbl_MTG_Set[[#This Row],[Play Booster Cost]]</f>
        <v>#VALUE!</v>
      </c>
      <c r="BI280" s="11" t="b">
        <f>tbl_MTG_Set[[#This Row],[Play Singles CardMarket Profit MTG Stocks]]&gt;0</f>
        <v>0</v>
      </c>
      <c r="BM280" s="10" t="e">
        <f>tbl_MTG_Set[[#This Row],[Play Booster Sell Price CardMarket]]*tbl_MTG_Set[[#This Row],[Play Booster Expected Market Value BotBox]]/tbl_MTG_Set[[#This Row],[Play Booster Sealed Market Value BotBox]]</f>
        <v>#VALUE!</v>
      </c>
      <c r="BN2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0" s="10" t="e">
        <f>tbl_MTG_Set[[#This Row],[Play Singles CardMarket Profit BotBox]]/tbl_MTG_Set[[#This Row],[Play Booster Cost]]</f>
        <v>#VALUE!</v>
      </c>
      <c r="BP280" s="10" t="b">
        <f>tbl_MTG_Set[[#This Row],[Play Singles CardMarket Profit BotBox]]&gt;0</f>
        <v>0</v>
      </c>
      <c r="BQ280" s="10"/>
      <c r="BR280" s="10"/>
      <c r="BS280" s="10"/>
      <c r="BT2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0" s="19" t="e">
        <f>tbl_MTG_Set[[#This Row],[Collector Singles CardMarket Profit MTG Stocks]]/tbl_MTG_Set[[#This Row],[Collector Booster Cost]]</f>
        <v>#N/A</v>
      </c>
      <c r="BW280" s="10" t="b">
        <f>tbl_MTG_Set[[#This Row],[Collector Singles CardMarket Profit MTG Stocks]]&gt;0</f>
        <v>0</v>
      </c>
      <c r="BX280" s="10"/>
      <c r="BY280" s="10"/>
      <c r="BZ2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0" s="10" t="e">
        <f>tbl_MTG_Set[[#This Row],[Collector Singles CardMarket Profit BotBox]]/tbl_MTG_Set[[#This Row],[Collector Booster Cost]]</f>
        <v>#N/A</v>
      </c>
      <c r="CC280" s="10" t="b">
        <f>tbl_MTG_Set[[#This Row],[Collector Singles CardMarket Profit BotBox]]&gt;0</f>
        <v>0</v>
      </c>
      <c r="CD2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1" spans="1:86" hidden="1">
      <c r="A281">
        <v>305</v>
      </c>
      <c r="B281" t="s">
        <v>454</v>
      </c>
      <c r="C281">
        <v>81</v>
      </c>
      <c r="D281" s="3">
        <v>44519</v>
      </c>
      <c r="F281" t="s">
        <v>174</v>
      </c>
      <c r="G281">
        <v>556</v>
      </c>
      <c r="H281">
        <f ca="1">MONTH(NOW())+12*YEAR(NOW())-MONTH(tbl_MTG_Set[[#This Row],[Released On]])-12*YEAR(tbl_MTG_Set[[#This Row],[Released On]])</f>
        <v>52</v>
      </c>
      <c r="I281" t="str">
        <f>_xlfn.XLOOKUP(tbl_MTG_Set[[#This Row],[Type Name]], tbl_MTG_Set_Type[Set Type], tbl_MTG_Set_Type[Index], "(Set Type not found)")</f>
        <v>(Set Type not found)</v>
      </c>
      <c r="J281" t="str">
        <f>_xlfn.XLOOKUP(tbl_MTG_Set[[#This Row],[Type Name]], tbl_MTG_Set_Type[Set Type], tbl_MTG_Set_Type[Buy Window Month Start], "(Set Type not found)")</f>
        <v>(Set Type not found)</v>
      </c>
      <c r="K281" s="3" t="e">
        <f>tbl_MTG_Set[[#This Row],[Released On]]+tbl_MTG_Set[[#This Row],[Buy Window Month Start]]*365.25/12</f>
        <v>#VALUE!</v>
      </c>
      <c r="L281" t="str">
        <f>_xlfn.XLOOKUP(tbl_MTG_Set[[#This Row],[Type Name]], tbl_MTG_Set_Type[Set Type], tbl_MTG_Set_Type[Buy Window Month End], "(Set Type not found)", 0, 1)</f>
        <v>(Set Type not found)</v>
      </c>
      <c r="M281" s="3" t="e">
        <f>tbl_MTG_Set[[#This Row],[Released On]]+tbl_MTG_Set[[#This Row],[Buy Window Month End]]*365.25/12</f>
        <v>#VALUE!</v>
      </c>
      <c r="N281" s="3" t="e">
        <f ca="1">AND(NOW()&gt;=tbl_MTG_Set[[#This Row],[Buy Window Start]], NOW()&lt;=tbl_MTG_Set[[#This Row],[Buy Window End]])</f>
        <v>#VALUE!</v>
      </c>
      <c r="O281" t="str">
        <f>_xlfn.XLOOKUP(tbl_MTG_Set[[#This Row],[Type Name]], tbl_MTG_Set_Type[Set Type], tbl_MTG_Set_Type[Heavy Printing Window Month Start], "(Set Type not found)", 0, 1)</f>
        <v>(Set Type not found)</v>
      </c>
      <c r="P281" s="3" t="e">
        <f>tbl_MTG_Set[[#This Row],[Released On]]+tbl_MTG_Set[[#This Row],[Heavy Printing Window Month Start]]*365.25/12</f>
        <v>#VALUE!</v>
      </c>
      <c r="Q281" t="str">
        <f>_xlfn.XLOOKUP(tbl_MTG_Set[[#This Row],[Type Name]], tbl_MTG_Set_Type[Set Type], tbl_MTG_Set_Type[Heavy Printing Window Month End], "(Set Type not found)", 0, 1)</f>
        <v>(Set Type not found)</v>
      </c>
      <c r="R281" s="3" t="e">
        <f>tbl_MTG_Set[[#This Row],[Released On]]+tbl_MTG_Set[[#This Row],[Heavy Printing Window Month End]]*365.25/12</f>
        <v>#VALUE!</v>
      </c>
      <c r="S281" s="3" t="e">
        <f ca="1">AND(NOW()&gt;=tbl_MTG_Set[[#This Row],[Heavy Printing Window Start]], NOW()&lt;=tbl_MTG_Set[[#This Row],[Heavy Printing Window End]])</f>
        <v>#VALUE!</v>
      </c>
      <c r="T281" t="str">
        <f>_xlfn.XLOOKUP(tbl_MTG_Set[[#This Row],[Type Name]], tbl_MTG_Set_Type[Set Type], tbl_MTG_Set_Type[Sell Window Month Start], "(Set Type not found)", 0, 1)</f>
        <v>(Set Type not found)</v>
      </c>
      <c r="U281" s="3" t="e">
        <f>tbl_MTG_Set[[#This Row],[Released On]]+tbl_MTG_Set[[#This Row],[Sell Window Month Start]]*365.25/12</f>
        <v>#VALUE!</v>
      </c>
      <c r="V281" t="str">
        <f>_xlfn.XLOOKUP(tbl_MTG_Set[[#This Row],[Type Name]], tbl_MTG_Set_Type[Set Type], tbl_MTG_Set_Type[Sell Window Month End], "(Set Type not found)", 0, 1)</f>
        <v>(Set Type not found)</v>
      </c>
      <c r="W281" s="3" t="e">
        <f>tbl_MTG_Set[[#This Row],[Released On]]+tbl_MTG_Set[[#This Row],[Sell Window Month End]]*365.25/12</f>
        <v>#VALUE!</v>
      </c>
      <c r="X281" s="3" t="e">
        <f ca="1">AND(NOW()&gt;=tbl_MTG_Set[[#This Row],[Sell Window Start]], NOW()&lt;=tbl_MTG_Set[[#This Row],[Sell Window End]])</f>
        <v>#VALUE!</v>
      </c>
      <c r="AG281" s="10"/>
      <c r="AH281" s="10"/>
      <c r="AM281" s="10" t="str" cm="1">
        <f t="array" ref="AM2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1" s="10" t="str" cm="1">
        <f t="array" ref="AN2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1" s="4" t="e">
        <f>_xlfn.XLOOKUP(tbl_MTG_Set[[#This Row],[Play Booster Box Product Id]], tbl_Product[Product Id], tbl_Product[Pack Size])</f>
        <v>#N/A</v>
      </c>
      <c r="AP281" s="10" t="e">
        <f>(tbl_MTG_Set[[#This Row],[Play Booster Box Cost]]+v_Item_Shipping_Cost_In)/tbl_MTG_Set[[#This Row],[Play Booster Box Size]]</f>
        <v>#VALUE!</v>
      </c>
      <c r="AQ281" s="10" t="str" cm="1">
        <f t="array" ref="AQ2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1" s="10"/>
      <c r="AS281" s="10"/>
      <c r="AT281" s="17" t="e">
        <f>tbl_MTG_Set[[#This Row],[Play Booster CardMarket Profit]]/tbl_MTG_Set[[#This Row],[Play Booster Cost]]</f>
        <v>#VALUE!</v>
      </c>
      <c r="AU281" s="10" t="e">
        <f>_xlfn.XLOOKUP(tbl_MTG_Set[[#This Row],[Collector Booster Box Product Id]], tbl_Product[Product Id], tbl_Product[Min Cost])</f>
        <v>#N/A</v>
      </c>
      <c r="AV281" s="10" t="e">
        <f>_xlfn.XLOOKUP(tbl_MTG_Set[[#This Row],[Collector Booster Box Product Id]], tbl_Product[Product Id], tbl_Product[Best Source])</f>
        <v>#N/A</v>
      </c>
      <c r="AW281" s="4" t="e">
        <f>_xlfn.XLOOKUP(tbl_MTG_Set[[#This Row],[Collector Booster Box Product Id]], tbl_Product[Product Id], tbl_Product[Pack Size])</f>
        <v>#N/A</v>
      </c>
      <c r="AX281" s="10" t="e">
        <f>(tbl_MTG_Set[[#This Row],[Collector Booster Box Cost]] + v_Item_Shipping_Cost_In) / tbl_MTG_Set[[#This Row],[Collector Booster Box Size]]</f>
        <v>#N/A</v>
      </c>
      <c r="AY281" s="10" t="str" cm="1">
        <f t="array" ref="AY2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1" s="10"/>
      <c r="BA2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1" s="17" t="e">
        <f>tbl_MTG_Set[[#This Row],[Collector Booster CardMarket Profit]]/tbl_MTG_Set[[#This Row],[Collector Booster Cost]]</f>
        <v>#N/A</v>
      </c>
      <c r="BC281" s="10"/>
      <c r="BF2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1" s="11" t="e">
        <f>tbl_MTG_Set[[#This Row],[Play Singles CardMarket Profit MTG Stocks]]/tbl_MTG_Set[[#This Row],[Play Booster Cost]]</f>
        <v>#VALUE!</v>
      </c>
      <c r="BI281" s="11" t="b">
        <f>tbl_MTG_Set[[#This Row],[Play Singles CardMarket Profit MTG Stocks]]&gt;0</f>
        <v>0</v>
      </c>
      <c r="BM281" s="10" t="e">
        <f>tbl_MTG_Set[[#This Row],[Play Booster Sell Price CardMarket]]*tbl_MTG_Set[[#This Row],[Play Booster Expected Market Value BotBox]]/tbl_MTG_Set[[#This Row],[Play Booster Sealed Market Value BotBox]]</f>
        <v>#VALUE!</v>
      </c>
      <c r="BN2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1" s="10" t="e">
        <f>tbl_MTG_Set[[#This Row],[Play Singles CardMarket Profit BotBox]]/tbl_MTG_Set[[#This Row],[Play Booster Cost]]</f>
        <v>#VALUE!</v>
      </c>
      <c r="BP281" s="10" t="b">
        <f>tbl_MTG_Set[[#This Row],[Play Singles CardMarket Profit BotBox]]&gt;0</f>
        <v>0</v>
      </c>
      <c r="BQ281" s="10"/>
      <c r="BR281" s="10"/>
      <c r="BS281" s="10"/>
      <c r="BT2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1" s="19" t="e">
        <f>tbl_MTG_Set[[#This Row],[Collector Singles CardMarket Profit MTG Stocks]]/tbl_MTG_Set[[#This Row],[Collector Booster Cost]]</f>
        <v>#N/A</v>
      </c>
      <c r="BW281" s="10" t="b">
        <f>tbl_MTG_Set[[#This Row],[Collector Singles CardMarket Profit MTG Stocks]]&gt;0</f>
        <v>0</v>
      </c>
      <c r="BX281" s="10"/>
      <c r="BY281" s="10"/>
      <c r="BZ2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1" s="10" t="e">
        <f>tbl_MTG_Set[[#This Row],[Collector Singles CardMarket Profit BotBox]]/tbl_MTG_Set[[#This Row],[Collector Booster Cost]]</f>
        <v>#N/A</v>
      </c>
      <c r="CC281" s="10" t="b">
        <f>tbl_MTG_Set[[#This Row],[Collector Singles CardMarket Profit BotBox]]&gt;0</f>
        <v>0</v>
      </c>
      <c r="CD2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2" spans="1:86" hidden="1">
      <c r="A282">
        <v>306</v>
      </c>
      <c r="B282" t="s">
        <v>455</v>
      </c>
      <c r="C282">
        <v>188</v>
      </c>
      <c r="D282" s="3">
        <v>44519</v>
      </c>
      <c r="F282" t="s">
        <v>174</v>
      </c>
      <c r="G282">
        <v>558</v>
      </c>
      <c r="H282">
        <f ca="1">MONTH(NOW())+12*YEAR(NOW())-MONTH(tbl_MTG_Set[[#This Row],[Released On]])-12*YEAR(tbl_MTG_Set[[#This Row],[Released On]])</f>
        <v>52</v>
      </c>
      <c r="I282" t="str">
        <f>_xlfn.XLOOKUP(tbl_MTG_Set[[#This Row],[Type Name]], tbl_MTG_Set_Type[Set Type], tbl_MTG_Set_Type[Index], "(Set Type not found)")</f>
        <v>(Set Type not found)</v>
      </c>
      <c r="J282" t="str">
        <f>_xlfn.XLOOKUP(tbl_MTG_Set[[#This Row],[Type Name]], tbl_MTG_Set_Type[Set Type], tbl_MTG_Set_Type[Buy Window Month Start], "(Set Type not found)")</f>
        <v>(Set Type not found)</v>
      </c>
      <c r="K282" s="3" t="e">
        <f>tbl_MTG_Set[[#This Row],[Released On]]+tbl_MTG_Set[[#This Row],[Buy Window Month Start]]*365.25/12</f>
        <v>#VALUE!</v>
      </c>
      <c r="L282" t="str">
        <f>_xlfn.XLOOKUP(tbl_MTG_Set[[#This Row],[Type Name]], tbl_MTG_Set_Type[Set Type], tbl_MTG_Set_Type[Buy Window Month End], "(Set Type not found)", 0, 1)</f>
        <v>(Set Type not found)</v>
      </c>
      <c r="M282" s="3" t="e">
        <f>tbl_MTG_Set[[#This Row],[Released On]]+tbl_MTG_Set[[#This Row],[Buy Window Month End]]*365.25/12</f>
        <v>#VALUE!</v>
      </c>
      <c r="N282" s="3" t="e">
        <f ca="1">AND(NOW()&gt;=tbl_MTG_Set[[#This Row],[Buy Window Start]], NOW()&lt;=tbl_MTG_Set[[#This Row],[Buy Window End]])</f>
        <v>#VALUE!</v>
      </c>
      <c r="O282" t="str">
        <f>_xlfn.XLOOKUP(tbl_MTG_Set[[#This Row],[Type Name]], tbl_MTG_Set_Type[Set Type], tbl_MTG_Set_Type[Heavy Printing Window Month Start], "(Set Type not found)", 0, 1)</f>
        <v>(Set Type not found)</v>
      </c>
      <c r="P282" s="3" t="e">
        <f>tbl_MTG_Set[[#This Row],[Released On]]+tbl_MTG_Set[[#This Row],[Heavy Printing Window Month Start]]*365.25/12</f>
        <v>#VALUE!</v>
      </c>
      <c r="Q282" t="str">
        <f>_xlfn.XLOOKUP(tbl_MTG_Set[[#This Row],[Type Name]], tbl_MTG_Set_Type[Set Type], tbl_MTG_Set_Type[Heavy Printing Window Month End], "(Set Type not found)", 0, 1)</f>
        <v>(Set Type not found)</v>
      </c>
      <c r="R282" s="3" t="e">
        <f>tbl_MTG_Set[[#This Row],[Released On]]+tbl_MTG_Set[[#This Row],[Heavy Printing Window Month End]]*365.25/12</f>
        <v>#VALUE!</v>
      </c>
      <c r="S282" s="3" t="e">
        <f ca="1">AND(NOW()&gt;=tbl_MTG_Set[[#This Row],[Heavy Printing Window Start]], NOW()&lt;=tbl_MTG_Set[[#This Row],[Heavy Printing Window End]])</f>
        <v>#VALUE!</v>
      </c>
      <c r="T282" t="str">
        <f>_xlfn.XLOOKUP(tbl_MTG_Set[[#This Row],[Type Name]], tbl_MTG_Set_Type[Set Type], tbl_MTG_Set_Type[Sell Window Month Start], "(Set Type not found)", 0, 1)</f>
        <v>(Set Type not found)</v>
      </c>
      <c r="U282" s="3" t="e">
        <f>tbl_MTG_Set[[#This Row],[Released On]]+tbl_MTG_Set[[#This Row],[Sell Window Month Start]]*365.25/12</f>
        <v>#VALUE!</v>
      </c>
      <c r="V282" t="str">
        <f>_xlfn.XLOOKUP(tbl_MTG_Set[[#This Row],[Type Name]], tbl_MTG_Set_Type[Set Type], tbl_MTG_Set_Type[Sell Window Month End], "(Set Type not found)", 0, 1)</f>
        <v>(Set Type not found)</v>
      </c>
      <c r="W282" s="3" t="e">
        <f>tbl_MTG_Set[[#This Row],[Released On]]+tbl_MTG_Set[[#This Row],[Sell Window Month End]]*365.25/12</f>
        <v>#VALUE!</v>
      </c>
      <c r="X282" s="3" t="e">
        <f ca="1">AND(NOW()&gt;=tbl_MTG_Set[[#This Row],[Sell Window Start]], NOW()&lt;=tbl_MTG_Set[[#This Row],[Sell Window End]])</f>
        <v>#VALUE!</v>
      </c>
      <c r="AG282" s="10"/>
      <c r="AH282" s="10"/>
      <c r="AM282" s="10" t="str" cm="1">
        <f t="array" ref="AM2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2" s="10" t="str" cm="1">
        <f t="array" ref="AN2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2" s="4" t="e">
        <f>_xlfn.XLOOKUP(tbl_MTG_Set[[#This Row],[Play Booster Box Product Id]], tbl_Product[Product Id], tbl_Product[Pack Size])</f>
        <v>#N/A</v>
      </c>
      <c r="AP282" s="10" t="e">
        <f>(tbl_MTG_Set[[#This Row],[Play Booster Box Cost]]+v_Item_Shipping_Cost_In)/tbl_MTG_Set[[#This Row],[Play Booster Box Size]]</f>
        <v>#VALUE!</v>
      </c>
      <c r="AQ282" s="10" t="str" cm="1">
        <f t="array" ref="AQ2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2" s="10"/>
      <c r="AS282" s="10"/>
      <c r="AT282" s="17" t="e">
        <f>tbl_MTG_Set[[#This Row],[Play Booster CardMarket Profit]]/tbl_MTG_Set[[#This Row],[Play Booster Cost]]</f>
        <v>#VALUE!</v>
      </c>
      <c r="AU282" s="10" t="e">
        <f>_xlfn.XLOOKUP(tbl_MTG_Set[[#This Row],[Collector Booster Box Product Id]], tbl_Product[Product Id], tbl_Product[Min Cost])</f>
        <v>#N/A</v>
      </c>
      <c r="AV282" s="10" t="e">
        <f>_xlfn.XLOOKUP(tbl_MTG_Set[[#This Row],[Collector Booster Box Product Id]], tbl_Product[Product Id], tbl_Product[Best Source])</f>
        <v>#N/A</v>
      </c>
      <c r="AW282" s="4" t="e">
        <f>_xlfn.XLOOKUP(tbl_MTG_Set[[#This Row],[Collector Booster Box Product Id]], tbl_Product[Product Id], tbl_Product[Pack Size])</f>
        <v>#N/A</v>
      </c>
      <c r="AX282" s="10" t="e">
        <f>(tbl_MTG_Set[[#This Row],[Collector Booster Box Cost]] + v_Item_Shipping_Cost_In) / tbl_MTG_Set[[#This Row],[Collector Booster Box Size]]</f>
        <v>#N/A</v>
      </c>
      <c r="AY282" s="10" t="str" cm="1">
        <f t="array" ref="AY2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2" s="10"/>
      <c r="BA2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2" s="17" t="e">
        <f>tbl_MTG_Set[[#This Row],[Collector Booster CardMarket Profit]]/tbl_MTG_Set[[#This Row],[Collector Booster Cost]]</f>
        <v>#N/A</v>
      </c>
      <c r="BC282" s="10"/>
      <c r="BF2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2" s="11" t="e">
        <f>tbl_MTG_Set[[#This Row],[Play Singles CardMarket Profit MTG Stocks]]/tbl_MTG_Set[[#This Row],[Play Booster Cost]]</f>
        <v>#VALUE!</v>
      </c>
      <c r="BI282" s="11" t="b">
        <f>tbl_MTG_Set[[#This Row],[Play Singles CardMarket Profit MTG Stocks]]&gt;0</f>
        <v>0</v>
      </c>
      <c r="BM282" s="10" t="e">
        <f>tbl_MTG_Set[[#This Row],[Play Booster Sell Price CardMarket]]*tbl_MTG_Set[[#This Row],[Play Booster Expected Market Value BotBox]]/tbl_MTG_Set[[#This Row],[Play Booster Sealed Market Value BotBox]]</f>
        <v>#VALUE!</v>
      </c>
      <c r="BN2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2" s="10" t="e">
        <f>tbl_MTG_Set[[#This Row],[Play Singles CardMarket Profit BotBox]]/tbl_MTG_Set[[#This Row],[Play Booster Cost]]</f>
        <v>#VALUE!</v>
      </c>
      <c r="BP282" s="10" t="b">
        <f>tbl_MTG_Set[[#This Row],[Play Singles CardMarket Profit BotBox]]&gt;0</f>
        <v>0</v>
      </c>
      <c r="BQ282" s="10"/>
      <c r="BR282" s="10"/>
      <c r="BS282" s="10"/>
      <c r="BT2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2" s="19" t="e">
        <f>tbl_MTG_Set[[#This Row],[Collector Singles CardMarket Profit MTG Stocks]]/tbl_MTG_Set[[#This Row],[Collector Booster Cost]]</f>
        <v>#N/A</v>
      </c>
      <c r="BW282" s="10" t="b">
        <f>tbl_MTG_Set[[#This Row],[Collector Singles CardMarket Profit MTG Stocks]]&gt;0</f>
        <v>0</v>
      </c>
      <c r="BX282" s="10"/>
      <c r="BY282" s="10"/>
      <c r="BZ2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2" s="10" t="e">
        <f>tbl_MTG_Set[[#This Row],[Collector Singles CardMarket Profit BotBox]]/tbl_MTG_Set[[#This Row],[Collector Booster Cost]]</f>
        <v>#N/A</v>
      </c>
      <c r="CC282" s="10" t="b">
        <f>tbl_MTG_Set[[#This Row],[Collector Singles CardMarket Profit BotBox]]&gt;0</f>
        <v>0</v>
      </c>
      <c r="CD2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3" spans="1:86" hidden="1">
      <c r="A283">
        <v>307</v>
      </c>
      <c r="B283" t="s">
        <v>456</v>
      </c>
      <c r="C283">
        <v>6</v>
      </c>
      <c r="D283" s="3">
        <v>44519</v>
      </c>
      <c r="F283" t="s">
        <v>174</v>
      </c>
      <c r="G283">
        <v>560</v>
      </c>
      <c r="H283">
        <f ca="1">MONTH(NOW())+12*YEAR(NOW())-MONTH(tbl_MTG_Set[[#This Row],[Released On]])-12*YEAR(tbl_MTG_Set[[#This Row],[Released On]])</f>
        <v>52</v>
      </c>
      <c r="I283" t="str">
        <f>_xlfn.XLOOKUP(tbl_MTG_Set[[#This Row],[Type Name]], tbl_MTG_Set_Type[Set Type], tbl_MTG_Set_Type[Index], "(Set Type not found)")</f>
        <v>(Set Type not found)</v>
      </c>
      <c r="J283" t="str">
        <f>_xlfn.XLOOKUP(tbl_MTG_Set[[#This Row],[Type Name]], tbl_MTG_Set_Type[Set Type], tbl_MTG_Set_Type[Buy Window Month Start], "(Set Type not found)")</f>
        <v>(Set Type not found)</v>
      </c>
      <c r="K283" s="3" t="e">
        <f>tbl_MTG_Set[[#This Row],[Released On]]+tbl_MTG_Set[[#This Row],[Buy Window Month Start]]*365.25/12</f>
        <v>#VALUE!</v>
      </c>
      <c r="L283" t="str">
        <f>_xlfn.XLOOKUP(tbl_MTG_Set[[#This Row],[Type Name]], tbl_MTG_Set_Type[Set Type], tbl_MTG_Set_Type[Buy Window Month End], "(Set Type not found)", 0, 1)</f>
        <v>(Set Type not found)</v>
      </c>
      <c r="M283" s="3" t="e">
        <f>tbl_MTG_Set[[#This Row],[Released On]]+tbl_MTG_Set[[#This Row],[Buy Window Month End]]*365.25/12</f>
        <v>#VALUE!</v>
      </c>
      <c r="N283" s="3" t="e">
        <f ca="1">AND(NOW()&gt;=tbl_MTG_Set[[#This Row],[Buy Window Start]], NOW()&lt;=tbl_MTG_Set[[#This Row],[Buy Window End]])</f>
        <v>#VALUE!</v>
      </c>
      <c r="O283" t="str">
        <f>_xlfn.XLOOKUP(tbl_MTG_Set[[#This Row],[Type Name]], tbl_MTG_Set_Type[Set Type], tbl_MTG_Set_Type[Heavy Printing Window Month Start], "(Set Type not found)", 0, 1)</f>
        <v>(Set Type not found)</v>
      </c>
      <c r="P283" s="3" t="e">
        <f>tbl_MTG_Set[[#This Row],[Released On]]+tbl_MTG_Set[[#This Row],[Heavy Printing Window Month Start]]*365.25/12</f>
        <v>#VALUE!</v>
      </c>
      <c r="Q283" t="str">
        <f>_xlfn.XLOOKUP(tbl_MTG_Set[[#This Row],[Type Name]], tbl_MTG_Set_Type[Set Type], tbl_MTG_Set_Type[Heavy Printing Window Month End], "(Set Type not found)", 0, 1)</f>
        <v>(Set Type not found)</v>
      </c>
      <c r="R283" s="3" t="e">
        <f>tbl_MTG_Set[[#This Row],[Released On]]+tbl_MTG_Set[[#This Row],[Heavy Printing Window Month End]]*365.25/12</f>
        <v>#VALUE!</v>
      </c>
      <c r="S283" s="3" t="e">
        <f ca="1">AND(NOW()&gt;=tbl_MTG_Set[[#This Row],[Heavy Printing Window Start]], NOW()&lt;=tbl_MTG_Set[[#This Row],[Heavy Printing Window End]])</f>
        <v>#VALUE!</v>
      </c>
      <c r="T283" t="str">
        <f>_xlfn.XLOOKUP(tbl_MTG_Set[[#This Row],[Type Name]], tbl_MTG_Set_Type[Set Type], tbl_MTG_Set_Type[Sell Window Month Start], "(Set Type not found)", 0, 1)</f>
        <v>(Set Type not found)</v>
      </c>
      <c r="U283" s="3" t="e">
        <f>tbl_MTG_Set[[#This Row],[Released On]]+tbl_MTG_Set[[#This Row],[Sell Window Month Start]]*365.25/12</f>
        <v>#VALUE!</v>
      </c>
      <c r="V283" t="str">
        <f>_xlfn.XLOOKUP(tbl_MTG_Set[[#This Row],[Type Name]], tbl_MTG_Set_Type[Set Type], tbl_MTG_Set_Type[Sell Window Month End], "(Set Type not found)", 0, 1)</f>
        <v>(Set Type not found)</v>
      </c>
      <c r="W283" s="3" t="e">
        <f>tbl_MTG_Set[[#This Row],[Released On]]+tbl_MTG_Set[[#This Row],[Sell Window Month End]]*365.25/12</f>
        <v>#VALUE!</v>
      </c>
      <c r="X283" s="3" t="e">
        <f ca="1">AND(NOW()&gt;=tbl_MTG_Set[[#This Row],[Sell Window Start]], NOW()&lt;=tbl_MTG_Set[[#This Row],[Sell Window End]])</f>
        <v>#VALUE!</v>
      </c>
      <c r="AG283" s="10"/>
      <c r="AH283" s="10"/>
      <c r="AM283" s="10" t="str" cm="1">
        <f t="array" ref="AM2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3" s="10" t="str" cm="1">
        <f t="array" ref="AN2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3" s="4" t="e">
        <f>_xlfn.XLOOKUP(tbl_MTG_Set[[#This Row],[Play Booster Box Product Id]], tbl_Product[Product Id], tbl_Product[Pack Size])</f>
        <v>#N/A</v>
      </c>
      <c r="AP283" s="10" t="e">
        <f>(tbl_MTG_Set[[#This Row],[Play Booster Box Cost]]+v_Item_Shipping_Cost_In)/tbl_MTG_Set[[#This Row],[Play Booster Box Size]]</f>
        <v>#VALUE!</v>
      </c>
      <c r="AQ283" s="10" t="str" cm="1">
        <f t="array" ref="AQ2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3" s="10"/>
      <c r="AS283" s="10"/>
      <c r="AT283" s="17" t="e">
        <f>tbl_MTG_Set[[#This Row],[Play Booster CardMarket Profit]]/tbl_MTG_Set[[#This Row],[Play Booster Cost]]</f>
        <v>#VALUE!</v>
      </c>
      <c r="AU283" s="10" t="e">
        <f>_xlfn.XLOOKUP(tbl_MTG_Set[[#This Row],[Collector Booster Box Product Id]], tbl_Product[Product Id], tbl_Product[Min Cost])</f>
        <v>#N/A</v>
      </c>
      <c r="AV283" s="10" t="e">
        <f>_xlfn.XLOOKUP(tbl_MTG_Set[[#This Row],[Collector Booster Box Product Id]], tbl_Product[Product Id], tbl_Product[Best Source])</f>
        <v>#N/A</v>
      </c>
      <c r="AW283" s="4" t="e">
        <f>_xlfn.XLOOKUP(tbl_MTG_Set[[#This Row],[Collector Booster Box Product Id]], tbl_Product[Product Id], tbl_Product[Pack Size])</f>
        <v>#N/A</v>
      </c>
      <c r="AX283" s="10" t="e">
        <f>(tbl_MTG_Set[[#This Row],[Collector Booster Box Cost]] + v_Item_Shipping_Cost_In) / tbl_MTG_Set[[#This Row],[Collector Booster Box Size]]</f>
        <v>#N/A</v>
      </c>
      <c r="AY283" s="10" t="str" cm="1">
        <f t="array" ref="AY2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3" s="10"/>
      <c r="BA2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3" s="17" t="e">
        <f>tbl_MTG_Set[[#This Row],[Collector Booster CardMarket Profit]]/tbl_MTG_Set[[#This Row],[Collector Booster Cost]]</f>
        <v>#N/A</v>
      </c>
      <c r="BC283" s="10"/>
      <c r="BF2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3" s="11" t="e">
        <f>tbl_MTG_Set[[#This Row],[Play Singles CardMarket Profit MTG Stocks]]/tbl_MTG_Set[[#This Row],[Play Booster Cost]]</f>
        <v>#VALUE!</v>
      </c>
      <c r="BI283" s="11" t="b">
        <f>tbl_MTG_Set[[#This Row],[Play Singles CardMarket Profit MTG Stocks]]&gt;0</f>
        <v>0</v>
      </c>
      <c r="BM283" s="10" t="e">
        <f>tbl_MTG_Set[[#This Row],[Play Booster Sell Price CardMarket]]*tbl_MTG_Set[[#This Row],[Play Booster Expected Market Value BotBox]]/tbl_MTG_Set[[#This Row],[Play Booster Sealed Market Value BotBox]]</f>
        <v>#VALUE!</v>
      </c>
      <c r="BN2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3" s="10" t="e">
        <f>tbl_MTG_Set[[#This Row],[Play Singles CardMarket Profit BotBox]]/tbl_MTG_Set[[#This Row],[Play Booster Cost]]</f>
        <v>#VALUE!</v>
      </c>
      <c r="BP283" s="10" t="b">
        <f>tbl_MTG_Set[[#This Row],[Play Singles CardMarket Profit BotBox]]&gt;0</f>
        <v>0</v>
      </c>
      <c r="BQ283" s="10"/>
      <c r="BR283" s="10"/>
      <c r="BS283" s="10"/>
      <c r="BT2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3" s="19" t="e">
        <f>tbl_MTG_Set[[#This Row],[Collector Singles CardMarket Profit MTG Stocks]]/tbl_MTG_Set[[#This Row],[Collector Booster Cost]]</f>
        <v>#N/A</v>
      </c>
      <c r="BW283" s="10" t="b">
        <f>tbl_MTG_Set[[#This Row],[Collector Singles CardMarket Profit MTG Stocks]]&gt;0</f>
        <v>0</v>
      </c>
      <c r="BX283" s="10"/>
      <c r="BY283" s="10"/>
      <c r="BZ2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3" s="10" t="e">
        <f>tbl_MTG_Set[[#This Row],[Collector Singles CardMarket Profit BotBox]]/tbl_MTG_Set[[#This Row],[Collector Booster Cost]]</f>
        <v>#N/A</v>
      </c>
      <c r="CC283" s="10" t="b">
        <f>tbl_MTG_Set[[#This Row],[Collector Singles CardMarket Profit BotBox]]&gt;0</f>
        <v>0</v>
      </c>
      <c r="CD2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4" spans="1:86" hidden="1">
      <c r="A284">
        <v>308</v>
      </c>
      <c r="B284" t="s">
        <v>457</v>
      </c>
      <c r="C284">
        <v>2</v>
      </c>
      <c r="D284" s="3">
        <v>44519</v>
      </c>
      <c r="F284" t="s">
        <v>174</v>
      </c>
      <c r="G284">
        <v>562</v>
      </c>
      <c r="H284">
        <f ca="1">MONTH(NOW())+12*YEAR(NOW())-MONTH(tbl_MTG_Set[[#This Row],[Released On]])-12*YEAR(tbl_MTG_Set[[#This Row],[Released On]])</f>
        <v>52</v>
      </c>
      <c r="I284" t="str">
        <f>_xlfn.XLOOKUP(tbl_MTG_Set[[#This Row],[Type Name]], tbl_MTG_Set_Type[Set Type], tbl_MTG_Set_Type[Index], "(Set Type not found)")</f>
        <v>(Set Type not found)</v>
      </c>
      <c r="J284" t="str">
        <f>_xlfn.XLOOKUP(tbl_MTG_Set[[#This Row],[Type Name]], tbl_MTG_Set_Type[Set Type], tbl_MTG_Set_Type[Buy Window Month Start], "(Set Type not found)")</f>
        <v>(Set Type not found)</v>
      </c>
      <c r="K284" s="3" t="e">
        <f>tbl_MTG_Set[[#This Row],[Released On]]+tbl_MTG_Set[[#This Row],[Buy Window Month Start]]*365.25/12</f>
        <v>#VALUE!</v>
      </c>
      <c r="L284" t="str">
        <f>_xlfn.XLOOKUP(tbl_MTG_Set[[#This Row],[Type Name]], tbl_MTG_Set_Type[Set Type], tbl_MTG_Set_Type[Buy Window Month End], "(Set Type not found)", 0, 1)</f>
        <v>(Set Type not found)</v>
      </c>
      <c r="M284" s="3" t="e">
        <f>tbl_MTG_Set[[#This Row],[Released On]]+tbl_MTG_Set[[#This Row],[Buy Window Month End]]*365.25/12</f>
        <v>#VALUE!</v>
      </c>
      <c r="N284" s="3" t="e">
        <f ca="1">AND(NOW()&gt;=tbl_MTG_Set[[#This Row],[Buy Window Start]], NOW()&lt;=tbl_MTG_Set[[#This Row],[Buy Window End]])</f>
        <v>#VALUE!</v>
      </c>
      <c r="O284" t="str">
        <f>_xlfn.XLOOKUP(tbl_MTG_Set[[#This Row],[Type Name]], tbl_MTG_Set_Type[Set Type], tbl_MTG_Set_Type[Heavy Printing Window Month Start], "(Set Type not found)", 0, 1)</f>
        <v>(Set Type not found)</v>
      </c>
      <c r="P284" s="3" t="e">
        <f>tbl_MTG_Set[[#This Row],[Released On]]+tbl_MTG_Set[[#This Row],[Heavy Printing Window Month Start]]*365.25/12</f>
        <v>#VALUE!</v>
      </c>
      <c r="Q284" t="str">
        <f>_xlfn.XLOOKUP(tbl_MTG_Set[[#This Row],[Type Name]], tbl_MTG_Set_Type[Set Type], tbl_MTG_Set_Type[Heavy Printing Window Month End], "(Set Type not found)", 0, 1)</f>
        <v>(Set Type not found)</v>
      </c>
      <c r="R284" s="3" t="e">
        <f>tbl_MTG_Set[[#This Row],[Released On]]+tbl_MTG_Set[[#This Row],[Heavy Printing Window Month End]]*365.25/12</f>
        <v>#VALUE!</v>
      </c>
      <c r="S284" s="3" t="e">
        <f ca="1">AND(NOW()&gt;=tbl_MTG_Set[[#This Row],[Heavy Printing Window Start]], NOW()&lt;=tbl_MTG_Set[[#This Row],[Heavy Printing Window End]])</f>
        <v>#VALUE!</v>
      </c>
      <c r="T284" t="str">
        <f>_xlfn.XLOOKUP(tbl_MTG_Set[[#This Row],[Type Name]], tbl_MTG_Set_Type[Set Type], tbl_MTG_Set_Type[Sell Window Month Start], "(Set Type not found)", 0, 1)</f>
        <v>(Set Type not found)</v>
      </c>
      <c r="U284" s="3" t="e">
        <f>tbl_MTG_Set[[#This Row],[Released On]]+tbl_MTG_Set[[#This Row],[Sell Window Month Start]]*365.25/12</f>
        <v>#VALUE!</v>
      </c>
      <c r="V284" t="str">
        <f>_xlfn.XLOOKUP(tbl_MTG_Set[[#This Row],[Type Name]], tbl_MTG_Set_Type[Set Type], tbl_MTG_Set_Type[Sell Window Month End], "(Set Type not found)", 0, 1)</f>
        <v>(Set Type not found)</v>
      </c>
      <c r="W284" s="3" t="e">
        <f>tbl_MTG_Set[[#This Row],[Released On]]+tbl_MTG_Set[[#This Row],[Sell Window Month End]]*365.25/12</f>
        <v>#VALUE!</v>
      </c>
      <c r="X284" s="3" t="e">
        <f ca="1">AND(NOW()&gt;=tbl_MTG_Set[[#This Row],[Sell Window Start]], NOW()&lt;=tbl_MTG_Set[[#This Row],[Sell Window End]])</f>
        <v>#VALUE!</v>
      </c>
      <c r="AG284" s="10"/>
      <c r="AH284" s="10"/>
      <c r="AM284" s="10" t="str" cm="1">
        <f t="array" ref="AM2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4" s="10" t="str" cm="1">
        <f t="array" ref="AN2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4" s="4" t="e">
        <f>_xlfn.XLOOKUP(tbl_MTG_Set[[#This Row],[Play Booster Box Product Id]], tbl_Product[Product Id], tbl_Product[Pack Size])</f>
        <v>#N/A</v>
      </c>
      <c r="AP284" s="10" t="e">
        <f>(tbl_MTG_Set[[#This Row],[Play Booster Box Cost]]+v_Item_Shipping_Cost_In)/tbl_MTG_Set[[#This Row],[Play Booster Box Size]]</f>
        <v>#VALUE!</v>
      </c>
      <c r="AQ284" s="10" t="str" cm="1">
        <f t="array" ref="AQ2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4" s="10"/>
      <c r="AS284" s="10"/>
      <c r="AT284" s="17" t="e">
        <f>tbl_MTG_Set[[#This Row],[Play Booster CardMarket Profit]]/tbl_MTG_Set[[#This Row],[Play Booster Cost]]</f>
        <v>#VALUE!</v>
      </c>
      <c r="AU284" s="10" t="e">
        <f>_xlfn.XLOOKUP(tbl_MTG_Set[[#This Row],[Collector Booster Box Product Id]], tbl_Product[Product Id], tbl_Product[Min Cost])</f>
        <v>#N/A</v>
      </c>
      <c r="AV284" s="10" t="e">
        <f>_xlfn.XLOOKUP(tbl_MTG_Set[[#This Row],[Collector Booster Box Product Id]], tbl_Product[Product Id], tbl_Product[Best Source])</f>
        <v>#N/A</v>
      </c>
      <c r="AW284" s="4" t="e">
        <f>_xlfn.XLOOKUP(tbl_MTG_Set[[#This Row],[Collector Booster Box Product Id]], tbl_Product[Product Id], tbl_Product[Pack Size])</f>
        <v>#N/A</v>
      </c>
      <c r="AX284" s="10" t="e">
        <f>(tbl_MTG_Set[[#This Row],[Collector Booster Box Cost]] + v_Item_Shipping_Cost_In) / tbl_MTG_Set[[#This Row],[Collector Booster Box Size]]</f>
        <v>#N/A</v>
      </c>
      <c r="AY284" s="10" t="str" cm="1">
        <f t="array" ref="AY2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4" s="10"/>
      <c r="BA2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4" s="17" t="e">
        <f>tbl_MTG_Set[[#This Row],[Collector Booster CardMarket Profit]]/tbl_MTG_Set[[#This Row],[Collector Booster Cost]]</f>
        <v>#N/A</v>
      </c>
      <c r="BC284" s="10"/>
      <c r="BF2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4" s="11" t="e">
        <f>tbl_MTG_Set[[#This Row],[Play Singles CardMarket Profit MTG Stocks]]/tbl_MTG_Set[[#This Row],[Play Booster Cost]]</f>
        <v>#VALUE!</v>
      </c>
      <c r="BI284" s="11" t="b">
        <f>tbl_MTG_Set[[#This Row],[Play Singles CardMarket Profit MTG Stocks]]&gt;0</f>
        <v>0</v>
      </c>
      <c r="BM284" s="10" t="e">
        <f>tbl_MTG_Set[[#This Row],[Play Booster Sell Price CardMarket]]*tbl_MTG_Set[[#This Row],[Play Booster Expected Market Value BotBox]]/tbl_MTG_Set[[#This Row],[Play Booster Sealed Market Value BotBox]]</f>
        <v>#VALUE!</v>
      </c>
      <c r="BN2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4" s="10" t="e">
        <f>tbl_MTG_Set[[#This Row],[Play Singles CardMarket Profit BotBox]]/tbl_MTG_Set[[#This Row],[Play Booster Cost]]</f>
        <v>#VALUE!</v>
      </c>
      <c r="BP284" s="10" t="b">
        <f>tbl_MTG_Set[[#This Row],[Play Singles CardMarket Profit BotBox]]&gt;0</f>
        <v>0</v>
      </c>
      <c r="BQ284" s="10"/>
      <c r="BR284" s="10"/>
      <c r="BS284" s="10"/>
      <c r="BT2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4" s="19" t="e">
        <f>tbl_MTG_Set[[#This Row],[Collector Singles CardMarket Profit MTG Stocks]]/tbl_MTG_Set[[#This Row],[Collector Booster Cost]]</f>
        <v>#N/A</v>
      </c>
      <c r="BW284" s="10" t="b">
        <f>tbl_MTG_Set[[#This Row],[Collector Singles CardMarket Profit MTG Stocks]]&gt;0</f>
        <v>0</v>
      </c>
      <c r="BX284" s="10"/>
      <c r="BY284" s="10"/>
      <c r="BZ2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4" s="10" t="e">
        <f>tbl_MTG_Set[[#This Row],[Collector Singles CardMarket Profit BotBox]]/tbl_MTG_Set[[#This Row],[Collector Booster Cost]]</f>
        <v>#N/A</v>
      </c>
      <c r="CC284" s="10" t="b">
        <f>tbl_MTG_Set[[#This Row],[Collector Singles CardMarket Profit BotBox]]&gt;0</f>
        <v>0</v>
      </c>
      <c r="CD2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5" spans="1:86" hidden="1">
      <c r="A285">
        <v>309</v>
      </c>
      <c r="B285" t="s">
        <v>458</v>
      </c>
      <c r="C285">
        <v>10</v>
      </c>
      <c r="D285" s="3">
        <v>44484</v>
      </c>
      <c r="F285" t="s">
        <v>174</v>
      </c>
      <c r="G285">
        <v>564</v>
      </c>
      <c r="H285">
        <f ca="1">MONTH(NOW())+12*YEAR(NOW())-MONTH(tbl_MTG_Set[[#This Row],[Released On]])-12*YEAR(tbl_MTG_Set[[#This Row],[Released On]])</f>
        <v>53</v>
      </c>
      <c r="I285" t="str">
        <f>_xlfn.XLOOKUP(tbl_MTG_Set[[#This Row],[Type Name]], tbl_MTG_Set_Type[Set Type], tbl_MTG_Set_Type[Index], "(Set Type not found)")</f>
        <v>(Set Type not found)</v>
      </c>
      <c r="J285" t="str">
        <f>_xlfn.XLOOKUP(tbl_MTG_Set[[#This Row],[Type Name]], tbl_MTG_Set_Type[Set Type], tbl_MTG_Set_Type[Buy Window Month Start], "(Set Type not found)")</f>
        <v>(Set Type not found)</v>
      </c>
      <c r="K285" s="3" t="e">
        <f>tbl_MTG_Set[[#This Row],[Released On]]+tbl_MTG_Set[[#This Row],[Buy Window Month Start]]*365.25/12</f>
        <v>#VALUE!</v>
      </c>
      <c r="L285" t="str">
        <f>_xlfn.XLOOKUP(tbl_MTG_Set[[#This Row],[Type Name]], tbl_MTG_Set_Type[Set Type], tbl_MTG_Set_Type[Buy Window Month End], "(Set Type not found)", 0, 1)</f>
        <v>(Set Type not found)</v>
      </c>
      <c r="M285" s="3" t="e">
        <f>tbl_MTG_Set[[#This Row],[Released On]]+tbl_MTG_Set[[#This Row],[Buy Window Month End]]*365.25/12</f>
        <v>#VALUE!</v>
      </c>
      <c r="N285" s="3" t="e">
        <f ca="1">AND(NOW()&gt;=tbl_MTG_Set[[#This Row],[Buy Window Start]], NOW()&lt;=tbl_MTG_Set[[#This Row],[Buy Window End]])</f>
        <v>#VALUE!</v>
      </c>
      <c r="O285" t="str">
        <f>_xlfn.XLOOKUP(tbl_MTG_Set[[#This Row],[Type Name]], tbl_MTG_Set_Type[Set Type], tbl_MTG_Set_Type[Heavy Printing Window Month Start], "(Set Type not found)", 0, 1)</f>
        <v>(Set Type not found)</v>
      </c>
      <c r="P285" s="3" t="e">
        <f>tbl_MTG_Set[[#This Row],[Released On]]+tbl_MTG_Set[[#This Row],[Heavy Printing Window Month Start]]*365.25/12</f>
        <v>#VALUE!</v>
      </c>
      <c r="Q285" t="str">
        <f>_xlfn.XLOOKUP(tbl_MTG_Set[[#This Row],[Type Name]], tbl_MTG_Set_Type[Set Type], tbl_MTG_Set_Type[Heavy Printing Window Month End], "(Set Type not found)", 0, 1)</f>
        <v>(Set Type not found)</v>
      </c>
      <c r="R285" s="3" t="e">
        <f>tbl_MTG_Set[[#This Row],[Released On]]+tbl_MTG_Set[[#This Row],[Heavy Printing Window Month End]]*365.25/12</f>
        <v>#VALUE!</v>
      </c>
      <c r="S285" s="3" t="e">
        <f ca="1">AND(NOW()&gt;=tbl_MTG_Set[[#This Row],[Heavy Printing Window Start]], NOW()&lt;=tbl_MTG_Set[[#This Row],[Heavy Printing Window End]])</f>
        <v>#VALUE!</v>
      </c>
      <c r="T285" t="str">
        <f>_xlfn.XLOOKUP(tbl_MTG_Set[[#This Row],[Type Name]], tbl_MTG_Set_Type[Set Type], tbl_MTG_Set_Type[Sell Window Month Start], "(Set Type not found)", 0, 1)</f>
        <v>(Set Type not found)</v>
      </c>
      <c r="U285" s="3" t="e">
        <f>tbl_MTG_Set[[#This Row],[Released On]]+tbl_MTG_Set[[#This Row],[Sell Window Month Start]]*365.25/12</f>
        <v>#VALUE!</v>
      </c>
      <c r="V285" t="str">
        <f>_xlfn.XLOOKUP(tbl_MTG_Set[[#This Row],[Type Name]], tbl_MTG_Set_Type[Set Type], tbl_MTG_Set_Type[Sell Window Month End], "(Set Type not found)", 0, 1)</f>
        <v>(Set Type not found)</v>
      </c>
      <c r="W285" s="3" t="e">
        <f>tbl_MTG_Set[[#This Row],[Released On]]+tbl_MTG_Set[[#This Row],[Sell Window Month End]]*365.25/12</f>
        <v>#VALUE!</v>
      </c>
      <c r="X285" s="3" t="e">
        <f ca="1">AND(NOW()&gt;=tbl_MTG_Set[[#This Row],[Sell Window Start]], NOW()&lt;=tbl_MTG_Set[[#This Row],[Sell Window End]])</f>
        <v>#VALUE!</v>
      </c>
      <c r="AG285" s="10"/>
      <c r="AH285" s="10"/>
      <c r="AM285" s="10" t="str" cm="1">
        <f t="array" ref="AM2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5" s="10" t="str" cm="1">
        <f t="array" ref="AN2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5" s="4" t="e">
        <f>_xlfn.XLOOKUP(tbl_MTG_Set[[#This Row],[Play Booster Box Product Id]], tbl_Product[Product Id], tbl_Product[Pack Size])</f>
        <v>#N/A</v>
      </c>
      <c r="AP285" s="10" t="e">
        <f>(tbl_MTG_Set[[#This Row],[Play Booster Box Cost]]+v_Item_Shipping_Cost_In)/tbl_MTG_Set[[#This Row],[Play Booster Box Size]]</f>
        <v>#VALUE!</v>
      </c>
      <c r="AQ285" s="10" t="str" cm="1">
        <f t="array" ref="AQ2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5" s="10"/>
      <c r="AS285" s="10"/>
      <c r="AT285" s="17" t="e">
        <f>tbl_MTG_Set[[#This Row],[Play Booster CardMarket Profit]]/tbl_MTG_Set[[#This Row],[Play Booster Cost]]</f>
        <v>#VALUE!</v>
      </c>
      <c r="AU285" s="10" t="e">
        <f>_xlfn.XLOOKUP(tbl_MTG_Set[[#This Row],[Collector Booster Box Product Id]], tbl_Product[Product Id], tbl_Product[Min Cost])</f>
        <v>#N/A</v>
      </c>
      <c r="AV285" s="10" t="e">
        <f>_xlfn.XLOOKUP(tbl_MTG_Set[[#This Row],[Collector Booster Box Product Id]], tbl_Product[Product Id], tbl_Product[Best Source])</f>
        <v>#N/A</v>
      </c>
      <c r="AW285" s="4" t="e">
        <f>_xlfn.XLOOKUP(tbl_MTG_Set[[#This Row],[Collector Booster Box Product Id]], tbl_Product[Product Id], tbl_Product[Pack Size])</f>
        <v>#N/A</v>
      </c>
      <c r="AX285" s="10" t="e">
        <f>(tbl_MTG_Set[[#This Row],[Collector Booster Box Cost]] + v_Item_Shipping_Cost_In) / tbl_MTG_Set[[#This Row],[Collector Booster Box Size]]</f>
        <v>#N/A</v>
      </c>
      <c r="AY285" s="10" t="str" cm="1">
        <f t="array" ref="AY2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5" s="10"/>
      <c r="BA2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5" s="17" t="e">
        <f>tbl_MTG_Set[[#This Row],[Collector Booster CardMarket Profit]]/tbl_MTG_Set[[#This Row],[Collector Booster Cost]]</f>
        <v>#N/A</v>
      </c>
      <c r="BC285" s="10"/>
      <c r="BF2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5" s="11" t="e">
        <f>tbl_MTG_Set[[#This Row],[Play Singles CardMarket Profit MTG Stocks]]/tbl_MTG_Set[[#This Row],[Play Booster Cost]]</f>
        <v>#VALUE!</v>
      </c>
      <c r="BI285" s="11" t="b">
        <f>tbl_MTG_Set[[#This Row],[Play Singles CardMarket Profit MTG Stocks]]&gt;0</f>
        <v>0</v>
      </c>
      <c r="BM285" s="10" t="e">
        <f>tbl_MTG_Set[[#This Row],[Play Booster Sell Price CardMarket]]*tbl_MTG_Set[[#This Row],[Play Booster Expected Market Value BotBox]]/tbl_MTG_Set[[#This Row],[Play Booster Sealed Market Value BotBox]]</f>
        <v>#VALUE!</v>
      </c>
      <c r="BN2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5" s="10" t="e">
        <f>tbl_MTG_Set[[#This Row],[Play Singles CardMarket Profit BotBox]]/tbl_MTG_Set[[#This Row],[Play Booster Cost]]</f>
        <v>#VALUE!</v>
      </c>
      <c r="BP285" s="10" t="b">
        <f>tbl_MTG_Set[[#This Row],[Play Singles CardMarket Profit BotBox]]&gt;0</f>
        <v>0</v>
      </c>
      <c r="BQ285" s="10"/>
      <c r="BR285" s="10"/>
      <c r="BS285" s="10"/>
      <c r="BT2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5" s="19" t="e">
        <f>tbl_MTG_Set[[#This Row],[Collector Singles CardMarket Profit MTG Stocks]]/tbl_MTG_Set[[#This Row],[Collector Booster Cost]]</f>
        <v>#N/A</v>
      </c>
      <c r="BW285" s="10" t="b">
        <f>tbl_MTG_Set[[#This Row],[Collector Singles CardMarket Profit MTG Stocks]]&gt;0</f>
        <v>0</v>
      </c>
      <c r="BX285" s="10"/>
      <c r="BY285" s="10"/>
      <c r="BZ2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5" s="10" t="e">
        <f>tbl_MTG_Set[[#This Row],[Collector Singles CardMarket Profit BotBox]]/tbl_MTG_Set[[#This Row],[Collector Booster Cost]]</f>
        <v>#N/A</v>
      </c>
      <c r="CC285" s="10" t="b">
        <f>tbl_MTG_Set[[#This Row],[Collector Singles CardMarket Profit BotBox]]&gt;0</f>
        <v>0</v>
      </c>
      <c r="CD2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6" spans="1:86" hidden="1">
      <c r="A286">
        <v>311</v>
      </c>
      <c r="B286" t="s">
        <v>459</v>
      </c>
      <c r="C286">
        <v>155</v>
      </c>
      <c r="D286" s="3">
        <v>44463</v>
      </c>
      <c r="E286" t="s">
        <v>59</v>
      </c>
      <c r="F286" t="s">
        <v>174</v>
      </c>
      <c r="G286">
        <v>568</v>
      </c>
      <c r="H286">
        <f ca="1">MONTH(NOW())+12*YEAR(NOW())-MONTH(tbl_MTG_Set[[#This Row],[Released On]])-12*YEAR(tbl_MTG_Set[[#This Row],[Released On]])</f>
        <v>54</v>
      </c>
      <c r="I286">
        <f>_xlfn.XLOOKUP(tbl_MTG_Set[[#This Row],[Type Name]], tbl_MTG_Set_Type[Set Type], tbl_MTG_Set_Type[Index], "(Set Type not found)")</f>
        <v>1</v>
      </c>
      <c r="J286">
        <f>_xlfn.XLOOKUP(tbl_MTG_Set[[#This Row],[Type Name]], tbl_MTG_Set_Type[Set Type], tbl_MTG_Set_Type[Buy Window Month Start], "(Set Type not found)")</f>
        <v>18</v>
      </c>
      <c r="K286" s="3">
        <f>tbl_MTG_Set[[#This Row],[Released On]]+tbl_MTG_Set[[#This Row],[Buy Window Month Start]]*365.25/12</f>
        <v>45010.875</v>
      </c>
      <c r="L286">
        <f>_xlfn.XLOOKUP(tbl_MTG_Set[[#This Row],[Type Name]], tbl_MTG_Set_Type[Set Type], tbl_MTG_Set_Type[Buy Window Month End], "(Set Type not found)", 0, 1)</f>
        <v>24</v>
      </c>
      <c r="M286" s="3">
        <f>tbl_MTG_Set[[#This Row],[Released On]]+tbl_MTG_Set[[#This Row],[Buy Window Month End]]*365.25/12</f>
        <v>45193.5</v>
      </c>
      <c r="N286" s="3" t="b">
        <f ca="1">AND(NOW()&gt;=tbl_MTG_Set[[#This Row],[Buy Window Start]], NOW()&lt;=tbl_MTG_Set[[#This Row],[Buy Window End]])</f>
        <v>0</v>
      </c>
      <c r="O286">
        <f>_xlfn.XLOOKUP(tbl_MTG_Set[[#This Row],[Type Name]], tbl_MTG_Set_Type[Set Type], tbl_MTG_Set_Type[Heavy Printing Window Month Start], "(Set Type not found)", 0, 1)</f>
        <v>1</v>
      </c>
      <c r="P286" s="3">
        <f>tbl_MTG_Set[[#This Row],[Released On]]+tbl_MTG_Set[[#This Row],[Heavy Printing Window Month Start]]*365.25/12</f>
        <v>44493.4375</v>
      </c>
      <c r="Q286">
        <f>_xlfn.XLOOKUP(tbl_MTG_Set[[#This Row],[Type Name]], tbl_MTG_Set_Type[Set Type], tbl_MTG_Set_Type[Heavy Printing Window Month End], "(Set Type not found)", 0, 1)</f>
        <v>18</v>
      </c>
      <c r="R286" s="3">
        <f>tbl_MTG_Set[[#This Row],[Released On]]+tbl_MTG_Set[[#This Row],[Heavy Printing Window Month End]]*365.25/12</f>
        <v>45010.875</v>
      </c>
      <c r="S286" s="3" t="b">
        <f ca="1">AND(NOW()&gt;=tbl_MTG_Set[[#This Row],[Heavy Printing Window Start]], NOW()&lt;=tbl_MTG_Set[[#This Row],[Heavy Printing Window End]])</f>
        <v>0</v>
      </c>
      <c r="T286">
        <f>_xlfn.XLOOKUP(tbl_MTG_Set[[#This Row],[Type Name]], tbl_MTG_Set_Type[Set Type], tbl_MTG_Set_Type[Sell Window Month Start], "(Set Type not found)", 0, 1)</f>
        <v>36</v>
      </c>
      <c r="U286" s="3">
        <f>tbl_MTG_Set[[#This Row],[Released On]]+tbl_MTG_Set[[#This Row],[Sell Window Month Start]]*365.25/12</f>
        <v>45558.75</v>
      </c>
      <c r="V286">
        <f>_xlfn.XLOOKUP(tbl_MTG_Set[[#This Row],[Type Name]], tbl_MTG_Set_Type[Set Type], tbl_MTG_Set_Type[Sell Window Month End], "(Set Type not found)", 0, 1)</f>
        <v>48</v>
      </c>
      <c r="W286" s="3">
        <f>tbl_MTG_Set[[#This Row],[Released On]]+tbl_MTG_Set[[#This Row],[Sell Window Month End]]*365.25/12</f>
        <v>45924</v>
      </c>
      <c r="X286" s="3" t="b">
        <f ca="1">AND(NOW()&gt;=tbl_MTG_Set[[#This Row],[Sell Window Start]], NOW()&lt;=tbl_MTG_Set[[#This Row],[Sell Window End]])</f>
        <v>0</v>
      </c>
      <c r="AG286" s="10"/>
      <c r="AH286" s="10"/>
      <c r="AM286" s="10" t="str" cm="1">
        <f t="array" ref="AM2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6" s="10" t="str" cm="1">
        <f t="array" ref="AN2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6" s="4" t="e">
        <f>_xlfn.XLOOKUP(tbl_MTG_Set[[#This Row],[Play Booster Box Product Id]], tbl_Product[Product Id], tbl_Product[Pack Size])</f>
        <v>#N/A</v>
      </c>
      <c r="AP286" s="10" t="e">
        <f>(tbl_MTG_Set[[#This Row],[Play Booster Box Cost]]+v_Item_Shipping_Cost_In)/tbl_MTG_Set[[#This Row],[Play Booster Box Size]]</f>
        <v>#VALUE!</v>
      </c>
      <c r="AQ286" s="10" t="str" cm="1">
        <f t="array" ref="AQ2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6" s="10"/>
      <c r="AS286" s="10"/>
      <c r="AT286" s="17" t="e">
        <f>tbl_MTG_Set[[#This Row],[Play Booster CardMarket Profit]]/tbl_MTG_Set[[#This Row],[Play Booster Cost]]</f>
        <v>#VALUE!</v>
      </c>
      <c r="AU286" s="10" t="e">
        <f>_xlfn.XLOOKUP(tbl_MTG_Set[[#This Row],[Collector Booster Box Product Id]], tbl_Product[Product Id], tbl_Product[Min Cost])</f>
        <v>#N/A</v>
      </c>
      <c r="AV286" s="10" t="e">
        <f>_xlfn.XLOOKUP(tbl_MTG_Set[[#This Row],[Collector Booster Box Product Id]], tbl_Product[Product Id], tbl_Product[Best Source])</f>
        <v>#N/A</v>
      </c>
      <c r="AW286" s="4" t="e">
        <f>_xlfn.XLOOKUP(tbl_MTG_Set[[#This Row],[Collector Booster Box Product Id]], tbl_Product[Product Id], tbl_Product[Pack Size])</f>
        <v>#N/A</v>
      </c>
      <c r="AX286" s="10" t="e">
        <f>(tbl_MTG_Set[[#This Row],[Collector Booster Box Cost]] + v_Item_Shipping_Cost_In) / tbl_MTG_Set[[#This Row],[Collector Booster Box Size]]</f>
        <v>#N/A</v>
      </c>
      <c r="AY286" s="10" t="str" cm="1">
        <f t="array" ref="AY2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6" s="10"/>
      <c r="BA2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6" s="17" t="e">
        <f>tbl_MTG_Set[[#This Row],[Collector Booster CardMarket Profit]]/tbl_MTG_Set[[#This Row],[Collector Booster Cost]]</f>
        <v>#N/A</v>
      </c>
      <c r="BC286" s="10"/>
      <c r="BF2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6" s="11" t="e">
        <f>tbl_MTG_Set[[#This Row],[Play Singles CardMarket Profit MTG Stocks]]/tbl_MTG_Set[[#This Row],[Play Booster Cost]]</f>
        <v>#VALUE!</v>
      </c>
      <c r="BI286" s="11" t="b">
        <f>tbl_MTG_Set[[#This Row],[Play Singles CardMarket Profit MTG Stocks]]&gt;0</f>
        <v>0</v>
      </c>
      <c r="BM286" s="10" t="e">
        <f>tbl_MTG_Set[[#This Row],[Play Booster Sell Price CardMarket]]*tbl_MTG_Set[[#This Row],[Play Booster Expected Market Value BotBox]]/tbl_MTG_Set[[#This Row],[Play Booster Sealed Market Value BotBox]]</f>
        <v>#VALUE!</v>
      </c>
      <c r="BN2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6" s="10" t="e">
        <f>tbl_MTG_Set[[#This Row],[Play Singles CardMarket Profit BotBox]]/tbl_MTG_Set[[#This Row],[Play Booster Cost]]</f>
        <v>#VALUE!</v>
      </c>
      <c r="BP286" s="10" t="b">
        <f>tbl_MTG_Set[[#This Row],[Play Singles CardMarket Profit BotBox]]&gt;0</f>
        <v>0</v>
      </c>
      <c r="BQ286" s="10"/>
      <c r="BR286" s="10"/>
      <c r="BS286" s="10"/>
      <c r="BT2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6" s="19" t="e">
        <f>tbl_MTG_Set[[#This Row],[Collector Singles CardMarket Profit MTG Stocks]]/tbl_MTG_Set[[#This Row],[Collector Booster Cost]]</f>
        <v>#N/A</v>
      </c>
      <c r="BW286" s="10" t="b">
        <f>tbl_MTG_Set[[#This Row],[Collector Singles CardMarket Profit MTG Stocks]]&gt;0</f>
        <v>0</v>
      </c>
      <c r="BX286" s="10"/>
      <c r="BY286" s="10"/>
      <c r="BZ2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6" s="10" t="e">
        <f>tbl_MTG_Set[[#This Row],[Collector Singles CardMarket Profit BotBox]]/tbl_MTG_Set[[#This Row],[Collector Booster Cost]]</f>
        <v>#N/A</v>
      </c>
      <c r="CC286" s="10" t="b">
        <f>tbl_MTG_Set[[#This Row],[Collector Singles CardMarket Profit BotBox]]&gt;0</f>
        <v>0</v>
      </c>
      <c r="CD2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7" spans="1:86" hidden="1">
      <c r="A287">
        <v>312</v>
      </c>
      <c r="B287" t="s">
        <v>460</v>
      </c>
      <c r="C287">
        <v>19</v>
      </c>
      <c r="D287" s="3">
        <v>44463</v>
      </c>
      <c r="E287" t="s">
        <v>59</v>
      </c>
      <c r="F287" t="s">
        <v>174</v>
      </c>
      <c r="G287">
        <v>570</v>
      </c>
      <c r="H287">
        <f ca="1">MONTH(NOW())+12*YEAR(NOW())-MONTH(tbl_MTG_Set[[#This Row],[Released On]])-12*YEAR(tbl_MTG_Set[[#This Row],[Released On]])</f>
        <v>54</v>
      </c>
      <c r="I287">
        <f>_xlfn.XLOOKUP(tbl_MTG_Set[[#This Row],[Type Name]], tbl_MTG_Set_Type[Set Type], tbl_MTG_Set_Type[Index], "(Set Type not found)")</f>
        <v>1</v>
      </c>
      <c r="J287">
        <f>_xlfn.XLOOKUP(tbl_MTG_Set[[#This Row],[Type Name]], tbl_MTG_Set_Type[Set Type], tbl_MTG_Set_Type[Buy Window Month Start], "(Set Type not found)")</f>
        <v>18</v>
      </c>
      <c r="K287" s="3">
        <f>tbl_MTG_Set[[#This Row],[Released On]]+tbl_MTG_Set[[#This Row],[Buy Window Month Start]]*365.25/12</f>
        <v>45010.875</v>
      </c>
      <c r="L287">
        <f>_xlfn.XLOOKUP(tbl_MTG_Set[[#This Row],[Type Name]], tbl_MTG_Set_Type[Set Type], tbl_MTG_Set_Type[Buy Window Month End], "(Set Type not found)", 0, 1)</f>
        <v>24</v>
      </c>
      <c r="M287" s="3">
        <f>tbl_MTG_Set[[#This Row],[Released On]]+tbl_MTG_Set[[#This Row],[Buy Window Month End]]*365.25/12</f>
        <v>45193.5</v>
      </c>
      <c r="N287" s="3" t="b">
        <f ca="1">AND(NOW()&gt;=tbl_MTG_Set[[#This Row],[Buy Window Start]], NOW()&lt;=tbl_MTG_Set[[#This Row],[Buy Window End]])</f>
        <v>0</v>
      </c>
      <c r="O287">
        <f>_xlfn.XLOOKUP(tbl_MTG_Set[[#This Row],[Type Name]], tbl_MTG_Set_Type[Set Type], tbl_MTG_Set_Type[Heavy Printing Window Month Start], "(Set Type not found)", 0, 1)</f>
        <v>1</v>
      </c>
      <c r="P287" s="3">
        <f>tbl_MTG_Set[[#This Row],[Released On]]+tbl_MTG_Set[[#This Row],[Heavy Printing Window Month Start]]*365.25/12</f>
        <v>44493.4375</v>
      </c>
      <c r="Q287">
        <f>_xlfn.XLOOKUP(tbl_MTG_Set[[#This Row],[Type Name]], tbl_MTG_Set_Type[Set Type], tbl_MTG_Set_Type[Heavy Printing Window Month End], "(Set Type not found)", 0, 1)</f>
        <v>18</v>
      </c>
      <c r="R287" s="3">
        <f>tbl_MTG_Set[[#This Row],[Released On]]+tbl_MTG_Set[[#This Row],[Heavy Printing Window Month End]]*365.25/12</f>
        <v>45010.875</v>
      </c>
      <c r="S287" s="3" t="b">
        <f ca="1">AND(NOW()&gt;=tbl_MTG_Set[[#This Row],[Heavy Printing Window Start]], NOW()&lt;=tbl_MTG_Set[[#This Row],[Heavy Printing Window End]])</f>
        <v>0</v>
      </c>
      <c r="T287">
        <f>_xlfn.XLOOKUP(tbl_MTG_Set[[#This Row],[Type Name]], tbl_MTG_Set_Type[Set Type], tbl_MTG_Set_Type[Sell Window Month Start], "(Set Type not found)", 0, 1)</f>
        <v>36</v>
      </c>
      <c r="U287" s="3">
        <f>tbl_MTG_Set[[#This Row],[Released On]]+tbl_MTG_Set[[#This Row],[Sell Window Month Start]]*365.25/12</f>
        <v>45558.75</v>
      </c>
      <c r="V287">
        <f>_xlfn.XLOOKUP(tbl_MTG_Set[[#This Row],[Type Name]], tbl_MTG_Set_Type[Set Type], tbl_MTG_Set_Type[Sell Window Month End], "(Set Type not found)", 0, 1)</f>
        <v>48</v>
      </c>
      <c r="W287" s="3">
        <f>tbl_MTG_Set[[#This Row],[Released On]]+tbl_MTG_Set[[#This Row],[Sell Window Month End]]*365.25/12</f>
        <v>45924</v>
      </c>
      <c r="X287" s="3" t="b">
        <f ca="1">AND(NOW()&gt;=tbl_MTG_Set[[#This Row],[Sell Window Start]], NOW()&lt;=tbl_MTG_Set[[#This Row],[Sell Window End]])</f>
        <v>0</v>
      </c>
      <c r="AG287" s="10"/>
      <c r="AH287" s="10"/>
      <c r="AM287" s="10" t="str" cm="1">
        <f t="array" ref="AM2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7" s="10" t="str" cm="1">
        <f t="array" ref="AN2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7" s="4" t="e">
        <f>_xlfn.XLOOKUP(tbl_MTG_Set[[#This Row],[Play Booster Box Product Id]], tbl_Product[Product Id], tbl_Product[Pack Size])</f>
        <v>#N/A</v>
      </c>
      <c r="AP287" s="10" t="e">
        <f>(tbl_MTG_Set[[#This Row],[Play Booster Box Cost]]+v_Item_Shipping_Cost_In)/tbl_MTG_Set[[#This Row],[Play Booster Box Size]]</f>
        <v>#VALUE!</v>
      </c>
      <c r="AQ287" s="10" t="str" cm="1">
        <f t="array" ref="AQ2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7" s="10"/>
      <c r="AS287" s="10"/>
      <c r="AT287" s="17" t="e">
        <f>tbl_MTG_Set[[#This Row],[Play Booster CardMarket Profit]]/tbl_MTG_Set[[#This Row],[Play Booster Cost]]</f>
        <v>#VALUE!</v>
      </c>
      <c r="AU287" s="10" t="e">
        <f>_xlfn.XLOOKUP(tbl_MTG_Set[[#This Row],[Collector Booster Box Product Id]], tbl_Product[Product Id], tbl_Product[Min Cost])</f>
        <v>#N/A</v>
      </c>
      <c r="AV287" s="10" t="e">
        <f>_xlfn.XLOOKUP(tbl_MTG_Set[[#This Row],[Collector Booster Box Product Id]], tbl_Product[Product Id], tbl_Product[Best Source])</f>
        <v>#N/A</v>
      </c>
      <c r="AW287" s="4" t="e">
        <f>_xlfn.XLOOKUP(tbl_MTG_Set[[#This Row],[Collector Booster Box Product Id]], tbl_Product[Product Id], tbl_Product[Pack Size])</f>
        <v>#N/A</v>
      </c>
      <c r="AX287" s="10" t="e">
        <f>(tbl_MTG_Set[[#This Row],[Collector Booster Box Cost]] + v_Item_Shipping_Cost_In) / tbl_MTG_Set[[#This Row],[Collector Booster Box Size]]</f>
        <v>#N/A</v>
      </c>
      <c r="AY287" s="10" t="str" cm="1">
        <f t="array" ref="AY2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7" s="10"/>
      <c r="BA2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7" s="17" t="e">
        <f>tbl_MTG_Set[[#This Row],[Collector Booster CardMarket Profit]]/tbl_MTG_Set[[#This Row],[Collector Booster Cost]]</f>
        <v>#N/A</v>
      </c>
      <c r="BC287" s="10"/>
      <c r="BF2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7" s="11" t="e">
        <f>tbl_MTG_Set[[#This Row],[Play Singles CardMarket Profit MTG Stocks]]/tbl_MTG_Set[[#This Row],[Play Booster Cost]]</f>
        <v>#VALUE!</v>
      </c>
      <c r="BI287" s="11" t="b">
        <f>tbl_MTG_Set[[#This Row],[Play Singles CardMarket Profit MTG Stocks]]&gt;0</f>
        <v>0</v>
      </c>
      <c r="BM287" s="10" t="e">
        <f>tbl_MTG_Set[[#This Row],[Play Booster Sell Price CardMarket]]*tbl_MTG_Set[[#This Row],[Play Booster Expected Market Value BotBox]]/tbl_MTG_Set[[#This Row],[Play Booster Sealed Market Value BotBox]]</f>
        <v>#VALUE!</v>
      </c>
      <c r="BN2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7" s="10" t="e">
        <f>tbl_MTG_Set[[#This Row],[Play Singles CardMarket Profit BotBox]]/tbl_MTG_Set[[#This Row],[Play Booster Cost]]</f>
        <v>#VALUE!</v>
      </c>
      <c r="BP287" s="10" t="b">
        <f>tbl_MTG_Set[[#This Row],[Play Singles CardMarket Profit BotBox]]&gt;0</f>
        <v>0</v>
      </c>
      <c r="BQ287" s="10"/>
      <c r="BR287" s="10"/>
      <c r="BS287" s="10"/>
      <c r="BT2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7" s="19" t="e">
        <f>tbl_MTG_Set[[#This Row],[Collector Singles CardMarket Profit MTG Stocks]]/tbl_MTG_Set[[#This Row],[Collector Booster Cost]]</f>
        <v>#N/A</v>
      </c>
      <c r="BW287" s="10" t="b">
        <f>tbl_MTG_Set[[#This Row],[Collector Singles CardMarket Profit MTG Stocks]]&gt;0</f>
        <v>0</v>
      </c>
      <c r="BX287" s="10"/>
      <c r="BY287" s="10"/>
      <c r="BZ2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7" s="10" t="e">
        <f>tbl_MTG_Set[[#This Row],[Collector Singles CardMarket Profit BotBox]]/tbl_MTG_Set[[#This Row],[Collector Booster Cost]]</f>
        <v>#N/A</v>
      </c>
      <c r="CC287" s="10" t="b">
        <f>tbl_MTG_Set[[#This Row],[Collector Singles CardMarket Profit BotBox]]&gt;0</f>
        <v>0</v>
      </c>
      <c r="CD2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8" spans="1:86" hidden="1">
      <c r="A288">
        <v>313</v>
      </c>
      <c r="B288" t="s">
        <v>461</v>
      </c>
      <c r="C288">
        <v>9</v>
      </c>
      <c r="D288" s="3">
        <v>44463</v>
      </c>
      <c r="E288" t="s">
        <v>59</v>
      </c>
      <c r="F288" t="s">
        <v>174</v>
      </c>
      <c r="G288">
        <v>572</v>
      </c>
      <c r="H288">
        <f ca="1">MONTH(NOW())+12*YEAR(NOW())-MONTH(tbl_MTG_Set[[#This Row],[Released On]])-12*YEAR(tbl_MTG_Set[[#This Row],[Released On]])</f>
        <v>54</v>
      </c>
      <c r="I288">
        <f>_xlfn.XLOOKUP(tbl_MTG_Set[[#This Row],[Type Name]], tbl_MTG_Set_Type[Set Type], tbl_MTG_Set_Type[Index], "(Set Type not found)")</f>
        <v>1</v>
      </c>
      <c r="J288">
        <f>_xlfn.XLOOKUP(tbl_MTG_Set[[#This Row],[Type Name]], tbl_MTG_Set_Type[Set Type], tbl_MTG_Set_Type[Buy Window Month Start], "(Set Type not found)")</f>
        <v>18</v>
      </c>
      <c r="K288" s="3">
        <f>tbl_MTG_Set[[#This Row],[Released On]]+tbl_MTG_Set[[#This Row],[Buy Window Month Start]]*365.25/12</f>
        <v>45010.875</v>
      </c>
      <c r="L288">
        <f>_xlfn.XLOOKUP(tbl_MTG_Set[[#This Row],[Type Name]], tbl_MTG_Set_Type[Set Type], tbl_MTG_Set_Type[Buy Window Month End], "(Set Type not found)", 0, 1)</f>
        <v>24</v>
      </c>
      <c r="M288" s="3">
        <f>tbl_MTG_Set[[#This Row],[Released On]]+tbl_MTG_Set[[#This Row],[Buy Window Month End]]*365.25/12</f>
        <v>45193.5</v>
      </c>
      <c r="N288" s="3" t="b">
        <f ca="1">AND(NOW()&gt;=tbl_MTG_Set[[#This Row],[Buy Window Start]], NOW()&lt;=tbl_MTG_Set[[#This Row],[Buy Window End]])</f>
        <v>0</v>
      </c>
      <c r="O288">
        <f>_xlfn.XLOOKUP(tbl_MTG_Set[[#This Row],[Type Name]], tbl_MTG_Set_Type[Set Type], tbl_MTG_Set_Type[Heavy Printing Window Month Start], "(Set Type not found)", 0, 1)</f>
        <v>1</v>
      </c>
      <c r="P288" s="3">
        <f>tbl_MTG_Set[[#This Row],[Released On]]+tbl_MTG_Set[[#This Row],[Heavy Printing Window Month Start]]*365.25/12</f>
        <v>44493.4375</v>
      </c>
      <c r="Q288">
        <f>_xlfn.XLOOKUP(tbl_MTG_Set[[#This Row],[Type Name]], tbl_MTG_Set_Type[Set Type], tbl_MTG_Set_Type[Heavy Printing Window Month End], "(Set Type not found)", 0, 1)</f>
        <v>18</v>
      </c>
      <c r="R288" s="3">
        <f>tbl_MTG_Set[[#This Row],[Released On]]+tbl_MTG_Set[[#This Row],[Heavy Printing Window Month End]]*365.25/12</f>
        <v>45010.875</v>
      </c>
      <c r="S288" s="3" t="b">
        <f ca="1">AND(NOW()&gt;=tbl_MTG_Set[[#This Row],[Heavy Printing Window Start]], NOW()&lt;=tbl_MTG_Set[[#This Row],[Heavy Printing Window End]])</f>
        <v>0</v>
      </c>
      <c r="T288">
        <f>_xlfn.XLOOKUP(tbl_MTG_Set[[#This Row],[Type Name]], tbl_MTG_Set_Type[Set Type], tbl_MTG_Set_Type[Sell Window Month Start], "(Set Type not found)", 0, 1)</f>
        <v>36</v>
      </c>
      <c r="U288" s="3">
        <f>tbl_MTG_Set[[#This Row],[Released On]]+tbl_MTG_Set[[#This Row],[Sell Window Month Start]]*365.25/12</f>
        <v>45558.75</v>
      </c>
      <c r="V288">
        <f>_xlfn.XLOOKUP(tbl_MTG_Set[[#This Row],[Type Name]], tbl_MTG_Set_Type[Set Type], tbl_MTG_Set_Type[Sell Window Month End], "(Set Type not found)", 0, 1)</f>
        <v>48</v>
      </c>
      <c r="W288" s="3">
        <f>tbl_MTG_Set[[#This Row],[Released On]]+tbl_MTG_Set[[#This Row],[Sell Window Month End]]*365.25/12</f>
        <v>45924</v>
      </c>
      <c r="X288" s="3" t="b">
        <f ca="1">AND(NOW()&gt;=tbl_MTG_Set[[#This Row],[Sell Window Start]], NOW()&lt;=tbl_MTG_Set[[#This Row],[Sell Window End]])</f>
        <v>0</v>
      </c>
      <c r="AG288" s="10"/>
      <c r="AH288" s="10"/>
      <c r="AM288" s="10" t="str" cm="1">
        <f t="array" ref="AM2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8" s="10" t="str" cm="1">
        <f t="array" ref="AN2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8" s="4" t="e">
        <f>_xlfn.XLOOKUP(tbl_MTG_Set[[#This Row],[Play Booster Box Product Id]], tbl_Product[Product Id], tbl_Product[Pack Size])</f>
        <v>#N/A</v>
      </c>
      <c r="AP288" s="10" t="e">
        <f>(tbl_MTG_Set[[#This Row],[Play Booster Box Cost]]+v_Item_Shipping_Cost_In)/tbl_MTG_Set[[#This Row],[Play Booster Box Size]]</f>
        <v>#VALUE!</v>
      </c>
      <c r="AQ288" s="10" t="str" cm="1">
        <f t="array" ref="AQ2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8" s="10"/>
      <c r="AS288" s="10"/>
      <c r="AT288" s="17" t="e">
        <f>tbl_MTG_Set[[#This Row],[Play Booster CardMarket Profit]]/tbl_MTG_Set[[#This Row],[Play Booster Cost]]</f>
        <v>#VALUE!</v>
      </c>
      <c r="AU288" s="10" t="e">
        <f>_xlfn.XLOOKUP(tbl_MTG_Set[[#This Row],[Collector Booster Box Product Id]], tbl_Product[Product Id], tbl_Product[Min Cost])</f>
        <v>#N/A</v>
      </c>
      <c r="AV288" s="10" t="e">
        <f>_xlfn.XLOOKUP(tbl_MTG_Set[[#This Row],[Collector Booster Box Product Id]], tbl_Product[Product Id], tbl_Product[Best Source])</f>
        <v>#N/A</v>
      </c>
      <c r="AW288" s="4" t="e">
        <f>_xlfn.XLOOKUP(tbl_MTG_Set[[#This Row],[Collector Booster Box Product Id]], tbl_Product[Product Id], tbl_Product[Pack Size])</f>
        <v>#N/A</v>
      </c>
      <c r="AX288" s="10" t="e">
        <f>(tbl_MTG_Set[[#This Row],[Collector Booster Box Cost]] + v_Item_Shipping_Cost_In) / tbl_MTG_Set[[#This Row],[Collector Booster Box Size]]</f>
        <v>#N/A</v>
      </c>
      <c r="AY288" s="10" t="str" cm="1">
        <f t="array" ref="AY2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8" s="10"/>
      <c r="BA2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8" s="17" t="e">
        <f>tbl_MTG_Set[[#This Row],[Collector Booster CardMarket Profit]]/tbl_MTG_Set[[#This Row],[Collector Booster Cost]]</f>
        <v>#N/A</v>
      </c>
      <c r="BC288" s="10"/>
      <c r="BF2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8" s="11" t="e">
        <f>tbl_MTG_Set[[#This Row],[Play Singles CardMarket Profit MTG Stocks]]/tbl_MTG_Set[[#This Row],[Play Booster Cost]]</f>
        <v>#VALUE!</v>
      </c>
      <c r="BI288" s="11" t="b">
        <f>tbl_MTG_Set[[#This Row],[Play Singles CardMarket Profit MTG Stocks]]&gt;0</f>
        <v>0</v>
      </c>
      <c r="BM288" s="10" t="e">
        <f>tbl_MTG_Set[[#This Row],[Play Booster Sell Price CardMarket]]*tbl_MTG_Set[[#This Row],[Play Booster Expected Market Value BotBox]]/tbl_MTG_Set[[#This Row],[Play Booster Sealed Market Value BotBox]]</f>
        <v>#VALUE!</v>
      </c>
      <c r="BN2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8" s="10" t="e">
        <f>tbl_MTG_Set[[#This Row],[Play Singles CardMarket Profit BotBox]]/tbl_MTG_Set[[#This Row],[Play Booster Cost]]</f>
        <v>#VALUE!</v>
      </c>
      <c r="BP288" s="10" t="b">
        <f>tbl_MTG_Set[[#This Row],[Play Singles CardMarket Profit BotBox]]&gt;0</f>
        <v>0</v>
      </c>
      <c r="BQ288" s="10"/>
      <c r="BR288" s="10"/>
      <c r="BS288" s="10"/>
      <c r="BT2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8" s="19" t="e">
        <f>tbl_MTG_Set[[#This Row],[Collector Singles CardMarket Profit MTG Stocks]]/tbl_MTG_Set[[#This Row],[Collector Booster Cost]]</f>
        <v>#N/A</v>
      </c>
      <c r="BW288" s="10" t="b">
        <f>tbl_MTG_Set[[#This Row],[Collector Singles CardMarket Profit MTG Stocks]]&gt;0</f>
        <v>0</v>
      </c>
      <c r="BX288" s="10"/>
      <c r="BY288" s="10"/>
      <c r="BZ2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8" s="10" t="e">
        <f>tbl_MTG_Set[[#This Row],[Collector Singles CardMarket Profit BotBox]]/tbl_MTG_Set[[#This Row],[Collector Booster Cost]]</f>
        <v>#N/A</v>
      </c>
      <c r="CC288" s="10" t="b">
        <f>tbl_MTG_Set[[#This Row],[Collector Singles CardMarket Profit BotBox]]&gt;0</f>
        <v>0</v>
      </c>
      <c r="CD2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89" spans="1:86" hidden="1">
      <c r="A289">
        <v>314</v>
      </c>
      <c r="B289" t="s">
        <v>462</v>
      </c>
      <c r="C289">
        <v>187</v>
      </c>
      <c r="D289" s="3">
        <v>44463</v>
      </c>
      <c r="F289" t="s">
        <v>174</v>
      </c>
      <c r="G289">
        <v>574</v>
      </c>
      <c r="H289">
        <f ca="1">MONTH(NOW())+12*YEAR(NOW())-MONTH(tbl_MTG_Set[[#This Row],[Released On]])-12*YEAR(tbl_MTG_Set[[#This Row],[Released On]])</f>
        <v>54</v>
      </c>
      <c r="I289" t="str">
        <f>_xlfn.XLOOKUP(tbl_MTG_Set[[#This Row],[Type Name]], tbl_MTG_Set_Type[Set Type], tbl_MTG_Set_Type[Index], "(Set Type not found)")</f>
        <v>(Set Type not found)</v>
      </c>
      <c r="J289" t="str">
        <f>_xlfn.XLOOKUP(tbl_MTG_Set[[#This Row],[Type Name]], tbl_MTG_Set_Type[Set Type], tbl_MTG_Set_Type[Buy Window Month Start], "(Set Type not found)")</f>
        <v>(Set Type not found)</v>
      </c>
      <c r="K289" s="3" t="e">
        <f>tbl_MTG_Set[[#This Row],[Released On]]+tbl_MTG_Set[[#This Row],[Buy Window Month Start]]*365.25/12</f>
        <v>#VALUE!</v>
      </c>
      <c r="L289" t="str">
        <f>_xlfn.XLOOKUP(tbl_MTG_Set[[#This Row],[Type Name]], tbl_MTG_Set_Type[Set Type], tbl_MTG_Set_Type[Buy Window Month End], "(Set Type not found)", 0, 1)</f>
        <v>(Set Type not found)</v>
      </c>
      <c r="M289" s="3" t="e">
        <f>tbl_MTG_Set[[#This Row],[Released On]]+tbl_MTG_Set[[#This Row],[Buy Window Month End]]*365.25/12</f>
        <v>#VALUE!</v>
      </c>
      <c r="N289" s="3" t="e">
        <f ca="1">AND(NOW()&gt;=tbl_MTG_Set[[#This Row],[Buy Window Start]], NOW()&lt;=tbl_MTG_Set[[#This Row],[Buy Window End]])</f>
        <v>#VALUE!</v>
      </c>
      <c r="O289" t="str">
        <f>_xlfn.XLOOKUP(tbl_MTG_Set[[#This Row],[Type Name]], tbl_MTG_Set_Type[Set Type], tbl_MTG_Set_Type[Heavy Printing Window Month Start], "(Set Type not found)", 0, 1)</f>
        <v>(Set Type not found)</v>
      </c>
      <c r="P289" s="3" t="e">
        <f>tbl_MTG_Set[[#This Row],[Released On]]+tbl_MTG_Set[[#This Row],[Heavy Printing Window Month Start]]*365.25/12</f>
        <v>#VALUE!</v>
      </c>
      <c r="Q289" t="str">
        <f>_xlfn.XLOOKUP(tbl_MTG_Set[[#This Row],[Type Name]], tbl_MTG_Set_Type[Set Type], tbl_MTG_Set_Type[Heavy Printing Window Month End], "(Set Type not found)", 0, 1)</f>
        <v>(Set Type not found)</v>
      </c>
      <c r="R289" s="3" t="e">
        <f>tbl_MTG_Set[[#This Row],[Released On]]+tbl_MTG_Set[[#This Row],[Heavy Printing Window Month End]]*365.25/12</f>
        <v>#VALUE!</v>
      </c>
      <c r="S289" s="3" t="e">
        <f ca="1">AND(NOW()&gt;=tbl_MTG_Set[[#This Row],[Heavy Printing Window Start]], NOW()&lt;=tbl_MTG_Set[[#This Row],[Heavy Printing Window End]])</f>
        <v>#VALUE!</v>
      </c>
      <c r="T289" t="str">
        <f>_xlfn.XLOOKUP(tbl_MTG_Set[[#This Row],[Type Name]], tbl_MTG_Set_Type[Set Type], tbl_MTG_Set_Type[Sell Window Month Start], "(Set Type not found)", 0, 1)</f>
        <v>(Set Type not found)</v>
      </c>
      <c r="U289" s="3" t="e">
        <f>tbl_MTG_Set[[#This Row],[Released On]]+tbl_MTG_Set[[#This Row],[Sell Window Month Start]]*365.25/12</f>
        <v>#VALUE!</v>
      </c>
      <c r="V289" t="str">
        <f>_xlfn.XLOOKUP(tbl_MTG_Set[[#This Row],[Type Name]], tbl_MTG_Set_Type[Set Type], tbl_MTG_Set_Type[Sell Window Month End], "(Set Type not found)", 0, 1)</f>
        <v>(Set Type not found)</v>
      </c>
      <c r="W289" s="3" t="e">
        <f>tbl_MTG_Set[[#This Row],[Released On]]+tbl_MTG_Set[[#This Row],[Sell Window Month End]]*365.25/12</f>
        <v>#VALUE!</v>
      </c>
      <c r="X289" s="3" t="e">
        <f ca="1">AND(NOW()&gt;=tbl_MTG_Set[[#This Row],[Sell Window Start]], NOW()&lt;=tbl_MTG_Set[[#This Row],[Sell Window End]])</f>
        <v>#VALUE!</v>
      </c>
      <c r="AG289" s="10"/>
      <c r="AH289" s="10"/>
      <c r="AM289" s="10" t="str" cm="1">
        <f t="array" ref="AM2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89" s="10" t="str" cm="1">
        <f t="array" ref="AN2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89" s="4" t="e">
        <f>_xlfn.XLOOKUP(tbl_MTG_Set[[#This Row],[Play Booster Box Product Id]], tbl_Product[Product Id], tbl_Product[Pack Size])</f>
        <v>#N/A</v>
      </c>
      <c r="AP289" s="10" t="e">
        <f>(tbl_MTG_Set[[#This Row],[Play Booster Box Cost]]+v_Item_Shipping_Cost_In)/tbl_MTG_Set[[#This Row],[Play Booster Box Size]]</f>
        <v>#VALUE!</v>
      </c>
      <c r="AQ289" s="10" t="str" cm="1">
        <f t="array" ref="AQ2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89" s="10"/>
      <c r="AS289" s="10"/>
      <c r="AT289" s="17" t="e">
        <f>tbl_MTG_Set[[#This Row],[Play Booster CardMarket Profit]]/tbl_MTG_Set[[#This Row],[Play Booster Cost]]</f>
        <v>#VALUE!</v>
      </c>
      <c r="AU289" s="10" t="e">
        <f>_xlfn.XLOOKUP(tbl_MTG_Set[[#This Row],[Collector Booster Box Product Id]], tbl_Product[Product Id], tbl_Product[Min Cost])</f>
        <v>#N/A</v>
      </c>
      <c r="AV289" s="10" t="e">
        <f>_xlfn.XLOOKUP(tbl_MTG_Set[[#This Row],[Collector Booster Box Product Id]], tbl_Product[Product Id], tbl_Product[Best Source])</f>
        <v>#N/A</v>
      </c>
      <c r="AW289" s="4" t="e">
        <f>_xlfn.XLOOKUP(tbl_MTG_Set[[#This Row],[Collector Booster Box Product Id]], tbl_Product[Product Id], tbl_Product[Pack Size])</f>
        <v>#N/A</v>
      </c>
      <c r="AX289" s="10" t="e">
        <f>(tbl_MTG_Set[[#This Row],[Collector Booster Box Cost]] + v_Item_Shipping_Cost_In) / tbl_MTG_Set[[#This Row],[Collector Booster Box Size]]</f>
        <v>#N/A</v>
      </c>
      <c r="AY289" s="10" t="str" cm="1">
        <f t="array" ref="AY2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89" s="10"/>
      <c r="BA2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89" s="17" t="e">
        <f>tbl_MTG_Set[[#This Row],[Collector Booster CardMarket Profit]]/tbl_MTG_Set[[#This Row],[Collector Booster Cost]]</f>
        <v>#N/A</v>
      </c>
      <c r="BC289" s="10"/>
      <c r="BF2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89" s="11" t="e">
        <f>tbl_MTG_Set[[#This Row],[Play Singles CardMarket Profit MTG Stocks]]/tbl_MTG_Set[[#This Row],[Play Booster Cost]]</f>
        <v>#VALUE!</v>
      </c>
      <c r="BI289" s="11" t="b">
        <f>tbl_MTG_Set[[#This Row],[Play Singles CardMarket Profit MTG Stocks]]&gt;0</f>
        <v>0</v>
      </c>
      <c r="BM289" s="10" t="e">
        <f>tbl_MTG_Set[[#This Row],[Play Booster Sell Price CardMarket]]*tbl_MTG_Set[[#This Row],[Play Booster Expected Market Value BotBox]]/tbl_MTG_Set[[#This Row],[Play Booster Sealed Market Value BotBox]]</f>
        <v>#VALUE!</v>
      </c>
      <c r="BN2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89" s="10" t="e">
        <f>tbl_MTG_Set[[#This Row],[Play Singles CardMarket Profit BotBox]]/tbl_MTG_Set[[#This Row],[Play Booster Cost]]</f>
        <v>#VALUE!</v>
      </c>
      <c r="BP289" s="10" t="b">
        <f>tbl_MTG_Set[[#This Row],[Play Singles CardMarket Profit BotBox]]&gt;0</f>
        <v>0</v>
      </c>
      <c r="BQ289" s="10"/>
      <c r="BR289" s="10"/>
      <c r="BS289" s="10"/>
      <c r="BT2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89" s="19" t="e">
        <f>tbl_MTG_Set[[#This Row],[Collector Singles CardMarket Profit MTG Stocks]]/tbl_MTG_Set[[#This Row],[Collector Booster Cost]]</f>
        <v>#N/A</v>
      </c>
      <c r="BW289" s="10" t="b">
        <f>tbl_MTG_Set[[#This Row],[Collector Singles CardMarket Profit MTG Stocks]]&gt;0</f>
        <v>0</v>
      </c>
      <c r="BX289" s="10"/>
      <c r="BY289" s="10"/>
      <c r="BZ2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89" s="10" t="e">
        <f>tbl_MTG_Set[[#This Row],[Collector Singles CardMarket Profit BotBox]]/tbl_MTG_Set[[#This Row],[Collector Booster Cost]]</f>
        <v>#N/A</v>
      </c>
      <c r="CC289" s="10" t="b">
        <f>tbl_MTG_Set[[#This Row],[Collector Singles CardMarket Profit BotBox]]&gt;0</f>
        <v>0</v>
      </c>
      <c r="CD2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0" spans="1:86" hidden="1">
      <c r="A290">
        <v>315</v>
      </c>
      <c r="B290" t="s">
        <v>463</v>
      </c>
      <c r="C290">
        <v>11</v>
      </c>
      <c r="D290" s="3">
        <v>44463</v>
      </c>
      <c r="F290" t="s">
        <v>174</v>
      </c>
      <c r="G290">
        <v>576</v>
      </c>
      <c r="H290">
        <f ca="1">MONTH(NOW())+12*YEAR(NOW())-MONTH(tbl_MTG_Set[[#This Row],[Released On]])-12*YEAR(tbl_MTG_Set[[#This Row],[Released On]])</f>
        <v>54</v>
      </c>
      <c r="I290" t="str">
        <f>_xlfn.XLOOKUP(tbl_MTG_Set[[#This Row],[Type Name]], tbl_MTG_Set_Type[Set Type], tbl_MTG_Set_Type[Index], "(Set Type not found)")</f>
        <v>(Set Type not found)</v>
      </c>
      <c r="J290" t="str">
        <f>_xlfn.XLOOKUP(tbl_MTG_Set[[#This Row],[Type Name]], tbl_MTG_Set_Type[Set Type], tbl_MTG_Set_Type[Buy Window Month Start], "(Set Type not found)")</f>
        <v>(Set Type not found)</v>
      </c>
      <c r="K290" s="3" t="e">
        <f>tbl_MTG_Set[[#This Row],[Released On]]+tbl_MTG_Set[[#This Row],[Buy Window Month Start]]*365.25/12</f>
        <v>#VALUE!</v>
      </c>
      <c r="L290" t="str">
        <f>_xlfn.XLOOKUP(tbl_MTG_Set[[#This Row],[Type Name]], tbl_MTG_Set_Type[Set Type], tbl_MTG_Set_Type[Buy Window Month End], "(Set Type not found)", 0, 1)</f>
        <v>(Set Type not found)</v>
      </c>
      <c r="M290" s="3" t="e">
        <f>tbl_MTG_Set[[#This Row],[Released On]]+tbl_MTG_Set[[#This Row],[Buy Window Month End]]*365.25/12</f>
        <v>#VALUE!</v>
      </c>
      <c r="N290" s="3" t="e">
        <f ca="1">AND(NOW()&gt;=tbl_MTG_Set[[#This Row],[Buy Window Start]], NOW()&lt;=tbl_MTG_Set[[#This Row],[Buy Window End]])</f>
        <v>#VALUE!</v>
      </c>
      <c r="O290" t="str">
        <f>_xlfn.XLOOKUP(tbl_MTG_Set[[#This Row],[Type Name]], tbl_MTG_Set_Type[Set Type], tbl_MTG_Set_Type[Heavy Printing Window Month Start], "(Set Type not found)", 0, 1)</f>
        <v>(Set Type not found)</v>
      </c>
      <c r="P290" s="3" t="e">
        <f>tbl_MTG_Set[[#This Row],[Released On]]+tbl_MTG_Set[[#This Row],[Heavy Printing Window Month Start]]*365.25/12</f>
        <v>#VALUE!</v>
      </c>
      <c r="Q290" t="str">
        <f>_xlfn.XLOOKUP(tbl_MTG_Set[[#This Row],[Type Name]], tbl_MTG_Set_Type[Set Type], tbl_MTG_Set_Type[Heavy Printing Window Month End], "(Set Type not found)", 0, 1)</f>
        <v>(Set Type not found)</v>
      </c>
      <c r="R290" s="3" t="e">
        <f>tbl_MTG_Set[[#This Row],[Released On]]+tbl_MTG_Set[[#This Row],[Heavy Printing Window Month End]]*365.25/12</f>
        <v>#VALUE!</v>
      </c>
      <c r="S290" s="3" t="e">
        <f ca="1">AND(NOW()&gt;=tbl_MTG_Set[[#This Row],[Heavy Printing Window Start]], NOW()&lt;=tbl_MTG_Set[[#This Row],[Heavy Printing Window End]])</f>
        <v>#VALUE!</v>
      </c>
      <c r="T290" t="str">
        <f>_xlfn.XLOOKUP(tbl_MTG_Set[[#This Row],[Type Name]], tbl_MTG_Set_Type[Set Type], tbl_MTG_Set_Type[Sell Window Month Start], "(Set Type not found)", 0, 1)</f>
        <v>(Set Type not found)</v>
      </c>
      <c r="U290" s="3" t="e">
        <f>tbl_MTG_Set[[#This Row],[Released On]]+tbl_MTG_Set[[#This Row],[Sell Window Month Start]]*365.25/12</f>
        <v>#VALUE!</v>
      </c>
      <c r="V290" t="str">
        <f>_xlfn.XLOOKUP(tbl_MTG_Set[[#This Row],[Type Name]], tbl_MTG_Set_Type[Set Type], tbl_MTG_Set_Type[Sell Window Month End], "(Set Type not found)", 0, 1)</f>
        <v>(Set Type not found)</v>
      </c>
      <c r="W290" s="3" t="e">
        <f>tbl_MTG_Set[[#This Row],[Released On]]+tbl_MTG_Set[[#This Row],[Sell Window Month End]]*365.25/12</f>
        <v>#VALUE!</v>
      </c>
      <c r="X290" s="3" t="e">
        <f ca="1">AND(NOW()&gt;=tbl_MTG_Set[[#This Row],[Sell Window Start]], NOW()&lt;=tbl_MTG_Set[[#This Row],[Sell Window End]])</f>
        <v>#VALUE!</v>
      </c>
      <c r="AG290" s="10"/>
      <c r="AH290" s="10"/>
      <c r="AM290" s="10" t="str" cm="1">
        <f t="array" ref="AM2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0" s="10" t="str" cm="1">
        <f t="array" ref="AN2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0" s="4" t="e">
        <f>_xlfn.XLOOKUP(tbl_MTG_Set[[#This Row],[Play Booster Box Product Id]], tbl_Product[Product Id], tbl_Product[Pack Size])</f>
        <v>#N/A</v>
      </c>
      <c r="AP290" s="10" t="e">
        <f>(tbl_MTG_Set[[#This Row],[Play Booster Box Cost]]+v_Item_Shipping_Cost_In)/tbl_MTG_Set[[#This Row],[Play Booster Box Size]]</f>
        <v>#VALUE!</v>
      </c>
      <c r="AQ290" s="10" t="str" cm="1">
        <f t="array" ref="AQ2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0" s="10"/>
      <c r="AS290" s="10"/>
      <c r="AT290" s="17" t="e">
        <f>tbl_MTG_Set[[#This Row],[Play Booster CardMarket Profit]]/tbl_MTG_Set[[#This Row],[Play Booster Cost]]</f>
        <v>#VALUE!</v>
      </c>
      <c r="AU290" s="10" t="e">
        <f>_xlfn.XLOOKUP(tbl_MTG_Set[[#This Row],[Collector Booster Box Product Id]], tbl_Product[Product Id], tbl_Product[Min Cost])</f>
        <v>#N/A</v>
      </c>
      <c r="AV290" s="10" t="e">
        <f>_xlfn.XLOOKUP(tbl_MTG_Set[[#This Row],[Collector Booster Box Product Id]], tbl_Product[Product Id], tbl_Product[Best Source])</f>
        <v>#N/A</v>
      </c>
      <c r="AW290" s="4" t="e">
        <f>_xlfn.XLOOKUP(tbl_MTG_Set[[#This Row],[Collector Booster Box Product Id]], tbl_Product[Product Id], tbl_Product[Pack Size])</f>
        <v>#N/A</v>
      </c>
      <c r="AX290" s="10" t="e">
        <f>(tbl_MTG_Set[[#This Row],[Collector Booster Box Cost]] + v_Item_Shipping_Cost_In) / tbl_MTG_Set[[#This Row],[Collector Booster Box Size]]</f>
        <v>#N/A</v>
      </c>
      <c r="AY290" s="10" t="str" cm="1">
        <f t="array" ref="AY2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0" s="10"/>
      <c r="BA2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0" s="17" t="e">
        <f>tbl_MTG_Set[[#This Row],[Collector Booster CardMarket Profit]]/tbl_MTG_Set[[#This Row],[Collector Booster Cost]]</f>
        <v>#N/A</v>
      </c>
      <c r="BC290" s="10"/>
      <c r="BF2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0" s="11" t="e">
        <f>tbl_MTG_Set[[#This Row],[Play Singles CardMarket Profit MTG Stocks]]/tbl_MTG_Set[[#This Row],[Play Booster Cost]]</f>
        <v>#VALUE!</v>
      </c>
      <c r="BI290" s="11" t="b">
        <f>tbl_MTG_Set[[#This Row],[Play Singles CardMarket Profit MTG Stocks]]&gt;0</f>
        <v>0</v>
      </c>
      <c r="BM290" s="10" t="e">
        <f>tbl_MTG_Set[[#This Row],[Play Booster Sell Price CardMarket]]*tbl_MTG_Set[[#This Row],[Play Booster Expected Market Value BotBox]]/tbl_MTG_Set[[#This Row],[Play Booster Sealed Market Value BotBox]]</f>
        <v>#VALUE!</v>
      </c>
      <c r="BN2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0" s="10" t="e">
        <f>tbl_MTG_Set[[#This Row],[Play Singles CardMarket Profit BotBox]]/tbl_MTG_Set[[#This Row],[Play Booster Cost]]</f>
        <v>#VALUE!</v>
      </c>
      <c r="BP290" s="10" t="b">
        <f>tbl_MTG_Set[[#This Row],[Play Singles CardMarket Profit BotBox]]&gt;0</f>
        <v>0</v>
      </c>
      <c r="BQ290" s="10"/>
      <c r="BR290" s="10"/>
      <c r="BS290" s="10"/>
      <c r="BT2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0" s="19" t="e">
        <f>tbl_MTG_Set[[#This Row],[Collector Singles CardMarket Profit MTG Stocks]]/tbl_MTG_Set[[#This Row],[Collector Booster Cost]]</f>
        <v>#N/A</v>
      </c>
      <c r="BW290" s="10" t="b">
        <f>tbl_MTG_Set[[#This Row],[Collector Singles CardMarket Profit MTG Stocks]]&gt;0</f>
        <v>0</v>
      </c>
      <c r="BX290" s="10"/>
      <c r="BY290" s="10"/>
      <c r="BZ2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0" s="10" t="e">
        <f>tbl_MTG_Set[[#This Row],[Collector Singles CardMarket Profit BotBox]]/tbl_MTG_Set[[#This Row],[Collector Booster Cost]]</f>
        <v>#N/A</v>
      </c>
      <c r="CC290" s="10" t="b">
        <f>tbl_MTG_Set[[#This Row],[Collector Singles CardMarket Profit BotBox]]&gt;0</f>
        <v>0</v>
      </c>
      <c r="CD2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1" spans="1:86" hidden="1">
      <c r="A291">
        <v>316</v>
      </c>
      <c r="B291" t="s">
        <v>464</v>
      </c>
      <c r="C291">
        <v>2</v>
      </c>
      <c r="D291" s="3">
        <v>44463</v>
      </c>
      <c r="F291" t="s">
        <v>174</v>
      </c>
      <c r="G291">
        <v>578</v>
      </c>
      <c r="H291">
        <f ca="1">MONTH(NOW())+12*YEAR(NOW())-MONTH(tbl_MTG_Set[[#This Row],[Released On]])-12*YEAR(tbl_MTG_Set[[#This Row],[Released On]])</f>
        <v>54</v>
      </c>
      <c r="I291" t="str">
        <f>_xlfn.XLOOKUP(tbl_MTG_Set[[#This Row],[Type Name]], tbl_MTG_Set_Type[Set Type], tbl_MTG_Set_Type[Index], "(Set Type not found)")</f>
        <v>(Set Type not found)</v>
      </c>
      <c r="J291" t="str">
        <f>_xlfn.XLOOKUP(tbl_MTG_Set[[#This Row],[Type Name]], tbl_MTG_Set_Type[Set Type], tbl_MTG_Set_Type[Buy Window Month Start], "(Set Type not found)")</f>
        <v>(Set Type not found)</v>
      </c>
      <c r="K291" s="3" t="e">
        <f>tbl_MTG_Set[[#This Row],[Released On]]+tbl_MTG_Set[[#This Row],[Buy Window Month Start]]*365.25/12</f>
        <v>#VALUE!</v>
      </c>
      <c r="L291" t="str">
        <f>_xlfn.XLOOKUP(tbl_MTG_Set[[#This Row],[Type Name]], tbl_MTG_Set_Type[Set Type], tbl_MTG_Set_Type[Buy Window Month End], "(Set Type not found)", 0, 1)</f>
        <v>(Set Type not found)</v>
      </c>
      <c r="M291" s="3" t="e">
        <f>tbl_MTG_Set[[#This Row],[Released On]]+tbl_MTG_Set[[#This Row],[Buy Window Month End]]*365.25/12</f>
        <v>#VALUE!</v>
      </c>
      <c r="N291" s="3" t="e">
        <f ca="1">AND(NOW()&gt;=tbl_MTG_Set[[#This Row],[Buy Window Start]], NOW()&lt;=tbl_MTG_Set[[#This Row],[Buy Window End]])</f>
        <v>#VALUE!</v>
      </c>
      <c r="O291" t="str">
        <f>_xlfn.XLOOKUP(tbl_MTG_Set[[#This Row],[Type Name]], tbl_MTG_Set_Type[Set Type], tbl_MTG_Set_Type[Heavy Printing Window Month Start], "(Set Type not found)", 0, 1)</f>
        <v>(Set Type not found)</v>
      </c>
      <c r="P291" s="3" t="e">
        <f>tbl_MTG_Set[[#This Row],[Released On]]+tbl_MTG_Set[[#This Row],[Heavy Printing Window Month Start]]*365.25/12</f>
        <v>#VALUE!</v>
      </c>
      <c r="Q291" t="str">
        <f>_xlfn.XLOOKUP(tbl_MTG_Set[[#This Row],[Type Name]], tbl_MTG_Set_Type[Set Type], tbl_MTG_Set_Type[Heavy Printing Window Month End], "(Set Type not found)", 0, 1)</f>
        <v>(Set Type not found)</v>
      </c>
      <c r="R291" s="3" t="e">
        <f>tbl_MTG_Set[[#This Row],[Released On]]+tbl_MTG_Set[[#This Row],[Heavy Printing Window Month End]]*365.25/12</f>
        <v>#VALUE!</v>
      </c>
      <c r="S291" s="3" t="e">
        <f ca="1">AND(NOW()&gt;=tbl_MTG_Set[[#This Row],[Heavy Printing Window Start]], NOW()&lt;=tbl_MTG_Set[[#This Row],[Heavy Printing Window End]])</f>
        <v>#VALUE!</v>
      </c>
      <c r="T291" t="str">
        <f>_xlfn.XLOOKUP(tbl_MTG_Set[[#This Row],[Type Name]], tbl_MTG_Set_Type[Set Type], tbl_MTG_Set_Type[Sell Window Month Start], "(Set Type not found)", 0, 1)</f>
        <v>(Set Type not found)</v>
      </c>
      <c r="U291" s="3" t="e">
        <f>tbl_MTG_Set[[#This Row],[Released On]]+tbl_MTG_Set[[#This Row],[Sell Window Month Start]]*365.25/12</f>
        <v>#VALUE!</v>
      </c>
      <c r="V291" t="str">
        <f>_xlfn.XLOOKUP(tbl_MTG_Set[[#This Row],[Type Name]], tbl_MTG_Set_Type[Set Type], tbl_MTG_Set_Type[Sell Window Month End], "(Set Type not found)", 0, 1)</f>
        <v>(Set Type not found)</v>
      </c>
      <c r="W291" s="3" t="e">
        <f>tbl_MTG_Set[[#This Row],[Released On]]+tbl_MTG_Set[[#This Row],[Sell Window Month End]]*365.25/12</f>
        <v>#VALUE!</v>
      </c>
      <c r="X291" s="3" t="e">
        <f ca="1">AND(NOW()&gt;=tbl_MTG_Set[[#This Row],[Sell Window Start]], NOW()&lt;=tbl_MTG_Set[[#This Row],[Sell Window End]])</f>
        <v>#VALUE!</v>
      </c>
      <c r="AG291" s="10"/>
      <c r="AH291" s="10"/>
      <c r="AM291" s="10" t="str" cm="1">
        <f t="array" ref="AM2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1" s="10" t="str" cm="1">
        <f t="array" ref="AN2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1" s="4" t="e">
        <f>_xlfn.XLOOKUP(tbl_MTG_Set[[#This Row],[Play Booster Box Product Id]], tbl_Product[Product Id], tbl_Product[Pack Size])</f>
        <v>#N/A</v>
      </c>
      <c r="AP291" s="10" t="e">
        <f>(tbl_MTG_Set[[#This Row],[Play Booster Box Cost]]+v_Item_Shipping_Cost_In)/tbl_MTG_Set[[#This Row],[Play Booster Box Size]]</f>
        <v>#VALUE!</v>
      </c>
      <c r="AQ291" s="10" t="str" cm="1">
        <f t="array" ref="AQ2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1" s="10"/>
      <c r="AS291" s="10"/>
      <c r="AT291" s="17" t="e">
        <f>tbl_MTG_Set[[#This Row],[Play Booster CardMarket Profit]]/tbl_MTG_Set[[#This Row],[Play Booster Cost]]</f>
        <v>#VALUE!</v>
      </c>
      <c r="AU291" s="10" t="e">
        <f>_xlfn.XLOOKUP(tbl_MTG_Set[[#This Row],[Collector Booster Box Product Id]], tbl_Product[Product Id], tbl_Product[Min Cost])</f>
        <v>#N/A</v>
      </c>
      <c r="AV291" s="10" t="e">
        <f>_xlfn.XLOOKUP(tbl_MTG_Set[[#This Row],[Collector Booster Box Product Id]], tbl_Product[Product Id], tbl_Product[Best Source])</f>
        <v>#N/A</v>
      </c>
      <c r="AW291" s="4" t="e">
        <f>_xlfn.XLOOKUP(tbl_MTG_Set[[#This Row],[Collector Booster Box Product Id]], tbl_Product[Product Id], tbl_Product[Pack Size])</f>
        <v>#N/A</v>
      </c>
      <c r="AX291" s="10" t="e">
        <f>(tbl_MTG_Set[[#This Row],[Collector Booster Box Cost]] + v_Item_Shipping_Cost_In) / tbl_MTG_Set[[#This Row],[Collector Booster Box Size]]</f>
        <v>#N/A</v>
      </c>
      <c r="AY291" s="10" t="str" cm="1">
        <f t="array" ref="AY2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1" s="10"/>
      <c r="BA2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1" s="17" t="e">
        <f>tbl_MTG_Set[[#This Row],[Collector Booster CardMarket Profit]]/tbl_MTG_Set[[#This Row],[Collector Booster Cost]]</f>
        <v>#N/A</v>
      </c>
      <c r="BC291" s="10"/>
      <c r="BF2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1" s="11" t="e">
        <f>tbl_MTG_Set[[#This Row],[Play Singles CardMarket Profit MTG Stocks]]/tbl_MTG_Set[[#This Row],[Play Booster Cost]]</f>
        <v>#VALUE!</v>
      </c>
      <c r="BI291" s="11" t="b">
        <f>tbl_MTG_Set[[#This Row],[Play Singles CardMarket Profit MTG Stocks]]&gt;0</f>
        <v>0</v>
      </c>
      <c r="BM291" s="10" t="e">
        <f>tbl_MTG_Set[[#This Row],[Play Booster Sell Price CardMarket]]*tbl_MTG_Set[[#This Row],[Play Booster Expected Market Value BotBox]]/tbl_MTG_Set[[#This Row],[Play Booster Sealed Market Value BotBox]]</f>
        <v>#VALUE!</v>
      </c>
      <c r="BN2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1" s="10" t="e">
        <f>tbl_MTG_Set[[#This Row],[Play Singles CardMarket Profit BotBox]]/tbl_MTG_Set[[#This Row],[Play Booster Cost]]</f>
        <v>#VALUE!</v>
      </c>
      <c r="BP291" s="10" t="b">
        <f>tbl_MTG_Set[[#This Row],[Play Singles CardMarket Profit BotBox]]&gt;0</f>
        <v>0</v>
      </c>
      <c r="BQ291" s="10"/>
      <c r="BR291" s="10"/>
      <c r="BS291" s="10"/>
      <c r="BT2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1" s="19" t="e">
        <f>tbl_MTG_Set[[#This Row],[Collector Singles CardMarket Profit MTG Stocks]]/tbl_MTG_Set[[#This Row],[Collector Booster Cost]]</f>
        <v>#N/A</v>
      </c>
      <c r="BW291" s="10" t="b">
        <f>tbl_MTG_Set[[#This Row],[Collector Singles CardMarket Profit MTG Stocks]]&gt;0</f>
        <v>0</v>
      </c>
      <c r="BX291" s="10"/>
      <c r="BY291" s="10"/>
      <c r="BZ2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1" s="10" t="e">
        <f>tbl_MTG_Set[[#This Row],[Collector Singles CardMarket Profit BotBox]]/tbl_MTG_Set[[#This Row],[Collector Booster Cost]]</f>
        <v>#N/A</v>
      </c>
      <c r="CC291" s="10" t="b">
        <f>tbl_MTG_Set[[#This Row],[Collector Singles CardMarket Profit BotBox]]&gt;0</f>
        <v>0</v>
      </c>
      <c r="CD2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2" spans="1:86" hidden="1">
      <c r="A292">
        <v>317</v>
      </c>
      <c r="B292" t="s">
        <v>465</v>
      </c>
      <c r="C292">
        <v>81</v>
      </c>
      <c r="D292" s="3">
        <v>44463</v>
      </c>
      <c r="F292" t="s">
        <v>174</v>
      </c>
      <c r="G292">
        <v>580</v>
      </c>
      <c r="H292">
        <f ca="1">MONTH(NOW())+12*YEAR(NOW())-MONTH(tbl_MTG_Set[[#This Row],[Released On]])-12*YEAR(tbl_MTG_Set[[#This Row],[Released On]])</f>
        <v>54</v>
      </c>
      <c r="I292" t="str">
        <f>_xlfn.XLOOKUP(tbl_MTG_Set[[#This Row],[Type Name]], tbl_MTG_Set_Type[Set Type], tbl_MTG_Set_Type[Index], "(Set Type not found)")</f>
        <v>(Set Type not found)</v>
      </c>
      <c r="J292" t="str">
        <f>_xlfn.XLOOKUP(tbl_MTG_Set[[#This Row],[Type Name]], tbl_MTG_Set_Type[Set Type], tbl_MTG_Set_Type[Buy Window Month Start], "(Set Type not found)")</f>
        <v>(Set Type not found)</v>
      </c>
      <c r="K292" s="3" t="e">
        <f>tbl_MTG_Set[[#This Row],[Released On]]+tbl_MTG_Set[[#This Row],[Buy Window Month Start]]*365.25/12</f>
        <v>#VALUE!</v>
      </c>
      <c r="L292" t="str">
        <f>_xlfn.XLOOKUP(tbl_MTG_Set[[#This Row],[Type Name]], tbl_MTG_Set_Type[Set Type], tbl_MTG_Set_Type[Buy Window Month End], "(Set Type not found)", 0, 1)</f>
        <v>(Set Type not found)</v>
      </c>
      <c r="M292" s="3" t="e">
        <f>tbl_MTG_Set[[#This Row],[Released On]]+tbl_MTG_Set[[#This Row],[Buy Window Month End]]*365.25/12</f>
        <v>#VALUE!</v>
      </c>
      <c r="N292" s="3" t="e">
        <f ca="1">AND(NOW()&gt;=tbl_MTG_Set[[#This Row],[Buy Window Start]], NOW()&lt;=tbl_MTG_Set[[#This Row],[Buy Window End]])</f>
        <v>#VALUE!</v>
      </c>
      <c r="O292" t="str">
        <f>_xlfn.XLOOKUP(tbl_MTG_Set[[#This Row],[Type Name]], tbl_MTG_Set_Type[Set Type], tbl_MTG_Set_Type[Heavy Printing Window Month Start], "(Set Type not found)", 0, 1)</f>
        <v>(Set Type not found)</v>
      </c>
      <c r="P292" s="3" t="e">
        <f>tbl_MTG_Set[[#This Row],[Released On]]+tbl_MTG_Set[[#This Row],[Heavy Printing Window Month Start]]*365.25/12</f>
        <v>#VALUE!</v>
      </c>
      <c r="Q292" t="str">
        <f>_xlfn.XLOOKUP(tbl_MTG_Set[[#This Row],[Type Name]], tbl_MTG_Set_Type[Set Type], tbl_MTG_Set_Type[Heavy Printing Window Month End], "(Set Type not found)", 0, 1)</f>
        <v>(Set Type not found)</v>
      </c>
      <c r="R292" s="3" t="e">
        <f>tbl_MTG_Set[[#This Row],[Released On]]+tbl_MTG_Set[[#This Row],[Heavy Printing Window Month End]]*365.25/12</f>
        <v>#VALUE!</v>
      </c>
      <c r="S292" s="3" t="e">
        <f ca="1">AND(NOW()&gt;=tbl_MTG_Set[[#This Row],[Heavy Printing Window Start]], NOW()&lt;=tbl_MTG_Set[[#This Row],[Heavy Printing Window End]])</f>
        <v>#VALUE!</v>
      </c>
      <c r="T292" t="str">
        <f>_xlfn.XLOOKUP(tbl_MTG_Set[[#This Row],[Type Name]], tbl_MTG_Set_Type[Set Type], tbl_MTG_Set_Type[Sell Window Month Start], "(Set Type not found)", 0, 1)</f>
        <v>(Set Type not found)</v>
      </c>
      <c r="U292" s="3" t="e">
        <f>tbl_MTG_Set[[#This Row],[Released On]]+tbl_MTG_Set[[#This Row],[Sell Window Month Start]]*365.25/12</f>
        <v>#VALUE!</v>
      </c>
      <c r="V292" t="str">
        <f>_xlfn.XLOOKUP(tbl_MTG_Set[[#This Row],[Type Name]], tbl_MTG_Set_Type[Set Type], tbl_MTG_Set_Type[Sell Window Month End], "(Set Type not found)", 0, 1)</f>
        <v>(Set Type not found)</v>
      </c>
      <c r="W292" s="3" t="e">
        <f>tbl_MTG_Set[[#This Row],[Released On]]+tbl_MTG_Set[[#This Row],[Sell Window Month End]]*365.25/12</f>
        <v>#VALUE!</v>
      </c>
      <c r="X292" s="3" t="e">
        <f ca="1">AND(NOW()&gt;=tbl_MTG_Set[[#This Row],[Sell Window Start]], NOW()&lt;=tbl_MTG_Set[[#This Row],[Sell Window End]])</f>
        <v>#VALUE!</v>
      </c>
      <c r="AG292" s="10"/>
      <c r="AH292" s="10"/>
      <c r="AM292" s="10" t="str" cm="1">
        <f t="array" ref="AM2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2" s="10" t="str" cm="1">
        <f t="array" ref="AN2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2" s="4" t="e">
        <f>_xlfn.XLOOKUP(tbl_MTG_Set[[#This Row],[Play Booster Box Product Id]], tbl_Product[Product Id], tbl_Product[Pack Size])</f>
        <v>#N/A</v>
      </c>
      <c r="AP292" s="10" t="e">
        <f>(tbl_MTG_Set[[#This Row],[Play Booster Box Cost]]+v_Item_Shipping_Cost_In)/tbl_MTG_Set[[#This Row],[Play Booster Box Size]]</f>
        <v>#VALUE!</v>
      </c>
      <c r="AQ292" s="10" t="str" cm="1">
        <f t="array" ref="AQ2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2" s="10"/>
      <c r="AS292" s="10"/>
      <c r="AT292" s="17" t="e">
        <f>tbl_MTG_Set[[#This Row],[Play Booster CardMarket Profit]]/tbl_MTG_Set[[#This Row],[Play Booster Cost]]</f>
        <v>#VALUE!</v>
      </c>
      <c r="AU292" s="10" t="e">
        <f>_xlfn.XLOOKUP(tbl_MTG_Set[[#This Row],[Collector Booster Box Product Id]], tbl_Product[Product Id], tbl_Product[Min Cost])</f>
        <v>#N/A</v>
      </c>
      <c r="AV292" s="10" t="e">
        <f>_xlfn.XLOOKUP(tbl_MTG_Set[[#This Row],[Collector Booster Box Product Id]], tbl_Product[Product Id], tbl_Product[Best Source])</f>
        <v>#N/A</v>
      </c>
      <c r="AW292" s="4" t="e">
        <f>_xlfn.XLOOKUP(tbl_MTG_Set[[#This Row],[Collector Booster Box Product Id]], tbl_Product[Product Id], tbl_Product[Pack Size])</f>
        <v>#N/A</v>
      </c>
      <c r="AX292" s="10" t="e">
        <f>(tbl_MTG_Set[[#This Row],[Collector Booster Box Cost]] + v_Item_Shipping_Cost_In) / tbl_MTG_Set[[#This Row],[Collector Booster Box Size]]</f>
        <v>#N/A</v>
      </c>
      <c r="AY292" s="10" t="str" cm="1">
        <f t="array" ref="AY2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2" s="10"/>
      <c r="BA2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2" s="17" t="e">
        <f>tbl_MTG_Set[[#This Row],[Collector Booster CardMarket Profit]]/tbl_MTG_Set[[#This Row],[Collector Booster Cost]]</f>
        <v>#N/A</v>
      </c>
      <c r="BC292" s="10"/>
      <c r="BF2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2" s="11" t="e">
        <f>tbl_MTG_Set[[#This Row],[Play Singles CardMarket Profit MTG Stocks]]/tbl_MTG_Set[[#This Row],[Play Booster Cost]]</f>
        <v>#VALUE!</v>
      </c>
      <c r="BI292" s="11" t="b">
        <f>tbl_MTG_Set[[#This Row],[Play Singles CardMarket Profit MTG Stocks]]&gt;0</f>
        <v>0</v>
      </c>
      <c r="BM292" s="10" t="e">
        <f>tbl_MTG_Set[[#This Row],[Play Booster Sell Price CardMarket]]*tbl_MTG_Set[[#This Row],[Play Booster Expected Market Value BotBox]]/tbl_MTG_Set[[#This Row],[Play Booster Sealed Market Value BotBox]]</f>
        <v>#VALUE!</v>
      </c>
      <c r="BN2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2" s="10" t="e">
        <f>tbl_MTG_Set[[#This Row],[Play Singles CardMarket Profit BotBox]]/tbl_MTG_Set[[#This Row],[Play Booster Cost]]</f>
        <v>#VALUE!</v>
      </c>
      <c r="BP292" s="10" t="b">
        <f>tbl_MTG_Set[[#This Row],[Play Singles CardMarket Profit BotBox]]&gt;0</f>
        <v>0</v>
      </c>
      <c r="BQ292" s="10"/>
      <c r="BR292" s="10"/>
      <c r="BS292" s="10"/>
      <c r="BT2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2" s="19" t="e">
        <f>tbl_MTG_Set[[#This Row],[Collector Singles CardMarket Profit MTG Stocks]]/tbl_MTG_Set[[#This Row],[Collector Booster Cost]]</f>
        <v>#N/A</v>
      </c>
      <c r="BW292" s="10" t="b">
        <f>tbl_MTG_Set[[#This Row],[Collector Singles CardMarket Profit MTG Stocks]]&gt;0</f>
        <v>0</v>
      </c>
      <c r="BX292" s="10"/>
      <c r="BY292" s="10"/>
      <c r="BZ2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2" s="10" t="e">
        <f>tbl_MTG_Set[[#This Row],[Collector Singles CardMarket Profit BotBox]]/tbl_MTG_Set[[#This Row],[Collector Booster Cost]]</f>
        <v>#N/A</v>
      </c>
      <c r="CC292" s="10" t="b">
        <f>tbl_MTG_Set[[#This Row],[Collector Singles CardMarket Profit BotBox]]&gt;0</f>
        <v>0</v>
      </c>
      <c r="CD2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3" spans="1:86" hidden="1">
      <c r="A293">
        <v>318</v>
      </c>
      <c r="B293" t="s">
        <v>466</v>
      </c>
      <c r="C293">
        <v>3</v>
      </c>
      <c r="D293" s="3">
        <v>44463</v>
      </c>
      <c r="E293" t="s">
        <v>59</v>
      </c>
      <c r="F293" t="s">
        <v>174</v>
      </c>
      <c r="G293">
        <v>582</v>
      </c>
      <c r="H293">
        <f ca="1">MONTH(NOW())+12*YEAR(NOW())-MONTH(tbl_MTG_Set[[#This Row],[Released On]])-12*YEAR(tbl_MTG_Set[[#This Row],[Released On]])</f>
        <v>54</v>
      </c>
      <c r="I293">
        <f>_xlfn.XLOOKUP(tbl_MTG_Set[[#This Row],[Type Name]], tbl_MTG_Set_Type[Set Type], tbl_MTG_Set_Type[Index], "(Set Type not found)")</f>
        <v>1</v>
      </c>
      <c r="J293">
        <f>_xlfn.XLOOKUP(tbl_MTG_Set[[#This Row],[Type Name]], tbl_MTG_Set_Type[Set Type], tbl_MTG_Set_Type[Buy Window Month Start], "(Set Type not found)")</f>
        <v>18</v>
      </c>
      <c r="K293" s="3">
        <f>tbl_MTG_Set[[#This Row],[Released On]]+tbl_MTG_Set[[#This Row],[Buy Window Month Start]]*365.25/12</f>
        <v>45010.875</v>
      </c>
      <c r="L293">
        <f>_xlfn.XLOOKUP(tbl_MTG_Set[[#This Row],[Type Name]], tbl_MTG_Set_Type[Set Type], tbl_MTG_Set_Type[Buy Window Month End], "(Set Type not found)", 0, 1)</f>
        <v>24</v>
      </c>
      <c r="M293" s="3">
        <f>tbl_MTG_Set[[#This Row],[Released On]]+tbl_MTG_Set[[#This Row],[Buy Window Month End]]*365.25/12</f>
        <v>45193.5</v>
      </c>
      <c r="N293" s="3" t="b">
        <f ca="1">AND(NOW()&gt;=tbl_MTG_Set[[#This Row],[Buy Window Start]], NOW()&lt;=tbl_MTG_Set[[#This Row],[Buy Window End]])</f>
        <v>0</v>
      </c>
      <c r="O293">
        <f>_xlfn.XLOOKUP(tbl_MTG_Set[[#This Row],[Type Name]], tbl_MTG_Set_Type[Set Type], tbl_MTG_Set_Type[Heavy Printing Window Month Start], "(Set Type not found)", 0, 1)</f>
        <v>1</v>
      </c>
      <c r="P293" s="3">
        <f>tbl_MTG_Set[[#This Row],[Released On]]+tbl_MTG_Set[[#This Row],[Heavy Printing Window Month Start]]*365.25/12</f>
        <v>44493.4375</v>
      </c>
      <c r="Q293">
        <f>_xlfn.XLOOKUP(tbl_MTG_Set[[#This Row],[Type Name]], tbl_MTG_Set_Type[Set Type], tbl_MTG_Set_Type[Heavy Printing Window Month End], "(Set Type not found)", 0, 1)</f>
        <v>18</v>
      </c>
      <c r="R293" s="3">
        <f>tbl_MTG_Set[[#This Row],[Released On]]+tbl_MTG_Set[[#This Row],[Heavy Printing Window Month End]]*365.25/12</f>
        <v>45010.875</v>
      </c>
      <c r="S293" s="3" t="b">
        <f ca="1">AND(NOW()&gt;=tbl_MTG_Set[[#This Row],[Heavy Printing Window Start]], NOW()&lt;=tbl_MTG_Set[[#This Row],[Heavy Printing Window End]])</f>
        <v>0</v>
      </c>
      <c r="T293">
        <f>_xlfn.XLOOKUP(tbl_MTG_Set[[#This Row],[Type Name]], tbl_MTG_Set_Type[Set Type], tbl_MTG_Set_Type[Sell Window Month Start], "(Set Type not found)", 0, 1)</f>
        <v>36</v>
      </c>
      <c r="U293" s="3">
        <f>tbl_MTG_Set[[#This Row],[Released On]]+tbl_MTG_Set[[#This Row],[Sell Window Month Start]]*365.25/12</f>
        <v>45558.75</v>
      </c>
      <c r="V293">
        <f>_xlfn.XLOOKUP(tbl_MTG_Set[[#This Row],[Type Name]], tbl_MTG_Set_Type[Set Type], tbl_MTG_Set_Type[Sell Window Month End], "(Set Type not found)", 0, 1)</f>
        <v>48</v>
      </c>
      <c r="W293" s="3">
        <f>tbl_MTG_Set[[#This Row],[Released On]]+tbl_MTG_Set[[#This Row],[Sell Window Month End]]*365.25/12</f>
        <v>45924</v>
      </c>
      <c r="X293" s="3" t="b">
        <f ca="1">AND(NOW()&gt;=tbl_MTG_Set[[#This Row],[Sell Window Start]], NOW()&lt;=tbl_MTG_Set[[#This Row],[Sell Window End]])</f>
        <v>0</v>
      </c>
      <c r="AG293" s="10"/>
      <c r="AH293" s="10"/>
      <c r="AM293" s="10" t="str" cm="1">
        <f t="array" ref="AM2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3" s="10" t="str" cm="1">
        <f t="array" ref="AN2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3" s="4" t="e">
        <f>_xlfn.XLOOKUP(tbl_MTG_Set[[#This Row],[Play Booster Box Product Id]], tbl_Product[Product Id], tbl_Product[Pack Size])</f>
        <v>#N/A</v>
      </c>
      <c r="AP293" s="10" t="e">
        <f>(tbl_MTG_Set[[#This Row],[Play Booster Box Cost]]+v_Item_Shipping_Cost_In)/tbl_MTG_Set[[#This Row],[Play Booster Box Size]]</f>
        <v>#VALUE!</v>
      </c>
      <c r="AQ293" s="10" t="str" cm="1">
        <f t="array" ref="AQ2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3" s="10"/>
      <c r="AS293" s="10"/>
      <c r="AT293" s="17" t="e">
        <f>tbl_MTG_Set[[#This Row],[Play Booster CardMarket Profit]]/tbl_MTG_Set[[#This Row],[Play Booster Cost]]</f>
        <v>#VALUE!</v>
      </c>
      <c r="AU293" s="10" t="e">
        <f>_xlfn.XLOOKUP(tbl_MTG_Set[[#This Row],[Collector Booster Box Product Id]], tbl_Product[Product Id], tbl_Product[Min Cost])</f>
        <v>#N/A</v>
      </c>
      <c r="AV293" s="10" t="e">
        <f>_xlfn.XLOOKUP(tbl_MTG_Set[[#This Row],[Collector Booster Box Product Id]], tbl_Product[Product Id], tbl_Product[Best Source])</f>
        <v>#N/A</v>
      </c>
      <c r="AW293" s="4" t="e">
        <f>_xlfn.XLOOKUP(tbl_MTG_Set[[#This Row],[Collector Booster Box Product Id]], tbl_Product[Product Id], tbl_Product[Pack Size])</f>
        <v>#N/A</v>
      </c>
      <c r="AX293" s="10" t="e">
        <f>(tbl_MTG_Set[[#This Row],[Collector Booster Box Cost]] + v_Item_Shipping_Cost_In) / tbl_MTG_Set[[#This Row],[Collector Booster Box Size]]</f>
        <v>#N/A</v>
      </c>
      <c r="AY293" s="10" t="str" cm="1">
        <f t="array" ref="AY2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3" s="10"/>
      <c r="BA2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3" s="17" t="e">
        <f>tbl_MTG_Set[[#This Row],[Collector Booster CardMarket Profit]]/tbl_MTG_Set[[#This Row],[Collector Booster Cost]]</f>
        <v>#N/A</v>
      </c>
      <c r="BC293" s="10"/>
      <c r="BF2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3" s="11" t="e">
        <f>tbl_MTG_Set[[#This Row],[Play Singles CardMarket Profit MTG Stocks]]/tbl_MTG_Set[[#This Row],[Play Booster Cost]]</f>
        <v>#VALUE!</v>
      </c>
      <c r="BI293" s="11" t="b">
        <f>tbl_MTG_Set[[#This Row],[Play Singles CardMarket Profit MTG Stocks]]&gt;0</f>
        <v>0</v>
      </c>
      <c r="BM293" s="10" t="e">
        <f>tbl_MTG_Set[[#This Row],[Play Booster Sell Price CardMarket]]*tbl_MTG_Set[[#This Row],[Play Booster Expected Market Value BotBox]]/tbl_MTG_Set[[#This Row],[Play Booster Sealed Market Value BotBox]]</f>
        <v>#VALUE!</v>
      </c>
      <c r="BN2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3" s="10" t="e">
        <f>tbl_MTG_Set[[#This Row],[Play Singles CardMarket Profit BotBox]]/tbl_MTG_Set[[#This Row],[Play Booster Cost]]</f>
        <v>#VALUE!</v>
      </c>
      <c r="BP293" s="10" t="b">
        <f>tbl_MTG_Set[[#This Row],[Play Singles CardMarket Profit BotBox]]&gt;0</f>
        <v>0</v>
      </c>
      <c r="BQ293" s="10"/>
      <c r="BR293" s="10"/>
      <c r="BS293" s="10"/>
      <c r="BT2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3" s="19" t="e">
        <f>tbl_MTG_Set[[#This Row],[Collector Singles CardMarket Profit MTG Stocks]]/tbl_MTG_Set[[#This Row],[Collector Booster Cost]]</f>
        <v>#N/A</v>
      </c>
      <c r="BW293" s="10" t="b">
        <f>tbl_MTG_Set[[#This Row],[Collector Singles CardMarket Profit MTG Stocks]]&gt;0</f>
        <v>0</v>
      </c>
      <c r="BX293" s="10"/>
      <c r="BY293" s="10"/>
      <c r="BZ2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3" s="10" t="e">
        <f>tbl_MTG_Set[[#This Row],[Collector Singles CardMarket Profit BotBox]]/tbl_MTG_Set[[#This Row],[Collector Booster Cost]]</f>
        <v>#N/A</v>
      </c>
      <c r="CC293" s="10" t="b">
        <f>tbl_MTG_Set[[#This Row],[Collector Singles CardMarket Profit BotBox]]&gt;0</f>
        <v>0</v>
      </c>
      <c r="CD2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4" spans="1:86" hidden="1">
      <c r="A294">
        <v>319</v>
      </c>
      <c r="B294" t="s">
        <v>467</v>
      </c>
      <c r="C294">
        <v>389</v>
      </c>
      <c r="D294" s="3">
        <v>44434</v>
      </c>
      <c r="F294" t="s">
        <v>174</v>
      </c>
      <c r="G294">
        <v>584</v>
      </c>
      <c r="H294">
        <f ca="1">MONTH(NOW())+12*YEAR(NOW())-MONTH(tbl_MTG_Set[[#This Row],[Released On]])-12*YEAR(tbl_MTG_Set[[#This Row],[Released On]])</f>
        <v>55</v>
      </c>
      <c r="I294" t="str">
        <f>_xlfn.XLOOKUP(tbl_MTG_Set[[#This Row],[Type Name]], tbl_MTG_Set_Type[Set Type], tbl_MTG_Set_Type[Index], "(Set Type not found)")</f>
        <v>(Set Type not found)</v>
      </c>
      <c r="J294" t="str">
        <f>_xlfn.XLOOKUP(tbl_MTG_Set[[#This Row],[Type Name]], tbl_MTG_Set_Type[Set Type], tbl_MTG_Set_Type[Buy Window Month Start], "(Set Type not found)")</f>
        <v>(Set Type not found)</v>
      </c>
      <c r="K294" s="3" t="e">
        <f>tbl_MTG_Set[[#This Row],[Released On]]+tbl_MTG_Set[[#This Row],[Buy Window Month Start]]*365.25/12</f>
        <v>#VALUE!</v>
      </c>
      <c r="L294" t="str">
        <f>_xlfn.XLOOKUP(tbl_MTG_Set[[#This Row],[Type Name]], tbl_MTG_Set_Type[Set Type], tbl_MTG_Set_Type[Buy Window Month End], "(Set Type not found)", 0, 1)</f>
        <v>(Set Type not found)</v>
      </c>
      <c r="M294" s="3" t="e">
        <f>tbl_MTG_Set[[#This Row],[Released On]]+tbl_MTG_Set[[#This Row],[Buy Window Month End]]*365.25/12</f>
        <v>#VALUE!</v>
      </c>
      <c r="N294" s="3" t="e">
        <f ca="1">AND(NOW()&gt;=tbl_MTG_Set[[#This Row],[Buy Window Start]], NOW()&lt;=tbl_MTG_Set[[#This Row],[Buy Window End]])</f>
        <v>#VALUE!</v>
      </c>
      <c r="O294" t="str">
        <f>_xlfn.XLOOKUP(tbl_MTG_Set[[#This Row],[Type Name]], tbl_MTG_Set_Type[Set Type], tbl_MTG_Set_Type[Heavy Printing Window Month Start], "(Set Type not found)", 0, 1)</f>
        <v>(Set Type not found)</v>
      </c>
      <c r="P294" s="3" t="e">
        <f>tbl_MTG_Set[[#This Row],[Released On]]+tbl_MTG_Set[[#This Row],[Heavy Printing Window Month Start]]*365.25/12</f>
        <v>#VALUE!</v>
      </c>
      <c r="Q294" t="str">
        <f>_xlfn.XLOOKUP(tbl_MTG_Set[[#This Row],[Type Name]], tbl_MTG_Set_Type[Set Type], tbl_MTG_Set_Type[Heavy Printing Window Month End], "(Set Type not found)", 0, 1)</f>
        <v>(Set Type not found)</v>
      </c>
      <c r="R294" s="3" t="e">
        <f>tbl_MTG_Set[[#This Row],[Released On]]+tbl_MTG_Set[[#This Row],[Heavy Printing Window Month End]]*365.25/12</f>
        <v>#VALUE!</v>
      </c>
      <c r="S294" s="3" t="e">
        <f ca="1">AND(NOW()&gt;=tbl_MTG_Set[[#This Row],[Heavy Printing Window Start]], NOW()&lt;=tbl_MTG_Set[[#This Row],[Heavy Printing Window End]])</f>
        <v>#VALUE!</v>
      </c>
      <c r="T294" t="str">
        <f>_xlfn.XLOOKUP(tbl_MTG_Set[[#This Row],[Type Name]], tbl_MTG_Set_Type[Set Type], tbl_MTG_Set_Type[Sell Window Month Start], "(Set Type not found)", 0, 1)</f>
        <v>(Set Type not found)</v>
      </c>
      <c r="U294" s="3" t="e">
        <f>tbl_MTG_Set[[#This Row],[Released On]]+tbl_MTG_Set[[#This Row],[Sell Window Month Start]]*365.25/12</f>
        <v>#VALUE!</v>
      </c>
      <c r="V294" t="str">
        <f>_xlfn.XLOOKUP(tbl_MTG_Set[[#This Row],[Type Name]], tbl_MTG_Set_Type[Set Type], tbl_MTG_Set_Type[Sell Window Month End], "(Set Type not found)", 0, 1)</f>
        <v>(Set Type not found)</v>
      </c>
      <c r="W294" s="3" t="e">
        <f>tbl_MTG_Set[[#This Row],[Released On]]+tbl_MTG_Set[[#This Row],[Sell Window Month End]]*365.25/12</f>
        <v>#VALUE!</v>
      </c>
      <c r="X294" s="3" t="e">
        <f ca="1">AND(NOW()&gt;=tbl_MTG_Set[[#This Row],[Sell Window Start]], NOW()&lt;=tbl_MTG_Set[[#This Row],[Sell Window End]])</f>
        <v>#VALUE!</v>
      </c>
      <c r="AG294" s="10"/>
      <c r="AH294" s="10"/>
      <c r="AM294" s="10" t="str" cm="1">
        <f t="array" ref="AM2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4" s="10" t="str" cm="1">
        <f t="array" ref="AN2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4" s="4" t="e">
        <f>_xlfn.XLOOKUP(tbl_MTG_Set[[#This Row],[Play Booster Box Product Id]], tbl_Product[Product Id], tbl_Product[Pack Size])</f>
        <v>#N/A</v>
      </c>
      <c r="AP294" s="10" t="e">
        <f>(tbl_MTG_Set[[#This Row],[Play Booster Box Cost]]+v_Item_Shipping_Cost_In)/tbl_MTG_Set[[#This Row],[Play Booster Box Size]]</f>
        <v>#VALUE!</v>
      </c>
      <c r="AQ294" s="10" t="str" cm="1">
        <f t="array" ref="AQ2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4" s="10"/>
      <c r="AS294" s="10"/>
      <c r="AT294" s="17" t="e">
        <f>tbl_MTG_Set[[#This Row],[Play Booster CardMarket Profit]]/tbl_MTG_Set[[#This Row],[Play Booster Cost]]</f>
        <v>#VALUE!</v>
      </c>
      <c r="AU294" s="10" t="e">
        <f>_xlfn.XLOOKUP(tbl_MTG_Set[[#This Row],[Collector Booster Box Product Id]], tbl_Product[Product Id], tbl_Product[Min Cost])</f>
        <v>#N/A</v>
      </c>
      <c r="AV294" s="10" t="e">
        <f>_xlfn.XLOOKUP(tbl_MTG_Set[[#This Row],[Collector Booster Box Product Id]], tbl_Product[Product Id], tbl_Product[Best Source])</f>
        <v>#N/A</v>
      </c>
      <c r="AW294" s="4" t="e">
        <f>_xlfn.XLOOKUP(tbl_MTG_Set[[#This Row],[Collector Booster Box Product Id]], tbl_Product[Product Id], tbl_Product[Pack Size])</f>
        <v>#N/A</v>
      </c>
      <c r="AX294" s="10" t="e">
        <f>(tbl_MTG_Set[[#This Row],[Collector Booster Box Cost]] + v_Item_Shipping_Cost_In) / tbl_MTG_Set[[#This Row],[Collector Booster Box Size]]</f>
        <v>#N/A</v>
      </c>
      <c r="AY294" s="10" t="str" cm="1">
        <f t="array" ref="AY2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4" s="10"/>
      <c r="BA2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4" s="17" t="e">
        <f>tbl_MTG_Set[[#This Row],[Collector Booster CardMarket Profit]]/tbl_MTG_Set[[#This Row],[Collector Booster Cost]]</f>
        <v>#N/A</v>
      </c>
      <c r="BC294" s="10"/>
      <c r="BF2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4" s="11" t="e">
        <f>tbl_MTG_Set[[#This Row],[Play Singles CardMarket Profit MTG Stocks]]/tbl_MTG_Set[[#This Row],[Play Booster Cost]]</f>
        <v>#VALUE!</v>
      </c>
      <c r="BI294" s="11" t="b">
        <f>tbl_MTG_Set[[#This Row],[Play Singles CardMarket Profit MTG Stocks]]&gt;0</f>
        <v>0</v>
      </c>
      <c r="BM294" s="10" t="e">
        <f>tbl_MTG_Set[[#This Row],[Play Booster Sell Price CardMarket]]*tbl_MTG_Set[[#This Row],[Play Booster Expected Market Value BotBox]]/tbl_MTG_Set[[#This Row],[Play Booster Sealed Market Value BotBox]]</f>
        <v>#VALUE!</v>
      </c>
      <c r="BN2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4" s="10" t="e">
        <f>tbl_MTG_Set[[#This Row],[Play Singles CardMarket Profit BotBox]]/tbl_MTG_Set[[#This Row],[Play Booster Cost]]</f>
        <v>#VALUE!</v>
      </c>
      <c r="BP294" s="10" t="b">
        <f>tbl_MTG_Set[[#This Row],[Play Singles CardMarket Profit BotBox]]&gt;0</f>
        <v>0</v>
      </c>
      <c r="BQ294" s="10"/>
      <c r="BR294" s="10"/>
      <c r="BS294" s="10"/>
      <c r="BT2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4" s="19" t="e">
        <f>tbl_MTG_Set[[#This Row],[Collector Singles CardMarket Profit MTG Stocks]]/tbl_MTG_Set[[#This Row],[Collector Booster Cost]]</f>
        <v>#N/A</v>
      </c>
      <c r="BW294" s="10" t="b">
        <f>tbl_MTG_Set[[#This Row],[Collector Singles CardMarket Profit MTG Stocks]]&gt;0</f>
        <v>0</v>
      </c>
      <c r="BX294" s="10"/>
      <c r="BY294" s="10"/>
      <c r="BZ2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4" s="10" t="e">
        <f>tbl_MTG_Set[[#This Row],[Collector Singles CardMarket Profit BotBox]]/tbl_MTG_Set[[#This Row],[Collector Booster Cost]]</f>
        <v>#N/A</v>
      </c>
      <c r="CC294" s="10" t="b">
        <f>tbl_MTG_Set[[#This Row],[Collector Singles CardMarket Profit BotBox]]&gt;0</f>
        <v>0</v>
      </c>
      <c r="CD2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5" spans="1:86" hidden="1">
      <c r="A295">
        <v>320</v>
      </c>
      <c r="B295" t="s">
        <v>468</v>
      </c>
      <c r="C295">
        <v>121</v>
      </c>
      <c r="D295" s="3">
        <v>44428</v>
      </c>
      <c r="F295" t="s">
        <v>174</v>
      </c>
      <c r="G295">
        <v>586</v>
      </c>
      <c r="H295">
        <f ca="1">MONTH(NOW())+12*YEAR(NOW())-MONTH(tbl_MTG_Set[[#This Row],[Released On]])-12*YEAR(tbl_MTG_Set[[#This Row],[Released On]])</f>
        <v>55</v>
      </c>
      <c r="I295" t="str">
        <f>_xlfn.XLOOKUP(tbl_MTG_Set[[#This Row],[Type Name]], tbl_MTG_Set_Type[Set Type], tbl_MTG_Set_Type[Index], "(Set Type not found)")</f>
        <v>(Set Type not found)</v>
      </c>
      <c r="J295" t="str">
        <f>_xlfn.XLOOKUP(tbl_MTG_Set[[#This Row],[Type Name]], tbl_MTG_Set_Type[Set Type], tbl_MTG_Set_Type[Buy Window Month Start], "(Set Type not found)")</f>
        <v>(Set Type not found)</v>
      </c>
      <c r="K295" s="3" t="e">
        <f>tbl_MTG_Set[[#This Row],[Released On]]+tbl_MTG_Set[[#This Row],[Buy Window Month Start]]*365.25/12</f>
        <v>#VALUE!</v>
      </c>
      <c r="L295" t="str">
        <f>_xlfn.XLOOKUP(tbl_MTG_Set[[#This Row],[Type Name]], tbl_MTG_Set_Type[Set Type], tbl_MTG_Set_Type[Buy Window Month End], "(Set Type not found)", 0, 1)</f>
        <v>(Set Type not found)</v>
      </c>
      <c r="M295" s="3" t="e">
        <f>tbl_MTG_Set[[#This Row],[Released On]]+tbl_MTG_Set[[#This Row],[Buy Window Month End]]*365.25/12</f>
        <v>#VALUE!</v>
      </c>
      <c r="N295" s="3" t="e">
        <f ca="1">AND(NOW()&gt;=tbl_MTG_Set[[#This Row],[Buy Window Start]], NOW()&lt;=tbl_MTG_Set[[#This Row],[Buy Window End]])</f>
        <v>#VALUE!</v>
      </c>
      <c r="O295" t="str">
        <f>_xlfn.XLOOKUP(tbl_MTG_Set[[#This Row],[Type Name]], tbl_MTG_Set_Type[Set Type], tbl_MTG_Set_Type[Heavy Printing Window Month Start], "(Set Type not found)", 0, 1)</f>
        <v>(Set Type not found)</v>
      </c>
      <c r="P295" s="3" t="e">
        <f>tbl_MTG_Set[[#This Row],[Released On]]+tbl_MTG_Set[[#This Row],[Heavy Printing Window Month Start]]*365.25/12</f>
        <v>#VALUE!</v>
      </c>
      <c r="Q295" t="str">
        <f>_xlfn.XLOOKUP(tbl_MTG_Set[[#This Row],[Type Name]], tbl_MTG_Set_Type[Set Type], tbl_MTG_Set_Type[Heavy Printing Window Month End], "(Set Type not found)", 0, 1)</f>
        <v>(Set Type not found)</v>
      </c>
      <c r="R295" s="3" t="e">
        <f>tbl_MTG_Set[[#This Row],[Released On]]+tbl_MTG_Set[[#This Row],[Heavy Printing Window Month End]]*365.25/12</f>
        <v>#VALUE!</v>
      </c>
      <c r="S295" s="3" t="e">
        <f ca="1">AND(NOW()&gt;=tbl_MTG_Set[[#This Row],[Heavy Printing Window Start]], NOW()&lt;=tbl_MTG_Set[[#This Row],[Heavy Printing Window End]])</f>
        <v>#VALUE!</v>
      </c>
      <c r="T295" t="str">
        <f>_xlfn.XLOOKUP(tbl_MTG_Set[[#This Row],[Type Name]], tbl_MTG_Set_Type[Set Type], tbl_MTG_Set_Type[Sell Window Month Start], "(Set Type not found)", 0, 1)</f>
        <v>(Set Type not found)</v>
      </c>
      <c r="U295" s="3" t="e">
        <f>tbl_MTG_Set[[#This Row],[Released On]]+tbl_MTG_Set[[#This Row],[Sell Window Month Start]]*365.25/12</f>
        <v>#VALUE!</v>
      </c>
      <c r="V295" t="str">
        <f>_xlfn.XLOOKUP(tbl_MTG_Set[[#This Row],[Type Name]], tbl_MTG_Set_Type[Set Type], tbl_MTG_Set_Type[Sell Window Month End], "(Set Type not found)", 0, 1)</f>
        <v>(Set Type not found)</v>
      </c>
      <c r="W295" s="3" t="e">
        <f>tbl_MTG_Set[[#This Row],[Released On]]+tbl_MTG_Set[[#This Row],[Sell Window Month End]]*365.25/12</f>
        <v>#VALUE!</v>
      </c>
      <c r="X295" s="3" t="e">
        <f ca="1">AND(NOW()&gt;=tbl_MTG_Set[[#This Row],[Sell Window Start]], NOW()&lt;=tbl_MTG_Set[[#This Row],[Sell Window End]])</f>
        <v>#VALUE!</v>
      </c>
      <c r="AG295" s="10"/>
      <c r="AH295" s="10"/>
      <c r="AM295" s="10" t="str" cm="1">
        <f t="array" ref="AM2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5" s="10" t="str" cm="1">
        <f t="array" ref="AN2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5" s="4" t="e">
        <f>_xlfn.XLOOKUP(tbl_MTG_Set[[#This Row],[Play Booster Box Product Id]], tbl_Product[Product Id], tbl_Product[Pack Size])</f>
        <v>#N/A</v>
      </c>
      <c r="AP295" s="10" t="e">
        <f>(tbl_MTG_Set[[#This Row],[Play Booster Box Cost]]+v_Item_Shipping_Cost_In)/tbl_MTG_Set[[#This Row],[Play Booster Box Size]]</f>
        <v>#VALUE!</v>
      </c>
      <c r="AQ295" s="10" t="str" cm="1">
        <f t="array" ref="AQ2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5" s="10"/>
      <c r="AS295" s="10"/>
      <c r="AT295" s="17" t="e">
        <f>tbl_MTG_Set[[#This Row],[Play Booster CardMarket Profit]]/tbl_MTG_Set[[#This Row],[Play Booster Cost]]</f>
        <v>#VALUE!</v>
      </c>
      <c r="AU295" s="10" t="e">
        <f>_xlfn.XLOOKUP(tbl_MTG_Set[[#This Row],[Collector Booster Box Product Id]], tbl_Product[Product Id], tbl_Product[Min Cost])</f>
        <v>#N/A</v>
      </c>
      <c r="AV295" s="10" t="e">
        <f>_xlfn.XLOOKUP(tbl_MTG_Set[[#This Row],[Collector Booster Box Product Id]], tbl_Product[Product Id], tbl_Product[Best Source])</f>
        <v>#N/A</v>
      </c>
      <c r="AW295" s="4" t="e">
        <f>_xlfn.XLOOKUP(tbl_MTG_Set[[#This Row],[Collector Booster Box Product Id]], tbl_Product[Product Id], tbl_Product[Pack Size])</f>
        <v>#N/A</v>
      </c>
      <c r="AX295" s="10" t="e">
        <f>(tbl_MTG_Set[[#This Row],[Collector Booster Box Cost]] + v_Item_Shipping_Cost_In) / tbl_MTG_Set[[#This Row],[Collector Booster Box Size]]</f>
        <v>#N/A</v>
      </c>
      <c r="AY295" s="10" t="str" cm="1">
        <f t="array" ref="AY2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5" s="10"/>
      <c r="BA2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5" s="17" t="e">
        <f>tbl_MTG_Set[[#This Row],[Collector Booster CardMarket Profit]]/tbl_MTG_Set[[#This Row],[Collector Booster Cost]]</f>
        <v>#N/A</v>
      </c>
      <c r="BC295" s="10"/>
      <c r="BF2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5" s="11" t="e">
        <f>tbl_MTG_Set[[#This Row],[Play Singles CardMarket Profit MTG Stocks]]/tbl_MTG_Set[[#This Row],[Play Booster Cost]]</f>
        <v>#VALUE!</v>
      </c>
      <c r="BI295" s="11" t="b">
        <f>tbl_MTG_Set[[#This Row],[Play Singles CardMarket Profit MTG Stocks]]&gt;0</f>
        <v>0</v>
      </c>
      <c r="BM295" s="10" t="e">
        <f>tbl_MTG_Set[[#This Row],[Play Booster Sell Price CardMarket]]*tbl_MTG_Set[[#This Row],[Play Booster Expected Market Value BotBox]]/tbl_MTG_Set[[#This Row],[Play Booster Sealed Market Value BotBox]]</f>
        <v>#VALUE!</v>
      </c>
      <c r="BN2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5" s="10" t="e">
        <f>tbl_MTG_Set[[#This Row],[Play Singles CardMarket Profit BotBox]]/tbl_MTG_Set[[#This Row],[Play Booster Cost]]</f>
        <v>#VALUE!</v>
      </c>
      <c r="BP295" s="10" t="b">
        <f>tbl_MTG_Set[[#This Row],[Play Singles CardMarket Profit BotBox]]&gt;0</f>
        <v>0</v>
      </c>
      <c r="BQ295" s="10"/>
      <c r="BR295" s="10"/>
      <c r="BS295" s="10"/>
      <c r="BT2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5" s="19" t="e">
        <f>tbl_MTG_Set[[#This Row],[Collector Singles CardMarket Profit MTG Stocks]]/tbl_MTG_Set[[#This Row],[Collector Booster Cost]]</f>
        <v>#N/A</v>
      </c>
      <c r="BW295" s="10" t="b">
        <f>tbl_MTG_Set[[#This Row],[Collector Singles CardMarket Profit MTG Stocks]]&gt;0</f>
        <v>0</v>
      </c>
      <c r="BX295" s="10"/>
      <c r="BY295" s="10"/>
      <c r="BZ2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5" s="10" t="e">
        <f>tbl_MTG_Set[[#This Row],[Collector Singles CardMarket Profit BotBox]]/tbl_MTG_Set[[#This Row],[Collector Booster Cost]]</f>
        <v>#N/A</v>
      </c>
      <c r="CC295" s="10" t="b">
        <f>tbl_MTG_Set[[#This Row],[Collector Singles CardMarket Profit BotBox]]&gt;0</f>
        <v>0</v>
      </c>
      <c r="CD2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6" spans="1:86" hidden="1">
      <c r="A296">
        <v>321</v>
      </c>
      <c r="B296" t="s">
        <v>469</v>
      </c>
      <c r="C296">
        <v>3</v>
      </c>
      <c r="D296" s="3">
        <v>44409</v>
      </c>
      <c r="F296" t="s">
        <v>174</v>
      </c>
      <c r="G296">
        <v>588</v>
      </c>
      <c r="H296">
        <f ca="1">MONTH(NOW())+12*YEAR(NOW())-MONTH(tbl_MTG_Set[[#This Row],[Released On]])-12*YEAR(tbl_MTG_Set[[#This Row],[Released On]])</f>
        <v>55</v>
      </c>
      <c r="I296" t="str">
        <f>_xlfn.XLOOKUP(tbl_MTG_Set[[#This Row],[Type Name]], tbl_MTG_Set_Type[Set Type], tbl_MTG_Set_Type[Index], "(Set Type not found)")</f>
        <v>(Set Type not found)</v>
      </c>
      <c r="J296" t="str">
        <f>_xlfn.XLOOKUP(tbl_MTG_Set[[#This Row],[Type Name]], tbl_MTG_Set_Type[Set Type], tbl_MTG_Set_Type[Buy Window Month Start], "(Set Type not found)")</f>
        <v>(Set Type not found)</v>
      </c>
      <c r="K296" s="3" t="e">
        <f>tbl_MTG_Set[[#This Row],[Released On]]+tbl_MTG_Set[[#This Row],[Buy Window Month Start]]*365.25/12</f>
        <v>#VALUE!</v>
      </c>
      <c r="L296" t="str">
        <f>_xlfn.XLOOKUP(tbl_MTG_Set[[#This Row],[Type Name]], tbl_MTG_Set_Type[Set Type], tbl_MTG_Set_Type[Buy Window Month End], "(Set Type not found)", 0, 1)</f>
        <v>(Set Type not found)</v>
      </c>
      <c r="M296" s="3" t="e">
        <f>tbl_MTG_Set[[#This Row],[Released On]]+tbl_MTG_Set[[#This Row],[Buy Window Month End]]*365.25/12</f>
        <v>#VALUE!</v>
      </c>
      <c r="N296" s="3" t="e">
        <f ca="1">AND(NOW()&gt;=tbl_MTG_Set[[#This Row],[Buy Window Start]], NOW()&lt;=tbl_MTG_Set[[#This Row],[Buy Window End]])</f>
        <v>#VALUE!</v>
      </c>
      <c r="O296" t="str">
        <f>_xlfn.XLOOKUP(tbl_MTG_Set[[#This Row],[Type Name]], tbl_MTG_Set_Type[Set Type], tbl_MTG_Set_Type[Heavy Printing Window Month Start], "(Set Type not found)", 0, 1)</f>
        <v>(Set Type not found)</v>
      </c>
      <c r="P296" s="3" t="e">
        <f>tbl_MTG_Set[[#This Row],[Released On]]+tbl_MTG_Set[[#This Row],[Heavy Printing Window Month Start]]*365.25/12</f>
        <v>#VALUE!</v>
      </c>
      <c r="Q296" t="str">
        <f>_xlfn.XLOOKUP(tbl_MTG_Set[[#This Row],[Type Name]], tbl_MTG_Set_Type[Set Type], tbl_MTG_Set_Type[Heavy Printing Window Month End], "(Set Type not found)", 0, 1)</f>
        <v>(Set Type not found)</v>
      </c>
      <c r="R296" s="3" t="e">
        <f>tbl_MTG_Set[[#This Row],[Released On]]+tbl_MTG_Set[[#This Row],[Heavy Printing Window Month End]]*365.25/12</f>
        <v>#VALUE!</v>
      </c>
      <c r="S296" s="3" t="e">
        <f ca="1">AND(NOW()&gt;=tbl_MTG_Set[[#This Row],[Heavy Printing Window Start]], NOW()&lt;=tbl_MTG_Set[[#This Row],[Heavy Printing Window End]])</f>
        <v>#VALUE!</v>
      </c>
      <c r="T296" t="str">
        <f>_xlfn.XLOOKUP(tbl_MTG_Set[[#This Row],[Type Name]], tbl_MTG_Set_Type[Set Type], tbl_MTG_Set_Type[Sell Window Month Start], "(Set Type not found)", 0, 1)</f>
        <v>(Set Type not found)</v>
      </c>
      <c r="U296" s="3" t="e">
        <f>tbl_MTG_Set[[#This Row],[Released On]]+tbl_MTG_Set[[#This Row],[Sell Window Month Start]]*365.25/12</f>
        <v>#VALUE!</v>
      </c>
      <c r="V296" t="str">
        <f>_xlfn.XLOOKUP(tbl_MTG_Set[[#This Row],[Type Name]], tbl_MTG_Set_Type[Set Type], tbl_MTG_Set_Type[Sell Window Month End], "(Set Type not found)", 0, 1)</f>
        <v>(Set Type not found)</v>
      </c>
      <c r="W296" s="3" t="e">
        <f>tbl_MTG_Set[[#This Row],[Released On]]+tbl_MTG_Set[[#This Row],[Sell Window Month End]]*365.25/12</f>
        <v>#VALUE!</v>
      </c>
      <c r="X296" s="3" t="e">
        <f ca="1">AND(NOW()&gt;=tbl_MTG_Set[[#This Row],[Sell Window Start]], NOW()&lt;=tbl_MTG_Set[[#This Row],[Sell Window End]])</f>
        <v>#VALUE!</v>
      </c>
      <c r="AG296" s="10"/>
      <c r="AH296" s="10"/>
      <c r="AM296" s="10" t="str" cm="1">
        <f t="array" ref="AM2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6" s="10" t="str" cm="1">
        <f t="array" ref="AN2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6" s="4" t="e">
        <f>_xlfn.XLOOKUP(tbl_MTG_Set[[#This Row],[Play Booster Box Product Id]], tbl_Product[Product Id], tbl_Product[Pack Size])</f>
        <v>#N/A</v>
      </c>
      <c r="AP296" s="10" t="e">
        <f>(tbl_MTG_Set[[#This Row],[Play Booster Box Cost]]+v_Item_Shipping_Cost_In)/tbl_MTG_Set[[#This Row],[Play Booster Box Size]]</f>
        <v>#VALUE!</v>
      </c>
      <c r="AQ296" s="10" t="str" cm="1">
        <f t="array" ref="AQ2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6" s="10"/>
      <c r="AS296" s="10"/>
      <c r="AT296" s="17" t="e">
        <f>tbl_MTG_Set[[#This Row],[Play Booster CardMarket Profit]]/tbl_MTG_Set[[#This Row],[Play Booster Cost]]</f>
        <v>#VALUE!</v>
      </c>
      <c r="AU296" s="10" t="e">
        <f>_xlfn.XLOOKUP(tbl_MTG_Set[[#This Row],[Collector Booster Box Product Id]], tbl_Product[Product Id], tbl_Product[Min Cost])</f>
        <v>#N/A</v>
      </c>
      <c r="AV296" s="10" t="e">
        <f>_xlfn.XLOOKUP(tbl_MTG_Set[[#This Row],[Collector Booster Box Product Id]], tbl_Product[Product Id], tbl_Product[Best Source])</f>
        <v>#N/A</v>
      </c>
      <c r="AW296" s="4" t="e">
        <f>_xlfn.XLOOKUP(tbl_MTG_Set[[#This Row],[Collector Booster Box Product Id]], tbl_Product[Product Id], tbl_Product[Pack Size])</f>
        <v>#N/A</v>
      </c>
      <c r="AX296" s="10" t="e">
        <f>(tbl_MTG_Set[[#This Row],[Collector Booster Box Cost]] + v_Item_Shipping_Cost_In) / tbl_MTG_Set[[#This Row],[Collector Booster Box Size]]</f>
        <v>#N/A</v>
      </c>
      <c r="AY296" s="10" t="str" cm="1">
        <f t="array" ref="AY2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6" s="10"/>
      <c r="BA2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6" s="17" t="e">
        <f>tbl_MTG_Set[[#This Row],[Collector Booster CardMarket Profit]]/tbl_MTG_Set[[#This Row],[Collector Booster Cost]]</f>
        <v>#N/A</v>
      </c>
      <c r="BC296" s="10"/>
      <c r="BF2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6" s="11" t="e">
        <f>tbl_MTG_Set[[#This Row],[Play Singles CardMarket Profit MTG Stocks]]/tbl_MTG_Set[[#This Row],[Play Booster Cost]]</f>
        <v>#VALUE!</v>
      </c>
      <c r="BI296" s="11" t="b">
        <f>tbl_MTG_Set[[#This Row],[Play Singles CardMarket Profit MTG Stocks]]&gt;0</f>
        <v>0</v>
      </c>
      <c r="BM296" s="10" t="e">
        <f>tbl_MTG_Set[[#This Row],[Play Booster Sell Price CardMarket]]*tbl_MTG_Set[[#This Row],[Play Booster Expected Market Value BotBox]]/tbl_MTG_Set[[#This Row],[Play Booster Sealed Market Value BotBox]]</f>
        <v>#VALUE!</v>
      </c>
      <c r="BN2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6" s="10" t="e">
        <f>tbl_MTG_Set[[#This Row],[Play Singles CardMarket Profit BotBox]]/tbl_MTG_Set[[#This Row],[Play Booster Cost]]</f>
        <v>#VALUE!</v>
      </c>
      <c r="BP296" s="10" t="b">
        <f>tbl_MTG_Set[[#This Row],[Play Singles CardMarket Profit BotBox]]&gt;0</f>
        <v>0</v>
      </c>
      <c r="BQ296" s="10"/>
      <c r="BR296" s="10"/>
      <c r="BS296" s="10"/>
      <c r="BT2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6" s="19" t="e">
        <f>tbl_MTG_Set[[#This Row],[Collector Singles CardMarket Profit MTG Stocks]]/tbl_MTG_Set[[#This Row],[Collector Booster Cost]]</f>
        <v>#N/A</v>
      </c>
      <c r="BW296" s="10" t="b">
        <f>tbl_MTG_Set[[#This Row],[Collector Singles CardMarket Profit MTG Stocks]]&gt;0</f>
        <v>0</v>
      </c>
      <c r="BX296" s="10"/>
      <c r="BY296" s="10"/>
      <c r="BZ2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6" s="10" t="e">
        <f>tbl_MTG_Set[[#This Row],[Collector Singles CardMarket Profit BotBox]]/tbl_MTG_Set[[#This Row],[Collector Booster Cost]]</f>
        <v>#N/A</v>
      </c>
      <c r="CC296" s="10" t="b">
        <f>tbl_MTG_Set[[#This Row],[Collector Singles CardMarket Profit BotBox]]&gt;0</f>
        <v>0</v>
      </c>
      <c r="CD2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7" spans="1:86" hidden="1">
      <c r="A297">
        <v>322</v>
      </c>
      <c r="B297" t="s">
        <v>470</v>
      </c>
      <c r="C297">
        <v>424</v>
      </c>
      <c r="D297" s="3">
        <v>44400</v>
      </c>
      <c r="F297" t="s">
        <v>174</v>
      </c>
      <c r="G297">
        <v>590</v>
      </c>
      <c r="H297">
        <f ca="1">MONTH(NOW())+12*YEAR(NOW())-MONTH(tbl_MTG_Set[[#This Row],[Released On]])-12*YEAR(tbl_MTG_Set[[#This Row],[Released On]])</f>
        <v>56</v>
      </c>
      <c r="I297" t="str">
        <f>_xlfn.XLOOKUP(tbl_MTG_Set[[#This Row],[Type Name]], tbl_MTG_Set_Type[Set Type], tbl_MTG_Set_Type[Index], "(Set Type not found)")</f>
        <v>(Set Type not found)</v>
      </c>
      <c r="J297" t="str">
        <f>_xlfn.XLOOKUP(tbl_MTG_Set[[#This Row],[Type Name]], tbl_MTG_Set_Type[Set Type], tbl_MTG_Set_Type[Buy Window Month Start], "(Set Type not found)")</f>
        <v>(Set Type not found)</v>
      </c>
      <c r="K297" s="3" t="e">
        <f>tbl_MTG_Set[[#This Row],[Released On]]+tbl_MTG_Set[[#This Row],[Buy Window Month Start]]*365.25/12</f>
        <v>#VALUE!</v>
      </c>
      <c r="L297" t="str">
        <f>_xlfn.XLOOKUP(tbl_MTG_Set[[#This Row],[Type Name]], tbl_MTG_Set_Type[Set Type], tbl_MTG_Set_Type[Buy Window Month End], "(Set Type not found)", 0, 1)</f>
        <v>(Set Type not found)</v>
      </c>
      <c r="M297" s="3" t="e">
        <f>tbl_MTG_Set[[#This Row],[Released On]]+tbl_MTG_Set[[#This Row],[Buy Window Month End]]*365.25/12</f>
        <v>#VALUE!</v>
      </c>
      <c r="N297" s="3" t="e">
        <f ca="1">AND(NOW()&gt;=tbl_MTG_Set[[#This Row],[Buy Window Start]], NOW()&lt;=tbl_MTG_Set[[#This Row],[Buy Window End]])</f>
        <v>#VALUE!</v>
      </c>
      <c r="O297" t="str">
        <f>_xlfn.XLOOKUP(tbl_MTG_Set[[#This Row],[Type Name]], tbl_MTG_Set_Type[Set Type], tbl_MTG_Set_Type[Heavy Printing Window Month Start], "(Set Type not found)", 0, 1)</f>
        <v>(Set Type not found)</v>
      </c>
      <c r="P297" s="3" t="e">
        <f>tbl_MTG_Set[[#This Row],[Released On]]+tbl_MTG_Set[[#This Row],[Heavy Printing Window Month Start]]*365.25/12</f>
        <v>#VALUE!</v>
      </c>
      <c r="Q297" t="str">
        <f>_xlfn.XLOOKUP(tbl_MTG_Set[[#This Row],[Type Name]], tbl_MTG_Set_Type[Set Type], tbl_MTG_Set_Type[Heavy Printing Window Month End], "(Set Type not found)", 0, 1)</f>
        <v>(Set Type not found)</v>
      </c>
      <c r="R297" s="3" t="e">
        <f>tbl_MTG_Set[[#This Row],[Released On]]+tbl_MTG_Set[[#This Row],[Heavy Printing Window Month End]]*365.25/12</f>
        <v>#VALUE!</v>
      </c>
      <c r="S297" s="3" t="e">
        <f ca="1">AND(NOW()&gt;=tbl_MTG_Set[[#This Row],[Heavy Printing Window Start]], NOW()&lt;=tbl_MTG_Set[[#This Row],[Heavy Printing Window End]])</f>
        <v>#VALUE!</v>
      </c>
      <c r="T297" t="str">
        <f>_xlfn.XLOOKUP(tbl_MTG_Set[[#This Row],[Type Name]], tbl_MTG_Set_Type[Set Type], tbl_MTG_Set_Type[Sell Window Month Start], "(Set Type not found)", 0, 1)</f>
        <v>(Set Type not found)</v>
      </c>
      <c r="U297" s="3" t="e">
        <f>tbl_MTG_Set[[#This Row],[Released On]]+tbl_MTG_Set[[#This Row],[Sell Window Month Start]]*365.25/12</f>
        <v>#VALUE!</v>
      </c>
      <c r="V297" t="str">
        <f>_xlfn.XLOOKUP(tbl_MTG_Set[[#This Row],[Type Name]], tbl_MTG_Set_Type[Set Type], tbl_MTG_Set_Type[Sell Window Month End], "(Set Type not found)", 0, 1)</f>
        <v>(Set Type not found)</v>
      </c>
      <c r="W297" s="3" t="e">
        <f>tbl_MTG_Set[[#This Row],[Released On]]+tbl_MTG_Set[[#This Row],[Sell Window Month End]]*365.25/12</f>
        <v>#VALUE!</v>
      </c>
      <c r="X297" s="3" t="e">
        <f ca="1">AND(NOW()&gt;=tbl_MTG_Set[[#This Row],[Sell Window Start]], NOW()&lt;=tbl_MTG_Set[[#This Row],[Sell Window End]])</f>
        <v>#VALUE!</v>
      </c>
      <c r="AG297" s="10"/>
      <c r="AH297" s="10"/>
      <c r="AM297" s="10" t="str" cm="1">
        <f t="array" ref="AM2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7" s="10" t="str" cm="1">
        <f t="array" ref="AN2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7" s="4" t="e">
        <f>_xlfn.XLOOKUP(tbl_MTG_Set[[#This Row],[Play Booster Box Product Id]], tbl_Product[Product Id], tbl_Product[Pack Size])</f>
        <v>#N/A</v>
      </c>
      <c r="AP297" s="10" t="e">
        <f>(tbl_MTG_Set[[#This Row],[Play Booster Box Cost]]+v_Item_Shipping_Cost_In)/tbl_MTG_Set[[#This Row],[Play Booster Box Size]]</f>
        <v>#VALUE!</v>
      </c>
      <c r="AQ297" s="10" t="str" cm="1">
        <f t="array" ref="AQ2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7" s="10"/>
      <c r="AS297" s="10"/>
      <c r="AT297" s="17" t="e">
        <f>tbl_MTG_Set[[#This Row],[Play Booster CardMarket Profit]]/tbl_MTG_Set[[#This Row],[Play Booster Cost]]</f>
        <v>#VALUE!</v>
      </c>
      <c r="AU297" s="10" t="e">
        <f>_xlfn.XLOOKUP(tbl_MTG_Set[[#This Row],[Collector Booster Box Product Id]], tbl_Product[Product Id], tbl_Product[Min Cost])</f>
        <v>#N/A</v>
      </c>
      <c r="AV297" s="10" t="e">
        <f>_xlfn.XLOOKUP(tbl_MTG_Set[[#This Row],[Collector Booster Box Product Id]], tbl_Product[Product Id], tbl_Product[Best Source])</f>
        <v>#N/A</v>
      </c>
      <c r="AW297" s="4" t="e">
        <f>_xlfn.XLOOKUP(tbl_MTG_Set[[#This Row],[Collector Booster Box Product Id]], tbl_Product[Product Id], tbl_Product[Pack Size])</f>
        <v>#N/A</v>
      </c>
      <c r="AX297" s="10" t="e">
        <f>(tbl_MTG_Set[[#This Row],[Collector Booster Box Cost]] + v_Item_Shipping_Cost_In) / tbl_MTG_Set[[#This Row],[Collector Booster Box Size]]</f>
        <v>#N/A</v>
      </c>
      <c r="AY297" s="10" t="str" cm="1">
        <f t="array" ref="AY2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7" s="10"/>
      <c r="BA2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7" s="17" t="e">
        <f>tbl_MTG_Set[[#This Row],[Collector Booster CardMarket Profit]]/tbl_MTG_Set[[#This Row],[Collector Booster Cost]]</f>
        <v>#N/A</v>
      </c>
      <c r="BC297" s="10"/>
      <c r="BF2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7" s="11" t="e">
        <f>tbl_MTG_Set[[#This Row],[Play Singles CardMarket Profit MTG Stocks]]/tbl_MTG_Set[[#This Row],[Play Booster Cost]]</f>
        <v>#VALUE!</v>
      </c>
      <c r="BI297" s="11" t="b">
        <f>tbl_MTG_Set[[#This Row],[Play Singles CardMarket Profit MTG Stocks]]&gt;0</f>
        <v>0</v>
      </c>
      <c r="BM297" s="10" t="e">
        <f>tbl_MTG_Set[[#This Row],[Play Booster Sell Price CardMarket]]*tbl_MTG_Set[[#This Row],[Play Booster Expected Market Value BotBox]]/tbl_MTG_Set[[#This Row],[Play Booster Sealed Market Value BotBox]]</f>
        <v>#VALUE!</v>
      </c>
      <c r="BN2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7" s="10" t="e">
        <f>tbl_MTG_Set[[#This Row],[Play Singles CardMarket Profit BotBox]]/tbl_MTG_Set[[#This Row],[Play Booster Cost]]</f>
        <v>#VALUE!</v>
      </c>
      <c r="BP297" s="10" t="b">
        <f>tbl_MTG_Set[[#This Row],[Play Singles CardMarket Profit BotBox]]&gt;0</f>
        <v>0</v>
      </c>
      <c r="BQ297" s="10"/>
      <c r="BR297" s="10"/>
      <c r="BS297" s="10"/>
      <c r="BT2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7" s="19" t="e">
        <f>tbl_MTG_Set[[#This Row],[Collector Singles CardMarket Profit MTG Stocks]]/tbl_MTG_Set[[#This Row],[Collector Booster Cost]]</f>
        <v>#N/A</v>
      </c>
      <c r="BW297" s="10" t="b">
        <f>tbl_MTG_Set[[#This Row],[Collector Singles CardMarket Profit MTG Stocks]]&gt;0</f>
        <v>0</v>
      </c>
      <c r="BX297" s="10"/>
      <c r="BY297" s="10"/>
      <c r="BZ2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7" s="10" t="e">
        <f>tbl_MTG_Set[[#This Row],[Collector Singles CardMarket Profit BotBox]]/tbl_MTG_Set[[#This Row],[Collector Booster Cost]]</f>
        <v>#N/A</v>
      </c>
      <c r="CC297" s="10" t="b">
        <f>tbl_MTG_Set[[#This Row],[Collector Singles CardMarket Profit BotBox]]&gt;0</f>
        <v>0</v>
      </c>
      <c r="CD2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8" spans="1:86" hidden="1">
      <c r="A298">
        <v>323</v>
      </c>
      <c r="B298" t="s">
        <v>471</v>
      </c>
      <c r="C298">
        <v>241</v>
      </c>
      <c r="D298" s="3">
        <v>44400</v>
      </c>
      <c r="F298" t="s">
        <v>174</v>
      </c>
      <c r="G298">
        <v>592</v>
      </c>
      <c r="H298">
        <f ca="1">MONTH(NOW())+12*YEAR(NOW())-MONTH(tbl_MTG_Set[[#This Row],[Released On]])-12*YEAR(tbl_MTG_Set[[#This Row],[Released On]])</f>
        <v>56</v>
      </c>
      <c r="I298" t="str">
        <f>_xlfn.XLOOKUP(tbl_MTG_Set[[#This Row],[Type Name]], tbl_MTG_Set_Type[Set Type], tbl_MTG_Set_Type[Index], "(Set Type not found)")</f>
        <v>(Set Type not found)</v>
      </c>
      <c r="J298" t="str">
        <f>_xlfn.XLOOKUP(tbl_MTG_Set[[#This Row],[Type Name]], tbl_MTG_Set_Type[Set Type], tbl_MTG_Set_Type[Buy Window Month Start], "(Set Type not found)")</f>
        <v>(Set Type not found)</v>
      </c>
      <c r="K298" s="3" t="e">
        <f>tbl_MTG_Set[[#This Row],[Released On]]+tbl_MTG_Set[[#This Row],[Buy Window Month Start]]*365.25/12</f>
        <v>#VALUE!</v>
      </c>
      <c r="L298" t="str">
        <f>_xlfn.XLOOKUP(tbl_MTG_Set[[#This Row],[Type Name]], tbl_MTG_Set_Type[Set Type], tbl_MTG_Set_Type[Buy Window Month End], "(Set Type not found)", 0, 1)</f>
        <v>(Set Type not found)</v>
      </c>
      <c r="M298" s="3" t="e">
        <f>tbl_MTG_Set[[#This Row],[Released On]]+tbl_MTG_Set[[#This Row],[Buy Window Month End]]*365.25/12</f>
        <v>#VALUE!</v>
      </c>
      <c r="N298" s="3" t="e">
        <f ca="1">AND(NOW()&gt;=tbl_MTG_Set[[#This Row],[Buy Window Start]], NOW()&lt;=tbl_MTG_Set[[#This Row],[Buy Window End]])</f>
        <v>#VALUE!</v>
      </c>
      <c r="O298" t="str">
        <f>_xlfn.XLOOKUP(tbl_MTG_Set[[#This Row],[Type Name]], tbl_MTG_Set_Type[Set Type], tbl_MTG_Set_Type[Heavy Printing Window Month Start], "(Set Type not found)", 0, 1)</f>
        <v>(Set Type not found)</v>
      </c>
      <c r="P298" s="3" t="e">
        <f>tbl_MTG_Set[[#This Row],[Released On]]+tbl_MTG_Set[[#This Row],[Heavy Printing Window Month Start]]*365.25/12</f>
        <v>#VALUE!</v>
      </c>
      <c r="Q298" t="str">
        <f>_xlfn.XLOOKUP(tbl_MTG_Set[[#This Row],[Type Name]], tbl_MTG_Set_Type[Set Type], tbl_MTG_Set_Type[Heavy Printing Window Month End], "(Set Type not found)", 0, 1)</f>
        <v>(Set Type not found)</v>
      </c>
      <c r="R298" s="3" t="e">
        <f>tbl_MTG_Set[[#This Row],[Released On]]+tbl_MTG_Set[[#This Row],[Heavy Printing Window Month End]]*365.25/12</f>
        <v>#VALUE!</v>
      </c>
      <c r="S298" s="3" t="e">
        <f ca="1">AND(NOW()&gt;=tbl_MTG_Set[[#This Row],[Heavy Printing Window Start]], NOW()&lt;=tbl_MTG_Set[[#This Row],[Heavy Printing Window End]])</f>
        <v>#VALUE!</v>
      </c>
      <c r="T298" t="str">
        <f>_xlfn.XLOOKUP(tbl_MTG_Set[[#This Row],[Type Name]], tbl_MTG_Set_Type[Set Type], tbl_MTG_Set_Type[Sell Window Month Start], "(Set Type not found)", 0, 1)</f>
        <v>(Set Type not found)</v>
      </c>
      <c r="U298" s="3" t="e">
        <f>tbl_MTG_Set[[#This Row],[Released On]]+tbl_MTG_Set[[#This Row],[Sell Window Month Start]]*365.25/12</f>
        <v>#VALUE!</v>
      </c>
      <c r="V298" t="str">
        <f>_xlfn.XLOOKUP(tbl_MTG_Set[[#This Row],[Type Name]], tbl_MTG_Set_Type[Set Type], tbl_MTG_Set_Type[Sell Window Month End], "(Set Type not found)", 0, 1)</f>
        <v>(Set Type not found)</v>
      </c>
      <c r="W298" s="3" t="e">
        <f>tbl_MTG_Set[[#This Row],[Released On]]+tbl_MTG_Set[[#This Row],[Sell Window Month End]]*365.25/12</f>
        <v>#VALUE!</v>
      </c>
      <c r="X298" s="3" t="e">
        <f ca="1">AND(NOW()&gt;=tbl_MTG_Set[[#This Row],[Sell Window Start]], NOW()&lt;=tbl_MTG_Set[[#This Row],[Sell Window End]])</f>
        <v>#VALUE!</v>
      </c>
      <c r="AG298" s="10"/>
      <c r="AH298" s="10"/>
      <c r="AM298" s="10" t="str" cm="1">
        <f t="array" ref="AM2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8" s="10" t="str" cm="1">
        <f t="array" ref="AN2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8" s="4" t="e">
        <f>_xlfn.XLOOKUP(tbl_MTG_Set[[#This Row],[Play Booster Box Product Id]], tbl_Product[Product Id], tbl_Product[Pack Size])</f>
        <v>#N/A</v>
      </c>
      <c r="AP298" s="10" t="e">
        <f>(tbl_MTG_Set[[#This Row],[Play Booster Box Cost]]+v_Item_Shipping_Cost_In)/tbl_MTG_Set[[#This Row],[Play Booster Box Size]]</f>
        <v>#VALUE!</v>
      </c>
      <c r="AQ298" s="10" t="str" cm="1">
        <f t="array" ref="AQ2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8" s="10"/>
      <c r="AS298" s="10"/>
      <c r="AT298" s="17" t="e">
        <f>tbl_MTG_Set[[#This Row],[Play Booster CardMarket Profit]]/tbl_MTG_Set[[#This Row],[Play Booster Cost]]</f>
        <v>#VALUE!</v>
      </c>
      <c r="AU298" s="10" t="e">
        <f>_xlfn.XLOOKUP(tbl_MTG_Set[[#This Row],[Collector Booster Box Product Id]], tbl_Product[Product Id], tbl_Product[Min Cost])</f>
        <v>#N/A</v>
      </c>
      <c r="AV298" s="10" t="e">
        <f>_xlfn.XLOOKUP(tbl_MTG_Set[[#This Row],[Collector Booster Box Product Id]], tbl_Product[Product Id], tbl_Product[Best Source])</f>
        <v>#N/A</v>
      </c>
      <c r="AW298" s="4" t="e">
        <f>_xlfn.XLOOKUP(tbl_MTG_Set[[#This Row],[Collector Booster Box Product Id]], tbl_Product[Product Id], tbl_Product[Pack Size])</f>
        <v>#N/A</v>
      </c>
      <c r="AX298" s="10" t="e">
        <f>(tbl_MTG_Set[[#This Row],[Collector Booster Box Cost]] + v_Item_Shipping_Cost_In) / tbl_MTG_Set[[#This Row],[Collector Booster Box Size]]</f>
        <v>#N/A</v>
      </c>
      <c r="AY298" s="10" t="str" cm="1">
        <f t="array" ref="AY2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8" s="10"/>
      <c r="BA2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8" s="17" t="e">
        <f>tbl_MTG_Set[[#This Row],[Collector Booster CardMarket Profit]]/tbl_MTG_Set[[#This Row],[Collector Booster Cost]]</f>
        <v>#N/A</v>
      </c>
      <c r="BC298" s="10"/>
      <c r="BF2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8" s="11" t="e">
        <f>tbl_MTG_Set[[#This Row],[Play Singles CardMarket Profit MTG Stocks]]/tbl_MTG_Set[[#This Row],[Play Booster Cost]]</f>
        <v>#VALUE!</v>
      </c>
      <c r="BI298" s="11" t="b">
        <f>tbl_MTG_Set[[#This Row],[Play Singles CardMarket Profit MTG Stocks]]&gt;0</f>
        <v>0</v>
      </c>
      <c r="BM298" s="10" t="e">
        <f>tbl_MTG_Set[[#This Row],[Play Booster Sell Price CardMarket]]*tbl_MTG_Set[[#This Row],[Play Booster Expected Market Value BotBox]]/tbl_MTG_Set[[#This Row],[Play Booster Sealed Market Value BotBox]]</f>
        <v>#VALUE!</v>
      </c>
      <c r="BN2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8" s="10" t="e">
        <f>tbl_MTG_Set[[#This Row],[Play Singles CardMarket Profit BotBox]]/tbl_MTG_Set[[#This Row],[Play Booster Cost]]</f>
        <v>#VALUE!</v>
      </c>
      <c r="BP298" s="10" t="b">
        <f>tbl_MTG_Set[[#This Row],[Play Singles CardMarket Profit BotBox]]&gt;0</f>
        <v>0</v>
      </c>
      <c r="BQ298" s="10"/>
      <c r="BR298" s="10"/>
      <c r="BS298" s="10"/>
      <c r="BT2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8" s="19" t="e">
        <f>tbl_MTG_Set[[#This Row],[Collector Singles CardMarket Profit MTG Stocks]]/tbl_MTG_Set[[#This Row],[Collector Booster Cost]]</f>
        <v>#N/A</v>
      </c>
      <c r="BW298" s="10" t="b">
        <f>tbl_MTG_Set[[#This Row],[Collector Singles CardMarket Profit MTG Stocks]]&gt;0</f>
        <v>0</v>
      </c>
      <c r="BX298" s="10"/>
      <c r="BY298" s="10"/>
      <c r="BZ2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8" s="10" t="e">
        <f>tbl_MTG_Set[[#This Row],[Collector Singles CardMarket Profit BotBox]]/tbl_MTG_Set[[#This Row],[Collector Booster Cost]]</f>
        <v>#N/A</v>
      </c>
      <c r="CC298" s="10" t="b">
        <f>tbl_MTG_Set[[#This Row],[Collector Singles CardMarket Profit BotBox]]&gt;0</f>
        <v>0</v>
      </c>
      <c r="CD2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299" spans="1:86" hidden="1">
      <c r="A299">
        <v>324</v>
      </c>
      <c r="B299" t="s">
        <v>472</v>
      </c>
      <c r="C299">
        <v>22</v>
      </c>
      <c r="D299" s="3">
        <v>44400</v>
      </c>
      <c r="F299" t="s">
        <v>174</v>
      </c>
      <c r="G299">
        <v>594</v>
      </c>
      <c r="H299">
        <f ca="1">MONTH(NOW())+12*YEAR(NOW())-MONTH(tbl_MTG_Set[[#This Row],[Released On]])-12*YEAR(tbl_MTG_Set[[#This Row],[Released On]])</f>
        <v>56</v>
      </c>
      <c r="I299" t="str">
        <f>_xlfn.XLOOKUP(tbl_MTG_Set[[#This Row],[Type Name]], tbl_MTG_Set_Type[Set Type], tbl_MTG_Set_Type[Index], "(Set Type not found)")</f>
        <v>(Set Type not found)</v>
      </c>
      <c r="J299" t="str">
        <f>_xlfn.XLOOKUP(tbl_MTG_Set[[#This Row],[Type Name]], tbl_MTG_Set_Type[Set Type], tbl_MTG_Set_Type[Buy Window Month Start], "(Set Type not found)")</f>
        <v>(Set Type not found)</v>
      </c>
      <c r="K299" s="3" t="e">
        <f>tbl_MTG_Set[[#This Row],[Released On]]+tbl_MTG_Set[[#This Row],[Buy Window Month Start]]*365.25/12</f>
        <v>#VALUE!</v>
      </c>
      <c r="L299" t="str">
        <f>_xlfn.XLOOKUP(tbl_MTG_Set[[#This Row],[Type Name]], tbl_MTG_Set_Type[Set Type], tbl_MTG_Set_Type[Buy Window Month End], "(Set Type not found)", 0, 1)</f>
        <v>(Set Type not found)</v>
      </c>
      <c r="M299" s="3" t="e">
        <f>tbl_MTG_Set[[#This Row],[Released On]]+tbl_MTG_Set[[#This Row],[Buy Window Month End]]*365.25/12</f>
        <v>#VALUE!</v>
      </c>
      <c r="N299" s="3" t="e">
        <f ca="1">AND(NOW()&gt;=tbl_MTG_Set[[#This Row],[Buy Window Start]], NOW()&lt;=tbl_MTG_Set[[#This Row],[Buy Window End]])</f>
        <v>#VALUE!</v>
      </c>
      <c r="O299" t="str">
        <f>_xlfn.XLOOKUP(tbl_MTG_Set[[#This Row],[Type Name]], tbl_MTG_Set_Type[Set Type], tbl_MTG_Set_Type[Heavy Printing Window Month Start], "(Set Type not found)", 0, 1)</f>
        <v>(Set Type not found)</v>
      </c>
      <c r="P299" s="3" t="e">
        <f>tbl_MTG_Set[[#This Row],[Released On]]+tbl_MTG_Set[[#This Row],[Heavy Printing Window Month Start]]*365.25/12</f>
        <v>#VALUE!</v>
      </c>
      <c r="Q299" t="str">
        <f>_xlfn.XLOOKUP(tbl_MTG_Set[[#This Row],[Type Name]], tbl_MTG_Set_Type[Set Type], tbl_MTG_Set_Type[Heavy Printing Window Month End], "(Set Type not found)", 0, 1)</f>
        <v>(Set Type not found)</v>
      </c>
      <c r="R299" s="3" t="e">
        <f>tbl_MTG_Set[[#This Row],[Released On]]+tbl_MTG_Set[[#This Row],[Heavy Printing Window Month End]]*365.25/12</f>
        <v>#VALUE!</v>
      </c>
      <c r="S299" s="3" t="e">
        <f ca="1">AND(NOW()&gt;=tbl_MTG_Set[[#This Row],[Heavy Printing Window Start]], NOW()&lt;=tbl_MTG_Set[[#This Row],[Heavy Printing Window End]])</f>
        <v>#VALUE!</v>
      </c>
      <c r="T299" t="str">
        <f>_xlfn.XLOOKUP(tbl_MTG_Set[[#This Row],[Type Name]], tbl_MTG_Set_Type[Set Type], tbl_MTG_Set_Type[Sell Window Month Start], "(Set Type not found)", 0, 1)</f>
        <v>(Set Type not found)</v>
      </c>
      <c r="U299" s="3" t="e">
        <f>tbl_MTG_Set[[#This Row],[Released On]]+tbl_MTG_Set[[#This Row],[Sell Window Month Start]]*365.25/12</f>
        <v>#VALUE!</v>
      </c>
      <c r="V299" t="str">
        <f>_xlfn.XLOOKUP(tbl_MTG_Set[[#This Row],[Type Name]], tbl_MTG_Set_Type[Set Type], tbl_MTG_Set_Type[Sell Window Month End], "(Set Type not found)", 0, 1)</f>
        <v>(Set Type not found)</v>
      </c>
      <c r="W299" s="3" t="e">
        <f>tbl_MTG_Set[[#This Row],[Released On]]+tbl_MTG_Set[[#This Row],[Sell Window Month End]]*365.25/12</f>
        <v>#VALUE!</v>
      </c>
      <c r="X299" s="3" t="e">
        <f ca="1">AND(NOW()&gt;=tbl_MTG_Set[[#This Row],[Sell Window Start]], NOW()&lt;=tbl_MTG_Set[[#This Row],[Sell Window End]])</f>
        <v>#VALUE!</v>
      </c>
      <c r="AG299" s="10"/>
      <c r="AH299" s="10"/>
      <c r="AM299" s="10" t="str" cm="1">
        <f t="array" ref="AM2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299" s="10" t="str" cm="1">
        <f t="array" ref="AN2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299" s="4" t="e">
        <f>_xlfn.XLOOKUP(tbl_MTG_Set[[#This Row],[Play Booster Box Product Id]], tbl_Product[Product Id], tbl_Product[Pack Size])</f>
        <v>#N/A</v>
      </c>
      <c r="AP299" s="10" t="e">
        <f>(tbl_MTG_Set[[#This Row],[Play Booster Box Cost]]+v_Item_Shipping_Cost_In)/tbl_MTG_Set[[#This Row],[Play Booster Box Size]]</f>
        <v>#VALUE!</v>
      </c>
      <c r="AQ299" s="10" t="str" cm="1">
        <f t="array" ref="AQ2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299" s="10"/>
      <c r="AS299" s="10"/>
      <c r="AT299" s="17" t="e">
        <f>tbl_MTG_Set[[#This Row],[Play Booster CardMarket Profit]]/tbl_MTG_Set[[#This Row],[Play Booster Cost]]</f>
        <v>#VALUE!</v>
      </c>
      <c r="AU299" s="10" t="e">
        <f>_xlfn.XLOOKUP(tbl_MTG_Set[[#This Row],[Collector Booster Box Product Id]], tbl_Product[Product Id], tbl_Product[Min Cost])</f>
        <v>#N/A</v>
      </c>
      <c r="AV299" s="10" t="e">
        <f>_xlfn.XLOOKUP(tbl_MTG_Set[[#This Row],[Collector Booster Box Product Id]], tbl_Product[Product Id], tbl_Product[Best Source])</f>
        <v>#N/A</v>
      </c>
      <c r="AW299" s="4" t="e">
        <f>_xlfn.XLOOKUP(tbl_MTG_Set[[#This Row],[Collector Booster Box Product Id]], tbl_Product[Product Id], tbl_Product[Pack Size])</f>
        <v>#N/A</v>
      </c>
      <c r="AX299" s="10" t="e">
        <f>(tbl_MTG_Set[[#This Row],[Collector Booster Box Cost]] + v_Item_Shipping_Cost_In) / tbl_MTG_Set[[#This Row],[Collector Booster Box Size]]</f>
        <v>#N/A</v>
      </c>
      <c r="AY299" s="10" t="str" cm="1">
        <f t="array" ref="AY2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299" s="10"/>
      <c r="BA2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299" s="17" t="e">
        <f>tbl_MTG_Set[[#This Row],[Collector Booster CardMarket Profit]]/tbl_MTG_Set[[#This Row],[Collector Booster Cost]]</f>
        <v>#N/A</v>
      </c>
      <c r="BC299" s="10"/>
      <c r="BF2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2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299" s="11" t="e">
        <f>tbl_MTG_Set[[#This Row],[Play Singles CardMarket Profit MTG Stocks]]/tbl_MTG_Set[[#This Row],[Play Booster Cost]]</f>
        <v>#VALUE!</v>
      </c>
      <c r="BI299" s="11" t="b">
        <f>tbl_MTG_Set[[#This Row],[Play Singles CardMarket Profit MTG Stocks]]&gt;0</f>
        <v>0</v>
      </c>
      <c r="BM299" s="10" t="e">
        <f>tbl_MTG_Set[[#This Row],[Play Booster Sell Price CardMarket]]*tbl_MTG_Set[[#This Row],[Play Booster Expected Market Value BotBox]]/tbl_MTG_Set[[#This Row],[Play Booster Sealed Market Value BotBox]]</f>
        <v>#VALUE!</v>
      </c>
      <c r="BN2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299" s="10" t="e">
        <f>tbl_MTG_Set[[#This Row],[Play Singles CardMarket Profit BotBox]]/tbl_MTG_Set[[#This Row],[Play Booster Cost]]</f>
        <v>#VALUE!</v>
      </c>
      <c r="BP299" s="10" t="b">
        <f>tbl_MTG_Set[[#This Row],[Play Singles CardMarket Profit BotBox]]&gt;0</f>
        <v>0</v>
      </c>
      <c r="BQ299" s="10"/>
      <c r="BR299" s="10"/>
      <c r="BS299" s="10"/>
      <c r="BT2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2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299" s="19" t="e">
        <f>tbl_MTG_Set[[#This Row],[Collector Singles CardMarket Profit MTG Stocks]]/tbl_MTG_Set[[#This Row],[Collector Booster Cost]]</f>
        <v>#N/A</v>
      </c>
      <c r="BW299" s="10" t="b">
        <f>tbl_MTG_Set[[#This Row],[Collector Singles CardMarket Profit MTG Stocks]]&gt;0</f>
        <v>0</v>
      </c>
      <c r="BX299" s="10"/>
      <c r="BY299" s="10"/>
      <c r="BZ2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2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299" s="10" t="e">
        <f>tbl_MTG_Set[[#This Row],[Collector Singles CardMarket Profit BotBox]]/tbl_MTG_Set[[#This Row],[Collector Booster Cost]]</f>
        <v>#N/A</v>
      </c>
      <c r="CC299" s="10" t="b">
        <f>tbl_MTG_Set[[#This Row],[Collector Singles CardMarket Profit BotBox]]&gt;0</f>
        <v>0</v>
      </c>
      <c r="CD2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2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2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2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2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0" spans="1:86" hidden="1">
      <c r="A300">
        <v>325</v>
      </c>
      <c r="B300" t="s">
        <v>473</v>
      </c>
      <c r="C300">
        <v>3</v>
      </c>
      <c r="D300" s="3">
        <v>44400</v>
      </c>
      <c r="F300" t="s">
        <v>174</v>
      </c>
      <c r="G300">
        <v>596</v>
      </c>
      <c r="H300">
        <f ca="1">MONTH(NOW())+12*YEAR(NOW())-MONTH(tbl_MTG_Set[[#This Row],[Released On]])-12*YEAR(tbl_MTG_Set[[#This Row],[Released On]])</f>
        <v>56</v>
      </c>
      <c r="I300" t="str">
        <f>_xlfn.XLOOKUP(tbl_MTG_Set[[#This Row],[Type Name]], tbl_MTG_Set_Type[Set Type], tbl_MTG_Set_Type[Index], "(Set Type not found)")</f>
        <v>(Set Type not found)</v>
      </c>
      <c r="J300" t="str">
        <f>_xlfn.XLOOKUP(tbl_MTG_Set[[#This Row],[Type Name]], tbl_MTG_Set_Type[Set Type], tbl_MTG_Set_Type[Buy Window Month Start], "(Set Type not found)")</f>
        <v>(Set Type not found)</v>
      </c>
      <c r="K300" s="3" t="e">
        <f>tbl_MTG_Set[[#This Row],[Released On]]+tbl_MTG_Set[[#This Row],[Buy Window Month Start]]*365.25/12</f>
        <v>#VALUE!</v>
      </c>
      <c r="L300" t="str">
        <f>_xlfn.XLOOKUP(tbl_MTG_Set[[#This Row],[Type Name]], tbl_MTG_Set_Type[Set Type], tbl_MTG_Set_Type[Buy Window Month End], "(Set Type not found)", 0, 1)</f>
        <v>(Set Type not found)</v>
      </c>
      <c r="M300" s="3" t="e">
        <f>tbl_MTG_Set[[#This Row],[Released On]]+tbl_MTG_Set[[#This Row],[Buy Window Month End]]*365.25/12</f>
        <v>#VALUE!</v>
      </c>
      <c r="N300" s="3" t="e">
        <f ca="1">AND(NOW()&gt;=tbl_MTG_Set[[#This Row],[Buy Window Start]], NOW()&lt;=tbl_MTG_Set[[#This Row],[Buy Window End]])</f>
        <v>#VALUE!</v>
      </c>
      <c r="O300" t="str">
        <f>_xlfn.XLOOKUP(tbl_MTG_Set[[#This Row],[Type Name]], tbl_MTG_Set_Type[Set Type], tbl_MTG_Set_Type[Heavy Printing Window Month Start], "(Set Type not found)", 0, 1)</f>
        <v>(Set Type not found)</v>
      </c>
      <c r="P300" s="3" t="e">
        <f>tbl_MTG_Set[[#This Row],[Released On]]+tbl_MTG_Set[[#This Row],[Heavy Printing Window Month Start]]*365.25/12</f>
        <v>#VALUE!</v>
      </c>
      <c r="Q300" t="str">
        <f>_xlfn.XLOOKUP(tbl_MTG_Set[[#This Row],[Type Name]], tbl_MTG_Set_Type[Set Type], tbl_MTG_Set_Type[Heavy Printing Window Month End], "(Set Type not found)", 0, 1)</f>
        <v>(Set Type not found)</v>
      </c>
      <c r="R300" s="3" t="e">
        <f>tbl_MTG_Set[[#This Row],[Released On]]+tbl_MTG_Set[[#This Row],[Heavy Printing Window Month End]]*365.25/12</f>
        <v>#VALUE!</v>
      </c>
      <c r="S300" s="3" t="e">
        <f ca="1">AND(NOW()&gt;=tbl_MTG_Set[[#This Row],[Heavy Printing Window Start]], NOW()&lt;=tbl_MTG_Set[[#This Row],[Heavy Printing Window End]])</f>
        <v>#VALUE!</v>
      </c>
      <c r="T300" t="str">
        <f>_xlfn.XLOOKUP(tbl_MTG_Set[[#This Row],[Type Name]], tbl_MTG_Set_Type[Set Type], tbl_MTG_Set_Type[Sell Window Month Start], "(Set Type not found)", 0, 1)</f>
        <v>(Set Type not found)</v>
      </c>
      <c r="U300" s="3" t="e">
        <f>tbl_MTG_Set[[#This Row],[Released On]]+tbl_MTG_Set[[#This Row],[Sell Window Month Start]]*365.25/12</f>
        <v>#VALUE!</v>
      </c>
      <c r="V300" t="str">
        <f>_xlfn.XLOOKUP(tbl_MTG_Set[[#This Row],[Type Name]], tbl_MTG_Set_Type[Set Type], tbl_MTG_Set_Type[Sell Window Month End], "(Set Type not found)", 0, 1)</f>
        <v>(Set Type not found)</v>
      </c>
      <c r="W300" s="3" t="e">
        <f>tbl_MTG_Set[[#This Row],[Released On]]+tbl_MTG_Set[[#This Row],[Sell Window Month End]]*365.25/12</f>
        <v>#VALUE!</v>
      </c>
      <c r="X300" s="3" t="e">
        <f ca="1">AND(NOW()&gt;=tbl_MTG_Set[[#This Row],[Sell Window Start]], NOW()&lt;=tbl_MTG_Set[[#This Row],[Sell Window End]])</f>
        <v>#VALUE!</v>
      </c>
      <c r="AG300" s="10"/>
      <c r="AH300" s="10"/>
      <c r="AM300" s="10" t="str" cm="1">
        <f t="array" ref="AM3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0" s="10" t="str" cm="1">
        <f t="array" ref="AN3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0" s="4" t="e">
        <f>_xlfn.XLOOKUP(tbl_MTG_Set[[#This Row],[Play Booster Box Product Id]], tbl_Product[Product Id], tbl_Product[Pack Size])</f>
        <v>#N/A</v>
      </c>
      <c r="AP300" s="10" t="e">
        <f>(tbl_MTG_Set[[#This Row],[Play Booster Box Cost]]+v_Item_Shipping_Cost_In)/tbl_MTG_Set[[#This Row],[Play Booster Box Size]]</f>
        <v>#VALUE!</v>
      </c>
      <c r="AQ300" s="10" t="str" cm="1">
        <f t="array" ref="AQ3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0" s="10"/>
      <c r="AS300" s="10"/>
      <c r="AT300" s="17" t="e">
        <f>tbl_MTG_Set[[#This Row],[Play Booster CardMarket Profit]]/tbl_MTG_Set[[#This Row],[Play Booster Cost]]</f>
        <v>#VALUE!</v>
      </c>
      <c r="AU300" s="10" t="e">
        <f>_xlfn.XLOOKUP(tbl_MTG_Set[[#This Row],[Collector Booster Box Product Id]], tbl_Product[Product Id], tbl_Product[Min Cost])</f>
        <v>#N/A</v>
      </c>
      <c r="AV300" s="10" t="e">
        <f>_xlfn.XLOOKUP(tbl_MTG_Set[[#This Row],[Collector Booster Box Product Id]], tbl_Product[Product Id], tbl_Product[Best Source])</f>
        <v>#N/A</v>
      </c>
      <c r="AW300" s="4" t="e">
        <f>_xlfn.XLOOKUP(tbl_MTG_Set[[#This Row],[Collector Booster Box Product Id]], tbl_Product[Product Id], tbl_Product[Pack Size])</f>
        <v>#N/A</v>
      </c>
      <c r="AX300" s="10" t="e">
        <f>(tbl_MTG_Set[[#This Row],[Collector Booster Box Cost]] + v_Item_Shipping_Cost_In) / tbl_MTG_Set[[#This Row],[Collector Booster Box Size]]</f>
        <v>#N/A</v>
      </c>
      <c r="AY300" s="10" t="str" cm="1">
        <f t="array" ref="AY3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0" s="10"/>
      <c r="BA3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0" s="17" t="e">
        <f>tbl_MTG_Set[[#This Row],[Collector Booster CardMarket Profit]]/tbl_MTG_Set[[#This Row],[Collector Booster Cost]]</f>
        <v>#N/A</v>
      </c>
      <c r="BC300" s="10"/>
      <c r="BF3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0" s="11" t="e">
        <f>tbl_MTG_Set[[#This Row],[Play Singles CardMarket Profit MTG Stocks]]/tbl_MTG_Set[[#This Row],[Play Booster Cost]]</f>
        <v>#VALUE!</v>
      </c>
      <c r="BI300" s="11" t="b">
        <f>tbl_MTG_Set[[#This Row],[Play Singles CardMarket Profit MTG Stocks]]&gt;0</f>
        <v>0</v>
      </c>
      <c r="BM300" s="10" t="e">
        <f>tbl_MTG_Set[[#This Row],[Play Booster Sell Price CardMarket]]*tbl_MTG_Set[[#This Row],[Play Booster Expected Market Value BotBox]]/tbl_MTG_Set[[#This Row],[Play Booster Sealed Market Value BotBox]]</f>
        <v>#VALUE!</v>
      </c>
      <c r="BN3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0" s="10" t="e">
        <f>tbl_MTG_Set[[#This Row],[Play Singles CardMarket Profit BotBox]]/tbl_MTG_Set[[#This Row],[Play Booster Cost]]</f>
        <v>#VALUE!</v>
      </c>
      <c r="BP300" s="10" t="b">
        <f>tbl_MTG_Set[[#This Row],[Play Singles CardMarket Profit BotBox]]&gt;0</f>
        <v>0</v>
      </c>
      <c r="BQ300" s="10"/>
      <c r="BR300" s="10"/>
      <c r="BS300" s="10"/>
      <c r="BT3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0" s="19" t="e">
        <f>tbl_MTG_Set[[#This Row],[Collector Singles CardMarket Profit MTG Stocks]]/tbl_MTG_Set[[#This Row],[Collector Booster Cost]]</f>
        <v>#N/A</v>
      </c>
      <c r="BW300" s="10" t="b">
        <f>tbl_MTG_Set[[#This Row],[Collector Singles CardMarket Profit MTG Stocks]]&gt;0</f>
        <v>0</v>
      </c>
      <c r="BX300" s="10"/>
      <c r="BY300" s="10"/>
      <c r="BZ3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0" s="10" t="e">
        <f>tbl_MTG_Set[[#This Row],[Collector Singles CardMarket Profit BotBox]]/tbl_MTG_Set[[#This Row],[Collector Booster Cost]]</f>
        <v>#N/A</v>
      </c>
      <c r="CC300" s="10" t="b">
        <f>tbl_MTG_Set[[#This Row],[Collector Singles CardMarket Profit BotBox]]&gt;0</f>
        <v>0</v>
      </c>
      <c r="CD3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1" spans="1:86" hidden="1">
      <c r="A301">
        <v>326</v>
      </c>
      <c r="B301" t="s">
        <v>474</v>
      </c>
      <c r="C301">
        <v>81</v>
      </c>
      <c r="D301" s="3">
        <v>44400</v>
      </c>
      <c r="F301" t="s">
        <v>174</v>
      </c>
      <c r="G301">
        <v>598</v>
      </c>
      <c r="H301">
        <f ca="1">MONTH(NOW())+12*YEAR(NOW())-MONTH(tbl_MTG_Set[[#This Row],[Released On]])-12*YEAR(tbl_MTG_Set[[#This Row],[Released On]])</f>
        <v>56</v>
      </c>
      <c r="I301" t="str">
        <f>_xlfn.XLOOKUP(tbl_MTG_Set[[#This Row],[Type Name]], tbl_MTG_Set_Type[Set Type], tbl_MTG_Set_Type[Index], "(Set Type not found)")</f>
        <v>(Set Type not found)</v>
      </c>
      <c r="J301" t="str">
        <f>_xlfn.XLOOKUP(tbl_MTG_Set[[#This Row],[Type Name]], tbl_MTG_Set_Type[Set Type], tbl_MTG_Set_Type[Buy Window Month Start], "(Set Type not found)")</f>
        <v>(Set Type not found)</v>
      </c>
      <c r="K301" s="3" t="e">
        <f>tbl_MTG_Set[[#This Row],[Released On]]+tbl_MTG_Set[[#This Row],[Buy Window Month Start]]*365.25/12</f>
        <v>#VALUE!</v>
      </c>
      <c r="L301" t="str">
        <f>_xlfn.XLOOKUP(tbl_MTG_Set[[#This Row],[Type Name]], tbl_MTG_Set_Type[Set Type], tbl_MTG_Set_Type[Buy Window Month End], "(Set Type not found)", 0, 1)</f>
        <v>(Set Type not found)</v>
      </c>
      <c r="M301" s="3" t="e">
        <f>tbl_MTG_Set[[#This Row],[Released On]]+tbl_MTG_Set[[#This Row],[Buy Window Month End]]*365.25/12</f>
        <v>#VALUE!</v>
      </c>
      <c r="N301" s="3" t="e">
        <f ca="1">AND(NOW()&gt;=tbl_MTG_Set[[#This Row],[Buy Window Start]], NOW()&lt;=tbl_MTG_Set[[#This Row],[Buy Window End]])</f>
        <v>#VALUE!</v>
      </c>
      <c r="O301" t="str">
        <f>_xlfn.XLOOKUP(tbl_MTG_Set[[#This Row],[Type Name]], tbl_MTG_Set_Type[Set Type], tbl_MTG_Set_Type[Heavy Printing Window Month Start], "(Set Type not found)", 0, 1)</f>
        <v>(Set Type not found)</v>
      </c>
      <c r="P301" s="3" t="e">
        <f>tbl_MTG_Set[[#This Row],[Released On]]+tbl_MTG_Set[[#This Row],[Heavy Printing Window Month Start]]*365.25/12</f>
        <v>#VALUE!</v>
      </c>
      <c r="Q301" t="str">
        <f>_xlfn.XLOOKUP(tbl_MTG_Set[[#This Row],[Type Name]], tbl_MTG_Set_Type[Set Type], tbl_MTG_Set_Type[Heavy Printing Window Month End], "(Set Type not found)", 0, 1)</f>
        <v>(Set Type not found)</v>
      </c>
      <c r="R301" s="3" t="e">
        <f>tbl_MTG_Set[[#This Row],[Released On]]+tbl_MTG_Set[[#This Row],[Heavy Printing Window Month End]]*365.25/12</f>
        <v>#VALUE!</v>
      </c>
      <c r="S301" s="3" t="e">
        <f ca="1">AND(NOW()&gt;=tbl_MTG_Set[[#This Row],[Heavy Printing Window Start]], NOW()&lt;=tbl_MTG_Set[[#This Row],[Heavy Printing Window End]])</f>
        <v>#VALUE!</v>
      </c>
      <c r="T301" t="str">
        <f>_xlfn.XLOOKUP(tbl_MTG_Set[[#This Row],[Type Name]], tbl_MTG_Set_Type[Set Type], tbl_MTG_Set_Type[Sell Window Month Start], "(Set Type not found)", 0, 1)</f>
        <v>(Set Type not found)</v>
      </c>
      <c r="U301" s="3" t="e">
        <f>tbl_MTG_Set[[#This Row],[Released On]]+tbl_MTG_Set[[#This Row],[Sell Window Month Start]]*365.25/12</f>
        <v>#VALUE!</v>
      </c>
      <c r="V301" t="str">
        <f>_xlfn.XLOOKUP(tbl_MTG_Set[[#This Row],[Type Name]], tbl_MTG_Set_Type[Set Type], tbl_MTG_Set_Type[Sell Window Month End], "(Set Type not found)", 0, 1)</f>
        <v>(Set Type not found)</v>
      </c>
      <c r="W301" s="3" t="e">
        <f>tbl_MTG_Set[[#This Row],[Released On]]+tbl_MTG_Set[[#This Row],[Sell Window Month End]]*365.25/12</f>
        <v>#VALUE!</v>
      </c>
      <c r="X301" s="3" t="e">
        <f ca="1">AND(NOW()&gt;=tbl_MTG_Set[[#This Row],[Sell Window Start]], NOW()&lt;=tbl_MTG_Set[[#This Row],[Sell Window End]])</f>
        <v>#VALUE!</v>
      </c>
      <c r="AG301" s="10"/>
      <c r="AH301" s="10"/>
      <c r="AM301" s="10" t="str" cm="1">
        <f t="array" ref="AM3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1" s="10" t="str" cm="1">
        <f t="array" ref="AN3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1" s="4" t="e">
        <f>_xlfn.XLOOKUP(tbl_MTG_Set[[#This Row],[Play Booster Box Product Id]], tbl_Product[Product Id], tbl_Product[Pack Size])</f>
        <v>#N/A</v>
      </c>
      <c r="AP301" s="10" t="e">
        <f>(tbl_MTG_Set[[#This Row],[Play Booster Box Cost]]+v_Item_Shipping_Cost_In)/tbl_MTG_Set[[#This Row],[Play Booster Box Size]]</f>
        <v>#VALUE!</v>
      </c>
      <c r="AQ301" s="10" t="str" cm="1">
        <f t="array" ref="AQ3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1" s="10"/>
      <c r="AS301" s="10"/>
      <c r="AT301" s="17" t="e">
        <f>tbl_MTG_Set[[#This Row],[Play Booster CardMarket Profit]]/tbl_MTG_Set[[#This Row],[Play Booster Cost]]</f>
        <v>#VALUE!</v>
      </c>
      <c r="AU301" s="10" t="e">
        <f>_xlfn.XLOOKUP(tbl_MTG_Set[[#This Row],[Collector Booster Box Product Id]], tbl_Product[Product Id], tbl_Product[Min Cost])</f>
        <v>#N/A</v>
      </c>
      <c r="AV301" s="10" t="e">
        <f>_xlfn.XLOOKUP(tbl_MTG_Set[[#This Row],[Collector Booster Box Product Id]], tbl_Product[Product Id], tbl_Product[Best Source])</f>
        <v>#N/A</v>
      </c>
      <c r="AW301" s="4" t="e">
        <f>_xlfn.XLOOKUP(tbl_MTG_Set[[#This Row],[Collector Booster Box Product Id]], tbl_Product[Product Id], tbl_Product[Pack Size])</f>
        <v>#N/A</v>
      </c>
      <c r="AX301" s="10" t="e">
        <f>(tbl_MTG_Set[[#This Row],[Collector Booster Box Cost]] + v_Item_Shipping_Cost_In) / tbl_MTG_Set[[#This Row],[Collector Booster Box Size]]</f>
        <v>#N/A</v>
      </c>
      <c r="AY301" s="10" t="str" cm="1">
        <f t="array" ref="AY3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1" s="10"/>
      <c r="BA3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1" s="17" t="e">
        <f>tbl_MTG_Set[[#This Row],[Collector Booster CardMarket Profit]]/tbl_MTG_Set[[#This Row],[Collector Booster Cost]]</f>
        <v>#N/A</v>
      </c>
      <c r="BC301" s="10"/>
      <c r="BF3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1" s="11" t="e">
        <f>tbl_MTG_Set[[#This Row],[Play Singles CardMarket Profit MTG Stocks]]/tbl_MTG_Set[[#This Row],[Play Booster Cost]]</f>
        <v>#VALUE!</v>
      </c>
      <c r="BI301" s="11" t="b">
        <f>tbl_MTG_Set[[#This Row],[Play Singles CardMarket Profit MTG Stocks]]&gt;0</f>
        <v>0</v>
      </c>
      <c r="BM301" s="10" t="e">
        <f>tbl_MTG_Set[[#This Row],[Play Booster Sell Price CardMarket]]*tbl_MTG_Set[[#This Row],[Play Booster Expected Market Value BotBox]]/tbl_MTG_Set[[#This Row],[Play Booster Sealed Market Value BotBox]]</f>
        <v>#VALUE!</v>
      </c>
      <c r="BN3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1" s="10" t="e">
        <f>tbl_MTG_Set[[#This Row],[Play Singles CardMarket Profit BotBox]]/tbl_MTG_Set[[#This Row],[Play Booster Cost]]</f>
        <v>#VALUE!</v>
      </c>
      <c r="BP301" s="10" t="b">
        <f>tbl_MTG_Set[[#This Row],[Play Singles CardMarket Profit BotBox]]&gt;0</f>
        <v>0</v>
      </c>
      <c r="BQ301" s="10"/>
      <c r="BR301" s="10"/>
      <c r="BS301" s="10"/>
      <c r="BT3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1" s="19" t="e">
        <f>tbl_MTG_Set[[#This Row],[Collector Singles CardMarket Profit MTG Stocks]]/tbl_MTG_Set[[#This Row],[Collector Booster Cost]]</f>
        <v>#N/A</v>
      </c>
      <c r="BW301" s="10" t="b">
        <f>tbl_MTG_Set[[#This Row],[Collector Singles CardMarket Profit MTG Stocks]]&gt;0</f>
        <v>0</v>
      </c>
      <c r="BX301" s="10"/>
      <c r="BY301" s="10"/>
      <c r="BZ3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1" s="10" t="e">
        <f>tbl_MTG_Set[[#This Row],[Collector Singles CardMarket Profit BotBox]]/tbl_MTG_Set[[#This Row],[Collector Booster Cost]]</f>
        <v>#N/A</v>
      </c>
      <c r="CC301" s="10" t="b">
        <f>tbl_MTG_Set[[#This Row],[Collector Singles CardMarket Profit BotBox]]&gt;0</f>
        <v>0</v>
      </c>
      <c r="CD3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2" spans="1:86" hidden="1">
      <c r="A302">
        <v>327</v>
      </c>
      <c r="B302" t="s">
        <v>475</v>
      </c>
      <c r="C302">
        <v>331</v>
      </c>
      <c r="D302" s="3">
        <v>44400</v>
      </c>
      <c r="F302" t="s">
        <v>174</v>
      </c>
      <c r="G302">
        <v>600</v>
      </c>
      <c r="H302">
        <f ca="1">MONTH(NOW())+12*YEAR(NOW())-MONTH(tbl_MTG_Set[[#This Row],[Released On]])-12*YEAR(tbl_MTG_Set[[#This Row],[Released On]])</f>
        <v>56</v>
      </c>
      <c r="I302" t="str">
        <f>_xlfn.XLOOKUP(tbl_MTG_Set[[#This Row],[Type Name]], tbl_MTG_Set_Type[Set Type], tbl_MTG_Set_Type[Index], "(Set Type not found)")</f>
        <v>(Set Type not found)</v>
      </c>
      <c r="J302" t="str">
        <f>_xlfn.XLOOKUP(tbl_MTG_Set[[#This Row],[Type Name]], tbl_MTG_Set_Type[Set Type], tbl_MTG_Set_Type[Buy Window Month Start], "(Set Type not found)")</f>
        <v>(Set Type not found)</v>
      </c>
      <c r="K302" s="3" t="e">
        <f>tbl_MTG_Set[[#This Row],[Released On]]+tbl_MTG_Set[[#This Row],[Buy Window Month Start]]*365.25/12</f>
        <v>#VALUE!</v>
      </c>
      <c r="L302" t="str">
        <f>_xlfn.XLOOKUP(tbl_MTG_Set[[#This Row],[Type Name]], tbl_MTG_Set_Type[Set Type], tbl_MTG_Set_Type[Buy Window Month End], "(Set Type not found)", 0, 1)</f>
        <v>(Set Type not found)</v>
      </c>
      <c r="M302" s="3" t="e">
        <f>tbl_MTG_Set[[#This Row],[Released On]]+tbl_MTG_Set[[#This Row],[Buy Window Month End]]*365.25/12</f>
        <v>#VALUE!</v>
      </c>
      <c r="N302" s="3" t="e">
        <f ca="1">AND(NOW()&gt;=tbl_MTG_Set[[#This Row],[Buy Window Start]], NOW()&lt;=tbl_MTG_Set[[#This Row],[Buy Window End]])</f>
        <v>#VALUE!</v>
      </c>
      <c r="O302" t="str">
        <f>_xlfn.XLOOKUP(tbl_MTG_Set[[#This Row],[Type Name]], tbl_MTG_Set_Type[Set Type], tbl_MTG_Set_Type[Heavy Printing Window Month Start], "(Set Type not found)", 0, 1)</f>
        <v>(Set Type not found)</v>
      </c>
      <c r="P302" s="3" t="e">
        <f>tbl_MTG_Set[[#This Row],[Released On]]+tbl_MTG_Set[[#This Row],[Heavy Printing Window Month Start]]*365.25/12</f>
        <v>#VALUE!</v>
      </c>
      <c r="Q302" t="str">
        <f>_xlfn.XLOOKUP(tbl_MTG_Set[[#This Row],[Type Name]], tbl_MTG_Set_Type[Set Type], tbl_MTG_Set_Type[Heavy Printing Window Month End], "(Set Type not found)", 0, 1)</f>
        <v>(Set Type not found)</v>
      </c>
      <c r="R302" s="3" t="e">
        <f>tbl_MTG_Set[[#This Row],[Released On]]+tbl_MTG_Set[[#This Row],[Heavy Printing Window Month End]]*365.25/12</f>
        <v>#VALUE!</v>
      </c>
      <c r="S302" s="3" t="e">
        <f ca="1">AND(NOW()&gt;=tbl_MTG_Set[[#This Row],[Heavy Printing Window Start]], NOW()&lt;=tbl_MTG_Set[[#This Row],[Heavy Printing Window End]])</f>
        <v>#VALUE!</v>
      </c>
      <c r="T302" t="str">
        <f>_xlfn.XLOOKUP(tbl_MTG_Set[[#This Row],[Type Name]], tbl_MTG_Set_Type[Set Type], tbl_MTG_Set_Type[Sell Window Month Start], "(Set Type not found)", 0, 1)</f>
        <v>(Set Type not found)</v>
      </c>
      <c r="U302" s="3" t="e">
        <f>tbl_MTG_Set[[#This Row],[Released On]]+tbl_MTG_Set[[#This Row],[Sell Window Month Start]]*365.25/12</f>
        <v>#VALUE!</v>
      </c>
      <c r="V302" t="str">
        <f>_xlfn.XLOOKUP(tbl_MTG_Set[[#This Row],[Type Name]], tbl_MTG_Set_Type[Set Type], tbl_MTG_Set_Type[Sell Window Month End], "(Set Type not found)", 0, 1)</f>
        <v>(Set Type not found)</v>
      </c>
      <c r="W302" s="3" t="e">
        <f>tbl_MTG_Set[[#This Row],[Released On]]+tbl_MTG_Set[[#This Row],[Sell Window Month End]]*365.25/12</f>
        <v>#VALUE!</v>
      </c>
      <c r="X302" s="3" t="e">
        <f ca="1">AND(NOW()&gt;=tbl_MTG_Set[[#This Row],[Sell Window Start]], NOW()&lt;=tbl_MTG_Set[[#This Row],[Sell Window End]])</f>
        <v>#VALUE!</v>
      </c>
      <c r="AG302" s="10"/>
      <c r="AH302" s="10"/>
      <c r="AM302" s="10" t="str" cm="1">
        <f t="array" ref="AM3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2" s="10" t="str" cm="1">
        <f t="array" ref="AN3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2" s="4" t="e">
        <f>_xlfn.XLOOKUP(tbl_MTG_Set[[#This Row],[Play Booster Box Product Id]], tbl_Product[Product Id], tbl_Product[Pack Size])</f>
        <v>#N/A</v>
      </c>
      <c r="AP302" s="10" t="e">
        <f>(tbl_MTG_Set[[#This Row],[Play Booster Box Cost]]+v_Item_Shipping_Cost_In)/tbl_MTG_Set[[#This Row],[Play Booster Box Size]]</f>
        <v>#VALUE!</v>
      </c>
      <c r="AQ302" s="10" t="str" cm="1">
        <f t="array" ref="AQ3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2" s="10"/>
      <c r="AS302" s="10"/>
      <c r="AT302" s="17" t="e">
        <f>tbl_MTG_Set[[#This Row],[Play Booster CardMarket Profit]]/tbl_MTG_Set[[#This Row],[Play Booster Cost]]</f>
        <v>#VALUE!</v>
      </c>
      <c r="AU302" s="10" t="e">
        <f>_xlfn.XLOOKUP(tbl_MTG_Set[[#This Row],[Collector Booster Box Product Id]], tbl_Product[Product Id], tbl_Product[Min Cost])</f>
        <v>#N/A</v>
      </c>
      <c r="AV302" s="10" t="e">
        <f>_xlfn.XLOOKUP(tbl_MTG_Set[[#This Row],[Collector Booster Box Product Id]], tbl_Product[Product Id], tbl_Product[Best Source])</f>
        <v>#N/A</v>
      </c>
      <c r="AW302" s="4" t="e">
        <f>_xlfn.XLOOKUP(tbl_MTG_Set[[#This Row],[Collector Booster Box Product Id]], tbl_Product[Product Id], tbl_Product[Pack Size])</f>
        <v>#N/A</v>
      </c>
      <c r="AX302" s="10" t="e">
        <f>(tbl_MTG_Set[[#This Row],[Collector Booster Box Cost]] + v_Item_Shipping_Cost_In) / tbl_MTG_Set[[#This Row],[Collector Booster Box Size]]</f>
        <v>#N/A</v>
      </c>
      <c r="AY302" s="10" t="str" cm="1">
        <f t="array" ref="AY3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2" s="10"/>
      <c r="BA3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2" s="17" t="e">
        <f>tbl_MTG_Set[[#This Row],[Collector Booster CardMarket Profit]]/tbl_MTG_Set[[#This Row],[Collector Booster Cost]]</f>
        <v>#N/A</v>
      </c>
      <c r="BC302" s="10"/>
      <c r="BF3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2" s="11" t="e">
        <f>tbl_MTG_Set[[#This Row],[Play Singles CardMarket Profit MTG Stocks]]/tbl_MTG_Set[[#This Row],[Play Booster Cost]]</f>
        <v>#VALUE!</v>
      </c>
      <c r="BI302" s="11" t="b">
        <f>tbl_MTG_Set[[#This Row],[Play Singles CardMarket Profit MTG Stocks]]&gt;0</f>
        <v>0</v>
      </c>
      <c r="BM302" s="10" t="e">
        <f>tbl_MTG_Set[[#This Row],[Play Booster Sell Price CardMarket]]*tbl_MTG_Set[[#This Row],[Play Booster Expected Market Value BotBox]]/tbl_MTG_Set[[#This Row],[Play Booster Sealed Market Value BotBox]]</f>
        <v>#VALUE!</v>
      </c>
      <c r="BN3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2" s="10" t="e">
        <f>tbl_MTG_Set[[#This Row],[Play Singles CardMarket Profit BotBox]]/tbl_MTG_Set[[#This Row],[Play Booster Cost]]</f>
        <v>#VALUE!</v>
      </c>
      <c r="BP302" s="10" t="b">
        <f>tbl_MTG_Set[[#This Row],[Play Singles CardMarket Profit BotBox]]&gt;0</f>
        <v>0</v>
      </c>
      <c r="BQ302" s="10"/>
      <c r="BR302" s="10"/>
      <c r="BS302" s="10"/>
      <c r="BT3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2" s="19" t="e">
        <f>tbl_MTG_Set[[#This Row],[Collector Singles CardMarket Profit MTG Stocks]]/tbl_MTG_Set[[#This Row],[Collector Booster Cost]]</f>
        <v>#N/A</v>
      </c>
      <c r="BW302" s="10" t="b">
        <f>tbl_MTG_Set[[#This Row],[Collector Singles CardMarket Profit MTG Stocks]]&gt;0</f>
        <v>0</v>
      </c>
      <c r="BX302" s="10"/>
      <c r="BY302" s="10"/>
      <c r="BZ3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2" s="10" t="e">
        <f>tbl_MTG_Set[[#This Row],[Collector Singles CardMarket Profit BotBox]]/tbl_MTG_Set[[#This Row],[Collector Booster Cost]]</f>
        <v>#N/A</v>
      </c>
      <c r="CC302" s="10" t="b">
        <f>tbl_MTG_Set[[#This Row],[Collector Singles CardMarket Profit BotBox]]&gt;0</f>
        <v>0</v>
      </c>
      <c r="CD3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3" spans="1:86" hidden="1">
      <c r="A303">
        <v>328</v>
      </c>
      <c r="B303" t="s">
        <v>476</v>
      </c>
      <c r="C303">
        <v>13</v>
      </c>
      <c r="D303" s="3">
        <v>44400</v>
      </c>
      <c r="F303" t="s">
        <v>174</v>
      </c>
      <c r="G303">
        <v>602</v>
      </c>
      <c r="H303">
        <f ca="1">MONTH(NOW())+12*YEAR(NOW())-MONTH(tbl_MTG_Set[[#This Row],[Released On]])-12*YEAR(tbl_MTG_Set[[#This Row],[Released On]])</f>
        <v>56</v>
      </c>
      <c r="I303" t="str">
        <f>_xlfn.XLOOKUP(tbl_MTG_Set[[#This Row],[Type Name]], tbl_MTG_Set_Type[Set Type], tbl_MTG_Set_Type[Index], "(Set Type not found)")</f>
        <v>(Set Type not found)</v>
      </c>
      <c r="J303" t="str">
        <f>_xlfn.XLOOKUP(tbl_MTG_Set[[#This Row],[Type Name]], tbl_MTG_Set_Type[Set Type], tbl_MTG_Set_Type[Buy Window Month Start], "(Set Type not found)")</f>
        <v>(Set Type not found)</v>
      </c>
      <c r="K303" s="3" t="e">
        <f>tbl_MTG_Set[[#This Row],[Released On]]+tbl_MTG_Set[[#This Row],[Buy Window Month Start]]*365.25/12</f>
        <v>#VALUE!</v>
      </c>
      <c r="L303" t="str">
        <f>_xlfn.XLOOKUP(tbl_MTG_Set[[#This Row],[Type Name]], tbl_MTG_Set_Type[Set Type], tbl_MTG_Set_Type[Buy Window Month End], "(Set Type not found)", 0, 1)</f>
        <v>(Set Type not found)</v>
      </c>
      <c r="M303" s="3" t="e">
        <f>tbl_MTG_Set[[#This Row],[Released On]]+tbl_MTG_Set[[#This Row],[Buy Window Month End]]*365.25/12</f>
        <v>#VALUE!</v>
      </c>
      <c r="N303" s="3" t="e">
        <f ca="1">AND(NOW()&gt;=tbl_MTG_Set[[#This Row],[Buy Window Start]], NOW()&lt;=tbl_MTG_Set[[#This Row],[Buy Window End]])</f>
        <v>#VALUE!</v>
      </c>
      <c r="O303" t="str">
        <f>_xlfn.XLOOKUP(tbl_MTG_Set[[#This Row],[Type Name]], tbl_MTG_Set_Type[Set Type], tbl_MTG_Set_Type[Heavy Printing Window Month Start], "(Set Type not found)", 0, 1)</f>
        <v>(Set Type not found)</v>
      </c>
      <c r="P303" s="3" t="e">
        <f>tbl_MTG_Set[[#This Row],[Released On]]+tbl_MTG_Set[[#This Row],[Heavy Printing Window Month Start]]*365.25/12</f>
        <v>#VALUE!</v>
      </c>
      <c r="Q303" t="str">
        <f>_xlfn.XLOOKUP(tbl_MTG_Set[[#This Row],[Type Name]], tbl_MTG_Set_Type[Set Type], tbl_MTG_Set_Type[Heavy Printing Window Month End], "(Set Type not found)", 0, 1)</f>
        <v>(Set Type not found)</v>
      </c>
      <c r="R303" s="3" t="e">
        <f>tbl_MTG_Set[[#This Row],[Released On]]+tbl_MTG_Set[[#This Row],[Heavy Printing Window Month End]]*365.25/12</f>
        <v>#VALUE!</v>
      </c>
      <c r="S303" s="3" t="e">
        <f ca="1">AND(NOW()&gt;=tbl_MTG_Set[[#This Row],[Heavy Printing Window Start]], NOW()&lt;=tbl_MTG_Set[[#This Row],[Heavy Printing Window End]])</f>
        <v>#VALUE!</v>
      </c>
      <c r="T303" t="str">
        <f>_xlfn.XLOOKUP(tbl_MTG_Set[[#This Row],[Type Name]], tbl_MTG_Set_Type[Set Type], tbl_MTG_Set_Type[Sell Window Month Start], "(Set Type not found)", 0, 1)</f>
        <v>(Set Type not found)</v>
      </c>
      <c r="U303" s="3" t="e">
        <f>tbl_MTG_Set[[#This Row],[Released On]]+tbl_MTG_Set[[#This Row],[Sell Window Month Start]]*365.25/12</f>
        <v>#VALUE!</v>
      </c>
      <c r="V303" t="str">
        <f>_xlfn.XLOOKUP(tbl_MTG_Set[[#This Row],[Type Name]], tbl_MTG_Set_Type[Set Type], tbl_MTG_Set_Type[Sell Window Month End], "(Set Type not found)", 0, 1)</f>
        <v>(Set Type not found)</v>
      </c>
      <c r="W303" s="3" t="e">
        <f>tbl_MTG_Set[[#This Row],[Released On]]+tbl_MTG_Set[[#This Row],[Sell Window Month End]]*365.25/12</f>
        <v>#VALUE!</v>
      </c>
      <c r="X303" s="3" t="e">
        <f ca="1">AND(NOW()&gt;=tbl_MTG_Set[[#This Row],[Sell Window Start]], NOW()&lt;=tbl_MTG_Set[[#This Row],[Sell Window End]])</f>
        <v>#VALUE!</v>
      </c>
      <c r="AG303" s="10"/>
      <c r="AH303" s="10"/>
      <c r="AM303" s="10" t="str" cm="1">
        <f t="array" ref="AM3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3" s="10" t="str" cm="1">
        <f t="array" ref="AN3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3" s="4" t="e">
        <f>_xlfn.XLOOKUP(tbl_MTG_Set[[#This Row],[Play Booster Box Product Id]], tbl_Product[Product Id], tbl_Product[Pack Size])</f>
        <v>#N/A</v>
      </c>
      <c r="AP303" s="10" t="e">
        <f>(tbl_MTG_Set[[#This Row],[Play Booster Box Cost]]+v_Item_Shipping_Cost_In)/tbl_MTG_Set[[#This Row],[Play Booster Box Size]]</f>
        <v>#VALUE!</v>
      </c>
      <c r="AQ303" s="10" t="str" cm="1">
        <f t="array" ref="AQ3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3" s="10"/>
      <c r="AS303" s="10"/>
      <c r="AT303" s="17" t="e">
        <f>tbl_MTG_Set[[#This Row],[Play Booster CardMarket Profit]]/tbl_MTG_Set[[#This Row],[Play Booster Cost]]</f>
        <v>#VALUE!</v>
      </c>
      <c r="AU303" s="10" t="e">
        <f>_xlfn.XLOOKUP(tbl_MTG_Set[[#This Row],[Collector Booster Box Product Id]], tbl_Product[Product Id], tbl_Product[Min Cost])</f>
        <v>#N/A</v>
      </c>
      <c r="AV303" s="10" t="e">
        <f>_xlfn.XLOOKUP(tbl_MTG_Set[[#This Row],[Collector Booster Box Product Id]], tbl_Product[Product Id], tbl_Product[Best Source])</f>
        <v>#N/A</v>
      </c>
      <c r="AW303" s="4" t="e">
        <f>_xlfn.XLOOKUP(tbl_MTG_Set[[#This Row],[Collector Booster Box Product Id]], tbl_Product[Product Id], tbl_Product[Pack Size])</f>
        <v>#N/A</v>
      </c>
      <c r="AX303" s="10" t="e">
        <f>(tbl_MTG_Set[[#This Row],[Collector Booster Box Cost]] + v_Item_Shipping_Cost_In) / tbl_MTG_Set[[#This Row],[Collector Booster Box Size]]</f>
        <v>#N/A</v>
      </c>
      <c r="AY303" s="10" t="str" cm="1">
        <f t="array" ref="AY3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3" s="10"/>
      <c r="BA3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3" s="17" t="e">
        <f>tbl_MTG_Set[[#This Row],[Collector Booster CardMarket Profit]]/tbl_MTG_Set[[#This Row],[Collector Booster Cost]]</f>
        <v>#N/A</v>
      </c>
      <c r="BC303" s="10"/>
      <c r="BF3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3" s="11" t="e">
        <f>tbl_MTG_Set[[#This Row],[Play Singles CardMarket Profit MTG Stocks]]/tbl_MTG_Set[[#This Row],[Play Booster Cost]]</f>
        <v>#VALUE!</v>
      </c>
      <c r="BI303" s="11" t="b">
        <f>tbl_MTG_Set[[#This Row],[Play Singles CardMarket Profit MTG Stocks]]&gt;0</f>
        <v>0</v>
      </c>
      <c r="BM303" s="10" t="e">
        <f>tbl_MTG_Set[[#This Row],[Play Booster Sell Price CardMarket]]*tbl_MTG_Set[[#This Row],[Play Booster Expected Market Value BotBox]]/tbl_MTG_Set[[#This Row],[Play Booster Sealed Market Value BotBox]]</f>
        <v>#VALUE!</v>
      </c>
      <c r="BN3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3" s="10" t="e">
        <f>tbl_MTG_Set[[#This Row],[Play Singles CardMarket Profit BotBox]]/tbl_MTG_Set[[#This Row],[Play Booster Cost]]</f>
        <v>#VALUE!</v>
      </c>
      <c r="BP303" s="10" t="b">
        <f>tbl_MTG_Set[[#This Row],[Play Singles CardMarket Profit BotBox]]&gt;0</f>
        <v>0</v>
      </c>
      <c r="BQ303" s="10"/>
      <c r="BR303" s="10"/>
      <c r="BS303" s="10"/>
      <c r="BT3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3" s="19" t="e">
        <f>tbl_MTG_Set[[#This Row],[Collector Singles CardMarket Profit MTG Stocks]]/tbl_MTG_Set[[#This Row],[Collector Booster Cost]]</f>
        <v>#N/A</v>
      </c>
      <c r="BW303" s="10" t="b">
        <f>tbl_MTG_Set[[#This Row],[Collector Singles CardMarket Profit MTG Stocks]]&gt;0</f>
        <v>0</v>
      </c>
      <c r="BX303" s="10"/>
      <c r="BY303" s="10"/>
      <c r="BZ3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3" s="10" t="e">
        <f>tbl_MTG_Set[[#This Row],[Collector Singles CardMarket Profit BotBox]]/tbl_MTG_Set[[#This Row],[Collector Booster Cost]]</f>
        <v>#N/A</v>
      </c>
      <c r="CC303" s="10" t="b">
        <f>tbl_MTG_Set[[#This Row],[Collector Singles CardMarket Profit BotBox]]&gt;0</f>
        <v>0</v>
      </c>
      <c r="CD3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4" spans="1:86" hidden="1">
      <c r="A304">
        <v>329</v>
      </c>
      <c r="B304" t="s">
        <v>477</v>
      </c>
      <c r="C304">
        <v>4</v>
      </c>
      <c r="D304" s="3">
        <v>44400</v>
      </c>
      <c r="F304" t="s">
        <v>174</v>
      </c>
      <c r="G304">
        <v>604</v>
      </c>
      <c r="H304">
        <f ca="1">MONTH(NOW())+12*YEAR(NOW())-MONTH(tbl_MTG_Set[[#This Row],[Released On]])-12*YEAR(tbl_MTG_Set[[#This Row],[Released On]])</f>
        <v>56</v>
      </c>
      <c r="I304" t="str">
        <f>_xlfn.XLOOKUP(tbl_MTG_Set[[#This Row],[Type Name]], tbl_MTG_Set_Type[Set Type], tbl_MTG_Set_Type[Index], "(Set Type not found)")</f>
        <v>(Set Type not found)</v>
      </c>
      <c r="J304" t="str">
        <f>_xlfn.XLOOKUP(tbl_MTG_Set[[#This Row],[Type Name]], tbl_MTG_Set_Type[Set Type], tbl_MTG_Set_Type[Buy Window Month Start], "(Set Type not found)")</f>
        <v>(Set Type not found)</v>
      </c>
      <c r="K304" s="3" t="e">
        <f>tbl_MTG_Set[[#This Row],[Released On]]+tbl_MTG_Set[[#This Row],[Buy Window Month Start]]*365.25/12</f>
        <v>#VALUE!</v>
      </c>
      <c r="L304" t="str">
        <f>_xlfn.XLOOKUP(tbl_MTG_Set[[#This Row],[Type Name]], tbl_MTG_Set_Type[Set Type], tbl_MTG_Set_Type[Buy Window Month End], "(Set Type not found)", 0, 1)</f>
        <v>(Set Type not found)</v>
      </c>
      <c r="M304" s="3" t="e">
        <f>tbl_MTG_Set[[#This Row],[Released On]]+tbl_MTG_Set[[#This Row],[Buy Window Month End]]*365.25/12</f>
        <v>#VALUE!</v>
      </c>
      <c r="N304" s="3" t="e">
        <f ca="1">AND(NOW()&gt;=tbl_MTG_Set[[#This Row],[Buy Window Start]], NOW()&lt;=tbl_MTG_Set[[#This Row],[Buy Window End]])</f>
        <v>#VALUE!</v>
      </c>
      <c r="O304" t="str">
        <f>_xlfn.XLOOKUP(tbl_MTG_Set[[#This Row],[Type Name]], tbl_MTG_Set_Type[Set Type], tbl_MTG_Set_Type[Heavy Printing Window Month Start], "(Set Type not found)", 0, 1)</f>
        <v>(Set Type not found)</v>
      </c>
      <c r="P304" s="3" t="e">
        <f>tbl_MTG_Set[[#This Row],[Released On]]+tbl_MTG_Set[[#This Row],[Heavy Printing Window Month Start]]*365.25/12</f>
        <v>#VALUE!</v>
      </c>
      <c r="Q304" t="str">
        <f>_xlfn.XLOOKUP(tbl_MTG_Set[[#This Row],[Type Name]], tbl_MTG_Set_Type[Set Type], tbl_MTG_Set_Type[Heavy Printing Window Month End], "(Set Type not found)", 0, 1)</f>
        <v>(Set Type not found)</v>
      </c>
      <c r="R304" s="3" t="e">
        <f>tbl_MTG_Set[[#This Row],[Released On]]+tbl_MTG_Set[[#This Row],[Heavy Printing Window Month End]]*365.25/12</f>
        <v>#VALUE!</v>
      </c>
      <c r="S304" s="3" t="e">
        <f ca="1">AND(NOW()&gt;=tbl_MTG_Set[[#This Row],[Heavy Printing Window Start]], NOW()&lt;=tbl_MTG_Set[[#This Row],[Heavy Printing Window End]])</f>
        <v>#VALUE!</v>
      </c>
      <c r="T304" t="str">
        <f>_xlfn.XLOOKUP(tbl_MTG_Set[[#This Row],[Type Name]], tbl_MTG_Set_Type[Set Type], tbl_MTG_Set_Type[Sell Window Month Start], "(Set Type not found)", 0, 1)</f>
        <v>(Set Type not found)</v>
      </c>
      <c r="U304" s="3" t="e">
        <f>tbl_MTG_Set[[#This Row],[Released On]]+tbl_MTG_Set[[#This Row],[Sell Window Month Start]]*365.25/12</f>
        <v>#VALUE!</v>
      </c>
      <c r="V304" t="str">
        <f>_xlfn.XLOOKUP(tbl_MTG_Set[[#This Row],[Type Name]], tbl_MTG_Set_Type[Set Type], tbl_MTG_Set_Type[Sell Window Month End], "(Set Type not found)", 0, 1)</f>
        <v>(Set Type not found)</v>
      </c>
      <c r="W304" s="3" t="e">
        <f>tbl_MTG_Set[[#This Row],[Released On]]+tbl_MTG_Set[[#This Row],[Sell Window Month End]]*365.25/12</f>
        <v>#VALUE!</v>
      </c>
      <c r="X304" s="3" t="e">
        <f ca="1">AND(NOW()&gt;=tbl_MTG_Set[[#This Row],[Sell Window Start]], NOW()&lt;=tbl_MTG_Set[[#This Row],[Sell Window End]])</f>
        <v>#VALUE!</v>
      </c>
      <c r="AG304" s="10"/>
      <c r="AH304" s="10"/>
      <c r="AM304" s="10" t="str" cm="1">
        <f t="array" ref="AM3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4" s="10" t="str" cm="1">
        <f t="array" ref="AN3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4" s="4" t="e">
        <f>_xlfn.XLOOKUP(tbl_MTG_Set[[#This Row],[Play Booster Box Product Id]], tbl_Product[Product Id], tbl_Product[Pack Size])</f>
        <v>#N/A</v>
      </c>
      <c r="AP304" s="10" t="e">
        <f>(tbl_MTG_Set[[#This Row],[Play Booster Box Cost]]+v_Item_Shipping_Cost_In)/tbl_MTG_Set[[#This Row],[Play Booster Box Size]]</f>
        <v>#VALUE!</v>
      </c>
      <c r="AQ304" s="10" t="str" cm="1">
        <f t="array" ref="AQ3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4" s="10"/>
      <c r="AS304" s="10"/>
      <c r="AT304" s="17" t="e">
        <f>tbl_MTG_Set[[#This Row],[Play Booster CardMarket Profit]]/tbl_MTG_Set[[#This Row],[Play Booster Cost]]</f>
        <v>#VALUE!</v>
      </c>
      <c r="AU304" s="10" t="e">
        <f>_xlfn.XLOOKUP(tbl_MTG_Set[[#This Row],[Collector Booster Box Product Id]], tbl_Product[Product Id], tbl_Product[Min Cost])</f>
        <v>#N/A</v>
      </c>
      <c r="AV304" s="10" t="e">
        <f>_xlfn.XLOOKUP(tbl_MTG_Set[[#This Row],[Collector Booster Box Product Id]], tbl_Product[Product Id], tbl_Product[Best Source])</f>
        <v>#N/A</v>
      </c>
      <c r="AW304" s="4" t="e">
        <f>_xlfn.XLOOKUP(tbl_MTG_Set[[#This Row],[Collector Booster Box Product Id]], tbl_Product[Product Id], tbl_Product[Pack Size])</f>
        <v>#N/A</v>
      </c>
      <c r="AX304" s="10" t="e">
        <f>(tbl_MTG_Set[[#This Row],[Collector Booster Box Cost]] + v_Item_Shipping_Cost_In) / tbl_MTG_Set[[#This Row],[Collector Booster Box Size]]</f>
        <v>#N/A</v>
      </c>
      <c r="AY304" s="10" t="str" cm="1">
        <f t="array" ref="AY3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4" s="10"/>
      <c r="BA3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4" s="17" t="e">
        <f>tbl_MTG_Set[[#This Row],[Collector Booster CardMarket Profit]]/tbl_MTG_Set[[#This Row],[Collector Booster Cost]]</f>
        <v>#N/A</v>
      </c>
      <c r="BC304" s="10"/>
      <c r="BF3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4" s="11" t="e">
        <f>tbl_MTG_Set[[#This Row],[Play Singles CardMarket Profit MTG Stocks]]/tbl_MTG_Set[[#This Row],[Play Booster Cost]]</f>
        <v>#VALUE!</v>
      </c>
      <c r="BI304" s="11" t="b">
        <f>tbl_MTG_Set[[#This Row],[Play Singles CardMarket Profit MTG Stocks]]&gt;0</f>
        <v>0</v>
      </c>
      <c r="BM304" s="10" t="e">
        <f>tbl_MTG_Set[[#This Row],[Play Booster Sell Price CardMarket]]*tbl_MTG_Set[[#This Row],[Play Booster Expected Market Value BotBox]]/tbl_MTG_Set[[#This Row],[Play Booster Sealed Market Value BotBox]]</f>
        <v>#VALUE!</v>
      </c>
      <c r="BN3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4" s="10" t="e">
        <f>tbl_MTG_Set[[#This Row],[Play Singles CardMarket Profit BotBox]]/tbl_MTG_Set[[#This Row],[Play Booster Cost]]</f>
        <v>#VALUE!</v>
      </c>
      <c r="BP304" s="10" t="b">
        <f>tbl_MTG_Set[[#This Row],[Play Singles CardMarket Profit BotBox]]&gt;0</f>
        <v>0</v>
      </c>
      <c r="BQ304" s="10"/>
      <c r="BR304" s="10"/>
      <c r="BS304" s="10"/>
      <c r="BT3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4" s="19" t="e">
        <f>tbl_MTG_Set[[#This Row],[Collector Singles CardMarket Profit MTG Stocks]]/tbl_MTG_Set[[#This Row],[Collector Booster Cost]]</f>
        <v>#N/A</v>
      </c>
      <c r="BW304" s="10" t="b">
        <f>tbl_MTG_Set[[#This Row],[Collector Singles CardMarket Profit MTG Stocks]]&gt;0</f>
        <v>0</v>
      </c>
      <c r="BX304" s="10"/>
      <c r="BY304" s="10"/>
      <c r="BZ3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4" s="10" t="e">
        <f>tbl_MTG_Set[[#This Row],[Collector Singles CardMarket Profit BotBox]]/tbl_MTG_Set[[#This Row],[Collector Booster Cost]]</f>
        <v>#N/A</v>
      </c>
      <c r="CC304" s="10" t="b">
        <f>tbl_MTG_Set[[#This Row],[Collector Singles CardMarket Profit BotBox]]&gt;0</f>
        <v>0</v>
      </c>
      <c r="CD3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5" spans="1:86" hidden="1">
      <c r="A305">
        <v>330</v>
      </c>
      <c r="B305" t="s">
        <v>478</v>
      </c>
      <c r="C305">
        <v>5</v>
      </c>
      <c r="D305" s="3">
        <v>44400</v>
      </c>
      <c r="F305" t="s">
        <v>174</v>
      </c>
      <c r="G305">
        <v>606</v>
      </c>
      <c r="H305">
        <f ca="1">MONTH(NOW())+12*YEAR(NOW())-MONTH(tbl_MTG_Set[[#This Row],[Released On]])-12*YEAR(tbl_MTG_Set[[#This Row],[Released On]])</f>
        <v>56</v>
      </c>
      <c r="I305" t="str">
        <f>_xlfn.XLOOKUP(tbl_MTG_Set[[#This Row],[Type Name]], tbl_MTG_Set_Type[Set Type], tbl_MTG_Set_Type[Index], "(Set Type not found)")</f>
        <v>(Set Type not found)</v>
      </c>
      <c r="J305" t="str">
        <f>_xlfn.XLOOKUP(tbl_MTG_Set[[#This Row],[Type Name]], tbl_MTG_Set_Type[Set Type], tbl_MTG_Set_Type[Buy Window Month Start], "(Set Type not found)")</f>
        <v>(Set Type not found)</v>
      </c>
      <c r="K305" s="3" t="e">
        <f>tbl_MTG_Set[[#This Row],[Released On]]+tbl_MTG_Set[[#This Row],[Buy Window Month Start]]*365.25/12</f>
        <v>#VALUE!</v>
      </c>
      <c r="L305" t="str">
        <f>_xlfn.XLOOKUP(tbl_MTG_Set[[#This Row],[Type Name]], tbl_MTG_Set_Type[Set Type], tbl_MTG_Set_Type[Buy Window Month End], "(Set Type not found)", 0, 1)</f>
        <v>(Set Type not found)</v>
      </c>
      <c r="M305" s="3" t="e">
        <f>tbl_MTG_Set[[#This Row],[Released On]]+tbl_MTG_Set[[#This Row],[Buy Window Month End]]*365.25/12</f>
        <v>#VALUE!</v>
      </c>
      <c r="N305" s="3" t="e">
        <f ca="1">AND(NOW()&gt;=tbl_MTG_Set[[#This Row],[Buy Window Start]], NOW()&lt;=tbl_MTG_Set[[#This Row],[Buy Window End]])</f>
        <v>#VALUE!</v>
      </c>
      <c r="O305" t="str">
        <f>_xlfn.XLOOKUP(tbl_MTG_Set[[#This Row],[Type Name]], tbl_MTG_Set_Type[Set Type], tbl_MTG_Set_Type[Heavy Printing Window Month Start], "(Set Type not found)", 0, 1)</f>
        <v>(Set Type not found)</v>
      </c>
      <c r="P305" s="3" t="e">
        <f>tbl_MTG_Set[[#This Row],[Released On]]+tbl_MTG_Set[[#This Row],[Heavy Printing Window Month Start]]*365.25/12</f>
        <v>#VALUE!</v>
      </c>
      <c r="Q305" t="str">
        <f>_xlfn.XLOOKUP(tbl_MTG_Set[[#This Row],[Type Name]], tbl_MTG_Set_Type[Set Type], tbl_MTG_Set_Type[Heavy Printing Window Month End], "(Set Type not found)", 0, 1)</f>
        <v>(Set Type not found)</v>
      </c>
      <c r="R305" s="3" t="e">
        <f>tbl_MTG_Set[[#This Row],[Released On]]+tbl_MTG_Set[[#This Row],[Heavy Printing Window Month End]]*365.25/12</f>
        <v>#VALUE!</v>
      </c>
      <c r="S305" s="3" t="e">
        <f ca="1">AND(NOW()&gt;=tbl_MTG_Set[[#This Row],[Heavy Printing Window Start]], NOW()&lt;=tbl_MTG_Set[[#This Row],[Heavy Printing Window End]])</f>
        <v>#VALUE!</v>
      </c>
      <c r="T305" t="str">
        <f>_xlfn.XLOOKUP(tbl_MTG_Set[[#This Row],[Type Name]], tbl_MTG_Set_Type[Set Type], tbl_MTG_Set_Type[Sell Window Month Start], "(Set Type not found)", 0, 1)</f>
        <v>(Set Type not found)</v>
      </c>
      <c r="U305" s="3" t="e">
        <f>tbl_MTG_Set[[#This Row],[Released On]]+tbl_MTG_Set[[#This Row],[Sell Window Month Start]]*365.25/12</f>
        <v>#VALUE!</v>
      </c>
      <c r="V305" t="str">
        <f>_xlfn.XLOOKUP(tbl_MTG_Set[[#This Row],[Type Name]], tbl_MTG_Set_Type[Set Type], tbl_MTG_Set_Type[Sell Window Month End], "(Set Type not found)", 0, 1)</f>
        <v>(Set Type not found)</v>
      </c>
      <c r="W305" s="3" t="e">
        <f>tbl_MTG_Set[[#This Row],[Released On]]+tbl_MTG_Set[[#This Row],[Sell Window Month End]]*365.25/12</f>
        <v>#VALUE!</v>
      </c>
      <c r="X305" s="3" t="e">
        <f ca="1">AND(NOW()&gt;=tbl_MTG_Set[[#This Row],[Sell Window Start]], NOW()&lt;=tbl_MTG_Set[[#This Row],[Sell Window End]])</f>
        <v>#VALUE!</v>
      </c>
      <c r="AG305" s="10"/>
      <c r="AH305" s="10"/>
      <c r="AM305" s="10" t="str" cm="1">
        <f t="array" ref="AM3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5" s="10" t="str" cm="1">
        <f t="array" ref="AN3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5" s="4" t="e">
        <f>_xlfn.XLOOKUP(tbl_MTG_Set[[#This Row],[Play Booster Box Product Id]], tbl_Product[Product Id], tbl_Product[Pack Size])</f>
        <v>#N/A</v>
      </c>
      <c r="AP305" s="10" t="e">
        <f>(tbl_MTG_Set[[#This Row],[Play Booster Box Cost]]+v_Item_Shipping_Cost_In)/tbl_MTG_Set[[#This Row],[Play Booster Box Size]]</f>
        <v>#VALUE!</v>
      </c>
      <c r="AQ305" s="10" t="str" cm="1">
        <f t="array" ref="AQ3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5" s="10"/>
      <c r="AS305" s="10"/>
      <c r="AT305" s="17" t="e">
        <f>tbl_MTG_Set[[#This Row],[Play Booster CardMarket Profit]]/tbl_MTG_Set[[#This Row],[Play Booster Cost]]</f>
        <v>#VALUE!</v>
      </c>
      <c r="AU305" s="10" t="e">
        <f>_xlfn.XLOOKUP(tbl_MTG_Set[[#This Row],[Collector Booster Box Product Id]], tbl_Product[Product Id], tbl_Product[Min Cost])</f>
        <v>#N/A</v>
      </c>
      <c r="AV305" s="10" t="e">
        <f>_xlfn.XLOOKUP(tbl_MTG_Set[[#This Row],[Collector Booster Box Product Id]], tbl_Product[Product Id], tbl_Product[Best Source])</f>
        <v>#N/A</v>
      </c>
      <c r="AW305" s="4" t="e">
        <f>_xlfn.XLOOKUP(tbl_MTG_Set[[#This Row],[Collector Booster Box Product Id]], tbl_Product[Product Id], tbl_Product[Pack Size])</f>
        <v>#N/A</v>
      </c>
      <c r="AX305" s="10" t="e">
        <f>(tbl_MTG_Set[[#This Row],[Collector Booster Box Cost]] + v_Item_Shipping_Cost_In) / tbl_MTG_Set[[#This Row],[Collector Booster Box Size]]</f>
        <v>#N/A</v>
      </c>
      <c r="AY305" s="10" t="str" cm="1">
        <f t="array" ref="AY3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5" s="10"/>
      <c r="BA3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5" s="17" t="e">
        <f>tbl_MTG_Set[[#This Row],[Collector Booster CardMarket Profit]]/tbl_MTG_Set[[#This Row],[Collector Booster Cost]]</f>
        <v>#N/A</v>
      </c>
      <c r="BC305" s="10"/>
      <c r="BF3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5" s="11" t="e">
        <f>tbl_MTG_Set[[#This Row],[Play Singles CardMarket Profit MTG Stocks]]/tbl_MTG_Set[[#This Row],[Play Booster Cost]]</f>
        <v>#VALUE!</v>
      </c>
      <c r="BI305" s="11" t="b">
        <f>tbl_MTG_Set[[#This Row],[Play Singles CardMarket Profit MTG Stocks]]&gt;0</f>
        <v>0</v>
      </c>
      <c r="BM305" s="10" t="e">
        <f>tbl_MTG_Set[[#This Row],[Play Booster Sell Price CardMarket]]*tbl_MTG_Set[[#This Row],[Play Booster Expected Market Value BotBox]]/tbl_MTG_Set[[#This Row],[Play Booster Sealed Market Value BotBox]]</f>
        <v>#VALUE!</v>
      </c>
      <c r="BN3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5" s="10" t="e">
        <f>tbl_MTG_Set[[#This Row],[Play Singles CardMarket Profit BotBox]]/tbl_MTG_Set[[#This Row],[Play Booster Cost]]</f>
        <v>#VALUE!</v>
      </c>
      <c r="BP305" s="10" t="b">
        <f>tbl_MTG_Set[[#This Row],[Play Singles CardMarket Profit BotBox]]&gt;0</f>
        <v>0</v>
      </c>
      <c r="BQ305" s="10"/>
      <c r="BR305" s="10"/>
      <c r="BS305" s="10"/>
      <c r="BT3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5" s="19" t="e">
        <f>tbl_MTG_Set[[#This Row],[Collector Singles CardMarket Profit MTG Stocks]]/tbl_MTG_Set[[#This Row],[Collector Booster Cost]]</f>
        <v>#N/A</v>
      </c>
      <c r="BW305" s="10" t="b">
        <f>tbl_MTG_Set[[#This Row],[Collector Singles CardMarket Profit MTG Stocks]]&gt;0</f>
        <v>0</v>
      </c>
      <c r="BX305" s="10"/>
      <c r="BY305" s="10"/>
      <c r="BZ3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5" s="10" t="e">
        <f>tbl_MTG_Set[[#This Row],[Collector Singles CardMarket Profit BotBox]]/tbl_MTG_Set[[#This Row],[Collector Booster Cost]]</f>
        <v>#N/A</v>
      </c>
      <c r="CC305" s="10" t="b">
        <f>tbl_MTG_Set[[#This Row],[Collector Singles CardMarket Profit BotBox]]&gt;0</f>
        <v>0</v>
      </c>
      <c r="CD3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6" spans="1:86" hidden="1">
      <c r="A306">
        <v>331</v>
      </c>
      <c r="B306" t="s">
        <v>479</v>
      </c>
      <c r="C306">
        <v>540</v>
      </c>
      <c r="D306" s="3">
        <v>44372</v>
      </c>
      <c r="F306">
        <v>0</v>
      </c>
      <c r="G306">
        <v>608</v>
      </c>
      <c r="H306">
        <f ca="1">MONTH(NOW())+12*YEAR(NOW())-MONTH(tbl_MTG_Set[[#This Row],[Released On]])-12*YEAR(tbl_MTG_Set[[#This Row],[Released On]])</f>
        <v>57</v>
      </c>
      <c r="I306" t="str">
        <f>_xlfn.XLOOKUP(tbl_MTG_Set[[#This Row],[Type Name]], tbl_MTG_Set_Type[Set Type], tbl_MTG_Set_Type[Index], "(Set Type not found)")</f>
        <v>(Set Type not found)</v>
      </c>
      <c r="J306" t="str">
        <f>_xlfn.XLOOKUP(tbl_MTG_Set[[#This Row],[Type Name]], tbl_MTG_Set_Type[Set Type], tbl_MTG_Set_Type[Buy Window Month Start], "(Set Type not found)")</f>
        <v>(Set Type not found)</v>
      </c>
      <c r="K306" s="3" t="e">
        <f>tbl_MTG_Set[[#This Row],[Released On]]+tbl_MTG_Set[[#This Row],[Buy Window Month Start]]*365.25/12</f>
        <v>#VALUE!</v>
      </c>
      <c r="L306" t="str">
        <f>_xlfn.XLOOKUP(tbl_MTG_Set[[#This Row],[Type Name]], tbl_MTG_Set_Type[Set Type], tbl_MTG_Set_Type[Buy Window Month End], "(Set Type not found)", 0, 1)</f>
        <v>(Set Type not found)</v>
      </c>
      <c r="M306" s="3" t="e">
        <f>tbl_MTG_Set[[#This Row],[Released On]]+tbl_MTG_Set[[#This Row],[Buy Window Month End]]*365.25/12</f>
        <v>#VALUE!</v>
      </c>
      <c r="N306" s="3" t="e">
        <f ca="1">AND(NOW()&gt;=tbl_MTG_Set[[#This Row],[Buy Window Start]], NOW()&lt;=tbl_MTG_Set[[#This Row],[Buy Window End]])</f>
        <v>#VALUE!</v>
      </c>
      <c r="O306" t="str">
        <f>_xlfn.XLOOKUP(tbl_MTG_Set[[#This Row],[Type Name]], tbl_MTG_Set_Type[Set Type], tbl_MTG_Set_Type[Heavy Printing Window Month Start], "(Set Type not found)", 0, 1)</f>
        <v>(Set Type not found)</v>
      </c>
      <c r="P306" s="3" t="e">
        <f>tbl_MTG_Set[[#This Row],[Released On]]+tbl_MTG_Set[[#This Row],[Heavy Printing Window Month Start]]*365.25/12</f>
        <v>#VALUE!</v>
      </c>
      <c r="Q306" t="str">
        <f>_xlfn.XLOOKUP(tbl_MTG_Set[[#This Row],[Type Name]], tbl_MTG_Set_Type[Set Type], tbl_MTG_Set_Type[Heavy Printing Window Month End], "(Set Type not found)", 0, 1)</f>
        <v>(Set Type not found)</v>
      </c>
      <c r="R306" s="3" t="e">
        <f>tbl_MTG_Set[[#This Row],[Released On]]+tbl_MTG_Set[[#This Row],[Heavy Printing Window Month End]]*365.25/12</f>
        <v>#VALUE!</v>
      </c>
      <c r="S306" s="3" t="e">
        <f ca="1">AND(NOW()&gt;=tbl_MTG_Set[[#This Row],[Heavy Printing Window Start]], NOW()&lt;=tbl_MTG_Set[[#This Row],[Heavy Printing Window End]])</f>
        <v>#VALUE!</v>
      </c>
      <c r="T306" t="str">
        <f>_xlfn.XLOOKUP(tbl_MTG_Set[[#This Row],[Type Name]], tbl_MTG_Set_Type[Set Type], tbl_MTG_Set_Type[Sell Window Month Start], "(Set Type not found)", 0, 1)</f>
        <v>(Set Type not found)</v>
      </c>
      <c r="U306" s="3" t="e">
        <f>tbl_MTG_Set[[#This Row],[Released On]]+tbl_MTG_Set[[#This Row],[Sell Window Month Start]]*365.25/12</f>
        <v>#VALUE!</v>
      </c>
      <c r="V306" t="str">
        <f>_xlfn.XLOOKUP(tbl_MTG_Set[[#This Row],[Type Name]], tbl_MTG_Set_Type[Set Type], tbl_MTG_Set_Type[Sell Window Month End], "(Set Type not found)", 0, 1)</f>
        <v>(Set Type not found)</v>
      </c>
      <c r="W306" s="3" t="e">
        <f>tbl_MTG_Set[[#This Row],[Released On]]+tbl_MTG_Set[[#This Row],[Sell Window Month End]]*365.25/12</f>
        <v>#VALUE!</v>
      </c>
      <c r="X306" s="3" t="e">
        <f ca="1">AND(NOW()&gt;=tbl_MTG_Set[[#This Row],[Sell Window Start]], NOW()&lt;=tbl_MTG_Set[[#This Row],[Sell Window End]])</f>
        <v>#VALUE!</v>
      </c>
      <c r="AG306" s="10"/>
      <c r="AH306" s="10"/>
      <c r="AM306" s="10" t="str" cm="1">
        <f t="array" ref="AM3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6" s="10" t="str" cm="1">
        <f t="array" ref="AN3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6" s="4" t="e">
        <f>_xlfn.XLOOKUP(tbl_MTG_Set[[#This Row],[Play Booster Box Product Id]], tbl_Product[Product Id], tbl_Product[Pack Size])</f>
        <v>#N/A</v>
      </c>
      <c r="AP306" s="10" t="e">
        <f>(tbl_MTG_Set[[#This Row],[Play Booster Box Cost]]+v_Item_Shipping_Cost_In)/tbl_MTG_Set[[#This Row],[Play Booster Box Size]]</f>
        <v>#VALUE!</v>
      </c>
      <c r="AQ306" s="10" t="str" cm="1">
        <f t="array" ref="AQ3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6" s="10"/>
      <c r="AS306" s="10"/>
      <c r="AT306" s="17" t="e">
        <f>tbl_MTG_Set[[#This Row],[Play Booster CardMarket Profit]]/tbl_MTG_Set[[#This Row],[Play Booster Cost]]</f>
        <v>#VALUE!</v>
      </c>
      <c r="AU306" s="10" t="e">
        <f>_xlfn.XLOOKUP(tbl_MTG_Set[[#This Row],[Collector Booster Box Product Id]], tbl_Product[Product Id], tbl_Product[Min Cost])</f>
        <v>#N/A</v>
      </c>
      <c r="AV306" s="10" t="e">
        <f>_xlfn.XLOOKUP(tbl_MTG_Set[[#This Row],[Collector Booster Box Product Id]], tbl_Product[Product Id], tbl_Product[Best Source])</f>
        <v>#N/A</v>
      </c>
      <c r="AW306" s="4" t="e">
        <f>_xlfn.XLOOKUP(tbl_MTG_Set[[#This Row],[Collector Booster Box Product Id]], tbl_Product[Product Id], tbl_Product[Pack Size])</f>
        <v>#N/A</v>
      </c>
      <c r="AX306" s="10" t="e">
        <f>(tbl_MTG_Set[[#This Row],[Collector Booster Box Cost]] + v_Item_Shipping_Cost_In) / tbl_MTG_Set[[#This Row],[Collector Booster Box Size]]</f>
        <v>#N/A</v>
      </c>
      <c r="AY306" s="10" t="str" cm="1">
        <f t="array" ref="AY3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6" s="10"/>
      <c r="BA3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6" s="17" t="e">
        <f>tbl_MTG_Set[[#This Row],[Collector Booster CardMarket Profit]]/tbl_MTG_Set[[#This Row],[Collector Booster Cost]]</f>
        <v>#N/A</v>
      </c>
      <c r="BC306" s="10"/>
      <c r="BF3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6" s="11" t="e">
        <f>tbl_MTG_Set[[#This Row],[Play Singles CardMarket Profit MTG Stocks]]/tbl_MTG_Set[[#This Row],[Play Booster Cost]]</f>
        <v>#VALUE!</v>
      </c>
      <c r="BI306" s="11" t="b">
        <f>tbl_MTG_Set[[#This Row],[Play Singles CardMarket Profit MTG Stocks]]&gt;0</f>
        <v>0</v>
      </c>
      <c r="BM306" s="10" t="e">
        <f>tbl_MTG_Set[[#This Row],[Play Booster Sell Price CardMarket]]*tbl_MTG_Set[[#This Row],[Play Booster Expected Market Value BotBox]]/tbl_MTG_Set[[#This Row],[Play Booster Sealed Market Value BotBox]]</f>
        <v>#VALUE!</v>
      </c>
      <c r="BN3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6" s="10" t="e">
        <f>tbl_MTG_Set[[#This Row],[Play Singles CardMarket Profit BotBox]]/tbl_MTG_Set[[#This Row],[Play Booster Cost]]</f>
        <v>#VALUE!</v>
      </c>
      <c r="BP306" s="10" t="b">
        <f>tbl_MTG_Set[[#This Row],[Play Singles CardMarket Profit BotBox]]&gt;0</f>
        <v>0</v>
      </c>
      <c r="BQ306" s="10"/>
      <c r="BR306" s="10"/>
      <c r="BS306" s="10"/>
      <c r="BT3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6" s="19" t="e">
        <f>tbl_MTG_Set[[#This Row],[Collector Singles CardMarket Profit MTG Stocks]]/tbl_MTG_Set[[#This Row],[Collector Booster Cost]]</f>
        <v>#N/A</v>
      </c>
      <c r="BW306" s="10" t="b">
        <f>tbl_MTG_Set[[#This Row],[Collector Singles CardMarket Profit MTG Stocks]]&gt;0</f>
        <v>0</v>
      </c>
      <c r="BX306" s="10"/>
      <c r="BY306" s="10"/>
      <c r="BZ3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6" s="10" t="e">
        <f>tbl_MTG_Set[[#This Row],[Collector Singles CardMarket Profit BotBox]]/tbl_MTG_Set[[#This Row],[Collector Booster Cost]]</f>
        <v>#N/A</v>
      </c>
      <c r="CC306" s="10" t="b">
        <f>tbl_MTG_Set[[#This Row],[Collector Singles CardMarket Profit BotBox]]&gt;0</f>
        <v>0</v>
      </c>
      <c r="CD3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7" spans="1:86" hidden="1">
      <c r="A307">
        <v>332</v>
      </c>
      <c r="B307" t="s">
        <v>480</v>
      </c>
      <c r="C307">
        <v>11</v>
      </c>
      <c r="D307" s="3">
        <v>44369</v>
      </c>
      <c r="F307" t="s">
        <v>174</v>
      </c>
      <c r="G307">
        <v>610</v>
      </c>
      <c r="H307">
        <f ca="1">MONTH(NOW())+12*YEAR(NOW())-MONTH(tbl_MTG_Set[[#This Row],[Released On]])-12*YEAR(tbl_MTG_Set[[#This Row],[Released On]])</f>
        <v>57</v>
      </c>
      <c r="I307" t="str">
        <f>_xlfn.XLOOKUP(tbl_MTG_Set[[#This Row],[Type Name]], tbl_MTG_Set_Type[Set Type], tbl_MTG_Set_Type[Index], "(Set Type not found)")</f>
        <v>(Set Type not found)</v>
      </c>
      <c r="J307" t="str">
        <f>_xlfn.XLOOKUP(tbl_MTG_Set[[#This Row],[Type Name]], tbl_MTG_Set_Type[Set Type], tbl_MTG_Set_Type[Buy Window Month Start], "(Set Type not found)")</f>
        <v>(Set Type not found)</v>
      </c>
      <c r="K307" s="3" t="e">
        <f>tbl_MTG_Set[[#This Row],[Released On]]+tbl_MTG_Set[[#This Row],[Buy Window Month Start]]*365.25/12</f>
        <v>#VALUE!</v>
      </c>
      <c r="L307" t="str">
        <f>_xlfn.XLOOKUP(tbl_MTG_Set[[#This Row],[Type Name]], tbl_MTG_Set_Type[Set Type], tbl_MTG_Set_Type[Buy Window Month End], "(Set Type not found)", 0, 1)</f>
        <v>(Set Type not found)</v>
      </c>
      <c r="M307" s="3" t="e">
        <f>tbl_MTG_Set[[#This Row],[Released On]]+tbl_MTG_Set[[#This Row],[Buy Window Month End]]*365.25/12</f>
        <v>#VALUE!</v>
      </c>
      <c r="N307" s="3" t="e">
        <f ca="1">AND(NOW()&gt;=tbl_MTG_Set[[#This Row],[Buy Window Start]], NOW()&lt;=tbl_MTG_Set[[#This Row],[Buy Window End]])</f>
        <v>#VALUE!</v>
      </c>
      <c r="O307" t="str">
        <f>_xlfn.XLOOKUP(tbl_MTG_Set[[#This Row],[Type Name]], tbl_MTG_Set_Type[Set Type], tbl_MTG_Set_Type[Heavy Printing Window Month Start], "(Set Type not found)", 0, 1)</f>
        <v>(Set Type not found)</v>
      </c>
      <c r="P307" s="3" t="e">
        <f>tbl_MTG_Set[[#This Row],[Released On]]+tbl_MTG_Set[[#This Row],[Heavy Printing Window Month Start]]*365.25/12</f>
        <v>#VALUE!</v>
      </c>
      <c r="Q307" t="str">
        <f>_xlfn.XLOOKUP(tbl_MTG_Set[[#This Row],[Type Name]], tbl_MTG_Set_Type[Set Type], tbl_MTG_Set_Type[Heavy Printing Window Month End], "(Set Type not found)", 0, 1)</f>
        <v>(Set Type not found)</v>
      </c>
      <c r="R307" s="3" t="e">
        <f>tbl_MTG_Set[[#This Row],[Released On]]+tbl_MTG_Set[[#This Row],[Heavy Printing Window Month End]]*365.25/12</f>
        <v>#VALUE!</v>
      </c>
      <c r="S307" s="3" t="e">
        <f ca="1">AND(NOW()&gt;=tbl_MTG_Set[[#This Row],[Heavy Printing Window Start]], NOW()&lt;=tbl_MTG_Set[[#This Row],[Heavy Printing Window End]])</f>
        <v>#VALUE!</v>
      </c>
      <c r="T307" t="str">
        <f>_xlfn.XLOOKUP(tbl_MTG_Set[[#This Row],[Type Name]], tbl_MTG_Set_Type[Set Type], tbl_MTG_Set_Type[Sell Window Month Start], "(Set Type not found)", 0, 1)</f>
        <v>(Set Type not found)</v>
      </c>
      <c r="U307" s="3" t="e">
        <f>tbl_MTG_Set[[#This Row],[Released On]]+tbl_MTG_Set[[#This Row],[Sell Window Month Start]]*365.25/12</f>
        <v>#VALUE!</v>
      </c>
      <c r="V307" t="str">
        <f>_xlfn.XLOOKUP(tbl_MTG_Set[[#This Row],[Type Name]], tbl_MTG_Set_Type[Set Type], tbl_MTG_Set_Type[Sell Window Month End], "(Set Type not found)", 0, 1)</f>
        <v>(Set Type not found)</v>
      </c>
      <c r="W307" s="3" t="e">
        <f>tbl_MTG_Set[[#This Row],[Released On]]+tbl_MTG_Set[[#This Row],[Sell Window Month End]]*365.25/12</f>
        <v>#VALUE!</v>
      </c>
      <c r="X307" s="3" t="e">
        <f ca="1">AND(NOW()&gt;=tbl_MTG_Set[[#This Row],[Sell Window Start]], NOW()&lt;=tbl_MTG_Set[[#This Row],[Sell Window End]])</f>
        <v>#VALUE!</v>
      </c>
      <c r="AG307" s="10"/>
      <c r="AH307" s="10"/>
      <c r="AM307" s="10" t="str" cm="1">
        <f t="array" ref="AM3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7" s="10" t="str" cm="1">
        <f t="array" ref="AN3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7" s="4" t="e">
        <f>_xlfn.XLOOKUP(tbl_MTG_Set[[#This Row],[Play Booster Box Product Id]], tbl_Product[Product Id], tbl_Product[Pack Size])</f>
        <v>#N/A</v>
      </c>
      <c r="AP307" s="10" t="e">
        <f>(tbl_MTG_Set[[#This Row],[Play Booster Box Cost]]+v_Item_Shipping_Cost_In)/tbl_MTG_Set[[#This Row],[Play Booster Box Size]]</f>
        <v>#VALUE!</v>
      </c>
      <c r="AQ307" s="10" t="str" cm="1">
        <f t="array" ref="AQ3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7" s="10"/>
      <c r="AS307" s="10"/>
      <c r="AT307" s="17" t="e">
        <f>tbl_MTG_Set[[#This Row],[Play Booster CardMarket Profit]]/tbl_MTG_Set[[#This Row],[Play Booster Cost]]</f>
        <v>#VALUE!</v>
      </c>
      <c r="AU307" s="10" t="e">
        <f>_xlfn.XLOOKUP(tbl_MTG_Set[[#This Row],[Collector Booster Box Product Id]], tbl_Product[Product Id], tbl_Product[Min Cost])</f>
        <v>#N/A</v>
      </c>
      <c r="AV307" s="10" t="e">
        <f>_xlfn.XLOOKUP(tbl_MTG_Set[[#This Row],[Collector Booster Box Product Id]], tbl_Product[Product Id], tbl_Product[Best Source])</f>
        <v>#N/A</v>
      </c>
      <c r="AW307" s="4" t="e">
        <f>_xlfn.XLOOKUP(tbl_MTG_Set[[#This Row],[Collector Booster Box Product Id]], tbl_Product[Product Id], tbl_Product[Pack Size])</f>
        <v>#N/A</v>
      </c>
      <c r="AX307" s="10" t="e">
        <f>(tbl_MTG_Set[[#This Row],[Collector Booster Box Cost]] + v_Item_Shipping_Cost_In) / tbl_MTG_Set[[#This Row],[Collector Booster Box Size]]</f>
        <v>#N/A</v>
      </c>
      <c r="AY307" s="10" t="str" cm="1">
        <f t="array" ref="AY3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7" s="10"/>
      <c r="BA3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7" s="17" t="e">
        <f>tbl_MTG_Set[[#This Row],[Collector Booster CardMarket Profit]]/tbl_MTG_Set[[#This Row],[Collector Booster Cost]]</f>
        <v>#N/A</v>
      </c>
      <c r="BC307" s="10"/>
      <c r="BF3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7" s="11" t="e">
        <f>tbl_MTG_Set[[#This Row],[Play Singles CardMarket Profit MTG Stocks]]/tbl_MTG_Set[[#This Row],[Play Booster Cost]]</f>
        <v>#VALUE!</v>
      </c>
      <c r="BI307" s="11" t="b">
        <f>tbl_MTG_Set[[#This Row],[Play Singles CardMarket Profit MTG Stocks]]&gt;0</f>
        <v>0</v>
      </c>
      <c r="BM307" s="10" t="e">
        <f>tbl_MTG_Set[[#This Row],[Play Booster Sell Price CardMarket]]*tbl_MTG_Set[[#This Row],[Play Booster Expected Market Value BotBox]]/tbl_MTG_Set[[#This Row],[Play Booster Sealed Market Value BotBox]]</f>
        <v>#VALUE!</v>
      </c>
      <c r="BN3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7" s="10" t="e">
        <f>tbl_MTG_Set[[#This Row],[Play Singles CardMarket Profit BotBox]]/tbl_MTG_Set[[#This Row],[Play Booster Cost]]</f>
        <v>#VALUE!</v>
      </c>
      <c r="BP307" s="10" t="b">
        <f>tbl_MTG_Set[[#This Row],[Play Singles CardMarket Profit BotBox]]&gt;0</f>
        <v>0</v>
      </c>
      <c r="BQ307" s="10"/>
      <c r="BR307" s="10"/>
      <c r="BS307" s="10"/>
      <c r="BT3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7" s="19" t="e">
        <f>tbl_MTG_Set[[#This Row],[Collector Singles CardMarket Profit MTG Stocks]]/tbl_MTG_Set[[#This Row],[Collector Booster Cost]]</f>
        <v>#N/A</v>
      </c>
      <c r="BW307" s="10" t="b">
        <f>tbl_MTG_Set[[#This Row],[Collector Singles CardMarket Profit MTG Stocks]]&gt;0</f>
        <v>0</v>
      </c>
      <c r="BX307" s="10"/>
      <c r="BY307" s="10"/>
      <c r="BZ3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7" s="10" t="e">
        <f>tbl_MTG_Set[[#This Row],[Collector Singles CardMarket Profit BotBox]]/tbl_MTG_Set[[#This Row],[Collector Booster Cost]]</f>
        <v>#N/A</v>
      </c>
      <c r="CC307" s="10" t="b">
        <f>tbl_MTG_Set[[#This Row],[Collector Singles CardMarket Profit BotBox]]&gt;0</f>
        <v>0</v>
      </c>
      <c r="CD3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8" spans="1:86" hidden="1">
      <c r="A308">
        <v>333</v>
      </c>
      <c r="B308" t="s">
        <v>481</v>
      </c>
      <c r="C308">
        <v>6</v>
      </c>
      <c r="D308" s="3">
        <v>44365</v>
      </c>
      <c r="F308" t="s">
        <v>174</v>
      </c>
      <c r="G308">
        <v>612</v>
      </c>
      <c r="H308">
        <f ca="1">MONTH(NOW())+12*YEAR(NOW())-MONTH(tbl_MTG_Set[[#This Row],[Released On]])-12*YEAR(tbl_MTG_Set[[#This Row],[Released On]])</f>
        <v>57</v>
      </c>
      <c r="I308" t="str">
        <f>_xlfn.XLOOKUP(tbl_MTG_Set[[#This Row],[Type Name]], tbl_MTG_Set_Type[Set Type], tbl_MTG_Set_Type[Index], "(Set Type not found)")</f>
        <v>(Set Type not found)</v>
      </c>
      <c r="J308" t="str">
        <f>_xlfn.XLOOKUP(tbl_MTG_Set[[#This Row],[Type Name]], tbl_MTG_Set_Type[Set Type], tbl_MTG_Set_Type[Buy Window Month Start], "(Set Type not found)")</f>
        <v>(Set Type not found)</v>
      </c>
      <c r="K308" s="3" t="e">
        <f>tbl_MTG_Set[[#This Row],[Released On]]+tbl_MTG_Set[[#This Row],[Buy Window Month Start]]*365.25/12</f>
        <v>#VALUE!</v>
      </c>
      <c r="L308" t="str">
        <f>_xlfn.XLOOKUP(tbl_MTG_Set[[#This Row],[Type Name]], tbl_MTG_Set_Type[Set Type], tbl_MTG_Set_Type[Buy Window Month End], "(Set Type not found)", 0, 1)</f>
        <v>(Set Type not found)</v>
      </c>
      <c r="M308" s="3" t="e">
        <f>tbl_MTG_Set[[#This Row],[Released On]]+tbl_MTG_Set[[#This Row],[Buy Window Month End]]*365.25/12</f>
        <v>#VALUE!</v>
      </c>
      <c r="N308" s="3" t="e">
        <f ca="1">AND(NOW()&gt;=tbl_MTG_Set[[#This Row],[Buy Window Start]], NOW()&lt;=tbl_MTG_Set[[#This Row],[Buy Window End]])</f>
        <v>#VALUE!</v>
      </c>
      <c r="O308" t="str">
        <f>_xlfn.XLOOKUP(tbl_MTG_Set[[#This Row],[Type Name]], tbl_MTG_Set_Type[Set Type], tbl_MTG_Set_Type[Heavy Printing Window Month Start], "(Set Type not found)", 0, 1)</f>
        <v>(Set Type not found)</v>
      </c>
      <c r="P308" s="3" t="e">
        <f>tbl_MTG_Set[[#This Row],[Released On]]+tbl_MTG_Set[[#This Row],[Heavy Printing Window Month Start]]*365.25/12</f>
        <v>#VALUE!</v>
      </c>
      <c r="Q308" t="str">
        <f>_xlfn.XLOOKUP(tbl_MTG_Set[[#This Row],[Type Name]], tbl_MTG_Set_Type[Set Type], tbl_MTG_Set_Type[Heavy Printing Window Month End], "(Set Type not found)", 0, 1)</f>
        <v>(Set Type not found)</v>
      </c>
      <c r="R308" s="3" t="e">
        <f>tbl_MTG_Set[[#This Row],[Released On]]+tbl_MTG_Set[[#This Row],[Heavy Printing Window Month End]]*365.25/12</f>
        <v>#VALUE!</v>
      </c>
      <c r="S308" s="3" t="e">
        <f ca="1">AND(NOW()&gt;=tbl_MTG_Set[[#This Row],[Heavy Printing Window Start]], NOW()&lt;=tbl_MTG_Set[[#This Row],[Heavy Printing Window End]])</f>
        <v>#VALUE!</v>
      </c>
      <c r="T308" t="str">
        <f>_xlfn.XLOOKUP(tbl_MTG_Set[[#This Row],[Type Name]], tbl_MTG_Set_Type[Set Type], tbl_MTG_Set_Type[Sell Window Month Start], "(Set Type not found)", 0, 1)</f>
        <v>(Set Type not found)</v>
      </c>
      <c r="U308" s="3" t="e">
        <f>tbl_MTG_Set[[#This Row],[Released On]]+tbl_MTG_Set[[#This Row],[Sell Window Month Start]]*365.25/12</f>
        <v>#VALUE!</v>
      </c>
      <c r="V308" t="str">
        <f>_xlfn.XLOOKUP(tbl_MTG_Set[[#This Row],[Type Name]], tbl_MTG_Set_Type[Set Type], tbl_MTG_Set_Type[Sell Window Month End], "(Set Type not found)", 0, 1)</f>
        <v>(Set Type not found)</v>
      </c>
      <c r="W308" s="3" t="e">
        <f>tbl_MTG_Set[[#This Row],[Released On]]+tbl_MTG_Set[[#This Row],[Sell Window Month End]]*365.25/12</f>
        <v>#VALUE!</v>
      </c>
      <c r="X308" s="3" t="e">
        <f ca="1">AND(NOW()&gt;=tbl_MTG_Set[[#This Row],[Sell Window Start]], NOW()&lt;=tbl_MTG_Set[[#This Row],[Sell Window End]])</f>
        <v>#VALUE!</v>
      </c>
      <c r="AG308" s="10"/>
      <c r="AH308" s="10"/>
      <c r="AM308" s="10" t="str" cm="1">
        <f t="array" ref="AM3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8" s="10" t="str" cm="1">
        <f t="array" ref="AN3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8" s="4" t="e">
        <f>_xlfn.XLOOKUP(tbl_MTG_Set[[#This Row],[Play Booster Box Product Id]], tbl_Product[Product Id], tbl_Product[Pack Size])</f>
        <v>#N/A</v>
      </c>
      <c r="AP308" s="10" t="e">
        <f>(tbl_MTG_Set[[#This Row],[Play Booster Box Cost]]+v_Item_Shipping_Cost_In)/tbl_MTG_Set[[#This Row],[Play Booster Box Size]]</f>
        <v>#VALUE!</v>
      </c>
      <c r="AQ308" s="10" t="str" cm="1">
        <f t="array" ref="AQ3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8" s="10"/>
      <c r="AS308" s="10"/>
      <c r="AT308" s="17" t="e">
        <f>tbl_MTG_Set[[#This Row],[Play Booster CardMarket Profit]]/tbl_MTG_Set[[#This Row],[Play Booster Cost]]</f>
        <v>#VALUE!</v>
      </c>
      <c r="AU308" s="10" t="e">
        <f>_xlfn.XLOOKUP(tbl_MTG_Set[[#This Row],[Collector Booster Box Product Id]], tbl_Product[Product Id], tbl_Product[Min Cost])</f>
        <v>#N/A</v>
      </c>
      <c r="AV308" s="10" t="e">
        <f>_xlfn.XLOOKUP(tbl_MTG_Set[[#This Row],[Collector Booster Box Product Id]], tbl_Product[Product Id], tbl_Product[Best Source])</f>
        <v>#N/A</v>
      </c>
      <c r="AW308" s="4" t="e">
        <f>_xlfn.XLOOKUP(tbl_MTG_Set[[#This Row],[Collector Booster Box Product Id]], tbl_Product[Product Id], tbl_Product[Pack Size])</f>
        <v>#N/A</v>
      </c>
      <c r="AX308" s="10" t="e">
        <f>(tbl_MTG_Set[[#This Row],[Collector Booster Box Cost]] + v_Item_Shipping_Cost_In) / tbl_MTG_Set[[#This Row],[Collector Booster Box Size]]</f>
        <v>#N/A</v>
      </c>
      <c r="AY308" s="10" t="str" cm="1">
        <f t="array" ref="AY3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8" s="10"/>
      <c r="BA3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8" s="17" t="e">
        <f>tbl_MTG_Set[[#This Row],[Collector Booster CardMarket Profit]]/tbl_MTG_Set[[#This Row],[Collector Booster Cost]]</f>
        <v>#N/A</v>
      </c>
      <c r="BC308" s="10"/>
      <c r="BF3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8" s="11" t="e">
        <f>tbl_MTG_Set[[#This Row],[Play Singles CardMarket Profit MTG Stocks]]/tbl_MTG_Set[[#This Row],[Play Booster Cost]]</f>
        <v>#VALUE!</v>
      </c>
      <c r="BI308" s="11" t="b">
        <f>tbl_MTG_Set[[#This Row],[Play Singles CardMarket Profit MTG Stocks]]&gt;0</f>
        <v>0</v>
      </c>
      <c r="BM308" s="10" t="e">
        <f>tbl_MTG_Set[[#This Row],[Play Booster Sell Price CardMarket]]*tbl_MTG_Set[[#This Row],[Play Booster Expected Market Value BotBox]]/tbl_MTG_Set[[#This Row],[Play Booster Sealed Market Value BotBox]]</f>
        <v>#VALUE!</v>
      </c>
      <c r="BN3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8" s="10" t="e">
        <f>tbl_MTG_Set[[#This Row],[Play Singles CardMarket Profit BotBox]]/tbl_MTG_Set[[#This Row],[Play Booster Cost]]</f>
        <v>#VALUE!</v>
      </c>
      <c r="BP308" s="10" t="b">
        <f>tbl_MTG_Set[[#This Row],[Play Singles CardMarket Profit BotBox]]&gt;0</f>
        <v>0</v>
      </c>
      <c r="BQ308" s="10"/>
      <c r="BR308" s="10"/>
      <c r="BS308" s="10"/>
      <c r="BT3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8" s="19" t="e">
        <f>tbl_MTG_Set[[#This Row],[Collector Singles CardMarket Profit MTG Stocks]]/tbl_MTG_Set[[#This Row],[Collector Booster Cost]]</f>
        <v>#N/A</v>
      </c>
      <c r="BW308" s="10" t="b">
        <f>tbl_MTG_Set[[#This Row],[Collector Singles CardMarket Profit MTG Stocks]]&gt;0</f>
        <v>0</v>
      </c>
      <c r="BX308" s="10"/>
      <c r="BY308" s="10"/>
      <c r="BZ3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8" s="10" t="e">
        <f>tbl_MTG_Set[[#This Row],[Collector Singles CardMarket Profit BotBox]]/tbl_MTG_Set[[#This Row],[Collector Booster Cost]]</f>
        <v>#N/A</v>
      </c>
      <c r="CC308" s="10" t="b">
        <f>tbl_MTG_Set[[#This Row],[Collector Singles CardMarket Profit BotBox]]&gt;0</f>
        <v>0</v>
      </c>
      <c r="CD3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09" spans="1:86" hidden="1">
      <c r="A309">
        <v>335</v>
      </c>
      <c r="B309" t="s">
        <v>482</v>
      </c>
      <c r="C309">
        <v>86</v>
      </c>
      <c r="D309" s="3">
        <v>44365</v>
      </c>
      <c r="F309" t="s">
        <v>174</v>
      </c>
      <c r="G309">
        <v>616</v>
      </c>
      <c r="H309">
        <f ca="1">MONTH(NOW())+12*YEAR(NOW())-MONTH(tbl_MTG_Set[[#This Row],[Released On]])-12*YEAR(tbl_MTG_Set[[#This Row],[Released On]])</f>
        <v>57</v>
      </c>
      <c r="I309" t="str">
        <f>_xlfn.XLOOKUP(tbl_MTG_Set[[#This Row],[Type Name]], tbl_MTG_Set_Type[Set Type], tbl_MTG_Set_Type[Index], "(Set Type not found)")</f>
        <v>(Set Type not found)</v>
      </c>
      <c r="J309" t="str">
        <f>_xlfn.XLOOKUP(tbl_MTG_Set[[#This Row],[Type Name]], tbl_MTG_Set_Type[Set Type], tbl_MTG_Set_Type[Buy Window Month Start], "(Set Type not found)")</f>
        <v>(Set Type not found)</v>
      </c>
      <c r="K309" s="3" t="e">
        <f>tbl_MTG_Set[[#This Row],[Released On]]+tbl_MTG_Set[[#This Row],[Buy Window Month Start]]*365.25/12</f>
        <v>#VALUE!</v>
      </c>
      <c r="L309" t="str">
        <f>_xlfn.XLOOKUP(tbl_MTG_Set[[#This Row],[Type Name]], tbl_MTG_Set_Type[Set Type], tbl_MTG_Set_Type[Buy Window Month End], "(Set Type not found)", 0, 1)</f>
        <v>(Set Type not found)</v>
      </c>
      <c r="M309" s="3" t="e">
        <f>tbl_MTG_Set[[#This Row],[Released On]]+tbl_MTG_Set[[#This Row],[Buy Window Month End]]*365.25/12</f>
        <v>#VALUE!</v>
      </c>
      <c r="N309" s="3" t="e">
        <f ca="1">AND(NOW()&gt;=tbl_MTG_Set[[#This Row],[Buy Window Start]], NOW()&lt;=tbl_MTG_Set[[#This Row],[Buy Window End]])</f>
        <v>#VALUE!</v>
      </c>
      <c r="O309" t="str">
        <f>_xlfn.XLOOKUP(tbl_MTG_Set[[#This Row],[Type Name]], tbl_MTG_Set_Type[Set Type], tbl_MTG_Set_Type[Heavy Printing Window Month Start], "(Set Type not found)", 0, 1)</f>
        <v>(Set Type not found)</v>
      </c>
      <c r="P309" s="3" t="e">
        <f>tbl_MTG_Set[[#This Row],[Released On]]+tbl_MTG_Set[[#This Row],[Heavy Printing Window Month Start]]*365.25/12</f>
        <v>#VALUE!</v>
      </c>
      <c r="Q309" t="str">
        <f>_xlfn.XLOOKUP(tbl_MTG_Set[[#This Row],[Type Name]], tbl_MTG_Set_Type[Set Type], tbl_MTG_Set_Type[Heavy Printing Window Month End], "(Set Type not found)", 0, 1)</f>
        <v>(Set Type not found)</v>
      </c>
      <c r="R309" s="3" t="e">
        <f>tbl_MTG_Set[[#This Row],[Released On]]+tbl_MTG_Set[[#This Row],[Heavy Printing Window Month End]]*365.25/12</f>
        <v>#VALUE!</v>
      </c>
      <c r="S309" s="3" t="e">
        <f ca="1">AND(NOW()&gt;=tbl_MTG_Set[[#This Row],[Heavy Printing Window Start]], NOW()&lt;=tbl_MTG_Set[[#This Row],[Heavy Printing Window End]])</f>
        <v>#VALUE!</v>
      </c>
      <c r="T309" t="str">
        <f>_xlfn.XLOOKUP(tbl_MTG_Set[[#This Row],[Type Name]], tbl_MTG_Set_Type[Set Type], tbl_MTG_Set_Type[Sell Window Month Start], "(Set Type not found)", 0, 1)</f>
        <v>(Set Type not found)</v>
      </c>
      <c r="U309" s="3" t="e">
        <f>tbl_MTG_Set[[#This Row],[Released On]]+tbl_MTG_Set[[#This Row],[Sell Window Month Start]]*365.25/12</f>
        <v>#VALUE!</v>
      </c>
      <c r="V309" t="str">
        <f>_xlfn.XLOOKUP(tbl_MTG_Set[[#This Row],[Type Name]], tbl_MTG_Set_Type[Set Type], tbl_MTG_Set_Type[Sell Window Month End], "(Set Type not found)", 0, 1)</f>
        <v>(Set Type not found)</v>
      </c>
      <c r="W309" s="3" t="e">
        <f>tbl_MTG_Set[[#This Row],[Released On]]+tbl_MTG_Set[[#This Row],[Sell Window Month End]]*365.25/12</f>
        <v>#VALUE!</v>
      </c>
      <c r="X309" s="3" t="e">
        <f ca="1">AND(NOW()&gt;=tbl_MTG_Set[[#This Row],[Sell Window Start]], NOW()&lt;=tbl_MTG_Set[[#This Row],[Sell Window End]])</f>
        <v>#VALUE!</v>
      </c>
      <c r="AG309" s="10"/>
      <c r="AH309" s="10"/>
      <c r="AM309" s="10" t="str" cm="1">
        <f t="array" ref="AM3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09" s="10" t="str" cm="1">
        <f t="array" ref="AN3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09" s="4" t="e">
        <f>_xlfn.XLOOKUP(tbl_MTG_Set[[#This Row],[Play Booster Box Product Id]], tbl_Product[Product Id], tbl_Product[Pack Size])</f>
        <v>#N/A</v>
      </c>
      <c r="AP309" s="10" t="e">
        <f>(tbl_MTG_Set[[#This Row],[Play Booster Box Cost]]+v_Item_Shipping_Cost_In)/tbl_MTG_Set[[#This Row],[Play Booster Box Size]]</f>
        <v>#VALUE!</v>
      </c>
      <c r="AQ309" s="10" t="str" cm="1">
        <f t="array" ref="AQ3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09" s="10"/>
      <c r="AS309" s="10"/>
      <c r="AT309" s="17" t="e">
        <f>tbl_MTG_Set[[#This Row],[Play Booster CardMarket Profit]]/tbl_MTG_Set[[#This Row],[Play Booster Cost]]</f>
        <v>#VALUE!</v>
      </c>
      <c r="AU309" s="10" t="e">
        <f>_xlfn.XLOOKUP(tbl_MTG_Set[[#This Row],[Collector Booster Box Product Id]], tbl_Product[Product Id], tbl_Product[Min Cost])</f>
        <v>#N/A</v>
      </c>
      <c r="AV309" s="10" t="e">
        <f>_xlfn.XLOOKUP(tbl_MTG_Set[[#This Row],[Collector Booster Box Product Id]], tbl_Product[Product Id], tbl_Product[Best Source])</f>
        <v>#N/A</v>
      </c>
      <c r="AW309" s="4" t="e">
        <f>_xlfn.XLOOKUP(tbl_MTG_Set[[#This Row],[Collector Booster Box Product Id]], tbl_Product[Product Id], tbl_Product[Pack Size])</f>
        <v>#N/A</v>
      </c>
      <c r="AX309" s="10" t="e">
        <f>(tbl_MTG_Set[[#This Row],[Collector Booster Box Cost]] + v_Item_Shipping_Cost_In) / tbl_MTG_Set[[#This Row],[Collector Booster Box Size]]</f>
        <v>#N/A</v>
      </c>
      <c r="AY309" s="10" t="str" cm="1">
        <f t="array" ref="AY3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09" s="10"/>
      <c r="BA3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09" s="17" t="e">
        <f>tbl_MTG_Set[[#This Row],[Collector Booster CardMarket Profit]]/tbl_MTG_Set[[#This Row],[Collector Booster Cost]]</f>
        <v>#N/A</v>
      </c>
      <c r="BC309" s="10"/>
      <c r="BF3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09" s="11" t="e">
        <f>tbl_MTG_Set[[#This Row],[Play Singles CardMarket Profit MTG Stocks]]/tbl_MTG_Set[[#This Row],[Play Booster Cost]]</f>
        <v>#VALUE!</v>
      </c>
      <c r="BI309" s="11" t="b">
        <f>tbl_MTG_Set[[#This Row],[Play Singles CardMarket Profit MTG Stocks]]&gt;0</f>
        <v>0</v>
      </c>
      <c r="BM309" s="10" t="e">
        <f>tbl_MTG_Set[[#This Row],[Play Booster Sell Price CardMarket]]*tbl_MTG_Set[[#This Row],[Play Booster Expected Market Value BotBox]]/tbl_MTG_Set[[#This Row],[Play Booster Sealed Market Value BotBox]]</f>
        <v>#VALUE!</v>
      </c>
      <c r="BN3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09" s="10" t="e">
        <f>tbl_MTG_Set[[#This Row],[Play Singles CardMarket Profit BotBox]]/tbl_MTG_Set[[#This Row],[Play Booster Cost]]</f>
        <v>#VALUE!</v>
      </c>
      <c r="BP309" s="10" t="b">
        <f>tbl_MTG_Set[[#This Row],[Play Singles CardMarket Profit BotBox]]&gt;0</f>
        <v>0</v>
      </c>
      <c r="BQ309" s="10"/>
      <c r="BR309" s="10"/>
      <c r="BS309" s="10"/>
      <c r="BT3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09" s="19" t="e">
        <f>tbl_MTG_Set[[#This Row],[Collector Singles CardMarket Profit MTG Stocks]]/tbl_MTG_Set[[#This Row],[Collector Booster Cost]]</f>
        <v>#N/A</v>
      </c>
      <c r="BW309" s="10" t="b">
        <f>tbl_MTG_Set[[#This Row],[Collector Singles CardMarket Profit MTG Stocks]]&gt;0</f>
        <v>0</v>
      </c>
      <c r="BX309" s="10"/>
      <c r="BY309" s="10"/>
      <c r="BZ3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09" s="10" t="e">
        <f>tbl_MTG_Set[[#This Row],[Collector Singles CardMarket Profit BotBox]]/tbl_MTG_Set[[#This Row],[Collector Booster Cost]]</f>
        <v>#N/A</v>
      </c>
      <c r="CC309" s="10" t="b">
        <f>tbl_MTG_Set[[#This Row],[Collector Singles CardMarket Profit BotBox]]&gt;0</f>
        <v>0</v>
      </c>
      <c r="CD3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0" spans="1:86" hidden="1">
      <c r="A310">
        <v>336</v>
      </c>
      <c r="B310" t="s">
        <v>483</v>
      </c>
      <c r="C310">
        <v>21</v>
      </c>
      <c r="D310" s="3">
        <v>44365</v>
      </c>
      <c r="F310" t="s">
        <v>174</v>
      </c>
      <c r="G310">
        <v>618</v>
      </c>
      <c r="H310">
        <f ca="1">MONTH(NOW())+12*YEAR(NOW())-MONTH(tbl_MTG_Set[[#This Row],[Released On]])-12*YEAR(tbl_MTG_Set[[#This Row],[Released On]])</f>
        <v>57</v>
      </c>
      <c r="I310" t="str">
        <f>_xlfn.XLOOKUP(tbl_MTG_Set[[#This Row],[Type Name]], tbl_MTG_Set_Type[Set Type], tbl_MTG_Set_Type[Index], "(Set Type not found)")</f>
        <v>(Set Type not found)</v>
      </c>
      <c r="J310" t="str">
        <f>_xlfn.XLOOKUP(tbl_MTG_Set[[#This Row],[Type Name]], tbl_MTG_Set_Type[Set Type], tbl_MTG_Set_Type[Buy Window Month Start], "(Set Type not found)")</f>
        <v>(Set Type not found)</v>
      </c>
      <c r="K310" s="3" t="e">
        <f>tbl_MTG_Set[[#This Row],[Released On]]+tbl_MTG_Set[[#This Row],[Buy Window Month Start]]*365.25/12</f>
        <v>#VALUE!</v>
      </c>
      <c r="L310" t="str">
        <f>_xlfn.XLOOKUP(tbl_MTG_Set[[#This Row],[Type Name]], tbl_MTG_Set_Type[Set Type], tbl_MTG_Set_Type[Buy Window Month End], "(Set Type not found)", 0, 1)</f>
        <v>(Set Type not found)</v>
      </c>
      <c r="M310" s="3" t="e">
        <f>tbl_MTG_Set[[#This Row],[Released On]]+tbl_MTG_Set[[#This Row],[Buy Window Month End]]*365.25/12</f>
        <v>#VALUE!</v>
      </c>
      <c r="N310" s="3" t="e">
        <f ca="1">AND(NOW()&gt;=tbl_MTG_Set[[#This Row],[Buy Window Start]], NOW()&lt;=tbl_MTG_Set[[#This Row],[Buy Window End]])</f>
        <v>#VALUE!</v>
      </c>
      <c r="O310" t="str">
        <f>_xlfn.XLOOKUP(tbl_MTG_Set[[#This Row],[Type Name]], tbl_MTG_Set_Type[Set Type], tbl_MTG_Set_Type[Heavy Printing Window Month Start], "(Set Type not found)", 0, 1)</f>
        <v>(Set Type not found)</v>
      </c>
      <c r="P310" s="3" t="e">
        <f>tbl_MTG_Set[[#This Row],[Released On]]+tbl_MTG_Set[[#This Row],[Heavy Printing Window Month Start]]*365.25/12</f>
        <v>#VALUE!</v>
      </c>
      <c r="Q310" t="str">
        <f>_xlfn.XLOOKUP(tbl_MTG_Set[[#This Row],[Type Name]], tbl_MTG_Set_Type[Set Type], tbl_MTG_Set_Type[Heavy Printing Window Month End], "(Set Type not found)", 0, 1)</f>
        <v>(Set Type not found)</v>
      </c>
      <c r="R310" s="3" t="e">
        <f>tbl_MTG_Set[[#This Row],[Released On]]+tbl_MTG_Set[[#This Row],[Heavy Printing Window Month End]]*365.25/12</f>
        <v>#VALUE!</v>
      </c>
      <c r="S310" s="3" t="e">
        <f ca="1">AND(NOW()&gt;=tbl_MTG_Set[[#This Row],[Heavy Printing Window Start]], NOW()&lt;=tbl_MTG_Set[[#This Row],[Heavy Printing Window End]])</f>
        <v>#VALUE!</v>
      </c>
      <c r="T310" t="str">
        <f>_xlfn.XLOOKUP(tbl_MTG_Set[[#This Row],[Type Name]], tbl_MTG_Set_Type[Set Type], tbl_MTG_Set_Type[Sell Window Month Start], "(Set Type not found)", 0, 1)</f>
        <v>(Set Type not found)</v>
      </c>
      <c r="U310" s="3" t="e">
        <f>tbl_MTG_Set[[#This Row],[Released On]]+tbl_MTG_Set[[#This Row],[Sell Window Month Start]]*365.25/12</f>
        <v>#VALUE!</v>
      </c>
      <c r="V310" t="str">
        <f>_xlfn.XLOOKUP(tbl_MTG_Set[[#This Row],[Type Name]], tbl_MTG_Set_Type[Set Type], tbl_MTG_Set_Type[Sell Window Month End], "(Set Type not found)", 0, 1)</f>
        <v>(Set Type not found)</v>
      </c>
      <c r="W310" s="3" t="e">
        <f>tbl_MTG_Set[[#This Row],[Released On]]+tbl_MTG_Set[[#This Row],[Sell Window Month End]]*365.25/12</f>
        <v>#VALUE!</v>
      </c>
      <c r="X310" s="3" t="e">
        <f ca="1">AND(NOW()&gt;=tbl_MTG_Set[[#This Row],[Sell Window Start]], NOW()&lt;=tbl_MTG_Set[[#This Row],[Sell Window End]])</f>
        <v>#VALUE!</v>
      </c>
      <c r="AG310" s="10"/>
      <c r="AH310" s="10"/>
      <c r="AM310" s="10" t="str" cm="1">
        <f t="array" ref="AM3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0" s="10" t="str" cm="1">
        <f t="array" ref="AN3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0" s="4" t="e">
        <f>_xlfn.XLOOKUP(tbl_MTG_Set[[#This Row],[Play Booster Box Product Id]], tbl_Product[Product Id], tbl_Product[Pack Size])</f>
        <v>#N/A</v>
      </c>
      <c r="AP310" s="10" t="e">
        <f>(tbl_MTG_Set[[#This Row],[Play Booster Box Cost]]+v_Item_Shipping_Cost_In)/tbl_MTG_Set[[#This Row],[Play Booster Box Size]]</f>
        <v>#VALUE!</v>
      </c>
      <c r="AQ310" s="10" t="str" cm="1">
        <f t="array" ref="AQ3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0" s="10"/>
      <c r="AS310" s="10"/>
      <c r="AT310" s="17" t="e">
        <f>tbl_MTG_Set[[#This Row],[Play Booster CardMarket Profit]]/tbl_MTG_Set[[#This Row],[Play Booster Cost]]</f>
        <v>#VALUE!</v>
      </c>
      <c r="AU310" s="10" t="e">
        <f>_xlfn.XLOOKUP(tbl_MTG_Set[[#This Row],[Collector Booster Box Product Id]], tbl_Product[Product Id], tbl_Product[Min Cost])</f>
        <v>#N/A</v>
      </c>
      <c r="AV310" s="10" t="e">
        <f>_xlfn.XLOOKUP(tbl_MTG_Set[[#This Row],[Collector Booster Box Product Id]], tbl_Product[Product Id], tbl_Product[Best Source])</f>
        <v>#N/A</v>
      </c>
      <c r="AW310" s="4" t="e">
        <f>_xlfn.XLOOKUP(tbl_MTG_Set[[#This Row],[Collector Booster Box Product Id]], tbl_Product[Product Id], tbl_Product[Pack Size])</f>
        <v>#N/A</v>
      </c>
      <c r="AX310" s="10" t="e">
        <f>(tbl_MTG_Set[[#This Row],[Collector Booster Box Cost]] + v_Item_Shipping_Cost_In) / tbl_MTG_Set[[#This Row],[Collector Booster Box Size]]</f>
        <v>#N/A</v>
      </c>
      <c r="AY310" s="10" t="str" cm="1">
        <f t="array" ref="AY3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0" s="10"/>
      <c r="BA3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0" s="17" t="e">
        <f>tbl_MTG_Set[[#This Row],[Collector Booster CardMarket Profit]]/tbl_MTG_Set[[#This Row],[Collector Booster Cost]]</f>
        <v>#N/A</v>
      </c>
      <c r="BC310" s="10"/>
      <c r="BF3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0" s="11" t="e">
        <f>tbl_MTG_Set[[#This Row],[Play Singles CardMarket Profit MTG Stocks]]/tbl_MTG_Set[[#This Row],[Play Booster Cost]]</f>
        <v>#VALUE!</v>
      </c>
      <c r="BI310" s="11" t="b">
        <f>tbl_MTG_Set[[#This Row],[Play Singles CardMarket Profit MTG Stocks]]&gt;0</f>
        <v>0</v>
      </c>
      <c r="BM310" s="10" t="e">
        <f>tbl_MTG_Set[[#This Row],[Play Booster Sell Price CardMarket]]*tbl_MTG_Set[[#This Row],[Play Booster Expected Market Value BotBox]]/tbl_MTG_Set[[#This Row],[Play Booster Sealed Market Value BotBox]]</f>
        <v>#VALUE!</v>
      </c>
      <c r="BN3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0" s="10" t="e">
        <f>tbl_MTG_Set[[#This Row],[Play Singles CardMarket Profit BotBox]]/tbl_MTG_Set[[#This Row],[Play Booster Cost]]</f>
        <v>#VALUE!</v>
      </c>
      <c r="BP310" s="10" t="b">
        <f>tbl_MTG_Set[[#This Row],[Play Singles CardMarket Profit BotBox]]&gt;0</f>
        <v>0</v>
      </c>
      <c r="BQ310" s="10"/>
      <c r="BR310" s="10"/>
      <c r="BS310" s="10"/>
      <c r="BT3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0" s="19" t="e">
        <f>tbl_MTG_Set[[#This Row],[Collector Singles CardMarket Profit MTG Stocks]]/tbl_MTG_Set[[#This Row],[Collector Booster Cost]]</f>
        <v>#N/A</v>
      </c>
      <c r="BW310" s="10" t="b">
        <f>tbl_MTG_Set[[#This Row],[Collector Singles CardMarket Profit MTG Stocks]]&gt;0</f>
        <v>0</v>
      </c>
      <c r="BX310" s="10"/>
      <c r="BY310" s="10"/>
      <c r="BZ3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0" s="10" t="e">
        <f>tbl_MTG_Set[[#This Row],[Collector Singles CardMarket Profit BotBox]]/tbl_MTG_Set[[#This Row],[Collector Booster Cost]]</f>
        <v>#N/A</v>
      </c>
      <c r="CC310" s="10" t="b">
        <f>tbl_MTG_Set[[#This Row],[Collector Singles CardMarket Profit BotBox]]&gt;0</f>
        <v>0</v>
      </c>
      <c r="CD3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1" spans="1:86" hidden="1">
      <c r="A311">
        <v>337</v>
      </c>
      <c r="B311" t="s">
        <v>484</v>
      </c>
      <c r="C311">
        <v>162</v>
      </c>
      <c r="D311" s="3">
        <v>44365</v>
      </c>
      <c r="F311" t="s">
        <v>174</v>
      </c>
      <c r="G311">
        <v>620</v>
      </c>
      <c r="H311">
        <f ca="1">MONTH(NOW())+12*YEAR(NOW())-MONTH(tbl_MTG_Set[[#This Row],[Released On]])-12*YEAR(tbl_MTG_Set[[#This Row],[Released On]])</f>
        <v>57</v>
      </c>
      <c r="I311" t="str">
        <f>_xlfn.XLOOKUP(tbl_MTG_Set[[#This Row],[Type Name]], tbl_MTG_Set_Type[Set Type], tbl_MTG_Set_Type[Index], "(Set Type not found)")</f>
        <v>(Set Type not found)</v>
      </c>
      <c r="J311" t="str">
        <f>_xlfn.XLOOKUP(tbl_MTG_Set[[#This Row],[Type Name]], tbl_MTG_Set_Type[Set Type], tbl_MTG_Set_Type[Buy Window Month Start], "(Set Type not found)")</f>
        <v>(Set Type not found)</v>
      </c>
      <c r="K311" s="3" t="e">
        <f>tbl_MTG_Set[[#This Row],[Released On]]+tbl_MTG_Set[[#This Row],[Buy Window Month Start]]*365.25/12</f>
        <v>#VALUE!</v>
      </c>
      <c r="L311" t="str">
        <f>_xlfn.XLOOKUP(tbl_MTG_Set[[#This Row],[Type Name]], tbl_MTG_Set_Type[Set Type], tbl_MTG_Set_Type[Buy Window Month End], "(Set Type not found)", 0, 1)</f>
        <v>(Set Type not found)</v>
      </c>
      <c r="M311" s="3" t="e">
        <f>tbl_MTG_Set[[#This Row],[Released On]]+tbl_MTG_Set[[#This Row],[Buy Window Month End]]*365.25/12</f>
        <v>#VALUE!</v>
      </c>
      <c r="N311" s="3" t="e">
        <f ca="1">AND(NOW()&gt;=tbl_MTG_Set[[#This Row],[Buy Window Start]], NOW()&lt;=tbl_MTG_Set[[#This Row],[Buy Window End]])</f>
        <v>#VALUE!</v>
      </c>
      <c r="O311" t="str">
        <f>_xlfn.XLOOKUP(tbl_MTG_Set[[#This Row],[Type Name]], tbl_MTG_Set_Type[Set Type], tbl_MTG_Set_Type[Heavy Printing Window Month Start], "(Set Type not found)", 0, 1)</f>
        <v>(Set Type not found)</v>
      </c>
      <c r="P311" s="3" t="e">
        <f>tbl_MTG_Set[[#This Row],[Released On]]+tbl_MTG_Set[[#This Row],[Heavy Printing Window Month Start]]*365.25/12</f>
        <v>#VALUE!</v>
      </c>
      <c r="Q311" t="str">
        <f>_xlfn.XLOOKUP(tbl_MTG_Set[[#This Row],[Type Name]], tbl_MTG_Set_Type[Set Type], tbl_MTG_Set_Type[Heavy Printing Window Month End], "(Set Type not found)", 0, 1)</f>
        <v>(Set Type not found)</v>
      </c>
      <c r="R311" s="3" t="e">
        <f>tbl_MTG_Set[[#This Row],[Released On]]+tbl_MTG_Set[[#This Row],[Heavy Printing Window Month End]]*365.25/12</f>
        <v>#VALUE!</v>
      </c>
      <c r="S311" s="3" t="e">
        <f ca="1">AND(NOW()&gt;=tbl_MTG_Set[[#This Row],[Heavy Printing Window Start]], NOW()&lt;=tbl_MTG_Set[[#This Row],[Heavy Printing Window End]])</f>
        <v>#VALUE!</v>
      </c>
      <c r="T311" t="str">
        <f>_xlfn.XLOOKUP(tbl_MTG_Set[[#This Row],[Type Name]], tbl_MTG_Set_Type[Set Type], tbl_MTG_Set_Type[Sell Window Month Start], "(Set Type not found)", 0, 1)</f>
        <v>(Set Type not found)</v>
      </c>
      <c r="U311" s="3" t="e">
        <f>tbl_MTG_Set[[#This Row],[Released On]]+tbl_MTG_Set[[#This Row],[Sell Window Month Start]]*365.25/12</f>
        <v>#VALUE!</v>
      </c>
      <c r="V311" t="str">
        <f>_xlfn.XLOOKUP(tbl_MTG_Set[[#This Row],[Type Name]], tbl_MTG_Set_Type[Set Type], tbl_MTG_Set_Type[Sell Window Month End], "(Set Type not found)", 0, 1)</f>
        <v>(Set Type not found)</v>
      </c>
      <c r="W311" s="3" t="e">
        <f>tbl_MTG_Set[[#This Row],[Released On]]+tbl_MTG_Set[[#This Row],[Sell Window Month End]]*365.25/12</f>
        <v>#VALUE!</v>
      </c>
      <c r="X311" s="3" t="e">
        <f ca="1">AND(NOW()&gt;=tbl_MTG_Set[[#This Row],[Sell Window Start]], NOW()&lt;=tbl_MTG_Set[[#This Row],[Sell Window End]])</f>
        <v>#VALUE!</v>
      </c>
      <c r="AG311" s="10"/>
      <c r="AH311" s="10"/>
      <c r="AM311" s="10" t="str" cm="1">
        <f t="array" ref="AM3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1" s="10" t="str" cm="1">
        <f t="array" ref="AN3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1" s="4" t="e">
        <f>_xlfn.XLOOKUP(tbl_MTG_Set[[#This Row],[Play Booster Box Product Id]], tbl_Product[Product Id], tbl_Product[Pack Size])</f>
        <v>#N/A</v>
      </c>
      <c r="AP311" s="10" t="e">
        <f>(tbl_MTG_Set[[#This Row],[Play Booster Box Cost]]+v_Item_Shipping_Cost_In)/tbl_MTG_Set[[#This Row],[Play Booster Box Size]]</f>
        <v>#VALUE!</v>
      </c>
      <c r="AQ311" s="10" t="str" cm="1">
        <f t="array" ref="AQ3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1" s="10"/>
      <c r="AS311" s="10"/>
      <c r="AT311" s="17" t="e">
        <f>tbl_MTG_Set[[#This Row],[Play Booster CardMarket Profit]]/tbl_MTG_Set[[#This Row],[Play Booster Cost]]</f>
        <v>#VALUE!</v>
      </c>
      <c r="AU311" s="10" t="e">
        <f>_xlfn.XLOOKUP(tbl_MTG_Set[[#This Row],[Collector Booster Box Product Id]], tbl_Product[Product Id], tbl_Product[Min Cost])</f>
        <v>#N/A</v>
      </c>
      <c r="AV311" s="10" t="e">
        <f>_xlfn.XLOOKUP(tbl_MTG_Set[[#This Row],[Collector Booster Box Product Id]], tbl_Product[Product Id], tbl_Product[Best Source])</f>
        <v>#N/A</v>
      </c>
      <c r="AW311" s="4" t="e">
        <f>_xlfn.XLOOKUP(tbl_MTG_Set[[#This Row],[Collector Booster Box Product Id]], tbl_Product[Product Id], tbl_Product[Pack Size])</f>
        <v>#N/A</v>
      </c>
      <c r="AX311" s="10" t="e">
        <f>(tbl_MTG_Set[[#This Row],[Collector Booster Box Cost]] + v_Item_Shipping_Cost_In) / tbl_MTG_Set[[#This Row],[Collector Booster Box Size]]</f>
        <v>#N/A</v>
      </c>
      <c r="AY311" s="10" t="str" cm="1">
        <f t="array" ref="AY3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1" s="10"/>
      <c r="BA3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1" s="17" t="e">
        <f>tbl_MTG_Set[[#This Row],[Collector Booster CardMarket Profit]]/tbl_MTG_Set[[#This Row],[Collector Booster Cost]]</f>
        <v>#N/A</v>
      </c>
      <c r="BC311" s="10"/>
      <c r="BF3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1" s="11" t="e">
        <f>tbl_MTG_Set[[#This Row],[Play Singles CardMarket Profit MTG Stocks]]/tbl_MTG_Set[[#This Row],[Play Booster Cost]]</f>
        <v>#VALUE!</v>
      </c>
      <c r="BI311" s="11" t="b">
        <f>tbl_MTG_Set[[#This Row],[Play Singles CardMarket Profit MTG Stocks]]&gt;0</f>
        <v>0</v>
      </c>
      <c r="BM311" s="10" t="e">
        <f>tbl_MTG_Set[[#This Row],[Play Booster Sell Price CardMarket]]*tbl_MTG_Set[[#This Row],[Play Booster Expected Market Value BotBox]]/tbl_MTG_Set[[#This Row],[Play Booster Sealed Market Value BotBox]]</f>
        <v>#VALUE!</v>
      </c>
      <c r="BN3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1" s="10" t="e">
        <f>tbl_MTG_Set[[#This Row],[Play Singles CardMarket Profit BotBox]]/tbl_MTG_Set[[#This Row],[Play Booster Cost]]</f>
        <v>#VALUE!</v>
      </c>
      <c r="BP311" s="10" t="b">
        <f>tbl_MTG_Set[[#This Row],[Play Singles CardMarket Profit BotBox]]&gt;0</f>
        <v>0</v>
      </c>
      <c r="BQ311" s="10"/>
      <c r="BR311" s="10"/>
      <c r="BS311" s="10"/>
      <c r="BT3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1" s="19" t="e">
        <f>tbl_MTG_Set[[#This Row],[Collector Singles CardMarket Profit MTG Stocks]]/tbl_MTG_Set[[#This Row],[Collector Booster Cost]]</f>
        <v>#N/A</v>
      </c>
      <c r="BW311" s="10" t="b">
        <f>tbl_MTG_Set[[#This Row],[Collector Singles CardMarket Profit MTG Stocks]]&gt;0</f>
        <v>0</v>
      </c>
      <c r="BX311" s="10"/>
      <c r="BY311" s="10"/>
      <c r="BZ3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1" s="10" t="e">
        <f>tbl_MTG_Set[[#This Row],[Collector Singles CardMarket Profit BotBox]]/tbl_MTG_Set[[#This Row],[Collector Booster Cost]]</f>
        <v>#N/A</v>
      </c>
      <c r="CC311" s="10" t="b">
        <f>tbl_MTG_Set[[#This Row],[Collector Singles CardMarket Profit BotBox]]&gt;0</f>
        <v>0</v>
      </c>
      <c r="CD3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2" spans="1:86" hidden="1">
      <c r="A312">
        <v>338</v>
      </c>
      <c r="B312" t="s">
        <v>485</v>
      </c>
      <c r="C312">
        <v>5</v>
      </c>
      <c r="D312" s="3">
        <v>44365</v>
      </c>
      <c r="F312" t="s">
        <v>174</v>
      </c>
      <c r="G312">
        <v>622</v>
      </c>
      <c r="H312">
        <f ca="1">MONTH(NOW())+12*YEAR(NOW())-MONTH(tbl_MTG_Set[[#This Row],[Released On]])-12*YEAR(tbl_MTG_Set[[#This Row],[Released On]])</f>
        <v>57</v>
      </c>
      <c r="I312" t="str">
        <f>_xlfn.XLOOKUP(tbl_MTG_Set[[#This Row],[Type Name]], tbl_MTG_Set_Type[Set Type], tbl_MTG_Set_Type[Index], "(Set Type not found)")</f>
        <v>(Set Type not found)</v>
      </c>
      <c r="J312" t="str">
        <f>_xlfn.XLOOKUP(tbl_MTG_Set[[#This Row],[Type Name]], tbl_MTG_Set_Type[Set Type], tbl_MTG_Set_Type[Buy Window Month Start], "(Set Type not found)")</f>
        <v>(Set Type not found)</v>
      </c>
      <c r="K312" s="3" t="e">
        <f>tbl_MTG_Set[[#This Row],[Released On]]+tbl_MTG_Set[[#This Row],[Buy Window Month Start]]*365.25/12</f>
        <v>#VALUE!</v>
      </c>
      <c r="L312" t="str">
        <f>_xlfn.XLOOKUP(tbl_MTG_Set[[#This Row],[Type Name]], tbl_MTG_Set_Type[Set Type], tbl_MTG_Set_Type[Buy Window Month End], "(Set Type not found)", 0, 1)</f>
        <v>(Set Type not found)</v>
      </c>
      <c r="M312" s="3" t="e">
        <f>tbl_MTG_Set[[#This Row],[Released On]]+tbl_MTG_Set[[#This Row],[Buy Window Month End]]*365.25/12</f>
        <v>#VALUE!</v>
      </c>
      <c r="N312" s="3" t="e">
        <f ca="1">AND(NOW()&gt;=tbl_MTG_Set[[#This Row],[Buy Window Start]], NOW()&lt;=tbl_MTG_Set[[#This Row],[Buy Window End]])</f>
        <v>#VALUE!</v>
      </c>
      <c r="O312" t="str">
        <f>_xlfn.XLOOKUP(tbl_MTG_Set[[#This Row],[Type Name]], tbl_MTG_Set_Type[Set Type], tbl_MTG_Set_Type[Heavy Printing Window Month Start], "(Set Type not found)", 0, 1)</f>
        <v>(Set Type not found)</v>
      </c>
      <c r="P312" s="3" t="e">
        <f>tbl_MTG_Set[[#This Row],[Released On]]+tbl_MTG_Set[[#This Row],[Heavy Printing Window Month Start]]*365.25/12</f>
        <v>#VALUE!</v>
      </c>
      <c r="Q312" t="str">
        <f>_xlfn.XLOOKUP(tbl_MTG_Set[[#This Row],[Type Name]], tbl_MTG_Set_Type[Set Type], tbl_MTG_Set_Type[Heavy Printing Window Month End], "(Set Type not found)", 0, 1)</f>
        <v>(Set Type not found)</v>
      </c>
      <c r="R312" s="3" t="e">
        <f>tbl_MTG_Set[[#This Row],[Released On]]+tbl_MTG_Set[[#This Row],[Heavy Printing Window Month End]]*365.25/12</f>
        <v>#VALUE!</v>
      </c>
      <c r="S312" s="3" t="e">
        <f ca="1">AND(NOW()&gt;=tbl_MTG_Set[[#This Row],[Heavy Printing Window Start]], NOW()&lt;=tbl_MTG_Set[[#This Row],[Heavy Printing Window End]])</f>
        <v>#VALUE!</v>
      </c>
      <c r="T312" t="str">
        <f>_xlfn.XLOOKUP(tbl_MTG_Set[[#This Row],[Type Name]], tbl_MTG_Set_Type[Set Type], tbl_MTG_Set_Type[Sell Window Month Start], "(Set Type not found)", 0, 1)</f>
        <v>(Set Type not found)</v>
      </c>
      <c r="U312" s="3" t="e">
        <f>tbl_MTG_Set[[#This Row],[Released On]]+tbl_MTG_Set[[#This Row],[Sell Window Month Start]]*365.25/12</f>
        <v>#VALUE!</v>
      </c>
      <c r="V312" t="str">
        <f>_xlfn.XLOOKUP(tbl_MTG_Set[[#This Row],[Type Name]], tbl_MTG_Set_Type[Set Type], tbl_MTG_Set_Type[Sell Window Month End], "(Set Type not found)", 0, 1)</f>
        <v>(Set Type not found)</v>
      </c>
      <c r="W312" s="3" t="e">
        <f>tbl_MTG_Set[[#This Row],[Released On]]+tbl_MTG_Set[[#This Row],[Sell Window Month End]]*365.25/12</f>
        <v>#VALUE!</v>
      </c>
      <c r="X312" s="3" t="e">
        <f ca="1">AND(NOW()&gt;=tbl_MTG_Set[[#This Row],[Sell Window Start]], NOW()&lt;=tbl_MTG_Set[[#This Row],[Sell Window End]])</f>
        <v>#VALUE!</v>
      </c>
      <c r="AG312" s="10"/>
      <c r="AH312" s="10"/>
      <c r="AM312" s="10" t="str" cm="1">
        <f t="array" ref="AM3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2" s="10" t="str" cm="1">
        <f t="array" ref="AN3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2" s="4" t="e">
        <f>_xlfn.XLOOKUP(tbl_MTG_Set[[#This Row],[Play Booster Box Product Id]], tbl_Product[Product Id], tbl_Product[Pack Size])</f>
        <v>#N/A</v>
      </c>
      <c r="AP312" s="10" t="e">
        <f>(tbl_MTG_Set[[#This Row],[Play Booster Box Cost]]+v_Item_Shipping_Cost_In)/tbl_MTG_Set[[#This Row],[Play Booster Box Size]]</f>
        <v>#VALUE!</v>
      </c>
      <c r="AQ312" s="10" t="str" cm="1">
        <f t="array" ref="AQ3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2" s="10"/>
      <c r="AS312" s="10"/>
      <c r="AT312" s="17" t="e">
        <f>tbl_MTG_Set[[#This Row],[Play Booster CardMarket Profit]]/tbl_MTG_Set[[#This Row],[Play Booster Cost]]</f>
        <v>#VALUE!</v>
      </c>
      <c r="AU312" s="10" t="e">
        <f>_xlfn.XLOOKUP(tbl_MTG_Set[[#This Row],[Collector Booster Box Product Id]], tbl_Product[Product Id], tbl_Product[Min Cost])</f>
        <v>#N/A</v>
      </c>
      <c r="AV312" s="10" t="e">
        <f>_xlfn.XLOOKUP(tbl_MTG_Set[[#This Row],[Collector Booster Box Product Id]], tbl_Product[Product Id], tbl_Product[Best Source])</f>
        <v>#N/A</v>
      </c>
      <c r="AW312" s="4" t="e">
        <f>_xlfn.XLOOKUP(tbl_MTG_Set[[#This Row],[Collector Booster Box Product Id]], tbl_Product[Product Id], tbl_Product[Pack Size])</f>
        <v>#N/A</v>
      </c>
      <c r="AX312" s="10" t="e">
        <f>(tbl_MTG_Set[[#This Row],[Collector Booster Box Cost]] + v_Item_Shipping_Cost_In) / tbl_MTG_Set[[#This Row],[Collector Booster Box Size]]</f>
        <v>#N/A</v>
      </c>
      <c r="AY312" s="10" t="str" cm="1">
        <f t="array" ref="AY3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2" s="10"/>
      <c r="BA3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2" s="17" t="e">
        <f>tbl_MTG_Set[[#This Row],[Collector Booster CardMarket Profit]]/tbl_MTG_Set[[#This Row],[Collector Booster Cost]]</f>
        <v>#N/A</v>
      </c>
      <c r="BC312" s="10"/>
      <c r="BF3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2" s="11" t="e">
        <f>tbl_MTG_Set[[#This Row],[Play Singles CardMarket Profit MTG Stocks]]/tbl_MTG_Set[[#This Row],[Play Booster Cost]]</f>
        <v>#VALUE!</v>
      </c>
      <c r="BI312" s="11" t="b">
        <f>tbl_MTG_Set[[#This Row],[Play Singles CardMarket Profit MTG Stocks]]&gt;0</f>
        <v>0</v>
      </c>
      <c r="BM312" s="10" t="e">
        <f>tbl_MTG_Set[[#This Row],[Play Booster Sell Price CardMarket]]*tbl_MTG_Set[[#This Row],[Play Booster Expected Market Value BotBox]]/tbl_MTG_Set[[#This Row],[Play Booster Sealed Market Value BotBox]]</f>
        <v>#VALUE!</v>
      </c>
      <c r="BN3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2" s="10" t="e">
        <f>tbl_MTG_Set[[#This Row],[Play Singles CardMarket Profit BotBox]]/tbl_MTG_Set[[#This Row],[Play Booster Cost]]</f>
        <v>#VALUE!</v>
      </c>
      <c r="BP312" s="10" t="b">
        <f>tbl_MTG_Set[[#This Row],[Play Singles CardMarket Profit BotBox]]&gt;0</f>
        <v>0</v>
      </c>
      <c r="BQ312" s="10"/>
      <c r="BR312" s="10"/>
      <c r="BS312" s="10"/>
      <c r="BT3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2" s="19" t="e">
        <f>tbl_MTG_Set[[#This Row],[Collector Singles CardMarket Profit MTG Stocks]]/tbl_MTG_Set[[#This Row],[Collector Booster Cost]]</f>
        <v>#N/A</v>
      </c>
      <c r="BW312" s="10" t="b">
        <f>tbl_MTG_Set[[#This Row],[Collector Singles CardMarket Profit MTG Stocks]]&gt;0</f>
        <v>0</v>
      </c>
      <c r="BX312" s="10"/>
      <c r="BY312" s="10"/>
      <c r="BZ3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2" s="10" t="e">
        <f>tbl_MTG_Set[[#This Row],[Collector Singles CardMarket Profit BotBox]]/tbl_MTG_Set[[#This Row],[Collector Booster Cost]]</f>
        <v>#N/A</v>
      </c>
      <c r="CC312" s="10" t="b">
        <f>tbl_MTG_Set[[#This Row],[Collector Singles CardMarket Profit BotBox]]&gt;0</f>
        <v>0</v>
      </c>
      <c r="CD3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3" spans="1:86" hidden="1">
      <c r="A313">
        <v>339</v>
      </c>
      <c r="B313" t="s">
        <v>486</v>
      </c>
      <c r="C313">
        <v>40</v>
      </c>
      <c r="D313" s="3">
        <v>44365</v>
      </c>
      <c r="F313" t="s">
        <v>174</v>
      </c>
      <c r="G313">
        <v>624</v>
      </c>
      <c r="H313">
        <f ca="1">MONTH(NOW())+12*YEAR(NOW())-MONTH(tbl_MTG_Set[[#This Row],[Released On]])-12*YEAR(tbl_MTG_Set[[#This Row],[Released On]])</f>
        <v>57</v>
      </c>
      <c r="I313" t="str">
        <f>_xlfn.XLOOKUP(tbl_MTG_Set[[#This Row],[Type Name]], tbl_MTG_Set_Type[Set Type], tbl_MTG_Set_Type[Index], "(Set Type not found)")</f>
        <v>(Set Type not found)</v>
      </c>
      <c r="J313" t="str">
        <f>_xlfn.XLOOKUP(tbl_MTG_Set[[#This Row],[Type Name]], tbl_MTG_Set_Type[Set Type], tbl_MTG_Set_Type[Buy Window Month Start], "(Set Type not found)")</f>
        <v>(Set Type not found)</v>
      </c>
      <c r="K313" s="3" t="e">
        <f>tbl_MTG_Set[[#This Row],[Released On]]+tbl_MTG_Set[[#This Row],[Buy Window Month Start]]*365.25/12</f>
        <v>#VALUE!</v>
      </c>
      <c r="L313" t="str">
        <f>_xlfn.XLOOKUP(tbl_MTG_Set[[#This Row],[Type Name]], tbl_MTG_Set_Type[Set Type], tbl_MTG_Set_Type[Buy Window Month End], "(Set Type not found)", 0, 1)</f>
        <v>(Set Type not found)</v>
      </c>
      <c r="M313" s="3" t="e">
        <f>tbl_MTG_Set[[#This Row],[Released On]]+tbl_MTG_Set[[#This Row],[Buy Window Month End]]*365.25/12</f>
        <v>#VALUE!</v>
      </c>
      <c r="N313" s="3" t="e">
        <f ca="1">AND(NOW()&gt;=tbl_MTG_Set[[#This Row],[Buy Window Start]], NOW()&lt;=tbl_MTG_Set[[#This Row],[Buy Window End]])</f>
        <v>#VALUE!</v>
      </c>
      <c r="O313" t="str">
        <f>_xlfn.XLOOKUP(tbl_MTG_Set[[#This Row],[Type Name]], tbl_MTG_Set_Type[Set Type], tbl_MTG_Set_Type[Heavy Printing Window Month Start], "(Set Type not found)", 0, 1)</f>
        <v>(Set Type not found)</v>
      </c>
      <c r="P313" s="3" t="e">
        <f>tbl_MTG_Set[[#This Row],[Released On]]+tbl_MTG_Set[[#This Row],[Heavy Printing Window Month Start]]*365.25/12</f>
        <v>#VALUE!</v>
      </c>
      <c r="Q313" t="str">
        <f>_xlfn.XLOOKUP(tbl_MTG_Set[[#This Row],[Type Name]], tbl_MTG_Set_Type[Set Type], tbl_MTG_Set_Type[Heavy Printing Window Month End], "(Set Type not found)", 0, 1)</f>
        <v>(Set Type not found)</v>
      </c>
      <c r="R313" s="3" t="e">
        <f>tbl_MTG_Set[[#This Row],[Released On]]+tbl_MTG_Set[[#This Row],[Heavy Printing Window Month End]]*365.25/12</f>
        <v>#VALUE!</v>
      </c>
      <c r="S313" s="3" t="e">
        <f ca="1">AND(NOW()&gt;=tbl_MTG_Set[[#This Row],[Heavy Printing Window Start]], NOW()&lt;=tbl_MTG_Set[[#This Row],[Heavy Printing Window End]])</f>
        <v>#VALUE!</v>
      </c>
      <c r="T313" t="str">
        <f>_xlfn.XLOOKUP(tbl_MTG_Set[[#This Row],[Type Name]], tbl_MTG_Set_Type[Set Type], tbl_MTG_Set_Type[Sell Window Month Start], "(Set Type not found)", 0, 1)</f>
        <v>(Set Type not found)</v>
      </c>
      <c r="U313" s="3" t="e">
        <f>tbl_MTG_Set[[#This Row],[Released On]]+tbl_MTG_Set[[#This Row],[Sell Window Month Start]]*365.25/12</f>
        <v>#VALUE!</v>
      </c>
      <c r="V313" t="str">
        <f>_xlfn.XLOOKUP(tbl_MTG_Set[[#This Row],[Type Name]], tbl_MTG_Set_Type[Set Type], tbl_MTG_Set_Type[Sell Window Month End], "(Set Type not found)", 0, 1)</f>
        <v>(Set Type not found)</v>
      </c>
      <c r="W313" s="3" t="e">
        <f>tbl_MTG_Set[[#This Row],[Released On]]+tbl_MTG_Set[[#This Row],[Sell Window Month End]]*365.25/12</f>
        <v>#VALUE!</v>
      </c>
      <c r="X313" s="3" t="e">
        <f ca="1">AND(NOW()&gt;=tbl_MTG_Set[[#This Row],[Sell Window Start]], NOW()&lt;=tbl_MTG_Set[[#This Row],[Sell Window End]])</f>
        <v>#VALUE!</v>
      </c>
      <c r="AG313" s="10"/>
      <c r="AH313" s="10"/>
      <c r="AM313" s="10" t="str" cm="1">
        <f t="array" ref="AM3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3" s="10" t="str" cm="1">
        <f t="array" ref="AN3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3" s="4" t="e">
        <f>_xlfn.XLOOKUP(tbl_MTG_Set[[#This Row],[Play Booster Box Product Id]], tbl_Product[Product Id], tbl_Product[Pack Size])</f>
        <v>#N/A</v>
      </c>
      <c r="AP313" s="10" t="e">
        <f>(tbl_MTG_Set[[#This Row],[Play Booster Box Cost]]+v_Item_Shipping_Cost_In)/tbl_MTG_Set[[#This Row],[Play Booster Box Size]]</f>
        <v>#VALUE!</v>
      </c>
      <c r="AQ313" s="10" t="str" cm="1">
        <f t="array" ref="AQ3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3" s="10"/>
      <c r="AS313" s="10"/>
      <c r="AT313" s="17" t="e">
        <f>tbl_MTG_Set[[#This Row],[Play Booster CardMarket Profit]]/tbl_MTG_Set[[#This Row],[Play Booster Cost]]</f>
        <v>#VALUE!</v>
      </c>
      <c r="AU313" s="10" t="e">
        <f>_xlfn.XLOOKUP(tbl_MTG_Set[[#This Row],[Collector Booster Box Product Id]], tbl_Product[Product Id], tbl_Product[Min Cost])</f>
        <v>#N/A</v>
      </c>
      <c r="AV313" s="10" t="e">
        <f>_xlfn.XLOOKUP(tbl_MTG_Set[[#This Row],[Collector Booster Box Product Id]], tbl_Product[Product Id], tbl_Product[Best Source])</f>
        <v>#N/A</v>
      </c>
      <c r="AW313" s="4" t="e">
        <f>_xlfn.XLOOKUP(tbl_MTG_Set[[#This Row],[Collector Booster Box Product Id]], tbl_Product[Product Id], tbl_Product[Pack Size])</f>
        <v>#N/A</v>
      </c>
      <c r="AX313" s="10" t="e">
        <f>(tbl_MTG_Set[[#This Row],[Collector Booster Box Cost]] + v_Item_Shipping_Cost_In) / tbl_MTG_Set[[#This Row],[Collector Booster Box Size]]</f>
        <v>#N/A</v>
      </c>
      <c r="AY313" s="10" t="str" cm="1">
        <f t="array" ref="AY3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3" s="10"/>
      <c r="BA3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3" s="17" t="e">
        <f>tbl_MTG_Set[[#This Row],[Collector Booster CardMarket Profit]]/tbl_MTG_Set[[#This Row],[Collector Booster Cost]]</f>
        <v>#N/A</v>
      </c>
      <c r="BC313" s="10"/>
      <c r="BF3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3" s="11" t="e">
        <f>tbl_MTG_Set[[#This Row],[Play Singles CardMarket Profit MTG Stocks]]/tbl_MTG_Set[[#This Row],[Play Booster Cost]]</f>
        <v>#VALUE!</v>
      </c>
      <c r="BI313" s="11" t="b">
        <f>tbl_MTG_Set[[#This Row],[Play Singles CardMarket Profit MTG Stocks]]&gt;0</f>
        <v>0</v>
      </c>
      <c r="BM313" s="10" t="e">
        <f>tbl_MTG_Set[[#This Row],[Play Booster Sell Price CardMarket]]*tbl_MTG_Set[[#This Row],[Play Booster Expected Market Value BotBox]]/tbl_MTG_Set[[#This Row],[Play Booster Sealed Market Value BotBox]]</f>
        <v>#VALUE!</v>
      </c>
      <c r="BN3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3" s="10" t="e">
        <f>tbl_MTG_Set[[#This Row],[Play Singles CardMarket Profit BotBox]]/tbl_MTG_Set[[#This Row],[Play Booster Cost]]</f>
        <v>#VALUE!</v>
      </c>
      <c r="BP313" s="10" t="b">
        <f>tbl_MTG_Set[[#This Row],[Play Singles CardMarket Profit BotBox]]&gt;0</f>
        <v>0</v>
      </c>
      <c r="BQ313" s="10"/>
      <c r="BR313" s="10"/>
      <c r="BS313" s="10"/>
      <c r="BT3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3" s="19" t="e">
        <f>tbl_MTG_Set[[#This Row],[Collector Singles CardMarket Profit MTG Stocks]]/tbl_MTG_Set[[#This Row],[Collector Booster Cost]]</f>
        <v>#N/A</v>
      </c>
      <c r="BW313" s="10" t="b">
        <f>tbl_MTG_Set[[#This Row],[Collector Singles CardMarket Profit MTG Stocks]]&gt;0</f>
        <v>0</v>
      </c>
      <c r="BX313" s="10"/>
      <c r="BY313" s="10"/>
      <c r="BZ3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3" s="10" t="e">
        <f>tbl_MTG_Set[[#This Row],[Collector Singles CardMarket Profit BotBox]]/tbl_MTG_Set[[#This Row],[Collector Booster Cost]]</f>
        <v>#N/A</v>
      </c>
      <c r="CC313" s="10" t="b">
        <f>tbl_MTG_Set[[#This Row],[Collector Singles CardMarket Profit BotBox]]&gt;0</f>
        <v>0</v>
      </c>
      <c r="CD3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4" spans="1:86" hidden="1">
      <c r="A314">
        <v>340</v>
      </c>
      <c r="B314" t="s">
        <v>487</v>
      </c>
      <c r="C314">
        <v>25</v>
      </c>
      <c r="D314" s="3">
        <v>44343</v>
      </c>
      <c r="F314" t="s">
        <v>174</v>
      </c>
      <c r="G314">
        <v>626</v>
      </c>
      <c r="H314">
        <f ca="1">MONTH(NOW())+12*YEAR(NOW())-MONTH(tbl_MTG_Set[[#This Row],[Released On]])-12*YEAR(tbl_MTG_Set[[#This Row],[Released On]])</f>
        <v>58</v>
      </c>
      <c r="I314" t="str">
        <f>_xlfn.XLOOKUP(tbl_MTG_Set[[#This Row],[Type Name]], tbl_MTG_Set_Type[Set Type], tbl_MTG_Set_Type[Index], "(Set Type not found)")</f>
        <v>(Set Type not found)</v>
      </c>
      <c r="J314" t="str">
        <f>_xlfn.XLOOKUP(tbl_MTG_Set[[#This Row],[Type Name]], tbl_MTG_Set_Type[Set Type], tbl_MTG_Set_Type[Buy Window Month Start], "(Set Type not found)")</f>
        <v>(Set Type not found)</v>
      </c>
      <c r="K314" s="3" t="e">
        <f>tbl_MTG_Set[[#This Row],[Released On]]+tbl_MTG_Set[[#This Row],[Buy Window Month Start]]*365.25/12</f>
        <v>#VALUE!</v>
      </c>
      <c r="L314" t="str">
        <f>_xlfn.XLOOKUP(tbl_MTG_Set[[#This Row],[Type Name]], tbl_MTG_Set_Type[Set Type], tbl_MTG_Set_Type[Buy Window Month End], "(Set Type not found)", 0, 1)</f>
        <v>(Set Type not found)</v>
      </c>
      <c r="M314" s="3" t="e">
        <f>tbl_MTG_Set[[#This Row],[Released On]]+tbl_MTG_Set[[#This Row],[Buy Window Month End]]*365.25/12</f>
        <v>#VALUE!</v>
      </c>
      <c r="N314" s="3" t="e">
        <f ca="1">AND(NOW()&gt;=tbl_MTG_Set[[#This Row],[Buy Window Start]], NOW()&lt;=tbl_MTG_Set[[#This Row],[Buy Window End]])</f>
        <v>#VALUE!</v>
      </c>
      <c r="O314" t="str">
        <f>_xlfn.XLOOKUP(tbl_MTG_Set[[#This Row],[Type Name]], tbl_MTG_Set_Type[Set Type], tbl_MTG_Set_Type[Heavy Printing Window Month Start], "(Set Type not found)", 0, 1)</f>
        <v>(Set Type not found)</v>
      </c>
      <c r="P314" s="3" t="e">
        <f>tbl_MTG_Set[[#This Row],[Released On]]+tbl_MTG_Set[[#This Row],[Heavy Printing Window Month Start]]*365.25/12</f>
        <v>#VALUE!</v>
      </c>
      <c r="Q314" t="str">
        <f>_xlfn.XLOOKUP(tbl_MTG_Set[[#This Row],[Type Name]], tbl_MTG_Set_Type[Set Type], tbl_MTG_Set_Type[Heavy Printing Window Month End], "(Set Type not found)", 0, 1)</f>
        <v>(Set Type not found)</v>
      </c>
      <c r="R314" s="3" t="e">
        <f>tbl_MTG_Set[[#This Row],[Released On]]+tbl_MTG_Set[[#This Row],[Heavy Printing Window Month End]]*365.25/12</f>
        <v>#VALUE!</v>
      </c>
      <c r="S314" s="3" t="e">
        <f ca="1">AND(NOW()&gt;=tbl_MTG_Set[[#This Row],[Heavy Printing Window Start]], NOW()&lt;=tbl_MTG_Set[[#This Row],[Heavy Printing Window End]])</f>
        <v>#VALUE!</v>
      </c>
      <c r="T314" t="str">
        <f>_xlfn.XLOOKUP(tbl_MTG_Set[[#This Row],[Type Name]], tbl_MTG_Set_Type[Set Type], tbl_MTG_Set_Type[Sell Window Month Start], "(Set Type not found)", 0, 1)</f>
        <v>(Set Type not found)</v>
      </c>
      <c r="U314" s="3" t="e">
        <f>tbl_MTG_Set[[#This Row],[Released On]]+tbl_MTG_Set[[#This Row],[Sell Window Month Start]]*365.25/12</f>
        <v>#VALUE!</v>
      </c>
      <c r="V314" t="str">
        <f>_xlfn.XLOOKUP(tbl_MTG_Set[[#This Row],[Type Name]], tbl_MTG_Set_Type[Set Type], tbl_MTG_Set_Type[Sell Window Month End], "(Set Type not found)", 0, 1)</f>
        <v>(Set Type not found)</v>
      </c>
      <c r="W314" s="3" t="e">
        <f>tbl_MTG_Set[[#This Row],[Released On]]+tbl_MTG_Set[[#This Row],[Sell Window Month End]]*365.25/12</f>
        <v>#VALUE!</v>
      </c>
      <c r="X314" s="3" t="e">
        <f ca="1">AND(NOW()&gt;=tbl_MTG_Set[[#This Row],[Sell Window Start]], NOW()&lt;=tbl_MTG_Set[[#This Row],[Sell Window End]])</f>
        <v>#VALUE!</v>
      </c>
      <c r="AG314" s="10"/>
      <c r="AH314" s="10"/>
      <c r="AM314" s="10" t="str" cm="1">
        <f t="array" ref="AM3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4" s="10" t="str" cm="1">
        <f t="array" ref="AN3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4" s="4" t="e">
        <f>_xlfn.XLOOKUP(tbl_MTG_Set[[#This Row],[Play Booster Box Product Id]], tbl_Product[Product Id], tbl_Product[Pack Size])</f>
        <v>#N/A</v>
      </c>
      <c r="AP314" s="10" t="e">
        <f>(tbl_MTG_Set[[#This Row],[Play Booster Box Cost]]+v_Item_Shipping_Cost_In)/tbl_MTG_Set[[#This Row],[Play Booster Box Size]]</f>
        <v>#VALUE!</v>
      </c>
      <c r="AQ314" s="10" t="str" cm="1">
        <f t="array" ref="AQ3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4" s="10"/>
      <c r="AS314" s="10"/>
      <c r="AT314" s="17" t="e">
        <f>tbl_MTG_Set[[#This Row],[Play Booster CardMarket Profit]]/tbl_MTG_Set[[#This Row],[Play Booster Cost]]</f>
        <v>#VALUE!</v>
      </c>
      <c r="AU314" s="10" t="e">
        <f>_xlfn.XLOOKUP(tbl_MTG_Set[[#This Row],[Collector Booster Box Product Id]], tbl_Product[Product Id], tbl_Product[Min Cost])</f>
        <v>#N/A</v>
      </c>
      <c r="AV314" s="10" t="e">
        <f>_xlfn.XLOOKUP(tbl_MTG_Set[[#This Row],[Collector Booster Box Product Id]], tbl_Product[Product Id], tbl_Product[Best Source])</f>
        <v>#N/A</v>
      </c>
      <c r="AW314" s="4" t="e">
        <f>_xlfn.XLOOKUP(tbl_MTG_Set[[#This Row],[Collector Booster Box Product Id]], tbl_Product[Product Id], tbl_Product[Pack Size])</f>
        <v>#N/A</v>
      </c>
      <c r="AX314" s="10" t="e">
        <f>(tbl_MTG_Set[[#This Row],[Collector Booster Box Cost]] + v_Item_Shipping_Cost_In) / tbl_MTG_Set[[#This Row],[Collector Booster Box Size]]</f>
        <v>#N/A</v>
      </c>
      <c r="AY314" s="10" t="str" cm="1">
        <f t="array" ref="AY3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4" s="10"/>
      <c r="BA3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4" s="17" t="e">
        <f>tbl_MTG_Set[[#This Row],[Collector Booster CardMarket Profit]]/tbl_MTG_Set[[#This Row],[Collector Booster Cost]]</f>
        <v>#N/A</v>
      </c>
      <c r="BC314" s="10"/>
      <c r="BF3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4" s="11" t="e">
        <f>tbl_MTG_Set[[#This Row],[Play Singles CardMarket Profit MTG Stocks]]/tbl_MTG_Set[[#This Row],[Play Booster Cost]]</f>
        <v>#VALUE!</v>
      </c>
      <c r="BI314" s="11" t="b">
        <f>tbl_MTG_Set[[#This Row],[Play Singles CardMarket Profit MTG Stocks]]&gt;0</f>
        <v>0</v>
      </c>
      <c r="BM314" s="10" t="e">
        <f>tbl_MTG_Set[[#This Row],[Play Booster Sell Price CardMarket]]*tbl_MTG_Set[[#This Row],[Play Booster Expected Market Value BotBox]]/tbl_MTG_Set[[#This Row],[Play Booster Sealed Market Value BotBox]]</f>
        <v>#VALUE!</v>
      </c>
      <c r="BN3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4" s="10" t="e">
        <f>tbl_MTG_Set[[#This Row],[Play Singles CardMarket Profit BotBox]]/tbl_MTG_Set[[#This Row],[Play Booster Cost]]</f>
        <v>#VALUE!</v>
      </c>
      <c r="BP314" s="10" t="b">
        <f>tbl_MTG_Set[[#This Row],[Play Singles CardMarket Profit BotBox]]&gt;0</f>
        <v>0</v>
      </c>
      <c r="BQ314" s="10"/>
      <c r="BR314" s="10"/>
      <c r="BS314" s="10"/>
      <c r="BT3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4" s="19" t="e">
        <f>tbl_MTG_Set[[#This Row],[Collector Singles CardMarket Profit MTG Stocks]]/tbl_MTG_Set[[#This Row],[Collector Booster Cost]]</f>
        <v>#N/A</v>
      </c>
      <c r="BW314" s="10" t="b">
        <f>tbl_MTG_Set[[#This Row],[Collector Singles CardMarket Profit MTG Stocks]]&gt;0</f>
        <v>0</v>
      </c>
      <c r="BX314" s="10"/>
      <c r="BY314" s="10"/>
      <c r="BZ3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4" s="10" t="e">
        <f>tbl_MTG_Set[[#This Row],[Collector Singles CardMarket Profit BotBox]]/tbl_MTG_Set[[#This Row],[Collector Booster Cost]]</f>
        <v>#N/A</v>
      </c>
      <c r="CC314" s="10" t="b">
        <f>tbl_MTG_Set[[#This Row],[Collector Singles CardMarket Profit BotBox]]&gt;0</f>
        <v>0</v>
      </c>
      <c r="CD3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5" spans="1:86" hidden="1">
      <c r="A315">
        <v>342</v>
      </c>
      <c r="B315" t="s">
        <v>488</v>
      </c>
      <c r="C315">
        <v>126</v>
      </c>
      <c r="D315" s="3">
        <v>44309</v>
      </c>
      <c r="E315" t="s">
        <v>59</v>
      </c>
      <c r="F315" t="s">
        <v>174</v>
      </c>
      <c r="G315">
        <v>630</v>
      </c>
      <c r="H315">
        <f ca="1">MONTH(NOW())+12*YEAR(NOW())-MONTH(tbl_MTG_Set[[#This Row],[Released On]])-12*YEAR(tbl_MTG_Set[[#This Row],[Released On]])</f>
        <v>59</v>
      </c>
      <c r="I315">
        <f>_xlfn.XLOOKUP(tbl_MTG_Set[[#This Row],[Type Name]], tbl_MTG_Set_Type[Set Type], tbl_MTG_Set_Type[Index], "(Set Type not found)")</f>
        <v>1</v>
      </c>
      <c r="J315">
        <f>_xlfn.XLOOKUP(tbl_MTG_Set[[#This Row],[Type Name]], tbl_MTG_Set_Type[Set Type], tbl_MTG_Set_Type[Buy Window Month Start], "(Set Type not found)")</f>
        <v>18</v>
      </c>
      <c r="K315" s="3">
        <f>tbl_MTG_Set[[#This Row],[Released On]]+tbl_MTG_Set[[#This Row],[Buy Window Month Start]]*365.25/12</f>
        <v>44856.875</v>
      </c>
      <c r="L315">
        <f>_xlfn.XLOOKUP(tbl_MTG_Set[[#This Row],[Type Name]], tbl_MTG_Set_Type[Set Type], tbl_MTG_Set_Type[Buy Window Month End], "(Set Type not found)", 0, 1)</f>
        <v>24</v>
      </c>
      <c r="M315" s="3">
        <f>tbl_MTG_Set[[#This Row],[Released On]]+tbl_MTG_Set[[#This Row],[Buy Window Month End]]*365.25/12</f>
        <v>45039.5</v>
      </c>
      <c r="N315" s="3" t="b">
        <f ca="1">AND(NOW()&gt;=tbl_MTG_Set[[#This Row],[Buy Window Start]], NOW()&lt;=tbl_MTG_Set[[#This Row],[Buy Window End]])</f>
        <v>0</v>
      </c>
      <c r="O315">
        <f>_xlfn.XLOOKUP(tbl_MTG_Set[[#This Row],[Type Name]], tbl_MTG_Set_Type[Set Type], tbl_MTG_Set_Type[Heavy Printing Window Month Start], "(Set Type not found)", 0, 1)</f>
        <v>1</v>
      </c>
      <c r="P315" s="3">
        <f>tbl_MTG_Set[[#This Row],[Released On]]+tbl_MTG_Set[[#This Row],[Heavy Printing Window Month Start]]*365.25/12</f>
        <v>44339.4375</v>
      </c>
      <c r="Q315">
        <f>_xlfn.XLOOKUP(tbl_MTG_Set[[#This Row],[Type Name]], tbl_MTG_Set_Type[Set Type], tbl_MTG_Set_Type[Heavy Printing Window Month End], "(Set Type not found)", 0, 1)</f>
        <v>18</v>
      </c>
      <c r="R315" s="3">
        <f>tbl_MTG_Set[[#This Row],[Released On]]+tbl_MTG_Set[[#This Row],[Heavy Printing Window Month End]]*365.25/12</f>
        <v>44856.875</v>
      </c>
      <c r="S315" s="3" t="b">
        <f ca="1">AND(NOW()&gt;=tbl_MTG_Set[[#This Row],[Heavy Printing Window Start]], NOW()&lt;=tbl_MTG_Set[[#This Row],[Heavy Printing Window End]])</f>
        <v>0</v>
      </c>
      <c r="T315">
        <f>_xlfn.XLOOKUP(tbl_MTG_Set[[#This Row],[Type Name]], tbl_MTG_Set_Type[Set Type], tbl_MTG_Set_Type[Sell Window Month Start], "(Set Type not found)", 0, 1)</f>
        <v>36</v>
      </c>
      <c r="U315" s="3">
        <f>tbl_MTG_Set[[#This Row],[Released On]]+tbl_MTG_Set[[#This Row],[Sell Window Month Start]]*365.25/12</f>
        <v>45404.75</v>
      </c>
      <c r="V315">
        <f>_xlfn.XLOOKUP(tbl_MTG_Set[[#This Row],[Type Name]], tbl_MTG_Set_Type[Set Type], tbl_MTG_Set_Type[Sell Window Month End], "(Set Type not found)", 0, 1)</f>
        <v>48</v>
      </c>
      <c r="W315" s="3">
        <f>tbl_MTG_Set[[#This Row],[Released On]]+tbl_MTG_Set[[#This Row],[Sell Window Month End]]*365.25/12</f>
        <v>45770</v>
      </c>
      <c r="X315" s="3" t="b">
        <f ca="1">AND(NOW()&gt;=tbl_MTG_Set[[#This Row],[Sell Window Start]], NOW()&lt;=tbl_MTG_Set[[#This Row],[Sell Window End]])</f>
        <v>0</v>
      </c>
      <c r="AG315" s="10"/>
      <c r="AH315" s="10"/>
      <c r="AM315" s="10" t="str" cm="1">
        <f t="array" ref="AM3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5" s="10" t="str" cm="1">
        <f t="array" ref="AN3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5" s="4" t="e">
        <f>_xlfn.XLOOKUP(tbl_MTG_Set[[#This Row],[Play Booster Box Product Id]], tbl_Product[Product Id], tbl_Product[Pack Size])</f>
        <v>#N/A</v>
      </c>
      <c r="AP315" s="10" t="e">
        <f>(tbl_MTG_Set[[#This Row],[Play Booster Box Cost]]+v_Item_Shipping_Cost_In)/tbl_MTG_Set[[#This Row],[Play Booster Box Size]]</f>
        <v>#VALUE!</v>
      </c>
      <c r="AQ315" s="10" t="str" cm="1">
        <f t="array" ref="AQ3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5" s="10"/>
      <c r="AS315" s="10"/>
      <c r="AT315" s="17" t="e">
        <f>tbl_MTG_Set[[#This Row],[Play Booster CardMarket Profit]]/tbl_MTG_Set[[#This Row],[Play Booster Cost]]</f>
        <v>#VALUE!</v>
      </c>
      <c r="AU315" s="10" t="e">
        <f>_xlfn.XLOOKUP(tbl_MTG_Set[[#This Row],[Collector Booster Box Product Id]], tbl_Product[Product Id], tbl_Product[Min Cost])</f>
        <v>#N/A</v>
      </c>
      <c r="AV315" s="10" t="e">
        <f>_xlfn.XLOOKUP(tbl_MTG_Set[[#This Row],[Collector Booster Box Product Id]], tbl_Product[Product Id], tbl_Product[Best Source])</f>
        <v>#N/A</v>
      </c>
      <c r="AW315" s="4" t="e">
        <f>_xlfn.XLOOKUP(tbl_MTG_Set[[#This Row],[Collector Booster Box Product Id]], tbl_Product[Product Id], tbl_Product[Pack Size])</f>
        <v>#N/A</v>
      </c>
      <c r="AX315" s="10" t="e">
        <f>(tbl_MTG_Set[[#This Row],[Collector Booster Box Cost]] + v_Item_Shipping_Cost_In) / tbl_MTG_Set[[#This Row],[Collector Booster Box Size]]</f>
        <v>#N/A</v>
      </c>
      <c r="AY315" s="10" t="str" cm="1">
        <f t="array" ref="AY3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5" s="10"/>
      <c r="BA3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5" s="17" t="e">
        <f>tbl_MTG_Set[[#This Row],[Collector Booster CardMarket Profit]]/tbl_MTG_Set[[#This Row],[Collector Booster Cost]]</f>
        <v>#N/A</v>
      </c>
      <c r="BC315" s="10"/>
      <c r="BF3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5" s="11" t="e">
        <f>tbl_MTG_Set[[#This Row],[Play Singles CardMarket Profit MTG Stocks]]/tbl_MTG_Set[[#This Row],[Play Booster Cost]]</f>
        <v>#VALUE!</v>
      </c>
      <c r="BI315" s="11" t="b">
        <f>tbl_MTG_Set[[#This Row],[Play Singles CardMarket Profit MTG Stocks]]&gt;0</f>
        <v>0</v>
      </c>
      <c r="BM315" s="10" t="e">
        <f>tbl_MTG_Set[[#This Row],[Play Booster Sell Price CardMarket]]*tbl_MTG_Set[[#This Row],[Play Booster Expected Market Value BotBox]]/tbl_MTG_Set[[#This Row],[Play Booster Sealed Market Value BotBox]]</f>
        <v>#VALUE!</v>
      </c>
      <c r="BN3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5" s="10" t="e">
        <f>tbl_MTG_Set[[#This Row],[Play Singles CardMarket Profit BotBox]]/tbl_MTG_Set[[#This Row],[Play Booster Cost]]</f>
        <v>#VALUE!</v>
      </c>
      <c r="BP315" s="10" t="b">
        <f>tbl_MTG_Set[[#This Row],[Play Singles CardMarket Profit BotBox]]&gt;0</f>
        <v>0</v>
      </c>
      <c r="BQ315" s="10"/>
      <c r="BR315" s="10"/>
      <c r="BS315" s="10"/>
      <c r="BT3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5" s="19" t="e">
        <f>tbl_MTG_Set[[#This Row],[Collector Singles CardMarket Profit MTG Stocks]]/tbl_MTG_Set[[#This Row],[Collector Booster Cost]]</f>
        <v>#N/A</v>
      </c>
      <c r="BW315" s="10" t="b">
        <f>tbl_MTG_Set[[#This Row],[Collector Singles CardMarket Profit MTG Stocks]]&gt;0</f>
        <v>0</v>
      </c>
      <c r="BX315" s="10"/>
      <c r="BY315" s="10"/>
      <c r="BZ3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5" s="10" t="e">
        <f>tbl_MTG_Set[[#This Row],[Collector Singles CardMarket Profit BotBox]]/tbl_MTG_Set[[#This Row],[Collector Booster Cost]]</f>
        <v>#N/A</v>
      </c>
      <c r="CC315" s="10" t="b">
        <f>tbl_MTG_Set[[#This Row],[Collector Singles CardMarket Profit BotBox]]&gt;0</f>
        <v>0</v>
      </c>
      <c r="CD3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6" spans="1:86" hidden="1">
      <c r="A316">
        <v>343</v>
      </c>
      <c r="B316" t="s">
        <v>489</v>
      </c>
      <c r="C316">
        <v>164</v>
      </c>
      <c r="D316" s="3">
        <v>44309</v>
      </c>
      <c r="E316" t="s">
        <v>59</v>
      </c>
      <c r="F316" t="s">
        <v>174</v>
      </c>
      <c r="G316">
        <v>632</v>
      </c>
      <c r="H316">
        <f ca="1">MONTH(NOW())+12*YEAR(NOW())-MONTH(tbl_MTG_Set[[#This Row],[Released On]])-12*YEAR(tbl_MTG_Set[[#This Row],[Released On]])</f>
        <v>59</v>
      </c>
      <c r="I316">
        <f>_xlfn.XLOOKUP(tbl_MTG_Set[[#This Row],[Type Name]], tbl_MTG_Set_Type[Set Type], tbl_MTG_Set_Type[Index], "(Set Type not found)")</f>
        <v>1</v>
      </c>
      <c r="J316">
        <f>_xlfn.XLOOKUP(tbl_MTG_Set[[#This Row],[Type Name]], tbl_MTG_Set_Type[Set Type], tbl_MTG_Set_Type[Buy Window Month Start], "(Set Type not found)")</f>
        <v>18</v>
      </c>
      <c r="K316" s="3">
        <f>tbl_MTG_Set[[#This Row],[Released On]]+tbl_MTG_Set[[#This Row],[Buy Window Month Start]]*365.25/12</f>
        <v>44856.875</v>
      </c>
      <c r="L316">
        <f>_xlfn.XLOOKUP(tbl_MTG_Set[[#This Row],[Type Name]], tbl_MTG_Set_Type[Set Type], tbl_MTG_Set_Type[Buy Window Month End], "(Set Type not found)", 0, 1)</f>
        <v>24</v>
      </c>
      <c r="M316" s="3">
        <f>tbl_MTG_Set[[#This Row],[Released On]]+tbl_MTG_Set[[#This Row],[Buy Window Month End]]*365.25/12</f>
        <v>45039.5</v>
      </c>
      <c r="N316" s="3" t="b">
        <f ca="1">AND(NOW()&gt;=tbl_MTG_Set[[#This Row],[Buy Window Start]], NOW()&lt;=tbl_MTG_Set[[#This Row],[Buy Window End]])</f>
        <v>0</v>
      </c>
      <c r="O316">
        <f>_xlfn.XLOOKUP(tbl_MTG_Set[[#This Row],[Type Name]], tbl_MTG_Set_Type[Set Type], tbl_MTG_Set_Type[Heavy Printing Window Month Start], "(Set Type not found)", 0, 1)</f>
        <v>1</v>
      </c>
      <c r="P316" s="3">
        <f>tbl_MTG_Set[[#This Row],[Released On]]+tbl_MTG_Set[[#This Row],[Heavy Printing Window Month Start]]*365.25/12</f>
        <v>44339.4375</v>
      </c>
      <c r="Q316">
        <f>_xlfn.XLOOKUP(tbl_MTG_Set[[#This Row],[Type Name]], tbl_MTG_Set_Type[Set Type], tbl_MTG_Set_Type[Heavy Printing Window Month End], "(Set Type not found)", 0, 1)</f>
        <v>18</v>
      </c>
      <c r="R316" s="3">
        <f>tbl_MTG_Set[[#This Row],[Released On]]+tbl_MTG_Set[[#This Row],[Heavy Printing Window Month End]]*365.25/12</f>
        <v>44856.875</v>
      </c>
      <c r="S316" s="3" t="b">
        <f ca="1">AND(NOW()&gt;=tbl_MTG_Set[[#This Row],[Heavy Printing Window Start]], NOW()&lt;=tbl_MTG_Set[[#This Row],[Heavy Printing Window End]])</f>
        <v>0</v>
      </c>
      <c r="T316">
        <f>_xlfn.XLOOKUP(tbl_MTG_Set[[#This Row],[Type Name]], tbl_MTG_Set_Type[Set Type], tbl_MTG_Set_Type[Sell Window Month Start], "(Set Type not found)", 0, 1)</f>
        <v>36</v>
      </c>
      <c r="U316" s="3">
        <f>tbl_MTG_Set[[#This Row],[Released On]]+tbl_MTG_Set[[#This Row],[Sell Window Month Start]]*365.25/12</f>
        <v>45404.75</v>
      </c>
      <c r="V316">
        <f>_xlfn.XLOOKUP(tbl_MTG_Set[[#This Row],[Type Name]], tbl_MTG_Set_Type[Set Type], tbl_MTG_Set_Type[Sell Window Month End], "(Set Type not found)", 0, 1)</f>
        <v>48</v>
      </c>
      <c r="W316" s="3">
        <f>tbl_MTG_Set[[#This Row],[Released On]]+tbl_MTG_Set[[#This Row],[Sell Window Month End]]*365.25/12</f>
        <v>45770</v>
      </c>
      <c r="X316" s="3" t="b">
        <f ca="1">AND(NOW()&gt;=tbl_MTG_Set[[#This Row],[Sell Window Start]], NOW()&lt;=tbl_MTG_Set[[#This Row],[Sell Window End]])</f>
        <v>0</v>
      </c>
      <c r="AG316" s="10"/>
      <c r="AH316" s="10"/>
      <c r="AM316" s="10" t="str" cm="1">
        <f t="array" ref="AM3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6" s="10" t="str" cm="1">
        <f t="array" ref="AN3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6" s="4" t="e">
        <f>_xlfn.XLOOKUP(tbl_MTG_Set[[#This Row],[Play Booster Box Product Id]], tbl_Product[Product Id], tbl_Product[Pack Size])</f>
        <v>#N/A</v>
      </c>
      <c r="AP316" s="10" t="e">
        <f>(tbl_MTG_Set[[#This Row],[Play Booster Box Cost]]+v_Item_Shipping_Cost_In)/tbl_MTG_Set[[#This Row],[Play Booster Box Size]]</f>
        <v>#VALUE!</v>
      </c>
      <c r="AQ316" s="10" t="str" cm="1">
        <f t="array" ref="AQ3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6" s="10"/>
      <c r="AS316" s="10"/>
      <c r="AT316" s="17" t="e">
        <f>tbl_MTG_Set[[#This Row],[Play Booster CardMarket Profit]]/tbl_MTG_Set[[#This Row],[Play Booster Cost]]</f>
        <v>#VALUE!</v>
      </c>
      <c r="AU316" s="10" t="e">
        <f>_xlfn.XLOOKUP(tbl_MTG_Set[[#This Row],[Collector Booster Box Product Id]], tbl_Product[Product Id], tbl_Product[Min Cost])</f>
        <v>#N/A</v>
      </c>
      <c r="AV316" s="10" t="e">
        <f>_xlfn.XLOOKUP(tbl_MTG_Set[[#This Row],[Collector Booster Box Product Id]], tbl_Product[Product Id], tbl_Product[Best Source])</f>
        <v>#N/A</v>
      </c>
      <c r="AW316" s="4" t="e">
        <f>_xlfn.XLOOKUP(tbl_MTG_Set[[#This Row],[Collector Booster Box Product Id]], tbl_Product[Product Id], tbl_Product[Pack Size])</f>
        <v>#N/A</v>
      </c>
      <c r="AX316" s="10" t="e">
        <f>(tbl_MTG_Set[[#This Row],[Collector Booster Box Cost]] + v_Item_Shipping_Cost_In) / tbl_MTG_Set[[#This Row],[Collector Booster Box Size]]</f>
        <v>#N/A</v>
      </c>
      <c r="AY316" s="10" t="str" cm="1">
        <f t="array" ref="AY3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6" s="10"/>
      <c r="BA3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6" s="17" t="e">
        <f>tbl_MTG_Set[[#This Row],[Collector Booster CardMarket Profit]]/tbl_MTG_Set[[#This Row],[Collector Booster Cost]]</f>
        <v>#N/A</v>
      </c>
      <c r="BC316" s="10"/>
      <c r="BF3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6" s="11" t="e">
        <f>tbl_MTG_Set[[#This Row],[Play Singles CardMarket Profit MTG Stocks]]/tbl_MTG_Set[[#This Row],[Play Booster Cost]]</f>
        <v>#VALUE!</v>
      </c>
      <c r="BI316" s="11" t="b">
        <f>tbl_MTG_Set[[#This Row],[Play Singles CardMarket Profit MTG Stocks]]&gt;0</f>
        <v>0</v>
      </c>
      <c r="BM316" s="10" t="e">
        <f>tbl_MTG_Set[[#This Row],[Play Booster Sell Price CardMarket]]*tbl_MTG_Set[[#This Row],[Play Booster Expected Market Value BotBox]]/tbl_MTG_Set[[#This Row],[Play Booster Sealed Market Value BotBox]]</f>
        <v>#VALUE!</v>
      </c>
      <c r="BN3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6" s="10" t="e">
        <f>tbl_MTG_Set[[#This Row],[Play Singles CardMarket Profit BotBox]]/tbl_MTG_Set[[#This Row],[Play Booster Cost]]</f>
        <v>#VALUE!</v>
      </c>
      <c r="BP316" s="10" t="b">
        <f>tbl_MTG_Set[[#This Row],[Play Singles CardMarket Profit BotBox]]&gt;0</f>
        <v>0</v>
      </c>
      <c r="BQ316" s="10"/>
      <c r="BR316" s="10"/>
      <c r="BS316" s="10"/>
      <c r="BT3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6" s="19" t="e">
        <f>tbl_MTG_Set[[#This Row],[Collector Singles CardMarket Profit MTG Stocks]]/tbl_MTG_Set[[#This Row],[Collector Booster Cost]]</f>
        <v>#N/A</v>
      </c>
      <c r="BW316" s="10" t="b">
        <f>tbl_MTG_Set[[#This Row],[Collector Singles CardMarket Profit MTG Stocks]]&gt;0</f>
        <v>0</v>
      </c>
      <c r="BX316" s="10"/>
      <c r="BY316" s="10"/>
      <c r="BZ3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6" s="10" t="e">
        <f>tbl_MTG_Set[[#This Row],[Collector Singles CardMarket Profit BotBox]]/tbl_MTG_Set[[#This Row],[Collector Booster Cost]]</f>
        <v>#N/A</v>
      </c>
      <c r="CC316" s="10" t="b">
        <f>tbl_MTG_Set[[#This Row],[Collector Singles CardMarket Profit BotBox]]&gt;0</f>
        <v>0</v>
      </c>
      <c r="CD3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7" spans="1:86" hidden="1">
      <c r="A317">
        <v>344</v>
      </c>
      <c r="B317" t="s">
        <v>490</v>
      </c>
      <c r="C317">
        <v>9</v>
      </c>
      <c r="D317" s="3">
        <v>44309</v>
      </c>
      <c r="E317" t="s">
        <v>59</v>
      </c>
      <c r="F317" t="s">
        <v>174</v>
      </c>
      <c r="G317">
        <v>634</v>
      </c>
      <c r="H317">
        <f ca="1">MONTH(NOW())+12*YEAR(NOW())-MONTH(tbl_MTG_Set[[#This Row],[Released On]])-12*YEAR(tbl_MTG_Set[[#This Row],[Released On]])</f>
        <v>59</v>
      </c>
      <c r="I317">
        <f>_xlfn.XLOOKUP(tbl_MTG_Set[[#This Row],[Type Name]], tbl_MTG_Set_Type[Set Type], tbl_MTG_Set_Type[Index], "(Set Type not found)")</f>
        <v>1</v>
      </c>
      <c r="J317">
        <f>_xlfn.XLOOKUP(tbl_MTG_Set[[#This Row],[Type Name]], tbl_MTG_Set_Type[Set Type], tbl_MTG_Set_Type[Buy Window Month Start], "(Set Type not found)")</f>
        <v>18</v>
      </c>
      <c r="K317" s="3">
        <f>tbl_MTG_Set[[#This Row],[Released On]]+tbl_MTG_Set[[#This Row],[Buy Window Month Start]]*365.25/12</f>
        <v>44856.875</v>
      </c>
      <c r="L317">
        <f>_xlfn.XLOOKUP(tbl_MTG_Set[[#This Row],[Type Name]], tbl_MTG_Set_Type[Set Type], tbl_MTG_Set_Type[Buy Window Month End], "(Set Type not found)", 0, 1)</f>
        <v>24</v>
      </c>
      <c r="M317" s="3">
        <f>tbl_MTG_Set[[#This Row],[Released On]]+tbl_MTG_Set[[#This Row],[Buy Window Month End]]*365.25/12</f>
        <v>45039.5</v>
      </c>
      <c r="N317" s="3" t="b">
        <f ca="1">AND(NOW()&gt;=tbl_MTG_Set[[#This Row],[Buy Window Start]], NOW()&lt;=tbl_MTG_Set[[#This Row],[Buy Window End]])</f>
        <v>0</v>
      </c>
      <c r="O317">
        <f>_xlfn.XLOOKUP(tbl_MTG_Set[[#This Row],[Type Name]], tbl_MTG_Set_Type[Set Type], tbl_MTG_Set_Type[Heavy Printing Window Month Start], "(Set Type not found)", 0, 1)</f>
        <v>1</v>
      </c>
      <c r="P317" s="3">
        <f>tbl_MTG_Set[[#This Row],[Released On]]+tbl_MTG_Set[[#This Row],[Heavy Printing Window Month Start]]*365.25/12</f>
        <v>44339.4375</v>
      </c>
      <c r="Q317">
        <f>_xlfn.XLOOKUP(tbl_MTG_Set[[#This Row],[Type Name]], tbl_MTG_Set_Type[Set Type], tbl_MTG_Set_Type[Heavy Printing Window Month End], "(Set Type not found)", 0, 1)</f>
        <v>18</v>
      </c>
      <c r="R317" s="3">
        <f>tbl_MTG_Set[[#This Row],[Released On]]+tbl_MTG_Set[[#This Row],[Heavy Printing Window Month End]]*365.25/12</f>
        <v>44856.875</v>
      </c>
      <c r="S317" s="3" t="b">
        <f ca="1">AND(NOW()&gt;=tbl_MTG_Set[[#This Row],[Heavy Printing Window Start]], NOW()&lt;=tbl_MTG_Set[[#This Row],[Heavy Printing Window End]])</f>
        <v>0</v>
      </c>
      <c r="T317">
        <f>_xlfn.XLOOKUP(tbl_MTG_Set[[#This Row],[Type Name]], tbl_MTG_Set_Type[Set Type], tbl_MTG_Set_Type[Sell Window Month Start], "(Set Type not found)", 0, 1)</f>
        <v>36</v>
      </c>
      <c r="U317" s="3">
        <f>tbl_MTG_Set[[#This Row],[Released On]]+tbl_MTG_Set[[#This Row],[Sell Window Month Start]]*365.25/12</f>
        <v>45404.75</v>
      </c>
      <c r="V317">
        <f>_xlfn.XLOOKUP(tbl_MTG_Set[[#This Row],[Type Name]], tbl_MTG_Set_Type[Set Type], tbl_MTG_Set_Type[Sell Window Month End], "(Set Type not found)", 0, 1)</f>
        <v>48</v>
      </c>
      <c r="W317" s="3">
        <f>tbl_MTG_Set[[#This Row],[Released On]]+tbl_MTG_Set[[#This Row],[Sell Window Month End]]*365.25/12</f>
        <v>45770</v>
      </c>
      <c r="X317" s="3" t="b">
        <f ca="1">AND(NOW()&gt;=tbl_MTG_Set[[#This Row],[Sell Window Start]], NOW()&lt;=tbl_MTG_Set[[#This Row],[Sell Window End]])</f>
        <v>0</v>
      </c>
      <c r="AG317" s="10"/>
      <c r="AH317" s="10"/>
      <c r="AM317" s="10" t="str" cm="1">
        <f t="array" ref="AM3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7" s="10" t="str" cm="1">
        <f t="array" ref="AN3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7" s="4" t="e">
        <f>_xlfn.XLOOKUP(tbl_MTG_Set[[#This Row],[Play Booster Box Product Id]], tbl_Product[Product Id], tbl_Product[Pack Size])</f>
        <v>#N/A</v>
      </c>
      <c r="AP317" s="10" t="e">
        <f>(tbl_MTG_Set[[#This Row],[Play Booster Box Cost]]+v_Item_Shipping_Cost_In)/tbl_MTG_Set[[#This Row],[Play Booster Box Size]]</f>
        <v>#VALUE!</v>
      </c>
      <c r="AQ317" s="10" t="str" cm="1">
        <f t="array" ref="AQ3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7" s="10"/>
      <c r="AS317" s="10"/>
      <c r="AT317" s="17" t="e">
        <f>tbl_MTG_Set[[#This Row],[Play Booster CardMarket Profit]]/tbl_MTG_Set[[#This Row],[Play Booster Cost]]</f>
        <v>#VALUE!</v>
      </c>
      <c r="AU317" s="10" t="e">
        <f>_xlfn.XLOOKUP(tbl_MTG_Set[[#This Row],[Collector Booster Box Product Id]], tbl_Product[Product Id], tbl_Product[Min Cost])</f>
        <v>#N/A</v>
      </c>
      <c r="AV317" s="10" t="e">
        <f>_xlfn.XLOOKUP(tbl_MTG_Set[[#This Row],[Collector Booster Box Product Id]], tbl_Product[Product Id], tbl_Product[Best Source])</f>
        <v>#N/A</v>
      </c>
      <c r="AW317" s="4" t="e">
        <f>_xlfn.XLOOKUP(tbl_MTG_Set[[#This Row],[Collector Booster Box Product Id]], tbl_Product[Product Id], tbl_Product[Pack Size])</f>
        <v>#N/A</v>
      </c>
      <c r="AX317" s="10" t="e">
        <f>(tbl_MTG_Set[[#This Row],[Collector Booster Box Cost]] + v_Item_Shipping_Cost_In) / tbl_MTG_Set[[#This Row],[Collector Booster Box Size]]</f>
        <v>#N/A</v>
      </c>
      <c r="AY317" s="10" t="str" cm="1">
        <f t="array" ref="AY3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7" s="10"/>
      <c r="BA3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7" s="17" t="e">
        <f>tbl_MTG_Set[[#This Row],[Collector Booster CardMarket Profit]]/tbl_MTG_Set[[#This Row],[Collector Booster Cost]]</f>
        <v>#N/A</v>
      </c>
      <c r="BC317" s="10"/>
      <c r="BF3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7" s="11" t="e">
        <f>tbl_MTG_Set[[#This Row],[Play Singles CardMarket Profit MTG Stocks]]/tbl_MTG_Set[[#This Row],[Play Booster Cost]]</f>
        <v>#VALUE!</v>
      </c>
      <c r="BI317" s="11" t="b">
        <f>tbl_MTG_Set[[#This Row],[Play Singles CardMarket Profit MTG Stocks]]&gt;0</f>
        <v>0</v>
      </c>
      <c r="BM317" s="10" t="e">
        <f>tbl_MTG_Set[[#This Row],[Play Booster Sell Price CardMarket]]*tbl_MTG_Set[[#This Row],[Play Booster Expected Market Value BotBox]]/tbl_MTG_Set[[#This Row],[Play Booster Sealed Market Value BotBox]]</f>
        <v>#VALUE!</v>
      </c>
      <c r="BN3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7" s="10" t="e">
        <f>tbl_MTG_Set[[#This Row],[Play Singles CardMarket Profit BotBox]]/tbl_MTG_Set[[#This Row],[Play Booster Cost]]</f>
        <v>#VALUE!</v>
      </c>
      <c r="BP317" s="10" t="b">
        <f>tbl_MTG_Set[[#This Row],[Play Singles CardMarket Profit BotBox]]&gt;0</f>
        <v>0</v>
      </c>
      <c r="BQ317" s="10"/>
      <c r="BR317" s="10"/>
      <c r="BS317" s="10"/>
      <c r="BT3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7" s="19" t="e">
        <f>tbl_MTG_Set[[#This Row],[Collector Singles CardMarket Profit MTG Stocks]]/tbl_MTG_Set[[#This Row],[Collector Booster Cost]]</f>
        <v>#N/A</v>
      </c>
      <c r="BW317" s="10" t="b">
        <f>tbl_MTG_Set[[#This Row],[Collector Singles CardMarket Profit MTG Stocks]]&gt;0</f>
        <v>0</v>
      </c>
      <c r="BX317" s="10"/>
      <c r="BY317" s="10"/>
      <c r="BZ3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7" s="10" t="e">
        <f>tbl_MTG_Set[[#This Row],[Collector Singles CardMarket Profit BotBox]]/tbl_MTG_Set[[#This Row],[Collector Booster Cost]]</f>
        <v>#N/A</v>
      </c>
      <c r="CC317" s="10" t="b">
        <f>tbl_MTG_Set[[#This Row],[Collector Singles CardMarket Profit BotBox]]&gt;0</f>
        <v>0</v>
      </c>
      <c r="CD3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8" spans="1:86" hidden="1">
      <c r="A318">
        <v>345</v>
      </c>
      <c r="B318" t="s">
        <v>491</v>
      </c>
      <c r="C318">
        <v>9</v>
      </c>
      <c r="D318" s="3">
        <v>44309</v>
      </c>
      <c r="E318" t="s">
        <v>59</v>
      </c>
      <c r="F318" t="s">
        <v>174</v>
      </c>
      <c r="G318">
        <v>636</v>
      </c>
      <c r="H318">
        <f ca="1">MONTH(NOW())+12*YEAR(NOW())-MONTH(tbl_MTG_Set[[#This Row],[Released On]])-12*YEAR(tbl_MTG_Set[[#This Row],[Released On]])</f>
        <v>59</v>
      </c>
      <c r="I318">
        <f>_xlfn.XLOOKUP(tbl_MTG_Set[[#This Row],[Type Name]], tbl_MTG_Set_Type[Set Type], tbl_MTG_Set_Type[Index], "(Set Type not found)")</f>
        <v>1</v>
      </c>
      <c r="J318">
        <f>_xlfn.XLOOKUP(tbl_MTG_Set[[#This Row],[Type Name]], tbl_MTG_Set_Type[Set Type], tbl_MTG_Set_Type[Buy Window Month Start], "(Set Type not found)")</f>
        <v>18</v>
      </c>
      <c r="K318" s="3">
        <f>tbl_MTG_Set[[#This Row],[Released On]]+tbl_MTG_Set[[#This Row],[Buy Window Month Start]]*365.25/12</f>
        <v>44856.875</v>
      </c>
      <c r="L318">
        <f>_xlfn.XLOOKUP(tbl_MTG_Set[[#This Row],[Type Name]], tbl_MTG_Set_Type[Set Type], tbl_MTG_Set_Type[Buy Window Month End], "(Set Type not found)", 0, 1)</f>
        <v>24</v>
      </c>
      <c r="M318" s="3">
        <f>tbl_MTG_Set[[#This Row],[Released On]]+tbl_MTG_Set[[#This Row],[Buy Window Month End]]*365.25/12</f>
        <v>45039.5</v>
      </c>
      <c r="N318" s="3" t="b">
        <f ca="1">AND(NOW()&gt;=tbl_MTG_Set[[#This Row],[Buy Window Start]], NOW()&lt;=tbl_MTG_Set[[#This Row],[Buy Window End]])</f>
        <v>0</v>
      </c>
      <c r="O318">
        <f>_xlfn.XLOOKUP(tbl_MTG_Set[[#This Row],[Type Name]], tbl_MTG_Set_Type[Set Type], tbl_MTG_Set_Type[Heavy Printing Window Month Start], "(Set Type not found)", 0, 1)</f>
        <v>1</v>
      </c>
      <c r="P318" s="3">
        <f>tbl_MTG_Set[[#This Row],[Released On]]+tbl_MTG_Set[[#This Row],[Heavy Printing Window Month Start]]*365.25/12</f>
        <v>44339.4375</v>
      </c>
      <c r="Q318">
        <f>_xlfn.XLOOKUP(tbl_MTG_Set[[#This Row],[Type Name]], tbl_MTG_Set_Type[Set Type], tbl_MTG_Set_Type[Heavy Printing Window Month End], "(Set Type not found)", 0, 1)</f>
        <v>18</v>
      </c>
      <c r="R318" s="3">
        <f>tbl_MTG_Set[[#This Row],[Released On]]+tbl_MTG_Set[[#This Row],[Heavy Printing Window Month End]]*365.25/12</f>
        <v>44856.875</v>
      </c>
      <c r="S318" s="3" t="b">
        <f ca="1">AND(NOW()&gt;=tbl_MTG_Set[[#This Row],[Heavy Printing Window Start]], NOW()&lt;=tbl_MTG_Set[[#This Row],[Heavy Printing Window End]])</f>
        <v>0</v>
      </c>
      <c r="T318">
        <f>_xlfn.XLOOKUP(tbl_MTG_Set[[#This Row],[Type Name]], tbl_MTG_Set_Type[Set Type], tbl_MTG_Set_Type[Sell Window Month Start], "(Set Type not found)", 0, 1)</f>
        <v>36</v>
      </c>
      <c r="U318" s="3">
        <f>tbl_MTG_Set[[#This Row],[Released On]]+tbl_MTG_Set[[#This Row],[Sell Window Month Start]]*365.25/12</f>
        <v>45404.75</v>
      </c>
      <c r="V318">
        <f>_xlfn.XLOOKUP(tbl_MTG_Set[[#This Row],[Type Name]], tbl_MTG_Set_Type[Set Type], tbl_MTG_Set_Type[Sell Window Month End], "(Set Type not found)", 0, 1)</f>
        <v>48</v>
      </c>
      <c r="W318" s="3">
        <f>tbl_MTG_Set[[#This Row],[Released On]]+tbl_MTG_Set[[#This Row],[Sell Window Month End]]*365.25/12</f>
        <v>45770</v>
      </c>
      <c r="X318" s="3" t="b">
        <f ca="1">AND(NOW()&gt;=tbl_MTG_Set[[#This Row],[Sell Window Start]], NOW()&lt;=tbl_MTG_Set[[#This Row],[Sell Window End]])</f>
        <v>0</v>
      </c>
      <c r="AG318" s="10"/>
      <c r="AH318" s="10"/>
      <c r="AM318" s="10" t="str" cm="1">
        <f t="array" ref="AM3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8" s="10" t="str" cm="1">
        <f t="array" ref="AN3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8" s="4" t="e">
        <f>_xlfn.XLOOKUP(tbl_MTG_Set[[#This Row],[Play Booster Box Product Id]], tbl_Product[Product Id], tbl_Product[Pack Size])</f>
        <v>#N/A</v>
      </c>
      <c r="AP318" s="10" t="e">
        <f>(tbl_MTG_Set[[#This Row],[Play Booster Box Cost]]+v_Item_Shipping_Cost_In)/tbl_MTG_Set[[#This Row],[Play Booster Box Size]]</f>
        <v>#VALUE!</v>
      </c>
      <c r="AQ318" s="10" t="str" cm="1">
        <f t="array" ref="AQ3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8" s="10"/>
      <c r="AS318" s="10"/>
      <c r="AT318" s="17" t="e">
        <f>tbl_MTG_Set[[#This Row],[Play Booster CardMarket Profit]]/tbl_MTG_Set[[#This Row],[Play Booster Cost]]</f>
        <v>#VALUE!</v>
      </c>
      <c r="AU318" s="10" t="e">
        <f>_xlfn.XLOOKUP(tbl_MTG_Set[[#This Row],[Collector Booster Box Product Id]], tbl_Product[Product Id], tbl_Product[Min Cost])</f>
        <v>#N/A</v>
      </c>
      <c r="AV318" s="10" t="e">
        <f>_xlfn.XLOOKUP(tbl_MTG_Set[[#This Row],[Collector Booster Box Product Id]], tbl_Product[Product Id], tbl_Product[Best Source])</f>
        <v>#N/A</v>
      </c>
      <c r="AW318" s="4" t="e">
        <f>_xlfn.XLOOKUP(tbl_MTG_Set[[#This Row],[Collector Booster Box Product Id]], tbl_Product[Product Id], tbl_Product[Pack Size])</f>
        <v>#N/A</v>
      </c>
      <c r="AX318" s="10" t="e">
        <f>(tbl_MTG_Set[[#This Row],[Collector Booster Box Cost]] + v_Item_Shipping_Cost_In) / tbl_MTG_Set[[#This Row],[Collector Booster Box Size]]</f>
        <v>#N/A</v>
      </c>
      <c r="AY318" s="10" t="str" cm="1">
        <f t="array" ref="AY3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8" s="10"/>
      <c r="BA3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8" s="17" t="e">
        <f>tbl_MTG_Set[[#This Row],[Collector Booster CardMarket Profit]]/tbl_MTG_Set[[#This Row],[Collector Booster Cost]]</f>
        <v>#N/A</v>
      </c>
      <c r="BC318" s="10"/>
      <c r="BF3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8" s="11" t="e">
        <f>tbl_MTG_Set[[#This Row],[Play Singles CardMarket Profit MTG Stocks]]/tbl_MTG_Set[[#This Row],[Play Booster Cost]]</f>
        <v>#VALUE!</v>
      </c>
      <c r="BI318" s="11" t="b">
        <f>tbl_MTG_Set[[#This Row],[Play Singles CardMarket Profit MTG Stocks]]&gt;0</f>
        <v>0</v>
      </c>
      <c r="BM318" s="10" t="e">
        <f>tbl_MTG_Set[[#This Row],[Play Booster Sell Price CardMarket]]*tbl_MTG_Set[[#This Row],[Play Booster Expected Market Value BotBox]]/tbl_MTG_Set[[#This Row],[Play Booster Sealed Market Value BotBox]]</f>
        <v>#VALUE!</v>
      </c>
      <c r="BN3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8" s="10" t="e">
        <f>tbl_MTG_Set[[#This Row],[Play Singles CardMarket Profit BotBox]]/tbl_MTG_Set[[#This Row],[Play Booster Cost]]</f>
        <v>#VALUE!</v>
      </c>
      <c r="BP318" s="10" t="b">
        <f>tbl_MTG_Set[[#This Row],[Play Singles CardMarket Profit BotBox]]&gt;0</f>
        <v>0</v>
      </c>
      <c r="BQ318" s="10"/>
      <c r="BR318" s="10"/>
      <c r="BS318" s="10"/>
      <c r="BT3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8" s="19" t="e">
        <f>tbl_MTG_Set[[#This Row],[Collector Singles CardMarket Profit MTG Stocks]]/tbl_MTG_Set[[#This Row],[Collector Booster Cost]]</f>
        <v>#N/A</v>
      </c>
      <c r="BW318" s="10" t="b">
        <f>tbl_MTG_Set[[#This Row],[Collector Singles CardMarket Profit MTG Stocks]]&gt;0</f>
        <v>0</v>
      </c>
      <c r="BX318" s="10"/>
      <c r="BY318" s="10"/>
      <c r="BZ3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8" s="10" t="e">
        <f>tbl_MTG_Set[[#This Row],[Collector Singles CardMarket Profit BotBox]]/tbl_MTG_Set[[#This Row],[Collector Booster Cost]]</f>
        <v>#N/A</v>
      </c>
      <c r="CC318" s="10" t="b">
        <f>tbl_MTG_Set[[#This Row],[Collector Singles CardMarket Profit BotBox]]&gt;0</f>
        <v>0</v>
      </c>
      <c r="CD3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19" spans="1:86" hidden="1">
      <c r="A319">
        <v>346</v>
      </c>
      <c r="B319" t="s">
        <v>492</v>
      </c>
      <c r="C319">
        <v>5</v>
      </c>
      <c r="D319" s="3">
        <v>44309</v>
      </c>
      <c r="E319" t="s">
        <v>59</v>
      </c>
      <c r="F319" t="s">
        <v>174</v>
      </c>
      <c r="G319">
        <v>638</v>
      </c>
      <c r="H319">
        <f ca="1">MONTH(NOW())+12*YEAR(NOW())-MONTH(tbl_MTG_Set[[#This Row],[Released On]])-12*YEAR(tbl_MTG_Set[[#This Row],[Released On]])</f>
        <v>59</v>
      </c>
      <c r="I319">
        <f>_xlfn.XLOOKUP(tbl_MTG_Set[[#This Row],[Type Name]], tbl_MTG_Set_Type[Set Type], tbl_MTG_Set_Type[Index], "(Set Type not found)")</f>
        <v>1</v>
      </c>
      <c r="J319">
        <f>_xlfn.XLOOKUP(tbl_MTG_Set[[#This Row],[Type Name]], tbl_MTG_Set_Type[Set Type], tbl_MTG_Set_Type[Buy Window Month Start], "(Set Type not found)")</f>
        <v>18</v>
      </c>
      <c r="K319" s="3">
        <f>tbl_MTG_Set[[#This Row],[Released On]]+tbl_MTG_Set[[#This Row],[Buy Window Month Start]]*365.25/12</f>
        <v>44856.875</v>
      </c>
      <c r="L319">
        <f>_xlfn.XLOOKUP(tbl_MTG_Set[[#This Row],[Type Name]], tbl_MTG_Set_Type[Set Type], tbl_MTG_Set_Type[Buy Window Month End], "(Set Type not found)", 0, 1)</f>
        <v>24</v>
      </c>
      <c r="M319" s="3">
        <f>tbl_MTG_Set[[#This Row],[Released On]]+tbl_MTG_Set[[#This Row],[Buy Window Month End]]*365.25/12</f>
        <v>45039.5</v>
      </c>
      <c r="N319" s="3" t="b">
        <f ca="1">AND(NOW()&gt;=tbl_MTG_Set[[#This Row],[Buy Window Start]], NOW()&lt;=tbl_MTG_Set[[#This Row],[Buy Window End]])</f>
        <v>0</v>
      </c>
      <c r="O319">
        <f>_xlfn.XLOOKUP(tbl_MTG_Set[[#This Row],[Type Name]], tbl_MTG_Set_Type[Set Type], tbl_MTG_Set_Type[Heavy Printing Window Month Start], "(Set Type not found)", 0, 1)</f>
        <v>1</v>
      </c>
      <c r="P319" s="3">
        <f>tbl_MTG_Set[[#This Row],[Released On]]+tbl_MTG_Set[[#This Row],[Heavy Printing Window Month Start]]*365.25/12</f>
        <v>44339.4375</v>
      </c>
      <c r="Q319">
        <f>_xlfn.XLOOKUP(tbl_MTG_Set[[#This Row],[Type Name]], tbl_MTG_Set_Type[Set Type], tbl_MTG_Set_Type[Heavy Printing Window Month End], "(Set Type not found)", 0, 1)</f>
        <v>18</v>
      </c>
      <c r="R319" s="3">
        <f>tbl_MTG_Set[[#This Row],[Released On]]+tbl_MTG_Set[[#This Row],[Heavy Printing Window Month End]]*365.25/12</f>
        <v>44856.875</v>
      </c>
      <c r="S319" s="3" t="b">
        <f ca="1">AND(NOW()&gt;=tbl_MTG_Set[[#This Row],[Heavy Printing Window Start]], NOW()&lt;=tbl_MTG_Set[[#This Row],[Heavy Printing Window End]])</f>
        <v>0</v>
      </c>
      <c r="T319">
        <f>_xlfn.XLOOKUP(tbl_MTG_Set[[#This Row],[Type Name]], tbl_MTG_Set_Type[Set Type], tbl_MTG_Set_Type[Sell Window Month Start], "(Set Type not found)", 0, 1)</f>
        <v>36</v>
      </c>
      <c r="U319" s="3">
        <f>tbl_MTG_Set[[#This Row],[Released On]]+tbl_MTG_Set[[#This Row],[Sell Window Month Start]]*365.25/12</f>
        <v>45404.75</v>
      </c>
      <c r="V319">
        <f>_xlfn.XLOOKUP(tbl_MTG_Set[[#This Row],[Type Name]], tbl_MTG_Set_Type[Set Type], tbl_MTG_Set_Type[Sell Window Month End], "(Set Type not found)", 0, 1)</f>
        <v>48</v>
      </c>
      <c r="W319" s="3">
        <f>tbl_MTG_Set[[#This Row],[Released On]]+tbl_MTG_Set[[#This Row],[Sell Window Month End]]*365.25/12</f>
        <v>45770</v>
      </c>
      <c r="X319" s="3" t="b">
        <f ca="1">AND(NOW()&gt;=tbl_MTG_Set[[#This Row],[Sell Window Start]], NOW()&lt;=tbl_MTG_Set[[#This Row],[Sell Window End]])</f>
        <v>0</v>
      </c>
      <c r="AG319" s="10"/>
      <c r="AH319" s="10"/>
      <c r="AM319" s="10" t="str" cm="1">
        <f t="array" ref="AM3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19" s="10" t="str" cm="1">
        <f t="array" ref="AN3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19" s="4" t="e">
        <f>_xlfn.XLOOKUP(tbl_MTG_Set[[#This Row],[Play Booster Box Product Id]], tbl_Product[Product Id], tbl_Product[Pack Size])</f>
        <v>#N/A</v>
      </c>
      <c r="AP319" s="10" t="e">
        <f>(tbl_MTG_Set[[#This Row],[Play Booster Box Cost]]+v_Item_Shipping_Cost_In)/tbl_MTG_Set[[#This Row],[Play Booster Box Size]]</f>
        <v>#VALUE!</v>
      </c>
      <c r="AQ319" s="10" t="str" cm="1">
        <f t="array" ref="AQ3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19" s="10"/>
      <c r="AS319" s="10"/>
      <c r="AT319" s="17" t="e">
        <f>tbl_MTG_Set[[#This Row],[Play Booster CardMarket Profit]]/tbl_MTG_Set[[#This Row],[Play Booster Cost]]</f>
        <v>#VALUE!</v>
      </c>
      <c r="AU319" s="10" t="e">
        <f>_xlfn.XLOOKUP(tbl_MTG_Set[[#This Row],[Collector Booster Box Product Id]], tbl_Product[Product Id], tbl_Product[Min Cost])</f>
        <v>#N/A</v>
      </c>
      <c r="AV319" s="10" t="e">
        <f>_xlfn.XLOOKUP(tbl_MTG_Set[[#This Row],[Collector Booster Box Product Id]], tbl_Product[Product Id], tbl_Product[Best Source])</f>
        <v>#N/A</v>
      </c>
      <c r="AW319" s="4" t="e">
        <f>_xlfn.XLOOKUP(tbl_MTG_Set[[#This Row],[Collector Booster Box Product Id]], tbl_Product[Product Id], tbl_Product[Pack Size])</f>
        <v>#N/A</v>
      </c>
      <c r="AX319" s="10" t="e">
        <f>(tbl_MTG_Set[[#This Row],[Collector Booster Box Cost]] + v_Item_Shipping_Cost_In) / tbl_MTG_Set[[#This Row],[Collector Booster Box Size]]</f>
        <v>#N/A</v>
      </c>
      <c r="AY319" s="10" t="str" cm="1">
        <f t="array" ref="AY3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19" s="10"/>
      <c r="BA3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19" s="17" t="e">
        <f>tbl_MTG_Set[[#This Row],[Collector Booster CardMarket Profit]]/tbl_MTG_Set[[#This Row],[Collector Booster Cost]]</f>
        <v>#N/A</v>
      </c>
      <c r="BC319" s="10"/>
      <c r="BF3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19" s="11" t="e">
        <f>tbl_MTG_Set[[#This Row],[Play Singles CardMarket Profit MTG Stocks]]/tbl_MTG_Set[[#This Row],[Play Booster Cost]]</f>
        <v>#VALUE!</v>
      </c>
      <c r="BI319" s="11" t="b">
        <f>tbl_MTG_Set[[#This Row],[Play Singles CardMarket Profit MTG Stocks]]&gt;0</f>
        <v>0</v>
      </c>
      <c r="BM319" s="10" t="e">
        <f>tbl_MTG_Set[[#This Row],[Play Booster Sell Price CardMarket]]*tbl_MTG_Set[[#This Row],[Play Booster Expected Market Value BotBox]]/tbl_MTG_Set[[#This Row],[Play Booster Sealed Market Value BotBox]]</f>
        <v>#VALUE!</v>
      </c>
      <c r="BN3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19" s="10" t="e">
        <f>tbl_MTG_Set[[#This Row],[Play Singles CardMarket Profit BotBox]]/tbl_MTG_Set[[#This Row],[Play Booster Cost]]</f>
        <v>#VALUE!</v>
      </c>
      <c r="BP319" s="10" t="b">
        <f>tbl_MTG_Set[[#This Row],[Play Singles CardMarket Profit BotBox]]&gt;0</f>
        <v>0</v>
      </c>
      <c r="BQ319" s="10"/>
      <c r="BR319" s="10"/>
      <c r="BS319" s="10"/>
      <c r="BT3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19" s="19" t="e">
        <f>tbl_MTG_Set[[#This Row],[Collector Singles CardMarket Profit MTG Stocks]]/tbl_MTG_Set[[#This Row],[Collector Booster Cost]]</f>
        <v>#N/A</v>
      </c>
      <c r="BW319" s="10" t="b">
        <f>tbl_MTG_Set[[#This Row],[Collector Singles CardMarket Profit MTG Stocks]]&gt;0</f>
        <v>0</v>
      </c>
      <c r="BX319" s="10"/>
      <c r="BY319" s="10"/>
      <c r="BZ3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19" s="10" t="e">
        <f>tbl_MTG_Set[[#This Row],[Collector Singles CardMarket Profit BotBox]]/tbl_MTG_Set[[#This Row],[Collector Booster Cost]]</f>
        <v>#N/A</v>
      </c>
      <c r="CC319" s="10" t="b">
        <f>tbl_MTG_Set[[#This Row],[Collector Singles CardMarket Profit BotBox]]&gt;0</f>
        <v>0</v>
      </c>
      <c r="CD3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0" spans="1:86" hidden="1">
      <c r="A320">
        <v>347</v>
      </c>
      <c r="B320" t="s">
        <v>493</v>
      </c>
      <c r="C320">
        <v>162</v>
      </c>
      <c r="D320" s="3">
        <v>44309</v>
      </c>
      <c r="E320" t="s">
        <v>59</v>
      </c>
      <c r="F320" t="s">
        <v>174</v>
      </c>
      <c r="G320">
        <v>640</v>
      </c>
      <c r="H320">
        <f ca="1">MONTH(NOW())+12*YEAR(NOW())-MONTH(tbl_MTG_Set[[#This Row],[Released On]])-12*YEAR(tbl_MTG_Set[[#This Row],[Released On]])</f>
        <v>59</v>
      </c>
      <c r="I320">
        <f>_xlfn.XLOOKUP(tbl_MTG_Set[[#This Row],[Type Name]], tbl_MTG_Set_Type[Set Type], tbl_MTG_Set_Type[Index], "(Set Type not found)")</f>
        <v>1</v>
      </c>
      <c r="J320">
        <f>_xlfn.XLOOKUP(tbl_MTG_Set[[#This Row],[Type Name]], tbl_MTG_Set_Type[Set Type], tbl_MTG_Set_Type[Buy Window Month Start], "(Set Type not found)")</f>
        <v>18</v>
      </c>
      <c r="K320" s="3">
        <f>tbl_MTG_Set[[#This Row],[Released On]]+tbl_MTG_Set[[#This Row],[Buy Window Month Start]]*365.25/12</f>
        <v>44856.875</v>
      </c>
      <c r="L320">
        <f>_xlfn.XLOOKUP(tbl_MTG_Set[[#This Row],[Type Name]], tbl_MTG_Set_Type[Set Type], tbl_MTG_Set_Type[Buy Window Month End], "(Set Type not found)", 0, 1)</f>
        <v>24</v>
      </c>
      <c r="M320" s="3">
        <f>tbl_MTG_Set[[#This Row],[Released On]]+tbl_MTG_Set[[#This Row],[Buy Window Month End]]*365.25/12</f>
        <v>45039.5</v>
      </c>
      <c r="N320" s="3" t="b">
        <f ca="1">AND(NOW()&gt;=tbl_MTG_Set[[#This Row],[Buy Window Start]], NOW()&lt;=tbl_MTG_Set[[#This Row],[Buy Window End]])</f>
        <v>0</v>
      </c>
      <c r="O320">
        <f>_xlfn.XLOOKUP(tbl_MTG_Set[[#This Row],[Type Name]], tbl_MTG_Set_Type[Set Type], tbl_MTG_Set_Type[Heavy Printing Window Month Start], "(Set Type not found)", 0, 1)</f>
        <v>1</v>
      </c>
      <c r="P320" s="3">
        <f>tbl_MTG_Set[[#This Row],[Released On]]+tbl_MTG_Set[[#This Row],[Heavy Printing Window Month Start]]*365.25/12</f>
        <v>44339.4375</v>
      </c>
      <c r="Q320">
        <f>_xlfn.XLOOKUP(tbl_MTG_Set[[#This Row],[Type Name]], tbl_MTG_Set_Type[Set Type], tbl_MTG_Set_Type[Heavy Printing Window Month End], "(Set Type not found)", 0, 1)</f>
        <v>18</v>
      </c>
      <c r="R320" s="3">
        <f>tbl_MTG_Set[[#This Row],[Released On]]+tbl_MTG_Set[[#This Row],[Heavy Printing Window Month End]]*365.25/12</f>
        <v>44856.875</v>
      </c>
      <c r="S320" s="3" t="b">
        <f ca="1">AND(NOW()&gt;=tbl_MTG_Set[[#This Row],[Heavy Printing Window Start]], NOW()&lt;=tbl_MTG_Set[[#This Row],[Heavy Printing Window End]])</f>
        <v>0</v>
      </c>
      <c r="T320">
        <f>_xlfn.XLOOKUP(tbl_MTG_Set[[#This Row],[Type Name]], tbl_MTG_Set_Type[Set Type], tbl_MTG_Set_Type[Sell Window Month Start], "(Set Type not found)", 0, 1)</f>
        <v>36</v>
      </c>
      <c r="U320" s="3">
        <f>tbl_MTG_Set[[#This Row],[Released On]]+tbl_MTG_Set[[#This Row],[Sell Window Month Start]]*365.25/12</f>
        <v>45404.75</v>
      </c>
      <c r="V320">
        <f>_xlfn.XLOOKUP(tbl_MTG_Set[[#This Row],[Type Name]], tbl_MTG_Set_Type[Set Type], tbl_MTG_Set_Type[Sell Window Month End], "(Set Type not found)", 0, 1)</f>
        <v>48</v>
      </c>
      <c r="W320" s="3">
        <f>tbl_MTG_Set[[#This Row],[Released On]]+tbl_MTG_Set[[#This Row],[Sell Window Month End]]*365.25/12</f>
        <v>45770</v>
      </c>
      <c r="X320" s="3" t="b">
        <f ca="1">AND(NOW()&gt;=tbl_MTG_Set[[#This Row],[Sell Window Start]], NOW()&lt;=tbl_MTG_Set[[#This Row],[Sell Window End]])</f>
        <v>0</v>
      </c>
      <c r="AG320" s="10"/>
      <c r="AH320" s="10"/>
      <c r="AM320" s="10" t="str" cm="1">
        <f t="array" ref="AM3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0" s="10" t="str" cm="1">
        <f t="array" ref="AN3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0" s="4" t="e">
        <f>_xlfn.XLOOKUP(tbl_MTG_Set[[#This Row],[Play Booster Box Product Id]], tbl_Product[Product Id], tbl_Product[Pack Size])</f>
        <v>#N/A</v>
      </c>
      <c r="AP320" s="10" t="e">
        <f>(tbl_MTG_Set[[#This Row],[Play Booster Box Cost]]+v_Item_Shipping_Cost_In)/tbl_MTG_Set[[#This Row],[Play Booster Box Size]]</f>
        <v>#VALUE!</v>
      </c>
      <c r="AQ320" s="10" t="str" cm="1">
        <f t="array" ref="AQ3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0" s="10"/>
      <c r="AS320" s="10"/>
      <c r="AT320" s="17" t="e">
        <f>tbl_MTG_Set[[#This Row],[Play Booster CardMarket Profit]]/tbl_MTG_Set[[#This Row],[Play Booster Cost]]</f>
        <v>#VALUE!</v>
      </c>
      <c r="AU320" s="10" t="e">
        <f>_xlfn.XLOOKUP(tbl_MTG_Set[[#This Row],[Collector Booster Box Product Id]], tbl_Product[Product Id], tbl_Product[Min Cost])</f>
        <v>#N/A</v>
      </c>
      <c r="AV320" s="10" t="e">
        <f>_xlfn.XLOOKUP(tbl_MTG_Set[[#This Row],[Collector Booster Box Product Id]], tbl_Product[Product Id], tbl_Product[Best Source])</f>
        <v>#N/A</v>
      </c>
      <c r="AW320" s="4" t="e">
        <f>_xlfn.XLOOKUP(tbl_MTG_Set[[#This Row],[Collector Booster Box Product Id]], tbl_Product[Product Id], tbl_Product[Pack Size])</f>
        <v>#N/A</v>
      </c>
      <c r="AX320" s="10" t="e">
        <f>(tbl_MTG_Set[[#This Row],[Collector Booster Box Cost]] + v_Item_Shipping_Cost_In) / tbl_MTG_Set[[#This Row],[Collector Booster Box Size]]</f>
        <v>#N/A</v>
      </c>
      <c r="AY320" s="10" t="str" cm="1">
        <f t="array" ref="AY3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0" s="10"/>
      <c r="BA3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0" s="17" t="e">
        <f>tbl_MTG_Set[[#This Row],[Collector Booster CardMarket Profit]]/tbl_MTG_Set[[#This Row],[Collector Booster Cost]]</f>
        <v>#N/A</v>
      </c>
      <c r="BC320" s="10"/>
      <c r="BF3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0" s="11" t="e">
        <f>tbl_MTG_Set[[#This Row],[Play Singles CardMarket Profit MTG Stocks]]/tbl_MTG_Set[[#This Row],[Play Booster Cost]]</f>
        <v>#VALUE!</v>
      </c>
      <c r="BI320" s="11" t="b">
        <f>tbl_MTG_Set[[#This Row],[Play Singles CardMarket Profit MTG Stocks]]&gt;0</f>
        <v>0</v>
      </c>
      <c r="BM320" s="10" t="e">
        <f>tbl_MTG_Set[[#This Row],[Play Booster Sell Price CardMarket]]*tbl_MTG_Set[[#This Row],[Play Booster Expected Market Value BotBox]]/tbl_MTG_Set[[#This Row],[Play Booster Sealed Market Value BotBox]]</f>
        <v>#VALUE!</v>
      </c>
      <c r="BN3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0" s="10" t="e">
        <f>tbl_MTG_Set[[#This Row],[Play Singles CardMarket Profit BotBox]]/tbl_MTG_Set[[#This Row],[Play Booster Cost]]</f>
        <v>#VALUE!</v>
      </c>
      <c r="BP320" s="10" t="b">
        <f>tbl_MTG_Set[[#This Row],[Play Singles CardMarket Profit BotBox]]&gt;0</f>
        <v>0</v>
      </c>
      <c r="BQ320" s="10"/>
      <c r="BR320" s="10"/>
      <c r="BS320" s="10"/>
      <c r="BT3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0" s="19" t="e">
        <f>tbl_MTG_Set[[#This Row],[Collector Singles CardMarket Profit MTG Stocks]]/tbl_MTG_Set[[#This Row],[Collector Booster Cost]]</f>
        <v>#N/A</v>
      </c>
      <c r="BW320" s="10" t="b">
        <f>tbl_MTG_Set[[#This Row],[Collector Singles CardMarket Profit MTG Stocks]]&gt;0</f>
        <v>0</v>
      </c>
      <c r="BX320" s="10"/>
      <c r="BY320" s="10"/>
      <c r="BZ3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0" s="10" t="e">
        <f>tbl_MTG_Set[[#This Row],[Collector Singles CardMarket Profit BotBox]]/tbl_MTG_Set[[#This Row],[Collector Booster Cost]]</f>
        <v>#N/A</v>
      </c>
      <c r="CC320" s="10" t="b">
        <f>tbl_MTG_Set[[#This Row],[Collector Singles CardMarket Profit BotBox]]&gt;0</f>
        <v>0</v>
      </c>
      <c r="CD3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1" spans="1:86" hidden="1">
      <c r="A321">
        <v>348</v>
      </c>
      <c r="B321" t="s">
        <v>494</v>
      </c>
      <c r="C321">
        <v>409</v>
      </c>
      <c r="D321" s="3">
        <v>44309</v>
      </c>
      <c r="F321" t="s">
        <v>174</v>
      </c>
      <c r="G321">
        <v>642</v>
      </c>
      <c r="H321">
        <f ca="1">MONTH(NOW())+12*YEAR(NOW())-MONTH(tbl_MTG_Set[[#This Row],[Released On]])-12*YEAR(tbl_MTG_Set[[#This Row],[Released On]])</f>
        <v>59</v>
      </c>
      <c r="I321" t="str">
        <f>_xlfn.XLOOKUP(tbl_MTG_Set[[#This Row],[Type Name]], tbl_MTG_Set_Type[Set Type], tbl_MTG_Set_Type[Index], "(Set Type not found)")</f>
        <v>(Set Type not found)</v>
      </c>
      <c r="J321" t="str">
        <f>_xlfn.XLOOKUP(tbl_MTG_Set[[#This Row],[Type Name]], tbl_MTG_Set_Type[Set Type], tbl_MTG_Set_Type[Buy Window Month Start], "(Set Type not found)")</f>
        <v>(Set Type not found)</v>
      </c>
      <c r="K321" s="3" t="e">
        <f>tbl_MTG_Set[[#This Row],[Released On]]+tbl_MTG_Set[[#This Row],[Buy Window Month Start]]*365.25/12</f>
        <v>#VALUE!</v>
      </c>
      <c r="L321" t="str">
        <f>_xlfn.XLOOKUP(tbl_MTG_Set[[#This Row],[Type Name]], tbl_MTG_Set_Type[Set Type], tbl_MTG_Set_Type[Buy Window Month End], "(Set Type not found)", 0, 1)</f>
        <v>(Set Type not found)</v>
      </c>
      <c r="M321" s="3" t="e">
        <f>tbl_MTG_Set[[#This Row],[Released On]]+tbl_MTG_Set[[#This Row],[Buy Window Month End]]*365.25/12</f>
        <v>#VALUE!</v>
      </c>
      <c r="N321" s="3" t="e">
        <f ca="1">AND(NOW()&gt;=tbl_MTG_Set[[#This Row],[Buy Window Start]], NOW()&lt;=tbl_MTG_Set[[#This Row],[Buy Window End]])</f>
        <v>#VALUE!</v>
      </c>
      <c r="O321" t="str">
        <f>_xlfn.XLOOKUP(tbl_MTG_Set[[#This Row],[Type Name]], tbl_MTG_Set_Type[Set Type], tbl_MTG_Set_Type[Heavy Printing Window Month Start], "(Set Type not found)", 0, 1)</f>
        <v>(Set Type not found)</v>
      </c>
      <c r="P321" s="3" t="e">
        <f>tbl_MTG_Set[[#This Row],[Released On]]+tbl_MTG_Set[[#This Row],[Heavy Printing Window Month Start]]*365.25/12</f>
        <v>#VALUE!</v>
      </c>
      <c r="Q321" t="str">
        <f>_xlfn.XLOOKUP(tbl_MTG_Set[[#This Row],[Type Name]], tbl_MTG_Set_Type[Set Type], tbl_MTG_Set_Type[Heavy Printing Window Month End], "(Set Type not found)", 0, 1)</f>
        <v>(Set Type not found)</v>
      </c>
      <c r="R321" s="3" t="e">
        <f>tbl_MTG_Set[[#This Row],[Released On]]+tbl_MTG_Set[[#This Row],[Heavy Printing Window Month End]]*365.25/12</f>
        <v>#VALUE!</v>
      </c>
      <c r="S321" s="3" t="e">
        <f ca="1">AND(NOW()&gt;=tbl_MTG_Set[[#This Row],[Heavy Printing Window Start]], NOW()&lt;=tbl_MTG_Set[[#This Row],[Heavy Printing Window End]])</f>
        <v>#VALUE!</v>
      </c>
      <c r="T321" t="str">
        <f>_xlfn.XLOOKUP(tbl_MTG_Set[[#This Row],[Type Name]], tbl_MTG_Set_Type[Set Type], tbl_MTG_Set_Type[Sell Window Month Start], "(Set Type not found)", 0, 1)</f>
        <v>(Set Type not found)</v>
      </c>
      <c r="U321" s="3" t="e">
        <f>tbl_MTG_Set[[#This Row],[Released On]]+tbl_MTG_Set[[#This Row],[Sell Window Month Start]]*365.25/12</f>
        <v>#VALUE!</v>
      </c>
      <c r="V321" t="str">
        <f>_xlfn.XLOOKUP(tbl_MTG_Set[[#This Row],[Type Name]], tbl_MTG_Set_Type[Set Type], tbl_MTG_Set_Type[Sell Window Month End], "(Set Type not found)", 0, 1)</f>
        <v>(Set Type not found)</v>
      </c>
      <c r="W321" s="3" t="e">
        <f>tbl_MTG_Set[[#This Row],[Released On]]+tbl_MTG_Set[[#This Row],[Sell Window Month End]]*365.25/12</f>
        <v>#VALUE!</v>
      </c>
      <c r="X321" s="3" t="e">
        <f ca="1">AND(NOW()&gt;=tbl_MTG_Set[[#This Row],[Sell Window Start]], NOW()&lt;=tbl_MTG_Set[[#This Row],[Sell Window End]])</f>
        <v>#VALUE!</v>
      </c>
      <c r="AG321" s="10"/>
      <c r="AH321" s="10"/>
      <c r="AM321" s="10" t="str" cm="1">
        <f t="array" ref="AM3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1" s="10" t="str" cm="1">
        <f t="array" ref="AN3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1" s="4" t="e">
        <f>_xlfn.XLOOKUP(tbl_MTG_Set[[#This Row],[Play Booster Box Product Id]], tbl_Product[Product Id], tbl_Product[Pack Size])</f>
        <v>#N/A</v>
      </c>
      <c r="AP321" s="10" t="e">
        <f>(tbl_MTG_Set[[#This Row],[Play Booster Box Cost]]+v_Item_Shipping_Cost_In)/tbl_MTG_Set[[#This Row],[Play Booster Box Size]]</f>
        <v>#VALUE!</v>
      </c>
      <c r="AQ321" s="10" t="str" cm="1">
        <f t="array" ref="AQ3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1" s="10"/>
      <c r="AS321" s="10"/>
      <c r="AT321" s="17" t="e">
        <f>tbl_MTG_Set[[#This Row],[Play Booster CardMarket Profit]]/tbl_MTG_Set[[#This Row],[Play Booster Cost]]</f>
        <v>#VALUE!</v>
      </c>
      <c r="AU321" s="10" t="e">
        <f>_xlfn.XLOOKUP(tbl_MTG_Set[[#This Row],[Collector Booster Box Product Id]], tbl_Product[Product Id], tbl_Product[Min Cost])</f>
        <v>#N/A</v>
      </c>
      <c r="AV321" s="10" t="e">
        <f>_xlfn.XLOOKUP(tbl_MTG_Set[[#This Row],[Collector Booster Box Product Id]], tbl_Product[Product Id], tbl_Product[Best Source])</f>
        <v>#N/A</v>
      </c>
      <c r="AW321" s="4" t="e">
        <f>_xlfn.XLOOKUP(tbl_MTG_Set[[#This Row],[Collector Booster Box Product Id]], tbl_Product[Product Id], tbl_Product[Pack Size])</f>
        <v>#N/A</v>
      </c>
      <c r="AX321" s="10" t="e">
        <f>(tbl_MTG_Set[[#This Row],[Collector Booster Box Cost]] + v_Item_Shipping_Cost_In) / tbl_MTG_Set[[#This Row],[Collector Booster Box Size]]</f>
        <v>#N/A</v>
      </c>
      <c r="AY321" s="10" t="str" cm="1">
        <f t="array" ref="AY3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1" s="10"/>
      <c r="BA3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1" s="17" t="e">
        <f>tbl_MTG_Set[[#This Row],[Collector Booster CardMarket Profit]]/tbl_MTG_Set[[#This Row],[Collector Booster Cost]]</f>
        <v>#N/A</v>
      </c>
      <c r="BC321" s="10"/>
      <c r="BF3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1" s="11" t="e">
        <f>tbl_MTG_Set[[#This Row],[Play Singles CardMarket Profit MTG Stocks]]/tbl_MTG_Set[[#This Row],[Play Booster Cost]]</f>
        <v>#VALUE!</v>
      </c>
      <c r="BI321" s="11" t="b">
        <f>tbl_MTG_Set[[#This Row],[Play Singles CardMarket Profit MTG Stocks]]&gt;0</f>
        <v>0</v>
      </c>
      <c r="BM321" s="10" t="e">
        <f>tbl_MTG_Set[[#This Row],[Play Booster Sell Price CardMarket]]*tbl_MTG_Set[[#This Row],[Play Booster Expected Market Value BotBox]]/tbl_MTG_Set[[#This Row],[Play Booster Sealed Market Value BotBox]]</f>
        <v>#VALUE!</v>
      </c>
      <c r="BN3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1" s="10" t="e">
        <f>tbl_MTG_Set[[#This Row],[Play Singles CardMarket Profit BotBox]]/tbl_MTG_Set[[#This Row],[Play Booster Cost]]</f>
        <v>#VALUE!</v>
      </c>
      <c r="BP321" s="10" t="b">
        <f>tbl_MTG_Set[[#This Row],[Play Singles CardMarket Profit BotBox]]&gt;0</f>
        <v>0</v>
      </c>
      <c r="BQ321" s="10"/>
      <c r="BR321" s="10"/>
      <c r="BS321" s="10"/>
      <c r="BT3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1" s="19" t="e">
        <f>tbl_MTG_Set[[#This Row],[Collector Singles CardMarket Profit MTG Stocks]]/tbl_MTG_Set[[#This Row],[Collector Booster Cost]]</f>
        <v>#N/A</v>
      </c>
      <c r="BW321" s="10" t="b">
        <f>tbl_MTG_Set[[#This Row],[Collector Singles CardMarket Profit MTG Stocks]]&gt;0</f>
        <v>0</v>
      </c>
      <c r="BX321" s="10"/>
      <c r="BY321" s="10"/>
      <c r="BZ3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1" s="10" t="e">
        <f>tbl_MTG_Set[[#This Row],[Collector Singles CardMarket Profit BotBox]]/tbl_MTG_Set[[#This Row],[Collector Booster Cost]]</f>
        <v>#N/A</v>
      </c>
      <c r="CC321" s="10" t="b">
        <f>tbl_MTG_Set[[#This Row],[Collector Singles CardMarket Profit BotBox]]&gt;0</f>
        <v>0</v>
      </c>
      <c r="CD3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2" spans="1:86" hidden="1">
      <c r="A322">
        <v>349</v>
      </c>
      <c r="B322" t="s">
        <v>495</v>
      </c>
      <c r="C322">
        <v>30</v>
      </c>
      <c r="D322" s="3">
        <v>44309</v>
      </c>
      <c r="F322" t="s">
        <v>174</v>
      </c>
      <c r="G322">
        <v>644</v>
      </c>
      <c r="H322">
        <f ca="1">MONTH(NOW())+12*YEAR(NOW())-MONTH(tbl_MTG_Set[[#This Row],[Released On]])-12*YEAR(tbl_MTG_Set[[#This Row],[Released On]])</f>
        <v>59</v>
      </c>
      <c r="I322" t="str">
        <f>_xlfn.XLOOKUP(tbl_MTG_Set[[#This Row],[Type Name]], tbl_MTG_Set_Type[Set Type], tbl_MTG_Set_Type[Index], "(Set Type not found)")</f>
        <v>(Set Type not found)</v>
      </c>
      <c r="J322" t="str">
        <f>_xlfn.XLOOKUP(tbl_MTG_Set[[#This Row],[Type Name]], tbl_MTG_Set_Type[Set Type], tbl_MTG_Set_Type[Buy Window Month Start], "(Set Type not found)")</f>
        <v>(Set Type not found)</v>
      </c>
      <c r="K322" s="3" t="e">
        <f>tbl_MTG_Set[[#This Row],[Released On]]+tbl_MTG_Set[[#This Row],[Buy Window Month Start]]*365.25/12</f>
        <v>#VALUE!</v>
      </c>
      <c r="L322" t="str">
        <f>_xlfn.XLOOKUP(tbl_MTG_Set[[#This Row],[Type Name]], tbl_MTG_Set_Type[Set Type], tbl_MTG_Set_Type[Buy Window Month End], "(Set Type not found)", 0, 1)</f>
        <v>(Set Type not found)</v>
      </c>
      <c r="M322" s="3" t="e">
        <f>tbl_MTG_Set[[#This Row],[Released On]]+tbl_MTG_Set[[#This Row],[Buy Window Month End]]*365.25/12</f>
        <v>#VALUE!</v>
      </c>
      <c r="N322" s="3" t="e">
        <f ca="1">AND(NOW()&gt;=tbl_MTG_Set[[#This Row],[Buy Window Start]], NOW()&lt;=tbl_MTG_Set[[#This Row],[Buy Window End]])</f>
        <v>#VALUE!</v>
      </c>
      <c r="O322" t="str">
        <f>_xlfn.XLOOKUP(tbl_MTG_Set[[#This Row],[Type Name]], tbl_MTG_Set_Type[Set Type], tbl_MTG_Set_Type[Heavy Printing Window Month Start], "(Set Type not found)", 0, 1)</f>
        <v>(Set Type not found)</v>
      </c>
      <c r="P322" s="3" t="e">
        <f>tbl_MTG_Set[[#This Row],[Released On]]+tbl_MTG_Set[[#This Row],[Heavy Printing Window Month Start]]*365.25/12</f>
        <v>#VALUE!</v>
      </c>
      <c r="Q322" t="str">
        <f>_xlfn.XLOOKUP(tbl_MTG_Set[[#This Row],[Type Name]], tbl_MTG_Set_Type[Set Type], tbl_MTG_Set_Type[Heavy Printing Window Month End], "(Set Type not found)", 0, 1)</f>
        <v>(Set Type not found)</v>
      </c>
      <c r="R322" s="3" t="e">
        <f>tbl_MTG_Set[[#This Row],[Released On]]+tbl_MTG_Set[[#This Row],[Heavy Printing Window Month End]]*365.25/12</f>
        <v>#VALUE!</v>
      </c>
      <c r="S322" s="3" t="e">
        <f ca="1">AND(NOW()&gt;=tbl_MTG_Set[[#This Row],[Heavy Printing Window Start]], NOW()&lt;=tbl_MTG_Set[[#This Row],[Heavy Printing Window End]])</f>
        <v>#VALUE!</v>
      </c>
      <c r="T322" t="str">
        <f>_xlfn.XLOOKUP(tbl_MTG_Set[[#This Row],[Type Name]], tbl_MTG_Set_Type[Set Type], tbl_MTG_Set_Type[Sell Window Month Start], "(Set Type not found)", 0, 1)</f>
        <v>(Set Type not found)</v>
      </c>
      <c r="U322" s="3" t="e">
        <f>tbl_MTG_Set[[#This Row],[Released On]]+tbl_MTG_Set[[#This Row],[Sell Window Month Start]]*365.25/12</f>
        <v>#VALUE!</v>
      </c>
      <c r="V322" t="str">
        <f>_xlfn.XLOOKUP(tbl_MTG_Set[[#This Row],[Type Name]], tbl_MTG_Set_Type[Set Type], tbl_MTG_Set_Type[Sell Window Month End], "(Set Type not found)", 0, 1)</f>
        <v>(Set Type not found)</v>
      </c>
      <c r="W322" s="3" t="e">
        <f>tbl_MTG_Set[[#This Row],[Released On]]+tbl_MTG_Set[[#This Row],[Sell Window Month End]]*365.25/12</f>
        <v>#VALUE!</v>
      </c>
      <c r="X322" s="3" t="e">
        <f ca="1">AND(NOW()&gt;=tbl_MTG_Set[[#This Row],[Sell Window Start]], NOW()&lt;=tbl_MTG_Set[[#This Row],[Sell Window End]])</f>
        <v>#VALUE!</v>
      </c>
      <c r="AG322" s="10"/>
      <c r="AH322" s="10"/>
      <c r="AM322" s="10" t="str" cm="1">
        <f t="array" ref="AM3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2" s="10" t="str" cm="1">
        <f t="array" ref="AN3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2" s="4" t="e">
        <f>_xlfn.XLOOKUP(tbl_MTG_Set[[#This Row],[Play Booster Box Product Id]], tbl_Product[Product Id], tbl_Product[Pack Size])</f>
        <v>#N/A</v>
      </c>
      <c r="AP322" s="10" t="e">
        <f>(tbl_MTG_Set[[#This Row],[Play Booster Box Cost]]+v_Item_Shipping_Cost_In)/tbl_MTG_Set[[#This Row],[Play Booster Box Size]]</f>
        <v>#VALUE!</v>
      </c>
      <c r="AQ322" s="10" t="str" cm="1">
        <f t="array" ref="AQ3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2" s="10"/>
      <c r="AS322" s="10"/>
      <c r="AT322" s="17" t="e">
        <f>tbl_MTG_Set[[#This Row],[Play Booster CardMarket Profit]]/tbl_MTG_Set[[#This Row],[Play Booster Cost]]</f>
        <v>#VALUE!</v>
      </c>
      <c r="AU322" s="10" t="e">
        <f>_xlfn.XLOOKUP(tbl_MTG_Set[[#This Row],[Collector Booster Box Product Id]], tbl_Product[Product Id], tbl_Product[Min Cost])</f>
        <v>#N/A</v>
      </c>
      <c r="AV322" s="10" t="e">
        <f>_xlfn.XLOOKUP(tbl_MTG_Set[[#This Row],[Collector Booster Box Product Id]], tbl_Product[Product Id], tbl_Product[Best Source])</f>
        <v>#N/A</v>
      </c>
      <c r="AW322" s="4" t="e">
        <f>_xlfn.XLOOKUP(tbl_MTG_Set[[#This Row],[Collector Booster Box Product Id]], tbl_Product[Product Id], tbl_Product[Pack Size])</f>
        <v>#N/A</v>
      </c>
      <c r="AX322" s="10" t="e">
        <f>(tbl_MTG_Set[[#This Row],[Collector Booster Box Cost]] + v_Item_Shipping_Cost_In) / tbl_MTG_Set[[#This Row],[Collector Booster Box Size]]</f>
        <v>#N/A</v>
      </c>
      <c r="AY322" s="10" t="str" cm="1">
        <f t="array" ref="AY3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2" s="10"/>
      <c r="BA3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2" s="17" t="e">
        <f>tbl_MTG_Set[[#This Row],[Collector Booster CardMarket Profit]]/tbl_MTG_Set[[#This Row],[Collector Booster Cost]]</f>
        <v>#N/A</v>
      </c>
      <c r="BC322" s="10"/>
      <c r="BF3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2" s="11" t="e">
        <f>tbl_MTG_Set[[#This Row],[Play Singles CardMarket Profit MTG Stocks]]/tbl_MTG_Set[[#This Row],[Play Booster Cost]]</f>
        <v>#VALUE!</v>
      </c>
      <c r="BI322" s="11" t="b">
        <f>tbl_MTG_Set[[#This Row],[Play Singles CardMarket Profit MTG Stocks]]&gt;0</f>
        <v>0</v>
      </c>
      <c r="BM322" s="10" t="e">
        <f>tbl_MTG_Set[[#This Row],[Play Booster Sell Price CardMarket]]*tbl_MTG_Set[[#This Row],[Play Booster Expected Market Value BotBox]]/tbl_MTG_Set[[#This Row],[Play Booster Sealed Market Value BotBox]]</f>
        <v>#VALUE!</v>
      </c>
      <c r="BN3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2" s="10" t="e">
        <f>tbl_MTG_Set[[#This Row],[Play Singles CardMarket Profit BotBox]]/tbl_MTG_Set[[#This Row],[Play Booster Cost]]</f>
        <v>#VALUE!</v>
      </c>
      <c r="BP322" s="10" t="b">
        <f>tbl_MTG_Set[[#This Row],[Play Singles CardMarket Profit BotBox]]&gt;0</f>
        <v>0</v>
      </c>
      <c r="BQ322" s="10"/>
      <c r="BR322" s="10"/>
      <c r="BS322" s="10"/>
      <c r="BT3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2" s="19" t="e">
        <f>tbl_MTG_Set[[#This Row],[Collector Singles CardMarket Profit MTG Stocks]]/tbl_MTG_Set[[#This Row],[Collector Booster Cost]]</f>
        <v>#N/A</v>
      </c>
      <c r="BW322" s="10" t="b">
        <f>tbl_MTG_Set[[#This Row],[Collector Singles CardMarket Profit MTG Stocks]]&gt;0</f>
        <v>0</v>
      </c>
      <c r="BX322" s="10"/>
      <c r="BY322" s="10"/>
      <c r="BZ3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2" s="10" t="e">
        <f>tbl_MTG_Set[[#This Row],[Collector Singles CardMarket Profit BotBox]]/tbl_MTG_Set[[#This Row],[Collector Booster Cost]]</f>
        <v>#N/A</v>
      </c>
      <c r="CC322" s="10" t="b">
        <f>tbl_MTG_Set[[#This Row],[Collector Singles CardMarket Profit BotBox]]&gt;0</f>
        <v>0</v>
      </c>
      <c r="CD3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3" spans="1:86" hidden="1">
      <c r="A323">
        <v>350</v>
      </c>
      <c r="B323" t="s">
        <v>496</v>
      </c>
      <c r="C323">
        <v>5</v>
      </c>
      <c r="D323" s="3">
        <v>44309</v>
      </c>
      <c r="F323" t="s">
        <v>174</v>
      </c>
      <c r="G323">
        <v>646</v>
      </c>
      <c r="H323">
        <f ca="1">MONTH(NOW())+12*YEAR(NOW())-MONTH(tbl_MTG_Set[[#This Row],[Released On]])-12*YEAR(tbl_MTG_Set[[#This Row],[Released On]])</f>
        <v>59</v>
      </c>
      <c r="I323" t="str">
        <f>_xlfn.XLOOKUP(tbl_MTG_Set[[#This Row],[Type Name]], tbl_MTG_Set_Type[Set Type], tbl_MTG_Set_Type[Index], "(Set Type not found)")</f>
        <v>(Set Type not found)</v>
      </c>
      <c r="J323" t="str">
        <f>_xlfn.XLOOKUP(tbl_MTG_Set[[#This Row],[Type Name]], tbl_MTG_Set_Type[Set Type], tbl_MTG_Set_Type[Buy Window Month Start], "(Set Type not found)")</f>
        <v>(Set Type not found)</v>
      </c>
      <c r="K323" s="3" t="e">
        <f>tbl_MTG_Set[[#This Row],[Released On]]+tbl_MTG_Set[[#This Row],[Buy Window Month Start]]*365.25/12</f>
        <v>#VALUE!</v>
      </c>
      <c r="L323" t="str">
        <f>_xlfn.XLOOKUP(tbl_MTG_Set[[#This Row],[Type Name]], tbl_MTG_Set_Type[Set Type], tbl_MTG_Set_Type[Buy Window Month End], "(Set Type not found)", 0, 1)</f>
        <v>(Set Type not found)</v>
      </c>
      <c r="M323" s="3" t="e">
        <f>tbl_MTG_Set[[#This Row],[Released On]]+tbl_MTG_Set[[#This Row],[Buy Window Month End]]*365.25/12</f>
        <v>#VALUE!</v>
      </c>
      <c r="N323" s="3" t="e">
        <f ca="1">AND(NOW()&gt;=tbl_MTG_Set[[#This Row],[Buy Window Start]], NOW()&lt;=tbl_MTG_Set[[#This Row],[Buy Window End]])</f>
        <v>#VALUE!</v>
      </c>
      <c r="O323" t="str">
        <f>_xlfn.XLOOKUP(tbl_MTG_Set[[#This Row],[Type Name]], tbl_MTG_Set_Type[Set Type], tbl_MTG_Set_Type[Heavy Printing Window Month Start], "(Set Type not found)", 0, 1)</f>
        <v>(Set Type not found)</v>
      </c>
      <c r="P323" s="3" t="e">
        <f>tbl_MTG_Set[[#This Row],[Released On]]+tbl_MTG_Set[[#This Row],[Heavy Printing Window Month Start]]*365.25/12</f>
        <v>#VALUE!</v>
      </c>
      <c r="Q323" t="str">
        <f>_xlfn.XLOOKUP(tbl_MTG_Set[[#This Row],[Type Name]], tbl_MTG_Set_Type[Set Type], tbl_MTG_Set_Type[Heavy Printing Window Month End], "(Set Type not found)", 0, 1)</f>
        <v>(Set Type not found)</v>
      </c>
      <c r="R323" s="3" t="e">
        <f>tbl_MTG_Set[[#This Row],[Released On]]+tbl_MTG_Set[[#This Row],[Heavy Printing Window Month End]]*365.25/12</f>
        <v>#VALUE!</v>
      </c>
      <c r="S323" s="3" t="e">
        <f ca="1">AND(NOW()&gt;=tbl_MTG_Set[[#This Row],[Heavy Printing Window Start]], NOW()&lt;=tbl_MTG_Set[[#This Row],[Heavy Printing Window End]])</f>
        <v>#VALUE!</v>
      </c>
      <c r="T323" t="str">
        <f>_xlfn.XLOOKUP(tbl_MTG_Set[[#This Row],[Type Name]], tbl_MTG_Set_Type[Set Type], tbl_MTG_Set_Type[Sell Window Month Start], "(Set Type not found)", 0, 1)</f>
        <v>(Set Type not found)</v>
      </c>
      <c r="U323" s="3" t="e">
        <f>tbl_MTG_Set[[#This Row],[Released On]]+tbl_MTG_Set[[#This Row],[Sell Window Month Start]]*365.25/12</f>
        <v>#VALUE!</v>
      </c>
      <c r="V323" t="str">
        <f>_xlfn.XLOOKUP(tbl_MTG_Set[[#This Row],[Type Name]], tbl_MTG_Set_Type[Set Type], tbl_MTG_Set_Type[Sell Window Month End], "(Set Type not found)", 0, 1)</f>
        <v>(Set Type not found)</v>
      </c>
      <c r="W323" s="3" t="e">
        <f>tbl_MTG_Set[[#This Row],[Released On]]+tbl_MTG_Set[[#This Row],[Sell Window Month End]]*365.25/12</f>
        <v>#VALUE!</v>
      </c>
      <c r="X323" s="3" t="e">
        <f ca="1">AND(NOW()&gt;=tbl_MTG_Set[[#This Row],[Sell Window Start]], NOW()&lt;=tbl_MTG_Set[[#This Row],[Sell Window End]])</f>
        <v>#VALUE!</v>
      </c>
      <c r="AG323" s="10"/>
      <c r="AH323" s="10"/>
      <c r="AM323" s="10" t="str" cm="1">
        <f t="array" ref="AM3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3" s="10" t="str" cm="1">
        <f t="array" ref="AN3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3" s="4" t="e">
        <f>_xlfn.XLOOKUP(tbl_MTG_Set[[#This Row],[Play Booster Box Product Id]], tbl_Product[Product Id], tbl_Product[Pack Size])</f>
        <v>#N/A</v>
      </c>
      <c r="AP323" s="10" t="e">
        <f>(tbl_MTG_Set[[#This Row],[Play Booster Box Cost]]+v_Item_Shipping_Cost_In)/tbl_MTG_Set[[#This Row],[Play Booster Box Size]]</f>
        <v>#VALUE!</v>
      </c>
      <c r="AQ323" s="10" t="str" cm="1">
        <f t="array" ref="AQ3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3" s="10"/>
      <c r="AS323" s="10"/>
      <c r="AT323" s="17" t="e">
        <f>tbl_MTG_Set[[#This Row],[Play Booster CardMarket Profit]]/tbl_MTG_Set[[#This Row],[Play Booster Cost]]</f>
        <v>#VALUE!</v>
      </c>
      <c r="AU323" s="10" t="e">
        <f>_xlfn.XLOOKUP(tbl_MTG_Set[[#This Row],[Collector Booster Box Product Id]], tbl_Product[Product Id], tbl_Product[Min Cost])</f>
        <v>#N/A</v>
      </c>
      <c r="AV323" s="10" t="e">
        <f>_xlfn.XLOOKUP(tbl_MTG_Set[[#This Row],[Collector Booster Box Product Id]], tbl_Product[Product Id], tbl_Product[Best Source])</f>
        <v>#N/A</v>
      </c>
      <c r="AW323" s="4" t="e">
        <f>_xlfn.XLOOKUP(tbl_MTG_Set[[#This Row],[Collector Booster Box Product Id]], tbl_Product[Product Id], tbl_Product[Pack Size])</f>
        <v>#N/A</v>
      </c>
      <c r="AX323" s="10" t="e">
        <f>(tbl_MTG_Set[[#This Row],[Collector Booster Box Cost]] + v_Item_Shipping_Cost_In) / tbl_MTG_Set[[#This Row],[Collector Booster Box Size]]</f>
        <v>#N/A</v>
      </c>
      <c r="AY323" s="10" t="str" cm="1">
        <f t="array" ref="AY3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3" s="10"/>
      <c r="BA3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3" s="17" t="e">
        <f>tbl_MTG_Set[[#This Row],[Collector Booster CardMarket Profit]]/tbl_MTG_Set[[#This Row],[Collector Booster Cost]]</f>
        <v>#N/A</v>
      </c>
      <c r="BC323" s="10"/>
      <c r="BF3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3" s="11" t="e">
        <f>tbl_MTG_Set[[#This Row],[Play Singles CardMarket Profit MTG Stocks]]/tbl_MTG_Set[[#This Row],[Play Booster Cost]]</f>
        <v>#VALUE!</v>
      </c>
      <c r="BI323" s="11" t="b">
        <f>tbl_MTG_Set[[#This Row],[Play Singles CardMarket Profit MTG Stocks]]&gt;0</f>
        <v>0</v>
      </c>
      <c r="BM323" s="10" t="e">
        <f>tbl_MTG_Set[[#This Row],[Play Booster Sell Price CardMarket]]*tbl_MTG_Set[[#This Row],[Play Booster Expected Market Value BotBox]]/tbl_MTG_Set[[#This Row],[Play Booster Sealed Market Value BotBox]]</f>
        <v>#VALUE!</v>
      </c>
      <c r="BN3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3" s="10" t="e">
        <f>tbl_MTG_Set[[#This Row],[Play Singles CardMarket Profit BotBox]]/tbl_MTG_Set[[#This Row],[Play Booster Cost]]</f>
        <v>#VALUE!</v>
      </c>
      <c r="BP323" s="10" t="b">
        <f>tbl_MTG_Set[[#This Row],[Play Singles CardMarket Profit BotBox]]&gt;0</f>
        <v>0</v>
      </c>
      <c r="BQ323" s="10"/>
      <c r="BR323" s="10"/>
      <c r="BS323" s="10"/>
      <c r="BT3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3" s="19" t="e">
        <f>tbl_MTG_Set[[#This Row],[Collector Singles CardMarket Profit MTG Stocks]]/tbl_MTG_Set[[#This Row],[Collector Booster Cost]]</f>
        <v>#N/A</v>
      </c>
      <c r="BW323" s="10" t="b">
        <f>tbl_MTG_Set[[#This Row],[Collector Singles CardMarket Profit MTG Stocks]]&gt;0</f>
        <v>0</v>
      </c>
      <c r="BX323" s="10"/>
      <c r="BY323" s="10"/>
      <c r="BZ3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3" s="10" t="e">
        <f>tbl_MTG_Set[[#This Row],[Collector Singles CardMarket Profit BotBox]]/tbl_MTG_Set[[#This Row],[Collector Booster Cost]]</f>
        <v>#N/A</v>
      </c>
      <c r="CC323" s="10" t="b">
        <f>tbl_MTG_Set[[#This Row],[Collector Singles CardMarket Profit BotBox]]&gt;0</f>
        <v>0</v>
      </c>
      <c r="CD3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4" spans="1:86" hidden="1">
      <c r="A324">
        <v>351</v>
      </c>
      <c r="B324" t="s">
        <v>497</v>
      </c>
      <c r="C324">
        <v>411</v>
      </c>
      <c r="D324" s="3">
        <v>44274</v>
      </c>
      <c r="E324" t="s">
        <v>66</v>
      </c>
      <c r="F324" t="s">
        <v>174</v>
      </c>
      <c r="G324">
        <v>648</v>
      </c>
      <c r="H324">
        <f ca="1">MONTH(NOW())+12*YEAR(NOW())-MONTH(tbl_MTG_Set[[#This Row],[Released On]])-12*YEAR(tbl_MTG_Set[[#This Row],[Released On]])</f>
        <v>60</v>
      </c>
      <c r="I324">
        <f>_xlfn.XLOOKUP(tbl_MTG_Set[[#This Row],[Type Name]], tbl_MTG_Set_Type[Set Type], tbl_MTG_Set_Type[Index], "(Set Type not found)")</f>
        <v>2</v>
      </c>
      <c r="J324">
        <f>_xlfn.XLOOKUP(tbl_MTG_Set[[#This Row],[Type Name]], tbl_MTG_Set_Type[Set Type], tbl_MTG_Set_Type[Buy Window Month Start], "(Set Type not found)")</f>
        <v>3</v>
      </c>
      <c r="K324" s="3">
        <f>tbl_MTG_Set[[#This Row],[Released On]]+tbl_MTG_Set[[#This Row],[Buy Window Month Start]]*365.25/12</f>
        <v>44365.3125</v>
      </c>
      <c r="L324">
        <f>_xlfn.XLOOKUP(tbl_MTG_Set[[#This Row],[Type Name]], tbl_MTG_Set_Type[Set Type], tbl_MTG_Set_Type[Buy Window Month End], "(Set Type not found)", 0, 1)</f>
        <v>6</v>
      </c>
      <c r="M324" s="3">
        <f>tbl_MTG_Set[[#This Row],[Released On]]+tbl_MTG_Set[[#This Row],[Buy Window Month End]]*365.25/12</f>
        <v>44456.625</v>
      </c>
      <c r="N324" s="3" t="b">
        <f ca="1">AND(NOW()&gt;=tbl_MTG_Set[[#This Row],[Buy Window Start]], NOW()&lt;=tbl_MTG_Set[[#This Row],[Buy Window End]])</f>
        <v>0</v>
      </c>
      <c r="O324">
        <f>_xlfn.XLOOKUP(tbl_MTG_Set[[#This Row],[Type Name]], tbl_MTG_Set_Type[Set Type], tbl_MTG_Set_Type[Heavy Printing Window Month Start], "(Set Type not found)", 0, 1)</f>
        <v>6</v>
      </c>
      <c r="P324" s="3">
        <f>tbl_MTG_Set[[#This Row],[Released On]]+tbl_MTG_Set[[#This Row],[Heavy Printing Window Month Start]]*365.25/12</f>
        <v>44456.625</v>
      </c>
      <c r="Q324">
        <f>_xlfn.XLOOKUP(tbl_MTG_Set[[#This Row],[Type Name]], tbl_MTG_Set_Type[Set Type], tbl_MTG_Set_Type[Heavy Printing Window Month End], "(Set Type not found)", 0, 1)</f>
        <v>12</v>
      </c>
      <c r="R324" s="3">
        <f>tbl_MTG_Set[[#This Row],[Released On]]+tbl_MTG_Set[[#This Row],[Heavy Printing Window Month End]]*365.25/12</f>
        <v>44639.25</v>
      </c>
      <c r="S324" s="3" t="b">
        <f ca="1">AND(NOW()&gt;=tbl_MTG_Set[[#This Row],[Heavy Printing Window Start]], NOW()&lt;=tbl_MTG_Set[[#This Row],[Heavy Printing Window End]])</f>
        <v>0</v>
      </c>
      <c r="T324">
        <f>_xlfn.XLOOKUP(tbl_MTG_Set[[#This Row],[Type Name]], tbl_MTG_Set_Type[Set Type], tbl_MTG_Set_Type[Sell Window Month Start], "(Set Type not found)", 0, 1)</f>
        <v>18</v>
      </c>
      <c r="U324" s="3">
        <f>tbl_MTG_Set[[#This Row],[Released On]]+tbl_MTG_Set[[#This Row],[Sell Window Month Start]]*365.25/12</f>
        <v>44821.875</v>
      </c>
      <c r="V324">
        <f>_xlfn.XLOOKUP(tbl_MTG_Set[[#This Row],[Type Name]], tbl_MTG_Set_Type[Set Type], tbl_MTG_Set_Type[Sell Window Month End], "(Set Type not found)", 0, 1)</f>
        <v>36</v>
      </c>
      <c r="W324" s="3">
        <f>tbl_MTG_Set[[#This Row],[Released On]]+tbl_MTG_Set[[#This Row],[Sell Window Month End]]*365.25/12</f>
        <v>45369.75</v>
      </c>
      <c r="X324" s="3" t="b">
        <f ca="1">AND(NOW()&gt;=tbl_MTG_Set[[#This Row],[Sell Window Start]], NOW()&lt;=tbl_MTG_Set[[#This Row],[Sell Window End]])</f>
        <v>0</v>
      </c>
      <c r="AG324" s="10"/>
      <c r="AH324" s="10"/>
      <c r="AM324" s="10" t="str" cm="1">
        <f t="array" ref="AM3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4" s="10" t="str" cm="1">
        <f t="array" ref="AN3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4" s="4" t="e">
        <f>_xlfn.XLOOKUP(tbl_MTG_Set[[#This Row],[Play Booster Box Product Id]], tbl_Product[Product Id], tbl_Product[Pack Size])</f>
        <v>#N/A</v>
      </c>
      <c r="AP324" s="10" t="e">
        <f>(tbl_MTG_Set[[#This Row],[Play Booster Box Cost]]+v_Item_Shipping_Cost_In)/tbl_MTG_Set[[#This Row],[Play Booster Box Size]]</f>
        <v>#VALUE!</v>
      </c>
      <c r="AQ324" s="10" t="str" cm="1">
        <f t="array" ref="AQ3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4" s="10"/>
      <c r="AS324" s="10"/>
      <c r="AT324" s="17" t="e">
        <f>tbl_MTG_Set[[#This Row],[Play Booster CardMarket Profit]]/tbl_MTG_Set[[#This Row],[Play Booster Cost]]</f>
        <v>#VALUE!</v>
      </c>
      <c r="AU324" s="10" t="e">
        <f>_xlfn.XLOOKUP(tbl_MTG_Set[[#This Row],[Collector Booster Box Product Id]], tbl_Product[Product Id], tbl_Product[Min Cost])</f>
        <v>#N/A</v>
      </c>
      <c r="AV324" s="10" t="e">
        <f>_xlfn.XLOOKUP(tbl_MTG_Set[[#This Row],[Collector Booster Box Product Id]], tbl_Product[Product Id], tbl_Product[Best Source])</f>
        <v>#N/A</v>
      </c>
      <c r="AW324" s="4" t="e">
        <f>_xlfn.XLOOKUP(tbl_MTG_Set[[#This Row],[Collector Booster Box Product Id]], tbl_Product[Product Id], tbl_Product[Pack Size])</f>
        <v>#N/A</v>
      </c>
      <c r="AX324" s="10" t="e">
        <f>(tbl_MTG_Set[[#This Row],[Collector Booster Box Cost]] + v_Item_Shipping_Cost_In) / tbl_MTG_Set[[#This Row],[Collector Booster Box Size]]</f>
        <v>#N/A</v>
      </c>
      <c r="AY324" s="10" t="str" cm="1">
        <f t="array" ref="AY3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4" s="10"/>
      <c r="BA3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4" s="17" t="e">
        <f>tbl_MTG_Set[[#This Row],[Collector Booster CardMarket Profit]]/tbl_MTG_Set[[#This Row],[Collector Booster Cost]]</f>
        <v>#N/A</v>
      </c>
      <c r="BC324" s="10"/>
      <c r="BF3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4" s="11" t="e">
        <f>tbl_MTG_Set[[#This Row],[Play Singles CardMarket Profit MTG Stocks]]/tbl_MTG_Set[[#This Row],[Play Booster Cost]]</f>
        <v>#VALUE!</v>
      </c>
      <c r="BI324" s="11" t="b">
        <f>tbl_MTG_Set[[#This Row],[Play Singles CardMarket Profit MTG Stocks]]&gt;0</f>
        <v>0</v>
      </c>
      <c r="BM324" s="10" t="e">
        <f>tbl_MTG_Set[[#This Row],[Play Booster Sell Price CardMarket]]*tbl_MTG_Set[[#This Row],[Play Booster Expected Market Value BotBox]]/tbl_MTG_Set[[#This Row],[Play Booster Sealed Market Value BotBox]]</f>
        <v>#VALUE!</v>
      </c>
      <c r="BN3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4" s="10" t="e">
        <f>tbl_MTG_Set[[#This Row],[Play Singles CardMarket Profit BotBox]]/tbl_MTG_Set[[#This Row],[Play Booster Cost]]</f>
        <v>#VALUE!</v>
      </c>
      <c r="BP324" s="10" t="b">
        <f>tbl_MTG_Set[[#This Row],[Play Singles CardMarket Profit BotBox]]&gt;0</f>
        <v>0</v>
      </c>
      <c r="BQ324" s="10"/>
      <c r="BR324" s="10"/>
      <c r="BS324" s="10"/>
      <c r="BT3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4" s="19" t="e">
        <f>tbl_MTG_Set[[#This Row],[Collector Singles CardMarket Profit MTG Stocks]]/tbl_MTG_Set[[#This Row],[Collector Booster Cost]]</f>
        <v>#N/A</v>
      </c>
      <c r="BW324" s="10" t="b">
        <f>tbl_MTG_Set[[#This Row],[Collector Singles CardMarket Profit MTG Stocks]]&gt;0</f>
        <v>0</v>
      </c>
      <c r="BX324" s="10"/>
      <c r="BY324" s="10"/>
      <c r="BZ3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4" s="10" t="e">
        <f>tbl_MTG_Set[[#This Row],[Collector Singles CardMarket Profit BotBox]]/tbl_MTG_Set[[#This Row],[Collector Booster Cost]]</f>
        <v>#N/A</v>
      </c>
      <c r="CC324" s="10" t="b">
        <f>tbl_MTG_Set[[#This Row],[Collector Singles CardMarket Profit BotBox]]&gt;0</f>
        <v>0</v>
      </c>
      <c r="CD3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5" spans="1:86" hidden="1">
      <c r="A325">
        <v>352</v>
      </c>
      <c r="B325" t="s">
        <v>498</v>
      </c>
      <c r="C325">
        <v>3</v>
      </c>
      <c r="D325" s="3">
        <v>45177</v>
      </c>
      <c r="E325" t="s">
        <v>66</v>
      </c>
      <c r="F325" t="s">
        <v>174</v>
      </c>
      <c r="G325">
        <v>650</v>
      </c>
      <c r="H325">
        <f ca="1">MONTH(NOW())+12*YEAR(NOW())-MONTH(tbl_MTG_Set[[#This Row],[Released On]])-12*YEAR(tbl_MTG_Set[[#This Row],[Released On]])</f>
        <v>30</v>
      </c>
      <c r="I325">
        <f>_xlfn.XLOOKUP(tbl_MTG_Set[[#This Row],[Type Name]], tbl_MTG_Set_Type[Set Type], tbl_MTG_Set_Type[Index], "(Set Type not found)")</f>
        <v>2</v>
      </c>
      <c r="J325">
        <f>_xlfn.XLOOKUP(tbl_MTG_Set[[#This Row],[Type Name]], tbl_MTG_Set_Type[Set Type], tbl_MTG_Set_Type[Buy Window Month Start], "(Set Type not found)")</f>
        <v>3</v>
      </c>
      <c r="K325" s="3">
        <f>tbl_MTG_Set[[#This Row],[Released On]]+tbl_MTG_Set[[#This Row],[Buy Window Month Start]]*365.25/12</f>
        <v>45268.3125</v>
      </c>
      <c r="L325">
        <f>_xlfn.XLOOKUP(tbl_MTG_Set[[#This Row],[Type Name]], tbl_MTG_Set_Type[Set Type], tbl_MTG_Set_Type[Buy Window Month End], "(Set Type not found)", 0, 1)</f>
        <v>6</v>
      </c>
      <c r="M325" s="3">
        <f>tbl_MTG_Set[[#This Row],[Released On]]+tbl_MTG_Set[[#This Row],[Buy Window Month End]]*365.25/12</f>
        <v>45359.625</v>
      </c>
      <c r="N325" s="3" t="b">
        <f ca="1">AND(NOW()&gt;=tbl_MTG_Set[[#This Row],[Buy Window Start]], NOW()&lt;=tbl_MTG_Set[[#This Row],[Buy Window End]])</f>
        <v>0</v>
      </c>
      <c r="O325">
        <f>_xlfn.XLOOKUP(tbl_MTG_Set[[#This Row],[Type Name]], tbl_MTG_Set_Type[Set Type], tbl_MTG_Set_Type[Heavy Printing Window Month Start], "(Set Type not found)", 0, 1)</f>
        <v>6</v>
      </c>
      <c r="P325" s="3">
        <f>tbl_MTG_Set[[#This Row],[Released On]]+tbl_MTG_Set[[#This Row],[Heavy Printing Window Month Start]]*365.25/12</f>
        <v>45359.625</v>
      </c>
      <c r="Q325">
        <f>_xlfn.XLOOKUP(tbl_MTG_Set[[#This Row],[Type Name]], tbl_MTG_Set_Type[Set Type], tbl_MTG_Set_Type[Heavy Printing Window Month End], "(Set Type not found)", 0, 1)</f>
        <v>12</v>
      </c>
      <c r="R325" s="3">
        <f>tbl_MTG_Set[[#This Row],[Released On]]+tbl_MTG_Set[[#This Row],[Heavy Printing Window Month End]]*365.25/12</f>
        <v>45542.25</v>
      </c>
      <c r="S325" s="3" t="b">
        <f ca="1">AND(NOW()&gt;=tbl_MTG_Set[[#This Row],[Heavy Printing Window Start]], NOW()&lt;=tbl_MTG_Set[[#This Row],[Heavy Printing Window End]])</f>
        <v>0</v>
      </c>
      <c r="T325">
        <f>_xlfn.XLOOKUP(tbl_MTG_Set[[#This Row],[Type Name]], tbl_MTG_Set_Type[Set Type], tbl_MTG_Set_Type[Sell Window Month Start], "(Set Type not found)", 0, 1)</f>
        <v>18</v>
      </c>
      <c r="U325" s="3">
        <f>tbl_MTG_Set[[#This Row],[Released On]]+tbl_MTG_Set[[#This Row],[Sell Window Month Start]]*365.25/12</f>
        <v>45724.875</v>
      </c>
      <c r="V325">
        <f>_xlfn.XLOOKUP(tbl_MTG_Set[[#This Row],[Type Name]], tbl_MTG_Set_Type[Set Type], tbl_MTG_Set_Type[Sell Window Month End], "(Set Type not found)", 0, 1)</f>
        <v>36</v>
      </c>
      <c r="W325" s="3">
        <f>tbl_MTG_Set[[#This Row],[Released On]]+tbl_MTG_Set[[#This Row],[Sell Window Month End]]*365.25/12</f>
        <v>46272.75</v>
      </c>
      <c r="X325" s="3" t="b">
        <f ca="1">AND(NOW()&gt;=tbl_MTG_Set[[#This Row],[Sell Window Start]], NOW()&lt;=tbl_MTG_Set[[#This Row],[Sell Window End]])</f>
        <v>1</v>
      </c>
      <c r="AG325" s="10"/>
      <c r="AH325" s="10"/>
      <c r="AM325" s="10" t="str" cm="1">
        <f t="array" ref="AM3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5" s="10" t="str" cm="1">
        <f t="array" ref="AN3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5" s="4" t="e">
        <f>_xlfn.XLOOKUP(tbl_MTG_Set[[#This Row],[Play Booster Box Product Id]], tbl_Product[Product Id], tbl_Product[Pack Size])</f>
        <v>#N/A</v>
      </c>
      <c r="AP325" s="10" t="e">
        <f>(tbl_MTG_Set[[#This Row],[Play Booster Box Cost]]+v_Item_Shipping_Cost_In)/tbl_MTG_Set[[#This Row],[Play Booster Box Size]]</f>
        <v>#VALUE!</v>
      </c>
      <c r="AQ325" s="10" t="str" cm="1">
        <f t="array" ref="AQ3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5" s="10"/>
      <c r="AS325" s="10"/>
      <c r="AT325" s="17" t="e">
        <f>tbl_MTG_Set[[#This Row],[Play Booster CardMarket Profit]]/tbl_MTG_Set[[#This Row],[Play Booster Cost]]</f>
        <v>#VALUE!</v>
      </c>
      <c r="AU325" s="10" t="e">
        <f>_xlfn.XLOOKUP(tbl_MTG_Set[[#This Row],[Collector Booster Box Product Id]], tbl_Product[Product Id], tbl_Product[Min Cost])</f>
        <v>#N/A</v>
      </c>
      <c r="AV325" s="10" t="e">
        <f>_xlfn.XLOOKUP(tbl_MTG_Set[[#This Row],[Collector Booster Box Product Id]], tbl_Product[Product Id], tbl_Product[Best Source])</f>
        <v>#N/A</v>
      </c>
      <c r="AW325" s="4" t="e">
        <f>_xlfn.XLOOKUP(tbl_MTG_Set[[#This Row],[Collector Booster Box Product Id]], tbl_Product[Product Id], tbl_Product[Pack Size])</f>
        <v>#N/A</v>
      </c>
      <c r="AX325" s="10" t="e">
        <f>(tbl_MTG_Set[[#This Row],[Collector Booster Box Cost]] + v_Item_Shipping_Cost_In) / tbl_MTG_Set[[#This Row],[Collector Booster Box Size]]</f>
        <v>#N/A</v>
      </c>
      <c r="AY325" s="10" t="str" cm="1">
        <f t="array" ref="AY3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5" s="10"/>
      <c r="BA3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5" s="17" t="e">
        <f>tbl_MTG_Set[[#This Row],[Collector Booster CardMarket Profit]]/tbl_MTG_Set[[#This Row],[Collector Booster Cost]]</f>
        <v>#N/A</v>
      </c>
      <c r="BC325" s="10"/>
      <c r="BF3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5" s="11" t="e">
        <f>tbl_MTG_Set[[#This Row],[Play Singles CardMarket Profit MTG Stocks]]/tbl_MTG_Set[[#This Row],[Play Booster Cost]]</f>
        <v>#VALUE!</v>
      </c>
      <c r="BI325" s="11" t="b">
        <f>tbl_MTG_Set[[#This Row],[Play Singles CardMarket Profit MTG Stocks]]&gt;0</f>
        <v>0</v>
      </c>
      <c r="BM325" s="10" t="e">
        <f>tbl_MTG_Set[[#This Row],[Play Booster Sell Price CardMarket]]*tbl_MTG_Set[[#This Row],[Play Booster Expected Market Value BotBox]]/tbl_MTG_Set[[#This Row],[Play Booster Sealed Market Value BotBox]]</f>
        <v>#VALUE!</v>
      </c>
      <c r="BN3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5" s="10" t="e">
        <f>tbl_MTG_Set[[#This Row],[Play Singles CardMarket Profit BotBox]]/tbl_MTG_Set[[#This Row],[Play Booster Cost]]</f>
        <v>#VALUE!</v>
      </c>
      <c r="BP325" s="10" t="b">
        <f>tbl_MTG_Set[[#This Row],[Play Singles CardMarket Profit BotBox]]&gt;0</f>
        <v>0</v>
      </c>
      <c r="BQ325" s="10"/>
      <c r="BR325" s="10"/>
      <c r="BS325" s="10"/>
      <c r="BT3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5" s="19" t="e">
        <f>tbl_MTG_Set[[#This Row],[Collector Singles CardMarket Profit MTG Stocks]]/tbl_MTG_Set[[#This Row],[Collector Booster Cost]]</f>
        <v>#N/A</v>
      </c>
      <c r="BW325" s="10" t="b">
        <f>tbl_MTG_Set[[#This Row],[Collector Singles CardMarket Profit MTG Stocks]]&gt;0</f>
        <v>0</v>
      </c>
      <c r="BX325" s="10"/>
      <c r="BY325" s="10"/>
      <c r="BZ3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5" s="10" t="e">
        <f>tbl_MTG_Set[[#This Row],[Collector Singles CardMarket Profit BotBox]]/tbl_MTG_Set[[#This Row],[Collector Booster Cost]]</f>
        <v>#N/A</v>
      </c>
      <c r="CC325" s="10" t="b">
        <f>tbl_MTG_Set[[#This Row],[Collector Singles CardMarket Profit BotBox]]&gt;0</f>
        <v>0</v>
      </c>
      <c r="CD3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6" spans="1:86" hidden="1">
      <c r="A326">
        <v>353</v>
      </c>
      <c r="B326" t="s">
        <v>499</v>
      </c>
      <c r="C326">
        <v>15</v>
      </c>
      <c r="D326" s="3">
        <v>44274</v>
      </c>
      <c r="E326" t="s">
        <v>66</v>
      </c>
      <c r="F326" t="s">
        <v>174</v>
      </c>
      <c r="G326">
        <v>652</v>
      </c>
      <c r="H326">
        <f ca="1">MONTH(NOW())+12*YEAR(NOW())-MONTH(tbl_MTG_Set[[#This Row],[Released On]])-12*YEAR(tbl_MTG_Set[[#This Row],[Released On]])</f>
        <v>60</v>
      </c>
      <c r="I326">
        <f>_xlfn.XLOOKUP(tbl_MTG_Set[[#This Row],[Type Name]], tbl_MTG_Set_Type[Set Type], tbl_MTG_Set_Type[Index], "(Set Type not found)")</f>
        <v>2</v>
      </c>
      <c r="J326">
        <f>_xlfn.XLOOKUP(tbl_MTG_Set[[#This Row],[Type Name]], tbl_MTG_Set_Type[Set Type], tbl_MTG_Set_Type[Buy Window Month Start], "(Set Type not found)")</f>
        <v>3</v>
      </c>
      <c r="K326" s="3">
        <f>tbl_MTG_Set[[#This Row],[Released On]]+tbl_MTG_Set[[#This Row],[Buy Window Month Start]]*365.25/12</f>
        <v>44365.3125</v>
      </c>
      <c r="L326">
        <f>_xlfn.XLOOKUP(tbl_MTG_Set[[#This Row],[Type Name]], tbl_MTG_Set_Type[Set Type], tbl_MTG_Set_Type[Buy Window Month End], "(Set Type not found)", 0, 1)</f>
        <v>6</v>
      </c>
      <c r="M326" s="3">
        <f>tbl_MTG_Set[[#This Row],[Released On]]+tbl_MTG_Set[[#This Row],[Buy Window Month End]]*365.25/12</f>
        <v>44456.625</v>
      </c>
      <c r="N326" s="3" t="b">
        <f ca="1">AND(NOW()&gt;=tbl_MTG_Set[[#This Row],[Buy Window Start]], NOW()&lt;=tbl_MTG_Set[[#This Row],[Buy Window End]])</f>
        <v>0</v>
      </c>
      <c r="O326">
        <f>_xlfn.XLOOKUP(tbl_MTG_Set[[#This Row],[Type Name]], tbl_MTG_Set_Type[Set Type], tbl_MTG_Set_Type[Heavy Printing Window Month Start], "(Set Type not found)", 0, 1)</f>
        <v>6</v>
      </c>
      <c r="P326" s="3">
        <f>tbl_MTG_Set[[#This Row],[Released On]]+tbl_MTG_Set[[#This Row],[Heavy Printing Window Month Start]]*365.25/12</f>
        <v>44456.625</v>
      </c>
      <c r="Q326">
        <f>_xlfn.XLOOKUP(tbl_MTG_Set[[#This Row],[Type Name]], tbl_MTG_Set_Type[Set Type], tbl_MTG_Set_Type[Heavy Printing Window Month End], "(Set Type not found)", 0, 1)</f>
        <v>12</v>
      </c>
      <c r="R326" s="3">
        <f>tbl_MTG_Set[[#This Row],[Released On]]+tbl_MTG_Set[[#This Row],[Heavy Printing Window Month End]]*365.25/12</f>
        <v>44639.25</v>
      </c>
      <c r="S326" s="3" t="b">
        <f ca="1">AND(NOW()&gt;=tbl_MTG_Set[[#This Row],[Heavy Printing Window Start]], NOW()&lt;=tbl_MTG_Set[[#This Row],[Heavy Printing Window End]])</f>
        <v>0</v>
      </c>
      <c r="T326">
        <f>_xlfn.XLOOKUP(tbl_MTG_Set[[#This Row],[Type Name]], tbl_MTG_Set_Type[Set Type], tbl_MTG_Set_Type[Sell Window Month Start], "(Set Type not found)", 0, 1)</f>
        <v>18</v>
      </c>
      <c r="U326" s="3">
        <f>tbl_MTG_Set[[#This Row],[Released On]]+tbl_MTG_Set[[#This Row],[Sell Window Month Start]]*365.25/12</f>
        <v>44821.875</v>
      </c>
      <c r="V326">
        <f>_xlfn.XLOOKUP(tbl_MTG_Set[[#This Row],[Type Name]], tbl_MTG_Set_Type[Set Type], tbl_MTG_Set_Type[Sell Window Month End], "(Set Type not found)", 0, 1)</f>
        <v>36</v>
      </c>
      <c r="W326" s="3">
        <f>tbl_MTG_Set[[#This Row],[Released On]]+tbl_MTG_Set[[#This Row],[Sell Window Month End]]*365.25/12</f>
        <v>45369.75</v>
      </c>
      <c r="X326" s="3" t="b">
        <f ca="1">AND(NOW()&gt;=tbl_MTG_Set[[#This Row],[Sell Window Start]], NOW()&lt;=tbl_MTG_Set[[#This Row],[Sell Window End]])</f>
        <v>0</v>
      </c>
      <c r="AG326" s="10"/>
      <c r="AH326" s="10"/>
      <c r="AM326" s="10" t="str" cm="1">
        <f t="array" ref="AM3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6" s="10" t="str" cm="1">
        <f t="array" ref="AN3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6" s="4" t="e">
        <f>_xlfn.XLOOKUP(tbl_MTG_Set[[#This Row],[Play Booster Box Product Id]], tbl_Product[Product Id], tbl_Product[Pack Size])</f>
        <v>#N/A</v>
      </c>
      <c r="AP326" s="10" t="e">
        <f>(tbl_MTG_Set[[#This Row],[Play Booster Box Cost]]+v_Item_Shipping_Cost_In)/tbl_MTG_Set[[#This Row],[Play Booster Box Size]]</f>
        <v>#VALUE!</v>
      </c>
      <c r="AQ326" s="10" t="str" cm="1">
        <f t="array" ref="AQ3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6" s="10"/>
      <c r="AS326" s="10"/>
      <c r="AT326" s="17" t="e">
        <f>tbl_MTG_Set[[#This Row],[Play Booster CardMarket Profit]]/tbl_MTG_Set[[#This Row],[Play Booster Cost]]</f>
        <v>#VALUE!</v>
      </c>
      <c r="AU326" s="10" t="e">
        <f>_xlfn.XLOOKUP(tbl_MTG_Set[[#This Row],[Collector Booster Box Product Id]], tbl_Product[Product Id], tbl_Product[Min Cost])</f>
        <v>#N/A</v>
      </c>
      <c r="AV326" s="10" t="e">
        <f>_xlfn.XLOOKUP(tbl_MTG_Set[[#This Row],[Collector Booster Box Product Id]], tbl_Product[Product Id], tbl_Product[Best Source])</f>
        <v>#N/A</v>
      </c>
      <c r="AW326" s="4" t="e">
        <f>_xlfn.XLOOKUP(tbl_MTG_Set[[#This Row],[Collector Booster Box Product Id]], tbl_Product[Product Id], tbl_Product[Pack Size])</f>
        <v>#N/A</v>
      </c>
      <c r="AX326" s="10" t="e">
        <f>(tbl_MTG_Set[[#This Row],[Collector Booster Box Cost]] + v_Item_Shipping_Cost_In) / tbl_MTG_Set[[#This Row],[Collector Booster Box Size]]</f>
        <v>#N/A</v>
      </c>
      <c r="AY326" s="10" t="str" cm="1">
        <f t="array" ref="AY3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6" s="10"/>
      <c r="BA3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6" s="17" t="e">
        <f>tbl_MTG_Set[[#This Row],[Collector Booster CardMarket Profit]]/tbl_MTG_Set[[#This Row],[Collector Booster Cost]]</f>
        <v>#N/A</v>
      </c>
      <c r="BC326" s="10"/>
      <c r="BF3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6" s="11" t="e">
        <f>tbl_MTG_Set[[#This Row],[Play Singles CardMarket Profit MTG Stocks]]/tbl_MTG_Set[[#This Row],[Play Booster Cost]]</f>
        <v>#VALUE!</v>
      </c>
      <c r="BI326" s="11" t="b">
        <f>tbl_MTG_Set[[#This Row],[Play Singles CardMarket Profit MTG Stocks]]&gt;0</f>
        <v>0</v>
      </c>
      <c r="BM326" s="10" t="e">
        <f>tbl_MTG_Set[[#This Row],[Play Booster Sell Price CardMarket]]*tbl_MTG_Set[[#This Row],[Play Booster Expected Market Value BotBox]]/tbl_MTG_Set[[#This Row],[Play Booster Sealed Market Value BotBox]]</f>
        <v>#VALUE!</v>
      </c>
      <c r="BN3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6" s="10" t="e">
        <f>tbl_MTG_Set[[#This Row],[Play Singles CardMarket Profit BotBox]]/tbl_MTG_Set[[#This Row],[Play Booster Cost]]</f>
        <v>#VALUE!</v>
      </c>
      <c r="BP326" s="10" t="b">
        <f>tbl_MTG_Set[[#This Row],[Play Singles CardMarket Profit BotBox]]&gt;0</f>
        <v>0</v>
      </c>
      <c r="BQ326" s="10"/>
      <c r="BR326" s="10"/>
      <c r="BS326" s="10"/>
      <c r="BT3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6" s="19" t="e">
        <f>tbl_MTG_Set[[#This Row],[Collector Singles CardMarket Profit MTG Stocks]]/tbl_MTG_Set[[#This Row],[Collector Booster Cost]]</f>
        <v>#N/A</v>
      </c>
      <c r="BW326" s="10" t="b">
        <f>tbl_MTG_Set[[#This Row],[Collector Singles CardMarket Profit MTG Stocks]]&gt;0</f>
        <v>0</v>
      </c>
      <c r="BX326" s="10"/>
      <c r="BY326" s="10"/>
      <c r="BZ3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6" s="10" t="e">
        <f>tbl_MTG_Set[[#This Row],[Collector Singles CardMarket Profit BotBox]]/tbl_MTG_Set[[#This Row],[Collector Booster Cost]]</f>
        <v>#N/A</v>
      </c>
      <c r="CC326" s="10" t="b">
        <f>tbl_MTG_Set[[#This Row],[Collector Singles CardMarket Profit BotBox]]&gt;0</f>
        <v>0</v>
      </c>
      <c r="CD3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7" spans="1:86" hidden="1">
      <c r="A327">
        <v>354</v>
      </c>
      <c r="B327" t="s">
        <v>500</v>
      </c>
      <c r="C327">
        <v>25</v>
      </c>
      <c r="D327" s="3">
        <v>44266</v>
      </c>
      <c r="F327" t="s">
        <v>174</v>
      </c>
      <c r="G327">
        <v>654</v>
      </c>
      <c r="H327">
        <f ca="1">MONTH(NOW())+12*YEAR(NOW())-MONTH(tbl_MTG_Set[[#This Row],[Released On]])-12*YEAR(tbl_MTG_Set[[#This Row],[Released On]])</f>
        <v>60</v>
      </c>
      <c r="I327" t="str">
        <f>_xlfn.XLOOKUP(tbl_MTG_Set[[#This Row],[Type Name]], tbl_MTG_Set_Type[Set Type], tbl_MTG_Set_Type[Index], "(Set Type not found)")</f>
        <v>(Set Type not found)</v>
      </c>
      <c r="J327" t="str">
        <f>_xlfn.XLOOKUP(tbl_MTG_Set[[#This Row],[Type Name]], tbl_MTG_Set_Type[Set Type], tbl_MTG_Set_Type[Buy Window Month Start], "(Set Type not found)")</f>
        <v>(Set Type not found)</v>
      </c>
      <c r="K327" s="3" t="e">
        <f>tbl_MTG_Set[[#This Row],[Released On]]+tbl_MTG_Set[[#This Row],[Buy Window Month Start]]*365.25/12</f>
        <v>#VALUE!</v>
      </c>
      <c r="L327" t="str">
        <f>_xlfn.XLOOKUP(tbl_MTG_Set[[#This Row],[Type Name]], tbl_MTG_Set_Type[Set Type], tbl_MTG_Set_Type[Buy Window Month End], "(Set Type not found)", 0, 1)</f>
        <v>(Set Type not found)</v>
      </c>
      <c r="M327" s="3" t="e">
        <f>tbl_MTG_Set[[#This Row],[Released On]]+tbl_MTG_Set[[#This Row],[Buy Window Month End]]*365.25/12</f>
        <v>#VALUE!</v>
      </c>
      <c r="N327" s="3" t="e">
        <f ca="1">AND(NOW()&gt;=tbl_MTG_Set[[#This Row],[Buy Window Start]], NOW()&lt;=tbl_MTG_Set[[#This Row],[Buy Window End]])</f>
        <v>#VALUE!</v>
      </c>
      <c r="O327" t="str">
        <f>_xlfn.XLOOKUP(tbl_MTG_Set[[#This Row],[Type Name]], tbl_MTG_Set_Type[Set Type], tbl_MTG_Set_Type[Heavy Printing Window Month Start], "(Set Type not found)", 0, 1)</f>
        <v>(Set Type not found)</v>
      </c>
      <c r="P327" s="3" t="e">
        <f>tbl_MTG_Set[[#This Row],[Released On]]+tbl_MTG_Set[[#This Row],[Heavy Printing Window Month Start]]*365.25/12</f>
        <v>#VALUE!</v>
      </c>
      <c r="Q327" t="str">
        <f>_xlfn.XLOOKUP(tbl_MTG_Set[[#This Row],[Type Name]], tbl_MTG_Set_Type[Set Type], tbl_MTG_Set_Type[Heavy Printing Window Month End], "(Set Type not found)", 0, 1)</f>
        <v>(Set Type not found)</v>
      </c>
      <c r="R327" s="3" t="e">
        <f>tbl_MTG_Set[[#This Row],[Released On]]+tbl_MTG_Set[[#This Row],[Heavy Printing Window Month End]]*365.25/12</f>
        <v>#VALUE!</v>
      </c>
      <c r="S327" s="3" t="e">
        <f ca="1">AND(NOW()&gt;=tbl_MTG_Set[[#This Row],[Heavy Printing Window Start]], NOW()&lt;=tbl_MTG_Set[[#This Row],[Heavy Printing Window End]])</f>
        <v>#VALUE!</v>
      </c>
      <c r="T327" t="str">
        <f>_xlfn.XLOOKUP(tbl_MTG_Set[[#This Row],[Type Name]], tbl_MTG_Set_Type[Set Type], tbl_MTG_Set_Type[Sell Window Month Start], "(Set Type not found)", 0, 1)</f>
        <v>(Set Type not found)</v>
      </c>
      <c r="U327" s="3" t="e">
        <f>tbl_MTG_Set[[#This Row],[Released On]]+tbl_MTG_Set[[#This Row],[Sell Window Month Start]]*365.25/12</f>
        <v>#VALUE!</v>
      </c>
      <c r="V327" t="str">
        <f>_xlfn.XLOOKUP(tbl_MTG_Set[[#This Row],[Type Name]], tbl_MTG_Set_Type[Set Type], tbl_MTG_Set_Type[Sell Window Month End], "(Set Type not found)", 0, 1)</f>
        <v>(Set Type not found)</v>
      </c>
      <c r="W327" s="3" t="e">
        <f>tbl_MTG_Set[[#This Row],[Released On]]+tbl_MTG_Set[[#This Row],[Sell Window Month End]]*365.25/12</f>
        <v>#VALUE!</v>
      </c>
      <c r="X327" s="3" t="e">
        <f ca="1">AND(NOW()&gt;=tbl_MTG_Set[[#This Row],[Sell Window Start]], NOW()&lt;=tbl_MTG_Set[[#This Row],[Sell Window End]])</f>
        <v>#VALUE!</v>
      </c>
      <c r="AG327" s="10"/>
      <c r="AH327" s="10"/>
      <c r="AM327" s="10" t="str" cm="1">
        <f t="array" ref="AM3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7" s="10" t="str" cm="1">
        <f t="array" ref="AN3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7" s="4" t="e">
        <f>_xlfn.XLOOKUP(tbl_MTG_Set[[#This Row],[Play Booster Box Product Id]], tbl_Product[Product Id], tbl_Product[Pack Size])</f>
        <v>#N/A</v>
      </c>
      <c r="AP327" s="10" t="e">
        <f>(tbl_MTG_Set[[#This Row],[Play Booster Box Cost]]+v_Item_Shipping_Cost_In)/tbl_MTG_Set[[#This Row],[Play Booster Box Size]]</f>
        <v>#VALUE!</v>
      </c>
      <c r="AQ327" s="10" t="str" cm="1">
        <f t="array" ref="AQ3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7" s="10"/>
      <c r="AS327" s="10"/>
      <c r="AT327" s="17" t="e">
        <f>tbl_MTG_Set[[#This Row],[Play Booster CardMarket Profit]]/tbl_MTG_Set[[#This Row],[Play Booster Cost]]</f>
        <v>#VALUE!</v>
      </c>
      <c r="AU327" s="10" t="e">
        <f>_xlfn.XLOOKUP(tbl_MTG_Set[[#This Row],[Collector Booster Box Product Id]], tbl_Product[Product Id], tbl_Product[Min Cost])</f>
        <v>#N/A</v>
      </c>
      <c r="AV327" s="10" t="e">
        <f>_xlfn.XLOOKUP(tbl_MTG_Set[[#This Row],[Collector Booster Box Product Id]], tbl_Product[Product Id], tbl_Product[Best Source])</f>
        <v>#N/A</v>
      </c>
      <c r="AW327" s="4" t="e">
        <f>_xlfn.XLOOKUP(tbl_MTG_Set[[#This Row],[Collector Booster Box Product Id]], tbl_Product[Product Id], tbl_Product[Pack Size])</f>
        <v>#N/A</v>
      </c>
      <c r="AX327" s="10" t="e">
        <f>(tbl_MTG_Set[[#This Row],[Collector Booster Box Cost]] + v_Item_Shipping_Cost_In) / tbl_MTG_Set[[#This Row],[Collector Booster Box Size]]</f>
        <v>#N/A</v>
      </c>
      <c r="AY327" s="10" t="str" cm="1">
        <f t="array" ref="AY3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7" s="10"/>
      <c r="BA3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7" s="17" t="e">
        <f>tbl_MTG_Set[[#This Row],[Collector Booster CardMarket Profit]]/tbl_MTG_Set[[#This Row],[Collector Booster Cost]]</f>
        <v>#N/A</v>
      </c>
      <c r="BC327" s="10"/>
      <c r="BF3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7" s="11" t="e">
        <f>tbl_MTG_Set[[#This Row],[Play Singles CardMarket Profit MTG Stocks]]/tbl_MTG_Set[[#This Row],[Play Booster Cost]]</f>
        <v>#VALUE!</v>
      </c>
      <c r="BI327" s="11" t="b">
        <f>tbl_MTG_Set[[#This Row],[Play Singles CardMarket Profit MTG Stocks]]&gt;0</f>
        <v>0</v>
      </c>
      <c r="BM327" s="10" t="e">
        <f>tbl_MTG_Set[[#This Row],[Play Booster Sell Price CardMarket]]*tbl_MTG_Set[[#This Row],[Play Booster Expected Market Value BotBox]]/tbl_MTG_Set[[#This Row],[Play Booster Sealed Market Value BotBox]]</f>
        <v>#VALUE!</v>
      </c>
      <c r="BN3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7" s="10" t="e">
        <f>tbl_MTG_Set[[#This Row],[Play Singles CardMarket Profit BotBox]]/tbl_MTG_Set[[#This Row],[Play Booster Cost]]</f>
        <v>#VALUE!</v>
      </c>
      <c r="BP327" s="10" t="b">
        <f>tbl_MTG_Set[[#This Row],[Play Singles CardMarket Profit BotBox]]&gt;0</f>
        <v>0</v>
      </c>
      <c r="BQ327" s="10"/>
      <c r="BR327" s="10"/>
      <c r="BS327" s="10"/>
      <c r="BT3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7" s="19" t="e">
        <f>tbl_MTG_Set[[#This Row],[Collector Singles CardMarket Profit MTG Stocks]]/tbl_MTG_Set[[#This Row],[Collector Booster Cost]]</f>
        <v>#N/A</v>
      </c>
      <c r="BW327" s="10" t="b">
        <f>tbl_MTG_Set[[#This Row],[Collector Singles CardMarket Profit MTG Stocks]]&gt;0</f>
        <v>0</v>
      </c>
      <c r="BX327" s="10"/>
      <c r="BY327" s="10"/>
      <c r="BZ3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7" s="10" t="e">
        <f>tbl_MTG_Set[[#This Row],[Collector Singles CardMarket Profit BotBox]]/tbl_MTG_Set[[#This Row],[Collector Booster Cost]]</f>
        <v>#N/A</v>
      </c>
      <c r="CC327" s="10" t="b">
        <f>tbl_MTG_Set[[#This Row],[Collector Singles CardMarket Profit BotBox]]&gt;0</f>
        <v>0</v>
      </c>
      <c r="CD3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8" spans="1:86" hidden="1">
      <c r="A328">
        <v>356</v>
      </c>
      <c r="B328" t="s">
        <v>501</v>
      </c>
      <c r="C328">
        <v>158</v>
      </c>
      <c r="D328" s="3">
        <v>44232</v>
      </c>
      <c r="E328" t="s">
        <v>59</v>
      </c>
      <c r="F328" t="s">
        <v>174</v>
      </c>
      <c r="G328">
        <v>658</v>
      </c>
      <c r="H328">
        <f ca="1">MONTH(NOW())+12*YEAR(NOW())-MONTH(tbl_MTG_Set[[#This Row],[Released On]])-12*YEAR(tbl_MTG_Set[[#This Row],[Released On]])</f>
        <v>61</v>
      </c>
      <c r="I328">
        <f>_xlfn.XLOOKUP(tbl_MTG_Set[[#This Row],[Type Name]], tbl_MTG_Set_Type[Set Type], tbl_MTG_Set_Type[Index], "(Set Type not found)")</f>
        <v>1</v>
      </c>
      <c r="J328">
        <f>_xlfn.XLOOKUP(tbl_MTG_Set[[#This Row],[Type Name]], tbl_MTG_Set_Type[Set Type], tbl_MTG_Set_Type[Buy Window Month Start], "(Set Type not found)")</f>
        <v>18</v>
      </c>
      <c r="K328" s="3">
        <f>tbl_MTG_Set[[#This Row],[Released On]]+tbl_MTG_Set[[#This Row],[Buy Window Month Start]]*365.25/12</f>
        <v>44779.875</v>
      </c>
      <c r="L328">
        <f>_xlfn.XLOOKUP(tbl_MTG_Set[[#This Row],[Type Name]], tbl_MTG_Set_Type[Set Type], tbl_MTG_Set_Type[Buy Window Month End], "(Set Type not found)", 0, 1)</f>
        <v>24</v>
      </c>
      <c r="M328" s="3">
        <f>tbl_MTG_Set[[#This Row],[Released On]]+tbl_MTG_Set[[#This Row],[Buy Window Month End]]*365.25/12</f>
        <v>44962.5</v>
      </c>
      <c r="N328" s="3" t="b">
        <f ca="1">AND(NOW()&gt;=tbl_MTG_Set[[#This Row],[Buy Window Start]], NOW()&lt;=tbl_MTG_Set[[#This Row],[Buy Window End]])</f>
        <v>0</v>
      </c>
      <c r="O328">
        <f>_xlfn.XLOOKUP(tbl_MTG_Set[[#This Row],[Type Name]], tbl_MTG_Set_Type[Set Type], tbl_MTG_Set_Type[Heavy Printing Window Month Start], "(Set Type not found)", 0, 1)</f>
        <v>1</v>
      </c>
      <c r="P328" s="3">
        <f>tbl_MTG_Set[[#This Row],[Released On]]+tbl_MTG_Set[[#This Row],[Heavy Printing Window Month Start]]*365.25/12</f>
        <v>44262.4375</v>
      </c>
      <c r="Q328">
        <f>_xlfn.XLOOKUP(tbl_MTG_Set[[#This Row],[Type Name]], tbl_MTG_Set_Type[Set Type], tbl_MTG_Set_Type[Heavy Printing Window Month End], "(Set Type not found)", 0, 1)</f>
        <v>18</v>
      </c>
      <c r="R328" s="3">
        <f>tbl_MTG_Set[[#This Row],[Released On]]+tbl_MTG_Set[[#This Row],[Heavy Printing Window Month End]]*365.25/12</f>
        <v>44779.875</v>
      </c>
      <c r="S328" s="3" t="b">
        <f ca="1">AND(NOW()&gt;=tbl_MTG_Set[[#This Row],[Heavy Printing Window Start]], NOW()&lt;=tbl_MTG_Set[[#This Row],[Heavy Printing Window End]])</f>
        <v>0</v>
      </c>
      <c r="T328">
        <f>_xlfn.XLOOKUP(tbl_MTG_Set[[#This Row],[Type Name]], tbl_MTG_Set_Type[Set Type], tbl_MTG_Set_Type[Sell Window Month Start], "(Set Type not found)", 0, 1)</f>
        <v>36</v>
      </c>
      <c r="U328" s="3">
        <f>tbl_MTG_Set[[#This Row],[Released On]]+tbl_MTG_Set[[#This Row],[Sell Window Month Start]]*365.25/12</f>
        <v>45327.75</v>
      </c>
      <c r="V328">
        <f>_xlfn.XLOOKUP(tbl_MTG_Set[[#This Row],[Type Name]], tbl_MTG_Set_Type[Set Type], tbl_MTG_Set_Type[Sell Window Month End], "(Set Type not found)", 0, 1)</f>
        <v>48</v>
      </c>
      <c r="W328" s="3">
        <f>tbl_MTG_Set[[#This Row],[Released On]]+tbl_MTG_Set[[#This Row],[Sell Window Month End]]*365.25/12</f>
        <v>45693</v>
      </c>
      <c r="X328" s="3" t="b">
        <f ca="1">AND(NOW()&gt;=tbl_MTG_Set[[#This Row],[Sell Window Start]], NOW()&lt;=tbl_MTG_Set[[#This Row],[Sell Window End]])</f>
        <v>0</v>
      </c>
      <c r="AG328" s="10"/>
      <c r="AH328" s="10"/>
      <c r="AM328" s="10" t="str" cm="1">
        <f t="array" ref="AM3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8" s="10" t="str" cm="1">
        <f t="array" ref="AN3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8" s="4" t="e">
        <f>_xlfn.XLOOKUP(tbl_MTG_Set[[#This Row],[Play Booster Box Product Id]], tbl_Product[Product Id], tbl_Product[Pack Size])</f>
        <v>#N/A</v>
      </c>
      <c r="AP328" s="10" t="e">
        <f>(tbl_MTG_Set[[#This Row],[Play Booster Box Cost]]+v_Item_Shipping_Cost_In)/tbl_MTG_Set[[#This Row],[Play Booster Box Size]]</f>
        <v>#VALUE!</v>
      </c>
      <c r="AQ328" s="10" t="str" cm="1">
        <f t="array" ref="AQ3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8" s="10"/>
      <c r="AS328" s="10"/>
      <c r="AT328" s="17" t="e">
        <f>tbl_MTG_Set[[#This Row],[Play Booster CardMarket Profit]]/tbl_MTG_Set[[#This Row],[Play Booster Cost]]</f>
        <v>#VALUE!</v>
      </c>
      <c r="AU328" s="10" t="e">
        <f>_xlfn.XLOOKUP(tbl_MTG_Set[[#This Row],[Collector Booster Box Product Id]], tbl_Product[Product Id], tbl_Product[Min Cost])</f>
        <v>#N/A</v>
      </c>
      <c r="AV328" s="10" t="e">
        <f>_xlfn.XLOOKUP(tbl_MTG_Set[[#This Row],[Collector Booster Box Product Id]], tbl_Product[Product Id], tbl_Product[Best Source])</f>
        <v>#N/A</v>
      </c>
      <c r="AW328" s="4" t="e">
        <f>_xlfn.XLOOKUP(tbl_MTG_Set[[#This Row],[Collector Booster Box Product Id]], tbl_Product[Product Id], tbl_Product[Pack Size])</f>
        <v>#N/A</v>
      </c>
      <c r="AX328" s="10" t="e">
        <f>(tbl_MTG_Set[[#This Row],[Collector Booster Box Cost]] + v_Item_Shipping_Cost_In) / tbl_MTG_Set[[#This Row],[Collector Booster Box Size]]</f>
        <v>#N/A</v>
      </c>
      <c r="AY328" s="10" t="str" cm="1">
        <f t="array" ref="AY3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8" s="10"/>
      <c r="BA3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8" s="17" t="e">
        <f>tbl_MTG_Set[[#This Row],[Collector Booster CardMarket Profit]]/tbl_MTG_Set[[#This Row],[Collector Booster Cost]]</f>
        <v>#N/A</v>
      </c>
      <c r="BC328" s="10"/>
      <c r="BF3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8" s="11" t="e">
        <f>tbl_MTG_Set[[#This Row],[Play Singles CardMarket Profit MTG Stocks]]/tbl_MTG_Set[[#This Row],[Play Booster Cost]]</f>
        <v>#VALUE!</v>
      </c>
      <c r="BI328" s="11" t="b">
        <f>tbl_MTG_Set[[#This Row],[Play Singles CardMarket Profit MTG Stocks]]&gt;0</f>
        <v>0</v>
      </c>
      <c r="BM328" s="10" t="e">
        <f>tbl_MTG_Set[[#This Row],[Play Booster Sell Price CardMarket]]*tbl_MTG_Set[[#This Row],[Play Booster Expected Market Value BotBox]]/tbl_MTG_Set[[#This Row],[Play Booster Sealed Market Value BotBox]]</f>
        <v>#VALUE!</v>
      </c>
      <c r="BN3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8" s="10" t="e">
        <f>tbl_MTG_Set[[#This Row],[Play Singles CardMarket Profit BotBox]]/tbl_MTG_Set[[#This Row],[Play Booster Cost]]</f>
        <v>#VALUE!</v>
      </c>
      <c r="BP328" s="10" t="b">
        <f>tbl_MTG_Set[[#This Row],[Play Singles CardMarket Profit BotBox]]&gt;0</f>
        <v>0</v>
      </c>
      <c r="BQ328" s="10"/>
      <c r="BR328" s="10"/>
      <c r="BS328" s="10"/>
      <c r="BT3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8" s="19" t="e">
        <f>tbl_MTG_Set[[#This Row],[Collector Singles CardMarket Profit MTG Stocks]]/tbl_MTG_Set[[#This Row],[Collector Booster Cost]]</f>
        <v>#N/A</v>
      </c>
      <c r="BW328" s="10" t="b">
        <f>tbl_MTG_Set[[#This Row],[Collector Singles CardMarket Profit MTG Stocks]]&gt;0</f>
        <v>0</v>
      </c>
      <c r="BX328" s="10"/>
      <c r="BY328" s="10"/>
      <c r="BZ3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8" s="10" t="e">
        <f>tbl_MTG_Set[[#This Row],[Collector Singles CardMarket Profit BotBox]]/tbl_MTG_Set[[#This Row],[Collector Booster Cost]]</f>
        <v>#N/A</v>
      </c>
      <c r="CC328" s="10" t="b">
        <f>tbl_MTG_Set[[#This Row],[Collector Singles CardMarket Profit BotBox]]&gt;0</f>
        <v>0</v>
      </c>
      <c r="CD3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29" spans="1:86" hidden="1">
      <c r="A329">
        <v>357</v>
      </c>
      <c r="B329" t="s">
        <v>502</v>
      </c>
      <c r="C329">
        <v>23</v>
      </c>
      <c r="D329" s="3">
        <v>44232</v>
      </c>
      <c r="E329" t="s">
        <v>59</v>
      </c>
      <c r="F329" t="s">
        <v>174</v>
      </c>
      <c r="G329">
        <v>660</v>
      </c>
      <c r="H329">
        <f ca="1">MONTH(NOW())+12*YEAR(NOW())-MONTH(tbl_MTG_Set[[#This Row],[Released On]])-12*YEAR(tbl_MTG_Set[[#This Row],[Released On]])</f>
        <v>61</v>
      </c>
      <c r="I329">
        <f>_xlfn.XLOOKUP(tbl_MTG_Set[[#This Row],[Type Name]], tbl_MTG_Set_Type[Set Type], tbl_MTG_Set_Type[Index], "(Set Type not found)")</f>
        <v>1</v>
      </c>
      <c r="J329">
        <f>_xlfn.XLOOKUP(tbl_MTG_Set[[#This Row],[Type Name]], tbl_MTG_Set_Type[Set Type], tbl_MTG_Set_Type[Buy Window Month Start], "(Set Type not found)")</f>
        <v>18</v>
      </c>
      <c r="K329" s="3">
        <f>tbl_MTG_Set[[#This Row],[Released On]]+tbl_MTG_Set[[#This Row],[Buy Window Month Start]]*365.25/12</f>
        <v>44779.875</v>
      </c>
      <c r="L329">
        <f>_xlfn.XLOOKUP(tbl_MTG_Set[[#This Row],[Type Name]], tbl_MTG_Set_Type[Set Type], tbl_MTG_Set_Type[Buy Window Month End], "(Set Type not found)", 0, 1)</f>
        <v>24</v>
      </c>
      <c r="M329" s="3">
        <f>tbl_MTG_Set[[#This Row],[Released On]]+tbl_MTG_Set[[#This Row],[Buy Window Month End]]*365.25/12</f>
        <v>44962.5</v>
      </c>
      <c r="N329" s="3" t="b">
        <f ca="1">AND(NOW()&gt;=tbl_MTG_Set[[#This Row],[Buy Window Start]], NOW()&lt;=tbl_MTG_Set[[#This Row],[Buy Window End]])</f>
        <v>0</v>
      </c>
      <c r="O329">
        <f>_xlfn.XLOOKUP(tbl_MTG_Set[[#This Row],[Type Name]], tbl_MTG_Set_Type[Set Type], tbl_MTG_Set_Type[Heavy Printing Window Month Start], "(Set Type not found)", 0, 1)</f>
        <v>1</v>
      </c>
      <c r="P329" s="3">
        <f>tbl_MTG_Set[[#This Row],[Released On]]+tbl_MTG_Set[[#This Row],[Heavy Printing Window Month Start]]*365.25/12</f>
        <v>44262.4375</v>
      </c>
      <c r="Q329">
        <f>_xlfn.XLOOKUP(tbl_MTG_Set[[#This Row],[Type Name]], tbl_MTG_Set_Type[Set Type], tbl_MTG_Set_Type[Heavy Printing Window Month End], "(Set Type not found)", 0, 1)</f>
        <v>18</v>
      </c>
      <c r="R329" s="3">
        <f>tbl_MTG_Set[[#This Row],[Released On]]+tbl_MTG_Set[[#This Row],[Heavy Printing Window Month End]]*365.25/12</f>
        <v>44779.875</v>
      </c>
      <c r="S329" s="3" t="b">
        <f ca="1">AND(NOW()&gt;=tbl_MTG_Set[[#This Row],[Heavy Printing Window Start]], NOW()&lt;=tbl_MTG_Set[[#This Row],[Heavy Printing Window End]])</f>
        <v>0</v>
      </c>
      <c r="T329">
        <f>_xlfn.XLOOKUP(tbl_MTG_Set[[#This Row],[Type Name]], tbl_MTG_Set_Type[Set Type], tbl_MTG_Set_Type[Sell Window Month Start], "(Set Type not found)", 0, 1)</f>
        <v>36</v>
      </c>
      <c r="U329" s="3">
        <f>tbl_MTG_Set[[#This Row],[Released On]]+tbl_MTG_Set[[#This Row],[Sell Window Month Start]]*365.25/12</f>
        <v>45327.75</v>
      </c>
      <c r="V329">
        <f>_xlfn.XLOOKUP(tbl_MTG_Set[[#This Row],[Type Name]], tbl_MTG_Set_Type[Set Type], tbl_MTG_Set_Type[Sell Window Month End], "(Set Type not found)", 0, 1)</f>
        <v>48</v>
      </c>
      <c r="W329" s="3">
        <f>tbl_MTG_Set[[#This Row],[Released On]]+tbl_MTG_Set[[#This Row],[Sell Window Month End]]*365.25/12</f>
        <v>45693</v>
      </c>
      <c r="X329" s="3" t="b">
        <f ca="1">AND(NOW()&gt;=tbl_MTG_Set[[#This Row],[Sell Window Start]], NOW()&lt;=tbl_MTG_Set[[#This Row],[Sell Window End]])</f>
        <v>0</v>
      </c>
      <c r="AG329" s="10"/>
      <c r="AH329" s="10"/>
      <c r="AM329" s="10" t="str" cm="1">
        <f t="array" ref="AM3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29" s="10" t="str" cm="1">
        <f t="array" ref="AN3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29" s="4" t="e">
        <f>_xlfn.XLOOKUP(tbl_MTG_Set[[#This Row],[Play Booster Box Product Id]], tbl_Product[Product Id], tbl_Product[Pack Size])</f>
        <v>#N/A</v>
      </c>
      <c r="AP329" s="10" t="e">
        <f>(tbl_MTG_Set[[#This Row],[Play Booster Box Cost]]+v_Item_Shipping_Cost_In)/tbl_MTG_Set[[#This Row],[Play Booster Box Size]]</f>
        <v>#VALUE!</v>
      </c>
      <c r="AQ329" s="10" t="str" cm="1">
        <f t="array" ref="AQ3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29" s="10"/>
      <c r="AS329" s="10"/>
      <c r="AT329" s="17" t="e">
        <f>tbl_MTG_Set[[#This Row],[Play Booster CardMarket Profit]]/tbl_MTG_Set[[#This Row],[Play Booster Cost]]</f>
        <v>#VALUE!</v>
      </c>
      <c r="AU329" s="10" t="e">
        <f>_xlfn.XLOOKUP(tbl_MTG_Set[[#This Row],[Collector Booster Box Product Id]], tbl_Product[Product Id], tbl_Product[Min Cost])</f>
        <v>#N/A</v>
      </c>
      <c r="AV329" s="10" t="e">
        <f>_xlfn.XLOOKUP(tbl_MTG_Set[[#This Row],[Collector Booster Box Product Id]], tbl_Product[Product Id], tbl_Product[Best Source])</f>
        <v>#N/A</v>
      </c>
      <c r="AW329" s="4" t="e">
        <f>_xlfn.XLOOKUP(tbl_MTG_Set[[#This Row],[Collector Booster Box Product Id]], tbl_Product[Product Id], tbl_Product[Pack Size])</f>
        <v>#N/A</v>
      </c>
      <c r="AX329" s="10" t="e">
        <f>(tbl_MTG_Set[[#This Row],[Collector Booster Box Cost]] + v_Item_Shipping_Cost_In) / tbl_MTG_Set[[#This Row],[Collector Booster Box Size]]</f>
        <v>#N/A</v>
      </c>
      <c r="AY329" s="10" t="str" cm="1">
        <f t="array" ref="AY3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29" s="10"/>
      <c r="BA3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29" s="17" t="e">
        <f>tbl_MTG_Set[[#This Row],[Collector Booster CardMarket Profit]]/tbl_MTG_Set[[#This Row],[Collector Booster Cost]]</f>
        <v>#N/A</v>
      </c>
      <c r="BC329" s="10"/>
      <c r="BF3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29" s="11" t="e">
        <f>tbl_MTG_Set[[#This Row],[Play Singles CardMarket Profit MTG Stocks]]/tbl_MTG_Set[[#This Row],[Play Booster Cost]]</f>
        <v>#VALUE!</v>
      </c>
      <c r="BI329" s="11" t="b">
        <f>tbl_MTG_Set[[#This Row],[Play Singles CardMarket Profit MTG Stocks]]&gt;0</f>
        <v>0</v>
      </c>
      <c r="BM329" s="10" t="e">
        <f>tbl_MTG_Set[[#This Row],[Play Booster Sell Price CardMarket]]*tbl_MTG_Set[[#This Row],[Play Booster Expected Market Value BotBox]]/tbl_MTG_Set[[#This Row],[Play Booster Sealed Market Value BotBox]]</f>
        <v>#VALUE!</v>
      </c>
      <c r="BN3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29" s="10" t="e">
        <f>tbl_MTG_Set[[#This Row],[Play Singles CardMarket Profit BotBox]]/tbl_MTG_Set[[#This Row],[Play Booster Cost]]</f>
        <v>#VALUE!</v>
      </c>
      <c r="BP329" s="10" t="b">
        <f>tbl_MTG_Set[[#This Row],[Play Singles CardMarket Profit BotBox]]&gt;0</f>
        <v>0</v>
      </c>
      <c r="BQ329" s="10"/>
      <c r="BR329" s="10"/>
      <c r="BS329" s="10"/>
      <c r="BT3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29" s="19" t="e">
        <f>tbl_MTG_Set[[#This Row],[Collector Singles CardMarket Profit MTG Stocks]]/tbl_MTG_Set[[#This Row],[Collector Booster Cost]]</f>
        <v>#N/A</v>
      </c>
      <c r="BW329" s="10" t="b">
        <f>tbl_MTG_Set[[#This Row],[Collector Singles CardMarket Profit MTG Stocks]]&gt;0</f>
        <v>0</v>
      </c>
      <c r="BX329" s="10"/>
      <c r="BY329" s="10"/>
      <c r="BZ3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29" s="10" t="e">
        <f>tbl_MTG_Set[[#This Row],[Collector Singles CardMarket Profit BotBox]]/tbl_MTG_Set[[#This Row],[Collector Booster Cost]]</f>
        <v>#N/A</v>
      </c>
      <c r="CC329" s="10" t="b">
        <f>tbl_MTG_Set[[#This Row],[Collector Singles CardMarket Profit BotBox]]&gt;0</f>
        <v>0</v>
      </c>
      <c r="CD3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0" spans="1:86" hidden="1">
      <c r="A330">
        <v>358</v>
      </c>
      <c r="B330" t="s">
        <v>503</v>
      </c>
      <c r="C330">
        <v>5</v>
      </c>
      <c r="D330" s="3">
        <v>44232</v>
      </c>
      <c r="E330" t="s">
        <v>59</v>
      </c>
      <c r="F330" t="s">
        <v>174</v>
      </c>
      <c r="G330">
        <v>662</v>
      </c>
      <c r="H330">
        <f ca="1">MONTH(NOW())+12*YEAR(NOW())-MONTH(tbl_MTG_Set[[#This Row],[Released On]])-12*YEAR(tbl_MTG_Set[[#This Row],[Released On]])</f>
        <v>61</v>
      </c>
      <c r="I330">
        <f>_xlfn.XLOOKUP(tbl_MTG_Set[[#This Row],[Type Name]], tbl_MTG_Set_Type[Set Type], tbl_MTG_Set_Type[Index], "(Set Type not found)")</f>
        <v>1</v>
      </c>
      <c r="J330">
        <f>_xlfn.XLOOKUP(tbl_MTG_Set[[#This Row],[Type Name]], tbl_MTG_Set_Type[Set Type], tbl_MTG_Set_Type[Buy Window Month Start], "(Set Type not found)")</f>
        <v>18</v>
      </c>
      <c r="K330" s="3">
        <f>tbl_MTG_Set[[#This Row],[Released On]]+tbl_MTG_Set[[#This Row],[Buy Window Month Start]]*365.25/12</f>
        <v>44779.875</v>
      </c>
      <c r="L330">
        <f>_xlfn.XLOOKUP(tbl_MTG_Set[[#This Row],[Type Name]], tbl_MTG_Set_Type[Set Type], tbl_MTG_Set_Type[Buy Window Month End], "(Set Type not found)", 0, 1)</f>
        <v>24</v>
      </c>
      <c r="M330" s="3">
        <f>tbl_MTG_Set[[#This Row],[Released On]]+tbl_MTG_Set[[#This Row],[Buy Window Month End]]*365.25/12</f>
        <v>44962.5</v>
      </c>
      <c r="N330" s="3" t="b">
        <f ca="1">AND(NOW()&gt;=tbl_MTG_Set[[#This Row],[Buy Window Start]], NOW()&lt;=tbl_MTG_Set[[#This Row],[Buy Window End]])</f>
        <v>0</v>
      </c>
      <c r="O330">
        <f>_xlfn.XLOOKUP(tbl_MTG_Set[[#This Row],[Type Name]], tbl_MTG_Set_Type[Set Type], tbl_MTG_Set_Type[Heavy Printing Window Month Start], "(Set Type not found)", 0, 1)</f>
        <v>1</v>
      </c>
      <c r="P330" s="3">
        <f>tbl_MTG_Set[[#This Row],[Released On]]+tbl_MTG_Set[[#This Row],[Heavy Printing Window Month Start]]*365.25/12</f>
        <v>44262.4375</v>
      </c>
      <c r="Q330">
        <f>_xlfn.XLOOKUP(tbl_MTG_Set[[#This Row],[Type Name]], tbl_MTG_Set_Type[Set Type], tbl_MTG_Set_Type[Heavy Printing Window Month End], "(Set Type not found)", 0, 1)</f>
        <v>18</v>
      </c>
      <c r="R330" s="3">
        <f>tbl_MTG_Set[[#This Row],[Released On]]+tbl_MTG_Set[[#This Row],[Heavy Printing Window Month End]]*365.25/12</f>
        <v>44779.875</v>
      </c>
      <c r="S330" s="3" t="b">
        <f ca="1">AND(NOW()&gt;=tbl_MTG_Set[[#This Row],[Heavy Printing Window Start]], NOW()&lt;=tbl_MTG_Set[[#This Row],[Heavy Printing Window End]])</f>
        <v>0</v>
      </c>
      <c r="T330">
        <f>_xlfn.XLOOKUP(tbl_MTG_Set[[#This Row],[Type Name]], tbl_MTG_Set_Type[Set Type], tbl_MTG_Set_Type[Sell Window Month Start], "(Set Type not found)", 0, 1)</f>
        <v>36</v>
      </c>
      <c r="U330" s="3">
        <f>tbl_MTG_Set[[#This Row],[Released On]]+tbl_MTG_Set[[#This Row],[Sell Window Month Start]]*365.25/12</f>
        <v>45327.75</v>
      </c>
      <c r="V330">
        <f>_xlfn.XLOOKUP(tbl_MTG_Set[[#This Row],[Type Name]], tbl_MTG_Set_Type[Set Type], tbl_MTG_Set_Type[Sell Window Month End], "(Set Type not found)", 0, 1)</f>
        <v>48</v>
      </c>
      <c r="W330" s="3">
        <f>tbl_MTG_Set[[#This Row],[Released On]]+tbl_MTG_Set[[#This Row],[Sell Window Month End]]*365.25/12</f>
        <v>45693</v>
      </c>
      <c r="X330" s="3" t="b">
        <f ca="1">AND(NOW()&gt;=tbl_MTG_Set[[#This Row],[Sell Window Start]], NOW()&lt;=tbl_MTG_Set[[#This Row],[Sell Window End]])</f>
        <v>0</v>
      </c>
      <c r="AG330" s="10"/>
      <c r="AH330" s="10"/>
      <c r="AM330" s="10" t="str" cm="1">
        <f t="array" ref="AM3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0" s="10" t="str" cm="1">
        <f t="array" ref="AN3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0" s="4" t="e">
        <f>_xlfn.XLOOKUP(tbl_MTG_Set[[#This Row],[Play Booster Box Product Id]], tbl_Product[Product Id], tbl_Product[Pack Size])</f>
        <v>#N/A</v>
      </c>
      <c r="AP330" s="10" t="e">
        <f>(tbl_MTG_Set[[#This Row],[Play Booster Box Cost]]+v_Item_Shipping_Cost_In)/tbl_MTG_Set[[#This Row],[Play Booster Box Size]]</f>
        <v>#VALUE!</v>
      </c>
      <c r="AQ330" s="10" t="str" cm="1">
        <f t="array" ref="AQ3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0" s="10"/>
      <c r="AS330" s="10"/>
      <c r="AT330" s="17" t="e">
        <f>tbl_MTG_Set[[#This Row],[Play Booster CardMarket Profit]]/tbl_MTG_Set[[#This Row],[Play Booster Cost]]</f>
        <v>#VALUE!</v>
      </c>
      <c r="AU330" s="10" t="e">
        <f>_xlfn.XLOOKUP(tbl_MTG_Set[[#This Row],[Collector Booster Box Product Id]], tbl_Product[Product Id], tbl_Product[Min Cost])</f>
        <v>#N/A</v>
      </c>
      <c r="AV330" s="10" t="e">
        <f>_xlfn.XLOOKUP(tbl_MTG_Set[[#This Row],[Collector Booster Box Product Id]], tbl_Product[Product Id], tbl_Product[Best Source])</f>
        <v>#N/A</v>
      </c>
      <c r="AW330" s="4" t="e">
        <f>_xlfn.XLOOKUP(tbl_MTG_Set[[#This Row],[Collector Booster Box Product Id]], tbl_Product[Product Id], tbl_Product[Pack Size])</f>
        <v>#N/A</v>
      </c>
      <c r="AX330" s="10" t="e">
        <f>(tbl_MTG_Set[[#This Row],[Collector Booster Box Cost]] + v_Item_Shipping_Cost_In) / tbl_MTG_Set[[#This Row],[Collector Booster Box Size]]</f>
        <v>#N/A</v>
      </c>
      <c r="AY330" s="10" t="str" cm="1">
        <f t="array" ref="AY3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0" s="10"/>
      <c r="BA3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0" s="17" t="e">
        <f>tbl_MTG_Set[[#This Row],[Collector Booster CardMarket Profit]]/tbl_MTG_Set[[#This Row],[Collector Booster Cost]]</f>
        <v>#N/A</v>
      </c>
      <c r="BC330" s="10"/>
      <c r="BF3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0" s="11" t="e">
        <f>tbl_MTG_Set[[#This Row],[Play Singles CardMarket Profit MTG Stocks]]/tbl_MTG_Set[[#This Row],[Play Booster Cost]]</f>
        <v>#VALUE!</v>
      </c>
      <c r="BI330" s="11" t="b">
        <f>tbl_MTG_Set[[#This Row],[Play Singles CardMarket Profit MTG Stocks]]&gt;0</f>
        <v>0</v>
      </c>
      <c r="BM330" s="10" t="e">
        <f>tbl_MTG_Set[[#This Row],[Play Booster Sell Price CardMarket]]*tbl_MTG_Set[[#This Row],[Play Booster Expected Market Value BotBox]]/tbl_MTG_Set[[#This Row],[Play Booster Sealed Market Value BotBox]]</f>
        <v>#VALUE!</v>
      </c>
      <c r="BN3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0" s="10" t="e">
        <f>tbl_MTG_Set[[#This Row],[Play Singles CardMarket Profit BotBox]]/tbl_MTG_Set[[#This Row],[Play Booster Cost]]</f>
        <v>#VALUE!</v>
      </c>
      <c r="BP330" s="10" t="b">
        <f>tbl_MTG_Set[[#This Row],[Play Singles CardMarket Profit BotBox]]&gt;0</f>
        <v>0</v>
      </c>
      <c r="BQ330" s="10"/>
      <c r="BR330" s="10"/>
      <c r="BS330" s="10"/>
      <c r="BT3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0" s="19" t="e">
        <f>tbl_MTG_Set[[#This Row],[Collector Singles CardMarket Profit MTG Stocks]]/tbl_MTG_Set[[#This Row],[Collector Booster Cost]]</f>
        <v>#N/A</v>
      </c>
      <c r="BW330" s="10" t="b">
        <f>tbl_MTG_Set[[#This Row],[Collector Singles CardMarket Profit MTG Stocks]]&gt;0</f>
        <v>0</v>
      </c>
      <c r="BX330" s="10"/>
      <c r="BY330" s="10"/>
      <c r="BZ3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0" s="10" t="e">
        <f>tbl_MTG_Set[[#This Row],[Collector Singles CardMarket Profit BotBox]]/tbl_MTG_Set[[#This Row],[Collector Booster Cost]]</f>
        <v>#N/A</v>
      </c>
      <c r="CC330" s="10" t="b">
        <f>tbl_MTG_Set[[#This Row],[Collector Singles CardMarket Profit BotBox]]&gt;0</f>
        <v>0</v>
      </c>
      <c r="CD3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1" spans="1:86" hidden="1">
      <c r="A331">
        <v>359</v>
      </c>
      <c r="B331" t="s">
        <v>504</v>
      </c>
      <c r="C331">
        <v>9</v>
      </c>
      <c r="D331" s="3">
        <v>44232</v>
      </c>
      <c r="E331" t="s">
        <v>59</v>
      </c>
      <c r="F331" t="s">
        <v>174</v>
      </c>
      <c r="G331">
        <v>664</v>
      </c>
      <c r="H331">
        <f ca="1">MONTH(NOW())+12*YEAR(NOW())-MONTH(tbl_MTG_Set[[#This Row],[Released On]])-12*YEAR(tbl_MTG_Set[[#This Row],[Released On]])</f>
        <v>61</v>
      </c>
      <c r="I331">
        <f>_xlfn.XLOOKUP(tbl_MTG_Set[[#This Row],[Type Name]], tbl_MTG_Set_Type[Set Type], tbl_MTG_Set_Type[Index], "(Set Type not found)")</f>
        <v>1</v>
      </c>
      <c r="J331">
        <f>_xlfn.XLOOKUP(tbl_MTG_Set[[#This Row],[Type Name]], tbl_MTG_Set_Type[Set Type], tbl_MTG_Set_Type[Buy Window Month Start], "(Set Type not found)")</f>
        <v>18</v>
      </c>
      <c r="K331" s="3">
        <f>tbl_MTG_Set[[#This Row],[Released On]]+tbl_MTG_Set[[#This Row],[Buy Window Month Start]]*365.25/12</f>
        <v>44779.875</v>
      </c>
      <c r="L331">
        <f>_xlfn.XLOOKUP(tbl_MTG_Set[[#This Row],[Type Name]], tbl_MTG_Set_Type[Set Type], tbl_MTG_Set_Type[Buy Window Month End], "(Set Type not found)", 0, 1)</f>
        <v>24</v>
      </c>
      <c r="M331" s="3">
        <f>tbl_MTG_Set[[#This Row],[Released On]]+tbl_MTG_Set[[#This Row],[Buy Window Month End]]*365.25/12</f>
        <v>44962.5</v>
      </c>
      <c r="N331" s="3" t="b">
        <f ca="1">AND(NOW()&gt;=tbl_MTG_Set[[#This Row],[Buy Window Start]], NOW()&lt;=tbl_MTG_Set[[#This Row],[Buy Window End]])</f>
        <v>0</v>
      </c>
      <c r="O331">
        <f>_xlfn.XLOOKUP(tbl_MTG_Set[[#This Row],[Type Name]], tbl_MTG_Set_Type[Set Type], tbl_MTG_Set_Type[Heavy Printing Window Month Start], "(Set Type not found)", 0, 1)</f>
        <v>1</v>
      </c>
      <c r="P331" s="3">
        <f>tbl_MTG_Set[[#This Row],[Released On]]+tbl_MTG_Set[[#This Row],[Heavy Printing Window Month Start]]*365.25/12</f>
        <v>44262.4375</v>
      </c>
      <c r="Q331">
        <f>_xlfn.XLOOKUP(tbl_MTG_Set[[#This Row],[Type Name]], tbl_MTG_Set_Type[Set Type], tbl_MTG_Set_Type[Heavy Printing Window Month End], "(Set Type not found)", 0, 1)</f>
        <v>18</v>
      </c>
      <c r="R331" s="3">
        <f>tbl_MTG_Set[[#This Row],[Released On]]+tbl_MTG_Set[[#This Row],[Heavy Printing Window Month End]]*365.25/12</f>
        <v>44779.875</v>
      </c>
      <c r="S331" s="3" t="b">
        <f ca="1">AND(NOW()&gt;=tbl_MTG_Set[[#This Row],[Heavy Printing Window Start]], NOW()&lt;=tbl_MTG_Set[[#This Row],[Heavy Printing Window End]])</f>
        <v>0</v>
      </c>
      <c r="T331">
        <f>_xlfn.XLOOKUP(tbl_MTG_Set[[#This Row],[Type Name]], tbl_MTG_Set_Type[Set Type], tbl_MTG_Set_Type[Sell Window Month Start], "(Set Type not found)", 0, 1)</f>
        <v>36</v>
      </c>
      <c r="U331" s="3">
        <f>tbl_MTG_Set[[#This Row],[Released On]]+tbl_MTG_Set[[#This Row],[Sell Window Month Start]]*365.25/12</f>
        <v>45327.75</v>
      </c>
      <c r="V331">
        <f>_xlfn.XLOOKUP(tbl_MTG_Set[[#This Row],[Type Name]], tbl_MTG_Set_Type[Set Type], tbl_MTG_Set_Type[Sell Window Month End], "(Set Type not found)", 0, 1)</f>
        <v>48</v>
      </c>
      <c r="W331" s="3">
        <f>tbl_MTG_Set[[#This Row],[Released On]]+tbl_MTG_Set[[#This Row],[Sell Window Month End]]*365.25/12</f>
        <v>45693</v>
      </c>
      <c r="X331" s="3" t="b">
        <f ca="1">AND(NOW()&gt;=tbl_MTG_Set[[#This Row],[Sell Window Start]], NOW()&lt;=tbl_MTG_Set[[#This Row],[Sell Window End]])</f>
        <v>0</v>
      </c>
      <c r="AG331" s="10"/>
      <c r="AH331" s="10"/>
      <c r="AM331" s="10" t="str" cm="1">
        <f t="array" ref="AM3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1" s="10" t="str" cm="1">
        <f t="array" ref="AN3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1" s="4" t="e">
        <f>_xlfn.XLOOKUP(tbl_MTG_Set[[#This Row],[Play Booster Box Product Id]], tbl_Product[Product Id], tbl_Product[Pack Size])</f>
        <v>#N/A</v>
      </c>
      <c r="AP331" s="10" t="e">
        <f>(tbl_MTG_Set[[#This Row],[Play Booster Box Cost]]+v_Item_Shipping_Cost_In)/tbl_MTG_Set[[#This Row],[Play Booster Box Size]]</f>
        <v>#VALUE!</v>
      </c>
      <c r="AQ331" s="10" t="str" cm="1">
        <f t="array" ref="AQ3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1" s="10"/>
      <c r="AS331" s="10"/>
      <c r="AT331" s="17" t="e">
        <f>tbl_MTG_Set[[#This Row],[Play Booster CardMarket Profit]]/tbl_MTG_Set[[#This Row],[Play Booster Cost]]</f>
        <v>#VALUE!</v>
      </c>
      <c r="AU331" s="10" t="e">
        <f>_xlfn.XLOOKUP(tbl_MTG_Set[[#This Row],[Collector Booster Box Product Id]], tbl_Product[Product Id], tbl_Product[Min Cost])</f>
        <v>#N/A</v>
      </c>
      <c r="AV331" s="10" t="e">
        <f>_xlfn.XLOOKUP(tbl_MTG_Set[[#This Row],[Collector Booster Box Product Id]], tbl_Product[Product Id], tbl_Product[Best Source])</f>
        <v>#N/A</v>
      </c>
      <c r="AW331" s="4" t="e">
        <f>_xlfn.XLOOKUP(tbl_MTG_Set[[#This Row],[Collector Booster Box Product Id]], tbl_Product[Product Id], tbl_Product[Pack Size])</f>
        <v>#N/A</v>
      </c>
      <c r="AX331" s="10" t="e">
        <f>(tbl_MTG_Set[[#This Row],[Collector Booster Box Cost]] + v_Item_Shipping_Cost_In) / tbl_MTG_Set[[#This Row],[Collector Booster Box Size]]</f>
        <v>#N/A</v>
      </c>
      <c r="AY331" s="10" t="str" cm="1">
        <f t="array" ref="AY3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1" s="10"/>
      <c r="BA3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1" s="17" t="e">
        <f>tbl_MTG_Set[[#This Row],[Collector Booster CardMarket Profit]]/tbl_MTG_Set[[#This Row],[Collector Booster Cost]]</f>
        <v>#N/A</v>
      </c>
      <c r="BC331" s="10"/>
      <c r="BF3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1" s="11" t="e">
        <f>tbl_MTG_Set[[#This Row],[Play Singles CardMarket Profit MTG Stocks]]/tbl_MTG_Set[[#This Row],[Play Booster Cost]]</f>
        <v>#VALUE!</v>
      </c>
      <c r="BI331" s="11" t="b">
        <f>tbl_MTG_Set[[#This Row],[Play Singles CardMarket Profit MTG Stocks]]&gt;0</f>
        <v>0</v>
      </c>
      <c r="BM331" s="10" t="e">
        <f>tbl_MTG_Set[[#This Row],[Play Booster Sell Price CardMarket]]*tbl_MTG_Set[[#This Row],[Play Booster Expected Market Value BotBox]]/tbl_MTG_Set[[#This Row],[Play Booster Sealed Market Value BotBox]]</f>
        <v>#VALUE!</v>
      </c>
      <c r="BN3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1" s="10" t="e">
        <f>tbl_MTG_Set[[#This Row],[Play Singles CardMarket Profit BotBox]]/tbl_MTG_Set[[#This Row],[Play Booster Cost]]</f>
        <v>#VALUE!</v>
      </c>
      <c r="BP331" s="10" t="b">
        <f>tbl_MTG_Set[[#This Row],[Play Singles CardMarket Profit BotBox]]&gt;0</f>
        <v>0</v>
      </c>
      <c r="BQ331" s="10"/>
      <c r="BR331" s="10"/>
      <c r="BS331" s="10"/>
      <c r="BT3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1" s="19" t="e">
        <f>tbl_MTG_Set[[#This Row],[Collector Singles CardMarket Profit MTG Stocks]]/tbl_MTG_Set[[#This Row],[Collector Booster Cost]]</f>
        <v>#N/A</v>
      </c>
      <c r="BW331" s="10" t="b">
        <f>tbl_MTG_Set[[#This Row],[Collector Singles CardMarket Profit MTG Stocks]]&gt;0</f>
        <v>0</v>
      </c>
      <c r="BX331" s="10"/>
      <c r="BY331" s="10"/>
      <c r="BZ3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1" s="10" t="e">
        <f>tbl_MTG_Set[[#This Row],[Collector Singles CardMarket Profit BotBox]]/tbl_MTG_Set[[#This Row],[Collector Booster Cost]]</f>
        <v>#N/A</v>
      </c>
      <c r="CC331" s="10" t="b">
        <f>tbl_MTG_Set[[#This Row],[Collector Singles CardMarket Profit BotBox]]&gt;0</f>
        <v>0</v>
      </c>
      <c r="CD3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2" spans="1:86" hidden="1">
      <c r="A332">
        <v>360</v>
      </c>
      <c r="B332" t="s">
        <v>505</v>
      </c>
      <c r="C332">
        <v>119</v>
      </c>
      <c r="D332" s="3">
        <v>44232</v>
      </c>
      <c r="E332" t="s">
        <v>59</v>
      </c>
      <c r="F332" t="s">
        <v>174</v>
      </c>
      <c r="G332">
        <v>666</v>
      </c>
      <c r="H332">
        <f ca="1">MONTH(NOW())+12*YEAR(NOW())-MONTH(tbl_MTG_Set[[#This Row],[Released On]])-12*YEAR(tbl_MTG_Set[[#This Row],[Released On]])</f>
        <v>61</v>
      </c>
      <c r="I332">
        <f>_xlfn.XLOOKUP(tbl_MTG_Set[[#This Row],[Type Name]], tbl_MTG_Set_Type[Set Type], tbl_MTG_Set_Type[Index], "(Set Type not found)")</f>
        <v>1</v>
      </c>
      <c r="J332">
        <f>_xlfn.XLOOKUP(tbl_MTG_Set[[#This Row],[Type Name]], tbl_MTG_Set_Type[Set Type], tbl_MTG_Set_Type[Buy Window Month Start], "(Set Type not found)")</f>
        <v>18</v>
      </c>
      <c r="K332" s="3">
        <f>tbl_MTG_Set[[#This Row],[Released On]]+tbl_MTG_Set[[#This Row],[Buy Window Month Start]]*365.25/12</f>
        <v>44779.875</v>
      </c>
      <c r="L332">
        <f>_xlfn.XLOOKUP(tbl_MTG_Set[[#This Row],[Type Name]], tbl_MTG_Set_Type[Set Type], tbl_MTG_Set_Type[Buy Window Month End], "(Set Type not found)", 0, 1)</f>
        <v>24</v>
      </c>
      <c r="M332" s="3">
        <f>tbl_MTG_Set[[#This Row],[Released On]]+tbl_MTG_Set[[#This Row],[Buy Window Month End]]*365.25/12</f>
        <v>44962.5</v>
      </c>
      <c r="N332" s="3" t="b">
        <f ca="1">AND(NOW()&gt;=tbl_MTG_Set[[#This Row],[Buy Window Start]], NOW()&lt;=tbl_MTG_Set[[#This Row],[Buy Window End]])</f>
        <v>0</v>
      </c>
      <c r="O332">
        <f>_xlfn.XLOOKUP(tbl_MTG_Set[[#This Row],[Type Name]], tbl_MTG_Set_Type[Set Type], tbl_MTG_Set_Type[Heavy Printing Window Month Start], "(Set Type not found)", 0, 1)</f>
        <v>1</v>
      </c>
      <c r="P332" s="3">
        <f>tbl_MTG_Set[[#This Row],[Released On]]+tbl_MTG_Set[[#This Row],[Heavy Printing Window Month Start]]*365.25/12</f>
        <v>44262.4375</v>
      </c>
      <c r="Q332">
        <f>_xlfn.XLOOKUP(tbl_MTG_Set[[#This Row],[Type Name]], tbl_MTG_Set_Type[Set Type], tbl_MTG_Set_Type[Heavy Printing Window Month End], "(Set Type not found)", 0, 1)</f>
        <v>18</v>
      </c>
      <c r="R332" s="3">
        <f>tbl_MTG_Set[[#This Row],[Released On]]+tbl_MTG_Set[[#This Row],[Heavy Printing Window Month End]]*365.25/12</f>
        <v>44779.875</v>
      </c>
      <c r="S332" s="3" t="b">
        <f ca="1">AND(NOW()&gt;=tbl_MTG_Set[[#This Row],[Heavy Printing Window Start]], NOW()&lt;=tbl_MTG_Set[[#This Row],[Heavy Printing Window End]])</f>
        <v>0</v>
      </c>
      <c r="T332">
        <f>_xlfn.XLOOKUP(tbl_MTG_Set[[#This Row],[Type Name]], tbl_MTG_Set_Type[Set Type], tbl_MTG_Set_Type[Sell Window Month Start], "(Set Type not found)", 0, 1)</f>
        <v>36</v>
      </c>
      <c r="U332" s="3">
        <f>tbl_MTG_Set[[#This Row],[Released On]]+tbl_MTG_Set[[#This Row],[Sell Window Month Start]]*365.25/12</f>
        <v>45327.75</v>
      </c>
      <c r="V332">
        <f>_xlfn.XLOOKUP(tbl_MTG_Set[[#This Row],[Type Name]], tbl_MTG_Set_Type[Set Type], tbl_MTG_Set_Type[Sell Window Month End], "(Set Type not found)", 0, 1)</f>
        <v>48</v>
      </c>
      <c r="W332" s="3">
        <f>tbl_MTG_Set[[#This Row],[Released On]]+tbl_MTG_Set[[#This Row],[Sell Window Month End]]*365.25/12</f>
        <v>45693</v>
      </c>
      <c r="X332" s="3" t="b">
        <f ca="1">AND(NOW()&gt;=tbl_MTG_Set[[#This Row],[Sell Window Start]], NOW()&lt;=tbl_MTG_Set[[#This Row],[Sell Window End]])</f>
        <v>0</v>
      </c>
      <c r="AG332" s="10"/>
      <c r="AH332" s="10"/>
      <c r="AM332" s="10" t="str" cm="1">
        <f t="array" ref="AM3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2" s="10" t="str" cm="1">
        <f t="array" ref="AN3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2" s="4" t="e">
        <f>_xlfn.XLOOKUP(tbl_MTG_Set[[#This Row],[Play Booster Box Product Id]], tbl_Product[Product Id], tbl_Product[Pack Size])</f>
        <v>#N/A</v>
      </c>
      <c r="AP332" s="10" t="e">
        <f>(tbl_MTG_Set[[#This Row],[Play Booster Box Cost]]+v_Item_Shipping_Cost_In)/tbl_MTG_Set[[#This Row],[Play Booster Box Size]]</f>
        <v>#VALUE!</v>
      </c>
      <c r="AQ332" s="10" t="str" cm="1">
        <f t="array" ref="AQ3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2" s="10"/>
      <c r="AS332" s="10"/>
      <c r="AT332" s="17" t="e">
        <f>tbl_MTG_Set[[#This Row],[Play Booster CardMarket Profit]]/tbl_MTG_Set[[#This Row],[Play Booster Cost]]</f>
        <v>#VALUE!</v>
      </c>
      <c r="AU332" s="10" t="e">
        <f>_xlfn.XLOOKUP(tbl_MTG_Set[[#This Row],[Collector Booster Box Product Id]], tbl_Product[Product Id], tbl_Product[Min Cost])</f>
        <v>#N/A</v>
      </c>
      <c r="AV332" s="10" t="e">
        <f>_xlfn.XLOOKUP(tbl_MTG_Set[[#This Row],[Collector Booster Box Product Id]], tbl_Product[Product Id], tbl_Product[Best Source])</f>
        <v>#N/A</v>
      </c>
      <c r="AW332" s="4" t="e">
        <f>_xlfn.XLOOKUP(tbl_MTG_Set[[#This Row],[Collector Booster Box Product Id]], tbl_Product[Product Id], tbl_Product[Pack Size])</f>
        <v>#N/A</v>
      </c>
      <c r="AX332" s="10" t="e">
        <f>(tbl_MTG_Set[[#This Row],[Collector Booster Box Cost]] + v_Item_Shipping_Cost_In) / tbl_MTG_Set[[#This Row],[Collector Booster Box Size]]</f>
        <v>#N/A</v>
      </c>
      <c r="AY332" s="10" t="str" cm="1">
        <f t="array" ref="AY3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2" s="10"/>
      <c r="BA3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2" s="17" t="e">
        <f>tbl_MTG_Set[[#This Row],[Collector Booster CardMarket Profit]]/tbl_MTG_Set[[#This Row],[Collector Booster Cost]]</f>
        <v>#N/A</v>
      </c>
      <c r="BC332" s="10"/>
      <c r="BF3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2" s="11" t="e">
        <f>tbl_MTG_Set[[#This Row],[Play Singles CardMarket Profit MTG Stocks]]/tbl_MTG_Set[[#This Row],[Play Booster Cost]]</f>
        <v>#VALUE!</v>
      </c>
      <c r="BI332" s="11" t="b">
        <f>tbl_MTG_Set[[#This Row],[Play Singles CardMarket Profit MTG Stocks]]&gt;0</f>
        <v>0</v>
      </c>
      <c r="BM332" s="10" t="e">
        <f>tbl_MTG_Set[[#This Row],[Play Booster Sell Price CardMarket]]*tbl_MTG_Set[[#This Row],[Play Booster Expected Market Value BotBox]]/tbl_MTG_Set[[#This Row],[Play Booster Sealed Market Value BotBox]]</f>
        <v>#VALUE!</v>
      </c>
      <c r="BN3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2" s="10" t="e">
        <f>tbl_MTG_Set[[#This Row],[Play Singles CardMarket Profit BotBox]]/tbl_MTG_Set[[#This Row],[Play Booster Cost]]</f>
        <v>#VALUE!</v>
      </c>
      <c r="BP332" s="10" t="b">
        <f>tbl_MTG_Set[[#This Row],[Play Singles CardMarket Profit BotBox]]&gt;0</f>
        <v>0</v>
      </c>
      <c r="BQ332" s="10"/>
      <c r="BR332" s="10"/>
      <c r="BS332" s="10"/>
      <c r="BT3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2" s="19" t="e">
        <f>tbl_MTG_Set[[#This Row],[Collector Singles CardMarket Profit MTG Stocks]]/tbl_MTG_Set[[#This Row],[Collector Booster Cost]]</f>
        <v>#N/A</v>
      </c>
      <c r="BW332" s="10" t="b">
        <f>tbl_MTG_Set[[#This Row],[Collector Singles CardMarket Profit MTG Stocks]]&gt;0</f>
        <v>0</v>
      </c>
      <c r="BX332" s="10"/>
      <c r="BY332" s="10"/>
      <c r="BZ3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2" s="10" t="e">
        <f>tbl_MTG_Set[[#This Row],[Collector Singles CardMarket Profit BotBox]]/tbl_MTG_Set[[#This Row],[Collector Booster Cost]]</f>
        <v>#N/A</v>
      </c>
      <c r="CC332" s="10" t="b">
        <f>tbl_MTG_Set[[#This Row],[Collector Singles CardMarket Profit BotBox]]&gt;0</f>
        <v>0</v>
      </c>
      <c r="CD3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3" spans="1:86" hidden="1">
      <c r="A333">
        <v>361</v>
      </c>
      <c r="B333" t="s">
        <v>506</v>
      </c>
      <c r="C333">
        <v>8</v>
      </c>
      <c r="D333" s="3">
        <v>44232</v>
      </c>
      <c r="E333" t="s">
        <v>59</v>
      </c>
      <c r="F333" t="s">
        <v>174</v>
      </c>
      <c r="G333">
        <v>668</v>
      </c>
      <c r="H333">
        <f ca="1">MONTH(NOW())+12*YEAR(NOW())-MONTH(tbl_MTG_Set[[#This Row],[Released On]])-12*YEAR(tbl_MTG_Set[[#This Row],[Released On]])</f>
        <v>61</v>
      </c>
      <c r="I333">
        <f>_xlfn.XLOOKUP(tbl_MTG_Set[[#This Row],[Type Name]], tbl_MTG_Set_Type[Set Type], tbl_MTG_Set_Type[Index], "(Set Type not found)")</f>
        <v>1</v>
      </c>
      <c r="J333">
        <f>_xlfn.XLOOKUP(tbl_MTG_Set[[#This Row],[Type Name]], tbl_MTG_Set_Type[Set Type], tbl_MTG_Set_Type[Buy Window Month Start], "(Set Type not found)")</f>
        <v>18</v>
      </c>
      <c r="K333" s="3">
        <f>tbl_MTG_Set[[#This Row],[Released On]]+tbl_MTG_Set[[#This Row],[Buy Window Month Start]]*365.25/12</f>
        <v>44779.875</v>
      </c>
      <c r="L333">
        <f>_xlfn.XLOOKUP(tbl_MTG_Set[[#This Row],[Type Name]], tbl_MTG_Set_Type[Set Type], tbl_MTG_Set_Type[Buy Window Month End], "(Set Type not found)", 0, 1)</f>
        <v>24</v>
      </c>
      <c r="M333" s="3">
        <f>tbl_MTG_Set[[#This Row],[Released On]]+tbl_MTG_Set[[#This Row],[Buy Window Month End]]*365.25/12</f>
        <v>44962.5</v>
      </c>
      <c r="N333" s="3" t="b">
        <f ca="1">AND(NOW()&gt;=tbl_MTG_Set[[#This Row],[Buy Window Start]], NOW()&lt;=tbl_MTG_Set[[#This Row],[Buy Window End]])</f>
        <v>0</v>
      </c>
      <c r="O333">
        <f>_xlfn.XLOOKUP(tbl_MTG_Set[[#This Row],[Type Name]], tbl_MTG_Set_Type[Set Type], tbl_MTG_Set_Type[Heavy Printing Window Month Start], "(Set Type not found)", 0, 1)</f>
        <v>1</v>
      </c>
      <c r="P333" s="3">
        <f>tbl_MTG_Set[[#This Row],[Released On]]+tbl_MTG_Set[[#This Row],[Heavy Printing Window Month Start]]*365.25/12</f>
        <v>44262.4375</v>
      </c>
      <c r="Q333">
        <f>_xlfn.XLOOKUP(tbl_MTG_Set[[#This Row],[Type Name]], tbl_MTG_Set_Type[Set Type], tbl_MTG_Set_Type[Heavy Printing Window Month End], "(Set Type not found)", 0, 1)</f>
        <v>18</v>
      </c>
      <c r="R333" s="3">
        <f>tbl_MTG_Set[[#This Row],[Released On]]+tbl_MTG_Set[[#This Row],[Heavy Printing Window Month End]]*365.25/12</f>
        <v>44779.875</v>
      </c>
      <c r="S333" s="3" t="b">
        <f ca="1">AND(NOW()&gt;=tbl_MTG_Set[[#This Row],[Heavy Printing Window Start]], NOW()&lt;=tbl_MTG_Set[[#This Row],[Heavy Printing Window End]])</f>
        <v>0</v>
      </c>
      <c r="T333">
        <f>_xlfn.XLOOKUP(tbl_MTG_Set[[#This Row],[Type Name]], tbl_MTG_Set_Type[Set Type], tbl_MTG_Set_Type[Sell Window Month Start], "(Set Type not found)", 0, 1)</f>
        <v>36</v>
      </c>
      <c r="U333" s="3">
        <f>tbl_MTG_Set[[#This Row],[Released On]]+tbl_MTG_Set[[#This Row],[Sell Window Month Start]]*365.25/12</f>
        <v>45327.75</v>
      </c>
      <c r="V333">
        <f>_xlfn.XLOOKUP(tbl_MTG_Set[[#This Row],[Type Name]], tbl_MTG_Set_Type[Set Type], tbl_MTG_Set_Type[Sell Window Month End], "(Set Type not found)", 0, 1)</f>
        <v>48</v>
      </c>
      <c r="W333" s="3">
        <f>tbl_MTG_Set[[#This Row],[Released On]]+tbl_MTG_Set[[#This Row],[Sell Window Month End]]*365.25/12</f>
        <v>45693</v>
      </c>
      <c r="X333" s="3" t="b">
        <f ca="1">AND(NOW()&gt;=tbl_MTG_Set[[#This Row],[Sell Window Start]], NOW()&lt;=tbl_MTG_Set[[#This Row],[Sell Window End]])</f>
        <v>0</v>
      </c>
      <c r="AG333" s="10"/>
      <c r="AH333" s="10"/>
      <c r="AM333" s="10" t="str" cm="1">
        <f t="array" ref="AM3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3" s="10" t="str" cm="1">
        <f t="array" ref="AN3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3" s="4" t="e">
        <f>_xlfn.XLOOKUP(tbl_MTG_Set[[#This Row],[Play Booster Box Product Id]], tbl_Product[Product Id], tbl_Product[Pack Size])</f>
        <v>#N/A</v>
      </c>
      <c r="AP333" s="10" t="e">
        <f>(tbl_MTG_Set[[#This Row],[Play Booster Box Cost]]+v_Item_Shipping_Cost_In)/tbl_MTG_Set[[#This Row],[Play Booster Box Size]]</f>
        <v>#VALUE!</v>
      </c>
      <c r="AQ333" s="10" t="str" cm="1">
        <f t="array" ref="AQ3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3" s="10"/>
      <c r="AS333" s="10"/>
      <c r="AT333" s="17" t="e">
        <f>tbl_MTG_Set[[#This Row],[Play Booster CardMarket Profit]]/tbl_MTG_Set[[#This Row],[Play Booster Cost]]</f>
        <v>#VALUE!</v>
      </c>
      <c r="AU333" s="10" t="e">
        <f>_xlfn.XLOOKUP(tbl_MTG_Set[[#This Row],[Collector Booster Box Product Id]], tbl_Product[Product Id], tbl_Product[Min Cost])</f>
        <v>#N/A</v>
      </c>
      <c r="AV333" s="10" t="e">
        <f>_xlfn.XLOOKUP(tbl_MTG_Set[[#This Row],[Collector Booster Box Product Id]], tbl_Product[Product Id], tbl_Product[Best Source])</f>
        <v>#N/A</v>
      </c>
      <c r="AW333" s="4" t="e">
        <f>_xlfn.XLOOKUP(tbl_MTG_Set[[#This Row],[Collector Booster Box Product Id]], tbl_Product[Product Id], tbl_Product[Pack Size])</f>
        <v>#N/A</v>
      </c>
      <c r="AX333" s="10" t="e">
        <f>(tbl_MTG_Set[[#This Row],[Collector Booster Box Cost]] + v_Item_Shipping_Cost_In) / tbl_MTG_Set[[#This Row],[Collector Booster Box Size]]</f>
        <v>#N/A</v>
      </c>
      <c r="AY333" s="10" t="str" cm="1">
        <f t="array" ref="AY3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3" s="10"/>
      <c r="BA3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3" s="17" t="e">
        <f>tbl_MTG_Set[[#This Row],[Collector Booster CardMarket Profit]]/tbl_MTG_Set[[#This Row],[Collector Booster Cost]]</f>
        <v>#N/A</v>
      </c>
      <c r="BC333" s="10"/>
      <c r="BF3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3" s="11" t="e">
        <f>tbl_MTG_Set[[#This Row],[Play Singles CardMarket Profit MTG Stocks]]/tbl_MTG_Set[[#This Row],[Play Booster Cost]]</f>
        <v>#VALUE!</v>
      </c>
      <c r="BI333" s="11" t="b">
        <f>tbl_MTG_Set[[#This Row],[Play Singles CardMarket Profit MTG Stocks]]&gt;0</f>
        <v>0</v>
      </c>
      <c r="BM333" s="10" t="e">
        <f>tbl_MTG_Set[[#This Row],[Play Booster Sell Price CardMarket]]*tbl_MTG_Set[[#This Row],[Play Booster Expected Market Value BotBox]]/tbl_MTG_Set[[#This Row],[Play Booster Sealed Market Value BotBox]]</f>
        <v>#VALUE!</v>
      </c>
      <c r="BN3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3" s="10" t="e">
        <f>tbl_MTG_Set[[#This Row],[Play Singles CardMarket Profit BotBox]]/tbl_MTG_Set[[#This Row],[Play Booster Cost]]</f>
        <v>#VALUE!</v>
      </c>
      <c r="BP333" s="10" t="b">
        <f>tbl_MTG_Set[[#This Row],[Play Singles CardMarket Profit BotBox]]&gt;0</f>
        <v>0</v>
      </c>
      <c r="BQ333" s="10"/>
      <c r="BR333" s="10"/>
      <c r="BS333" s="10"/>
      <c r="BT3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3" s="19" t="e">
        <f>tbl_MTG_Set[[#This Row],[Collector Singles CardMarket Profit MTG Stocks]]/tbl_MTG_Set[[#This Row],[Collector Booster Cost]]</f>
        <v>#N/A</v>
      </c>
      <c r="BW333" s="10" t="b">
        <f>tbl_MTG_Set[[#This Row],[Collector Singles CardMarket Profit MTG Stocks]]&gt;0</f>
        <v>0</v>
      </c>
      <c r="BX333" s="10"/>
      <c r="BY333" s="10"/>
      <c r="BZ3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3" s="10" t="e">
        <f>tbl_MTG_Set[[#This Row],[Collector Singles CardMarket Profit BotBox]]/tbl_MTG_Set[[#This Row],[Collector Booster Cost]]</f>
        <v>#N/A</v>
      </c>
      <c r="CC333" s="10" t="b">
        <f>tbl_MTG_Set[[#This Row],[Collector Singles CardMarket Profit BotBox]]&gt;0</f>
        <v>0</v>
      </c>
      <c r="CD3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4" spans="1:86" hidden="1">
      <c r="A334">
        <v>362</v>
      </c>
      <c r="B334" t="s">
        <v>507</v>
      </c>
      <c r="C334">
        <v>81</v>
      </c>
      <c r="D334" s="3">
        <v>44232</v>
      </c>
      <c r="E334" t="s">
        <v>59</v>
      </c>
      <c r="F334" t="s">
        <v>174</v>
      </c>
      <c r="G334">
        <v>670</v>
      </c>
      <c r="H334">
        <f ca="1">MONTH(NOW())+12*YEAR(NOW())-MONTH(tbl_MTG_Set[[#This Row],[Released On]])-12*YEAR(tbl_MTG_Set[[#This Row],[Released On]])</f>
        <v>61</v>
      </c>
      <c r="I334">
        <f>_xlfn.XLOOKUP(tbl_MTG_Set[[#This Row],[Type Name]], tbl_MTG_Set_Type[Set Type], tbl_MTG_Set_Type[Index], "(Set Type not found)")</f>
        <v>1</v>
      </c>
      <c r="J334">
        <f>_xlfn.XLOOKUP(tbl_MTG_Set[[#This Row],[Type Name]], tbl_MTG_Set_Type[Set Type], tbl_MTG_Set_Type[Buy Window Month Start], "(Set Type not found)")</f>
        <v>18</v>
      </c>
      <c r="K334" s="3">
        <f>tbl_MTG_Set[[#This Row],[Released On]]+tbl_MTG_Set[[#This Row],[Buy Window Month Start]]*365.25/12</f>
        <v>44779.875</v>
      </c>
      <c r="L334">
        <f>_xlfn.XLOOKUP(tbl_MTG_Set[[#This Row],[Type Name]], tbl_MTG_Set_Type[Set Type], tbl_MTG_Set_Type[Buy Window Month End], "(Set Type not found)", 0, 1)</f>
        <v>24</v>
      </c>
      <c r="M334" s="3">
        <f>tbl_MTG_Set[[#This Row],[Released On]]+tbl_MTG_Set[[#This Row],[Buy Window Month End]]*365.25/12</f>
        <v>44962.5</v>
      </c>
      <c r="N334" s="3" t="b">
        <f ca="1">AND(NOW()&gt;=tbl_MTG_Set[[#This Row],[Buy Window Start]], NOW()&lt;=tbl_MTG_Set[[#This Row],[Buy Window End]])</f>
        <v>0</v>
      </c>
      <c r="O334">
        <f>_xlfn.XLOOKUP(tbl_MTG_Set[[#This Row],[Type Name]], tbl_MTG_Set_Type[Set Type], tbl_MTG_Set_Type[Heavy Printing Window Month Start], "(Set Type not found)", 0, 1)</f>
        <v>1</v>
      </c>
      <c r="P334" s="3">
        <f>tbl_MTG_Set[[#This Row],[Released On]]+tbl_MTG_Set[[#This Row],[Heavy Printing Window Month Start]]*365.25/12</f>
        <v>44262.4375</v>
      </c>
      <c r="Q334">
        <f>_xlfn.XLOOKUP(tbl_MTG_Set[[#This Row],[Type Name]], tbl_MTG_Set_Type[Set Type], tbl_MTG_Set_Type[Heavy Printing Window Month End], "(Set Type not found)", 0, 1)</f>
        <v>18</v>
      </c>
      <c r="R334" s="3">
        <f>tbl_MTG_Set[[#This Row],[Released On]]+tbl_MTG_Set[[#This Row],[Heavy Printing Window Month End]]*365.25/12</f>
        <v>44779.875</v>
      </c>
      <c r="S334" s="3" t="b">
        <f ca="1">AND(NOW()&gt;=tbl_MTG_Set[[#This Row],[Heavy Printing Window Start]], NOW()&lt;=tbl_MTG_Set[[#This Row],[Heavy Printing Window End]])</f>
        <v>0</v>
      </c>
      <c r="T334">
        <f>_xlfn.XLOOKUP(tbl_MTG_Set[[#This Row],[Type Name]], tbl_MTG_Set_Type[Set Type], tbl_MTG_Set_Type[Sell Window Month Start], "(Set Type not found)", 0, 1)</f>
        <v>36</v>
      </c>
      <c r="U334" s="3">
        <f>tbl_MTG_Set[[#This Row],[Released On]]+tbl_MTG_Set[[#This Row],[Sell Window Month Start]]*365.25/12</f>
        <v>45327.75</v>
      </c>
      <c r="V334">
        <f>_xlfn.XLOOKUP(tbl_MTG_Set[[#This Row],[Type Name]], tbl_MTG_Set_Type[Set Type], tbl_MTG_Set_Type[Sell Window Month End], "(Set Type not found)", 0, 1)</f>
        <v>48</v>
      </c>
      <c r="W334" s="3">
        <f>tbl_MTG_Set[[#This Row],[Released On]]+tbl_MTG_Set[[#This Row],[Sell Window Month End]]*365.25/12</f>
        <v>45693</v>
      </c>
      <c r="X334" s="3" t="b">
        <f ca="1">AND(NOW()&gt;=tbl_MTG_Set[[#This Row],[Sell Window Start]], NOW()&lt;=tbl_MTG_Set[[#This Row],[Sell Window End]])</f>
        <v>0</v>
      </c>
      <c r="AG334" s="10"/>
      <c r="AH334" s="10"/>
      <c r="AM334" s="10" t="str" cm="1">
        <f t="array" ref="AM3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4" s="10" t="str" cm="1">
        <f t="array" ref="AN3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4" s="4" t="e">
        <f>_xlfn.XLOOKUP(tbl_MTG_Set[[#This Row],[Play Booster Box Product Id]], tbl_Product[Product Id], tbl_Product[Pack Size])</f>
        <v>#N/A</v>
      </c>
      <c r="AP334" s="10" t="e">
        <f>(tbl_MTG_Set[[#This Row],[Play Booster Box Cost]]+v_Item_Shipping_Cost_In)/tbl_MTG_Set[[#This Row],[Play Booster Box Size]]</f>
        <v>#VALUE!</v>
      </c>
      <c r="AQ334" s="10" t="str" cm="1">
        <f t="array" ref="AQ3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4" s="10"/>
      <c r="AS334" s="10"/>
      <c r="AT334" s="17" t="e">
        <f>tbl_MTG_Set[[#This Row],[Play Booster CardMarket Profit]]/tbl_MTG_Set[[#This Row],[Play Booster Cost]]</f>
        <v>#VALUE!</v>
      </c>
      <c r="AU334" s="10" t="e">
        <f>_xlfn.XLOOKUP(tbl_MTG_Set[[#This Row],[Collector Booster Box Product Id]], tbl_Product[Product Id], tbl_Product[Min Cost])</f>
        <v>#N/A</v>
      </c>
      <c r="AV334" s="10" t="e">
        <f>_xlfn.XLOOKUP(tbl_MTG_Set[[#This Row],[Collector Booster Box Product Id]], tbl_Product[Product Id], tbl_Product[Best Source])</f>
        <v>#N/A</v>
      </c>
      <c r="AW334" s="4" t="e">
        <f>_xlfn.XLOOKUP(tbl_MTG_Set[[#This Row],[Collector Booster Box Product Id]], tbl_Product[Product Id], tbl_Product[Pack Size])</f>
        <v>#N/A</v>
      </c>
      <c r="AX334" s="10" t="e">
        <f>(tbl_MTG_Set[[#This Row],[Collector Booster Box Cost]] + v_Item_Shipping_Cost_In) / tbl_MTG_Set[[#This Row],[Collector Booster Box Size]]</f>
        <v>#N/A</v>
      </c>
      <c r="AY334" s="10" t="str" cm="1">
        <f t="array" ref="AY3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4" s="10"/>
      <c r="BA3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4" s="17" t="e">
        <f>tbl_MTG_Set[[#This Row],[Collector Booster CardMarket Profit]]/tbl_MTG_Set[[#This Row],[Collector Booster Cost]]</f>
        <v>#N/A</v>
      </c>
      <c r="BC334" s="10"/>
      <c r="BF3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4" s="11" t="e">
        <f>tbl_MTG_Set[[#This Row],[Play Singles CardMarket Profit MTG Stocks]]/tbl_MTG_Set[[#This Row],[Play Booster Cost]]</f>
        <v>#VALUE!</v>
      </c>
      <c r="BI334" s="11" t="b">
        <f>tbl_MTG_Set[[#This Row],[Play Singles CardMarket Profit MTG Stocks]]&gt;0</f>
        <v>0</v>
      </c>
      <c r="BM334" s="10" t="e">
        <f>tbl_MTG_Set[[#This Row],[Play Booster Sell Price CardMarket]]*tbl_MTG_Set[[#This Row],[Play Booster Expected Market Value BotBox]]/tbl_MTG_Set[[#This Row],[Play Booster Sealed Market Value BotBox]]</f>
        <v>#VALUE!</v>
      </c>
      <c r="BN3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4" s="10" t="e">
        <f>tbl_MTG_Set[[#This Row],[Play Singles CardMarket Profit BotBox]]/tbl_MTG_Set[[#This Row],[Play Booster Cost]]</f>
        <v>#VALUE!</v>
      </c>
      <c r="BP334" s="10" t="b">
        <f>tbl_MTG_Set[[#This Row],[Play Singles CardMarket Profit BotBox]]&gt;0</f>
        <v>0</v>
      </c>
      <c r="BQ334" s="10"/>
      <c r="BR334" s="10"/>
      <c r="BS334" s="10"/>
      <c r="BT3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4" s="19" t="e">
        <f>tbl_MTG_Set[[#This Row],[Collector Singles CardMarket Profit MTG Stocks]]/tbl_MTG_Set[[#This Row],[Collector Booster Cost]]</f>
        <v>#N/A</v>
      </c>
      <c r="BW334" s="10" t="b">
        <f>tbl_MTG_Set[[#This Row],[Collector Singles CardMarket Profit MTG Stocks]]&gt;0</f>
        <v>0</v>
      </c>
      <c r="BX334" s="10"/>
      <c r="BY334" s="10"/>
      <c r="BZ3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4" s="10" t="e">
        <f>tbl_MTG_Set[[#This Row],[Collector Singles CardMarket Profit BotBox]]/tbl_MTG_Set[[#This Row],[Collector Booster Cost]]</f>
        <v>#N/A</v>
      </c>
      <c r="CC334" s="10" t="b">
        <f>tbl_MTG_Set[[#This Row],[Collector Singles CardMarket Profit BotBox]]&gt;0</f>
        <v>0</v>
      </c>
      <c r="CD3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5" spans="1:86" hidden="1">
      <c r="A335">
        <v>363</v>
      </c>
      <c r="B335" t="s">
        <v>508</v>
      </c>
      <c r="C335">
        <v>6</v>
      </c>
      <c r="D335" s="3">
        <v>44221</v>
      </c>
      <c r="F335" t="s">
        <v>174</v>
      </c>
      <c r="G335">
        <v>672</v>
      </c>
      <c r="H335">
        <f ca="1">MONTH(NOW())+12*YEAR(NOW())-MONTH(tbl_MTG_Set[[#This Row],[Released On]])-12*YEAR(tbl_MTG_Set[[#This Row],[Released On]])</f>
        <v>62</v>
      </c>
      <c r="I335" t="str">
        <f>_xlfn.XLOOKUP(tbl_MTG_Set[[#This Row],[Type Name]], tbl_MTG_Set_Type[Set Type], tbl_MTG_Set_Type[Index], "(Set Type not found)")</f>
        <v>(Set Type not found)</v>
      </c>
      <c r="J335" t="str">
        <f>_xlfn.XLOOKUP(tbl_MTG_Set[[#This Row],[Type Name]], tbl_MTG_Set_Type[Set Type], tbl_MTG_Set_Type[Buy Window Month Start], "(Set Type not found)")</f>
        <v>(Set Type not found)</v>
      </c>
      <c r="K335" s="3" t="e">
        <f>tbl_MTG_Set[[#This Row],[Released On]]+tbl_MTG_Set[[#This Row],[Buy Window Month Start]]*365.25/12</f>
        <v>#VALUE!</v>
      </c>
      <c r="L335" t="str">
        <f>_xlfn.XLOOKUP(tbl_MTG_Set[[#This Row],[Type Name]], tbl_MTG_Set_Type[Set Type], tbl_MTG_Set_Type[Buy Window Month End], "(Set Type not found)", 0, 1)</f>
        <v>(Set Type not found)</v>
      </c>
      <c r="M335" s="3" t="e">
        <f>tbl_MTG_Set[[#This Row],[Released On]]+tbl_MTG_Set[[#This Row],[Buy Window Month End]]*365.25/12</f>
        <v>#VALUE!</v>
      </c>
      <c r="N335" s="3" t="e">
        <f ca="1">AND(NOW()&gt;=tbl_MTG_Set[[#This Row],[Buy Window Start]], NOW()&lt;=tbl_MTG_Set[[#This Row],[Buy Window End]])</f>
        <v>#VALUE!</v>
      </c>
      <c r="O335" t="str">
        <f>_xlfn.XLOOKUP(tbl_MTG_Set[[#This Row],[Type Name]], tbl_MTG_Set_Type[Set Type], tbl_MTG_Set_Type[Heavy Printing Window Month Start], "(Set Type not found)", 0, 1)</f>
        <v>(Set Type not found)</v>
      </c>
      <c r="P335" s="3" t="e">
        <f>tbl_MTG_Set[[#This Row],[Released On]]+tbl_MTG_Set[[#This Row],[Heavy Printing Window Month Start]]*365.25/12</f>
        <v>#VALUE!</v>
      </c>
      <c r="Q335" t="str">
        <f>_xlfn.XLOOKUP(tbl_MTG_Set[[#This Row],[Type Name]], tbl_MTG_Set_Type[Set Type], tbl_MTG_Set_Type[Heavy Printing Window Month End], "(Set Type not found)", 0, 1)</f>
        <v>(Set Type not found)</v>
      </c>
      <c r="R335" s="3" t="e">
        <f>tbl_MTG_Set[[#This Row],[Released On]]+tbl_MTG_Set[[#This Row],[Heavy Printing Window Month End]]*365.25/12</f>
        <v>#VALUE!</v>
      </c>
      <c r="S335" s="3" t="e">
        <f ca="1">AND(NOW()&gt;=tbl_MTG_Set[[#This Row],[Heavy Printing Window Start]], NOW()&lt;=tbl_MTG_Set[[#This Row],[Heavy Printing Window End]])</f>
        <v>#VALUE!</v>
      </c>
      <c r="T335" t="str">
        <f>_xlfn.XLOOKUP(tbl_MTG_Set[[#This Row],[Type Name]], tbl_MTG_Set_Type[Set Type], tbl_MTG_Set_Type[Sell Window Month Start], "(Set Type not found)", 0, 1)</f>
        <v>(Set Type not found)</v>
      </c>
      <c r="U335" s="3" t="e">
        <f>tbl_MTG_Set[[#This Row],[Released On]]+tbl_MTG_Set[[#This Row],[Sell Window Month Start]]*365.25/12</f>
        <v>#VALUE!</v>
      </c>
      <c r="V335" t="str">
        <f>_xlfn.XLOOKUP(tbl_MTG_Set[[#This Row],[Type Name]], tbl_MTG_Set_Type[Set Type], tbl_MTG_Set_Type[Sell Window Month End], "(Set Type not found)", 0, 1)</f>
        <v>(Set Type not found)</v>
      </c>
      <c r="W335" s="3" t="e">
        <f>tbl_MTG_Set[[#This Row],[Released On]]+tbl_MTG_Set[[#This Row],[Sell Window Month End]]*365.25/12</f>
        <v>#VALUE!</v>
      </c>
      <c r="X335" s="3" t="e">
        <f ca="1">AND(NOW()&gt;=tbl_MTG_Set[[#This Row],[Sell Window Start]], NOW()&lt;=tbl_MTG_Set[[#This Row],[Sell Window End]])</f>
        <v>#VALUE!</v>
      </c>
      <c r="AG335" s="10"/>
      <c r="AH335" s="10"/>
      <c r="AM335" s="10" t="str" cm="1">
        <f t="array" ref="AM3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5" s="10" t="str" cm="1">
        <f t="array" ref="AN3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5" s="4" t="e">
        <f>_xlfn.XLOOKUP(tbl_MTG_Set[[#This Row],[Play Booster Box Product Id]], tbl_Product[Product Id], tbl_Product[Pack Size])</f>
        <v>#N/A</v>
      </c>
      <c r="AP335" s="10" t="e">
        <f>(tbl_MTG_Set[[#This Row],[Play Booster Box Cost]]+v_Item_Shipping_Cost_In)/tbl_MTG_Set[[#This Row],[Play Booster Box Size]]</f>
        <v>#VALUE!</v>
      </c>
      <c r="AQ335" s="10" t="str" cm="1">
        <f t="array" ref="AQ3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5" s="10"/>
      <c r="AS335" s="10"/>
      <c r="AT335" s="17" t="e">
        <f>tbl_MTG_Set[[#This Row],[Play Booster CardMarket Profit]]/tbl_MTG_Set[[#This Row],[Play Booster Cost]]</f>
        <v>#VALUE!</v>
      </c>
      <c r="AU335" s="10" t="e">
        <f>_xlfn.XLOOKUP(tbl_MTG_Set[[#This Row],[Collector Booster Box Product Id]], tbl_Product[Product Id], tbl_Product[Min Cost])</f>
        <v>#N/A</v>
      </c>
      <c r="AV335" s="10" t="e">
        <f>_xlfn.XLOOKUP(tbl_MTG_Set[[#This Row],[Collector Booster Box Product Id]], tbl_Product[Product Id], tbl_Product[Best Source])</f>
        <v>#N/A</v>
      </c>
      <c r="AW335" s="4" t="e">
        <f>_xlfn.XLOOKUP(tbl_MTG_Set[[#This Row],[Collector Booster Box Product Id]], tbl_Product[Product Id], tbl_Product[Pack Size])</f>
        <v>#N/A</v>
      </c>
      <c r="AX335" s="10" t="e">
        <f>(tbl_MTG_Set[[#This Row],[Collector Booster Box Cost]] + v_Item_Shipping_Cost_In) / tbl_MTG_Set[[#This Row],[Collector Booster Box Size]]</f>
        <v>#N/A</v>
      </c>
      <c r="AY335" s="10" t="str" cm="1">
        <f t="array" ref="AY3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5" s="10"/>
      <c r="BA3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5" s="17" t="e">
        <f>tbl_MTG_Set[[#This Row],[Collector Booster CardMarket Profit]]/tbl_MTG_Set[[#This Row],[Collector Booster Cost]]</f>
        <v>#N/A</v>
      </c>
      <c r="BC335" s="10"/>
      <c r="BF3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5" s="11" t="e">
        <f>tbl_MTG_Set[[#This Row],[Play Singles CardMarket Profit MTG Stocks]]/tbl_MTG_Set[[#This Row],[Play Booster Cost]]</f>
        <v>#VALUE!</v>
      </c>
      <c r="BI335" s="11" t="b">
        <f>tbl_MTG_Set[[#This Row],[Play Singles CardMarket Profit MTG Stocks]]&gt;0</f>
        <v>0</v>
      </c>
      <c r="BM335" s="10" t="e">
        <f>tbl_MTG_Set[[#This Row],[Play Booster Sell Price CardMarket]]*tbl_MTG_Set[[#This Row],[Play Booster Expected Market Value BotBox]]/tbl_MTG_Set[[#This Row],[Play Booster Sealed Market Value BotBox]]</f>
        <v>#VALUE!</v>
      </c>
      <c r="BN3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5" s="10" t="e">
        <f>tbl_MTG_Set[[#This Row],[Play Singles CardMarket Profit BotBox]]/tbl_MTG_Set[[#This Row],[Play Booster Cost]]</f>
        <v>#VALUE!</v>
      </c>
      <c r="BP335" s="10" t="b">
        <f>tbl_MTG_Set[[#This Row],[Play Singles CardMarket Profit BotBox]]&gt;0</f>
        <v>0</v>
      </c>
      <c r="BQ335" s="10"/>
      <c r="BR335" s="10"/>
      <c r="BS335" s="10"/>
      <c r="BT3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5" s="19" t="e">
        <f>tbl_MTG_Set[[#This Row],[Collector Singles CardMarket Profit MTG Stocks]]/tbl_MTG_Set[[#This Row],[Collector Booster Cost]]</f>
        <v>#N/A</v>
      </c>
      <c r="BW335" s="10" t="b">
        <f>tbl_MTG_Set[[#This Row],[Collector Singles CardMarket Profit MTG Stocks]]&gt;0</f>
        <v>0</v>
      </c>
      <c r="BX335" s="10"/>
      <c r="BY335" s="10"/>
      <c r="BZ3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5" s="10" t="e">
        <f>tbl_MTG_Set[[#This Row],[Collector Singles CardMarket Profit BotBox]]/tbl_MTG_Set[[#This Row],[Collector Booster Cost]]</f>
        <v>#N/A</v>
      </c>
      <c r="CC335" s="10" t="b">
        <f>tbl_MTG_Set[[#This Row],[Collector Singles CardMarket Profit BotBox]]&gt;0</f>
        <v>0</v>
      </c>
      <c r="CD3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6" spans="1:86" hidden="1">
      <c r="A336">
        <v>364</v>
      </c>
      <c r="B336" t="s">
        <v>509</v>
      </c>
      <c r="C336">
        <v>10</v>
      </c>
      <c r="D336" s="3">
        <v>44197</v>
      </c>
      <c r="F336" t="s">
        <v>174</v>
      </c>
      <c r="G336">
        <v>674</v>
      </c>
      <c r="H336">
        <f ca="1">MONTH(NOW())+12*YEAR(NOW())-MONTH(tbl_MTG_Set[[#This Row],[Released On]])-12*YEAR(tbl_MTG_Set[[#This Row],[Released On]])</f>
        <v>62</v>
      </c>
      <c r="I336" t="str">
        <f>_xlfn.XLOOKUP(tbl_MTG_Set[[#This Row],[Type Name]], tbl_MTG_Set_Type[Set Type], tbl_MTG_Set_Type[Index], "(Set Type not found)")</f>
        <v>(Set Type not found)</v>
      </c>
      <c r="J336" t="str">
        <f>_xlfn.XLOOKUP(tbl_MTG_Set[[#This Row],[Type Name]], tbl_MTG_Set_Type[Set Type], tbl_MTG_Set_Type[Buy Window Month Start], "(Set Type not found)")</f>
        <v>(Set Type not found)</v>
      </c>
      <c r="K336" s="3" t="e">
        <f>tbl_MTG_Set[[#This Row],[Released On]]+tbl_MTG_Set[[#This Row],[Buy Window Month Start]]*365.25/12</f>
        <v>#VALUE!</v>
      </c>
      <c r="L336" t="str">
        <f>_xlfn.XLOOKUP(tbl_MTG_Set[[#This Row],[Type Name]], tbl_MTG_Set_Type[Set Type], tbl_MTG_Set_Type[Buy Window Month End], "(Set Type not found)", 0, 1)</f>
        <v>(Set Type not found)</v>
      </c>
      <c r="M336" s="3" t="e">
        <f>tbl_MTG_Set[[#This Row],[Released On]]+tbl_MTG_Set[[#This Row],[Buy Window Month End]]*365.25/12</f>
        <v>#VALUE!</v>
      </c>
      <c r="N336" s="3" t="e">
        <f ca="1">AND(NOW()&gt;=tbl_MTG_Set[[#This Row],[Buy Window Start]], NOW()&lt;=tbl_MTG_Set[[#This Row],[Buy Window End]])</f>
        <v>#VALUE!</v>
      </c>
      <c r="O336" t="str">
        <f>_xlfn.XLOOKUP(tbl_MTG_Set[[#This Row],[Type Name]], tbl_MTG_Set_Type[Set Type], tbl_MTG_Set_Type[Heavy Printing Window Month Start], "(Set Type not found)", 0, 1)</f>
        <v>(Set Type not found)</v>
      </c>
      <c r="P336" s="3" t="e">
        <f>tbl_MTG_Set[[#This Row],[Released On]]+tbl_MTG_Set[[#This Row],[Heavy Printing Window Month Start]]*365.25/12</f>
        <v>#VALUE!</v>
      </c>
      <c r="Q336" t="str">
        <f>_xlfn.XLOOKUP(tbl_MTG_Set[[#This Row],[Type Name]], tbl_MTG_Set_Type[Set Type], tbl_MTG_Set_Type[Heavy Printing Window Month End], "(Set Type not found)", 0, 1)</f>
        <v>(Set Type not found)</v>
      </c>
      <c r="R336" s="3" t="e">
        <f>tbl_MTG_Set[[#This Row],[Released On]]+tbl_MTG_Set[[#This Row],[Heavy Printing Window Month End]]*365.25/12</f>
        <v>#VALUE!</v>
      </c>
      <c r="S336" s="3" t="e">
        <f ca="1">AND(NOW()&gt;=tbl_MTG_Set[[#This Row],[Heavy Printing Window Start]], NOW()&lt;=tbl_MTG_Set[[#This Row],[Heavy Printing Window End]])</f>
        <v>#VALUE!</v>
      </c>
      <c r="T336" t="str">
        <f>_xlfn.XLOOKUP(tbl_MTG_Set[[#This Row],[Type Name]], tbl_MTG_Set_Type[Set Type], tbl_MTG_Set_Type[Sell Window Month Start], "(Set Type not found)", 0, 1)</f>
        <v>(Set Type not found)</v>
      </c>
      <c r="U336" s="3" t="e">
        <f>tbl_MTG_Set[[#This Row],[Released On]]+tbl_MTG_Set[[#This Row],[Sell Window Month Start]]*365.25/12</f>
        <v>#VALUE!</v>
      </c>
      <c r="V336" t="str">
        <f>_xlfn.XLOOKUP(tbl_MTG_Set[[#This Row],[Type Name]], tbl_MTG_Set_Type[Set Type], tbl_MTG_Set_Type[Sell Window Month End], "(Set Type not found)", 0, 1)</f>
        <v>(Set Type not found)</v>
      </c>
      <c r="W336" s="3" t="e">
        <f>tbl_MTG_Set[[#This Row],[Released On]]+tbl_MTG_Set[[#This Row],[Sell Window Month End]]*365.25/12</f>
        <v>#VALUE!</v>
      </c>
      <c r="X336" s="3" t="e">
        <f ca="1">AND(NOW()&gt;=tbl_MTG_Set[[#This Row],[Sell Window Start]], NOW()&lt;=tbl_MTG_Set[[#This Row],[Sell Window End]])</f>
        <v>#VALUE!</v>
      </c>
      <c r="AG336" s="10"/>
      <c r="AH336" s="10"/>
      <c r="AM336" s="10" t="str" cm="1">
        <f t="array" ref="AM3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6" s="10" t="str" cm="1">
        <f t="array" ref="AN3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6" s="4" t="e">
        <f>_xlfn.XLOOKUP(tbl_MTG_Set[[#This Row],[Play Booster Box Product Id]], tbl_Product[Product Id], tbl_Product[Pack Size])</f>
        <v>#N/A</v>
      </c>
      <c r="AP336" s="10" t="e">
        <f>(tbl_MTG_Set[[#This Row],[Play Booster Box Cost]]+v_Item_Shipping_Cost_In)/tbl_MTG_Set[[#This Row],[Play Booster Box Size]]</f>
        <v>#VALUE!</v>
      </c>
      <c r="AQ336" s="10" t="str" cm="1">
        <f t="array" ref="AQ3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6" s="10"/>
      <c r="AS336" s="10"/>
      <c r="AT336" s="17" t="e">
        <f>tbl_MTG_Set[[#This Row],[Play Booster CardMarket Profit]]/tbl_MTG_Set[[#This Row],[Play Booster Cost]]</f>
        <v>#VALUE!</v>
      </c>
      <c r="AU336" s="10" t="e">
        <f>_xlfn.XLOOKUP(tbl_MTG_Set[[#This Row],[Collector Booster Box Product Id]], tbl_Product[Product Id], tbl_Product[Min Cost])</f>
        <v>#N/A</v>
      </c>
      <c r="AV336" s="10" t="e">
        <f>_xlfn.XLOOKUP(tbl_MTG_Set[[#This Row],[Collector Booster Box Product Id]], tbl_Product[Product Id], tbl_Product[Best Source])</f>
        <v>#N/A</v>
      </c>
      <c r="AW336" s="4" t="e">
        <f>_xlfn.XLOOKUP(tbl_MTG_Set[[#This Row],[Collector Booster Box Product Id]], tbl_Product[Product Id], tbl_Product[Pack Size])</f>
        <v>#N/A</v>
      </c>
      <c r="AX336" s="10" t="e">
        <f>(tbl_MTG_Set[[#This Row],[Collector Booster Box Cost]] + v_Item_Shipping_Cost_In) / tbl_MTG_Set[[#This Row],[Collector Booster Box Size]]</f>
        <v>#N/A</v>
      </c>
      <c r="AY336" s="10" t="str" cm="1">
        <f t="array" ref="AY3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6" s="10"/>
      <c r="BA3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6" s="17" t="e">
        <f>tbl_MTG_Set[[#This Row],[Collector Booster CardMarket Profit]]/tbl_MTG_Set[[#This Row],[Collector Booster Cost]]</f>
        <v>#N/A</v>
      </c>
      <c r="BC336" s="10"/>
      <c r="BF3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6" s="11" t="e">
        <f>tbl_MTG_Set[[#This Row],[Play Singles CardMarket Profit MTG Stocks]]/tbl_MTG_Set[[#This Row],[Play Booster Cost]]</f>
        <v>#VALUE!</v>
      </c>
      <c r="BI336" s="11" t="b">
        <f>tbl_MTG_Set[[#This Row],[Play Singles CardMarket Profit MTG Stocks]]&gt;0</f>
        <v>0</v>
      </c>
      <c r="BM336" s="10" t="e">
        <f>tbl_MTG_Set[[#This Row],[Play Booster Sell Price CardMarket]]*tbl_MTG_Set[[#This Row],[Play Booster Expected Market Value BotBox]]/tbl_MTG_Set[[#This Row],[Play Booster Sealed Market Value BotBox]]</f>
        <v>#VALUE!</v>
      </c>
      <c r="BN3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6" s="10" t="e">
        <f>tbl_MTG_Set[[#This Row],[Play Singles CardMarket Profit BotBox]]/tbl_MTG_Set[[#This Row],[Play Booster Cost]]</f>
        <v>#VALUE!</v>
      </c>
      <c r="BP336" s="10" t="b">
        <f>tbl_MTG_Set[[#This Row],[Play Singles CardMarket Profit BotBox]]&gt;0</f>
        <v>0</v>
      </c>
      <c r="BQ336" s="10"/>
      <c r="BR336" s="10"/>
      <c r="BS336" s="10"/>
      <c r="BT3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6" s="19" t="e">
        <f>tbl_MTG_Set[[#This Row],[Collector Singles CardMarket Profit MTG Stocks]]/tbl_MTG_Set[[#This Row],[Collector Booster Cost]]</f>
        <v>#N/A</v>
      </c>
      <c r="BW336" s="10" t="b">
        <f>tbl_MTG_Set[[#This Row],[Collector Singles CardMarket Profit MTG Stocks]]&gt;0</f>
        <v>0</v>
      </c>
      <c r="BX336" s="10"/>
      <c r="BY336" s="10"/>
      <c r="BZ3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6" s="10" t="e">
        <f>tbl_MTG_Set[[#This Row],[Collector Singles CardMarket Profit BotBox]]/tbl_MTG_Set[[#This Row],[Collector Booster Cost]]</f>
        <v>#N/A</v>
      </c>
      <c r="CC336" s="10" t="b">
        <f>tbl_MTG_Set[[#This Row],[Collector Singles CardMarket Profit BotBox]]&gt;0</f>
        <v>0</v>
      </c>
      <c r="CD3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7" spans="1:86" hidden="1">
      <c r="A337">
        <v>365</v>
      </c>
      <c r="B337" t="s">
        <v>510</v>
      </c>
      <c r="C337">
        <v>8</v>
      </c>
      <c r="D337" s="3">
        <v>44169</v>
      </c>
      <c r="F337" t="s">
        <v>174</v>
      </c>
      <c r="G337">
        <v>676</v>
      </c>
      <c r="H337">
        <f ca="1">MONTH(NOW())+12*YEAR(NOW())-MONTH(tbl_MTG_Set[[#This Row],[Released On]])-12*YEAR(tbl_MTG_Set[[#This Row],[Released On]])</f>
        <v>63</v>
      </c>
      <c r="I337" t="str">
        <f>_xlfn.XLOOKUP(tbl_MTG_Set[[#This Row],[Type Name]], tbl_MTG_Set_Type[Set Type], tbl_MTG_Set_Type[Index], "(Set Type not found)")</f>
        <v>(Set Type not found)</v>
      </c>
      <c r="J337" t="str">
        <f>_xlfn.XLOOKUP(tbl_MTG_Set[[#This Row],[Type Name]], tbl_MTG_Set_Type[Set Type], tbl_MTG_Set_Type[Buy Window Month Start], "(Set Type not found)")</f>
        <v>(Set Type not found)</v>
      </c>
      <c r="K337" s="3" t="e">
        <f>tbl_MTG_Set[[#This Row],[Released On]]+tbl_MTG_Set[[#This Row],[Buy Window Month Start]]*365.25/12</f>
        <v>#VALUE!</v>
      </c>
      <c r="L337" t="str">
        <f>_xlfn.XLOOKUP(tbl_MTG_Set[[#This Row],[Type Name]], tbl_MTG_Set_Type[Set Type], tbl_MTG_Set_Type[Buy Window Month End], "(Set Type not found)", 0, 1)</f>
        <v>(Set Type not found)</v>
      </c>
      <c r="M337" s="3" t="e">
        <f>tbl_MTG_Set[[#This Row],[Released On]]+tbl_MTG_Set[[#This Row],[Buy Window Month End]]*365.25/12</f>
        <v>#VALUE!</v>
      </c>
      <c r="N337" s="3" t="e">
        <f ca="1">AND(NOW()&gt;=tbl_MTG_Set[[#This Row],[Buy Window Start]], NOW()&lt;=tbl_MTG_Set[[#This Row],[Buy Window End]])</f>
        <v>#VALUE!</v>
      </c>
      <c r="O337" t="str">
        <f>_xlfn.XLOOKUP(tbl_MTG_Set[[#This Row],[Type Name]], tbl_MTG_Set_Type[Set Type], tbl_MTG_Set_Type[Heavy Printing Window Month Start], "(Set Type not found)", 0, 1)</f>
        <v>(Set Type not found)</v>
      </c>
      <c r="P337" s="3" t="e">
        <f>tbl_MTG_Set[[#This Row],[Released On]]+tbl_MTG_Set[[#This Row],[Heavy Printing Window Month Start]]*365.25/12</f>
        <v>#VALUE!</v>
      </c>
      <c r="Q337" t="str">
        <f>_xlfn.XLOOKUP(tbl_MTG_Set[[#This Row],[Type Name]], tbl_MTG_Set_Type[Set Type], tbl_MTG_Set_Type[Heavy Printing Window Month End], "(Set Type not found)", 0, 1)</f>
        <v>(Set Type not found)</v>
      </c>
      <c r="R337" s="3" t="e">
        <f>tbl_MTG_Set[[#This Row],[Released On]]+tbl_MTG_Set[[#This Row],[Heavy Printing Window Month End]]*365.25/12</f>
        <v>#VALUE!</v>
      </c>
      <c r="S337" s="3" t="e">
        <f ca="1">AND(NOW()&gt;=tbl_MTG_Set[[#This Row],[Heavy Printing Window Start]], NOW()&lt;=tbl_MTG_Set[[#This Row],[Heavy Printing Window End]])</f>
        <v>#VALUE!</v>
      </c>
      <c r="T337" t="str">
        <f>_xlfn.XLOOKUP(tbl_MTG_Set[[#This Row],[Type Name]], tbl_MTG_Set_Type[Set Type], tbl_MTG_Set_Type[Sell Window Month Start], "(Set Type not found)", 0, 1)</f>
        <v>(Set Type not found)</v>
      </c>
      <c r="U337" s="3" t="e">
        <f>tbl_MTG_Set[[#This Row],[Released On]]+tbl_MTG_Set[[#This Row],[Sell Window Month Start]]*365.25/12</f>
        <v>#VALUE!</v>
      </c>
      <c r="V337" t="str">
        <f>_xlfn.XLOOKUP(tbl_MTG_Set[[#This Row],[Type Name]], tbl_MTG_Set_Type[Set Type], tbl_MTG_Set_Type[Sell Window Month End], "(Set Type not found)", 0, 1)</f>
        <v>(Set Type not found)</v>
      </c>
      <c r="W337" s="3" t="e">
        <f>tbl_MTG_Set[[#This Row],[Released On]]+tbl_MTG_Set[[#This Row],[Sell Window Month End]]*365.25/12</f>
        <v>#VALUE!</v>
      </c>
      <c r="X337" s="3" t="e">
        <f ca="1">AND(NOW()&gt;=tbl_MTG_Set[[#This Row],[Sell Window Start]], NOW()&lt;=tbl_MTG_Set[[#This Row],[Sell Window End]])</f>
        <v>#VALUE!</v>
      </c>
      <c r="AG337" s="10"/>
      <c r="AH337" s="10"/>
      <c r="AM337" s="10" t="str" cm="1">
        <f t="array" ref="AM3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7" s="10" t="str" cm="1">
        <f t="array" ref="AN3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7" s="4" t="e">
        <f>_xlfn.XLOOKUP(tbl_MTG_Set[[#This Row],[Play Booster Box Product Id]], tbl_Product[Product Id], tbl_Product[Pack Size])</f>
        <v>#N/A</v>
      </c>
      <c r="AP337" s="10" t="e">
        <f>(tbl_MTG_Set[[#This Row],[Play Booster Box Cost]]+v_Item_Shipping_Cost_In)/tbl_MTG_Set[[#This Row],[Play Booster Box Size]]</f>
        <v>#VALUE!</v>
      </c>
      <c r="AQ337" s="10" t="str" cm="1">
        <f t="array" ref="AQ3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7" s="10"/>
      <c r="AS337" s="10"/>
      <c r="AT337" s="17" t="e">
        <f>tbl_MTG_Set[[#This Row],[Play Booster CardMarket Profit]]/tbl_MTG_Set[[#This Row],[Play Booster Cost]]</f>
        <v>#VALUE!</v>
      </c>
      <c r="AU337" s="10" t="e">
        <f>_xlfn.XLOOKUP(tbl_MTG_Set[[#This Row],[Collector Booster Box Product Id]], tbl_Product[Product Id], tbl_Product[Min Cost])</f>
        <v>#N/A</v>
      </c>
      <c r="AV337" s="10" t="e">
        <f>_xlfn.XLOOKUP(tbl_MTG_Set[[#This Row],[Collector Booster Box Product Id]], tbl_Product[Product Id], tbl_Product[Best Source])</f>
        <v>#N/A</v>
      </c>
      <c r="AW337" s="4" t="e">
        <f>_xlfn.XLOOKUP(tbl_MTG_Set[[#This Row],[Collector Booster Box Product Id]], tbl_Product[Product Id], tbl_Product[Pack Size])</f>
        <v>#N/A</v>
      </c>
      <c r="AX337" s="10" t="e">
        <f>(tbl_MTG_Set[[#This Row],[Collector Booster Box Cost]] + v_Item_Shipping_Cost_In) / tbl_MTG_Set[[#This Row],[Collector Booster Box Size]]</f>
        <v>#N/A</v>
      </c>
      <c r="AY337" s="10" t="str" cm="1">
        <f t="array" ref="AY3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7" s="10"/>
      <c r="BA3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7" s="17" t="e">
        <f>tbl_MTG_Set[[#This Row],[Collector Booster CardMarket Profit]]/tbl_MTG_Set[[#This Row],[Collector Booster Cost]]</f>
        <v>#N/A</v>
      </c>
      <c r="BC337" s="10"/>
      <c r="BF3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7" s="11" t="e">
        <f>tbl_MTG_Set[[#This Row],[Play Singles CardMarket Profit MTG Stocks]]/tbl_MTG_Set[[#This Row],[Play Booster Cost]]</f>
        <v>#VALUE!</v>
      </c>
      <c r="BI337" s="11" t="b">
        <f>tbl_MTG_Set[[#This Row],[Play Singles CardMarket Profit MTG Stocks]]&gt;0</f>
        <v>0</v>
      </c>
      <c r="BM337" s="10" t="e">
        <f>tbl_MTG_Set[[#This Row],[Play Booster Sell Price CardMarket]]*tbl_MTG_Set[[#This Row],[Play Booster Expected Market Value BotBox]]/tbl_MTG_Set[[#This Row],[Play Booster Sealed Market Value BotBox]]</f>
        <v>#VALUE!</v>
      </c>
      <c r="BN3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7" s="10" t="e">
        <f>tbl_MTG_Set[[#This Row],[Play Singles CardMarket Profit BotBox]]/tbl_MTG_Set[[#This Row],[Play Booster Cost]]</f>
        <v>#VALUE!</v>
      </c>
      <c r="BP337" s="10" t="b">
        <f>tbl_MTG_Set[[#This Row],[Play Singles CardMarket Profit BotBox]]&gt;0</f>
        <v>0</v>
      </c>
      <c r="BQ337" s="10"/>
      <c r="BR337" s="10"/>
      <c r="BS337" s="10"/>
      <c r="BT3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7" s="19" t="e">
        <f>tbl_MTG_Set[[#This Row],[Collector Singles CardMarket Profit MTG Stocks]]/tbl_MTG_Set[[#This Row],[Collector Booster Cost]]</f>
        <v>#N/A</v>
      </c>
      <c r="BW337" s="10" t="b">
        <f>tbl_MTG_Set[[#This Row],[Collector Singles CardMarket Profit MTG Stocks]]&gt;0</f>
        <v>0</v>
      </c>
      <c r="BX337" s="10"/>
      <c r="BY337" s="10"/>
      <c r="BZ3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7" s="10" t="e">
        <f>tbl_MTG_Set[[#This Row],[Collector Singles CardMarket Profit BotBox]]/tbl_MTG_Set[[#This Row],[Collector Booster Cost]]</f>
        <v>#N/A</v>
      </c>
      <c r="CC337" s="10" t="b">
        <f>tbl_MTG_Set[[#This Row],[Collector Singles CardMarket Profit BotBox]]&gt;0</f>
        <v>0</v>
      </c>
      <c r="CD3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8" spans="1:86" hidden="1">
      <c r="A338">
        <v>366</v>
      </c>
      <c r="B338" t="s">
        <v>511</v>
      </c>
      <c r="C338">
        <v>718</v>
      </c>
      <c r="D338" s="3">
        <v>44155</v>
      </c>
      <c r="F338" t="s">
        <v>174</v>
      </c>
      <c r="G338">
        <v>678</v>
      </c>
      <c r="H338">
        <f ca="1">MONTH(NOW())+12*YEAR(NOW())-MONTH(tbl_MTG_Set[[#This Row],[Released On]])-12*YEAR(tbl_MTG_Set[[#This Row],[Released On]])</f>
        <v>64</v>
      </c>
      <c r="I338" t="str">
        <f>_xlfn.XLOOKUP(tbl_MTG_Set[[#This Row],[Type Name]], tbl_MTG_Set_Type[Set Type], tbl_MTG_Set_Type[Index], "(Set Type not found)")</f>
        <v>(Set Type not found)</v>
      </c>
      <c r="J338" t="str">
        <f>_xlfn.XLOOKUP(tbl_MTG_Set[[#This Row],[Type Name]], tbl_MTG_Set_Type[Set Type], tbl_MTG_Set_Type[Buy Window Month Start], "(Set Type not found)")</f>
        <v>(Set Type not found)</v>
      </c>
      <c r="K338" s="3" t="e">
        <f>tbl_MTG_Set[[#This Row],[Released On]]+tbl_MTG_Set[[#This Row],[Buy Window Month Start]]*365.25/12</f>
        <v>#VALUE!</v>
      </c>
      <c r="L338" t="str">
        <f>_xlfn.XLOOKUP(tbl_MTG_Set[[#This Row],[Type Name]], tbl_MTG_Set_Type[Set Type], tbl_MTG_Set_Type[Buy Window Month End], "(Set Type not found)", 0, 1)</f>
        <v>(Set Type not found)</v>
      </c>
      <c r="M338" s="3" t="e">
        <f>tbl_MTG_Set[[#This Row],[Released On]]+tbl_MTG_Set[[#This Row],[Buy Window Month End]]*365.25/12</f>
        <v>#VALUE!</v>
      </c>
      <c r="N338" s="3" t="e">
        <f ca="1">AND(NOW()&gt;=tbl_MTG_Set[[#This Row],[Buy Window Start]], NOW()&lt;=tbl_MTG_Set[[#This Row],[Buy Window End]])</f>
        <v>#VALUE!</v>
      </c>
      <c r="O338" t="str">
        <f>_xlfn.XLOOKUP(tbl_MTG_Set[[#This Row],[Type Name]], tbl_MTG_Set_Type[Set Type], tbl_MTG_Set_Type[Heavy Printing Window Month Start], "(Set Type not found)", 0, 1)</f>
        <v>(Set Type not found)</v>
      </c>
      <c r="P338" s="3" t="e">
        <f>tbl_MTG_Set[[#This Row],[Released On]]+tbl_MTG_Set[[#This Row],[Heavy Printing Window Month Start]]*365.25/12</f>
        <v>#VALUE!</v>
      </c>
      <c r="Q338" t="str">
        <f>_xlfn.XLOOKUP(tbl_MTG_Set[[#This Row],[Type Name]], tbl_MTG_Set_Type[Set Type], tbl_MTG_Set_Type[Heavy Printing Window Month End], "(Set Type not found)", 0, 1)</f>
        <v>(Set Type not found)</v>
      </c>
      <c r="R338" s="3" t="e">
        <f>tbl_MTG_Set[[#This Row],[Released On]]+tbl_MTG_Set[[#This Row],[Heavy Printing Window Month End]]*365.25/12</f>
        <v>#VALUE!</v>
      </c>
      <c r="S338" s="3" t="e">
        <f ca="1">AND(NOW()&gt;=tbl_MTG_Set[[#This Row],[Heavy Printing Window Start]], NOW()&lt;=tbl_MTG_Set[[#This Row],[Heavy Printing Window End]])</f>
        <v>#VALUE!</v>
      </c>
      <c r="T338" t="str">
        <f>_xlfn.XLOOKUP(tbl_MTG_Set[[#This Row],[Type Name]], tbl_MTG_Set_Type[Set Type], tbl_MTG_Set_Type[Sell Window Month Start], "(Set Type not found)", 0, 1)</f>
        <v>(Set Type not found)</v>
      </c>
      <c r="U338" s="3" t="e">
        <f>tbl_MTG_Set[[#This Row],[Released On]]+tbl_MTG_Set[[#This Row],[Sell Window Month Start]]*365.25/12</f>
        <v>#VALUE!</v>
      </c>
      <c r="V338" t="str">
        <f>_xlfn.XLOOKUP(tbl_MTG_Set[[#This Row],[Type Name]], tbl_MTG_Set_Type[Set Type], tbl_MTG_Set_Type[Sell Window Month End], "(Set Type not found)", 0, 1)</f>
        <v>(Set Type not found)</v>
      </c>
      <c r="W338" s="3" t="e">
        <f>tbl_MTG_Set[[#This Row],[Released On]]+tbl_MTG_Set[[#This Row],[Sell Window Month End]]*365.25/12</f>
        <v>#VALUE!</v>
      </c>
      <c r="X338" s="3" t="e">
        <f ca="1">AND(NOW()&gt;=tbl_MTG_Set[[#This Row],[Sell Window Start]], NOW()&lt;=tbl_MTG_Set[[#This Row],[Sell Window End]])</f>
        <v>#VALUE!</v>
      </c>
      <c r="AG338" s="10"/>
      <c r="AH338" s="10"/>
      <c r="AM338" s="10" t="str" cm="1">
        <f t="array" ref="AM3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8" s="10" t="str" cm="1">
        <f t="array" ref="AN3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8" s="4" t="e">
        <f>_xlfn.XLOOKUP(tbl_MTG_Set[[#This Row],[Play Booster Box Product Id]], tbl_Product[Product Id], tbl_Product[Pack Size])</f>
        <v>#N/A</v>
      </c>
      <c r="AP338" s="10" t="e">
        <f>(tbl_MTG_Set[[#This Row],[Play Booster Box Cost]]+v_Item_Shipping_Cost_In)/tbl_MTG_Set[[#This Row],[Play Booster Box Size]]</f>
        <v>#VALUE!</v>
      </c>
      <c r="AQ338" s="10" t="str" cm="1">
        <f t="array" ref="AQ3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8" s="10"/>
      <c r="AS338" s="10"/>
      <c r="AT338" s="17" t="e">
        <f>tbl_MTG_Set[[#This Row],[Play Booster CardMarket Profit]]/tbl_MTG_Set[[#This Row],[Play Booster Cost]]</f>
        <v>#VALUE!</v>
      </c>
      <c r="AU338" s="10" t="e">
        <f>_xlfn.XLOOKUP(tbl_MTG_Set[[#This Row],[Collector Booster Box Product Id]], tbl_Product[Product Id], tbl_Product[Min Cost])</f>
        <v>#N/A</v>
      </c>
      <c r="AV338" s="10" t="e">
        <f>_xlfn.XLOOKUP(tbl_MTG_Set[[#This Row],[Collector Booster Box Product Id]], tbl_Product[Product Id], tbl_Product[Best Source])</f>
        <v>#N/A</v>
      </c>
      <c r="AW338" s="4" t="e">
        <f>_xlfn.XLOOKUP(tbl_MTG_Set[[#This Row],[Collector Booster Box Product Id]], tbl_Product[Product Id], tbl_Product[Pack Size])</f>
        <v>#N/A</v>
      </c>
      <c r="AX338" s="10" t="e">
        <f>(tbl_MTG_Set[[#This Row],[Collector Booster Box Cost]] + v_Item_Shipping_Cost_In) / tbl_MTG_Set[[#This Row],[Collector Booster Box Size]]</f>
        <v>#N/A</v>
      </c>
      <c r="AY338" s="10" t="str" cm="1">
        <f t="array" ref="AY3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8" s="10"/>
      <c r="BA3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8" s="17" t="e">
        <f>tbl_MTG_Set[[#This Row],[Collector Booster CardMarket Profit]]/tbl_MTG_Set[[#This Row],[Collector Booster Cost]]</f>
        <v>#N/A</v>
      </c>
      <c r="BC338" s="10"/>
      <c r="BF3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8" s="11" t="e">
        <f>tbl_MTG_Set[[#This Row],[Play Singles CardMarket Profit MTG Stocks]]/tbl_MTG_Set[[#This Row],[Play Booster Cost]]</f>
        <v>#VALUE!</v>
      </c>
      <c r="BI338" s="11" t="b">
        <f>tbl_MTG_Set[[#This Row],[Play Singles CardMarket Profit MTG Stocks]]&gt;0</f>
        <v>0</v>
      </c>
      <c r="BM338" s="10" t="e">
        <f>tbl_MTG_Set[[#This Row],[Play Booster Sell Price CardMarket]]*tbl_MTG_Set[[#This Row],[Play Booster Expected Market Value BotBox]]/tbl_MTG_Set[[#This Row],[Play Booster Sealed Market Value BotBox]]</f>
        <v>#VALUE!</v>
      </c>
      <c r="BN3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8" s="10" t="e">
        <f>tbl_MTG_Set[[#This Row],[Play Singles CardMarket Profit BotBox]]/tbl_MTG_Set[[#This Row],[Play Booster Cost]]</f>
        <v>#VALUE!</v>
      </c>
      <c r="BP338" s="10" t="b">
        <f>tbl_MTG_Set[[#This Row],[Play Singles CardMarket Profit BotBox]]&gt;0</f>
        <v>0</v>
      </c>
      <c r="BQ338" s="10"/>
      <c r="BR338" s="10"/>
      <c r="BS338" s="10"/>
      <c r="BT3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8" s="19" t="e">
        <f>tbl_MTG_Set[[#This Row],[Collector Singles CardMarket Profit MTG Stocks]]/tbl_MTG_Set[[#This Row],[Collector Booster Cost]]</f>
        <v>#N/A</v>
      </c>
      <c r="BW338" s="10" t="b">
        <f>tbl_MTG_Set[[#This Row],[Collector Singles CardMarket Profit MTG Stocks]]&gt;0</f>
        <v>0</v>
      </c>
      <c r="BX338" s="10"/>
      <c r="BY338" s="10"/>
      <c r="BZ3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8" s="10" t="e">
        <f>tbl_MTG_Set[[#This Row],[Collector Singles CardMarket Profit BotBox]]/tbl_MTG_Set[[#This Row],[Collector Booster Cost]]</f>
        <v>#N/A</v>
      </c>
      <c r="CC338" s="10" t="b">
        <f>tbl_MTG_Set[[#This Row],[Collector Singles CardMarket Profit BotBox]]&gt;0</f>
        <v>0</v>
      </c>
      <c r="CD3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39" spans="1:86" hidden="1">
      <c r="A339">
        <v>367</v>
      </c>
      <c r="B339" t="s">
        <v>512</v>
      </c>
      <c r="C339">
        <v>6</v>
      </c>
      <c r="D339" s="3">
        <v>44155</v>
      </c>
      <c r="F339" t="s">
        <v>174</v>
      </c>
      <c r="G339">
        <v>680</v>
      </c>
      <c r="H339">
        <f ca="1">MONTH(NOW())+12*YEAR(NOW())-MONTH(tbl_MTG_Set[[#This Row],[Released On]])-12*YEAR(tbl_MTG_Set[[#This Row],[Released On]])</f>
        <v>64</v>
      </c>
      <c r="I339" t="str">
        <f>_xlfn.XLOOKUP(tbl_MTG_Set[[#This Row],[Type Name]], tbl_MTG_Set_Type[Set Type], tbl_MTG_Set_Type[Index], "(Set Type not found)")</f>
        <v>(Set Type not found)</v>
      </c>
      <c r="J339" t="str">
        <f>_xlfn.XLOOKUP(tbl_MTG_Set[[#This Row],[Type Name]], tbl_MTG_Set_Type[Set Type], tbl_MTG_Set_Type[Buy Window Month Start], "(Set Type not found)")</f>
        <v>(Set Type not found)</v>
      </c>
      <c r="K339" s="3" t="e">
        <f>tbl_MTG_Set[[#This Row],[Released On]]+tbl_MTG_Set[[#This Row],[Buy Window Month Start]]*365.25/12</f>
        <v>#VALUE!</v>
      </c>
      <c r="L339" t="str">
        <f>_xlfn.XLOOKUP(tbl_MTG_Set[[#This Row],[Type Name]], tbl_MTG_Set_Type[Set Type], tbl_MTG_Set_Type[Buy Window Month End], "(Set Type not found)", 0, 1)</f>
        <v>(Set Type not found)</v>
      </c>
      <c r="M339" s="3" t="e">
        <f>tbl_MTG_Set[[#This Row],[Released On]]+tbl_MTG_Set[[#This Row],[Buy Window Month End]]*365.25/12</f>
        <v>#VALUE!</v>
      </c>
      <c r="N339" s="3" t="e">
        <f ca="1">AND(NOW()&gt;=tbl_MTG_Set[[#This Row],[Buy Window Start]], NOW()&lt;=tbl_MTG_Set[[#This Row],[Buy Window End]])</f>
        <v>#VALUE!</v>
      </c>
      <c r="O339" t="str">
        <f>_xlfn.XLOOKUP(tbl_MTG_Set[[#This Row],[Type Name]], tbl_MTG_Set_Type[Set Type], tbl_MTG_Set_Type[Heavy Printing Window Month Start], "(Set Type not found)", 0, 1)</f>
        <v>(Set Type not found)</v>
      </c>
      <c r="P339" s="3" t="e">
        <f>tbl_MTG_Set[[#This Row],[Released On]]+tbl_MTG_Set[[#This Row],[Heavy Printing Window Month Start]]*365.25/12</f>
        <v>#VALUE!</v>
      </c>
      <c r="Q339" t="str">
        <f>_xlfn.XLOOKUP(tbl_MTG_Set[[#This Row],[Type Name]], tbl_MTG_Set_Type[Set Type], tbl_MTG_Set_Type[Heavy Printing Window Month End], "(Set Type not found)", 0, 1)</f>
        <v>(Set Type not found)</v>
      </c>
      <c r="R339" s="3" t="e">
        <f>tbl_MTG_Set[[#This Row],[Released On]]+tbl_MTG_Set[[#This Row],[Heavy Printing Window Month End]]*365.25/12</f>
        <v>#VALUE!</v>
      </c>
      <c r="S339" s="3" t="e">
        <f ca="1">AND(NOW()&gt;=tbl_MTG_Set[[#This Row],[Heavy Printing Window Start]], NOW()&lt;=tbl_MTG_Set[[#This Row],[Heavy Printing Window End]])</f>
        <v>#VALUE!</v>
      </c>
      <c r="T339" t="str">
        <f>_xlfn.XLOOKUP(tbl_MTG_Set[[#This Row],[Type Name]], tbl_MTG_Set_Type[Set Type], tbl_MTG_Set_Type[Sell Window Month Start], "(Set Type not found)", 0, 1)</f>
        <v>(Set Type not found)</v>
      </c>
      <c r="U339" s="3" t="e">
        <f>tbl_MTG_Set[[#This Row],[Released On]]+tbl_MTG_Set[[#This Row],[Sell Window Month Start]]*365.25/12</f>
        <v>#VALUE!</v>
      </c>
      <c r="V339" t="str">
        <f>_xlfn.XLOOKUP(tbl_MTG_Set[[#This Row],[Type Name]], tbl_MTG_Set_Type[Set Type], tbl_MTG_Set_Type[Sell Window Month End], "(Set Type not found)", 0, 1)</f>
        <v>(Set Type not found)</v>
      </c>
      <c r="W339" s="3" t="e">
        <f>tbl_MTG_Set[[#This Row],[Released On]]+tbl_MTG_Set[[#This Row],[Sell Window Month End]]*365.25/12</f>
        <v>#VALUE!</v>
      </c>
      <c r="X339" s="3" t="e">
        <f ca="1">AND(NOW()&gt;=tbl_MTG_Set[[#This Row],[Sell Window Start]], NOW()&lt;=tbl_MTG_Set[[#This Row],[Sell Window End]])</f>
        <v>#VALUE!</v>
      </c>
      <c r="AG339" s="10"/>
      <c r="AH339" s="10"/>
      <c r="AM339" s="10" t="str" cm="1">
        <f t="array" ref="AM3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39" s="10" t="str" cm="1">
        <f t="array" ref="AN3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39" s="4" t="e">
        <f>_xlfn.XLOOKUP(tbl_MTG_Set[[#This Row],[Play Booster Box Product Id]], tbl_Product[Product Id], tbl_Product[Pack Size])</f>
        <v>#N/A</v>
      </c>
      <c r="AP339" s="10" t="e">
        <f>(tbl_MTG_Set[[#This Row],[Play Booster Box Cost]]+v_Item_Shipping_Cost_In)/tbl_MTG_Set[[#This Row],[Play Booster Box Size]]</f>
        <v>#VALUE!</v>
      </c>
      <c r="AQ339" s="10" t="str" cm="1">
        <f t="array" ref="AQ3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39" s="10"/>
      <c r="AS339" s="10"/>
      <c r="AT339" s="17" t="e">
        <f>tbl_MTG_Set[[#This Row],[Play Booster CardMarket Profit]]/tbl_MTG_Set[[#This Row],[Play Booster Cost]]</f>
        <v>#VALUE!</v>
      </c>
      <c r="AU339" s="10" t="e">
        <f>_xlfn.XLOOKUP(tbl_MTG_Set[[#This Row],[Collector Booster Box Product Id]], tbl_Product[Product Id], tbl_Product[Min Cost])</f>
        <v>#N/A</v>
      </c>
      <c r="AV339" s="10" t="e">
        <f>_xlfn.XLOOKUP(tbl_MTG_Set[[#This Row],[Collector Booster Box Product Id]], tbl_Product[Product Id], tbl_Product[Best Source])</f>
        <v>#N/A</v>
      </c>
      <c r="AW339" s="4" t="e">
        <f>_xlfn.XLOOKUP(tbl_MTG_Set[[#This Row],[Collector Booster Box Product Id]], tbl_Product[Product Id], tbl_Product[Pack Size])</f>
        <v>#N/A</v>
      </c>
      <c r="AX339" s="10" t="e">
        <f>(tbl_MTG_Set[[#This Row],[Collector Booster Box Cost]] + v_Item_Shipping_Cost_In) / tbl_MTG_Set[[#This Row],[Collector Booster Box Size]]</f>
        <v>#N/A</v>
      </c>
      <c r="AY339" s="10" t="str" cm="1">
        <f t="array" ref="AY3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39" s="10"/>
      <c r="BA3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39" s="17" t="e">
        <f>tbl_MTG_Set[[#This Row],[Collector Booster CardMarket Profit]]/tbl_MTG_Set[[#This Row],[Collector Booster Cost]]</f>
        <v>#N/A</v>
      </c>
      <c r="BC339" s="10"/>
      <c r="BF3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39" s="11" t="e">
        <f>tbl_MTG_Set[[#This Row],[Play Singles CardMarket Profit MTG Stocks]]/tbl_MTG_Set[[#This Row],[Play Booster Cost]]</f>
        <v>#VALUE!</v>
      </c>
      <c r="BI339" s="11" t="b">
        <f>tbl_MTG_Set[[#This Row],[Play Singles CardMarket Profit MTG Stocks]]&gt;0</f>
        <v>0</v>
      </c>
      <c r="BM339" s="10" t="e">
        <f>tbl_MTG_Set[[#This Row],[Play Booster Sell Price CardMarket]]*tbl_MTG_Set[[#This Row],[Play Booster Expected Market Value BotBox]]/tbl_MTG_Set[[#This Row],[Play Booster Sealed Market Value BotBox]]</f>
        <v>#VALUE!</v>
      </c>
      <c r="BN3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39" s="10" t="e">
        <f>tbl_MTG_Set[[#This Row],[Play Singles CardMarket Profit BotBox]]/tbl_MTG_Set[[#This Row],[Play Booster Cost]]</f>
        <v>#VALUE!</v>
      </c>
      <c r="BP339" s="10" t="b">
        <f>tbl_MTG_Set[[#This Row],[Play Singles CardMarket Profit BotBox]]&gt;0</f>
        <v>0</v>
      </c>
      <c r="BQ339" s="10"/>
      <c r="BR339" s="10"/>
      <c r="BS339" s="10"/>
      <c r="BT3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39" s="19" t="e">
        <f>tbl_MTG_Set[[#This Row],[Collector Singles CardMarket Profit MTG Stocks]]/tbl_MTG_Set[[#This Row],[Collector Booster Cost]]</f>
        <v>#N/A</v>
      </c>
      <c r="BW339" s="10" t="b">
        <f>tbl_MTG_Set[[#This Row],[Collector Singles CardMarket Profit MTG Stocks]]&gt;0</f>
        <v>0</v>
      </c>
      <c r="BX339" s="10"/>
      <c r="BY339" s="10"/>
      <c r="BZ3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39" s="10" t="e">
        <f>tbl_MTG_Set[[#This Row],[Collector Singles CardMarket Profit BotBox]]/tbl_MTG_Set[[#This Row],[Collector Booster Cost]]</f>
        <v>#N/A</v>
      </c>
      <c r="CC339" s="10" t="b">
        <f>tbl_MTG_Set[[#This Row],[Collector Singles CardMarket Profit BotBox]]&gt;0</f>
        <v>0</v>
      </c>
      <c r="CD3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0" spans="1:86" hidden="1">
      <c r="A340">
        <v>368</v>
      </c>
      <c r="B340" t="s">
        <v>513</v>
      </c>
      <c r="C340">
        <v>23</v>
      </c>
      <c r="D340" s="3">
        <v>44155</v>
      </c>
      <c r="F340" t="s">
        <v>174</v>
      </c>
      <c r="G340">
        <v>682</v>
      </c>
      <c r="H340">
        <f ca="1">MONTH(NOW())+12*YEAR(NOW())-MONTH(tbl_MTG_Set[[#This Row],[Released On]])-12*YEAR(tbl_MTG_Set[[#This Row],[Released On]])</f>
        <v>64</v>
      </c>
      <c r="I340" t="str">
        <f>_xlfn.XLOOKUP(tbl_MTG_Set[[#This Row],[Type Name]], tbl_MTG_Set_Type[Set Type], tbl_MTG_Set_Type[Index], "(Set Type not found)")</f>
        <v>(Set Type not found)</v>
      </c>
      <c r="J340" t="str">
        <f>_xlfn.XLOOKUP(tbl_MTG_Set[[#This Row],[Type Name]], tbl_MTG_Set_Type[Set Type], tbl_MTG_Set_Type[Buy Window Month Start], "(Set Type not found)")</f>
        <v>(Set Type not found)</v>
      </c>
      <c r="K340" s="3" t="e">
        <f>tbl_MTG_Set[[#This Row],[Released On]]+tbl_MTG_Set[[#This Row],[Buy Window Month Start]]*365.25/12</f>
        <v>#VALUE!</v>
      </c>
      <c r="L340" t="str">
        <f>_xlfn.XLOOKUP(tbl_MTG_Set[[#This Row],[Type Name]], tbl_MTG_Set_Type[Set Type], tbl_MTG_Set_Type[Buy Window Month End], "(Set Type not found)", 0, 1)</f>
        <v>(Set Type not found)</v>
      </c>
      <c r="M340" s="3" t="e">
        <f>tbl_MTG_Set[[#This Row],[Released On]]+tbl_MTG_Set[[#This Row],[Buy Window Month End]]*365.25/12</f>
        <v>#VALUE!</v>
      </c>
      <c r="N340" s="3" t="e">
        <f ca="1">AND(NOW()&gt;=tbl_MTG_Set[[#This Row],[Buy Window Start]], NOW()&lt;=tbl_MTG_Set[[#This Row],[Buy Window End]])</f>
        <v>#VALUE!</v>
      </c>
      <c r="O340" t="str">
        <f>_xlfn.XLOOKUP(tbl_MTG_Set[[#This Row],[Type Name]], tbl_MTG_Set_Type[Set Type], tbl_MTG_Set_Type[Heavy Printing Window Month Start], "(Set Type not found)", 0, 1)</f>
        <v>(Set Type not found)</v>
      </c>
      <c r="P340" s="3" t="e">
        <f>tbl_MTG_Set[[#This Row],[Released On]]+tbl_MTG_Set[[#This Row],[Heavy Printing Window Month Start]]*365.25/12</f>
        <v>#VALUE!</v>
      </c>
      <c r="Q340" t="str">
        <f>_xlfn.XLOOKUP(tbl_MTG_Set[[#This Row],[Type Name]], tbl_MTG_Set_Type[Set Type], tbl_MTG_Set_Type[Heavy Printing Window Month End], "(Set Type not found)", 0, 1)</f>
        <v>(Set Type not found)</v>
      </c>
      <c r="R340" s="3" t="e">
        <f>tbl_MTG_Set[[#This Row],[Released On]]+tbl_MTG_Set[[#This Row],[Heavy Printing Window Month End]]*365.25/12</f>
        <v>#VALUE!</v>
      </c>
      <c r="S340" s="3" t="e">
        <f ca="1">AND(NOW()&gt;=tbl_MTG_Set[[#This Row],[Heavy Printing Window Start]], NOW()&lt;=tbl_MTG_Set[[#This Row],[Heavy Printing Window End]])</f>
        <v>#VALUE!</v>
      </c>
      <c r="T340" t="str">
        <f>_xlfn.XLOOKUP(tbl_MTG_Set[[#This Row],[Type Name]], tbl_MTG_Set_Type[Set Type], tbl_MTG_Set_Type[Sell Window Month Start], "(Set Type not found)", 0, 1)</f>
        <v>(Set Type not found)</v>
      </c>
      <c r="U340" s="3" t="e">
        <f>tbl_MTG_Set[[#This Row],[Released On]]+tbl_MTG_Set[[#This Row],[Sell Window Month Start]]*365.25/12</f>
        <v>#VALUE!</v>
      </c>
      <c r="V340" t="str">
        <f>_xlfn.XLOOKUP(tbl_MTG_Set[[#This Row],[Type Name]], tbl_MTG_Set_Type[Set Type], tbl_MTG_Set_Type[Sell Window Month End], "(Set Type not found)", 0, 1)</f>
        <v>(Set Type not found)</v>
      </c>
      <c r="W340" s="3" t="e">
        <f>tbl_MTG_Set[[#This Row],[Released On]]+tbl_MTG_Set[[#This Row],[Sell Window Month End]]*365.25/12</f>
        <v>#VALUE!</v>
      </c>
      <c r="X340" s="3" t="e">
        <f ca="1">AND(NOW()&gt;=tbl_MTG_Set[[#This Row],[Sell Window Start]], NOW()&lt;=tbl_MTG_Set[[#This Row],[Sell Window End]])</f>
        <v>#VALUE!</v>
      </c>
      <c r="AG340" s="10"/>
      <c r="AH340" s="10"/>
      <c r="AM340" s="10" t="str" cm="1">
        <f t="array" ref="AM3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0" s="10" t="str" cm="1">
        <f t="array" ref="AN3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0" s="4" t="e">
        <f>_xlfn.XLOOKUP(tbl_MTG_Set[[#This Row],[Play Booster Box Product Id]], tbl_Product[Product Id], tbl_Product[Pack Size])</f>
        <v>#N/A</v>
      </c>
      <c r="AP340" s="10" t="e">
        <f>(tbl_MTG_Set[[#This Row],[Play Booster Box Cost]]+v_Item_Shipping_Cost_In)/tbl_MTG_Set[[#This Row],[Play Booster Box Size]]</f>
        <v>#VALUE!</v>
      </c>
      <c r="AQ340" s="10" t="str" cm="1">
        <f t="array" ref="AQ3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0" s="10"/>
      <c r="AS340" s="10"/>
      <c r="AT340" s="17" t="e">
        <f>tbl_MTG_Set[[#This Row],[Play Booster CardMarket Profit]]/tbl_MTG_Set[[#This Row],[Play Booster Cost]]</f>
        <v>#VALUE!</v>
      </c>
      <c r="AU340" s="10" t="e">
        <f>_xlfn.XLOOKUP(tbl_MTG_Set[[#This Row],[Collector Booster Box Product Id]], tbl_Product[Product Id], tbl_Product[Min Cost])</f>
        <v>#N/A</v>
      </c>
      <c r="AV340" s="10" t="e">
        <f>_xlfn.XLOOKUP(tbl_MTG_Set[[#This Row],[Collector Booster Box Product Id]], tbl_Product[Product Id], tbl_Product[Best Source])</f>
        <v>#N/A</v>
      </c>
      <c r="AW340" s="4" t="e">
        <f>_xlfn.XLOOKUP(tbl_MTG_Set[[#This Row],[Collector Booster Box Product Id]], tbl_Product[Product Id], tbl_Product[Pack Size])</f>
        <v>#N/A</v>
      </c>
      <c r="AX340" s="10" t="e">
        <f>(tbl_MTG_Set[[#This Row],[Collector Booster Box Cost]] + v_Item_Shipping_Cost_In) / tbl_MTG_Set[[#This Row],[Collector Booster Box Size]]</f>
        <v>#N/A</v>
      </c>
      <c r="AY340" s="10" t="str" cm="1">
        <f t="array" ref="AY3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0" s="10"/>
      <c r="BA3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0" s="17" t="e">
        <f>tbl_MTG_Set[[#This Row],[Collector Booster CardMarket Profit]]/tbl_MTG_Set[[#This Row],[Collector Booster Cost]]</f>
        <v>#N/A</v>
      </c>
      <c r="BC340" s="10"/>
      <c r="BF3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0" s="11" t="e">
        <f>tbl_MTG_Set[[#This Row],[Play Singles CardMarket Profit MTG Stocks]]/tbl_MTG_Set[[#This Row],[Play Booster Cost]]</f>
        <v>#VALUE!</v>
      </c>
      <c r="BI340" s="11" t="b">
        <f>tbl_MTG_Set[[#This Row],[Play Singles CardMarket Profit MTG Stocks]]&gt;0</f>
        <v>0</v>
      </c>
      <c r="BM340" s="10" t="e">
        <f>tbl_MTG_Set[[#This Row],[Play Booster Sell Price CardMarket]]*tbl_MTG_Set[[#This Row],[Play Booster Expected Market Value BotBox]]/tbl_MTG_Set[[#This Row],[Play Booster Sealed Market Value BotBox]]</f>
        <v>#VALUE!</v>
      </c>
      <c r="BN3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0" s="10" t="e">
        <f>tbl_MTG_Set[[#This Row],[Play Singles CardMarket Profit BotBox]]/tbl_MTG_Set[[#This Row],[Play Booster Cost]]</f>
        <v>#VALUE!</v>
      </c>
      <c r="BP340" s="10" t="b">
        <f>tbl_MTG_Set[[#This Row],[Play Singles CardMarket Profit BotBox]]&gt;0</f>
        <v>0</v>
      </c>
      <c r="BQ340" s="10"/>
      <c r="BR340" s="10"/>
      <c r="BS340" s="10"/>
      <c r="BT3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0" s="19" t="e">
        <f>tbl_MTG_Set[[#This Row],[Collector Singles CardMarket Profit MTG Stocks]]/tbl_MTG_Set[[#This Row],[Collector Booster Cost]]</f>
        <v>#N/A</v>
      </c>
      <c r="BW340" s="10" t="b">
        <f>tbl_MTG_Set[[#This Row],[Collector Singles CardMarket Profit MTG Stocks]]&gt;0</f>
        <v>0</v>
      </c>
      <c r="BX340" s="10"/>
      <c r="BY340" s="10"/>
      <c r="BZ3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0" s="10" t="e">
        <f>tbl_MTG_Set[[#This Row],[Collector Singles CardMarket Profit BotBox]]/tbl_MTG_Set[[#This Row],[Collector Booster Cost]]</f>
        <v>#N/A</v>
      </c>
      <c r="CC340" s="10" t="b">
        <f>tbl_MTG_Set[[#This Row],[Collector Singles CardMarket Profit BotBox]]&gt;0</f>
        <v>0</v>
      </c>
      <c r="CD3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1" spans="1:86" hidden="1">
      <c r="A341">
        <v>369</v>
      </c>
      <c r="B341" t="s">
        <v>514</v>
      </c>
      <c r="C341">
        <v>302</v>
      </c>
      <c r="D341" s="3">
        <v>44147</v>
      </c>
      <c r="F341" t="s">
        <v>174</v>
      </c>
      <c r="G341">
        <v>684</v>
      </c>
      <c r="H341">
        <f ca="1">MONTH(NOW())+12*YEAR(NOW())-MONTH(tbl_MTG_Set[[#This Row],[Released On]])-12*YEAR(tbl_MTG_Set[[#This Row],[Released On]])</f>
        <v>64</v>
      </c>
      <c r="I341" t="str">
        <f>_xlfn.XLOOKUP(tbl_MTG_Set[[#This Row],[Type Name]], tbl_MTG_Set_Type[Set Type], tbl_MTG_Set_Type[Index], "(Set Type not found)")</f>
        <v>(Set Type not found)</v>
      </c>
      <c r="J341" t="str">
        <f>_xlfn.XLOOKUP(tbl_MTG_Set[[#This Row],[Type Name]], tbl_MTG_Set_Type[Set Type], tbl_MTG_Set_Type[Buy Window Month Start], "(Set Type not found)")</f>
        <v>(Set Type not found)</v>
      </c>
      <c r="K341" s="3" t="e">
        <f>tbl_MTG_Set[[#This Row],[Released On]]+tbl_MTG_Set[[#This Row],[Buy Window Month Start]]*365.25/12</f>
        <v>#VALUE!</v>
      </c>
      <c r="L341" t="str">
        <f>_xlfn.XLOOKUP(tbl_MTG_Set[[#This Row],[Type Name]], tbl_MTG_Set_Type[Set Type], tbl_MTG_Set_Type[Buy Window Month End], "(Set Type not found)", 0, 1)</f>
        <v>(Set Type not found)</v>
      </c>
      <c r="M341" s="3" t="e">
        <f>tbl_MTG_Set[[#This Row],[Released On]]+tbl_MTG_Set[[#This Row],[Buy Window Month End]]*365.25/12</f>
        <v>#VALUE!</v>
      </c>
      <c r="N341" s="3" t="e">
        <f ca="1">AND(NOW()&gt;=tbl_MTG_Set[[#This Row],[Buy Window Start]], NOW()&lt;=tbl_MTG_Set[[#This Row],[Buy Window End]])</f>
        <v>#VALUE!</v>
      </c>
      <c r="O341" t="str">
        <f>_xlfn.XLOOKUP(tbl_MTG_Set[[#This Row],[Type Name]], tbl_MTG_Set_Type[Set Type], tbl_MTG_Set_Type[Heavy Printing Window Month Start], "(Set Type not found)", 0, 1)</f>
        <v>(Set Type not found)</v>
      </c>
      <c r="P341" s="3" t="e">
        <f>tbl_MTG_Set[[#This Row],[Released On]]+tbl_MTG_Set[[#This Row],[Heavy Printing Window Month Start]]*365.25/12</f>
        <v>#VALUE!</v>
      </c>
      <c r="Q341" t="str">
        <f>_xlfn.XLOOKUP(tbl_MTG_Set[[#This Row],[Type Name]], tbl_MTG_Set_Type[Set Type], tbl_MTG_Set_Type[Heavy Printing Window Month End], "(Set Type not found)", 0, 1)</f>
        <v>(Set Type not found)</v>
      </c>
      <c r="R341" s="3" t="e">
        <f>tbl_MTG_Set[[#This Row],[Released On]]+tbl_MTG_Set[[#This Row],[Heavy Printing Window Month End]]*365.25/12</f>
        <v>#VALUE!</v>
      </c>
      <c r="S341" s="3" t="e">
        <f ca="1">AND(NOW()&gt;=tbl_MTG_Set[[#This Row],[Heavy Printing Window Start]], NOW()&lt;=tbl_MTG_Set[[#This Row],[Heavy Printing Window End]])</f>
        <v>#VALUE!</v>
      </c>
      <c r="T341" t="str">
        <f>_xlfn.XLOOKUP(tbl_MTG_Set[[#This Row],[Type Name]], tbl_MTG_Set_Type[Set Type], tbl_MTG_Set_Type[Sell Window Month Start], "(Set Type not found)", 0, 1)</f>
        <v>(Set Type not found)</v>
      </c>
      <c r="U341" s="3" t="e">
        <f>tbl_MTG_Set[[#This Row],[Released On]]+tbl_MTG_Set[[#This Row],[Sell Window Month Start]]*365.25/12</f>
        <v>#VALUE!</v>
      </c>
      <c r="V341" t="str">
        <f>_xlfn.XLOOKUP(tbl_MTG_Set[[#This Row],[Type Name]], tbl_MTG_Set_Type[Set Type], tbl_MTG_Set_Type[Sell Window Month End], "(Set Type not found)", 0, 1)</f>
        <v>(Set Type not found)</v>
      </c>
      <c r="W341" s="3" t="e">
        <f>tbl_MTG_Set[[#This Row],[Released On]]+tbl_MTG_Set[[#This Row],[Sell Window Month End]]*365.25/12</f>
        <v>#VALUE!</v>
      </c>
      <c r="X341" s="3" t="e">
        <f ca="1">AND(NOW()&gt;=tbl_MTG_Set[[#This Row],[Sell Window Start]], NOW()&lt;=tbl_MTG_Set[[#This Row],[Sell Window End]])</f>
        <v>#VALUE!</v>
      </c>
      <c r="AG341" s="10"/>
      <c r="AH341" s="10"/>
      <c r="AM341" s="10" t="str" cm="1">
        <f t="array" ref="AM3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1" s="10" t="str" cm="1">
        <f t="array" ref="AN3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1" s="4" t="e">
        <f>_xlfn.XLOOKUP(tbl_MTG_Set[[#This Row],[Play Booster Box Product Id]], tbl_Product[Product Id], tbl_Product[Pack Size])</f>
        <v>#N/A</v>
      </c>
      <c r="AP341" s="10" t="e">
        <f>(tbl_MTG_Set[[#This Row],[Play Booster Box Cost]]+v_Item_Shipping_Cost_In)/tbl_MTG_Set[[#This Row],[Play Booster Box Size]]</f>
        <v>#VALUE!</v>
      </c>
      <c r="AQ341" s="10" t="str" cm="1">
        <f t="array" ref="AQ3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1" s="10"/>
      <c r="AS341" s="10"/>
      <c r="AT341" s="17" t="e">
        <f>tbl_MTG_Set[[#This Row],[Play Booster CardMarket Profit]]/tbl_MTG_Set[[#This Row],[Play Booster Cost]]</f>
        <v>#VALUE!</v>
      </c>
      <c r="AU341" s="10" t="e">
        <f>_xlfn.XLOOKUP(tbl_MTG_Set[[#This Row],[Collector Booster Box Product Id]], tbl_Product[Product Id], tbl_Product[Min Cost])</f>
        <v>#N/A</v>
      </c>
      <c r="AV341" s="10" t="e">
        <f>_xlfn.XLOOKUP(tbl_MTG_Set[[#This Row],[Collector Booster Box Product Id]], tbl_Product[Product Id], tbl_Product[Best Source])</f>
        <v>#N/A</v>
      </c>
      <c r="AW341" s="4" t="e">
        <f>_xlfn.XLOOKUP(tbl_MTG_Set[[#This Row],[Collector Booster Box Product Id]], tbl_Product[Product Id], tbl_Product[Pack Size])</f>
        <v>#N/A</v>
      </c>
      <c r="AX341" s="10" t="e">
        <f>(tbl_MTG_Set[[#This Row],[Collector Booster Box Cost]] + v_Item_Shipping_Cost_In) / tbl_MTG_Set[[#This Row],[Collector Booster Box Size]]</f>
        <v>#N/A</v>
      </c>
      <c r="AY341" s="10" t="str" cm="1">
        <f t="array" ref="AY3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1" s="10"/>
      <c r="BA3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1" s="17" t="e">
        <f>tbl_MTG_Set[[#This Row],[Collector Booster CardMarket Profit]]/tbl_MTG_Set[[#This Row],[Collector Booster Cost]]</f>
        <v>#N/A</v>
      </c>
      <c r="BC341" s="10"/>
      <c r="BF3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1" s="11" t="e">
        <f>tbl_MTG_Set[[#This Row],[Play Singles CardMarket Profit MTG Stocks]]/tbl_MTG_Set[[#This Row],[Play Booster Cost]]</f>
        <v>#VALUE!</v>
      </c>
      <c r="BI341" s="11" t="b">
        <f>tbl_MTG_Set[[#This Row],[Play Singles CardMarket Profit MTG Stocks]]&gt;0</f>
        <v>0</v>
      </c>
      <c r="BM341" s="10" t="e">
        <f>tbl_MTG_Set[[#This Row],[Play Booster Sell Price CardMarket]]*tbl_MTG_Set[[#This Row],[Play Booster Expected Market Value BotBox]]/tbl_MTG_Set[[#This Row],[Play Booster Sealed Market Value BotBox]]</f>
        <v>#VALUE!</v>
      </c>
      <c r="BN3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1" s="10" t="e">
        <f>tbl_MTG_Set[[#This Row],[Play Singles CardMarket Profit BotBox]]/tbl_MTG_Set[[#This Row],[Play Booster Cost]]</f>
        <v>#VALUE!</v>
      </c>
      <c r="BP341" s="10" t="b">
        <f>tbl_MTG_Set[[#This Row],[Play Singles CardMarket Profit BotBox]]&gt;0</f>
        <v>0</v>
      </c>
      <c r="BQ341" s="10"/>
      <c r="BR341" s="10"/>
      <c r="BS341" s="10"/>
      <c r="BT3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1" s="19" t="e">
        <f>tbl_MTG_Set[[#This Row],[Collector Singles CardMarket Profit MTG Stocks]]/tbl_MTG_Set[[#This Row],[Collector Booster Cost]]</f>
        <v>#N/A</v>
      </c>
      <c r="BW341" s="10" t="b">
        <f>tbl_MTG_Set[[#This Row],[Collector Singles CardMarket Profit MTG Stocks]]&gt;0</f>
        <v>0</v>
      </c>
      <c r="BX341" s="10"/>
      <c r="BY341" s="10"/>
      <c r="BZ3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1" s="10" t="e">
        <f>tbl_MTG_Set[[#This Row],[Collector Singles CardMarket Profit BotBox]]/tbl_MTG_Set[[#This Row],[Collector Booster Cost]]</f>
        <v>#N/A</v>
      </c>
      <c r="CC341" s="10" t="b">
        <f>tbl_MTG_Set[[#This Row],[Collector Singles CardMarket Profit BotBox]]&gt;0</f>
        <v>0</v>
      </c>
      <c r="CD3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2" spans="1:86" hidden="1">
      <c r="A342">
        <v>370</v>
      </c>
      <c r="B342" t="s">
        <v>515</v>
      </c>
      <c r="C342">
        <v>5050</v>
      </c>
      <c r="D342" s="3">
        <v>44100</v>
      </c>
      <c r="F342" t="s">
        <v>174</v>
      </c>
      <c r="G342">
        <v>686</v>
      </c>
      <c r="H342">
        <f ca="1">MONTH(NOW())+12*YEAR(NOW())-MONTH(tbl_MTG_Set[[#This Row],[Released On]])-12*YEAR(tbl_MTG_Set[[#This Row],[Released On]])</f>
        <v>66</v>
      </c>
      <c r="I342" t="str">
        <f>_xlfn.XLOOKUP(tbl_MTG_Set[[#This Row],[Type Name]], tbl_MTG_Set_Type[Set Type], tbl_MTG_Set_Type[Index], "(Set Type not found)")</f>
        <v>(Set Type not found)</v>
      </c>
      <c r="J342" t="str">
        <f>_xlfn.XLOOKUP(tbl_MTG_Set[[#This Row],[Type Name]], tbl_MTG_Set_Type[Set Type], tbl_MTG_Set_Type[Buy Window Month Start], "(Set Type not found)")</f>
        <v>(Set Type not found)</v>
      </c>
      <c r="K342" s="3" t="e">
        <f>tbl_MTG_Set[[#This Row],[Released On]]+tbl_MTG_Set[[#This Row],[Buy Window Month Start]]*365.25/12</f>
        <v>#VALUE!</v>
      </c>
      <c r="L342" t="str">
        <f>_xlfn.XLOOKUP(tbl_MTG_Set[[#This Row],[Type Name]], tbl_MTG_Set_Type[Set Type], tbl_MTG_Set_Type[Buy Window Month End], "(Set Type not found)", 0, 1)</f>
        <v>(Set Type not found)</v>
      </c>
      <c r="M342" s="3" t="e">
        <f>tbl_MTG_Set[[#This Row],[Released On]]+tbl_MTG_Set[[#This Row],[Buy Window Month End]]*365.25/12</f>
        <v>#VALUE!</v>
      </c>
      <c r="N342" s="3" t="e">
        <f ca="1">AND(NOW()&gt;=tbl_MTG_Set[[#This Row],[Buy Window Start]], NOW()&lt;=tbl_MTG_Set[[#This Row],[Buy Window End]])</f>
        <v>#VALUE!</v>
      </c>
      <c r="O342" t="str">
        <f>_xlfn.XLOOKUP(tbl_MTG_Set[[#This Row],[Type Name]], tbl_MTG_Set_Type[Set Type], tbl_MTG_Set_Type[Heavy Printing Window Month Start], "(Set Type not found)", 0, 1)</f>
        <v>(Set Type not found)</v>
      </c>
      <c r="P342" s="3" t="e">
        <f>tbl_MTG_Set[[#This Row],[Released On]]+tbl_MTG_Set[[#This Row],[Heavy Printing Window Month Start]]*365.25/12</f>
        <v>#VALUE!</v>
      </c>
      <c r="Q342" t="str">
        <f>_xlfn.XLOOKUP(tbl_MTG_Set[[#This Row],[Type Name]], tbl_MTG_Set_Type[Set Type], tbl_MTG_Set_Type[Heavy Printing Window Month End], "(Set Type not found)", 0, 1)</f>
        <v>(Set Type not found)</v>
      </c>
      <c r="R342" s="3" t="e">
        <f>tbl_MTG_Set[[#This Row],[Released On]]+tbl_MTG_Set[[#This Row],[Heavy Printing Window Month End]]*365.25/12</f>
        <v>#VALUE!</v>
      </c>
      <c r="S342" s="3" t="e">
        <f ca="1">AND(NOW()&gt;=tbl_MTG_Set[[#This Row],[Heavy Printing Window Start]], NOW()&lt;=tbl_MTG_Set[[#This Row],[Heavy Printing Window End]])</f>
        <v>#VALUE!</v>
      </c>
      <c r="T342" t="str">
        <f>_xlfn.XLOOKUP(tbl_MTG_Set[[#This Row],[Type Name]], tbl_MTG_Set_Type[Set Type], tbl_MTG_Set_Type[Sell Window Month Start], "(Set Type not found)", 0, 1)</f>
        <v>(Set Type not found)</v>
      </c>
      <c r="U342" s="3" t="e">
        <f>tbl_MTG_Set[[#This Row],[Released On]]+tbl_MTG_Set[[#This Row],[Sell Window Month Start]]*365.25/12</f>
        <v>#VALUE!</v>
      </c>
      <c r="V342" t="str">
        <f>_xlfn.XLOOKUP(tbl_MTG_Set[[#This Row],[Type Name]], tbl_MTG_Set_Type[Set Type], tbl_MTG_Set_Type[Sell Window Month End], "(Set Type not found)", 0, 1)</f>
        <v>(Set Type not found)</v>
      </c>
      <c r="W342" s="3" t="e">
        <f>tbl_MTG_Set[[#This Row],[Released On]]+tbl_MTG_Set[[#This Row],[Sell Window Month End]]*365.25/12</f>
        <v>#VALUE!</v>
      </c>
      <c r="X342" s="3" t="e">
        <f ca="1">AND(NOW()&gt;=tbl_MTG_Set[[#This Row],[Sell Window Start]], NOW()&lt;=tbl_MTG_Set[[#This Row],[Sell Window End]])</f>
        <v>#VALUE!</v>
      </c>
      <c r="AG342" s="10"/>
      <c r="AH342" s="10"/>
      <c r="AM342" s="10" t="str" cm="1">
        <f t="array" ref="AM3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2" s="10" t="str" cm="1">
        <f t="array" ref="AN3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2" s="4" t="e">
        <f>_xlfn.XLOOKUP(tbl_MTG_Set[[#This Row],[Play Booster Box Product Id]], tbl_Product[Product Id], tbl_Product[Pack Size])</f>
        <v>#N/A</v>
      </c>
      <c r="AP342" s="10" t="e">
        <f>(tbl_MTG_Set[[#This Row],[Play Booster Box Cost]]+v_Item_Shipping_Cost_In)/tbl_MTG_Set[[#This Row],[Play Booster Box Size]]</f>
        <v>#VALUE!</v>
      </c>
      <c r="AQ342" s="10" t="str" cm="1">
        <f t="array" ref="AQ3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2" s="10"/>
      <c r="AS342" s="10"/>
      <c r="AT342" s="17" t="e">
        <f>tbl_MTG_Set[[#This Row],[Play Booster CardMarket Profit]]/tbl_MTG_Set[[#This Row],[Play Booster Cost]]</f>
        <v>#VALUE!</v>
      </c>
      <c r="AU342" s="10" t="e">
        <f>_xlfn.XLOOKUP(tbl_MTG_Set[[#This Row],[Collector Booster Box Product Id]], tbl_Product[Product Id], tbl_Product[Min Cost])</f>
        <v>#N/A</v>
      </c>
      <c r="AV342" s="10" t="e">
        <f>_xlfn.XLOOKUP(tbl_MTG_Set[[#This Row],[Collector Booster Box Product Id]], tbl_Product[Product Id], tbl_Product[Best Source])</f>
        <v>#N/A</v>
      </c>
      <c r="AW342" s="4" t="e">
        <f>_xlfn.XLOOKUP(tbl_MTG_Set[[#This Row],[Collector Booster Box Product Id]], tbl_Product[Product Id], tbl_Product[Pack Size])</f>
        <v>#N/A</v>
      </c>
      <c r="AX342" s="10" t="e">
        <f>(tbl_MTG_Set[[#This Row],[Collector Booster Box Cost]] + v_Item_Shipping_Cost_In) / tbl_MTG_Set[[#This Row],[Collector Booster Box Size]]</f>
        <v>#N/A</v>
      </c>
      <c r="AY342" s="10" t="str" cm="1">
        <f t="array" ref="AY3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2" s="10"/>
      <c r="BA3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2" s="17" t="e">
        <f>tbl_MTG_Set[[#This Row],[Collector Booster CardMarket Profit]]/tbl_MTG_Set[[#This Row],[Collector Booster Cost]]</f>
        <v>#N/A</v>
      </c>
      <c r="BC342" s="10"/>
      <c r="BF3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2" s="11" t="e">
        <f>tbl_MTG_Set[[#This Row],[Play Singles CardMarket Profit MTG Stocks]]/tbl_MTG_Set[[#This Row],[Play Booster Cost]]</f>
        <v>#VALUE!</v>
      </c>
      <c r="BI342" s="11" t="b">
        <f>tbl_MTG_Set[[#This Row],[Play Singles CardMarket Profit MTG Stocks]]&gt;0</f>
        <v>0</v>
      </c>
      <c r="BM342" s="10" t="e">
        <f>tbl_MTG_Set[[#This Row],[Play Booster Sell Price CardMarket]]*tbl_MTG_Set[[#This Row],[Play Booster Expected Market Value BotBox]]/tbl_MTG_Set[[#This Row],[Play Booster Sealed Market Value BotBox]]</f>
        <v>#VALUE!</v>
      </c>
      <c r="BN3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2" s="10" t="e">
        <f>tbl_MTG_Set[[#This Row],[Play Singles CardMarket Profit BotBox]]/tbl_MTG_Set[[#This Row],[Play Booster Cost]]</f>
        <v>#VALUE!</v>
      </c>
      <c r="BP342" s="10" t="b">
        <f>tbl_MTG_Set[[#This Row],[Play Singles CardMarket Profit BotBox]]&gt;0</f>
        <v>0</v>
      </c>
      <c r="BQ342" s="10"/>
      <c r="BR342" s="10"/>
      <c r="BS342" s="10"/>
      <c r="BT3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2" s="19" t="e">
        <f>tbl_MTG_Set[[#This Row],[Collector Singles CardMarket Profit MTG Stocks]]/tbl_MTG_Set[[#This Row],[Collector Booster Cost]]</f>
        <v>#N/A</v>
      </c>
      <c r="BW342" s="10" t="b">
        <f>tbl_MTG_Set[[#This Row],[Collector Singles CardMarket Profit MTG Stocks]]&gt;0</f>
        <v>0</v>
      </c>
      <c r="BX342" s="10"/>
      <c r="BY342" s="10"/>
      <c r="BZ3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2" s="10" t="e">
        <f>tbl_MTG_Set[[#This Row],[Collector Singles CardMarket Profit BotBox]]/tbl_MTG_Set[[#This Row],[Collector Booster Cost]]</f>
        <v>#N/A</v>
      </c>
      <c r="CC342" s="10" t="b">
        <f>tbl_MTG_Set[[#This Row],[Collector Singles CardMarket Profit BotBox]]&gt;0</f>
        <v>0</v>
      </c>
      <c r="CD3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3" spans="1:86" hidden="1">
      <c r="A343">
        <v>371</v>
      </c>
      <c r="B343" t="s">
        <v>516</v>
      </c>
      <c r="C343">
        <v>62</v>
      </c>
      <c r="D343" s="3">
        <v>44841</v>
      </c>
      <c r="F343" t="s">
        <v>174</v>
      </c>
      <c r="G343">
        <v>688</v>
      </c>
      <c r="H343">
        <f ca="1">MONTH(NOW())+12*YEAR(NOW())-MONTH(tbl_MTG_Set[[#This Row],[Released On]])-12*YEAR(tbl_MTG_Set[[#This Row],[Released On]])</f>
        <v>41</v>
      </c>
      <c r="I343" t="str">
        <f>_xlfn.XLOOKUP(tbl_MTG_Set[[#This Row],[Type Name]], tbl_MTG_Set_Type[Set Type], tbl_MTG_Set_Type[Index], "(Set Type not found)")</f>
        <v>(Set Type not found)</v>
      </c>
      <c r="J343" t="str">
        <f>_xlfn.XLOOKUP(tbl_MTG_Set[[#This Row],[Type Name]], tbl_MTG_Set_Type[Set Type], tbl_MTG_Set_Type[Buy Window Month Start], "(Set Type not found)")</f>
        <v>(Set Type not found)</v>
      </c>
      <c r="K343" s="3" t="e">
        <f>tbl_MTG_Set[[#This Row],[Released On]]+tbl_MTG_Set[[#This Row],[Buy Window Month Start]]*365.25/12</f>
        <v>#VALUE!</v>
      </c>
      <c r="L343" t="str">
        <f>_xlfn.XLOOKUP(tbl_MTG_Set[[#This Row],[Type Name]], tbl_MTG_Set_Type[Set Type], tbl_MTG_Set_Type[Buy Window Month End], "(Set Type not found)", 0, 1)</f>
        <v>(Set Type not found)</v>
      </c>
      <c r="M343" s="3" t="e">
        <f>tbl_MTG_Set[[#This Row],[Released On]]+tbl_MTG_Set[[#This Row],[Buy Window Month End]]*365.25/12</f>
        <v>#VALUE!</v>
      </c>
      <c r="N343" s="3" t="e">
        <f ca="1">AND(NOW()&gt;=tbl_MTG_Set[[#This Row],[Buy Window Start]], NOW()&lt;=tbl_MTG_Set[[#This Row],[Buy Window End]])</f>
        <v>#VALUE!</v>
      </c>
      <c r="O343" t="str">
        <f>_xlfn.XLOOKUP(tbl_MTG_Set[[#This Row],[Type Name]], tbl_MTG_Set_Type[Set Type], tbl_MTG_Set_Type[Heavy Printing Window Month Start], "(Set Type not found)", 0, 1)</f>
        <v>(Set Type not found)</v>
      </c>
      <c r="P343" s="3" t="e">
        <f>tbl_MTG_Set[[#This Row],[Released On]]+tbl_MTG_Set[[#This Row],[Heavy Printing Window Month Start]]*365.25/12</f>
        <v>#VALUE!</v>
      </c>
      <c r="Q343" t="str">
        <f>_xlfn.XLOOKUP(tbl_MTG_Set[[#This Row],[Type Name]], tbl_MTG_Set_Type[Set Type], tbl_MTG_Set_Type[Heavy Printing Window Month End], "(Set Type not found)", 0, 1)</f>
        <v>(Set Type not found)</v>
      </c>
      <c r="R343" s="3" t="e">
        <f>tbl_MTG_Set[[#This Row],[Released On]]+tbl_MTG_Set[[#This Row],[Heavy Printing Window Month End]]*365.25/12</f>
        <v>#VALUE!</v>
      </c>
      <c r="S343" s="3" t="e">
        <f ca="1">AND(NOW()&gt;=tbl_MTG_Set[[#This Row],[Heavy Printing Window Start]], NOW()&lt;=tbl_MTG_Set[[#This Row],[Heavy Printing Window End]])</f>
        <v>#VALUE!</v>
      </c>
      <c r="T343" t="str">
        <f>_xlfn.XLOOKUP(tbl_MTG_Set[[#This Row],[Type Name]], tbl_MTG_Set_Type[Set Type], tbl_MTG_Set_Type[Sell Window Month Start], "(Set Type not found)", 0, 1)</f>
        <v>(Set Type not found)</v>
      </c>
      <c r="U343" s="3" t="e">
        <f>tbl_MTG_Set[[#This Row],[Released On]]+tbl_MTG_Set[[#This Row],[Sell Window Month Start]]*365.25/12</f>
        <v>#VALUE!</v>
      </c>
      <c r="V343" t="str">
        <f>_xlfn.XLOOKUP(tbl_MTG_Set[[#This Row],[Type Name]], tbl_MTG_Set_Type[Set Type], tbl_MTG_Set_Type[Sell Window Month End], "(Set Type not found)", 0, 1)</f>
        <v>(Set Type not found)</v>
      </c>
      <c r="W343" s="3" t="e">
        <f>tbl_MTG_Set[[#This Row],[Released On]]+tbl_MTG_Set[[#This Row],[Sell Window Month End]]*365.25/12</f>
        <v>#VALUE!</v>
      </c>
      <c r="X343" s="3" t="e">
        <f ca="1">AND(NOW()&gt;=tbl_MTG_Set[[#This Row],[Sell Window Start]], NOW()&lt;=tbl_MTG_Set[[#This Row],[Sell Window End]])</f>
        <v>#VALUE!</v>
      </c>
      <c r="AG343" s="10"/>
      <c r="AH343" s="10"/>
      <c r="AM343" s="10" t="str" cm="1">
        <f t="array" ref="AM3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3" s="10" t="str" cm="1">
        <f t="array" ref="AN3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3" s="4" t="e">
        <f>_xlfn.XLOOKUP(tbl_MTG_Set[[#This Row],[Play Booster Box Product Id]], tbl_Product[Product Id], tbl_Product[Pack Size])</f>
        <v>#N/A</v>
      </c>
      <c r="AP343" s="10" t="e">
        <f>(tbl_MTG_Set[[#This Row],[Play Booster Box Cost]]+v_Item_Shipping_Cost_In)/tbl_MTG_Set[[#This Row],[Play Booster Box Size]]</f>
        <v>#VALUE!</v>
      </c>
      <c r="AQ343" s="10" t="str" cm="1">
        <f t="array" ref="AQ3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3" s="10"/>
      <c r="AS343" s="10"/>
      <c r="AT343" s="17" t="e">
        <f>tbl_MTG_Set[[#This Row],[Play Booster CardMarket Profit]]/tbl_MTG_Set[[#This Row],[Play Booster Cost]]</f>
        <v>#VALUE!</v>
      </c>
      <c r="AU343" s="10" t="e">
        <f>_xlfn.XLOOKUP(tbl_MTG_Set[[#This Row],[Collector Booster Box Product Id]], tbl_Product[Product Id], tbl_Product[Min Cost])</f>
        <v>#N/A</v>
      </c>
      <c r="AV343" s="10" t="e">
        <f>_xlfn.XLOOKUP(tbl_MTG_Set[[#This Row],[Collector Booster Box Product Id]], tbl_Product[Product Id], tbl_Product[Best Source])</f>
        <v>#N/A</v>
      </c>
      <c r="AW343" s="4" t="e">
        <f>_xlfn.XLOOKUP(tbl_MTG_Set[[#This Row],[Collector Booster Box Product Id]], tbl_Product[Product Id], tbl_Product[Pack Size])</f>
        <v>#N/A</v>
      </c>
      <c r="AX343" s="10" t="e">
        <f>(tbl_MTG_Set[[#This Row],[Collector Booster Box Cost]] + v_Item_Shipping_Cost_In) / tbl_MTG_Set[[#This Row],[Collector Booster Box Size]]</f>
        <v>#N/A</v>
      </c>
      <c r="AY343" s="10" t="str" cm="1">
        <f t="array" ref="AY3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3" s="10"/>
      <c r="BA3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3" s="17" t="e">
        <f>tbl_MTG_Set[[#This Row],[Collector Booster CardMarket Profit]]/tbl_MTG_Set[[#This Row],[Collector Booster Cost]]</f>
        <v>#N/A</v>
      </c>
      <c r="BC343" s="10"/>
      <c r="BF3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3" s="11" t="e">
        <f>tbl_MTG_Set[[#This Row],[Play Singles CardMarket Profit MTG Stocks]]/tbl_MTG_Set[[#This Row],[Play Booster Cost]]</f>
        <v>#VALUE!</v>
      </c>
      <c r="BI343" s="11" t="b">
        <f>tbl_MTG_Set[[#This Row],[Play Singles CardMarket Profit MTG Stocks]]&gt;0</f>
        <v>0</v>
      </c>
      <c r="BM343" s="10" t="e">
        <f>tbl_MTG_Set[[#This Row],[Play Booster Sell Price CardMarket]]*tbl_MTG_Set[[#This Row],[Play Booster Expected Market Value BotBox]]/tbl_MTG_Set[[#This Row],[Play Booster Sealed Market Value BotBox]]</f>
        <v>#VALUE!</v>
      </c>
      <c r="BN3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3" s="10" t="e">
        <f>tbl_MTG_Set[[#This Row],[Play Singles CardMarket Profit BotBox]]/tbl_MTG_Set[[#This Row],[Play Booster Cost]]</f>
        <v>#VALUE!</v>
      </c>
      <c r="BP343" s="10" t="b">
        <f>tbl_MTG_Set[[#This Row],[Play Singles CardMarket Profit BotBox]]&gt;0</f>
        <v>0</v>
      </c>
      <c r="BQ343" s="10"/>
      <c r="BR343" s="10"/>
      <c r="BS343" s="10"/>
      <c r="BT3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3" s="19" t="e">
        <f>tbl_MTG_Set[[#This Row],[Collector Singles CardMarket Profit MTG Stocks]]/tbl_MTG_Set[[#This Row],[Collector Booster Cost]]</f>
        <v>#N/A</v>
      </c>
      <c r="BW343" s="10" t="b">
        <f>tbl_MTG_Set[[#This Row],[Collector Singles CardMarket Profit MTG Stocks]]&gt;0</f>
        <v>0</v>
      </c>
      <c r="BX343" s="10"/>
      <c r="BY343" s="10"/>
      <c r="BZ3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3" s="10" t="e">
        <f>tbl_MTG_Set[[#This Row],[Collector Singles CardMarket Profit BotBox]]/tbl_MTG_Set[[#This Row],[Collector Booster Cost]]</f>
        <v>#N/A</v>
      </c>
      <c r="CC343" s="10" t="b">
        <f>tbl_MTG_Set[[#This Row],[Collector Singles CardMarket Profit BotBox]]&gt;0</f>
        <v>0</v>
      </c>
      <c r="CD3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4" spans="1:86" hidden="1">
      <c r="A344">
        <v>372</v>
      </c>
      <c r="B344" t="s">
        <v>517</v>
      </c>
      <c r="C344">
        <v>408</v>
      </c>
      <c r="D344" s="3">
        <v>44099</v>
      </c>
      <c r="E344" t="s">
        <v>59</v>
      </c>
      <c r="F344" t="s">
        <v>174</v>
      </c>
      <c r="G344">
        <v>690</v>
      </c>
      <c r="H344">
        <f ca="1">MONTH(NOW())+12*YEAR(NOW())-MONTH(tbl_MTG_Set[[#This Row],[Released On]])-12*YEAR(tbl_MTG_Set[[#This Row],[Released On]])</f>
        <v>66</v>
      </c>
      <c r="I344">
        <f>_xlfn.XLOOKUP(tbl_MTG_Set[[#This Row],[Type Name]], tbl_MTG_Set_Type[Set Type], tbl_MTG_Set_Type[Index], "(Set Type not found)")</f>
        <v>1</v>
      </c>
      <c r="J344">
        <f>_xlfn.XLOOKUP(tbl_MTG_Set[[#This Row],[Type Name]], tbl_MTG_Set_Type[Set Type], tbl_MTG_Set_Type[Buy Window Month Start], "(Set Type not found)")</f>
        <v>18</v>
      </c>
      <c r="K344" s="3">
        <f>tbl_MTG_Set[[#This Row],[Released On]]+tbl_MTG_Set[[#This Row],[Buy Window Month Start]]*365.25/12</f>
        <v>44646.875</v>
      </c>
      <c r="L344">
        <f>_xlfn.XLOOKUP(tbl_MTG_Set[[#This Row],[Type Name]], tbl_MTG_Set_Type[Set Type], tbl_MTG_Set_Type[Buy Window Month End], "(Set Type not found)", 0, 1)</f>
        <v>24</v>
      </c>
      <c r="M344" s="3">
        <f>tbl_MTG_Set[[#This Row],[Released On]]+tbl_MTG_Set[[#This Row],[Buy Window Month End]]*365.25/12</f>
        <v>44829.5</v>
      </c>
      <c r="N344" s="3" t="b">
        <f ca="1">AND(NOW()&gt;=tbl_MTG_Set[[#This Row],[Buy Window Start]], NOW()&lt;=tbl_MTG_Set[[#This Row],[Buy Window End]])</f>
        <v>0</v>
      </c>
      <c r="O344">
        <f>_xlfn.XLOOKUP(tbl_MTG_Set[[#This Row],[Type Name]], tbl_MTG_Set_Type[Set Type], tbl_MTG_Set_Type[Heavy Printing Window Month Start], "(Set Type not found)", 0, 1)</f>
        <v>1</v>
      </c>
      <c r="P344" s="3">
        <f>tbl_MTG_Set[[#This Row],[Released On]]+tbl_MTG_Set[[#This Row],[Heavy Printing Window Month Start]]*365.25/12</f>
        <v>44129.4375</v>
      </c>
      <c r="Q344">
        <f>_xlfn.XLOOKUP(tbl_MTG_Set[[#This Row],[Type Name]], tbl_MTG_Set_Type[Set Type], tbl_MTG_Set_Type[Heavy Printing Window Month End], "(Set Type not found)", 0, 1)</f>
        <v>18</v>
      </c>
      <c r="R344" s="3">
        <f>tbl_MTG_Set[[#This Row],[Released On]]+tbl_MTG_Set[[#This Row],[Heavy Printing Window Month End]]*365.25/12</f>
        <v>44646.875</v>
      </c>
      <c r="S344" s="3" t="b">
        <f ca="1">AND(NOW()&gt;=tbl_MTG_Set[[#This Row],[Heavy Printing Window Start]], NOW()&lt;=tbl_MTG_Set[[#This Row],[Heavy Printing Window End]])</f>
        <v>0</v>
      </c>
      <c r="T344">
        <f>_xlfn.XLOOKUP(tbl_MTG_Set[[#This Row],[Type Name]], tbl_MTG_Set_Type[Set Type], tbl_MTG_Set_Type[Sell Window Month Start], "(Set Type not found)", 0, 1)</f>
        <v>36</v>
      </c>
      <c r="U344" s="3">
        <f>tbl_MTG_Set[[#This Row],[Released On]]+tbl_MTG_Set[[#This Row],[Sell Window Month Start]]*365.25/12</f>
        <v>45194.75</v>
      </c>
      <c r="V344">
        <f>_xlfn.XLOOKUP(tbl_MTG_Set[[#This Row],[Type Name]], tbl_MTG_Set_Type[Set Type], tbl_MTG_Set_Type[Sell Window Month End], "(Set Type not found)", 0, 1)</f>
        <v>48</v>
      </c>
      <c r="W344" s="3">
        <f>tbl_MTG_Set[[#This Row],[Released On]]+tbl_MTG_Set[[#This Row],[Sell Window Month End]]*365.25/12</f>
        <v>45560</v>
      </c>
      <c r="X344" s="3" t="b">
        <f ca="1">AND(NOW()&gt;=tbl_MTG_Set[[#This Row],[Sell Window Start]], NOW()&lt;=tbl_MTG_Set[[#This Row],[Sell Window End]])</f>
        <v>0</v>
      </c>
      <c r="AG344" s="10"/>
      <c r="AH344" s="10"/>
      <c r="AM344" s="10" t="str" cm="1">
        <f t="array" ref="AM3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4" s="10" t="str" cm="1">
        <f t="array" ref="AN3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4" s="4" t="e">
        <f>_xlfn.XLOOKUP(tbl_MTG_Set[[#This Row],[Play Booster Box Product Id]], tbl_Product[Product Id], tbl_Product[Pack Size])</f>
        <v>#N/A</v>
      </c>
      <c r="AP344" s="10" t="e">
        <f>(tbl_MTG_Set[[#This Row],[Play Booster Box Cost]]+v_Item_Shipping_Cost_In)/tbl_MTG_Set[[#This Row],[Play Booster Box Size]]</f>
        <v>#VALUE!</v>
      </c>
      <c r="AQ344" s="10" t="str" cm="1">
        <f t="array" ref="AQ3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4" s="10"/>
      <c r="AS344" s="10"/>
      <c r="AT344" s="17" t="e">
        <f>tbl_MTG_Set[[#This Row],[Play Booster CardMarket Profit]]/tbl_MTG_Set[[#This Row],[Play Booster Cost]]</f>
        <v>#VALUE!</v>
      </c>
      <c r="AU344" s="10" t="e">
        <f>_xlfn.XLOOKUP(tbl_MTG_Set[[#This Row],[Collector Booster Box Product Id]], tbl_Product[Product Id], tbl_Product[Min Cost])</f>
        <v>#N/A</v>
      </c>
      <c r="AV344" s="10" t="e">
        <f>_xlfn.XLOOKUP(tbl_MTG_Set[[#This Row],[Collector Booster Box Product Id]], tbl_Product[Product Id], tbl_Product[Best Source])</f>
        <v>#N/A</v>
      </c>
      <c r="AW344" s="4" t="e">
        <f>_xlfn.XLOOKUP(tbl_MTG_Set[[#This Row],[Collector Booster Box Product Id]], tbl_Product[Product Id], tbl_Product[Pack Size])</f>
        <v>#N/A</v>
      </c>
      <c r="AX344" s="10" t="e">
        <f>(tbl_MTG_Set[[#This Row],[Collector Booster Box Cost]] + v_Item_Shipping_Cost_In) / tbl_MTG_Set[[#This Row],[Collector Booster Box Size]]</f>
        <v>#N/A</v>
      </c>
      <c r="AY344" s="10" t="str" cm="1">
        <f t="array" ref="AY3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4" s="10"/>
      <c r="BA3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4" s="17" t="e">
        <f>tbl_MTG_Set[[#This Row],[Collector Booster CardMarket Profit]]/tbl_MTG_Set[[#This Row],[Collector Booster Cost]]</f>
        <v>#N/A</v>
      </c>
      <c r="BC344" s="10"/>
      <c r="BF3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4" s="11" t="e">
        <f>tbl_MTG_Set[[#This Row],[Play Singles CardMarket Profit MTG Stocks]]/tbl_MTG_Set[[#This Row],[Play Booster Cost]]</f>
        <v>#VALUE!</v>
      </c>
      <c r="BI344" s="11" t="b">
        <f>tbl_MTG_Set[[#This Row],[Play Singles CardMarket Profit MTG Stocks]]&gt;0</f>
        <v>0</v>
      </c>
      <c r="BM344" s="10" t="e">
        <f>tbl_MTG_Set[[#This Row],[Play Booster Sell Price CardMarket]]*tbl_MTG_Set[[#This Row],[Play Booster Expected Market Value BotBox]]/tbl_MTG_Set[[#This Row],[Play Booster Sealed Market Value BotBox]]</f>
        <v>#VALUE!</v>
      </c>
      <c r="BN3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4" s="10" t="e">
        <f>tbl_MTG_Set[[#This Row],[Play Singles CardMarket Profit BotBox]]/tbl_MTG_Set[[#This Row],[Play Booster Cost]]</f>
        <v>#VALUE!</v>
      </c>
      <c r="BP344" s="10" t="b">
        <f>tbl_MTG_Set[[#This Row],[Play Singles CardMarket Profit BotBox]]&gt;0</f>
        <v>0</v>
      </c>
      <c r="BQ344" s="10"/>
      <c r="BR344" s="10"/>
      <c r="BS344" s="10"/>
      <c r="BT3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4" s="19" t="e">
        <f>tbl_MTG_Set[[#This Row],[Collector Singles CardMarket Profit MTG Stocks]]/tbl_MTG_Set[[#This Row],[Collector Booster Cost]]</f>
        <v>#N/A</v>
      </c>
      <c r="BW344" s="10" t="b">
        <f>tbl_MTG_Set[[#This Row],[Collector Singles CardMarket Profit MTG Stocks]]&gt;0</f>
        <v>0</v>
      </c>
      <c r="BX344" s="10"/>
      <c r="BY344" s="10"/>
      <c r="BZ3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4" s="10" t="e">
        <f>tbl_MTG_Set[[#This Row],[Collector Singles CardMarket Profit BotBox]]/tbl_MTG_Set[[#This Row],[Collector Booster Cost]]</f>
        <v>#N/A</v>
      </c>
      <c r="CC344" s="10" t="b">
        <f>tbl_MTG_Set[[#This Row],[Collector Singles CardMarket Profit BotBox]]&gt;0</f>
        <v>0</v>
      </c>
      <c r="CD3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5" spans="1:86" hidden="1">
      <c r="A345">
        <v>373</v>
      </c>
      <c r="B345" t="s">
        <v>518</v>
      </c>
      <c r="C345">
        <v>30</v>
      </c>
      <c r="D345" s="3">
        <v>44099</v>
      </c>
      <c r="E345" t="s">
        <v>59</v>
      </c>
      <c r="F345" t="s">
        <v>174</v>
      </c>
      <c r="G345">
        <v>692</v>
      </c>
      <c r="H345">
        <f ca="1">MONTH(NOW())+12*YEAR(NOW())-MONTH(tbl_MTG_Set[[#This Row],[Released On]])-12*YEAR(tbl_MTG_Set[[#This Row],[Released On]])</f>
        <v>66</v>
      </c>
      <c r="I345">
        <f>_xlfn.XLOOKUP(tbl_MTG_Set[[#This Row],[Type Name]], tbl_MTG_Set_Type[Set Type], tbl_MTG_Set_Type[Index], "(Set Type not found)")</f>
        <v>1</v>
      </c>
      <c r="J345">
        <f>_xlfn.XLOOKUP(tbl_MTG_Set[[#This Row],[Type Name]], tbl_MTG_Set_Type[Set Type], tbl_MTG_Set_Type[Buy Window Month Start], "(Set Type not found)")</f>
        <v>18</v>
      </c>
      <c r="K345" s="3">
        <f>tbl_MTG_Set[[#This Row],[Released On]]+tbl_MTG_Set[[#This Row],[Buy Window Month Start]]*365.25/12</f>
        <v>44646.875</v>
      </c>
      <c r="L345">
        <f>_xlfn.XLOOKUP(tbl_MTG_Set[[#This Row],[Type Name]], tbl_MTG_Set_Type[Set Type], tbl_MTG_Set_Type[Buy Window Month End], "(Set Type not found)", 0, 1)</f>
        <v>24</v>
      </c>
      <c r="M345" s="3">
        <f>tbl_MTG_Set[[#This Row],[Released On]]+tbl_MTG_Set[[#This Row],[Buy Window Month End]]*365.25/12</f>
        <v>44829.5</v>
      </c>
      <c r="N345" s="3" t="b">
        <f ca="1">AND(NOW()&gt;=tbl_MTG_Set[[#This Row],[Buy Window Start]], NOW()&lt;=tbl_MTG_Set[[#This Row],[Buy Window End]])</f>
        <v>0</v>
      </c>
      <c r="O345">
        <f>_xlfn.XLOOKUP(tbl_MTG_Set[[#This Row],[Type Name]], tbl_MTG_Set_Type[Set Type], tbl_MTG_Set_Type[Heavy Printing Window Month Start], "(Set Type not found)", 0, 1)</f>
        <v>1</v>
      </c>
      <c r="P345" s="3">
        <f>tbl_MTG_Set[[#This Row],[Released On]]+tbl_MTG_Set[[#This Row],[Heavy Printing Window Month Start]]*365.25/12</f>
        <v>44129.4375</v>
      </c>
      <c r="Q345">
        <f>_xlfn.XLOOKUP(tbl_MTG_Set[[#This Row],[Type Name]], tbl_MTG_Set_Type[Set Type], tbl_MTG_Set_Type[Heavy Printing Window Month End], "(Set Type not found)", 0, 1)</f>
        <v>18</v>
      </c>
      <c r="R345" s="3">
        <f>tbl_MTG_Set[[#This Row],[Released On]]+tbl_MTG_Set[[#This Row],[Heavy Printing Window Month End]]*365.25/12</f>
        <v>44646.875</v>
      </c>
      <c r="S345" s="3" t="b">
        <f ca="1">AND(NOW()&gt;=tbl_MTG_Set[[#This Row],[Heavy Printing Window Start]], NOW()&lt;=tbl_MTG_Set[[#This Row],[Heavy Printing Window End]])</f>
        <v>0</v>
      </c>
      <c r="T345">
        <f>_xlfn.XLOOKUP(tbl_MTG_Set[[#This Row],[Type Name]], tbl_MTG_Set_Type[Set Type], tbl_MTG_Set_Type[Sell Window Month Start], "(Set Type not found)", 0, 1)</f>
        <v>36</v>
      </c>
      <c r="U345" s="3">
        <f>tbl_MTG_Set[[#This Row],[Released On]]+tbl_MTG_Set[[#This Row],[Sell Window Month Start]]*365.25/12</f>
        <v>45194.75</v>
      </c>
      <c r="V345">
        <f>_xlfn.XLOOKUP(tbl_MTG_Set[[#This Row],[Type Name]], tbl_MTG_Set_Type[Set Type], tbl_MTG_Set_Type[Sell Window Month End], "(Set Type not found)", 0, 1)</f>
        <v>48</v>
      </c>
      <c r="W345" s="3">
        <f>tbl_MTG_Set[[#This Row],[Released On]]+tbl_MTG_Set[[#This Row],[Sell Window Month End]]*365.25/12</f>
        <v>45560</v>
      </c>
      <c r="X345" s="3" t="b">
        <f ca="1">AND(NOW()&gt;=tbl_MTG_Set[[#This Row],[Sell Window Start]], NOW()&lt;=tbl_MTG_Set[[#This Row],[Sell Window End]])</f>
        <v>0</v>
      </c>
      <c r="AG345" s="10"/>
      <c r="AH345" s="10"/>
      <c r="AM345" s="10" t="str" cm="1">
        <f t="array" ref="AM3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5" s="10" t="str" cm="1">
        <f t="array" ref="AN3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5" s="4" t="e">
        <f>_xlfn.XLOOKUP(tbl_MTG_Set[[#This Row],[Play Booster Box Product Id]], tbl_Product[Product Id], tbl_Product[Pack Size])</f>
        <v>#N/A</v>
      </c>
      <c r="AP345" s="10" t="e">
        <f>(tbl_MTG_Set[[#This Row],[Play Booster Box Cost]]+v_Item_Shipping_Cost_In)/tbl_MTG_Set[[#This Row],[Play Booster Box Size]]</f>
        <v>#VALUE!</v>
      </c>
      <c r="AQ345" s="10" t="str" cm="1">
        <f t="array" ref="AQ3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5" s="10"/>
      <c r="AS345" s="10"/>
      <c r="AT345" s="17" t="e">
        <f>tbl_MTG_Set[[#This Row],[Play Booster CardMarket Profit]]/tbl_MTG_Set[[#This Row],[Play Booster Cost]]</f>
        <v>#VALUE!</v>
      </c>
      <c r="AU345" s="10" t="e">
        <f>_xlfn.XLOOKUP(tbl_MTG_Set[[#This Row],[Collector Booster Box Product Id]], tbl_Product[Product Id], tbl_Product[Min Cost])</f>
        <v>#N/A</v>
      </c>
      <c r="AV345" s="10" t="e">
        <f>_xlfn.XLOOKUP(tbl_MTG_Set[[#This Row],[Collector Booster Box Product Id]], tbl_Product[Product Id], tbl_Product[Best Source])</f>
        <v>#N/A</v>
      </c>
      <c r="AW345" s="4" t="e">
        <f>_xlfn.XLOOKUP(tbl_MTG_Set[[#This Row],[Collector Booster Box Product Id]], tbl_Product[Product Id], tbl_Product[Pack Size])</f>
        <v>#N/A</v>
      </c>
      <c r="AX345" s="10" t="e">
        <f>(tbl_MTG_Set[[#This Row],[Collector Booster Box Cost]] + v_Item_Shipping_Cost_In) / tbl_MTG_Set[[#This Row],[Collector Booster Box Size]]</f>
        <v>#N/A</v>
      </c>
      <c r="AY345" s="10" t="str" cm="1">
        <f t="array" ref="AY3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5" s="10"/>
      <c r="BA3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5" s="17" t="e">
        <f>tbl_MTG_Set[[#This Row],[Collector Booster CardMarket Profit]]/tbl_MTG_Set[[#This Row],[Collector Booster Cost]]</f>
        <v>#N/A</v>
      </c>
      <c r="BC345" s="10"/>
      <c r="BF3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5" s="11" t="e">
        <f>tbl_MTG_Set[[#This Row],[Play Singles CardMarket Profit MTG Stocks]]/tbl_MTG_Set[[#This Row],[Play Booster Cost]]</f>
        <v>#VALUE!</v>
      </c>
      <c r="BI345" s="11" t="b">
        <f>tbl_MTG_Set[[#This Row],[Play Singles CardMarket Profit MTG Stocks]]&gt;0</f>
        <v>0</v>
      </c>
      <c r="BM345" s="10" t="e">
        <f>tbl_MTG_Set[[#This Row],[Play Booster Sell Price CardMarket]]*tbl_MTG_Set[[#This Row],[Play Booster Expected Market Value BotBox]]/tbl_MTG_Set[[#This Row],[Play Booster Sealed Market Value BotBox]]</f>
        <v>#VALUE!</v>
      </c>
      <c r="BN3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5" s="10" t="e">
        <f>tbl_MTG_Set[[#This Row],[Play Singles CardMarket Profit BotBox]]/tbl_MTG_Set[[#This Row],[Play Booster Cost]]</f>
        <v>#VALUE!</v>
      </c>
      <c r="BP345" s="10" t="b">
        <f>tbl_MTG_Set[[#This Row],[Play Singles CardMarket Profit BotBox]]&gt;0</f>
        <v>0</v>
      </c>
      <c r="BQ345" s="10"/>
      <c r="BR345" s="10"/>
      <c r="BS345" s="10"/>
      <c r="BT3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5" s="19" t="e">
        <f>tbl_MTG_Set[[#This Row],[Collector Singles CardMarket Profit MTG Stocks]]/tbl_MTG_Set[[#This Row],[Collector Booster Cost]]</f>
        <v>#N/A</v>
      </c>
      <c r="BW345" s="10" t="b">
        <f>tbl_MTG_Set[[#This Row],[Collector Singles CardMarket Profit MTG Stocks]]&gt;0</f>
        <v>0</v>
      </c>
      <c r="BX345" s="10"/>
      <c r="BY345" s="10"/>
      <c r="BZ3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5" s="10" t="e">
        <f>tbl_MTG_Set[[#This Row],[Collector Singles CardMarket Profit BotBox]]/tbl_MTG_Set[[#This Row],[Collector Booster Cost]]</f>
        <v>#N/A</v>
      </c>
      <c r="CC345" s="10" t="b">
        <f>tbl_MTG_Set[[#This Row],[Collector Singles CardMarket Profit BotBox]]&gt;0</f>
        <v>0</v>
      </c>
      <c r="CD3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6" spans="1:86" hidden="1">
      <c r="A346">
        <v>374</v>
      </c>
      <c r="B346" t="s">
        <v>519</v>
      </c>
      <c r="C346">
        <v>153</v>
      </c>
      <c r="D346" s="3">
        <v>44099</v>
      </c>
      <c r="E346" t="s">
        <v>59</v>
      </c>
      <c r="F346" t="s">
        <v>174</v>
      </c>
      <c r="G346">
        <v>694</v>
      </c>
      <c r="H346">
        <f ca="1">MONTH(NOW())+12*YEAR(NOW())-MONTH(tbl_MTG_Set[[#This Row],[Released On]])-12*YEAR(tbl_MTG_Set[[#This Row],[Released On]])</f>
        <v>66</v>
      </c>
      <c r="I346">
        <f>_xlfn.XLOOKUP(tbl_MTG_Set[[#This Row],[Type Name]], tbl_MTG_Set_Type[Set Type], tbl_MTG_Set_Type[Index], "(Set Type not found)")</f>
        <v>1</v>
      </c>
      <c r="J346">
        <f>_xlfn.XLOOKUP(tbl_MTG_Set[[#This Row],[Type Name]], tbl_MTG_Set_Type[Set Type], tbl_MTG_Set_Type[Buy Window Month Start], "(Set Type not found)")</f>
        <v>18</v>
      </c>
      <c r="K346" s="3">
        <f>tbl_MTG_Set[[#This Row],[Released On]]+tbl_MTG_Set[[#This Row],[Buy Window Month Start]]*365.25/12</f>
        <v>44646.875</v>
      </c>
      <c r="L346">
        <f>_xlfn.XLOOKUP(tbl_MTG_Set[[#This Row],[Type Name]], tbl_MTG_Set_Type[Set Type], tbl_MTG_Set_Type[Buy Window Month End], "(Set Type not found)", 0, 1)</f>
        <v>24</v>
      </c>
      <c r="M346" s="3">
        <f>tbl_MTG_Set[[#This Row],[Released On]]+tbl_MTG_Set[[#This Row],[Buy Window Month End]]*365.25/12</f>
        <v>44829.5</v>
      </c>
      <c r="N346" s="3" t="b">
        <f ca="1">AND(NOW()&gt;=tbl_MTG_Set[[#This Row],[Buy Window Start]], NOW()&lt;=tbl_MTG_Set[[#This Row],[Buy Window End]])</f>
        <v>0</v>
      </c>
      <c r="O346">
        <f>_xlfn.XLOOKUP(tbl_MTG_Set[[#This Row],[Type Name]], tbl_MTG_Set_Type[Set Type], tbl_MTG_Set_Type[Heavy Printing Window Month Start], "(Set Type not found)", 0, 1)</f>
        <v>1</v>
      </c>
      <c r="P346" s="3">
        <f>tbl_MTG_Set[[#This Row],[Released On]]+tbl_MTG_Set[[#This Row],[Heavy Printing Window Month Start]]*365.25/12</f>
        <v>44129.4375</v>
      </c>
      <c r="Q346">
        <f>_xlfn.XLOOKUP(tbl_MTG_Set[[#This Row],[Type Name]], tbl_MTG_Set_Type[Set Type], tbl_MTG_Set_Type[Heavy Printing Window Month End], "(Set Type not found)", 0, 1)</f>
        <v>18</v>
      </c>
      <c r="R346" s="3">
        <f>tbl_MTG_Set[[#This Row],[Released On]]+tbl_MTG_Set[[#This Row],[Heavy Printing Window Month End]]*365.25/12</f>
        <v>44646.875</v>
      </c>
      <c r="S346" s="3" t="b">
        <f ca="1">AND(NOW()&gt;=tbl_MTG_Set[[#This Row],[Heavy Printing Window Start]], NOW()&lt;=tbl_MTG_Set[[#This Row],[Heavy Printing Window End]])</f>
        <v>0</v>
      </c>
      <c r="T346">
        <f>_xlfn.XLOOKUP(tbl_MTG_Set[[#This Row],[Type Name]], tbl_MTG_Set_Type[Set Type], tbl_MTG_Set_Type[Sell Window Month Start], "(Set Type not found)", 0, 1)</f>
        <v>36</v>
      </c>
      <c r="U346" s="3">
        <f>tbl_MTG_Set[[#This Row],[Released On]]+tbl_MTG_Set[[#This Row],[Sell Window Month Start]]*365.25/12</f>
        <v>45194.75</v>
      </c>
      <c r="V346">
        <f>_xlfn.XLOOKUP(tbl_MTG_Set[[#This Row],[Type Name]], tbl_MTG_Set_Type[Set Type], tbl_MTG_Set_Type[Sell Window Month End], "(Set Type not found)", 0, 1)</f>
        <v>48</v>
      </c>
      <c r="W346" s="3">
        <f>tbl_MTG_Set[[#This Row],[Released On]]+tbl_MTG_Set[[#This Row],[Sell Window Month End]]*365.25/12</f>
        <v>45560</v>
      </c>
      <c r="X346" s="3" t="b">
        <f ca="1">AND(NOW()&gt;=tbl_MTG_Set[[#This Row],[Sell Window Start]], NOW()&lt;=tbl_MTG_Set[[#This Row],[Sell Window End]])</f>
        <v>0</v>
      </c>
      <c r="AG346" s="10"/>
      <c r="AH346" s="10"/>
      <c r="AM346" s="10" t="str" cm="1">
        <f t="array" ref="AM3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6" s="10" t="str" cm="1">
        <f t="array" ref="AN3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6" s="4" t="e">
        <f>_xlfn.XLOOKUP(tbl_MTG_Set[[#This Row],[Play Booster Box Product Id]], tbl_Product[Product Id], tbl_Product[Pack Size])</f>
        <v>#N/A</v>
      </c>
      <c r="AP346" s="10" t="e">
        <f>(tbl_MTG_Set[[#This Row],[Play Booster Box Cost]]+v_Item_Shipping_Cost_In)/tbl_MTG_Set[[#This Row],[Play Booster Box Size]]</f>
        <v>#VALUE!</v>
      </c>
      <c r="AQ346" s="10" t="str" cm="1">
        <f t="array" ref="AQ3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6" s="10"/>
      <c r="AS346" s="10"/>
      <c r="AT346" s="17" t="e">
        <f>tbl_MTG_Set[[#This Row],[Play Booster CardMarket Profit]]/tbl_MTG_Set[[#This Row],[Play Booster Cost]]</f>
        <v>#VALUE!</v>
      </c>
      <c r="AU346" s="10" t="e">
        <f>_xlfn.XLOOKUP(tbl_MTG_Set[[#This Row],[Collector Booster Box Product Id]], tbl_Product[Product Id], tbl_Product[Min Cost])</f>
        <v>#N/A</v>
      </c>
      <c r="AV346" s="10" t="e">
        <f>_xlfn.XLOOKUP(tbl_MTG_Set[[#This Row],[Collector Booster Box Product Id]], tbl_Product[Product Id], tbl_Product[Best Source])</f>
        <v>#N/A</v>
      </c>
      <c r="AW346" s="4" t="e">
        <f>_xlfn.XLOOKUP(tbl_MTG_Set[[#This Row],[Collector Booster Box Product Id]], tbl_Product[Product Id], tbl_Product[Pack Size])</f>
        <v>#N/A</v>
      </c>
      <c r="AX346" s="10" t="e">
        <f>(tbl_MTG_Set[[#This Row],[Collector Booster Box Cost]] + v_Item_Shipping_Cost_In) / tbl_MTG_Set[[#This Row],[Collector Booster Box Size]]</f>
        <v>#N/A</v>
      </c>
      <c r="AY346" s="10" t="str" cm="1">
        <f t="array" ref="AY3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6" s="10"/>
      <c r="BA3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6" s="17" t="e">
        <f>tbl_MTG_Set[[#This Row],[Collector Booster CardMarket Profit]]/tbl_MTG_Set[[#This Row],[Collector Booster Cost]]</f>
        <v>#N/A</v>
      </c>
      <c r="BC346" s="10"/>
      <c r="BF3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6" s="11" t="e">
        <f>tbl_MTG_Set[[#This Row],[Play Singles CardMarket Profit MTG Stocks]]/tbl_MTG_Set[[#This Row],[Play Booster Cost]]</f>
        <v>#VALUE!</v>
      </c>
      <c r="BI346" s="11" t="b">
        <f>tbl_MTG_Set[[#This Row],[Play Singles CardMarket Profit MTG Stocks]]&gt;0</f>
        <v>0</v>
      </c>
      <c r="BM346" s="10" t="e">
        <f>tbl_MTG_Set[[#This Row],[Play Booster Sell Price CardMarket]]*tbl_MTG_Set[[#This Row],[Play Booster Expected Market Value BotBox]]/tbl_MTG_Set[[#This Row],[Play Booster Sealed Market Value BotBox]]</f>
        <v>#VALUE!</v>
      </c>
      <c r="BN3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6" s="10" t="e">
        <f>tbl_MTG_Set[[#This Row],[Play Singles CardMarket Profit BotBox]]/tbl_MTG_Set[[#This Row],[Play Booster Cost]]</f>
        <v>#VALUE!</v>
      </c>
      <c r="BP346" s="10" t="b">
        <f>tbl_MTG_Set[[#This Row],[Play Singles CardMarket Profit BotBox]]&gt;0</f>
        <v>0</v>
      </c>
      <c r="BQ346" s="10"/>
      <c r="BR346" s="10"/>
      <c r="BS346" s="10"/>
      <c r="BT3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6" s="19" t="e">
        <f>tbl_MTG_Set[[#This Row],[Collector Singles CardMarket Profit MTG Stocks]]/tbl_MTG_Set[[#This Row],[Collector Booster Cost]]</f>
        <v>#N/A</v>
      </c>
      <c r="BW346" s="10" t="b">
        <f>tbl_MTG_Set[[#This Row],[Collector Singles CardMarket Profit MTG Stocks]]&gt;0</f>
        <v>0</v>
      </c>
      <c r="BX346" s="10"/>
      <c r="BY346" s="10"/>
      <c r="BZ3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6" s="10" t="e">
        <f>tbl_MTG_Set[[#This Row],[Collector Singles CardMarket Profit BotBox]]/tbl_MTG_Set[[#This Row],[Collector Booster Cost]]</f>
        <v>#N/A</v>
      </c>
      <c r="CC346" s="10" t="b">
        <f>tbl_MTG_Set[[#This Row],[Collector Singles CardMarket Profit BotBox]]&gt;0</f>
        <v>0</v>
      </c>
      <c r="CD3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7" spans="1:86" hidden="1">
      <c r="A347">
        <v>375</v>
      </c>
      <c r="B347" t="s">
        <v>520</v>
      </c>
      <c r="C347">
        <v>12</v>
      </c>
      <c r="D347" s="3">
        <v>44099</v>
      </c>
      <c r="E347" t="s">
        <v>59</v>
      </c>
      <c r="F347" t="s">
        <v>174</v>
      </c>
      <c r="G347">
        <v>696</v>
      </c>
      <c r="H347">
        <f ca="1">MONTH(NOW())+12*YEAR(NOW())-MONTH(tbl_MTG_Set[[#This Row],[Released On]])-12*YEAR(tbl_MTG_Set[[#This Row],[Released On]])</f>
        <v>66</v>
      </c>
      <c r="I347">
        <f>_xlfn.XLOOKUP(tbl_MTG_Set[[#This Row],[Type Name]], tbl_MTG_Set_Type[Set Type], tbl_MTG_Set_Type[Index], "(Set Type not found)")</f>
        <v>1</v>
      </c>
      <c r="J347">
        <f>_xlfn.XLOOKUP(tbl_MTG_Set[[#This Row],[Type Name]], tbl_MTG_Set_Type[Set Type], tbl_MTG_Set_Type[Buy Window Month Start], "(Set Type not found)")</f>
        <v>18</v>
      </c>
      <c r="K347" s="3">
        <f>tbl_MTG_Set[[#This Row],[Released On]]+tbl_MTG_Set[[#This Row],[Buy Window Month Start]]*365.25/12</f>
        <v>44646.875</v>
      </c>
      <c r="L347">
        <f>_xlfn.XLOOKUP(tbl_MTG_Set[[#This Row],[Type Name]], tbl_MTG_Set_Type[Set Type], tbl_MTG_Set_Type[Buy Window Month End], "(Set Type not found)", 0, 1)</f>
        <v>24</v>
      </c>
      <c r="M347" s="3">
        <f>tbl_MTG_Set[[#This Row],[Released On]]+tbl_MTG_Set[[#This Row],[Buy Window Month End]]*365.25/12</f>
        <v>44829.5</v>
      </c>
      <c r="N347" s="3" t="b">
        <f ca="1">AND(NOW()&gt;=tbl_MTG_Set[[#This Row],[Buy Window Start]], NOW()&lt;=tbl_MTG_Set[[#This Row],[Buy Window End]])</f>
        <v>0</v>
      </c>
      <c r="O347">
        <f>_xlfn.XLOOKUP(tbl_MTG_Set[[#This Row],[Type Name]], tbl_MTG_Set_Type[Set Type], tbl_MTG_Set_Type[Heavy Printing Window Month Start], "(Set Type not found)", 0, 1)</f>
        <v>1</v>
      </c>
      <c r="P347" s="3">
        <f>tbl_MTG_Set[[#This Row],[Released On]]+tbl_MTG_Set[[#This Row],[Heavy Printing Window Month Start]]*365.25/12</f>
        <v>44129.4375</v>
      </c>
      <c r="Q347">
        <f>_xlfn.XLOOKUP(tbl_MTG_Set[[#This Row],[Type Name]], tbl_MTG_Set_Type[Set Type], tbl_MTG_Set_Type[Heavy Printing Window Month End], "(Set Type not found)", 0, 1)</f>
        <v>18</v>
      </c>
      <c r="R347" s="3">
        <f>tbl_MTG_Set[[#This Row],[Released On]]+tbl_MTG_Set[[#This Row],[Heavy Printing Window Month End]]*365.25/12</f>
        <v>44646.875</v>
      </c>
      <c r="S347" s="3" t="b">
        <f ca="1">AND(NOW()&gt;=tbl_MTG_Set[[#This Row],[Heavy Printing Window Start]], NOW()&lt;=tbl_MTG_Set[[#This Row],[Heavy Printing Window End]])</f>
        <v>0</v>
      </c>
      <c r="T347">
        <f>_xlfn.XLOOKUP(tbl_MTG_Set[[#This Row],[Type Name]], tbl_MTG_Set_Type[Set Type], tbl_MTG_Set_Type[Sell Window Month Start], "(Set Type not found)", 0, 1)</f>
        <v>36</v>
      </c>
      <c r="U347" s="3">
        <f>tbl_MTG_Set[[#This Row],[Released On]]+tbl_MTG_Set[[#This Row],[Sell Window Month Start]]*365.25/12</f>
        <v>45194.75</v>
      </c>
      <c r="V347">
        <f>_xlfn.XLOOKUP(tbl_MTG_Set[[#This Row],[Type Name]], tbl_MTG_Set_Type[Set Type], tbl_MTG_Set_Type[Sell Window Month End], "(Set Type not found)", 0, 1)</f>
        <v>48</v>
      </c>
      <c r="W347" s="3">
        <f>tbl_MTG_Set[[#This Row],[Released On]]+tbl_MTG_Set[[#This Row],[Sell Window Month End]]*365.25/12</f>
        <v>45560</v>
      </c>
      <c r="X347" s="3" t="b">
        <f ca="1">AND(NOW()&gt;=tbl_MTG_Set[[#This Row],[Sell Window Start]], NOW()&lt;=tbl_MTG_Set[[#This Row],[Sell Window End]])</f>
        <v>0</v>
      </c>
      <c r="AG347" s="10"/>
      <c r="AH347" s="10"/>
      <c r="AM347" s="10" t="str" cm="1">
        <f t="array" ref="AM3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7" s="10" t="str" cm="1">
        <f t="array" ref="AN3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7" s="4" t="e">
        <f>_xlfn.XLOOKUP(tbl_MTG_Set[[#This Row],[Play Booster Box Product Id]], tbl_Product[Product Id], tbl_Product[Pack Size])</f>
        <v>#N/A</v>
      </c>
      <c r="AP347" s="10" t="e">
        <f>(tbl_MTG_Set[[#This Row],[Play Booster Box Cost]]+v_Item_Shipping_Cost_In)/tbl_MTG_Set[[#This Row],[Play Booster Box Size]]</f>
        <v>#VALUE!</v>
      </c>
      <c r="AQ347" s="10" t="str" cm="1">
        <f t="array" ref="AQ3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7" s="10"/>
      <c r="AS347" s="10"/>
      <c r="AT347" s="17" t="e">
        <f>tbl_MTG_Set[[#This Row],[Play Booster CardMarket Profit]]/tbl_MTG_Set[[#This Row],[Play Booster Cost]]</f>
        <v>#VALUE!</v>
      </c>
      <c r="AU347" s="10" t="e">
        <f>_xlfn.XLOOKUP(tbl_MTG_Set[[#This Row],[Collector Booster Box Product Id]], tbl_Product[Product Id], tbl_Product[Min Cost])</f>
        <v>#N/A</v>
      </c>
      <c r="AV347" s="10" t="e">
        <f>_xlfn.XLOOKUP(tbl_MTG_Set[[#This Row],[Collector Booster Box Product Id]], tbl_Product[Product Id], tbl_Product[Best Source])</f>
        <v>#N/A</v>
      </c>
      <c r="AW347" s="4" t="e">
        <f>_xlfn.XLOOKUP(tbl_MTG_Set[[#This Row],[Collector Booster Box Product Id]], tbl_Product[Product Id], tbl_Product[Pack Size])</f>
        <v>#N/A</v>
      </c>
      <c r="AX347" s="10" t="e">
        <f>(tbl_MTG_Set[[#This Row],[Collector Booster Box Cost]] + v_Item_Shipping_Cost_In) / tbl_MTG_Set[[#This Row],[Collector Booster Box Size]]</f>
        <v>#N/A</v>
      </c>
      <c r="AY347" s="10" t="str" cm="1">
        <f t="array" ref="AY3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7" s="10"/>
      <c r="BA3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7" s="17" t="e">
        <f>tbl_MTG_Set[[#This Row],[Collector Booster CardMarket Profit]]/tbl_MTG_Set[[#This Row],[Collector Booster Cost]]</f>
        <v>#N/A</v>
      </c>
      <c r="BC347" s="10"/>
      <c r="BF3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7" s="11" t="e">
        <f>tbl_MTG_Set[[#This Row],[Play Singles CardMarket Profit MTG Stocks]]/tbl_MTG_Set[[#This Row],[Play Booster Cost]]</f>
        <v>#VALUE!</v>
      </c>
      <c r="BI347" s="11" t="b">
        <f>tbl_MTG_Set[[#This Row],[Play Singles CardMarket Profit MTG Stocks]]&gt;0</f>
        <v>0</v>
      </c>
      <c r="BM347" s="10" t="e">
        <f>tbl_MTG_Set[[#This Row],[Play Booster Sell Price CardMarket]]*tbl_MTG_Set[[#This Row],[Play Booster Expected Market Value BotBox]]/tbl_MTG_Set[[#This Row],[Play Booster Sealed Market Value BotBox]]</f>
        <v>#VALUE!</v>
      </c>
      <c r="BN3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7" s="10" t="e">
        <f>tbl_MTG_Set[[#This Row],[Play Singles CardMarket Profit BotBox]]/tbl_MTG_Set[[#This Row],[Play Booster Cost]]</f>
        <v>#VALUE!</v>
      </c>
      <c r="BP347" s="10" t="b">
        <f>tbl_MTG_Set[[#This Row],[Play Singles CardMarket Profit BotBox]]&gt;0</f>
        <v>0</v>
      </c>
      <c r="BQ347" s="10"/>
      <c r="BR347" s="10"/>
      <c r="BS347" s="10"/>
      <c r="BT3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7" s="19" t="e">
        <f>tbl_MTG_Set[[#This Row],[Collector Singles CardMarket Profit MTG Stocks]]/tbl_MTG_Set[[#This Row],[Collector Booster Cost]]</f>
        <v>#N/A</v>
      </c>
      <c r="BW347" s="10" t="b">
        <f>tbl_MTG_Set[[#This Row],[Collector Singles CardMarket Profit MTG Stocks]]&gt;0</f>
        <v>0</v>
      </c>
      <c r="BX347" s="10"/>
      <c r="BY347" s="10"/>
      <c r="BZ3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7" s="10" t="e">
        <f>tbl_MTG_Set[[#This Row],[Collector Singles CardMarket Profit BotBox]]/tbl_MTG_Set[[#This Row],[Collector Booster Cost]]</f>
        <v>#N/A</v>
      </c>
      <c r="CC347" s="10" t="b">
        <f>tbl_MTG_Set[[#This Row],[Collector Singles CardMarket Profit BotBox]]&gt;0</f>
        <v>0</v>
      </c>
      <c r="CD3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8" spans="1:86" hidden="1">
      <c r="A348">
        <v>376</v>
      </c>
      <c r="B348" t="s">
        <v>521</v>
      </c>
      <c r="C348">
        <v>81</v>
      </c>
      <c r="D348" s="3">
        <v>44099</v>
      </c>
      <c r="E348" t="s">
        <v>59</v>
      </c>
      <c r="F348" t="s">
        <v>174</v>
      </c>
      <c r="G348">
        <v>698</v>
      </c>
      <c r="H348">
        <f ca="1">MONTH(NOW())+12*YEAR(NOW())-MONTH(tbl_MTG_Set[[#This Row],[Released On]])-12*YEAR(tbl_MTG_Set[[#This Row],[Released On]])</f>
        <v>66</v>
      </c>
      <c r="I348">
        <f>_xlfn.XLOOKUP(tbl_MTG_Set[[#This Row],[Type Name]], tbl_MTG_Set_Type[Set Type], tbl_MTG_Set_Type[Index], "(Set Type not found)")</f>
        <v>1</v>
      </c>
      <c r="J348">
        <f>_xlfn.XLOOKUP(tbl_MTG_Set[[#This Row],[Type Name]], tbl_MTG_Set_Type[Set Type], tbl_MTG_Set_Type[Buy Window Month Start], "(Set Type not found)")</f>
        <v>18</v>
      </c>
      <c r="K348" s="3">
        <f>tbl_MTG_Set[[#This Row],[Released On]]+tbl_MTG_Set[[#This Row],[Buy Window Month Start]]*365.25/12</f>
        <v>44646.875</v>
      </c>
      <c r="L348">
        <f>_xlfn.XLOOKUP(tbl_MTG_Set[[#This Row],[Type Name]], tbl_MTG_Set_Type[Set Type], tbl_MTG_Set_Type[Buy Window Month End], "(Set Type not found)", 0, 1)</f>
        <v>24</v>
      </c>
      <c r="M348" s="3">
        <f>tbl_MTG_Set[[#This Row],[Released On]]+tbl_MTG_Set[[#This Row],[Buy Window Month End]]*365.25/12</f>
        <v>44829.5</v>
      </c>
      <c r="N348" s="3" t="b">
        <f ca="1">AND(NOW()&gt;=tbl_MTG_Set[[#This Row],[Buy Window Start]], NOW()&lt;=tbl_MTG_Set[[#This Row],[Buy Window End]])</f>
        <v>0</v>
      </c>
      <c r="O348">
        <f>_xlfn.XLOOKUP(tbl_MTG_Set[[#This Row],[Type Name]], tbl_MTG_Set_Type[Set Type], tbl_MTG_Set_Type[Heavy Printing Window Month Start], "(Set Type not found)", 0, 1)</f>
        <v>1</v>
      </c>
      <c r="P348" s="3">
        <f>tbl_MTG_Set[[#This Row],[Released On]]+tbl_MTG_Set[[#This Row],[Heavy Printing Window Month Start]]*365.25/12</f>
        <v>44129.4375</v>
      </c>
      <c r="Q348">
        <f>_xlfn.XLOOKUP(tbl_MTG_Set[[#This Row],[Type Name]], tbl_MTG_Set_Type[Set Type], tbl_MTG_Set_Type[Heavy Printing Window Month End], "(Set Type not found)", 0, 1)</f>
        <v>18</v>
      </c>
      <c r="R348" s="3">
        <f>tbl_MTG_Set[[#This Row],[Released On]]+tbl_MTG_Set[[#This Row],[Heavy Printing Window Month End]]*365.25/12</f>
        <v>44646.875</v>
      </c>
      <c r="S348" s="3" t="b">
        <f ca="1">AND(NOW()&gt;=tbl_MTG_Set[[#This Row],[Heavy Printing Window Start]], NOW()&lt;=tbl_MTG_Set[[#This Row],[Heavy Printing Window End]])</f>
        <v>0</v>
      </c>
      <c r="T348">
        <f>_xlfn.XLOOKUP(tbl_MTG_Set[[#This Row],[Type Name]], tbl_MTG_Set_Type[Set Type], tbl_MTG_Set_Type[Sell Window Month Start], "(Set Type not found)", 0, 1)</f>
        <v>36</v>
      </c>
      <c r="U348" s="3">
        <f>tbl_MTG_Set[[#This Row],[Released On]]+tbl_MTG_Set[[#This Row],[Sell Window Month Start]]*365.25/12</f>
        <v>45194.75</v>
      </c>
      <c r="V348">
        <f>_xlfn.XLOOKUP(tbl_MTG_Set[[#This Row],[Type Name]], tbl_MTG_Set_Type[Set Type], tbl_MTG_Set_Type[Sell Window Month End], "(Set Type not found)", 0, 1)</f>
        <v>48</v>
      </c>
      <c r="W348" s="3">
        <f>tbl_MTG_Set[[#This Row],[Released On]]+tbl_MTG_Set[[#This Row],[Sell Window Month End]]*365.25/12</f>
        <v>45560</v>
      </c>
      <c r="X348" s="3" t="b">
        <f ca="1">AND(NOW()&gt;=tbl_MTG_Set[[#This Row],[Sell Window Start]], NOW()&lt;=tbl_MTG_Set[[#This Row],[Sell Window End]])</f>
        <v>0</v>
      </c>
      <c r="AG348" s="10"/>
      <c r="AH348" s="10"/>
      <c r="AM348" s="10" t="str" cm="1">
        <f t="array" ref="AM3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8" s="10" t="str" cm="1">
        <f t="array" ref="AN3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8" s="4" t="e">
        <f>_xlfn.XLOOKUP(tbl_MTG_Set[[#This Row],[Play Booster Box Product Id]], tbl_Product[Product Id], tbl_Product[Pack Size])</f>
        <v>#N/A</v>
      </c>
      <c r="AP348" s="10" t="e">
        <f>(tbl_MTG_Set[[#This Row],[Play Booster Box Cost]]+v_Item_Shipping_Cost_In)/tbl_MTG_Set[[#This Row],[Play Booster Box Size]]</f>
        <v>#VALUE!</v>
      </c>
      <c r="AQ348" s="10" t="str" cm="1">
        <f t="array" ref="AQ3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8" s="10"/>
      <c r="AS348" s="10"/>
      <c r="AT348" s="17" t="e">
        <f>tbl_MTG_Set[[#This Row],[Play Booster CardMarket Profit]]/tbl_MTG_Set[[#This Row],[Play Booster Cost]]</f>
        <v>#VALUE!</v>
      </c>
      <c r="AU348" s="10" t="e">
        <f>_xlfn.XLOOKUP(tbl_MTG_Set[[#This Row],[Collector Booster Box Product Id]], tbl_Product[Product Id], tbl_Product[Min Cost])</f>
        <v>#N/A</v>
      </c>
      <c r="AV348" s="10" t="e">
        <f>_xlfn.XLOOKUP(tbl_MTG_Set[[#This Row],[Collector Booster Box Product Id]], tbl_Product[Product Id], tbl_Product[Best Source])</f>
        <v>#N/A</v>
      </c>
      <c r="AW348" s="4" t="e">
        <f>_xlfn.XLOOKUP(tbl_MTG_Set[[#This Row],[Collector Booster Box Product Id]], tbl_Product[Product Id], tbl_Product[Pack Size])</f>
        <v>#N/A</v>
      </c>
      <c r="AX348" s="10" t="e">
        <f>(tbl_MTG_Set[[#This Row],[Collector Booster Box Cost]] + v_Item_Shipping_Cost_In) / tbl_MTG_Set[[#This Row],[Collector Booster Box Size]]</f>
        <v>#N/A</v>
      </c>
      <c r="AY348" s="10" t="str" cm="1">
        <f t="array" ref="AY3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8" s="10"/>
      <c r="BA3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8" s="17" t="e">
        <f>tbl_MTG_Set[[#This Row],[Collector Booster CardMarket Profit]]/tbl_MTG_Set[[#This Row],[Collector Booster Cost]]</f>
        <v>#N/A</v>
      </c>
      <c r="BC348" s="10"/>
      <c r="BF3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8" s="11" t="e">
        <f>tbl_MTG_Set[[#This Row],[Play Singles CardMarket Profit MTG Stocks]]/tbl_MTG_Set[[#This Row],[Play Booster Cost]]</f>
        <v>#VALUE!</v>
      </c>
      <c r="BI348" s="11" t="b">
        <f>tbl_MTG_Set[[#This Row],[Play Singles CardMarket Profit MTG Stocks]]&gt;0</f>
        <v>0</v>
      </c>
      <c r="BM348" s="10" t="e">
        <f>tbl_MTG_Set[[#This Row],[Play Booster Sell Price CardMarket]]*tbl_MTG_Set[[#This Row],[Play Booster Expected Market Value BotBox]]/tbl_MTG_Set[[#This Row],[Play Booster Sealed Market Value BotBox]]</f>
        <v>#VALUE!</v>
      </c>
      <c r="BN3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8" s="10" t="e">
        <f>tbl_MTG_Set[[#This Row],[Play Singles CardMarket Profit BotBox]]/tbl_MTG_Set[[#This Row],[Play Booster Cost]]</f>
        <v>#VALUE!</v>
      </c>
      <c r="BP348" s="10" t="b">
        <f>tbl_MTG_Set[[#This Row],[Play Singles CardMarket Profit BotBox]]&gt;0</f>
        <v>0</v>
      </c>
      <c r="BQ348" s="10"/>
      <c r="BR348" s="10"/>
      <c r="BS348" s="10"/>
      <c r="BT3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8" s="19" t="e">
        <f>tbl_MTG_Set[[#This Row],[Collector Singles CardMarket Profit MTG Stocks]]/tbl_MTG_Set[[#This Row],[Collector Booster Cost]]</f>
        <v>#N/A</v>
      </c>
      <c r="BW348" s="10" t="b">
        <f>tbl_MTG_Set[[#This Row],[Collector Singles CardMarket Profit MTG Stocks]]&gt;0</f>
        <v>0</v>
      </c>
      <c r="BX348" s="10"/>
      <c r="BY348" s="10"/>
      <c r="BZ3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8" s="10" t="e">
        <f>tbl_MTG_Set[[#This Row],[Collector Singles CardMarket Profit BotBox]]/tbl_MTG_Set[[#This Row],[Collector Booster Cost]]</f>
        <v>#N/A</v>
      </c>
      <c r="CC348" s="10" t="b">
        <f>tbl_MTG_Set[[#This Row],[Collector Singles CardMarket Profit BotBox]]&gt;0</f>
        <v>0</v>
      </c>
      <c r="CD3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49" spans="1:86" hidden="1">
      <c r="A349">
        <v>377</v>
      </c>
      <c r="B349" t="s">
        <v>522</v>
      </c>
      <c r="C349">
        <v>5</v>
      </c>
      <c r="D349" s="3">
        <v>44099</v>
      </c>
      <c r="E349" t="s">
        <v>59</v>
      </c>
      <c r="F349" t="s">
        <v>174</v>
      </c>
      <c r="G349">
        <v>700</v>
      </c>
      <c r="H349">
        <f ca="1">MONTH(NOW())+12*YEAR(NOW())-MONTH(tbl_MTG_Set[[#This Row],[Released On]])-12*YEAR(tbl_MTG_Set[[#This Row],[Released On]])</f>
        <v>66</v>
      </c>
      <c r="I349">
        <f>_xlfn.XLOOKUP(tbl_MTG_Set[[#This Row],[Type Name]], tbl_MTG_Set_Type[Set Type], tbl_MTG_Set_Type[Index], "(Set Type not found)")</f>
        <v>1</v>
      </c>
      <c r="J349">
        <f>_xlfn.XLOOKUP(tbl_MTG_Set[[#This Row],[Type Name]], tbl_MTG_Set_Type[Set Type], tbl_MTG_Set_Type[Buy Window Month Start], "(Set Type not found)")</f>
        <v>18</v>
      </c>
      <c r="K349" s="3">
        <f>tbl_MTG_Set[[#This Row],[Released On]]+tbl_MTG_Set[[#This Row],[Buy Window Month Start]]*365.25/12</f>
        <v>44646.875</v>
      </c>
      <c r="L349">
        <f>_xlfn.XLOOKUP(tbl_MTG_Set[[#This Row],[Type Name]], tbl_MTG_Set_Type[Set Type], tbl_MTG_Set_Type[Buy Window Month End], "(Set Type not found)", 0, 1)</f>
        <v>24</v>
      </c>
      <c r="M349" s="3">
        <f>tbl_MTG_Set[[#This Row],[Released On]]+tbl_MTG_Set[[#This Row],[Buy Window Month End]]*365.25/12</f>
        <v>44829.5</v>
      </c>
      <c r="N349" s="3" t="b">
        <f ca="1">AND(NOW()&gt;=tbl_MTG_Set[[#This Row],[Buy Window Start]], NOW()&lt;=tbl_MTG_Set[[#This Row],[Buy Window End]])</f>
        <v>0</v>
      </c>
      <c r="O349">
        <f>_xlfn.XLOOKUP(tbl_MTG_Set[[#This Row],[Type Name]], tbl_MTG_Set_Type[Set Type], tbl_MTG_Set_Type[Heavy Printing Window Month Start], "(Set Type not found)", 0, 1)</f>
        <v>1</v>
      </c>
      <c r="P349" s="3">
        <f>tbl_MTG_Set[[#This Row],[Released On]]+tbl_MTG_Set[[#This Row],[Heavy Printing Window Month Start]]*365.25/12</f>
        <v>44129.4375</v>
      </c>
      <c r="Q349">
        <f>_xlfn.XLOOKUP(tbl_MTG_Set[[#This Row],[Type Name]], tbl_MTG_Set_Type[Set Type], tbl_MTG_Set_Type[Heavy Printing Window Month End], "(Set Type not found)", 0, 1)</f>
        <v>18</v>
      </c>
      <c r="R349" s="3">
        <f>tbl_MTG_Set[[#This Row],[Released On]]+tbl_MTG_Set[[#This Row],[Heavy Printing Window Month End]]*365.25/12</f>
        <v>44646.875</v>
      </c>
      <c r="S349" s="3" t="b">
        <f ca="1">AND(NOW()&gt;=tbl_MTG_Set[[#This Row],[Heavy Printing Window Start]], NOW()&lt;=tbl_MTG_Set[[#This Row],[Heavy Printing Window End]])</f>
        <v>0</v>
      </c>
      <c r="T349">
        <f>_xlfn.XLOOKUP(tbl_MTG_Set[[#This Row],[Type Name]], tbl_MTG_Set_Type[Set Type], tbl_MTG_Set_Type[Sell Window Month Start], "(Set Type not found)", 0, 1)</f>
        <v>36</v>
      </c>
      <c r="U349" s="3">
        <f>tbl_MTG_Set[[#This Row],[Released On]]+tbl_MTG_Set[[#This Row],[Sell Window Month Start]]*365.25/12</f>
        <v>45194.75</v>
      </c>
      <c r="V349">
        <f>_xlfn.XLOOKUP(tbl_MTG_Set[[#This Row],[Type Name]], tbl_MTG_Set_Type[Set Type], tbl_MTG_Set_Type[Sell Window Month End], "(Set Type not found)", 0, 1)</f>
        <v>48</v>
      </c>
      <c r="W349" s="3">
        <f>tbl_MTG_Set[[#This Row],[Released On]]+tbl_MTG_Set[[#This Row],[Sell Window Month End]]*365.25/12</f>
        <v>45560</v>
      </c>
      <c r="X349" s="3" t="b">
        <f ca="1">AND(NOW()&gt;=tbl_MTG_Set[[#This Row],[Sell Window Start]], NOW()&lt;=tbl_MTG_Set[[#This Row],[Sell Window End]])</f>
        <v>0</v>
      </c>
      <c r="AG349" s="10"/>
      <c r="AH349" s="10"/>
      <c r="AM349" s="10" t="str" cm="1">
        <f t="array" ref="AM3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49" s="10" t="str" cm="1">
        <f t="array" ref="AN3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49" s="4" t="e">
        <f>_xlfn.XLOOKUP(tbl_MTG_Set[[#This Row],[Play Booster Box Product Id]], tbl_Product[Product Id], tbl_Product[Pack Size])</f>
        <v>#N/A</v>
      </c>
      <c r="AP349" s="10" t="e">
        <f>(tbl_MTG_Set[[#This Row],[Play Booster Box Cost]]+v_Item_Shipping_Cost_In)/tbl_MTG_Set[[#This Row],[Play Booster Box Size]]</f>
        <v>#VALUE!</v>
      </c>
      <c r="AQ349" s="10" t="str" cm="1">
        <f t="array" ref="AQ3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49" s="10"/>
      <c r="AS349" s="10"/>
      <c r="AT349" s="17" t="e">
        <f>tbl_MTG_Set[[#This Row],[Play Booster CardMarket Profit]]/tbl_MTG_Set[[#This Row],[Play Booster Cost]]</f>
        <v>#VALUE!</v>
      </c>
      <c r="AU349" s="10" t="e">
        <f>_xlfn.XLOOKUP(tbl_MTG_Set[[#This Row],[Collector Booster Box Product Id]], tbl_Product[Product Id], tbl_Product[Min Cost])</f>
        <v>#N/A</v>
      </c>
      <c r="AV349" s="10" t="e">
        <f>_xlfn.XLOOKUP(tbl_MTG_Set[[#This Row],[Collector Booster Box Product Id]], tbl_Product[Product Id], tbl_Product[Best Source])</f>
        <v>#N/A</v>
      </c>
      <c r="AW349" s="4" t="e">
        <f>_xlfn.XLOOKUP(tbl_MTG_Set[[#This Row],[Collector Booster Box Product Id]], tbl_Product[Product Id], tbl_Product[Pack Size])</f>
        <v>#N/A</v>
      </c>
      <c r="AX349" s="10" t="e">
        <f>(tbl_MTG_Set[[#This Row],[Collector Booster Box Cost]] + v_Item_Shipping_Cost_In) / tbl_MTG_Set[[#This Row],[Collector Booster Box Size]]</f>
        <v>#N/A</v>
      </c>
      <c r="AY349" s="10" t="str" cm="1">
        <f t="array" ref="AY3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49" s="10"/>
      <c r="BA3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49" s="17" t="e">
        <f>tbl_MTG_Set[[#This Row],[Collector Booster CardMarket Profit]]/tbl_MTG_Set[[#This Row],[Collector Booster Cost]]</f>
        <v>#N/A</v>
      </c>
      <c r="BC349" s="10"/>
      <c r="BF3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49" s="11" t="e">
        <f>tbl_MTG_Set[[#This Row],[Play Singles CardMarket Profit MTG Stocks]]/tbl_MTG_Set[[#This Row],[Play Booster Cost]]</f>
        <v>#VALUE!</v>
      </c>
      <c r="BI349" s="11" t="b">
        <f>tbl_MTG_Set[[#This Row],[Play Singles CardMarket Profit MTG Stocks]]&gt;0</f>
        <v>0</v>
      </c>
      <c r="BM349" s="10" t="e">
        <f>tbl_MTG_Set[[#This Row],[Play Booster Sell Price CardMarket]]*tbl_MTG_Set[[#This Row],[Play Booster Expected Market Value BotBox]]/tbl_MTG_Set[[#This Row],[Play Booster Sealed Market Value BotBox]]</f>
        <v>#VALUE!</v>
      </c>
      <c r="BN3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49" s="10" t="e">
        <f>tbl_MTG_Set[[#This Row],[Play Singles CardMarket Profit BotBox]]/tbl_MTG_Set[[#This Row],[Play Booster Cost]]</f>
        <v>#VALUE!</v>
      </c>
      <c r="BP349" s="10" t="b">
        <f>tbl_MTG_Set[[#This Row],[Play Singles CardMarket Profit BotBox]]&gt;0</f>
        <v>0</v>
      </c>
      <c r="BQ349" s="10"/>
      <c r="BR349" s="10"/>
      <c r="BS349" s="10"/>
      <c r="BT3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49" s="19" t="e">
        <f>tbl_MTG_Set[[#This Row],[Collector Singles CardMarket Profit MTG Stocks]]/tbl_MTG_Set[[#This Row],[Collector Booster Cost]]</f>
        <v>#N/A</v>
      </c>
      <c r="BW349" s="10" t="b">
        <f>tbl_MTG_Set[[#This Row],[Collector Singles CardMarket Profit MTG Stocks]]&gt;0</f>
        <v>0</v>
      </c>
      <c r="BX349" s="10"/>
      <c r="BY349" s="10"/>
      <c r="BZ3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49" s="10" t="e">
        <f>tbl_MTG_Set[[#This Row],[Collector Singles CardMarket Profit BotBox]]/tbl_MTG_Set[[#This Row],[Collector Booster Cost]]</f>
        <v>#N/A</v>
      </c>
      <c r="CC349" s="10" t="b">
        <f>tbl_MTG_Set[[#This Row],[Collector Singles CardMarket Profit BotBox]]&gt;0</f>
        <v>0</v>
      </c>
      <c r="CD3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0" spans="1:86" hidden="1">
      <c r="A350">
        <v>378</v>
      </c>
      <c r="B350" t="s">
        <v>523</v>
      </c>
      <c r="C350">
        <v>142</v>
      </c>
      <c r="D350" s="3">
        <v>44099</v>
      </c>
      <c r="E350" t="s">
        <v>80</v>
      </c>
      <c r="F350" t="s">
        <v>174</v>
      </c>
      <c r="G350">
        <v>702</v>
      </c>
      <c r="H350">
        <f ca="1">MONTH(NOW())+12*YEAR(NOW())-MONTH(tbl_MTG_Set[[#This Row],[Released On]])-12*YEAR(tbl_MTG_Set[[#This Row],[Released On]])</f>
        <v>66</v>
      </c>
      <c r="I350">
        <f>_xlfn.XLOOKUP(tbl_MTG_Set[[#This Row],[Type Name]], tbl_MTG_Set_Type[Set Type], tbl_MTG_Set_Type[Index], "(Set Type not found)")</f>
        <v>5</v>
      </c>
      <c r="J350">
        <f>_xlfn.XLOOKUP(tbl_MTG_Set[[#This Row],[Type Name]], tbl_MTG_Set_Type[Set Type], tbl_MTG_Set_Type[Buy Window Month Start], "(Set Type not found)")</f>
        <v>3</v>
      </c>
      <c r="K350" s="3">
        <f>tbl_MTG_Set[[#This Row],[Released On]]+tbl_MTG_Set[[#This Row],[Buy Window Month Start]]*365.25/12</f>
        <v>44190.3125</v>
      </c>
      <c r="L350">
        <f>_xlfn.XLOOKUP(tbl_MTG_Set[[#This Row],[Type Name]], tbl_MTG_Set_Type[Set Type], tbl_MTG_Set_Type[Buy Window Month End], "(Set Type not found)", 0, 1)</f>
        <v>12</v>
      </c>
      <c r="M350" s="3">
        <f>tbl_MTG_Set[[#This Row],[Released On]]+tbl_MTG_Set[[#This Row],[Buy Window Month End]]*365.25/12</f>
        <v>44464.25</v>
      </c>
      <c r="N350" s="3" t="b">
        <f ca="1">AND(NOW()&gt;=tbl_MTG_Set[[#This Row],[Buy Window Start]], NOW()&lt;=tbl_MTG_Set[[#This Row],[Buy Window End]])</f>
        <v>0</v>
      </c>
      <c r="O350">
        <f>_xlfn.XLOOKUP(tbl_MTG_Set[[#This Row],[Type Name]], tbl_MTG_Set_Type[Set Type], tbl_MTG_Set_Type[Heavy Printing Window Month Start], "(Set Type not found)", 0, 1)</f>
        <v>12</v>
      </c>
      <c r="P350" s="3">
        <f>tbl_MTG_Set[[#This Row],[Released On]]+tbl_MTG_Set[[#This Row],[Heavy Printing Window Month Start]]*365.25/12</f>
        <v>44464.25</v>
      </c>
      <c r="Q350">
        <f>_xlfn.XLOOKUP(tbl_MTG_Set[[#This Row],[Type Name]], tbl_MTG_Set_Type[Set Type], tbl_MTG_Set_Type[Heavy Printing Window Month End], "(Set Type not found)", 0, 1)</f>
        <v>18</v>
      </c>
      <c r="R350" s="3">
        <f>tbl_MTG_Set[[#This Row],[Released On]]+tbl_MTG_Set[[#This Row],[Heavy Printing Window Month End]]*365.25/12</f>
        <v>44646.875</v>
      </c>
      <c r="S350" s="3" t="b">
        <f ca="1">AND(NOW()&gt;=tbl_MTG_Set[[#This Row],[Heavy Printing Window Start]], NOW()&lt;=tbl_MTG_Set[[#This Row],[Heavy Printing Window End]])</f>
        <v>0</v>
      </c>
      <c r="T350">
        <f>_xlfn.XLOOKUP(tbl_MTG_Set[[#This Row],[Type Name]], tbl_MTG_Set_Type[Set Type], tbl_MTG_Set_Type[Sell Window Month Start], "(Set Type not found)", 0, 1)</f>
        <v>24</v>
      </c>
      <c r="U350" s="3">
        <f>tbl_MTG_Set[[#This Row],[Released On]]+tbl_MTG_Set[[#This Row],[Sell Window Month Start]]*365.25/12</f>
        <v>44829.5</v>
      </c>
      <c r="V350">
        <f>_xlfn.XLOOKUP(tbl_MTG_Set[[#This Row],[Type Name]], tbl_MTG_Set_Type[Set Type], tbl_MTG_Set_Type[Sell Window Month End], "(Set Type not found)", 0, 1)</f>
        <v>24</v>
      </c>
      <c r="W350" s="3">
        <f>tbl_MTG_Set[[#This Row],[Released On]]+tbl_MTG_Set[[#This Row],[Sell Window Month End]]*365.25/12</f>
        <v>44829.5</v>
      </c>
      <c r="X350" s="3" t="b">
        <f ca="1">AND(NOW()&gt;=tbl_MTG_Set[[#This Row],[Sell Window Start]], NOW()&lt;=tbl_MTG_Set[[#This Row],[Sell Window End]])</f>
        <v>0</v>
      </c>
      <c r="AG350" s="10"/>
      <c r="AH350" s="10"/>
      <c r="AM350" s="10" t="str" cm="1">
        <f t="array" ref="AM3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0" s="10" t="str" cm="1">
        <f t="array" ref="AN3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0" s="4" t="e">
        <f>_xlfn.XLOOKUP(tbl_MTG_Set[[#This Row],[Play Booster Box Product Id]], tbl_Product[Product Id], tbl_Product[Pack Size])</f>
        <v>#N/A</v>
      </c>
      <c r="AP350" s="10" t="e">
        <f>(tbl_MTG_Set[[#This Row],[Play Booster Box Cost]]+v_Item_Shipping_Cost_In)/tbl_MTG_Set[[#This Row],[Play Booster Box Size]]</f>
        <v>#VALUE!</v>
      </c>
      <c r="AQ350" s="10" t="str" cm="1">
        <f t="array" ref="AQ3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0" s="10"/>
      <c r="AS350" s="10"/>
      <c r="AT350" s="17" t="e">
        <f>tbl_MTG_Set[[#This Row],[Play Booster CardMarket Profit]]/tbl_MTG_Set[[#This Row],[Play Booster Cost]]</f>
        <v>#VALUE!</v>
      </c>
      <c r="AU350" s="10" t="e">
        <f>_xlfn.XLOOKUP(tbl_MTG_Set[[#This Row],[Collector Booster Box Product Id]], tbl_Product[Product Id], tbl_Product[Min Cost])</f>
        <v>#N/A</v>
      </c>
      <c r="AV350" s="10" t="e">
        <f>_xlfn.XLOOKUP(tbl_MTG_Set[[#This Row],[Collector Booster Box Product Id]], tbl_Product[Product Id], tbl_Product[Best Source])</f>
        <v>#N/A</v>
      </c>
      <c r="AW350" s="4" t="e">
        <f>_xlfn.XLOOKUP(tbl_MTG_Set[[#This Row],[Collector Booster Box Product Id]], tbl_Product[Product Id], tbl_Product[Pack Size])</f>
        <v>#N/A</v>
      </c>
      <c r="AX350" s="10" t="e">
        <f>(tbl_MTG_Set[[#This Row],[Collector Booster Box Cost]] + v_Item_Shipping_Cost_In) / tbl_MTG_Set[[#This Row],[Collector Booster Box Size]]</f>
        <v>#N/A</v>
      </c>
      <c r="AY350" s="10" t="str" cm="1">
        <f t="array" ref="AY3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0" s="10"/>
      <c r="BA3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0" s="17" t="e">
        <f>tbl_MTG_Set[[#This Row],[Collector Booster CardMarket Profit]]/tbl_MTG_Set[[#This Row],[Collector Booster Cost]]</f>
        <v>#N/A</v>
      </c>
      <c r="BC350" s="10"/>
      <c r="BF3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0" s="11" t="e">
        <f>tbl_MTG_Set[[#This Row],[Play Singles CardMarket Profit MTG Stocks]]/tbl_MTG_Set[[#This Row],[Play Booster Cost]]</f>
        <v>#VALUE!</v>
      </c>
      <c r="BI350" s="11" t="b">
        <f>tbl_MTG_Set[[#This Row],[Play Singles CardMarket Profit MTG Stocks]]&gt;0</f>
        <v>0</v>
      </c>
      <c r="BM350" s="10" t="e">
        <f>tbl_MTG_Set[[#This Row],[Play Booster Sell Price CardMarket]]*tbl_MTG_Set[[#This Row],[Play Booster Expected Market Value BotBox]]/tbl_MTG_Set[[#This Row],[Play Booster Sealed Market Value BotBox]]</f>
        <v>#VALUE!</v>
      </c>
      <c r="BN3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0" s="10" t="e">
        <f>tbl_MTG_Set[[#This Row],[Play Singles CardMarket Profit BotBox]]/tbl_MTG_Set[[#This Row],[Play Booster Cost]]</f>
        <v>#VALUE!</v>
      </c>
      <c r="BP350" s="10" t="b">
        <f>tbl_MTG_Set[[#This Row],[Play Singles CardMarket Profit BotBox]]&gt;0</f>
        <v>0</v>
      </c>
      <c r="BQ350" s="10"/>
      <c r="BR350" s="10"/>
      <c r="BS350" s="10"/>
      <c r="BT3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0" s="19" t="e">
        <f>tbl_MTG_Set[[#This Row],[Collector Singles CardMarket Profit MTG Stocks]]/tbl_MTG_Set[[#This Row],[Collector Booster Cost]]</f>
        <v>#N/A</v>
      </c>
      <c r="BW350" s="10" t="b">
        <f>tbl_MTG_Set[[#This Row],[Collector Singles CardMarket Profit MTG Stocks]]&gt;0</f>
        <v>0</v>
      </c>
      <c r="BX350" s="10"/>
      <c r="BY350" s="10"/>
      <c r="BZ3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0" s="10" t="e">
        <f>tbl_MTG_Set[[#This Row],[Collector Singles CardMarket Profit BotBox]]/tbl_MTG_Set[[#This Row],[Collector Booster Cost]]</f>
        <v>#N/A</v>
      </c>
      <c r="CC350" s="10" t="b">
        <f>tbl_MTG_Set[[#This Row],[Collector Singles CardMarket Profit BotBox]]&gt;0</f>
        <v>0</v>
      </c>
      <c r="CD3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1" spans="1:86" hidden="1">
      <c r="A351">
        <v>379</v>
      </c>
      <c r="B351" t="s">
        <v>524</v>
      </c>
      <c r="C351">
        <v>11</v>
      </c>
      <c r="D351" s="3">
        <v>44099</v>
      </c>
      <c r="E351" t="s">
        <v>80</v>
      </c>
      <c r="F351" t="s">
        <v>174</v>
      </c>
      <c r="G351">
        <v>704</v>
      </c>
      <c r="H351">
        <f ca="1">MONTH(NOW())+12*YEAR(NOW())-MONTH(tbl_MTG_Set[[#This Row],[Released On]])-12*YEAR(tbl_MTG_Set[[#This Row],[Released On]])</f>
        <v>66</v>
      </c>
      <c r="I351">
        <f>_xlfn.XLOOKUP(tbl_MTG_Set[[#This Row],[Type Name]], tbl_MTG_Set_Type[Set Type], tbl_MTG_Set_Type[Index], "(Set Type not found)")</f>
        <v>5</v>
      </c>
      <c r="J351">
        <f>_xlfn.XLOOKUP(tbl_MTG_Set[[#This Row],[Type Name]], tbl_MTG_Set_Type[Set Type], tbl_MTG_Set_Type[Buy Window Month Start], "(Set Type not found)")</f>
        <v>3</v>
      </c>
      <c r="K351" s="3">
        <f>tbl_MTG_Set[[#This Row],[Released On]]+tbl_MTG_Set[[#This Row],[Buy Window Month Start]]*365.25/12</f>
        <v>44190.3125</v>
      </c>
      <c r="L351">
        <f>_xlfn.XLOOKUP(tbl_MTG_Set[[#This Row],[Type Name]], tbl_MTG_Set_Type[Set Type], tbl_MTG_Set_Type[Buy Window Month End], "(Set Type not found)", 0, 1)</f>
        <v>12</v>
      </c>
      <c r="M351" s="3">
        <f>tbl_MTG_Set[[#This Row],[Released On]]+tbl_MTG_Set[[#This Row],[Buy Window Month End]]*365.25/12</f>
        <v>44464.25</v>
      </c>
      <c r="N351" s="3" t="b">
        <f ca="1">AND(NOW()&gt;=tbl_MTG_Set[[#This Row],[Buy Window Start]], NOW()&lt;=tbl_MTG_Set[[#This Row],[Buy Window End]])</f>
        <v>0</v>
      </c>
      <c r="O351">
        <f>_xlfn.XLOOKUP(tbl_MTG_Set[[#This Row],[Type Name]], tbl_MTG_Set_Type[Set Type], tbl_MTG_Set_Type[Heavy Printing Window Month Start], "(Set Type not found)", 0, 1)</f>
        <v>12</v>
      </c>
      <c r="P351" s="3">
        <f>tbl_MTG_Set[[#This Row],[Released On]]+tbl_MTG_Set[[#This Row],[Heavy Printing Window Month Start]]*365.25/12</f>
        <v>44464.25</v>
      </c>
      <c r="Q351">
        <f>_xlfn.XLOOKUP(tbl_MTG_Set[[#This Row],[Type Name]], tbl_MTG_Set_Type[Set Type], tbl_MTG_Set_Type[Heavy Printing Window Month End], "(Set Type not found)", 0, 1)</f>
        <v>18</v>
      </c>
      <c r="R351" s="3">
        <f>tbl_MTG_Set[[#This Row],[Released On]]+tbl_MTG_Set[[#This Row],[Heavy Printing Window Month End]]*365.25/12</f>
        <v>44646.875</v>
      </c>
      <c r="S351" s="3" t="b">
        <f ca="1">AND(NOW()&gt;=tbl_MTG_Set[[#This Row],[Heavy Printing Window Start]], NOW()&lt;=tbl_MTG_Set[[#This Row],[Heavy Printing Window End]])</f>
        <v>0</v>
      </c>
      <c r="T351">
        <f>_xlfn.XLOOKUP(tbl_MTG_Set[[#This Row],[Type Name]], tbl_MTG_Set_Type[Set Type], tbl_MTG_Set_Type[Sell Window Month Start], "(Set Type not found)", 0, 1)</f>
        <v>24</v>
      </c>
      <c r="U351" s="3">
        <f>tbl_MTG_Set[[#This Row],[Released On]]+tbl_MTG_Set[[#This Row],[Sell Window Month Start]]*365.25/12</f>
        <v>44829.5</v>
      </c>
      <c r="V351">
        <f>_xlfn.XLOOKUP(tbl_MTG_Set[[#This Row],[Type Name]], tbl_MTG_Set_Type[Set Type], tbl_MTG_Set_Type[Sell Window Month End], "(Set Type not found)", 0, 1)</f>
        <v>24</v>
      </c>
      <c r="W351" s="3">
        <f>tbl_MTG_Set[[#This Row],[Released On]]+tbl_MTG_Set[[#This Row],[Sell Window Month End]]*365.25/12</f>
        <v>44829.5</v>
      </c>
      <c r="X351" s="3" t="b">
        <f ca="1">AND(NOW()&gt;=tbl_MTG_Set[[#This Row],[Sell Window Start]], NOW()&lt;=tbl_MTG_Set[[#This Row],[Sell Window End]])</f>
        <v>0</v>
      </c>
      <c r="AG351" s="10"/>
      <c r="AH351" s="10"/>
      <c r="AM351" s="10" t="str" cm="1">
        <f t="array" ref="AM3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1" s="10" t="str" cm="1">
        <f t="array" ref="AN3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1" s="4" t="e">
        <f>_xlfn.XLOOKUP(tbl_MTG_Set[[#This Row],[Play Booster Box Product Id]], tbl_Product[Product Id], tbl_Product[Pack Size])</f>
        <v>#N/A</v>
      </c>
      <c r="AP351" s="10" t="e">
        <f>(tbl_MTG_Set[[#This Row],[Play Booster Box Cost]]+v_Item_Shipping_Cost_In)/tbl_MTG_Set[[#This Row],[Play Booster Box Size]]</f>
        <v>#VALUE!</v>
      </c>
      <c r="AQ351" s="10" t="str" cm="1">
        <f t="array" ref="AQ3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1" s="10"/>
      <c r="AS351" s="10"/>
      <c r="AT351" s="17" t="e">
        <f>tbl_MTG_Set[[#This Row],[Play Booster CardMarket Profit]]/tbl_MTG_Set[[#This Row],[Play Booster Cost]]</f>
        <v>#VALUE!</v>
      </c>
      <c r="AU351" s="10" t="e">
        <f>_xlfn.XLOOKUP(tbl_MTG_Set[[#This Row],[Collector Booster Box Product Id]], tbl_Product[Product Id], tbl_Product[Min Cost])</f>
        <v>#N/A</v>
      </c>
      <c r="AV351" s="10" t="e">
        <f>_xlfn.XLOOKUP(tbl_MTG_Set[[#This Row],[Collector Booster Box Product Id]], tbl_Product[Product Id], tbl_Product[Best Source])</f>
        <v>#N/A</v>
      </c>
      <c r="AW351" s="4" t="e">
        <f>_xlfn.XLOOKUP(tbl_MTG_Set[[#This Row],[Collector Booster Box Product Id]], tbl_Product[Product Id], tbl_Product[Pack Size])</f>
        <v>#N/A</v>
      </c>
      <c r="AX351" s="10" t="e">
        <f>(tbl_MTG_Set[[#This Row],[Collector Booster Box Cost]] + v_Item_Shipping_Cost_In) / tbl_MTG_Set[[#This Row],[Collector Booster Box Size]]</f>
        <v>#N/A</v>
      </c>
      <c r="AY351" s="10" t="str" cm="1">
        <f t="array" ref="AY3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1" s="10"/>
      <c r="BA3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1" s="17" t="e">
        <f>tbl_MTG_Set[[#This Row],[Collector Booster CardMarket Profit]]/tbl_MTG_Set[[#This Row],[Collector Booster Cost]]</f>
        <v>#N/A</v>
      </c>
      <c r="BC351" s="10"/>
      <c r="BF3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1" s="11" t="e">
        <f>tbl_MTG_Set[[#This Row],[Play Singles CardMarket Profit MTG Stocks]]/tbl_MTG_Set[[#This Row],[Play Booster Cost]]</f>
        <v>#VALUE!</v>
      </c>
      <c r="BI351" s="11" t="b">
        <f>tbl_MTG_Set[[#This Row],[Play Singles CardMarket Profit MTG Stocks]]&gt;0</f>
        <v>0</v>
      </c>
      <c r="BM351" s="10" t="e">
        <f>tbl_MTG_Set[[#This Row],[Play Booster Sell Price CardMarket]]*tbl_MTG_Set[[#This Row],[Play Booster Expected Market Value BotBox]]/tbl_MTG_Set[[#This Row],[Play Booster Sealed Market Value BotBox]]</f>
        <v>#VALUE!</v>
      </c>
      <c r="BN3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1" s="10" t="e">
        <f>tbl_MTG_Set[[#This Row],[Play Singles CardMarket Profit BotBox]]/tbl_MTG_Set[[#This Row],[Play Booster Cost]]</f>
        <v>#VALUE!</v>
      </c>
      <c r="BP351" s="10" t="b">
        <f>tbl_MTG_Set[[#This Row],[Play Singles CardMarket Profit BotBox]]&gt;0</f>
        <v>0</v>
      </c>
      <c r="BQ351" s="10"/>
      <c r="BR351" s="10"/>
      <c r="BS351" s="10"/>
      <c r="BT3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1" s="19" t="e">
        <f>tbl_MTG_Set[[#This Row],[Collector Singles CardMarket Profit MTG Stocks]]/tbl_MTG_Set[[#This Row],[Collector Booster Cost]]</f>
        <v>#N/A</v>
      </c>
      <c r="BW351" s="10" t="b">
        <f>tbl_MTG_Set[[#This Row],[Collector Singles CardMarket Profit MTG Stocks]]&gt;0</f>
        <v>0</v>
      </c>
      <c r="BX351" s="10"/>
      <c r="BY351" s="10"/>
      <c r="BZ3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1" s="10" t="e">
        <f>tbl_MTG_Set[[#This Row],[Collector Singles CardMarket Profit BotBox]]/tbl_MTG_Set[[#This Row],[Collector Booster Cost]]</f>
        <v>#N/A</v>
      </c>
      <c r="CC351" s="10" t="b">
        <f>tbl_MTG_Set[[#This Row],[Collector Singles CardMarket Profit BotBox]]&gt;0</f>
        <v>0</v>
      </c>
      <c r="CD3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2" spans="1:86" hidden="1">
      <c r="A352">
        <v>380</v>
      </c>
      <c r="B352" t="s">
        <v>525</v>
      </c>
      <c r="C352">
        <v>9</v>
      </c>
      <c r="D352" s="3">
        <v>44099</v>
      </c>
      <c r="E352" t="s">
        <v>59</v>
      </c>
      <c r="F352" t="s">
        <v>174</v>
      </c>
      <c r="G352">
        <v>706</v>
      </c>
      <c r="H352">
        <f ca="1">MONTH(NOW())+12*YEAR(NOW())-MONTH(tbl_MTG_Set[[#This Row],[Released On]])-12*YEAR(tbl_MTG_Set[[#This Row],[Released On]])</f>
        <v>66</v>
      </c>
      <c r="I352">
        <f>_xlfn.XLOOKUP(tbl_MTG_Set[[#This Row],[Type Name]], tbl_MTG_Set_Type[Set Type], tbl_MTG_Set_Type[Index], "(Set Type not found)")</f>
        <v>1</v>
      </c>
      <c r="J352">
        <f>_xlfn.XLOOKUP(tbl_MTG_Set[[#This Row],[Type Name]], tbl_MTG_Set_Type[Set Type], tbl_MTG_Set_Type[Buy Window Month Start], "(Set Type not found)")</f>
        <v>18</v>
      </c>
      <c r="K352" s="3">
        <f>tbl_MTG_Set[[#This Row],[Released On]]+tbl_MTG_Set[[#This Row],[Buy Window Month Start]]*365.25/12</f>
        <v>44646.875</v>
      </c>
      <c r="L352">
        <f>_xlfn.XLOOKUP(tbl_MTG_Set[[#This Row],[Type Name]], tbl_MTG_Set_Type[Set Type], tbl_MTG_Set_Type[Buy Window Month End], "(Set Type not found)", 0, 1)</f>
        <v>24</v>
      </c>
      <c r="M352" s="3">
        <f>tbl_MTG_Set[[#This Row],[Released On]]+tbl_MTG_Set[[#This Row],[Buy Window Month End]]*365.25/12</f>
        <v>44829.5</v>
      </c>
      <c r="N352" s="3" t="b">
        <f ca="1">AND(NOW()&gt;=tbl_MTG_Set[[#This Row],[Buy Window Start]], NOW()&lt;=tbl_MTG_Set[[#This Row],[Buy Window End]])</f>
        <v>0</v>
      </c>
      <c r="O352">
        <f>_xlfn.XLOOKUP(tbl_MTG_Set[[#This Row],[Type Name]], tbl_MTG_Set_Type[Set Type], tbl_MTG_Set_Type[Heavy Printing Window Month Start], "(Set Type not found)", 0, 1)</f>
        <v>1</v>
      </c>
      <c r="P352" s="3">
        <f>tbl_MTG_Set[[#This Row],[Released On]]+tbl_MTG_Set[[#This Row],[Heavy Printing Window Month Start]]*365.25/12</f>
        <v>44129.4375</v>
      </c>
      <c r="Q352">
        <f>_xlfn.XLOOKUP(tbl_MTG_Set[[#This Row],[Type Name]], tbl_MTG_Set_Type[Set Type], tbl_MTG_Set_Type[Heavy Printing Window Month End], "(Set Type not found)", 0, 1)</f>
        <v>18</v>
      </c>
      <c r="R352" s="3">
        <f>tbl_MTG_Set[[#This Row],[Released On]]+tbl_MTG_Set[[#This Row],[Heavy Printing Window Month End]]*365.25/12</f>
        <v>44646.875</v>
      </c>
      <c r="S352" s="3" t="b">
        <f ca="1">AND(NOW()&gt;=tbl_MTG_Set[[#This Row],[Heavy Printing Window Start]], NOW()&lt;=tbl_MTG_Set[[#This Row],[Heavy Printing Window End]])</f>
        <v>0</v>
      </c>
      <c r="T352">
        <f>_xlfn.XLOOKUP(tbl_MTG_Set[[#This Row],[Type Name]], tbl_MTG_Set_Type[Set Type], tbl_MTG_Set_Type[Sell Window Month Start], "(Set Type not found)", 0, 1)</f>
        <v>36</v>
      </c>
      <c r="U352" s="3">
        <f>tbl_MTG_Set[[#This Row],[Released On]]+tbl_MTG_Set[[#This Row],[Sell Window Month Start]]*365.25/12</f>
        <v>45194.75</v>
      </c>
      <c r="V352">
        <f>_xlfn.XLOOKUP(tbl_MTG_Set[[#This Row],[Type Name]], tbl_MTG_Set_Type[Set Type], tbl_MTG_Set_Type[Sell Window Month End], "(Set Type not found)", 0, 1)</f>
        <v>48</v>
      </c>
      <c r="W352" s="3">
        <f>tbl_MTG_Set[[#This Row],[Released On]]+tbl_MTG_Set[[#This Row],[Sell Window Month End]]*365.25/12</f>
        <v>45560</v>
      </c>
      <c r="X352" s="3" t="b">
        <f ca="1">AND(NOW()&gt;=tbl_MTG_Set[[#This Row],[Sell Window Start]], NOW()&lt;=tbl_MTG_Set[[#This Row],[Sell Window End]])</f>
        <v>0</v>
      </c>
      <c r="AG352" s="10"/>
      <c r="AH352" s="10"/>
      <c r="AM352" s="10" t="str" cm="1">
        <f t="array" ref="AM3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2" s="10" t="str" cm="1">
        <f t="array" ref="AN3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2" s="4" t="e">
        <f>_xlfn.XLOOKUP(tbl_MTG_Set[[#This Row],[Play Booster Box Product Id]], tbl_Product[Product Id], tbl_Product[Pack Size])</f>
        <v>#N/A</v>
      </c>
      <c r="AP352" s="10" t="e">
        <f>(tbl_MTG_Set[[#This Row],[Play Booster Box Cost]]+v_Item_Shipping_Cost_In)/tbl_MTG_Set[[#This Row],[Play Booster Box Size]]</f>
        <v>#VALUE!</v>
      </c>
      <c r="AQ352" s="10" t="str" cm="1">
        <f t="array" ref="AQ3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2" s="10"/>
      <c r="AS352" s="10"/>
      <c r="AT352" s="17" t="e">
        <f>tbl_MTG_Set[[#This Row],[Play Booster CardMarket Profit]]/tbl_MTG_Set[[#This Row],[Play Booster Cost]]</f>
        <v>#VALUE!</v>
      </c>
      <c r="AU352" s="10" t="e">
        <f>_xlfn.XLOOKUP(tbl_MTG_Set[[#This Row],[Collector Booster Box Product Id]], tbl_Product[Product Id], tbl_Product[Min Cost])</f>
        <v>#N/A</v>
      </c>
      <c r="AV352" s="10" t="e">
        <f>_xlfn.XLOOKUP(tbl_MTG_Set[[#This Row],[Collector Booster Box Product Id]], tbl_Product[Product Id], tbl_Product[Best Source])</f>
        <v>#N/A</v>
      </c>
      <c r="AW352" s="4" t="e">
        <f>_xlfn.XLOOKUP(tbl_MTG_Set[[#This Row],[Collector Booster Box Product Id]], tbl_Product[Product Id], tbl_Product[Pack Size])</f>
        <v>#N/A</v>
      </c>
      <c r="AX352" s="10" t="e">
        <f>(tbl_MTG_Set[[#This Row],[Collector Booster Box Cost]] + v_Item_Shipping_Cost_In) / tbl_MTG_Set[[#This Row],[Collector Booster Box Size]]</f>
        <v>#N/A</v>
      </c>
      <c r="AY352" s="10" t="str" cm="1">
        <f t="array" ref="AY3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2" s="10"/>
      <c r="BA3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2" s="17" t="e">
        <f>tbl_MTG_Set[[#This Row],[Collector Booster CardMarket Profit]]/tbl_MTG_Set[[#This Row],[Collector Booster Cost]]</f>
        <v>#N/A</v>
      </c>
      <c r="BC352" s="10"/>
      <c r="BF3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2" s="11" t="e">
        <f>tbl_MTG_Set[[#This Row],[Play Singles CardMarket Profit MTG Stocks]]/tbl_MTG_Set[[#This Row],[Play Booster Cost]]</f>
        <v>#VALUE!</v>
      </c>
      <c r="BI352" s="11" t="b">
        <f>tbl_MTG_Set[[#This Row],[Play Singles CardMarket Profit MTG Stocks]]&gt;0</f>
        <v>0</v>
      </c>
      <c r="BM352" s="10" t="e">
        <f>tbl_MTG_Set[[#This Row],[Play Booster Sell Price CardMarket]]*tbl_MTG_Set[[#This Row],[Play Booster Expected Market Value BotBox]]/tbl_MTG_Set[[#This Row],[Play Booster Sealed Market Value BotBox]]</f>
        <v>#VALUE!</v>
      </c>
      <c r="BN3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2" s="10" t="e">
        <f>tbl_MTG_Set[[#This Row],[Play Singles CardMarket Profit BotBox]]/tbl_MTG_Set[[#This Row],[Play Booster Cost]]</f>
        <v>#VALUE!</v>
      </c>
      <c r="BP352" s="10" t="b">
        <f>tbl_MTG_Set[[#This Row],[Play Singles CardMarket Profit BotBox]]&gt;0</f>
        <v>0</v>
      </c>
      <c r="BQ352" s="10"/>
      <c r="BR352" s="10"/>
      <c r="BS352" s="10"/>
      <c r="BT3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2" s="19" t="e">
        <f>tbl_MTG_Set[[#This Row],[Collector Singles CardMarket Profit MTG Stocks]]/tbl_MTG_Set[[#This Row],[Collector Booster Cost]]</f>
        <v>#N/A</v>
      </c>
      <c r="BW352" s="10" t="b">
        <f>tbl_MTG_Set[[#This Row],[Collector Singles CardMarket Profit MTG Stocks]]&gt;0</f>
        <v>0</v>
      </c>
      <c r="BX352" s="10"/>
      <c r="BY352" s="10"/>
      <c r="BZ3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2" s="10" t="e">
        <f>tbl_MTG_Set[[#This Row],[Collector Singles CardMarket Profit BotBox]]/tbl_MTG_Set[[#This Row],[Collector Booster Cost]]</f>
        <v>#N/A</v>
      </c>
      <c r="CC352" s="10" t="b">
        <f>tbl_MTG_Set[[#This Row],[Collector Singles CardMarket Profit BotBox]]&gt;0</f>
        <v>0</v>
      </c>
      <c r="CD3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3" spans="1:86" hidden="1">
      <c r="A353">
        <v>381</v>
      </c>
      <c r="B353" t="s">
        <v>526</v>
      </c>
      <c r="C353">
        <v>540</v>
      </c>
      <c r="D353" s="3">
        <v>44083</v>
      </c>
      <c r="F353">
        <v>0</v>
      </c>
      <c r="G353">
        <v>708</v>
      </c>
      <c r="H353">
        <f ca="1">MONTH(NOW())+12*YEAR(NOW())-MONTH(tbl_MTG_Set[[#This Row],[Released On]])-12*YEAR(tbl_MTG_Set[[#This Row],[Released On]])</f>
        <v>66</v>
      </c>
      <c r="I353" t="str">
        <f>_xlfn.XLOOKUP(tbl_MTG_Set[[#This Row],[Type Name]], tbl_MTG_Set_Type[Set Type], tbl_MTG_Set_Type[Index], "(Set Type not found)")</f>
        <v>(Set Type not found)</v>
      </c>
      <c r="J353" t="str">
        <f>_xlfn.XLOOKUP(tbl_MTG_Set[[#This Row],[Type Name]], tbl_MTG_Set_Type[Set Type], tbl_MTG_Set_Type[Buy Window Month Start], "(Set Type not found)")</f>
        <v>(Set Type not found)</v>
      </c>
      <c r="K353" s="3" t="e">
        <f>tbl_MTG_Set[[#This Row],[Released On]]+tbl_MTG_Set[[#This Row],[Buy Window Month Start]]*365.25/12</f>
        <v>#VALUE!</v>
      </c>
      <c r="L353" t="str">
        <f>_xlfn.XLOOKUP(tbl_MTG_Set[[#This Row],[Type Name]], tbl_MTG_Set_Type[Set Type], tbl_MTG_Set_Type[Buy Window Month End], "(Set Type not found)", 0, 1)</f>
        <v>(Set Type not found)</v>
      </c>
      <c r="M353" s="3" t="e">
        <f>tbl_MTG_Set[[#This Row],[Released On]]+tbl_MTG_Set[[#This Row],[Buy Window Month End]]*365.25/12</f>
        <v>#VALUE!</v>
      </c>
      <c r="N353" s="3" t="e">
        <f ca="1">AND(NOW()&gt;=tbl_MTG_Set[[#This Row],[Buy Window Start]], NOW()&lt;=tbl_MTG_Set[[#This Row],[Buy Window End]])</f>
        <v>#VALUE!</v>
      </c>
      <c r="O353" t="str">
        <f>_xlfn.XLOOKUP(tbl_MTG_Set[[#This Row],[Type Name]], tbl_MTG_Set_Type[Set Type], tbl_MTG_Set_Type[Heavy Printing Window Month Start], "(Set Type not found)", 0, 1)</f>
        <v>(Set Type not found)</v>
      </c>
      <c r="P353" s="3" t="e">
        <f>tbl_MTG_Set[[#This Row],[Released On]]+tbl_MTG_Set[[#This Row],[Heavy Printing Window Month Start]]*365.25/12</f>
        <v>#VALUE!</v>
      </c>
      <c r="Q353" t="str">
        <f>_xlfn.XLOOKUP(tbl_MTG_Set[[#This Row],[Type Name]], tbl_MTG_Set_Type[Set Type], tbl_MTG_Set_Type[Heavy Printing Window Month End], "(Set Type not found)", 0, 1)</f>
        <v>(Set Type not found)</v>
      </c>
      <c r="R353" s="3" t="e">
        <f>tbl_MTG_Set[[#This Row],[Released On]]+tbl_MTG_Set[[#This Row],[Heavy Printing Window Month End]]*365.25/12</f>
        <v>#VALUE!</v>
      </c>
      <c r="S353" s="3" t="e">
        <f ca="1">AND(NOW()&gt;=tbl_MTG_Set[[#This Row],[Heavy Printing Window Start]], NOW()&lt;=tbl_MTG_Set[[#This Row],[Heavy Printing Window End]])</f>
        <v>#VALUE!</v>
      </c>
      <c r="T353" t="str">
        <f>_xlfn.XLOOKUP(tbl_MTG_Set[[#This Row],[Type Name]], tbl_MTG_Set_Type[Set Type], tbl_MTG_Set_Type[Sell Window Month Start], "(Set Type not found)", 0, 1)</f>
        <v>(Set Type not found)</v>
      </c>
      <c r="U353" s="3" t="e">
        <f>tbl_MTG_Set[[#This Row],[Released On]]+tbl_MTG_Set[[#This Row],[Sell Window Month Start]]*365.25/12</f>
        <v>#VALUE!</v>
      </c>
      <c r="V353" t="str">
        <f>_xlfn.XLOOKUP(tbl_MTG_Set[[#This Row],[Type Name]], tbl_MTG_Set_Type[Set Type], tbl_MTG_Set_Type[Sell Window Month End], "(Set Type not found)", 0, 1)</f>
        <v>(Set Type not found)</v>
      </c>
      <c r="W353" s="3" t="e">
        <f>tbl_MTG_Set[[#This Row],[Released On]]+tbl_MTG_Set[[#This Row],[Sell Window Month End]]*365.25/12</f>
        <v>#VALUE!</v>
      </c>
      <c r="X353" s="3" t="e">
        <f ca="1">AND(NOW()&gt;=tbl_MTG_Set[[#This Row],[Sell Window Start]], NOW()&lt;=tbl_MTG_Set[[#This Row],[Sell Window End]])</f>
        <v>#VALUE!</v>
      </c>
      <c r="AG353" s="10"/>
      <c r="AH353" s="10"/>
      <c r="AM353" s="10" t="str" cm="1">
        <f t="array" ref="AM3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3" s="10" t="str" cm="1">
        <f t="array" ref="AN3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3" s="4" t="e">
        <f>_xlfn.XLOOKUP(tbl_MTG_Set[[#This Row],[Play Booster Box Product Id]], tbl_Product[Product Id], tbl_Product[Pack Size])</f>
        <v>#N/A</v>
      </c>
      <c r="AP353" s="10" t="e">
        <f>(tbl_MTG_Set[[#This Row],[Play Booster Box Cost]]+v_Item_Shipping_Cost_In)/tbl_MTG_Set[[#This Row],[Play Booster Box Size]]</f>
        <v>#VALUE!</v>
      </c>
      <c r="AQ353" s="10" t="str" cm="1">
        <f t="array" ref="AQ3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3" s="10"/>
      <c r="AS353" s="10"/>
      <c r="AT353" s="17" t="e">
        <f>tbl_MTG_Set[[#This Row],[Play Booster CardMarket Profit]]/tbl_MTG_Set[[#This Row],[Play Booster Cost]]</f>
        <v>#VALUE!</v>
      </c>
      <c r="AU353" s="10" t="e">
        <f>_xlfn.XLOOKUP(tbl_MTG_Set[[#This Row],[Collector Booster Box Product Id]], tbl_Product[Product Id], tbl_Product[Min Cost])</f>
        <v>#N/A</v>
      </c>
      <c r="AV353" s="10" t="e">
        <f>_xlfn.XLOOKUP(tbl_MTG_Set[[#This Row],[Collector Booster Box Product Id]], tbl_Product[Product Id], tbl_Product[Best Source])</f>
        <v>#N/A</v>
      </c>
      <c r="AW353" s="4" t="e">
        <f>_xlfn.XLOOKUP(tbl_MTG_Set[[#This Row],[Collector Booster Box Product Id]], tbl_Product[Product Id], tbl_Product[Pack Size])</f>
        <v>#N/A</v>
      </c>
      <c r="AX353" s="10" t="e">
        <f>(tbl_MTG_Set[[#This Row],[Collector Booster Box Cost]] + v_Item_Shipping_Cost_In) / tbl_MTG_Set[[#This Row],[Collector Booster Box Size]]</f>
        <v>#N/A</v>
      </c>
      <c r="AY353" s="10" t="str" cm="1">
        <f t="array" ref="AY3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3" s="10"/>
      <c r="BA3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3" s="17" t="e">
        <f>tbl_MTG_Set[[#This Row],[Collector Booster CardMarket Profit]]/tbl_MTG_Set[[#This Row],[Collector Booster Cost]]</f>
        <v>#N/A</v>
      </c>
      <c r="BC353" s="10"/>
      <c r="BF3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3" s="11" t="e">
        <f>tbl_MTG_Set[[#This Row],[Play Singles CardMarket Profit MTG Stocks]]/tbl_MTG_Set[[#This Row],[Play Booster Cost]]</f>
        <v>#VALUE!</v>
      </c>
      <c r="BI353" s="11" t="b">
        <f>tbl_MTG_Set[[#This Row],[Play Singles CardMarket Profit MTG Stocks]]&gt;0</f>
        <v>0</v>
      </c>
      <c r="BM353" s="10" t="e">
        <f>tbl_MTG_Set[[#This Row],[Play Booster Sell Price CardMarket]]*tbl_MTG_Set[[#This Row],[Play Booster Expected Market Value BotBox]]/tbl_MTG_Set[[#This Row],[Play Booster Sealed Market Value BotBox]]</f>
        <v>#VALUE!</v>
      </c>
      <c r="BN3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3" s="10" t="e">
        <f>tbl_MTG_Set[[#This Row],[Play Singles CardMarket Profit BotBox]]/tbl_MTG_Set[[#This Row],[Play Booster Cost]]</f>
        <v>#VALUE!</v>
      </c>
      <c r="BP353" s="10" t="b">
        <f>tbl_MTG_Set[[#This Row],[Play Singles CardMarket Profit BotBox]]&gt;0</f>
        <v>0</v>
      </c>
      <c r="BQ353" s="10"/>
      <c r="BR353" s="10"/>
      <c r="BS353" s="10"/>
      <c r="BT3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3" s="19" t="e">
        <f>tbl_MTG_Set[[#This Row],[Collector Singles CardMarket Profit MTG Stocks]]/tbl_MTG_Set[[#This Row],[Collector Booster Cost]]</f>
        <v>#N/A</v>
      </c>
      <c r="BW353" s="10" t="b">
        <f>tbl_MTG_Set[[#This Row],[Collector Singles CardMarket Profit MTG Stocks]]&gt;0</f>
        <v>0</v>
      </c>
      <c r="BX353" s="10"/>
      <c r="BY353" s="10"/>
      <c r="BZ3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3" s="10" t="e">
        <f>tbl_MTG_Set[[#This Row],[Collector Singles CardMarket Profit BotBox]]/tbl_MTG_Set[[#This Row],[Collector Booster Cost]]</f>
        <v>#N/A</v>
      </c>
      <c r="CC353" s="10" t="b">
        <f>tbl_MTG_Set[[#This Row],[Collector Singles CardMarket Profit BotBox]]&gt;0</f>
        <v>0</v>
      </c>
      <c r="CD3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4" spans="1:86" hidden="1">
      <c r="A354">
        <v>382</v>
      </c>
      <c r="B354" t="s">
        <v>527</v>
      </c>
      <c r="C354">
        <v>540</v>
      </c>
      <c r="D354" s="3">
        <v>44077</v>
      </c>
      <c r="F354">
        <v>0</v>
      </c>
      <c r="G354">
        <v>710</v>
      </c>
      <c r="H354">
        <f ca="1">MONTH(NOW())+12*YEAR(NOW())-MONTH(tbl_MTG_Set[[#This Row],[Released On]])-12*YEAR(tbl_MTG_Set[[#This Row],[Released On]])</f>
        <v>66</v>
      </c>
      <c r="I354" t="str">
        <f>_xlfn.XLOOKUP(tbl_MTG_Set[[#This Row],[Type Name]], tbl_MTG_Set_Type[Set Type], tbl_MTG_Set_Type[Index], "(Set Type not found)")</f>
        <v>(Set Type not found)</v>
      </c>
      <c r="J354" t="str">
        <f>_xlfn.XLOOKUP(tbl_MTG_Set[[#This Row],[Type Name]], tbl_MTG_Set_Type[Set Type], tbl_MTG_Set_Type[Buy Window Month Start], "(Set Type not found)")</f>
        <v>(Set Type not found)</v>
      </c>
      <c r="K354" s="3" t="e">
        <f>tbl_MTG_Set[[#This Row],[Released On]]+tbl_MTG_Set[[#This Row],[Buy Window Month Start]]*365.25/12</f>
        <v>#VALUE!</v>
      </c>
      <c r="L354" t="str">
        <f>_xlfn.XLOOKUP(tbl_MTG_Set[[#This Row],[Type Name]], tbl_MTG_Set_Type[Set Type], tbl_MTG_Set_Type[Buy Window Month End], "(Set Type not found)", 0, 1)</f>
        <v>(Set Type not found)</v>
      </c>
      <c r="M354" s="3" t="e">
        <f>tbl_MTG_Set[[#This Row],[Released On]]+tbl_MTG_Set[[#This Row],[Buy Window Month End]]*365.25/12</f>
        <v>#VALUE!</v>
      </c>
      <c r="N354" s="3" t="e">
        <f ca="1">AND(NOW()&gt;=tbl_MTG_Set[[#This Row],[Buy Window Start]], NOW()&lt;=tbl_MTG_Set[[#This Row],[Buy Window End]])</f>
        <v>#VALUE!</v>
      </c>
      <c r="O354" t="str">
        <f>_xlfn.XLOOKUP(tbl_MTG_Set[[#This Row],[Type Name]], tbl_MTG_Set_Type[Set Type], tbl_MTG_Set_Type[Heavy Printing Window Month Start], "(Set Type not found)", 0, 1)</f>
        <v>(Set Type not found)</v>
      </c>
      <c r="P354" s="3" t="e">
        <f>tbl_MTG_Set[[#This Row],[Released On]]+tbl_MTG_Set[[#This Row],[Heavy Printing Window Month Start]]*365.25/12</f>
        <v>#VALUE!</v>
      </c>
      <c r="Q354" t="str">
        <f>_xlfn.XLOOKUP(tbl_MTG_Set[[#This Row],[Type Name]], tbl_MTG_Set_Type[Set Type], tbl_MTG_Set_Type[Heavy Printing Window Month End], "(Set Type not found)", 0, 1)</f>
        <v>(Set Type not found)</v>
      </c>
      <c r="R354" s="3" t="e">
        <f>tbl_MTG_Set[[#This Row],[Released On]]+tbl_MTG_Set[[#This Row],[Heavy Printing Window Month End]]*365.25/12</f>
        <v>#VALUE!</v>
      </c>
      <c r="S354" s="3" t="e">
        <f ca="1">AND(NOW()&gt;=tbl_MTG_Set[[#This Row],[Heavy Printing Window Start]], NOW()&lt;=tbl_MTG_Set[[#This Row],[Heavy Printing Window End]])</f>
        <v>#VALUE!</v>
      </c>
      <c r="T354" t="str">
        <f>_xlfn.XLOOKUP(tbl_MTG_Set[[#This Row],[Type Name]], tbl_MTG_Set_Type[Set Type], tbl_MTG_Set_Type[Sell Window Month Start], "(Set Type not found)", 0, 1)</f>
        <v>(Set Type not found)</v>
      </c>
      <c r="U354" s="3" t="e">
        <f>tbl_MTG_Set[[#This Row],[Released On]]+tbl_MTG_Set[[#This Row],[Sell Window Month Start]]*365.25/12</f>
        <v>#VALUE!</v>
      </c>
      <c r="V354" t="str">
        <f>_xlfn.XLOOKUP(tbl_MTG_Set[[#This Row],[Type Name]], tbl_MTG_Set_Type[Set Type], tbl_MTG_Set_Type[Sell Window Month End], "(Set Type not found)", 0, 1)</f>
        <v>(Set Type not found)</v>
      </c>
      <c r="W354" s="3" t="e">
        <f>tbl_MTG_Set[[#This Row],[Released On]]+tbl_MTG_Set[[#This Row],[Sell Window Month End]]*365.25/12</f>
        <v>#VALUE!</v>
      </c>
      <c r="X354" s="3" t="e">
        <f ca="1">AND(NOW()&gt;=tbl_MTG_Set[[#This Row],[Sell Window Start]], NOW()&lt;=tbl_MTG_Set[[#This Row],[Sell Window End]])</f>
        <v>#VALUE!</v>
      </c>
      <c r="AG354" s="10"/>
      <c r="AH354" s="10"/>
      <c r="AM354" s="10" t="str" cm="1">
        <f t="array" ref="AM3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4" s="10" t="str" cm="1">
        <f t="array" ref="AN3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4" s="4" t="e">
        <f>_xlfn.XLOOKUP(tbl_MTG_Set[[#This Row],[Play Booster Box Product Id]], tbl_Product[Product Id], tbl_Product[Pack Size])</f>
        <v>#N/A</v>
      </c>
      <c r="AP354" s="10" t="e">
        <f>(tbl_MTG_Set[[#This Row],[Play Booster Box Cost]]+v_Item_Shipping_Cost_In)/tbl_MTG_Set[[#This Row],[Play Booster Box Size]]</f>
        <v>#VALUE!</v>
      </c>
      <c r="AQ354" s="10" t="str" cm="1">
        <f t="array" ref="AQ3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4" s="10"/>
      <c r="AS354" s="10"/>
      <c r="AT354" s="17" t="e">
        <f>tbl_MTG_Set[[#This Row],[Play Booster CardMarket Profit]]/tbl_MTG_Set[[#This Row],[Play Booster Cost]]</f>
        <v>#VALUE!</v>
      </c>
      <c r="AU354" s="10" t="e">
        <f>_xlfn.XLOOKUP(tbl_MTG_Set[[#This Row],[Collector Booster Box Product Id]], tbl_Product[Product Id], tbl_Product[Min Cost])</f>
        <v>#N/A</v>
      </c>
      <c r="AV354" s="10" t="e">
        <f>_xlfn.XLOOKUP(tbl_MTG_Set[[#This Row],[Collector Booster Box Product Id]], tbl_Product[Product Id], tbl_Product[Best Source])</f>
        <v>#N/A</v>
      </c>
      <c r="AW354" s="4" t="e">
        <f>_xlfn.XLOOKUP(tbl_MTG_Set[[#This Row],[Collector Booster Box Product Id]], tbl_Product[Product Id], tbl_Product[Pack Size])</f>
        <v>#N/A</v>
      </c>
      <c r="AX354" s="10" t="e">
        <f>(tbl_MTG_Set[[#This Row],[Collector Booster Box Cost]] + v_Item_Shipping_Cost_In) / tbl_MTG_Set[[#This Row],[Collector Booster Box Size]]</f>
        <v>#N/A</v>
      </c>
      <c r="AY354" s="10" t="str" cm="1">
        <f t="array" ref="AY3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4" s="10"/>
      <c r="BA3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4" s="17" t="e">
        <f>tbl_MTG_Set[[#This Row],[Collector Booster CardMarket Profit]]/tbl_MTG_Set[[#This Row],[Collector Booster Cost]]</f>
        <v>#N/A</v>
      </c>
      <c r="BC354" s="10"/>
      <c r="BF3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4" s="11" t="e">
        <f>tbl_MTG_Set[[#This Row],[Play Singles CardMarket Profit MTG Stocks]]/tbl_MTG_Set[[#This Row],[Play Booster Cost]]</f>
        <v>#VALUE!</v>
      </c>
      <c r="BI354" s="11" t="b">
        <f>tbl_MTG_Set[[#This Row],[Play Singles CardMarket Profit MTG Stocks]]&gt;0</f>
        <v>0</v>
      </c>
      <c r="BM354" s="10" t="e">
        <f>tbl_MTG_Set[[#This Row],[Play Booster Sell Price CardMarket]]*tbl_MTG_Set[[#This Row],[Play Booster Expected Market Value BotBox]]/tbl_MTG_Set[[#This Row],[Play Booster Sealed Market Value BotBox]]</f>
        <v>#VALUE!</v>
      </c>
      <c r="BN3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4" s="10" t="e">
        <f>tbl_MTG_Set[[#This Row],[Play Singles CardMarket Profit BotBox]]/tbl_MTG_Set[[#This Row],[Play Booster Cost]]</f>
        <v>#VALUE!</v>
      </c>
      <c r="BP354" s="10" t="b">
        <f>tbl_MTG_Set[[#This Row],[Play Singles CardMarket Profit BotBox]]&gt;0</f>
        <v>0</v>
      </c>
      <c r="BQ354" s="10"/>
      <c r="BR354" s="10"/>
      <c r="BS354" s="10"/>
      <c r="BT3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4" s="19" t="e">
        <f>tbl_MTG_Set[[#This Row],[Collector Singles CardMarket Profit MTG Stocks]]/tbl_MTG_Set[[#This Row],[Collector Booster Cost]]</f>
        <v>#N/A</v>
      </c>
      <c r="BW354" s="10" t="b">
        <f>tbl_MTG_Set[[#This Row],[Collector Singles CardMarket Profit MTG Stocks]]&gt;0</f>
        <v>0</v>
      </c>
      <c r="BX354" s="10"/>
      <c r="BY354" s="10"/>
      <c r="BZ3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4" s="10" t="e">
        <f>tbl_MTG_Set[[#This Row],[Collector Singles CardMarket Profit BotBox]]/tbl_MTG_Set[[#This Row],[Collector Booster Cost]]</f>
        <v>#N/A</v>
      </c>
      <c r="CC354" s="10" t="b">
        <f>tbl_MTG_Set[[#This Row],[Collector Singles CardMarket Profit BotBox]]&gt;0</f>
        <v>0</v>
      </c>
      <c r="CD3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5" spans="1:86" hidden="1">
      <c r="A355">
        <v>383</v>
      </c>
      <c r="B355" t="s">
        <v>528</v>
      </c>
      <c r="C355">
        <v>339</v>
      </c>
      <c r="D355" s="3">
        <v>44056</v>
      </c>
      <c r="F355" t="s">
        <v>174</v>
      </c>
      <c r="G355">
        <v>712</v>
      </c>
      <c r="H355">
        <f ca="1">MONTH(NOW())+12*YEAR(NOW())-MONTH(tbl_MTG_Set[[#This Row],[Released On]])-12*YEAR(tbl_MTG_Set[[#This Row],[Released On]])</f>
        <v>67</v>
      </c>
      <c r="I355" t="str">
        <f>_xlfn.XLOOKUP(tbl_MTG_Set[[#This Row],[Type Name]], tbl_MTG_Set_Type[Set Type], tbl_MTG_Set_Type[Index], "(Set Type not found)")</f>
        <v>(Set Type not found)</v>
      </c>
      <c r="J355" t="str">
        <f>_xlfn.XLOOKUP(tbl_MTG_Set[[#This Row],[Type Name]], tbl_MTG_Set_Type[Set Type], tbl_MTG_Set_Type[Buy Window Month Start], "(Set Type not found)")</f>
        <v>(Set Type not found)</v>
      </c>
      <c r="K355" s="3" t="e">
        <f>tbl_MTG_Set[[#This Row],[Released On]]+tbl_MTG_Set[[#This Row],[Buy Window Month Start]]*365.25/12</f>
        <v>#VALUE!</v>
      </c>
      <c r="L355" t="str">
        <f>_xlfn.XLOOKUP(tbl_MTG_Set[[#This Row],[Type Name]], tbl_MTG_Set_Type[Set Type], tbl_MTG_Set_Type[Buy Window Month End], "(Set Type not found)", 0, 1)</f>
        <v>(Set Type not found)</v>
      </c>
      <c r="M355" s="3" t="e">
        <f>tbl_MTG_Set[[#This Row],[Released On]]+tbl_MTG_Set[[#This Row],[Buy Window Month End]]*365.25/12</f>
        <v>#VALUE!</v>
      </c>
      <c r="N355" s="3" t="e">
        <f ca="1">AND(NOW()&gt;=tbl_MTG_Set[[#This Row],[Buy Window Start]], NOW()&lt;=tbl_MTG_Set[[#This Row],[Buy Window End]])</f>
        <v>#VALUE!</v>
      </c>
      <c r="O355" t="str">
        <f>_xlfn.XLOOKUP(tbl_MTG_Set[[#This Row],[Type Name]], tbl_MTG_Set_Type[Set Type], tbl_MTG_Set_Type[Heavy Printing Window Month Start], "(Set Type not found)", 0, 1)</f>
        <v>(Set Type not found)</v>
      </c>
      <c r="P355" s="3" t="e">
        <f>tbl_MTG_Set[[#This Row],[Released On]]+tbl_MTG_Set[[#This Row],[Heavy Printing Window Month Start]]*365.25/12</f>
        <v>#VALUE!</v>
      </c>
      <c r="Q355" t="str">
        <f>_xlfn.XLOOKUP(tbl_MTG_Set[[#This Row],[Type Name]], tbl_MTG_Set_Type[Set Type], tbl_MTG_Set_Type[Heavy Printing Window Month End], "(Set Type not found)", 0, 1)</f>
        <v>(Set Type not found)</v>
      </c>
      <c r="R355" s="3" t="e">
        <f>tbl_MTG_Set[[#This Row],[Released On]]+tbl_MTG_Set[[#This Row],[Heavy Printing Window Month End]]*365.25/12</f>
        <v>#VALUE!</v>
      </c>
      <c r="S355" s="3" t="e">
        <f ca="1">AND(NOW()&gt;=tbl_MTG_Set[[#This Row],[Heavy Printing Window Start]], NOW()&lt;=tbl_MTG_Set[[#This Row],[Heavy Printing Window End]])</f>
        <v>#VALUE!</v>
      </c>
      <c r="T355" t="str">
        <f>_xlfn.XLOOKUP(tbl_MTG_Set[[#This Row],[Type Name]], tbl_MTG_Set_Type[Set Type], tbl_MTG_Set_Type[Sell Window Month Start], "(Set Type not found)", 0, 1)</f>
        <v>(Set Type not found)</v>
      </c>
      <c r="U355" s="3" t="e">
        <f>tbl_MTG_Set[[#This Row],[Released On]]+tbl_MTG_Set[[#This Row],[Sell Window Month Start]]*365.25/12</f>
        <v>#VALUE!</v>
      </c>
      <c r="V355" t="str">
        <f>_xlfn.XLOOKUP(tbl_MTG_Set[[#This Row],[Type Name]], tbl_MTG_Set_Type[Set Type], tbl_MTG_Set_Type[Sell Window Month End], "(Set Type not found)", 0, 1)</f>
        <v>(Set Type not found)</v>
      </c>
      <c r="W355" s="3" t="e">
        <f>tbl_MTG_Set[[#This Row],[Released On]]+tbl_MTG_Set[[#This Row],[Sell Window Month End]]*365.25/12</f>
        <v>#VALUE!</v>
      </c>
      <c r="X355" s="3" t="e">
        <f ca="1">AND(NOW()&gt;=tbl_MTG_Set[[#This Row],[Sell Window Start]], NOW()&lt;=tbl_MTG_Set[[#This Row],[Sell Window End]])</f>
        <v>#VALUE!</v>
      </c>
      <c r="AG355" s="10"/>
      <c r="AH355" s="10"/>
      <c r="AM355" s="10" t="str" cm="1">
        <f t="array" ref="AM3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5" s="10" t="str" cm="1">
        <f t="array" ref="AN3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5" s="4" t="e">
        <f>_xlfn.XLOOKUP(tbl_MTG_Set[[#This Row],[Play Booster Box Product Id]], tbl_Product[Product Id], tbl_Product[Pack Size])</f>
        <v>#N/A</v>
      </c>
      <c r="AP355" s="10" t="e">
        <f>(tbl_MTG_Set[[#This Row],[Play Booster Box Cost]]+v_Item_Shipping_Cost_In)/tbl_MTG_Set[[#This Row],[Play Booster Box Size]]</f>
        <v>#VALUE!</v>
      </c>
      <c r="AQ355" s="10" t="str" cm="1">
        <f t="array" ref="AQ3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5" s="10"/>
      <c r="AS355" s="10"/>
      <c r="AT355" s="17" t="e">
        <f>tbl_MTG_Set[[#This Row],[Play Booster CardMarket Profit]]/tbl_MTG_Set[[#This Row],[Play Booster Cost]]</f>
        <v>#VALUE!</v>
      </c>
      <c r="AU355" s="10" t="e">
        <f>_xlfn.XLOOKUP(tbl_MTG_Set[[#This Row],[Collector Booster Box Product Id]], tbl_Product[Product Id], tbl_Product[Min Cost])</f>
        <v>#N/A</v>
      </c>
      <c r="AV355" s="10" t="e">
        <f>_xlfn.XLOOKUP(tbl_MTG_Set[[#This Row],[Collector Booster Box Product Id]], tbl_Product[Product Id], tbl_Product[Best Source])</f>
        <v>#N/A</v>
      </c>
      <c r="AW355" s="4" t="e">
        <f>_xlfn.XLOOKUP(tbl_MTG_Set[[#This Row],[Collector Booster Box Product Id]], tbl_Product[Product Id], tbl_Product[Pack Size])</f>
        <v>#N/A</v>
      </c>
      <c r="AX355" s="10" t="e">
        <f>(tbl_MTG_Set[[#This Row],[Collector Booster Box Cost]] + v_Item_Shipping_Cost_In) / tbl_MTG_Set[[#This Row],[Collector Booster Box Size]]</f>
        <v>#N/A</v>
      </c>
      <c r="AY355" s="10" t="str" cm="1">
        <f t="array" ref="AY3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5" s="10"/>
      <c r="BA3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5" s="17" t="e">
        <f>tbl_MTG_Set[[#This Row],[Collector Booster CardMarket Profit]]/tbl_MTG_Set[[#This Row],[Collector Booster Cost]]</f>
        <v>#N/A</v>
      </c>
      <c r="BC355" s="10"/>
      <c r="BF3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5" s="11" t="e">
        <f>tbl_MTG_Set[[#This Row],[Play Singles CardMarket Profit MTG Stocks]]/tbl_MTG_Set[[#This Row],[Play Booster Cost]]</f>
        <v>#VALUE!</v>
      </c>
      <c r="BI355" s="11" t="b">
        <f>tbl_MTG_Set[[#This Row],[Play Singles CardMarket Profit MTG Stocks]]&gt;0</f>
        <v>0</v>
      </c>
      <c r="BM355" s="10" t="e">
        <f>tbl_MTG_Set[[#This Row],[Play Booster Sell Price CardMarket]]*tbl_MTG_Set[[#This Row],[Play Booster Expected Market Value BotBox]]/tbl_MTG_Set[[#This Row],[Play Booster Sealed Market Value BotBox]]</f>
        <v>#VALUE!</v>
      </c>
      <c r="BN3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5" s="10" t="e">
        <f>tbl_MTG_Set[[#This Row],[Play Singles CardMarket Profit BotBox]]/tbl_MTG_Set[[#This Row],[Play Booster Cost]]</f>
        <v>#VALUE!</v>
      </c>
      <c r="BP355" s="10" t="b">
        <f>tbl_MTG_Set[[#This Row],[Play Singles CardMarket Profit BotBox]]&gt;0</f>
        <v>0</v>
      </c>
      <c r="BQ355" s="10"/>
      <c r="BR355" s="10"/>
      <c r="BS355" s="10"/>
      <c r="BT3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5" s="19" t="e">
        <f>tbl_MTG_Set[[#This Row],[Collector Singles CardMarket Profit MTG Stocks]]/tbl_MTG_Set[[#This Row],[Collector Booster Cost]]</f>
        <v>#N/A</v>
      </c>
      <c r="BW355" s="10" t="b">
        <f>tbl_MTG_Set[[#This Row],[Collector Singles CardMarket Profit MTG Stocks]]&gt;0</f>
        <v>0</v>
      </c>
      <c r="BX355" s="10"/>
      <c r="BY355" s="10"/>
      <c r="BZ3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5" s="10" t="e">
        <f>tbl_MTG_Set[[#This Row],[Collector Singles CardMarket Profit BotBox]]/tbl_MTG_Set[[#This Row],[Collector Booster Cost]]</f>
        <v>#N/A</v>
      </c>
      <c r="CC355" s="10" t="b">
        <f>tbl_MTG_Set[[#This Row],[Collector Singles CardMarket Profit BotBox]]&gt;0</f>
        <v>0</v>
      </c>
      <c r="CD3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6" spans="1:86" hidden="1">
      <c r="A356">
        <v>384</v>
      </c>
      <c r="B356" t="s">
        <v>529</v>
      </c>
      <c r="C356">
        <v>120</v>
      </c>
      <c r="D356" s="3">
        <v>44056</v>
      </c>
      <c r="F356" t="s">
        <v>174</v>
      </c>
      <c r="G356">
        <v>714</v>
      </c>
      <c r="H356">
        <f ca="1">MONTH(NOW())+12*YEAR(NOW())-MONTH(tbl_MTG_Set[[#This Row],[Released On]])-12*YEAR(tbl_MTG_Set[[#This Row],[Released On]])</f>
        <v>67</v>
      </c>
      <c r="I356" t="str">
        <f>_xlfn.XLOOKUP(tbl_MTG_Set[[#This Row],[Type Name]], tbl_MTG_Set_Type[Set Type], tbl_MTG_Set_Type[Index], "(Set Type not found)")</f>
        <v>(Set Type not found)</v>
      </c>
      <c r="J356" t="str">
        <f>_xlfn.XLOOKUP(tbl_MTG_Set[[#This Row],[Type Name]], tbl_MTG_Set_Type[Set Type], tbl_MTG_Set_Type[Buy Window Month Start], "(Set Type not found)")</f>
        <v>(Set Type not found)</v>
      </c>
      <c r="K356" s="3" t="e">
        <f>tbl_MTG_Set[[#This Row],[Released On]]+tbl_MTG_Set[[#This Row],[Buy Window Month Start]]*365.25/12</f>
        <v>#VALUE!</v>
      </c>
      <c r="L356" t="str">
        <f>_xlfn.XLOOKUP(tbl_MTG_Set[[#This Row],[Type Name]], tbl_MTG_Set_Type[Set Type], tbl_MTG_Set_Type[Buy Window Month End], "(Set Type not found)", 0, 1)</f>
        <v>(Set Type not found)</v>
      </c>
      <c r="M356" s="3" t="e">
        <f>tbl_MTG_Set[[#This Row],[Released On]]+tbl_MTG_Set[[#This Row],[Buy Window Month End]]*365.25/12</f>
        <v>#VALUE!</v>
      </c>
      <c r="N356" s="3" t="e">
        <f ca="1">AND(NOW()&gt;=tbl_MTG_Set[[#This Row],[Buy Window Start]], NOW()&lt;=tbl_MTG_Set[[#This Row],[Buy Window End]])</f>
        <v>#VALUE!</v>
      </c>
      <c r="O356" t="str">
        <f>_xlfn.XLOOKUP(tbl_MTG_Set[[#This Row],[Type Name]], tbl_MTG_Set_Type[Set Type], tbl_MTG_Set_Type[Heavy Printing Window Month Start], "(Set Type not found)", 0, 1)</f>
        <v>(Set Type not found)</v>
      </c>
      <c r="P356" s="3" t="e">
        <f>tbl_MTG_Set[[#This Row],[Released On]]+tbl_MTG_Set[[#This Row],[Heavy Printing Window Month Start]]*365.25/12</f>
        <v>#VALUE!</v>
      </c>
      <c r="Q356" t="str">
        <f>_xlfn.XLOOKUP(tbl_MTG_Set[[#This Row],[Type Name]], tbl_MTG_Set_Type[Set Type], tbl_MTG_Set_Type[Heavy Printing Window Month End], "(Set Type not found)", 0, 1)</f>
        <v>(Set Type not found)</v>
      </c>
      <c r="R356" s="3" t="e">
        <f>tbl_MTG_Set[[#This Row],[Released On]]+tbl_MTG_Set[[#This Row],[Heavy Printing Window Month End]]*365.25/12</f>
        <v>#VALUE!</v>
      </c>
      <c r="S356" s="3" t="e">
        <f ca="1">AND(NOW()&gt;=tbl_MTG_Set[[#This Row],[Heavy Printing Window Start]], NOW()&lt;=tbl_MTG_Set[[#This Row],[Heavy Printing Window End]])</f>
        <v>#VALUE!</v>
      </c>
      <c r="T356" t="str">
        <f>_xlfn.XLOOKUP(tbl_MTG_Set[[#This Row],[Type Name]], tbl_MTG_Set_Type[Set Type], tbl_MTG_Set_Type[Sell Window Month Start], "(Set Type not found)", 0, 1)</f>
        <v>(Set Type not found)</v>
      </c>
      <c r="U356" s="3" t="e">
        <f>tbl_MTG_Set[[#This Row],[Released On]]+tbl_MTG_Set[[#This Row],[Sell Window Month Start]]*365.25/12</f>
        <v>#VALUE!</v>
      </c>
      <c r="V356" t="str">
        <f>_xlfn.XLOOKUP(tbl_MTG_Set[[#This Row],[Type Name]], tbl_MTG_Set_Type[Set Type], tbl_MTG_Set_Type[Sell Window Month End], "(Set Type not found)", 0, 1)</f>
        <v>(Set Type not found)</v>
      </c>
      <c r="W356" s="3" t="e">
        <f>tbl_MTG_Set[[#This Row],[Released On]]+tbl_MTG_Set[[#This Row],[Sell Window Month End]]*365.25/12</f>
        <v>#VALUE!</v>
      </c>
      <c r="X356" s="3" t="e">
        <f ca="1">AND(NOW()&gt;=tbl_MTG_Set[[#This Row],[Sell Window Start]], NOW()&lt;=tbl_MTG_Set[[#This Row],[Sell Window End]])</f>
        <v>#VALUE!</v>
      </c>
      <c r="AG356" s="10"/>
      <c r="AH356" s="10"/>
      <c r="AM356" s="10" t="str" cm="1">
        <f t="array" ref="AM3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6" s="10" t="str" cm="1">
        <f t="array" ref="AN3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6" s="4" t="e">
        <f>_xlfn.XLOOKUP(tbl_MTG_Set[[#This Row],[Play Booster Box Product Id]], tbl_Product[Product Id], tbl_Product[Pack Size])</f>
        <v>#N/A</v>
      </c>
      <c r="AP356" s="10" t="e">
        <f>(tbl_MTG_Set[[#This Row],[Play Booster Box Cost]]+v_Item_Shipping_Cost_In)/tbl_MTG_Set[[#This Row],[Play Booster Box Size]]</f>
        <v>#VALUE!</v>
      </c>
      <c r="AQ356" s="10" t="str" cm="1">
        <f t="array" ref="AQ3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6" s="10"/>
      <c r="AS356" s="10"/>
      <c r="AT356" s="17" t="e">
        <f>tbl_MTG_Set[[#This Row],[Play Booster CardMarket Profit]]/tbl_MTG_Set[[#This Row],[Play Booster Cost]]</f>
        <v>#VALUE!</v>
      </c>
      <c r="AU356" s="10" t="e">
        <f>_xlfn.XLOOKUP(tbl_MTG_Set[[#This Row],[Collector Booster Box Product Id]], tbl_Product[Product Id], tbl_Product[Min Cost])</f>
        <v>#N/A</v>
      </c>
      <c r="AV356" s="10" t="e">
        <f>_xlfn.XLOOKUP(tbl_MTG_Set[[#This Row],[Collector Booster Box Product Id]], tbl_Product[Product Id], tbl_Product[Best Source])</f>
        <v>#N/A</v>
      </c>
      <c r="AW356" s="4" t="e">
        <f>_xlfn.XLOOKUP(tbl_MTG_Set[[#This Row],[Collector Booster Box Product Id]], tbl_Product[Product Id], tbl_Product[Pack Size])</f>
        <v>#N/A</v>
      </c>
      <c r="AX356" s="10" t="e">
        <f>(tbl_MTG_Set[[#This Row],[Collector Booster Box Cost]] + v_Item_Shipping_Cost_In) / tbl_MTG_Set[[#This Row],[Collector Booster Box Size]]</f>
        <v>#N/A</v>
      </c>
      <c r="AY356" s="10" t="str" cm="1">
        <f t="array" ref="AY3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6" s="10"/>
      <c r="BA3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6" s="17" t="e">
        <f>tbl_MTG_Set[[#This Row],[Collector Booster CardMarket Profit]]/tbl_MTG_Set[[#This Row],[Collector Booster Cost]]</f>
        <v>#N/A</v>
      </c>
      <c r="BC356" s="10"/>
      <c r="BF3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6" s="11" t="e">
        <f>tbl_MTG_Set[[#This Row],[Play Singles CardMarket Profit MTG Stocks]]/tbl_MTG_Set[[#This Row],[Play Booster Cost]]</f>
        <v>#VALUE!</v>
      </c>
      <c r="BI356" s="11" t="b">
        <f>tbl_MTG_Set[[#This Row],[Play Singles CardMarket Profit MTG Stocks]]&gt;0</f>
        <v>0</v>
      </c>
      <c r="BM356" s="10" t="e">
        <f>tbl_MTG_Set[[#This Row],[Play Booster Sell Price CardMarket]]*tbl_MTG_Set[[#This Row],[Play Booster Expected Market Value BotBox]]/tbl_MTG_Set[[#This Row],[Play Booster Sealed Market Value BotBox]]</f>
        <v>#VALUE!</v>
      </c>
      <c r="BN3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6" s="10" t="e">
        <f>tbl_MTG_Set[[#This Row],[Play Singles CardMarket Profit BotBox]]/tbl_MTG_Set[[#This Row],[Play Booster Cost]]</f>
        <v>#VALUE!</v>
      </c>
      <c r="BP356" s="10" t="b">
        <f>tbl_MTG_Set[[#This Row],[Play Singles CardMarket Profit BotBox]]&gt;0</f>
        <v>0</v>
      </c>
      <c r="BQ356" s="10"/>
      <c r="BR356" s="10"/>
      <c r="BS356" s="10"/>
      <c r="BT3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6" s="19" t="e">
        <f>tbl_MTG_Set[[#This Row],[Collector Singles CardMarket Profit MTG Stocks]]/tbl_MTG_Set[[#This Row],[Collector Booster Cost]]</f>
        <v>#N/A</v>
      </c>
      <c r="BW356" s="10" t="b">
        <f>tbl_MTG_Set[[#This Row],[Collector Singles CardMarket Profit MTG Stocks]]&gt;0</f>
        <v>0</v>
      </c>
      <c r="BX356" s="10"/>
      <c r="BY356" s="10"/>
      <c r="BZ3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6" s="10" t="e">
        <f>tbl_MTG_Set[[#This Row],[Collector Singles CardMarket Profit BotBox]]/tbl_MTG_Set[[#This Row],[Collector Booster Cost]]</f>
        <v>#N/A</v>
      </c>
      <c r="CC356" s="10" t="b">
        <f>tbl_MTG_Set[[#This Row],[Collector Singles CardMarket Profit BotBox]]&gt;0</f>
        <v>0</v>
      </c>
      <c r="CD3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7" spans="1:86" hidden="1">
      <c r="A357">
        <v>385</v>
      </c>
      <c r="B357" t="s">
        <v>530</v>
      </c>
      <c r="C357">
        <v>384</v>
      </c>
      <c r="D357" s="3">
        <v>44050</v>
      </c>
      <c r="F357" t="s">
        <v>174</v>
      </c>
      <c r="G357">
        <v>716</v>
      </c>
      <c r="H357">
        <f ca="1">MONTH(NOW())+12*YEAR(NOW())-MONTH(tbl_MTG_Set[[#This Row],[Released On]])-12*YEAR(tbl_MTG_Set[[#This Row],[Released On]])</f>
        <v>67</v>
      </c>
      <c r="I357" t="str">
        <f>_xlfn.XLOOKUP(tbl_MTG_Set[[#This Row],[Type Name]], tbl_MTG_Set_Type[Set Type], tbl_MTG_Set_Type[Index], "(Set Type not found)")</f>
        <v>(Set Type not found)</v>
      </c>
      <c r="J357" t="str">
        <f>_xlfn.XLOOKUP(tbl_MTG_Set[[#This Row],[Type Name]], tbl_MTG_Set_Type[Set Type], tbl_MTG_Set_Type[Buy Window Month Start], "(Set Type not found)")</f>
        <v>(Set Type not found)</v>
      </c>
      <c r="K357" s="3" t="e">
        <f>tbl_MTG_Set[[#This Row],[Released On]]+tbl_MTG_Set[[#This Row],[Buy Window Month Start]]*365.25/12</f>
        <v>#VALUE!</v>
      </c>
      <c r="L357" t="str">
        <f>_xlfn.XLOOKUP(tbl_MTG_Set[[#This Row],[Type Name]], tbl_MTG_Set_Type[Set Type], tbl_MTG_Set_Type[Buy Window Month End], "(Set Type not found)", 0, 1)</f>
        <v>(Set Type not found)</v>
      </c>
      <c r="M357" s="3" t="e">
        <f>tbl_MTG_Set[[#This Row],[Released On]]+tbl_MTG_Set[[#This Row],[Buy Window Month End]]*365.25/12</f>
        <v>#VALUE!</v>
      </c>
      <c r="N357" s="3" t="e">
        <f ca="1">AND(NOW()&gt;=tbl_MTG_Set[[#This Row],[Buy Window Start]], NOW()&lt;=tbl_MTG_Set[[#This Row],[Buy Window End]])</f>
        <v>#VALUE!</v>
      </c>
      <c r="O357" t="str">
        <f>_xlfn.XLOOKUP(tbl_MTG_Set[[#This Row],[Type Name]], tbl_MTG_Set_Type[Set Type], tbl_MTG_Set_Type[Heavy Printing Window Month Start], "(Set Type not found)", 0, 1)</f>
        <v>(Set Type not found)</v>
      </c>
      <c r="P357" s="3" t="e">
        <f>tbl_MTG_Set[[#This Row],[Released On]]+tbl_MTG_Set[[#This Row],[Heavy Printing Window Month Start]]*365.25/12</f>
        <v>#VALUE!</v>
      </c>
      <c r="Q357" t="str">
        <f>_xlfn.XLOOKUP(tbl_MTG_Set[[#This Row],[Type Name]], tbl_MTG_Set_Type[Set Type], tbl_MTG_Set_Type[Heavy Printing Window Month End], "(Set Type not found)", 0, 1)</f>
        <v>(Set Type not found)</v>
      </c>
      <c r="R357" s="3" t="e">
        <f>tbl_MTG_Set[[#This Row],[Released On]]+tbl_MTG_Set[[#This Row],[Heavy Printing Window Month End]]*365.25/12</f>
        <v>#VALUE!</v>
      </c>
      <c r="S357" s="3" t="e">
        <f ca="1">AND(NOW()&gt;=tbl_MTG_Set[[#This Row],[Heavy Printing Window Start]], NOW()&lt;=tbl_MTG_Set[[#This Row],[Heavy Printing Window End]])</f>
        <v>#VALUE!</v>
      </c>
      <c r="T357" t="str">
        <f>_xlfn.XLOOKUP(tbl_MTG_Set[[#This Row],[Type Name]], tbl_MTG_Set_Type[Set Type], tbl_MTG_Set_Type[Sell Window Month Start], "(Set Type not found)", 0, 1)</f>
        <v>(Set Type not found)</v>
      </c>
      <c r="U357" s="3" t="e">
        <f>tbl_MTG_Set[[#This Row],[Released On]]+tbl_MTG_Set[[#This Row],[Sell Window Month Start]]*365.25/12</f>
        <v>#VALUE!</v>
      </c>
      <c r="V357" t="str">
        <f>_xlfn.XLOOKUP(tbl_MTG_Set[[#This Row],[Type Name]], tbl_MTG_Set_Type[Set Type], tbl_MTG_Set_Type[Sell Window Month End], "(Set Type not found)", 0, 1)</f>
        <v>(Set Type not found)</v>
      </c>
      <c r="W357" s="3" t="e">
        <f>tbl_MTG_Set[[#This Row],[Released On]]+tbl_MTG_Set[[#This Row],[Sell Window Month End]]*365.25/12</f>
        <v>#VALUE!</v>
      </c>
      <c r="X357" s="3" t="e">
        <f ca="1">AND(NOW()&gt;=tbl_MTG_Set[[#This Row],[Sell Window Start]], NOW()&lt;=tbl_MTG_Set[[#This Row],[Sell Window End]])</f>
        <v>#VALUE!</v>
      </c>
      <c r="AG357" s="10"/>
      <c r="AH357" s="10"/>
      <c r="AM357" s="10" t="str" cm="1">
        <f t="array" ref="AM3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7" s="10" t="str" cm="1">
        <f t="array" ref="AN3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7" s="4" t="e">
        <f>_xlfn.XLOOKUP(tbl_MTG_Set[[#This Row],[Play Booster Box Product Id]], tbl_Product[Product Id], tbl_Product[Pack Size])</f>
        <v>#N/A</v>
      </c>
      <c r="AP357" s="10" t="e">
        <f>(tbl_MTG_Set[[#This Row],[Play Booster Box Cost]]+v_Item_Shipping_Cost_In)/tbl_MTG_Set[[#This Row],[Play Booster Box Size]]</f>
        <v>#VALUE!</v>
      </c>
      <c r="AQ357" s="10" t="str" cm="1">
        <f t="array" ref="AQ3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7" s="10"/>
      <c r="AS357" s="10"/>
      <c r="AT357" s="17" t="e">
        <f>tbl_MTG_Set[[#This Row],[Play Booster CardMarket Profit]]/tbl_MTG_Set[[#This Row],[Play Booster Cost]]</f>
        <v>#VALUE!</v>
      </c>
      <c r="AU357" s="10" t="e">
        <f>_xlfn.XLOOKUP(tbl_MTG_Set[[#This Row],[Collector Booster Box Product Id]], tbl_Product[Product Id], tbl_Product[Min Cost])</f>
        <v>#N/A</v>
      </c>
      <c r="AV357" s="10" t="e">
        <f>_xlfn.XLOOKUP(tbl_MTG_Set[[#This Row],[Collector Booster Box Product Id]], tbl_Product[Product Id], tbl_Product[Best Source])</f>
        <v>#N/A</v>
      </c>
      <c r="AW357" s="4" t="e">
        <f>_xlfn.XLOOKUP(tbl_MTG_Set[[#This Row],[Collector Booster Box Product Id]], tbl_Product[Product Id], tbl_Product[Pack Size])</f>
        <v>#N/A</v>
      </c>
      <c r="AX357" s="10" t="e">
        <f>(tbl_MTG_Set[[#This Row],[Collector Booster Box Cost]] + v_Item_Shipping_Cost_In) / tbl_MTG_Set[[#This Row],[Collector Booster Box Size]]</f>
        <v>#N/A</v>
      </c>
      <c r="AY357" s="10" t="str" cm="1">
        <f t="array" ref="AY3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7" s="10"/>
      <c r="BA3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7" s="17" t="e">
        <f>tbl_MTG_Set[[#This Row],[Collector Booster CardMarket Profit]]/tbl_MTG_Set[[#This Row],[Collector Booster Cost]]</f>
        <v>#N/A</v>
      </c>
      <c r="BC357" s="10"/>
      <c r="BF3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7" s="11" t="e">
        <f>tbl_MTG_Set[[#This Row],[Play Singles CardMarket Profit MTG Stocks]]/tbl_MTG_Set[[#This Row],[Play Booster Cost]]</f>
        <v>#VALUE!</v>
      </c>
      <c r="BI357" s="11" t="b">
        <f>tbl_MTG_Set[[#This Row],[Play Singles CardMarket Profit MTG Stocks]]&gt;0</f>
        <v>0</v>
      </c>
      <c r="BM357" s="10" t="e">
        <f>tbl_MTG_Set[[#This Row],[Play Booster Sell Price CardMarket]]*tbl_MTG_Set[[#This Row],[Play Booster Expected Market Value BotBox]]/tbl_MTG_Set[[#This Row],[Play Booster Sealed Market Value BotBox]]</f>
        <v>#VALUE!</v>
      </c>
      <c r="BN3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7" s="10" t="e">
        <f>tbl_MTG_Set[[#This Row],[Play Singles CardMarket Profit BotBox]]/tbl_MTG_Set[[#This Row],[Play Booster Cost]]</f>
        <v>#VALUE!</v>
      </c>
      <c r="BP357" s="10" t="b">
        <f>tbl_MTG_Set[[#This Row],[Play Singles CardMarket Profit BotBox]]&gt;0</f>
        <v>0</v>
      </c>
      <c r="BQ357" s="10"/>
      <c r="BR357" s="10"/>
      <c r="BS357" s="10"/>
      <c r="BT3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7" s="19" t="e">
        <f>tbl_MTG_Set[[#This Row],[Collector Singles CardMarket Profit MTG Stocks]]/tbl_MTG_Set[[#This Row],[Collector Booster Cost]]</f>
        <v>#N/A</v>
      </c>
      <c r="BW357" s="10" t="b">
        <f>tbl_MTG_Set[[#This Row],[Collector Singles CardMarket Profit MTG Stocks]]&gt;0</f>
        <v>0</v>
      </c>
      <c r="BX357" s="10"/>
      <c r="BY357" s="10"/>
      <c r="BZ3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7" s="10" t="e">
        <f>tbl_MTG_Set[[#This Row],[Collector Singles CardMarket Profit BotBox]]/tbl_MTG_Set[[#This Row],[Collector Booster Cost]]</f>
        <v>#N/A</v>
      </c>
      <c r="CC357" s="10" t="b">
        <f>tbl_MTG_Set[[#This Row],[Collector Singles CardMarket Profit BotBox]]&gt;0</f>
        <v>0</v>
      </c>
      <c r="CD3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8" spans="1:86" hidden="1">
      <c r="A358">
        <v>386</v>
      </c>
      <c r="B358" t="s">
        <v>531</v>
      </c>
      <c r="C358">
        <v>31</v>
      </c>
      <c r="D358" s="3">
        <v>44050</v>
      </c>
      <c r="F358" t="s">
        <v>174</v>
      </c>
      <c r="G358">
        <v>718</v>
      </c>
      <c r="H358">
        <f ca="1">MONTH(NOW())+12*YEAR(NOW())-MONTH(tbl_MTG_Set[[#This Row],[Released On]])-12*YEAR(tbl_MTG_Set[[#This Row],[Released On]])</f>
        <v>67</v>
      </c>
      <c r="I358" t="str">
        <f>_xlfn.XLOOKUP(tbl_MTG_Set[[#This Row],[Type Name]], tbl_MTG_Set_Type[Set Type], tbl_MTG_Set_Type[Index], "(Set Type not found)")</f>
        <v>(Set Type not found)</v>
      </c>
      <c r="J358" t="str">
        <f>_xlfn.XLOOKUP(tbl_MTG_Set[[#This Row],[Type Name]], tbl_MTG_Set_Type[Set Type], tbl_MTG_Set_Type[Buy Window Month Start], "(Set Type not found)")</f>
        <v>(Set Type not found)</v>
      </c>
      <c r="K358" s="3" t="e">
        <f>tbl_MTG_Set[[#This Row],[Released On]]+tbl_MTG_Set[[#This Row],[Buy Window Month Start]]*365.25/12</f>
        <v>#VALUE!</v>
      </c>
      <c r="L358" t="str">
        <f>_xlfn.XLOOKUP(tbl_MTG_Set[[#This Row],[Type Name]], tbl_MTG_Set_Type[Set Type], tbl_MTG_Set_Type[Buy Window Month End], "(Set Type not found)", 0, 1)</f>
        <v>(Set Type not found)</v>
      </c>
      <c r="M358" s="3" t="e">
        <f>tbl_MTG_Set[[#This Row],[Released On]]+tbl_MTG_Set[[#This Row],[Buy Window Month End]]*365.25/12</f>
        <v>#VALUE!</v>
      </c>
      <c r="N358" s="3" t="e">
        <f ca="1">AND(NOW()&gt;=tbl_MTG_Set[[#This Row],[Buy Window Start]], NOW()&lt;=tbl_MTG_Set[[#This Row],[Buy Window End]])</f>
        <v>#VALUE!</v>
      </c>
      <c r="O358" t="str">
        <f>_xlfn.XLOOKUP(tbl_MTG_Set[[#This Row],[Type Name]], tbl_MTG_Set_Type[Set Type], tbl_MTG_Set_Type[Heavy Printing Window Month Start], "(Set Type not found)", 0, 1)</f>
        <v>(Set Type not found)</v>
      </c>
      <c r="P358" s="3" t="e">
        <f>tbl_MTG_Set[[#This Row],[Released On]]+tbl_MTG_Set[[#This Row],[Heavy Printing Window Month Start]]*365.25/12</f>
        <v>#VALUE!</v>
      </c>
      <c r="Q358" t="str">
        <f>_xlfn.XLOOKUP(tbl_MTG_Set[[#This Row],[Type Name]], tbl_MTG_Set_Type[Set Type], tbl_MTG_Set_Type[Heavy Printing Window Month End], "(Set Type not found)", 0, 1)</f>
        <v>(Set Type not found)</v>
      </c>
      <c r="R358" s="3" t="e">
        <f>tbl_MTG_Set[[#This Row],[Released On]]+tbl_MTG_Set[[#This Row],[Heavy Printing Window Month End]]*365.25/12</f>
        <v>#VALUE!</v>
      </c>
      <c r="S358" s="3" t="e">
        <f ca="1">AND(NOW()&gt;=tbl_MTG_Set[[#This Row],[Heavy Printing Window Start]], NOW()&lt;=tbl_MTG_Set[[#This Row],[Heavy Printing Window End]])</f>
        <v>#VALUE!</v>
      </c>
      <c r="T358" t="str">
        <f>_xlfn.XLOOKUP(tbl_MTG_Set[[#This Row],[Type Name]], tbl_MTG_Set_Type[Set Type], tbl_MTG_Set_Type[Sell Window Month Start], "(Set Type not found)", 0, 1)</f>
        <v>(Set Type not found)</v>
      </c>
      <c r="U358" s="3" t="e">
        <f>tbl_MTG_Set[[#This Row],[Released On]]+tbl_MTG_Set[[#This Row],[Sell Window Month Start]]*365.25/12</f>
        <v>#VALUE!</v>
      </c>
      <c r="V358" t="str">
        <f>_xlfn.XLOOKUP(tbl_MTG_Set[[#This Row],[Type Name]], tbl_MTG_Set_Type[Set Type], tbl_MTG_Set_Type[Sell Window Month End], "(Set Type not found)", 0, 1)</f>
        <v>(Set Type not found)</v>
      </c>
      <c r="W358" s="3" t="e">
        <f>tbl_MTG_Set[[#This Row],[Released On]]+tbl_MTG_Set[[#This Row],[Sell Window Month End]]*365.25/12</f>
        <v>#VALUE!</v>
      </c>
      <c r="X358" s="3" t="e">
        <f ca="1">AND(NOW()&gt;=tbl_MTG_Set[[#This Row],[Sell Window Start]], NOW()&lt;=tbl_MTG_Set[[#This Row],[Sell Window End]])</f>
        <v>#VALUE!</v>
      </c>
      <c r="AG358" s="10"/>
      <c r="AH358" s="10"/>
      <c r="AM358" s="10" t="str" cm="1">
        <f t="array" ref="AM3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8" s="10" t="str" cm="1">
        <f t="array" ref="AN3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8" s="4" t="e">
        <f>_xlfn.XLOOKUP(tbl_MTG_Set[[#This Row],[Play Booster Box Product Id]], tbl_Product[Product Id], tbl_Product[Pack Size])</f>
        <v>#N/A</v>
      </c>
      <c r="AP358" s="10" t="e">
        <f>(tbl_MTG_Set[[#This Row],[Play Booster Box Cost]]+v_Item_Shipping_Cost_In)/tbl_MTG_Set[[#This Row],[Play Booster Box Size]]</f>
        <v>#VALUE!</v>
      </c>
      <c r="AQ358" s="10" t="str" cm="1">
        <f t="array" ref="AQ3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8" s="10"/>
      <c r="AS358" s="10"/>
      <c r="AT358" s="17" t="e">
        <f>tbl_MTG_Set[[#This Row],[Play Booster CardMarket Profit]]/tbl_MTG_Set[[#This Row],[Play Booster Cost]]</f>
        <v>#VALUE!</v>
      </c>
      <c r="AU358" s="10" t="e">
        <f>_xlfn.XLOOKUP(tbl_MTG_Set[[#This Row],[Collector Booster Box Product Id]], tbl_Product[Product Id], tbl_Product[Min Cost])</f>
        <v>#N/A</v>
      </c>
      <c r="AV358" s="10" t="e">
        <f>_xlfn.XLOOKUP(tbl_MTG_Set[[#This Row],[Collector Booster Box Product Id]], tbl_Product[Product Id], tbl_Product[Best Source])</f>
        <v>#N/A</v>
      </c>
      <c r="AW358" s="4" t="e">
        <f>_xlfn.XLOOKUP(tbl_MTG_Set[[#This Row],[Collector Booster Box Product Id]], tbl_Product[Product Id], tbl_Product[Pack Size])</f>
        <v>#N/A</v>
      </c>
      <c r="AX358" s="10" t="e">
        <f>(tbl_MTG_Set[[#This Row],[Collector Booster Box Cost]] + v_Item_Shipping_Cost_In) / tbl_MTG_Set[[#This Row],[Collector Booster Box Size]]</f>
        <v>#N/A</v>
      </c>
      <c r="AY358" s="10" t="str" cm="1">
        <f t="array" ref="AY3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8" s="10"/>
      <c r="BA3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8" s="17" t="e">
        <f>tbl_MTG_Set[[#This Row],[Collector Booster CardMarket Profit]]/tbl_MTG_Set[[#This Row],[Collector Booster Cost]]</f>
        <v>#N/A</v>
      </c>
      <c r="BC358" s="10"/>
      <c r="BF3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8" s="11" t="e">
        <f>tbl_MTG_Set[[#This Row],[Play Singles CardMarket Profit MTG Stocks]]/tbl_MTG_Set[[#This Row],[Play Booster Cost]]</f>
        <v>#VALUE!</v>
      </c>
      <c r="BI358" s="11" t="b">
        <f>tbl_MTG_Set[[#This Row],[Play Singles CardMarket Profit MTG Stocks]]&gt;0</f>
        <v>0</v>
      </c>
      <c r="BM358" s="10" t="e">
        <f>tbl_MTG_Set[[#This Row],[Play Booster Sell Price CardMarket]]*tbl_MTG_Set[[#This Row],[Play Booster Expected Market Value BotBox]]/tbl_MTG_Set[[#This Row],[Play Booster Sealed Market Value BotBox]]</f>
        <v>#VALUE!</v>
      </c>
      <c r="BN3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8" s="10" t="e">
        <f>tbl_MTG_Set[[#This Row],[Play Singles CardMarket Profit BotBox]]/tbl_MTG_Set[[#This Row],[Play Booster Cost]]</f>
        <v>#VALUE!</v>
      </c>
      <c r="BP358" s="10" t="b">
        <f>tbl_MTG_Set[[#This Row],[Play Singles CardMarket Profit BotBox]]&gt;0</f>
        <v>0</v>
      </c>
      <c r="BQ358" s="10"/>
      <c r="BR358" s="10"/>
      <c r="BS358" s="10"/>
      <c r="BT3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8" s="19" t="e">
        <f>tbl_MTG_Set[[#This Row],[Collector Singles CardMarket Profit MTG Stocks]]/tbl_MTG_Set[[#This Row],[Collector Booster Cost]]</f>
        <v>#N/A</v>
      </c>
      <c r="BW358" s="10" t="b">
        <f>tbl_MTG_Set[[#This Row],[Collector Singles CardMarket Profit MTG Stocks]]&gt;0</f>
        <v>0</v>
      </c>
      <c r="BX358" s="10"/>
      <c r="BY358" s="10"/>
      <c r="BZ3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8" s="10" t="e">
        <f>tbl_MTG_Set[[#This Row],[Collector Singles CardMarket Profit BotBox]]/tbl_MTG_Set[[#This Row],[Collector Booster Cost]]</f>
        <v>#N/A</v>
      </c>
      <c r="CC358" s="10" t="b">
        <f>tbl_MTG_Set[[#This Row],[Collector Singles CardMarket Profit BotBox]]&gt;0</f>
        <v>0</v>
      </c>
      <c r="CD3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59" spans="1:86" hidden="1">
      <c r="A359">
        <v>387</v>
      </c>
      <c r="B359" t="s">
        <v>532</v>
      </c>
      <c r="C359">
        <v>7</v>
      </c>
      <c r="D359" s="3">
        <v>44044</v>
      </c>
      <c r="F359" t="s">
        <v>174</v>
      </c>
      <c r="G359">
        <v>720</v>
      </c>
      <c r="H359">
        <f ca="1">MONTH(NOW())+12*YEAR(NOW())-MONTH(tbl_MTG_Set[[#This Row],[Released On]])-12*YEAR(tbl_MTG_Set[[#This Row],[Released On]])</f>
        <v>67</v>
      </c>
      <c r="I359" t="str">
        <f>_xlfn.XLOOKUP(tbl_MTG_Set[[#This Row],[Type Name]], tbl_MTG_Set_Type[Set Type], tbl_MTG_Set_Type[Index], "(Set Type not found)")</f>
        <v>(Set Type not found)</v>
      </c>
      <c r="J359" t="str">
        <f>_xlfn.XLOOKUP(tbl_MTG_Set[[#This Row],[Type Name]], tbl_MTG_Set_Type[Set Type], tbl_MTG_Set_Type[Buy Window Month Start], "(Set Type not found)")</f>
        <v>(Set Type not found)</v>
      </c>
      <c r="K359" s="3" t="e">
        <f>tbl_MTG_Set[[#This Row],[Released On]]+tbl_MTG_Set[[#This Row],[Buy Window Month Start]]*365.25/12</f>
        <v>#VALUE!</v>
      </c>
      <c r="L359" t="str">
        <f>_xlfn.XLOOKUP(tbl_MTG_Set[[#This Row],[Type Name]], tbl_MTG_Set_Type[Set Type], tbl_MTG_Set_Type[Buy Window Month End], "(Set Type not found)", 0, 1)</f>
        <v>(Set Type not found)</v>
      </c>
      <c r="M359" s="3" t="e">
        <f>tbl_MTG_Set[[#This Row],[Released On]]+tbl_MTG_Set[[#This Row],[Buy Window Month End]]*365.25/12</f>
        <v>#VALUE!</v>
      </c>
      <c r="N359" s="3" t="e">
        <f ca="1">AND(NOW()&gt;=tbl_MTG_Set[[#This Row],[Buy Window Start]], NOW()&lt;=tbl_MTG_Set[[#This Row],[Buy Window End]])</f>
        <v>#VALUE!</v>
      </c>
      <c r="O359" t="str">
        <f>_xlfn.XLOOKUP(tbl_MTG_Set[[#This Row],[Type Name]], tbl_MTG_Set_Type[Set Type], tbl_MTG_Set_Type[Heavy Printing Window Month Start], "(Set Type not found)", 0, 1)</f>
        <v>(Set Type not found)</v>
      </c>
      <c r="P359" s="3" t="e">
        <f>tbl_MTG_Set[[#This Row],[Released On]]+tbl_MTG_Set[[#This Row],[Heavy Printing Window Month Start]]*365.25/12</f>
        <v>#VALUE!</v>
      </c>
      <c r="Q359" t="str">
        <f>_xlfn.XLOOKUP(tbl_MTG_Set[[#This Row],[Type Name]], tbl_MTG_Set_Type[Set Type], tbl_MTG_Set_Type[Heavy Printing Window Month End], "(Set Type not found)", 0, 1)</f>
        <v>(Set Type not found)</v>
      </c>
      <c r="R359" s="3" t="e">
        <f>tbl_MTG_Set[[#This Row],[Released On]]+tbl_MTG_Set[[#This Row],[Heavy Printing Window Month End]]*365.25/12</f>
        <v>#VALUE!</v>
      </c>
      <c r="S359" s="3" t="e">
        <f ca="1">AND(NOW()&gt;=tbl_MTG_Set[[#This Row],[Heavy Printing Window Start]], NOW()&lt;=tbl_MTG_Set[[#This Row],[Heavy Printing Window End]])</f>
        <v>#VALUE!</v>
      </c>
      <c r="T359" t="str">
        <f>_xlfn.XLOOKUP(tbl_MTG_Set[[#This Row],[Type Name]], tbl_MTG_Set_Type[Set Type], tbl_MTG_Set_Type[Sell Window Month Start], "(Set Type not found)", 0, 1)</f>
        <v>(Set Type not found)</v>
      </c>
      <c r="U359" s="3" t="e">
        <f>tbl_MTG_Set[[#This Row],[Released On]]+tbl_MTG_Set[[#This Row],[Sell Window Month Start]]*365.25/12</f>
        <v>#VALUE!</v>
      </c>
      <c r="V359" t="str">
        <f>_xlfn.XLOOKUP(tbl_MTG_Set[[#This Row],[Type Name]], tbl_MTG_Set_Type[Set Type], tbl_MTG_Set_Type[Sell Window Month End], "(Set Type not found)", 0, 1)</f>
        <v>(Set Type not found)</v>
      </c>
      <c r="W359" s="3" t="e">
        <f>tbl_MTG_Set[[#This Row],[Released On]]+tbl_MTG_Set[[#This Row],[Sell Window Month End]]*365.25/12</f>
        <v>#VALUE!</v>
      </c>
      <c r="X359" s="3" t="e">
        <f ca="1">AND(NOW()&gt;=tbl_MTG_Set[[#This Row],[Sell Window Start]], NOW()&lt;=tbl_MTG_Set[[#This Row],[Sell Window End]])</f>
        <v>#VALUE!</v>
      </c>
      <c r="AG359" s="10"/>
      <c r="AH359" s="10"/>
      <c r="AM359" s="10" t="str" cm="1">
        <f t="array" ref="AM3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59" s="10" t="str" cm="1">
        <f t="array" ref="AN3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59" s="4" t="e">
        <f>_xlfn.XLOOKUP(tbl_MTG_Set[[#This Row],[Play Booster Box Product Id]], tbl_Product[Product Id], tbl_Product[Pack Size])</f>
        <v>#N/A</v>
      </c>
      <c r="AP359" s="10" t="e">
        <f>(tbl_MTG_Set[[#This Row],[Play Booster Box Cost]]+v_Item_Shipping_Cost_In)/tbl_MTG_Set[[#This Row],[Play Booster Box Size]]</f>
        <v>#VALUE!</v>
      </c>
      <c r="AQ359" s="10" t="str" cm="1">
        <f t="array" ref="AQ3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59" s="10"/>
      <c r="AS359" s="10"/>
      <c r="AT359" s="17" t="e">
        <f>tbl_MTG_Set[[#This Row],[Play Booster CardMarket Profit]]/tbl_MTG_Set[[#This Row],[Play Booster Cost]]</f>
        <v>#VALUE!</v>
      </c>
      <c r="AU359" s="10" t="e">
        <f>_xlfn.XLOOKUP(tbl_MTG_Set[[#This Row],[Collector Booster Box Product Id]], tbl_Product[Product Id], tbl_Product[Min Cost])</f>
        <v>#N/A</v>
      </c>
      <c r="AV359" s="10" t="e">
        <f>_xlfn.XLOOKUP(tbl_MTG_Set[[#This Row],[Collector Booster Box Product Id]], tbl_Product[Product Id], tbl_Product[Best Source])</f>
        <v>#N/A</v>
      </c>
      <c r="AW359" s="4" t="e">
        <f>_xlfn.XLOOKUP(tbl_MTG_Set[[#This Row],[Collector Booster Box Product Id]], tbl_Product[Product Id], tbl_Product[Pack Size])</f>
        <v>#N/A</v>
      </c>
      <c r="AX359" s="10" t="e">
        <f>(tbl_MTG_Set[[#This Row],[Collector Booster Box Cost]] + v_Item_Shipping_Cost_In) / tbl_MTG_Set[[#This Row],[Collector Booster Box Size]]</f>
        <v>#N/A</v>
      </c>
      <c r="AY359" s="10" t="str" cm="1">
        <f t="array" ref="AY3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59" s="10"/>
      <c r="BA3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59" s="17" t="e">
        <f>tbl_MTG_Set[[#This Row],[Collector Booster CardMarket Profit]]/tbl_MTG_Set[[#This Row],[Collector Booster Cost]]</f>
        <v>#N/A</v>
      </c>
      <c r="BC359" s="10"/>
      <c r="BF3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59" s="11" t="e">
        <f>tbl_MTG_Set[[#This Row],[Play Singles CardMarket Profit MTG Stocks]]/tbl_MTG_Set[[#This Row],[Play Booster Cost]]</f>
        <v>#VALUE!</v>
      </c>
      <c r="BI359" s="11" t="b">
        <f>tbl_MTG_Set[[#This Row],[Play Singles CardMarket Profit MTG Stocks]]&gt;0</f>
        <v>0</v>
      </c>
      <c r="BM359" s="10" t="e">
        <f>tbl_MTG_Set[[#This Row],[Play Booster Sell Price CardMarket]]*tbl_MTG_Set[[#This Row],[Play Booster Expected Market Value BotBox]]/tbl_MTG_Set[[#This Row],[Play Booster Sealed Market Value BotBox]]</f>
        <v>#VALUE!</v>
      </c>
      <c r="BN3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59" s="10" t="e">
        <f>tbl_MTG_Set[[#This Row],[Play Singles CardMarket Profit BotBox]]/tbl_MTG_Set[[#This Row],[Play Booster Cost]]</f>
        <v>#VALUE!</v>
      </c>
      <c r="BP359" s="10" t="b">
        <f>tbl_MTG_Set[[#This Row],[Play Singles CardMarket Profit BotBox]]&gt;0</f>
        <v>0</v>
      </c>
      <c r="BQ359" s="10"/>
      <c r="BR359" s="10"/>
      <c r="BS359" s="10"/>
      <c r="BT3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59" s="19" t="e">
        <f>tbl_MTG_Set[[#This Row],[Collector Singles CardMarket Profit MTG Stocks]]/tbl_MTG_Set[[#This Row],[Collector Booster Cost]]</f>
        <v>#N/A</v>
      </c>
      <c r="BW359" s="10" t="b">
        <f>tbl_MTG_Set[[#This Row],[Collector Singles CardMarket Profit MTG Stocks]]&gt;0</f>
        <v>0</v>
      </c>
      <c r="BX359" s="10"/>
      <c r="BY359" s="10"/>
      <c r="BZ3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59" s="10" t="e">
        <f>tbl_MTG_Set[[#This Row],[Collector Singles CardMarket Profit BotBox]]/tbl_MTG_Set[[#This Row],[Collector Booster Cost]]</f>
        <v>#N/A</v>
      </c>
      <c r="CC359" s="10" t="b">
        <f>tbl_MTG_Set[[#This Row],[Collector Singles CardMarket Profit BotBox]]&gt;0</f>
        <v>0</v>
      </c>
      <c r="CD3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0" spans="1:86" hidden="1">
      <c r="A360">
        <v>388</v>
      </c>
      <c r="B360" t="s">
        <v>533</v>
      </c>
      <c r="C360">
        <v>497</v>
      </c>
      <c r="D360" s="3">
        <v>44029</v>
      </c>
      <c r="F360" t="s">
        <v>174</v>
      </c>
      <c r="G360">
        <v>722</v>
      </c>
      <c r="H360">
        <f ca="1">MONTH(NOW())+12*YEAR(NOW())-MONTH(tbl_MTG_Set[[#This Row],[Released On]])-12*YEAR(tbl_MTG_Set[[#This Row],[Released On]])</f>
        <v>68</v>
      </c>
      <c r="I360" t="str">
        <f>_xlfn.XLOOKUP(tbl_MTG_Set[[#This Row],[Type Name]], tbl_MTG_Set_Type[Set Type], tbl_MTG_Set_Type[Index], "(Set Type not found)")</f>
        <v>(Set Type not found)</v>
      </c>
      <c r="J360" t="str">
        <f>_xlfn.XLOOKUP(tbl_MTG_Set[[#This Row],[Type Name]], tbl_MTG_Set_Type[Set Type], tbl_MTG_Set_Type[Buy Window Month Start], "(Set Type not found)")</f>
        <v>(Set Type not found)</v>
      </c>
      <c r="K360" s="3" t="e">
        <f>tbl_MTG_Set[[#This Row],[Released On]]+tbl_MTG_Set[[#This Row],[Buy Window Month Start]]*365.25/12</f>
        <v>#VALUE!</v>
      </c>
      <c r="L360" t="str">
        <f>_xlfn.XLOOKUP(tbl_MTG_Set[[#This Row],[Type Name]], tbl_MTG_Set_Type[Set Type], tbl_MTG_Set_Type[Buy Window Month End], "(Set Type not found)", 0, 1)</f>
        <v>(Set Type not found)</v>
      </c>
      <c r="M360" s="3" t="e">
        <f>tbl_MTG_Set[[#This Row],[Released On]]+tbl_MTG_Set[[#This Row],[Buy Window Month End]]*365.25/12</f>
        <v>#VALUE!</v>
      </c>
      <c r="N360" s="3" t="e">
        <f ca="1">AND(NOW()&gt;=tbl_MTG_Set[[#This Row],[Buy Window Start]], NOW()&lt;=tbl_MTG_Set[[#This Row],[Buy Window End]])</f>
        <v>#VALUE!</v>
      </c>
      <c r="O360" t="str">
        <f>_xlfn.XLOOKUP(tbl_MTG_Set[[#This Row],[Type Name]], tbl_MTG_Set_Type[Set Type], tbl_MTG_Set_Type[Heavy Printing Window Month Start], "(Set Type not found)", 0, 1)</f>
        <v>(Set Type not found)</v>
      </c>
      <c r="P360" s="3" t="e">
        <f>tbl_MTG_Set[[#This Row],[Released On]]+tbl_MTG_Set[[#This Row],[Heavy Printing Window Month Start]]*365.25/12</f>
        <v>#VALUE!</v>
      </c>
      <c r="Q360" t="str">
        <f>_xlfn.XLOOKUP(tbl_MTG_Set[[#This Row],[Type Name]], tbl_MTG_Set_Type[Set Type], tbl_MTG_Set_Type[Heavy Printing Window Month End], "(Set Type not found)", 0, 1)</f>
        <v>(Set Type not found)</v>
      </c>
      <c r="R360" s="3" t="e">
        <f>tbl_MTG_Set[[#This Row],[Released On]]+tbl_MTG_Set[[#This Row],[Heavy Printing Window Month End]]*365.25/12</f>
        <v>#VALUE!</v>
      </c>
      <c r="S360" s="3" t="e">
        <f ca="1">AND(NOW()&gt;=tbl_MTG_Set[[#This Row],[Heavy Printing Window Start]], NOW()&lt;=tbl_MTG_Set[[#This Row],[Heavy Printing Window End]])</f>
        <v>#VALUE!</v>
      </c>
      <c r="T360" t="str">
        <f>_xlfn.XLOOKUP(tbl_MTG_Set[[#This Row],[Type Name]], tbl_MTG_Set_Type[Set Type], tbl_MTG_Set_Type[Sell Window Month Start], "(Set Type not found)", 0, 1)</f>
        <v>(Set Type not found)</v>
      </c>
      <c r="U360" s="3" t="e">
        <f>tbl_MTG_Set[[#This Row],[Released On]]+tbl_MTG_Set[[#This Row],[Sell Window Month Start]]*365.25/12</f>
        <v>#VALUE!</v>
      </c>
      <c r="V360" t="str">
        <f>_xlfn.XLOOKUP(tbl_MTG_Set[[#This Row],[Type Name]], tbl_MTG_Set_Type[Set Type], tbl_MTG_Set_Type[Sell Window Month End], "(Set Type not found)", 0, 1)</f>
        <v>(Set Type not found)</v>
      </c>
      <c r="W360" s="3" t="e">
        <f>tbl_MTG_Set[[#This Row],[Released On]]+tbl_MTG_Set[[#This Row],[Sell Window Month End]]*365.25/12</f>
        <v>#VALUE!</v>
      </c>
      <c r="X360" s="3" t="e">
        <f ca="1">AND(NOW()&gt;=tbl_MTG_Set[[#This Row],[Sell Window Start]], NOW()&lt;=tbl_MTG_Set[[#This Row],[Sell Window End]])</f>
        <v>#VALUE!</v>
      </c>
      <c r="AG360" s="10"/>
      <c r="AH360" s="10"/>
      <c r="AM360" s="10" t="str" cm="1">
        <f t="array" ref="AM3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0" s="10" t="str" cm="1">
        <f t="array" ref="AN3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0" s="4" t="e">
        <f>_xlfn.XLOOKUP(tbl_MTG_Set[[#This Row],[Play Booster Box Product Id]], tbl_Product[Product Id], tbl_Product[Pack Size])</f>
        <v>#N/A</v>
      </c>
      <c r="AP360" s="10" t="e">
        <f>(tbl_MTG_Set[[#This Row],[Play Booster Box Cost]]+v_Item_Shipping_Cost_In)/tbl_MTG_Set[[#This Row],[Play Booster Box Size]]</f>
        <v>#VALUE!</v>
      </c>
      <c r="AQ360" s="10" t="str" cm="1">
        <f t="array" ref="AQ3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0" s="10"/>
      <c r="AS360" s="10"/>
      <c r="AT360" s="17" t="e">
        <f>tbl_MTG_Set[[#This Row],[Play Booster CardMarket Profit]]/tbl_MTG_Set[[#This Row],[Play Booster Cost]]</f>
        <v>#VALUE!</v>
      </c>
      <c r="AU360" s="10" t="e">
        <f>_xlfn.XLOOKUP(tbl_MTG_Set[[#This Row],[Collector Booster Box Product Id]], tbl_Product[Product Id], tbl_Product[Min Cost])</f>
        <v>#N/A</v>
      </c>
      <c r="AV360" s="10" t="e">
        <f>_xlfn.XLOOKUP(tbl_MTG_Set[[#This Row],[Collector Booster Box Product Id]], tbl_Product[Product Id], tbl_Product[Best Source])</f>
        <v>#N/A</v>
      </c>
      <c r="AW360" s="4" t="e">
        <f>_xlfn.XLOOKUP(tbl_MTG_Set[[#This Row],[Collector Booster Box Product Id]], tbl_Product[Product Id], tbl_Product[Pack Size])</f>
        <v>#N/A</v>
      </c>
      <c r="AX360" s="10" t="e">
        <f>(tbl_MTG_Set[[#This Row],[Collector Booster Box Cost]] + v_Item_Shipping_Cost_In) / tbl_MTG_Set[[#This Row],[Collector Booster Box Size]]</f>
        <v>#N/A</v>
      </c>
      <c r="AY360" s="10" t="str" cm="1">
        <f t="array" ref="AY3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0" s="10"/>
      <c r="BA3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0" s="17" t="e">
        <f>tbl_MTG_Set[[#This Row],[Collector Booster CardMarket Profit]]/tbl_MTG_Set[[#This Row],[Collector Booster Cost]]</f>
        <v>#N/A</v>
      </c>
      <c r="BC360" s="10"/>
      <c r="BF3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0" s="11" t="e">
        <f>tbl_MTG_Set[[#This Row],[Play Singles CardMarket Profit MTG Stocks]]/tbl_MTG_Set[[#This Row],[Play Booster Cost]]</f>
        <v>#VALUE!</v>
      </c>
      <c r="BI360" s="11" t="b">
        <f>tbl_MTG_Set[[#This Row],[Play Singles CardMarket Profit MTG Stocks]]&gt;0</f>
        <v>0</v>
      </c>
      <c r="BM360" s="10" t="e">
        <f>tbl_MTG_Set[[#This Row],[Play Booster Sell Price CardMarket]]*tbl_MTG_Set[[#This Row],[Play Booster Expected Market Value BotBox]]/tbl_MTG_Set[[#This Row],[Play Booster Sealed Market Value BotBox]]</f>
        <v>#VALUE!</v>
      </c>
      <c r="BN3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0" s="10" t="e">
        <f>tbl_MTG_Set[[#This Row],[Play Singles CardMarket Profit BotBox]]/tbl_MTG_Set[[#This Row],[Play Booster Cost]]</f>
        <v>#VALUE!</v>
      </c>
      <c r="BP360" s="10" t="b">
        <f>tbl_MTG_Set[[#This Row],[Play Singles CardMarket Profit BotBox]]&gt;0</f>
        <v>0</v>
      </c>
      <c r="BQ360" s="10"/>
      <c r="BR360" s="10"/>
      <c r="BS360" s="10"/>
      <c r="BT3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0" s="19" t="e">
        <f>tbl_MTG_Set[[#This Row],[Collector Singles CardMarket Profit MTG Stocks]]/tbl_MTG_Set[[#This Row],[Collector Booster Cost]]</f>
        <v>#N/A</v>
      </c>
      <c r="BW360" s="10" t="b">
        <f>tbl_MTG_Set[[#This Row],[Collector Singles CardMarket Profit MTG Stocks]]&gt;0</f>
        <v>0</v>
      </c>
      <c r="BX360" s="10"/>
      <c r="BY360" s="10"/>
      <c r="BZ3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0" s="10" t="e">
        <f>tbl_MTG_Set[[#This Row],[Collector Singles CardMarket Profit BotBox]]/tbl_MTG_Set[[#This Row],[Collector Booster Cost]]</f>
        <v>#N/A</v>
      </c>
      <c r="CC360" s="10" t="b">
        <f>tbl_MTG_Set[[#This Row],[Collector Singles CardMarket Profit BotBox]]&gt;0</f>
        <v>0</v>
      </c>
      <c r="CD3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1" spans="1:86" hidden="1">
      <c r="A361">
        <v>389</v>
      </c>
      <c r="B361" t="s">
        <v>534</v>
      </c>
      <c r="C361">
        <v>18</v>
      </c>
      <c r="D361" s="3">
        <v>44029</v>
      </c>
      <c r="F361" t="s">
        <v>174</v>
      </c>
      <c r="G361">
        <v>724</v>
      </c>
      <c r="H361">
        <f ca="1">MONTH(NOW())+12*YEAR(NOW())-MONTH(tbl_MTG_Set[[#This Row],[Released On]])-12*YEAR(tbl_MTG_Set[[#This Row],[Released On]])</f>
        <v>68</v>
      </c>
      <c r="I361" t="str">
        <f>_xlfn.XLOOKUP(tbl_MTG_Set[[#This Row],[Type Name]], tbl_MTG_Set_Type[Set Type], tbl_MTG_Set_Type[Index], "(Set Type not found)")</f>
        <v>(Set Type not found)</v>
      </c>
      <c r="J361" t="str">
        <f>_xlfn.XLOOKUP(tbl_MTG_Set[[#This Row],[Type Name]], tbl_MTG_Set_Type[Set Type], tbl_MTG_Set_Type[Buy Window Month Start], "(Set Type not found)")</f>
        <v>(Set Type not found)</v>
      </c>
      <c r="K361" s="3" t="e">
        <f>tbl_MTG_Set[[#This Row],[Released On]]+tbl_MTG_Set[[#This Row],[Buy Window Month Start]]*365.25/12</f>
        <v>#VALUE!</v>
      </c>
      <c r="L361" t="str">
        <f>_xlfn.XLOOKUP(tbl_MTG_Set[[#This Row],[Type Name]], tbl_MTG_Set_Type[Set Type], tbl_MTG_Set_Type[Buy Window Month End], "(Set Type not found)", 0, 1)</f>
        <v>(Set Type not found)</v>
      </c>
      <c r="M361" s="3" t="e">
        <f>tbl_MTG_Set[[#This Row],[Released On]]+tbl_MTG_Set[[#This Row],[Buy Window Month End]]*365.25/12</f>
        <v>#VALUE!</v>
      </c>
      <c r="N361" s="3" t="e">
        <f ca="1">AND(NOW()&gt;=tbl_MTG_Set[[#This Row],[Buy Window Start]], NOW()&lt;=tbl_MTG_Set[[#This Row],[Buy Window End]])</f>
        <v>#VALUE!</v>
      </c>
      <c r="O361" t="str">
        <f>_xlfn.XLOOKUP(tbl_MTG_Set[[#This Row],[Type Name]], tbl_MTG_Set_Type[Set Type], tbl_MTG_Set_Type[Heavy Printing Window Month Start], "(Set Type not found)", 0, 1)</f>
        <v>(Set Type not found)</v>
      </c>
      <c r="P361" s="3" t="e">
        <f>tbl_MTG_Set[[#This Row],[Released On]]+tbl_MTG_Set[[#This Row],[Heavy Printing Window Month Start]]*365.25/12</f>
        <v>#VALUE!</v>
      </c>
      <c r="Q361" t="str">
        <f>_xlfn.XLOOKUP(tbl_MTG_Set[[#This Row],[Type Name]], tbl_MTG_Set_Type[Set Type], tbl_MTG_Set_Type[Heavy Printing Window Month End], "(Set Type not found)", 0, 1)</f>
        <v>(Set Type not found)</v>
      </c>
      <c r="R361" s="3" t="e">
        <f>tbl_MTG_Set[[#This Row],[Released On]]+tbl_MTG_Set[[#This Row],[Heavy Printing Window Month End]]*365.25/12</f>
        <v>#VALUE!</v>
      </c>
      <c r="S361" s="3" t="e">
        <f ca="1">AND(NOW()&gt;=tbl_MTG_Set[[#This Row],[Heavy Printing Window Start]], NOW()&lt;=tbl_MTG_Set[[#This Row],[Heavy Printing Window End]])</f>
        <v>#VALUE!</v>
      </c>
      <c r="T361" t="str">
        <f>_xlfn.XLOOKUP(tbl_MTG_Set[[#This Row],[Type Name]], tbl_MTG_Set_Type[Set Type], tbl_MTG_Set_Type[Sell Window Month Start], "(Set Type not found)", 0, 1)</f>
        <v>(Set Type not found)</v>
      </c>
      <c r="U361" s="3" t="e">
        <f>tbl_MTG_Set[[#This Row],[Released On]]+tbl_MTG_Set[[#This Row],[Sell Window Month Start]]*365.25/12</f>
        <v>#VALUE!</v>
      </c>
      <c r="V361" t="str">
        <f>_xlfn.XLOOKUP(tbl_MTG_Set[[#This Row],[Type Name]], tbl_MTG_Set_Type[Set Type], tbl_MTG_Set_Type[Sell Window Month End], "(Set Type not found)", 0, 1)</f>
        <v>(Set Type not found)</v>
      </c>
      <c r="W361" s="3" t="e">
        <f>tbl_MTG_Set[[#This Row],[Released On]]+tbl_MTG_Set[[#This Row],[Sell Window Month End]]*365.25/12</f>
        <v>#VALUE!</v>
      </c>
      <c r="X361" s="3" t="e">
        <f ca="1">AND(NOW()&gt;=tbl_MTG_Set[[#This Row],[Sell Window Start]], NOW()&lt;=tbl_MTG_Set[[#This Row],[Sell Window End]])</f>
        <v>#VALUE!</v>
      </c>
      <c r="AG361" s="10"/>
      <c r="AH361" s="10"/>
      <c r="AM361" s="10" t="str" cm="1">
        <f t="array" ref="AM3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1" s="10" t="str" cm="1">
        <f t="array" ref="AN3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1" s="4" t="e">
        <f>_xlfn.XLOOKUP(tbl_MTG_Set[[#This Row],[Play Booster Box Product Id]], tbl_Product[Product Id], tbl_Product[Pack Size])</f>
        <v>#N/A</v>
      </c>
      <c r="AP361" s="10" t="e">
        <f>(tbl_MTG_Set[[#This Row],[Play Booster Box Cost]]+v_Item_Shipping_Cost_In)/tbl_MTG_Set[[#This Row],[Play Booster Box Size]]</f>
        <v>#VALUE!</v>
      </c>
      <c r="AQ361" s="10" t="str" cm="1">
        <f t="array" ref="AQ3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1" s="10"/>
      <c r="AS361" s="10"/>
      <c r="AT361" s="17" t="e">
        <f>tbl_MTG_Set[[#This Row],[Play Booster CardMarket Profit]]/tbl_MTG_Set[[#This Row],[Play Booster Cost]]</f>
        <v>#VALUE!</v>
      </c>
      <c r="AU361" s="10" t="e">
        <f>_xlfn.XLOOKUP(tbl_MTG_Set[[#This Row],[Collector Booster Box Product Id]], tbl_Product[Product Id], tbl_Product[Min Cost])</f>
        <v>#N/A</v>
      </c>
      <c r="AV361" s="10" t="e">
        <f>_xlfn.XLOOKUP(tbl_MTG_Set[[#This Row],[Collector Booster Box Product Id]], tbl_Product[Product Id], tbl_Product[Best Source])</f>
        <v>#N/A</v>
      </c>
      <c r="AW361" s="4" t="e">
        <f>_xlfn.XLOOKUP(tbl_MTG_Set[[#This Row],[Collector Booster Box Product Id]], tbl_Product[Product Id], tbl_Product[Pack Size])</f>
        <v>#N/A</v>
      </c>
      <c r="AX361" s="10" t="e">
        <f>(tbl_MTG_Set[[#This Row],[Collector Booster Box Cost]] + v_Item_Shipping_Cost_In) / tbl_MTG_Set[[#This Row],[Collector Booster Box Size]]</f>
        <v>#N/A</v>
      </c>
      <c r="AY361" s="10" t="str" cm="1">
        <f t="array" ref="AY3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1" s="10"/>
      <c r="BA3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1" s="17" t="e">
        <f>tbl_MTG_Set[[#This Row],[Collector Booster CardMarket Profit]]/tbl_MTG_Set[[#This Row],[Collector Booster Cost]]</f>
        <v>#N/A</v>
      </c>
      <c r="BC361" s="10"/>
      <c r="BF3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1" s="11" t="e">
        <f>tbl_MTG_Set[[#This Row],[Play Singles CardMarket Profit MTG Stocks]]/tbl_MTG_Set[[#This Row],[Play Booster Cost]]</f>
        <v>#VALUE!</v>
      </c>
      <c r="BI361" s="11" t="b">
        <f>tbl_MTG_Set[[#This Row],[Play Singles CardMarket Profit MTG Stocks]]&gt;0</f>
        <v>0</v>
      </c>
      <c r="BM361" s="10" t="e">
        <f>tbl_MTG_Set[[#This Row],[Play Booster Sell Price CardMarket]]*tbl_MTG_Set[[#This Row],[Play Booster Expected Market Value BotBox]]/tbl_MTG_Set[[#This Row],[Play Booster Sealed Market Value BotBox]]</f>
        <v>#VALUE!</v>
      </c>
      <c r="BN3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1" s="10" t="e">
        <f>tbl_MTG_Set[[#This Row],[Play Singles CardMarket Profit BotBox]]/tbl_MTG_Set[[#This Row],[Play Booster Cost]]</f>
        <v>#VALUE!</v>
      </c>
      <c r="BP361" s="10" t="b">
        <f>tbl_MTG_Set[[#This Row],[Play Singles CardMarket Profit BotBox]]&gt;0</f>
        <v>0</v>
      </c>
      <c r="BQ361" s="10"/>
      <c r="BR361" s="10"/>
      <c r="BS361" s="10"/>
      <c r="BT3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1" s="19" t="e">
        <f>tbl_MTG_Set[[#This Row],[Collector Singles CardMarket Profit MTG Stocks]]/tbl_MTG_Set[[#This Row],[Collector Booster Cost]]</f>
        <v>#N/A</v>
      </c>
      <c r="BW361" s="10" t="b">
        <f>tbl_MTG_Set[[#This Row],[Collector Singles CardMarket Profit MTG Stocks]]&gt;0</f>
        <v>0</v>
      </c>
      <c r="BX361" s="10"/>
      <c r="BY361" s="10"/>
      <c r="BZ3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1" s="10" t="e">
        <f>tbl_MTG_Set[[#This Row],[Collector Singles CardMarket Profit BotBox]]/tbl_MTG_Set[[#This Row],[Collector Booster Cost]]</f>
        <v>#N/A</v>
      </c>
      <c r="CC361" s="10" t="b">
        <f>tbl_MTG_Set[[#This Row],[Collector Singles CardMarket Profit BotBox]]&gt;0</f>
        <v>0</v>
      </c>
      <c r="CD3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2" spans="1:86" hidden="1">
      <c r="A362">
        <v>390</v>
      </c>
      <c r="B362" t="s">
        <v>535</v>
      </c>
      <c r="C362">
        <v>46</v>
      </c>
      <c r="D362" s="3">
        <v>44000</v>
      </c>
      <c r="F362" t="s">
        <v>174</v>
      </c>
      <c r="G362">
        <v>726</v>
      </c>
      <c r="H362">
        <f ca="1">MONTH(NOW())+12*YEAR(NOW())-MONTH(tbl_MTG_Set[[#This Row],[Released On]])-12*YEAR(tbl_MTG_Set[[#This Row],[Released On]])</f>
        <v>69</v>
      </c>
      <c r="I362" t="str">
        <f>_xlfn.XLOOKUP(tbl_MTG_Set[[#This Row],[Type Name]], tbl_MTG_Set_Type[Set Type], tbl_MTG_Set_Type[Index], "(Set Type not found)")</f>
        <v>(Set Type not found)</v>
      </c>
      <c r="J362" t="str">
        <f>_xlfn.XLOOKUP(tbl_MTG_Set[[#This Row],[Type Name]], tbl_MTG_Set_Type[Set Type], tbl_MTG_Set_Type[Buy Window Month Start], "(Set Type not found)")</f>
        <v>(Set Type not found)</v>
      </c>
      <c r="K362" s="3" t="e">
        <f>tbl_MTG_Set[[#This Row],[Released On]]+tbl_MTG_Set[[#This Row],[Buy Window Month Start]]*365.25/12</f>
        <v>#VALUE!</v>
      </c>
      <c r="L362" t="str">
        <f>_xlfn.XLOOKUP(tbl_MTG_Set[[#This Row],[Type Name]], tbl_MTG_Set_Type[Set Type], tbl_MTG_Set_Type[Buy Window Month End], "(Set Type not found)", 0, 1)</f>
        <v>(Set Type not found)</v>
      </c>
      <c r="M362" s="3" t="e">
        <f>tbl_MTG_Set[[#This Row],[Released On]]+tbl_MTG_Set[[#This Row],[Buy Window Month End]]*365.25/12</f>
        <v>#VALUE!</v>
      </c>
      <c r="N362" s="3" t="e">
        <f ca="1">AND(NOW()&gt;=tbl_MTG_Set[[#This Row],[Buy Window Start]], NOW()&lt;=tbl_MTG_Set[[#This Row],[Buy Window End]])</f>
        <v>#VALUE!</v>
      </c>
      <c r="O362" t="str">
        <f>_xlfn.XLOOKUP(tbl_MTG_Set[[#This Row],[Type Name]], tbl_MTG_Set_Type[Set Type], tbl_MTG_Set_Type[Heavy Printing Window Month Start], "(Set Type not found)", 0, 1)</f>
        <v>(Set Type not found)</v>
      </c>
      <c r="P362" s="3" t="e">
        <f>tbl_MTG_Set[[#This Row],[Released On]]+tbl_MTG_Set[[#This Row],[Heavy Printing Window Month Start]]*365.25/12</f>
        <v>#VALUE!</v>
      </c>
      <c r="Q362" t="str">
        <f>_xlfn.XLOOKUP(tbl_MTG_Set[[#This Row],[Type Name]], tbl_MTG_Set_Type[Set Type], tbl_MTG_Set_Type[Heavy Printing Window Month End], "(Set Type not found)", 0, 1)</f>
        <v>(Set Type not found)</v>
      </c>
      <c r="R362" s="3" t="e">
        <f>tbl_MTG_Set[[#This Row],[Released On]]+tbl_MTG_Set[[#This Row],[Heavy Printing Window Month End]]*365.25/12</f>
        <v>#VALUE!</v>
      </c>
      <c r="S362" s="3" t="e">
        <f ca="1">AND(NOW()&gt;=tbl_MTG_Set[[#This Row],[Heavy Printing Window Start]], NOW()&lt;=tbl_MTG_Set[[#This Row],[Heavy Printing Window End]])</f>
        <v>#VALUE!</v>
      </c>
      <c r="T362" t="str">
        <f>_xlfn.XLOOKUP(tbl_MTG_Set[[#This Row],[Type Name]], tbl_MTG_Set_Type[Set Type], tbl_MTG_Set_Type[Sell Window Month Start], "(Set Type not found)", 0, 1)</f>
        <v>(Set Type not found)</v>
      </c>
      <c r="U362" s="3" t="e">
        <f>tbl_MTG_Set[[#This Row],[Released On]]+tbl_MTG_Set[[#This Row],[Sell Window Month Start]]*365.25/12</f>
        <v>#VALUE!</v>
      </c>
      <c r="V362" t="str">
        <f>_xlfn.XLOOKUP(tbl_MTG_Set[[#This Row],[Type Name]], tbl_MTG_Set_Type[Set Type], tbl_MTG_Set_Type[Sell Window Month End], "(Set Type not found)", 0, 1)</f>
        <v>(Set Type not found)</v>
      </c>
      <c r="W362" s="3" t="e">
        <f>tbl_MTG_Set[[#This Row],[Released On]]+tbl_MTG_Set[[#This Row],[Sell Window Month End]]*365.25/12</f>
        <v>#VALUE!</v>
      </c>
      <c r="X362" s="3" t="e">
        <f ca="1">AND(NOW()&gt;=tbl_MTG_Set[[#This Row],[Sell Window Start]], NOW()&lt;=tbl_MTG_Set[[#This Row],[Sell Window End]])</f>
        <v>#VALUE!</v>
      </c>
      <c r="AG362" s="10"/>
      <c r="AH362" s="10"/>
      <c r="AM362" s="10" t="str" cm="1">
        <f t="array" ref="AM3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2" s="10" t="str" cm="1">
        <f t="array" ref="AN3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2" s="4" t="e">
        <f>_xlfn.XLOOKUP(tbl_MTG_Set[[#This Row],[Play Booster Box Product Id]], tbl_Product[Product Id], tbl_Product[Pack Size])</f>
        <v>#N/A</v>
      </c>
      <c r="AP362" s="10" t="e">
        <f>(tbl_MTG_Set[[#This Row],[Play Booster Box Cost]]+v_Item_Shipping_Cost_In)/tbl_MTG_Set[[#This Row],[Play Booster Box Size]]</f>
        <v>#VALUE!</v>
      </c>
      <c r="AQ362" s="10" t="str" cm="1">
        <f t="array" ref="AQ3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2" s="10"/>
      <c r="AS362" s="10"/>
      <c r="AT362" s="17" t="e">
        <f>tbl_MTG_Set[[#This Row],[Play Booster CardMarket Profit]]/tbl_MTG_Set[[#This Row],[Play Booster Cost]]</f>
        <v>#VALUE!</v>
      </c>
      <c r="AU362" s="10" t="e">
        <f>_xlfn.XLOOKUP(tbl_MTG_Set[[#This Row],[Collector Booster Box Product Id]], tbl_Product[Product Id], tbl_Product[Min Cost])</f>
        <v>#N/A</v>
      </c>
      <c r="AV362" s="10" t="e">
        <f>_xlfn.XLOOKUP(tbl_MTG_Set[[#This Row],[Collector Booster Box Product Id]], tbl_Product[Product Id], tbl_Product[Best Source])</f>
        <v>#N/A</v>
      </c>
      <c r="AW362" s="4" t="e">
        <f>_xlfn.XLOOKUP(tbl_MTG_Set[[#This Row],[Collector Booster Box Product Id]], tbl_Product[Product Id], tbl_Product[Pack Size])</f>
        <v>#N/A</v>
      </c>
      <c r="AX362" s="10" t="e">
        <f>(tbl_MTG_Set[[#This Row],[Collector Booster Box Cost]] + v_Item_Shipping_Cost_In) / tbl_MTG_Set[[#This Row],[Collector Booster Box Size]]</f>
        <v>#N/A</v>
      </c>
      <c r="AY362" s="10" t="str" cm="1">
        <f t="array" ref="AY3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2" s="10"/>
      <c r="BA3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2" s="17" t="e">
        <f>tbl_MTG_Set[[#This Row],[Collector Booster CardMarket Profit]]/tbl_MTG_Set[[#This Row],[Collector Booster Cost]]</f>
        <v>#N/A</v>
      </c>
      <c r="BC362" s="10"/>
      <c r="BF3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2" s="11" t="e">
        <f>tbl_MTG_Set[[#This Row],[Play Singles CardMarket Profit MTG Stocks]]/tbl_MTG_Set[[#This Row],[Play Booster Cost]]</f>
        <v>#VALUE!</v>
      </c>
      <c r="BI362" s="11" t="b">
        <f>tbl_MTG_Set[[#This Row],[Play Singles CardMarket Profit MTG Stocks]]&gt;0</f>
        <v>0</v>
      </c>
      <c r="BM362" s="10" t="e">
        <f>tbl_MTG_Set[[#This Row],[Play Booster Sell Price CardMarket]]*tbl_MTG_Set[[#This Row],[Play Booster Expected Market Value BotBox]]/tbl_MTG_Set[[#This Row],[Play Booster Sealed Market Value BotBox]]</f>
        <v>#VALUE!</v>
      </c>
      <c r="BN3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2" s="10" t="e">
        <f>tbl_MTG_Set[[#This Row],[Play Singles CardMarket Profit BotBox]]/tbl_MTG_Set[[#This Row],[Play Booster Cost]]</f>
        <v>#VALUE!</v>
      </c>
      <c r="BP362" s="10" t="b">
        <f>tbl_MTG_Set[[#This Row],[Play Singles CardMarket Profit BotBox]]&gt;0</f>
        <v>0</v>
      </c>
      <c r="BQ362" s="10"/>
      <c r="BR362" s="10"/>
      <c r="BS362" s="10"/>
      <c r="BT3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2" s="19" t="e">
        <f>tbl_MTG_Set[[#This Row],[Collector Singles CardMarket Profit MTG Stocks]]/tbl_MTG_Set[[#This Row],[Collector Booster Cost]]</f>
        <v>#N/A</v>
      </c>
      <c r="BW362" s="10" t="b">
        <f>tbl_MTG_Set[[#This Row],[Collector Singles CardMarket Profit MTG Stocks]]&gt;0</f>
        <v>0</v>
      </c>
      <c r="BX362" s="10"/>
      <c r="BY362" s="10"/>
      <c r="BZ3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2" s="10" t="e">
        <f>tbl_MTG_Set[[#This Row],[Collector Singles CardMarket Profit BotBox]]/tbl_MTG_Set[[#This Row],[Collector Booster Cost]]</f>
        <v>#N/A</v>
      </c>
      <c r="CC362" s="10" t="b">
        <f>tbl_MTG_Set[[#This Row],[Collector Singles CardMarket Profit BotBox]]&gt;0</f>
        <v>0</v>
      </c>
      <c r="CD3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3" spans="1:86" hidden="1">
      <c r="A363">
        <v>391</v>
      </c>
      <c r="B363" t="s">
        <v>536</v>
      </c>
      <c r="C363">
        <v>397</v>
      </c>
      <c r="D363" s="3">
        <v>44015</v>
      </c>
      <c r="F363" t="s">
        <v>174</v>
      </c>
      <c r="G363">
        <v>728</v>
      </c>
      <c r="H363">
        <f ca="1">MONTH(NOW())+12*YEAR(NOW())-MONTH(tbl_MTG_Set[[#This Row],[Released On]])-12*YEAR(tbl_MTG_Set[[#This Row],[Released On]])</f>
        <v>68</v>
      </c>
      <c r="I363" t="str">
        <f>_xlfn.XLOOKUP(tbl_MTG_Set[[#This Row],[Type Name]], tbl_MTG_Set_Type[Set Type], tbl_MTG_Set_Type[Index], "(Set Type not found)")</f>
        <v>(Set Type not found)</v>
      </c>
      <c r="J363" t="str">
        <f>_xlfn.XLOOKUP(tbl_MTG_Set[[#This Row],[Type Name]], tbl_MTG_Set_Type[Set Type], tbl_MTG_Set_Type[Buy Window Month Start], "(Set Type not found)")</f>
        <v>(Set Type not found)</v>
      </c>
      <c r="K363" s="3" t="e">
        <f>tbl_MTG_Set[[#This Row],[Released On]]+tbl_MTG_Set[[#This Row],[Buy Window Month Start]]*365.25/12</f>
        <v>#VALUE!</v>
      </c>
      <c r="L363" t="str">
        <f>_xlfn.XLOOKUP(tbl_MTG_Set[[#This Row],[Type Name]], tbl_MTG_Set_Type[Set Type], tbl_MTG_Set_Type[Buy Window Month End], "(Set Type not found)", 0, 1)</f>
        <v>(Set Type not found)</v>
      </c>
      <c r="M363" s="3" t="e">
        <f>tbl_MTG_Set[[#This Row],[Released On]]+tbl_MTG_Set[[#This Row],[Buy Window Month End]]*365.25/12</f>
        <v>#VALUE!</v>
      </c>
      <c r="N363" s="3" t="e">
        <f ca="1">AND(NOW()&gt;=tbl_MTG_Set[[#This Row],[Buy Window Start]], NOW()&lt;=tbl_MTG_Set[[#This Row],[Buy Window End]])</f>
        <v>#VALUE!</v>
      </c>
      <c r="O363" t="str">
        <f>_xlfn.XLOOKUP(tbl_MTG_Set[[#This Row],[Type Name]], tbl_MTG_Set_Type[Set Type], tbl_MTG_Set_Type[Heavy Printing Window Month Start], "(Set Type not found)", 0, 1)</f>
        <v>(Set Type not found)</v>
      </c>
      <c r="P363" s="3" t="e">
        <f>tbl_MTG_Set[[#This Row],[Released On]]+tbl_MTG_Set[[#This Row],[Heavy Printing Window Month Start]]*365.25/12</f>
        <v>#VALUE!</v>
      </c>
      <c r="Q363" t="str">
        <f>_xlfn.XLOOKUP(tbl_MTG_Set[[#This Row],[Type Name]], tbl_MTG_Set_Type[Set Type], tbl_MTG_Set_Type[Heavy Printing Window Month End], "(Set Type not found)", 0, 1)</f>
        <v>(Set Type not found)</v>
      </c>
      <c r="R363" s="3" t="e">
        <f>tbl_MTG_Set[[#This Row],[Released On]]+tbl_MTG_Set[[#This Row],[Heavy Printing Window Month End]]*365.25/12</f>
        <v>#VALUE!</v>
      </c>
      <c r="S363" s="3" t="e">
        <f ca="1">AND(NOW()&gt;=tbl_MTG_Set[[#This Row],[Heavy Printing Window Start]], NOW()&lt;=tbl_MTG_Set[[#This Row],[Heavy Printing Window End]])</f>
        <v>#VALUE!</v>
      </c>
      <c r="T363" t="str">
        <f>_xlfn.XLOOKUP(tbl_MTG_Set[[#This Row],[Type Name]], tbl_MTG_Set_Type[Set Type], tbl_MTG_Set_Type[Sell Window Month Start], "(Set Type not found)", 0, 1)</f>
        <v>(Set Type not found)</v>
      </c>
      <c r="U363" s="3" t="e">
        <f>tbl_MTG_Set[[#This Row],[Released On]]+tbl_MTG_Set[[#This Row],[Sell Window Month Start]]*365.25/12</f>
        <v>#VALUE!</v>
      </c>
      <c r="V363" t="str">
        <f>_xlfn.XLOOKUP(tbl_MTG_Set[[#This Row],[Type Name]], tbl_MTG_Set_Type[Set Type], tbl_MTG_Set_Type[Sell Window Month End], "(Set Type not found)", 0, 1)</f>
        <v>(Set Type not found)</v>
      </c>
      <c r="W363" s="3" t="e">
        <f>tbl_MTG_Set[[#This Row],[Released On]]+tbl_MTG_Set[[#This Row],[Sell Window Month End]]*365.25/12</f>
        <v>#VALUE!</v>
      </c>
      <c r="X363" s="3" t="e">
        <f ca="1">AND(NOW()&gt;=tbl_MTG_Set[[#This Row],[Sell Window Start]], NOW()&lt;=tbl_MTG_Set[[#This Row],[Sell Window End]])</f>
        <v>#VALUE!</v>
      </c>
      <c r="AG363" s="10"/>
      <c r="AH363" s="10"/>
      <c r="AM363" s="10" t="str" cm="1">
        <f t="array" ref="AM3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3" s="10" t="str" cm="1">
        <f t="array" ref="AN3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3" s="4" t="e">
        <f>_xlfn.XLOOKUP(tbl_MTG_Set[[#This Row],[Play Booster Box Product Id]], tbl_Product[Product Id], tbl_Product[Pack Size])</f>
        <v>#N/A</v>
      </c>
      <c r="AP363" s="10" t="e">
        <f>(tbl_MTG_Set[[#This Row],[Play Booster Box Cost]]+v_Item_Shipping_Cost_In)/tbl_MTG_Set[[#This Row],[Play Booster Box Size]]</f>
        <v>#VALUE!</v>
      </c>
      <c r="AQ363" s="10" t="str" cm="1">
        <f t="array" ref="AQ3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3" s="10"/>
      <c r="AS363" s="10"/>
      <c r="AT363" s="17" t="e">
        <f>tbl_MTG_Set[[#This Row],[Play Booster CardMarket Profit]]/tbl_MTG_Set[[#This Row],[Play Booster Cost]]</f>
        <v>#VALUE!</v>
      </c>
      <c r="AU363" s="10" t="e">
        <f>_xlfn.XLOOKUP(tbl_MTG_Set[[#This Row],[Collector Booster Box Product Id]], tbl_Product[Product Id], tbl_Product[Min Cost])</f>
        <v>#N/A</v>
      </c>
      <c r="AV363" s="10" t="e">
        <f>_xlfn.XLOOKUP(tbl_MTG_Set[[#This Row],[Collector Booster Box Product Id]], tbl_Product[Product Id], tbl_Product[Best Source])</f>
        <v>#N/A</v>
      </c>
      <c r="AW363" s="4" t="e">
        <f>_xlfn.XLOOKUP(tbl_MTG_Set[[#This Row],[Collector Booster Box Product Id]], tbl_Product[Product Id], tbl_Product[Pack Size])</f>
        <v>#N/A</v>
      </c>
      <c r="AX363" s="10" t="e">
        <f>(tbl_MTG_Set[[#This Row],[Collector Booster Box Cost]] + v_Item_Shipping_Cost_In) / tbl_MTG_Set[[#This Row],[Collector Booster Box Size]]</f>
        <v>#N/A</v>
      </c>
      <c r="AY363" s="10" t="str" cm="1">
        <f t="array" ref="AY3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3" s="10"/>
      <c r="BA3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3" s="17" t="e">
        <f>tbl_MTG_Set[[#This Row],[Collector Booster CardMarket Profit]]/tbl_MTG_Set[[#This Row],[Collector Booster Cost]]</f>
        <v>#N/A</v>
      </c>
      <c r="BC363" s="10"/>
      <c r="BF3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3" s="11" t="e">
        <f>tbl_MTG_Set[[#This Row],[Play Singles CardMarket Profit MTG Stocks]]/tbl_MTG_Set[[#This Row],[Play Booster Cost]]</f>
        <v>#VALUE!</v>
      </c>
      <c r="BI363" s="11" t="b">
        <f>tbl_MTG_Set[[#This Row],[Play Singles CardMarket Profit MTG Stocks]]&gt;0</f>
        <v>0</v>
      </c>
      <c r="BM363" s="10" t="e">
        <f>tbl_MTG_Set[[#This Row],[Play Booster Sell Price CardMarket]]*tbl_MTG_Set[[#This Row],[Play Booster Expected Market Value BotBox]]/tbl_MTG_Set[[#This Row],[Play Booster Sealed Market Value BotBox]]</f>
        <v>#VALUE!</v>
      </c>
      <c r="BN3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3" s="10" t="e">
        <f>tbl_MTG_Set[[#This Row],[Play Singles CardMarket Profit BotBox]]/tbl_MTG_Set[[#This Row],[Play Booster Cost]]</f>
        <v>#VALUE!</v>
      </c>
      <c r="BP363" s="10" t="b">
        <f>tbl_MTG_Set[[#This Row],[Play Singles CardMarket Profit BotBox]]&gt;0</f>
        <v>0</v>
      </c>
      <c r="BQ363" s="10"/>
      <c r="BR363" s="10"/>
      <c r="BS363" s="10"/>
      <c r="BT3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3" s="19" t="e">
        <f>tbl_MTG_Set[[#This Row],[Collector Singles CardMarket Profit MTG Stocks]]/tbl_MTG_Set[[#This Row],[Collector Booster Cost]]</f>
        <v>#N/A</v>
      </c>
      <c r="BW363" s="10" t="b">
        <f>tbl_MTG_Set[[#This Row],[Collector Singles CardMarket Profit MTG Stocks]]&gt;0</f>
        <v>0</v>
      </c>
      <c r="BX363" s="10"/>
      <c r="BY363" s="10"/>
      <c r="BZ3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3" s="10" t="e">
        <f>tbl_MTG_Set[[#This Row],[Collector Singles CardMarket Profit BotBox]]/tbl_MTG_Set[[#This Row],[Collector Booster Cost]]</f>
        <v>#N/A</v>
      </c>
      <c r="CC363" s="10" t="b">
        <f>tbl_MTG_Set[[#This Row],[Collector Singles CardMarket Profit BotBox]]&gt;0</f>
        <v>0</v>
      </c>
      <c r="CD3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4" spans="1:86" hidden="1">
      <c r="A364">
        <v>392</v>
      </c>
      <c r="B364" t="s">
        <v>537</v>
      </c>
      <c r="C364">
        <v>137</v>
      </c>
      <c r="D364" s="3">
        <v>44015</v>
      </c>
      <c r="F364" t="s">
        <v>174</v>
      </c>
      <c r="G364">
        <v>730</v>
      </c>
      <c r="H364">
        <f ca="1">MONTH(NOW())+12*YEAR(NOW())-MONTH(tbl_MTG_Set[[#This Row],[Released On]])-12*YEAR(tbl_MTG_Set[[#This Row],[Released On]])</f>
        <v>68</v>
      </c>
      <c r="I364" t="str">
        <f>_xlfn.XLOOKUP(tbl_MTG_Set[[#This Row],[Type Name]], tbl_MTG_Set_Type[Set Type], tbl_MTG_Set_Type[Index], "(Set Type not found)")</f>
        <v>(Set Type not found)</v>
      </c>
      <c r="J364" t="str">
        <f>_xlfn.XLOOKUP(tbl_MTG_Set[[#This Row],[Type Name]], tbl_MTG_Set_Type[Set Type], tbl_MTG_Set_Type[Buy Window Month Start], "(Set Type not found)")</f>
        <v>(Set Type not found)</v>
      </c>
      <c r="K364" s="3" t="e">
        <f>tbl_MTG_Set[[#This Row],[Released On]]+tbl_MTG_Set[[#This Row],[Buy Window Month Start]]*365.25/12</f>
        <v>#VALUE!</v>
      </c>
      <c r="L364" t="str">
        <f>_xlfn.XLOOKUP(tbl_MTG_Set[[#This Row],[Type Name]], tbl_MTG_Set_Type[Set Type], tbl_MTG_Set_Type[Buy Window Month End], "(Set Type not found)", 0, 1)</f>
        <v>(Set Type not found)</v>
      </c>
      <c r="M364" s="3" t="e">
        <f>tbl_MTG_Set[[#This Row],[Released On]]+tbl_MTG_Set[[#This Row],[Buy Window Month End]]*365.25/12</f>
        <v>#VALUE!</v>
      </c>
      <c r="N364" s="3" t="e">
        <f ca="1">AND(NOW()&gt;=tbl_MTG_Set[[#This Row],[Buy Window Start]], NOW()&lt;=tbl_MTG_Set[[#This Row],[Buy Window End]])</f>
        <v>#VALUE!</v>
      </c>
      <c r="O364" t="str">
        <f>_xlfn.XLOOKUP(tbl_MTG_Set[[#This Row],[Type Name]], tbl_MTG_Set_Type[Set Type], tbl_MTG_Set_Type[Heavy Printing Window Month Start], "(Set Type not found)", 0, 1)</f>
        <v>(Set Type not found)</v>
      </c>
      <c r="P364" s="3" t="e">
        <f>tbl_MTG_Set[[#This Row],[Released On]]+tbl_MTG_Set[[#This Row],[Heavy Printing Window Month Start]]*365.25/12</f>
        <v>#VALUE!</v>
      </c>
      <c r="Q364" t="str">
        <f>_xlfn.XLOOKUP(tbl_MTG_Set[[#This Row],[Type Name]], tbl_MTG_Set_Type[Set Type], tbl_MTG_Set_Type[Heavy Printing Window Month End], "(Set Type not found)", 0, 1)</f>
        <v>(Set Type not found)</v>
      </c>
      <c r="R364" s="3" t="e">
        <f>tbl_MTG_Set[[#This Row],[Released On]]+tbl_MTG_Set[[#This Row],[Heavy Printing Window Month End]]*365.25/12</f>
        <v>#VALUE!</v>
      </c>
      <c r="S364" s="3" t="e">
        <f ca="1">AND(NOW()&gt;=tbl_MTG_Set[[#This Row],[Heavy Printing Window Start]], NOW()&lt;=tbl_MTG_Set[[#This Row],[Heavy Printing Window End]])</f>
        <v>#VALUE!</v>
      </c>
      <c r="T364" t="str">
        <f>_xlfn.XLOOKUP(tbl_MTG_Set[[#This Row],[Type Name]], tbl_MTG_Set_Type[Set Type], tbl_MTG_Set_Type[Sell Window Month Start], "(Set Type not found)", 0, 1)</f>
        <v>(Set Type not found)</v>
      </c>
      <c r="U364" s="3" t="e">
        <f>tbl_MTG_Set[[#This Row],[Released On]]+tbl_MTG_Set[[#This Row],[Sell Window Month Start]]*365.25/12</f>
        <v>#VALUE!</v>
      </c>
      <c r="V364" t="str">
        <f>_xlfn.XLOOKUP(tbl_MTG_Set[[#This Row],[Type Name]], tbl_MTG_Set_Type[Set Type], tbl_MTG_Set_Type[Sell Window Month End], "(Set Type not found)", 0, 1)</f>
        <v>(Set Type not found)</v>
      </c>
      <c r="W364" s="3" t="e">
        <f>tbl_MTG_Set[[#This Row],[Released On]]+tbl_MTG_Set[[#This Row],[Sell Window Month End]]*365.25/12</f>
        <v>#VALUE!</v>
      </c>
      <c r="X364" s="3" t="e">
        <f ca="1">AND(NOW()&gt;=tbl_MTG_Set[[#This Row],[Sell Window Start]], NOW()&lt;=tbl_MTG_Set[[#This Row],[Sell Window End]])</f>
        <v>#VALUE!</v>
      </c>
      <c r="AG364" s="10"/>
      <c r="AH364" s="10"/>
      <c r="AM364" s="10" t="str" cm="1">
        <f t="array" ref="AM3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4" s="10" t="str" cm="1">
        <f t="array" ref="AN3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4" s="4" t="e">
        <f>_xlfn.XLOOKUP(tbl_MTG_Set[[#This Row],[Play Booster Box Product Id]], tbl_Product[Product Id], tbl_Product[Pack Size])</f>
        <v>#N/A</v>
      </c>
      <c r="AP364" s="10" t="e">
        <f>(tbl_MTG_Set[[#This Row],[Play Booster Box Cost]]+v_Item_Shipping_Cost_In)/tbl_MTG_Set[[#This Row],[Play Booster Box Size]]</f>
        <v>#VALUE!</v>
      </c>
      <c r="AQ364" s="10" t="str" cm="1">
        <f t="array" ref="AQ3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4" s="10"/>
      <c r="AS364" s="10"/>
      <c r="AT364" s="17" t="e">
        <f>tbl_MTG_Set[[#This Row],[Play Booster CardMarket Profit]]/tbl_MTG_Set[[#This Row],[Play Booster Cost]]</f>
        <v>#VALUE!</v>
      </c>
      <c r="AU364" s="10" t="e">
        <f>_xlfn.XLOOKUP(tbl_MTG_Set[[#This Row],[Collector Booster Box Product Id]], tbl_Product[Product Id], tbl_Product[Min Cost])</f>
        <v>#N/A</v>
      </c>
      <c r="AV364" s="10" t="e">
        <f>_xlfn.XLOOKUP(tbl_MTG_Set[[#This Row],[Collector Booster Box Product Id]], tbl_Product[Product Id], tbl_Product[Best Source])</f>
        <v>#N/A</v>
      </c>
      <c r="AW364" s="4" t="e">
        <f>_xlfn.XLOOKUP(tbl_MTG_Set[[#This Row],[Collector Booster Box Product Id]], tbl_Product[Product Id], tbl_Product[Pack Size])</f>
        <v>#N/A</v>
      </c>
      <c r="AX364" s="10" t="e">
        <f>(tbl_MTG_Set[[#This Row],[Collector Booster Box Cost]] + v_Item_Shipping_Cost_In) / tbl_MTG_Set[[#This Row],[Collector Booster Box Size]]</f>
        <v>#N/A</v>
      </c>
      <c r="AY364" s="10" t="str" cm="1">
        <f t="array" ref="AY3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4" s="10"/>
      <c r="BA3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4" s="17" t="e">
        <f>tbl_MTG_Set[[#This Row],[Collector Booster CardMarket Profit]]/tbl_MTG_Set[[#This Row],[Collector Booster Cost]]</f>
        <v>#N/A</v>
      </c>
      <c r="BC364" s="10"/>
      <c r="BF3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4" s="11" t="e">
        <f>tbl_MTG_Set[[#This Row],[Play Singles CardMarket Profit MTG Stocks]]/tbl_MTG_Set[[#This Row],[Play Booster Cost]]</f>
        <v>#VALUE!</v>
      </c>
      <c r="BI364" s="11" t="b">
        <f>tbl_MTG_Set[[#This Row],[Play Singles CardMarket Profit MTG Stocks]]&gt;0</f>
        <v>0</v>
      </c>
      <c r="BM364" s="10" t="e">
        <f>tbl_MTG_Set[[#This Row],[Play Booster Sell Price CardMarket]]*tbl_MTG_Set[[#This Row],[Play Booster Expected Market Value BotBox]]/tbl_MTG_Set[[#This Row],[Play Booster Sealed Market Value BotBox]]</f>
        <v>#VALUE!</v>
      </c>
      <c r="BN3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4" s="10" t="e">
        <f>tbl_MTG_Set[[#This Row],[Play Singles CardMarket Profit BotBox]]/tbl_MTG_Set[[#This Row],[Play Booster Cost]]</f>
        <v>#VALUE!</v>
      </c>
      <c r="BP364" s="10" t="b">
        <f>tbl_MTG_Set[[#This Row],[Play Singles CardMarket Profit BotBox]]&gt;0</f>
        <v>0</v>
      </c>
      <c r="BQ364" s="10"/>
      <c r="BR364" s="10"/>
      <c r="BS364" s="10"/>
      <c r="BT3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4" s="19" t="e">
        <f>tbl_MTG_Set[[#This Row],[Collector Singles CardMarket Profit MTG Stocks]]/tbl_MTG_Set[[#This Row],[Collector Booster Cost]]</f>
        <v>#N/A</v>
      </c>
      <c r="BW364" s="10" t="b">
        <f>tbl_MTG_Set[[#This Row],[Collector Singles CardMarket Profit MTG Stocks]]&gt;0</f>
        <v>0</v>
      </c>
      <c r="BX364" s="10"/>
      <c r="BY364" s="10"/>
      <c r="BZ3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4" s="10" t="e">
        <f>tbl_MTG_Set[[#This Row],[Collector Singles CardMarket Profit BotBox]]/tbl_MTG_Set[[#This Row],[Collector Booster Cost]]</f>
        <v>#N/A</v>
      </c>
      <c r="CC364" s="10" t="b">
        <f>tbl_MTG_Set[[#This Row],[Collector Singles CardMarket Profit BotBox]]&gt;0</f>
        <v>0</v>
      </c>
      <c r="CD3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5" spans="1:86" hidden="1">
      <c r="A365">
        <v>393</v>
      </c>
      <c r="B365" t="s">
        <v>538</v>
      </c>
      <c r="C365">
        <v>20</v>
      </c>
      <c r="D365" s="3">
        <v>44015</v>
      </c>
      <c r="F365" t="s">
        <v>174</v>
      </c>
      <c r="G365">
        <v>732</v>
      </c>
      <c r="H365">
        <f ca="1">MONTH(NOW())+12*YEAR(NOW())-MONTH(tbl_MTG_Set[[#This Row],[Released On]])-12*YEAR(tbl_MTG_Set[[#This Row],[Released On]])</f>
        <v>68</v>
      </c>
      <c r="I365" t="str">
        <f>_xlfn.XLOOKUP(tbl_MTG_Set[[#This Row],[Type Name]], tbl_MTG_Set_Type[Set Type], tbl_MTG_Set_Type[Index], "(Set Type not found)")</f>
        <v>(Set Type not found)</v>
      </c>
      <c r="J365" t="str">
        <f>_xlfn.XLOOKUP(tbl_MTG_Set[[#This Row],[Type Name]], tbl_MTG_Set_Type[Set Type], tbl_MTG_Set_Type[Buy Window Month Start], "(Set Type not found)")</f>
        <v>(Set Type not found)</v>
      </c>
      <c r="K365" s="3" t="e">
        <f>tbl_MTG_Set[[#This Row],[Released On]]+tbl_MTG_Set[[#This Row],[Buy Window Month Start]]*365.25/12</f>
        <v>#VALUE!</v>
      </c>
      <c r="L365" t="str">
        <f>_xlfn.XLOOKUP(tbl_MTG_Set[[#This Row],[Type Name]], tbl_MTG_Set_Type[Set Type], tbl_MTG_Set_Type[Buy Window Month End], "(Set Type not found)", 0, 1)</f>
        <v>(Set Type not found)</v>
      </c>
      <c r="M365" s="3" t="e">
        <f>tbl_MTG_Set[[#This Row],[Released On]]+tbl_MTG_Set[[#This Row],[Buy Window Month End]]*365.25/12</f>
        <v>#VALUE!</v>
      </c>
      <c r="N365" s="3" t="e">
        <f ca="1">AND(NOW()&gt;=tbl_MTG_Set[[#This Row],[Buy Window Start]], NOW()&lt;=tbl_MTG_Set[[#This Row],[Buy Window End]])</f>
        <v>#VALUE!</v>
      </c>
      <c r="O365" t="str">
        <f>_xlfn.XLOOKUP(tbl_MTG_Set[[#This Row],[Type Name]], tbl_MTG_Set_Type[Set Type], tbl_MTG_Set_Type[Heavy Printing Window Month Start], "(Set Type not found)", 0, 1)</f>
        <v>(Set Type not found)</v>
      </c>
      <c r="P365" s="3" t="e">
        <f>tbl_MTG_Set[[#This Row],[Released On]]+tbl_MTG_Set[[#This Row],[Heavy Printing Window Month Start]]*365.25/12</f>
        <v>#VALUE!</v>
      </c>
      <c r="Q365" t="str">
        <f>_xlfn.XLOOKUP(tbl_MTG_Set[[#This Row],[Type Name]], tbl_MTG_Set_Type[Set Type], tbl_MTG_Set_Type[Heavy Printing Window Month End], "(Set Type not found)", 0, 1)</f>
        <v>(Set Type not found)</v>
      </c>
      <c r="R365" s="3" t="e">
        <f>tbl_MTG_Set[[#This Row],[Released On]]+tbl_MTG_Set[[#This Row],[Heavy Printing Window Month End]]*365.25/12</f>
        <v>#VALUE!</v>
      </c>
      <c r="S365" s="3" t="e">
        <f ca="1">AND(NOW()&gt;=tbl_MTG_Set[[#This Row],[Heavy Printing Window Start]], NOW()&lt;=tbl_MTG_Set[[#This Row],[Heavy Printing Window End]])</f>
        <v>#VALUE!</v>
      </c>
      <c r="T365" t="str">
        <f>_xlfn.XLOOKUP(tbl_MTG_Set[[#This Row],[Type Name]], tbl_MTG_Set_Type[Set Type], tbl_MTG_Set_Type[Sell Window Month Start], "(Set Type not found)", 0, 1)</f>
        <v>(Set Type not found)</v>
      </c>
      <c r="U365" s="3" t="e">
        <f>tbl_MTG_Set[[#This Row],[Released On]]+tbl_MTG_Set[[#This Row],[Sell Window Month Start]]*365.25/12</f>
        <v>#VALUE!</v>
      </c>
      <c r="V365" t="str">
        <f>_xlfn.XLOOKUP(tbl_MTG_Set[[#This Row],[Type Name]], tbl_MTG_Set_Type[Set Type], tbl_MTG_Set_Type[Sell Window Month End], "(Set Type not found)", 0, 1)</f>
        <v>(Set Type not found)</v>
      </c>
      <c r="W365" s="3" t="e">
        <f>tbl_MTG_Set[[#This Row],[Released On]]+tbl_MTG_Set[[#This Row],[Sell Window Month End]]*365.25/12</f>
        <v>#VALUE!</v>
      </c>
      <c r="X365" s="3" t="e">
        <f ca="1">AND(NOW()&gt;=tbl_MTG_Set[[#This Row],[Sell Window Start]], NOW()&lt;=tbl_MTG_Set[[#This Row],[Sell Window End]])</f>
        <v>#VALUE!</v>
      </c>
      <c r="AG365" s="10"/>
      <c r="AH365" s="10"/>
      <c r="AM365" s="10" t="str" cm="1">
        <f t="array" ref="AM3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5" s="10" t="str" cm="1">
        <f t="array" ref="AN3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5" s="4" t="e">
        <f>_xlfn.XLOOKUP(tbl_MTG_Set[[#This Row],[Play Booster Box Product Id]], tbl_Product[Product Id], tbl_Product[Pack Size])</f>
        <v>#N/A</v>
      </c>
      <c r="AP365" s="10" t="e">
        <f>(tbl_MTG_Set[[#This Row],[Play Booster Box Cost]]+v_Item_Shipping_Cost_In)/tbl_MTG_Set[[#This Row],[Play Booster Box Size]]</f>
        <v>#VALUE!</v>
      </c>
      <c r="AQ365" s="10" t="str" cm="1">
        <f t="array" ref="AQ3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5" s="10"/>
      <c r="AS365" s="10"/>
      <c r="AT365" s="17" t="e">
        <f>tbl_MTG_Set[[#This Row],[Play Booster CardMarket Profit]]/tbl_MTG_Set[[#This Row],[Play Booster Cost]]</f>
        <v>#VALUE!</v>
      </c>
      <c r="AU365" s="10" t="e">
        <f>_xlfn.XLOOKUP(tbl_MTG_Set[[#This Row],[Collector Booster Box Product Id]], tbl_Product[Product Id], tbl_Product[Min Cost])</f>
        <v>#N/A</v>
      </c>
      <c r="AV365" s="10" t="e">
        <f>_xlfn.XLOOKUP(tbl_MTG_Set[[#This Row],[Collector Booster Box Product Id]], tbl_Product[Product Id], tbl_Product[Best Source])</f>
        <v>#N/A</v>
      </c>
      <c r="AW365" s="4" t="e">
        <f>_xlfn.XLOOKUP(tbl_MTG_Set[[#This Row],[Collector Booster Box Product Id]], tbl_Product[Product Id], tbl_Product[Pack Size])</f>
        <v>#N/A</v>
      </c>
      <c r="AX365" s="10" t="e">
        <f>(tbl_MTG_Set[[#This Row],[Collector Booster Box Cost]] + v_Item_Shipping_Cost_In) / tbl_MTG_Set[[#This Row],[Collector Booster Box Size]]</f>
        <v>#N/A</v>
      </c>
      <c r="AY365" s="10" t="str" cm="1">
        <f t="array" ref="AY3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5" s="10"/>
      <c r="BA3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5" s="17" t="e">
        <f>tbl_MTG_Set[[#This Row],[Collector Booster CardMarket Profit]]/tbl_MTG_Set[[#This Row],[Collector Booster Cost]]</f>
        <v>#N/A</v>
      </c>
      <c r="BC365" s="10"/>
      <c r="BF3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5" s="11" t="e">
        <f>tbl_MTG_Set[[#This Row],[Play Singles CardMarket Profit MTG Stocks]]/tbl_MTG_Set[[#This Row],[Play Booster Cost]]</f>
        <v>#VALUE!</v>
      </c>
      <c r="BI365" s="11" t="b">
        <f>tbl_MTG_Set[[#This Row],[Play Singles CardMarket Profit MTG Stocks]]&gt;0</f>
        <v>0</v>
      </c>
      <c r="BM365" s="10" t="e">
        <f>tbl_MTG_Set[[#This Row],[Play Booster Sell Price CardMarket]]*tbl_MTG_Set[[#This Row],[Play Booster Expected Market Value BotBox]]/tbl_MTG_Set[[#This Row],[Play Booster Sealed Market Value BotBox]]</f>
        <v>#VALUE!</v>
      </c>
      <c r="BN3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5" s="10" t="e">
        <f>tbl_MTG_Set[[#This Row],[Play Singles CardMarket Profit BotBox]]/tbl_MTG_Set[[#This Row],[Play Booster Cost]]</f>
        <v>#VALUE!</v>
      </c>
      <c r="BP365" s="10" t="b">
        <f>tbl_MTG_Set[[#This Row],[Play Singles CardMarket Profit BotBox]]&gt;0</f>
        <v>0</v>
      </c>
      <c r="BQ365" s="10"/>
      <c r="BR365" s="10"/>
      <c r="BS365" s="10"/>
      <c r="BT3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5" s="19" t="e">
        <f>tbl_MTG_Set[[#This Row],[Collector Singles CardMarket Profit MTG Stocks]]/tbl_MTG_Set[[#This Row],[Collector Booster Cost]]</f>
        <v>#N/A</v>
      </c>
      <c r="BW365" s="10" t="b">
        <f>tbl_MTG_Set[[#This Row],[Collector Singles CardMarket Profit MTG Stocks]]&gt;0</f>
        <v>0</v>
      </c>
      <c r="BX365" s="10"/>
      <c r="BY365" s="10"/>
      <c r="BZ3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5" s="10" t="e">
        <f>tbl_MTG_Set[[#This Row],[Collector Singles CardMarket Profit BotBox]]/tbl_MTG_Set[[#This Row],[Collector Booster Cost]]</f>
        <v>#N/A</v>
      </c>
      <c r="CC365" s="10" t="b">
        <f>tbl_MTG_Set[[#This Row],[Collector Singles CardMarket Profit BotBox]]&gt;0</f>
        <v>0</v>
      </c>
      <c r="CD3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6" spans="1:86" hidden="1">
      <c r="A366">
        <v>394</v>
      </c>
      <c r="B366" t="s">
        <v>539</v>
      </c>
      <c r="C366">
        <v>8</v>
      </c>
      <c r="D366" s="3">
        <v>44008</v>
      </c>
      <c r="F366" t="s">
        <v>174</v>
      </c>
      <c r="G366">
        <v>734</v>
      </c>
      <c r="H366">
        <f ca="1">MONTH(NOW())+12*YEAR(NOW())-MONTH(tbl_MTG_Set[[#This Row],[Released On]])-12*YEAR(tbl_MTG_Set[[#This Row],[Released On]])</f>
        <v>69</v>
      </c>
      <c r="I366" t="str">
        <f>_xlfn.XLOOKUP(tbl_MTG_Set[[#This Row],[Type Name]], tbl_MTG_Set_Type[Set Type], tbl_MTG_Set_Type[Index], "(Set Type not found)")</f>
        <v>(Set Type not found)</v>
      </c>
      <c r="J366" t="str">
        <f>_xlfn.XLOOKUP(tbl_MTG_Set[[#This Row],[Type Name]], tbl_MTG_Set_Type[Set Type], tbl_MTG_Set_Type[Buy Window Month Start], "(Set Type not found)")</f>
        <v>(Set Type not found)</v>
      </c>
      <c r="K366" s="3" t="e">
        <f>tbl_MTG_Set[[#This Row],[Released On]]+tbl_MTG_Set[[#This Row],[Buy Window Month Start]]*365.25/12</f>
        <v>#VALUE!</v>
      </c>
      <c r="L366" t="str">
        <f>_xlfn.XLOOKUP(tbl_MTG_Set[[#This Row],[Type Name]], tbl_MTG_Set_Type[Set Type], tbl_MTG_Set_Type[Buy Window Month End], "(Set Type not found)", 0, 1)</f>
        <v>(Set Type not found)</v>
      </c>
      <c r="M366" s="3" t="e">
        <f>tbl_MTG_Set[[#This Row],[Released On]]+tbl_MTG_Set[[#This Row],[Buy Window Month End]]*365.25/12</f>
        <v>#VALUE!</v>
      </c>
      <c r="N366" s="3" t="e">
        <f ca="1">AND(NOW()&gt;=tbl_MTG_Set[[#This Row],[Buy Window Start]], NOW()&lt;=tbl_MTG_Set[[#This Row],[Buy Window End]])</f>
        <v>#VALUE!</v>
      </c>
      <c r="O366" t="str">
        <f>_xlfn.XLOOKUP(tbl_MTG_Set[[#This Row],[Type Name]], tbl_MTG_Set_Type[Set Type], tbl_MTG_Set_Type[Heavy Printing Window Month Start], "(Set Type not found)", 0, 1)</f>
        <v>(Set Type not found)</v>
      </c>
      <c r="P366" s="3" t="e">
        <f>tbl_MTG_Set[[#This Row],[Released On]]+tbl_MTG_Set[[#This Row],[Heavy Printing Window Month Start]]*365.25/12</f>
        <v>#VALUE!</v>
      </c>
      <c r="Q366" t="str">
        <f>_xlfn.XLOOKUP(tbl_MTG_Set[[#This Row],[Type Name]], tbl_MTG_Set_Type[Set Type], tbl_MTG_Set_Type[Heavy Printing Window Month End], "(Set Type not found)", 0, 1)</f>
        <v>(Set Type not found)</v>
      </c>
      <c r="R366" s="3" t="e">
        <f>tbl_MTG_Set[[#This Row],[Released On]]+tbl_MTG_Set[[#This Row],[Heavy Printing Window Month End]]*365.25/12</f>
        <v>#VALUE!</v>
      </c>
      <c r="S366" s="3" t="e">
        <f ca="1">AND(NOW()&gt;=tbl_MTG_Set[[#This Row],[Heavy Printing Window Start]], NOW()&lt;=tbl_MTG_Set[[#This Row],[Heavy Printing Window End]])</f>
        <v>#VALUE!</v>
      </c>
      <c r="T366" t="str">
        <f>_xlfn.XLOOKUP(tbl_MTG_Set[[#This Row],[Type Name]], tbl_MTG_Set_Type[Set Type], tbl_MTG_Set_Type[Sell Window Month Start], "(Set Type not found)", 0, 1)</f>
        <v>(Set Type not found)</v>
      </c>
      <c r="U366" s="3" t="e">
        <f>tbl_MTG_Set[[#This Row],[Released On]]+tbl_MTG_Set[[#This Row],[Sell Window Month Start]]*365.25/12</f>
        <v>#VALUE!</v>
      </c>
      <c r="V366" t="str">
        <f>_xlfn.XLOOKUP(tbl_MTG_Set[[#This Row],[Type Name]], tbl_MTG_Set_Type[Set Type], tbl_MTG_Set_Type[Sell Window Month End], "(Set Type not found)", 0, 1)</f>
        <v>(Set Type not found)</v>
      </c>
      <c r="W366" s="3" t="e">
        <f>tbl_MTG_Set[[#This Row],[Released On]]+tbl_MTG_Set[[#This Row],[Sell Window Month End]]*365.25/12</f>
        <v>#VALUE!</v>
      </c>
      <c r="X366" s="3" t="e">
        <f ca="1">AND(NOW()&gt;=tbl_MTG_Set[[#This Row],[Sell Window Start]], NOW()&lt;=tbl_MTG_Set[[#This Row],[Sell Window End]])</f>
        <v>#VALUE!</v>
      </c>
      <c r="AG366" s="10"/>
      <c r="AH366" s="10"/>
      <c r="AM366" s="10" t="str" cm="1">
        <f t="array" ref="AM3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6" s="10" t="str" cm="1">
        <f t="array" ref="AN3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6" s="4" t="e">
        <f>_xlfn.XLOOKUP(tbl_MTG_Set[[#This Row],[Play Booster Box Product Id]], tbl_Product[Product Id], tbl_Product[Pack Size])</f>
        <v>#N/A</v>
      </c>
      <c r="AP366" s="10" t="e">
        <f>(tbl_MTG_Set[[#This Row],[Play Booster Box Cost]]+v_Item_Shipping_Cost_In)/tbl_MTG_Set[[#This Row],[Play Booster Box Size]]</f>
        <v>#VALUE!</v>
      </c>
      <c r="AQ366" s="10" t="str" cm="1">
        <f t="array" ref="AQ3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6" s="10"/>
      <c r="AS366" s="10"/>
      <c r="AT366" s="17" t="e">
        <f>tbl_MTG_Set[[#This Row],[Play Booster CardMarket Profit]]/tbl_MTG_Set[[#This Row],[Play Booster Cost]]</f>
        <v>#VALUE!</v>
      </c>
      <c r="AU366" s="10" t="e">
        <f>_xlfn.XLOOKUP(tbl_MTG_Set[[#This Row],[Collector Booster Box Product Id]], tbl_Product[Product Id], tbl_Product[Min Cost])</f>
        <v>#N/A</v>
      </c>
      <c r="AV366" s="10" t="e">
        <f>_xlfn.XLOOKUP(tbl_MTG_Set[[#This Row],[Collector Booster Box Product Id]], tbl_Product[Product Id], tbl_Product[Best Source])</f>
        <v>#N/A</v>
      </c>
      <c r="AW366" s="4" t="e">
        <f>_xlfn.XLOOKUP(tbl_MTG_Set[[#This Row],[Collector Booster Box Product Id]], tbl_Product[Product Id], tbl_Product[Pack Size])</f>
        <v>#N/A</v>
      </c>
      <c r="AX366" s="10" t="e">
        <f>(tbl_MTG_Set[[#This Row],[Collector Booster Box Cost]] + v_Item_Shipping_Cost_In) / tbl_MTG_Set[[#This Row],[Collector Booster Box Size]]</f>
        <v>#N/A</v>
      </c>
      <c r="AY366" s="10" t="str" cm="1">
        <f t="array" ref="AY3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6" s="10"/>
      <c r="BA3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6" s="17" t="e">
        <f>tbl_MTG_Set[[#This Row],[Collector Booster CardMarket Profit]]/tbl_MTG_Set[[#This Row],[Collector Booster Cost]]</f>
        <v>#N/A</v>
      </c>
      <c r="BC366" s="10"/>
      <c r="BF3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6" s="11" t="e">
        <f>tbl_MTG_Set[[#This Row],[Play Singles CardMarket Profit MTG Stocks]]/tbl_MTG_Set[[#This Row],[Play Booster Cost]]</f>
        <v>#VALUE!</v>
      </c>
      <c r="BI366" s="11" t="b">
        <f>tbl_MTG_Set[[#This Row],[Play Singles CardMarket Profit MTG Stocks]]&gt;0</f>
        <v>0</v>
      </c>
      <c r="BM366" s="10" t="e">
        <f>tbl_MTG_Set[[#This Row],[Play Booster Sell Price CardMarket]]*tbl_MTG_Set[[#This Row],[Play Booster Expected Market Value BotBox]]/tbl_MTG_Set[[#This Row],[Play Booster Sealed Market Value BotBox]]</f>
        <v>#VALUE!</v>
      </c>
      <c r="BN3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6" s="10" t="e">
        <f>tbl_MTG_Set[[#This Row],[Play Singles CardMarket Profit BotBox]]/tbl_MTG_Set[[#This Row],[Play Booster Cost]]</f>
        <v>#VALUE!</v>
      </c>
      <c r="BP366" s="10" t="b">
        <f>tbl_MTG_Set[[#This Row],[Play Singles CardMarket Profit BotBox]]&gt;0</f>
        <v>0</v>
      </c>
      <c r="BQ366" s="10"/>
      <c r="BR366" s="10"/>
      <c r="BS366" s="10"/>
      <c r="BT3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6" s="19" t="e">
        <f>tbl_MTG_Set[[#This Row],[Collector Singles CardMarket Profit MTG Stocks]]/tbl_MTG_Set[[#This Row],[Collector Booster Cost]]</f>
        <v>#N/A</v>
      </c>
      <c r="BW366" s="10" t="b">
        <f>tbl_MTG_Set[[#This Row],[Collector Singles CardMarket Profit MTG Stocks]]&gt;0</f>
        <v>0</v>
      </c>
      <c r="BX366" s="10"/>
      <c r="BY366" s="10"/>
      <c r="BZ3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6" s="10" t="e">
        <f>tbl_MTG_Set[[#This Row],[Collector Singles CardMarket Profit BotBox]]/tbl_MTG_Set[[#This Row],[Collector Booster Cost]]</f>
        <v>#N/A</v>
      </c>
      <c r="CC366" s="10" t="b">
        <f>tbl_MTG_Set[[#This Row],[Collector Singles CardMarket Profit BotBox]]&gt;0</f>
        <v>0</v>
      </c>
      <c r="CD3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7" spans="1:86" hidden="1">
      <c r="A367">
        <v>395</v>
      </c>
      <c r="B367" t="s">
        <v>540</v>
      </c>
      <c r="C367">
        <v>550</v>
      </c>
      <c r="D367" s="3">
        <v>43992</v>
      </c>
      <c r="F367">
        <v>0</v>
      </c>
      <c r="G367">
        <v>736</v>
      </c>
      <c r="H367">
        <f ca="1">MONTH(NOW())+12*YEAR(NOW())-MONTH(tbl_MTG_Set[[#This Row],[Released On]])-12*YEAR(tbl_MTG_Set[[#This Row],[Released On]])</f>
        <v>69</v>
      </c>
      <c r="I367" t="str">
        <f>_xlfn.XLOOKUP(tbl_MTG_Set[[#This Row],[Type Name]], tbl_MTG_Set_Type[Set Type], tbl_MTG_Set_Type[Index], "(Set Type not found)")</f>
        <v>(Set Type not found)</v>
      </c>
      <c r="J367" t="str">
        <f>_xlfn.XLOOKUP(tbl_MTG_Set[[#This Row],[Type Name]], tbl_MTG_Set_Type[Set Type], tbl_MTG_Set_Type[Buy Window Month Start], "(Set Type not found)")</f>
        <v>(Set Type not found)</v>
      </c>
      <c r="K367" s="3" t="e">
        <f>tbl_MTG_Set[[#This Row],[Released On]]+tbl_MTG_Set[[#This Row],[Buy Window Month Start]]*365.25/12</f>
        <v>#VALUE!</v>
      </c>
      <c r="L367" t="str">
        <f>_xlfn.XLOOKUP(tbl_MTG_Set[[#This Row],[Type Name]], tbl_MTG_Set_Type[Set Type], tbl_MTG_Set_Type[Buy Window Month End], "(Set Type not found)", 0, 1)</f>
        <v>(Set Type not found)</v>
      </c>
      <c r="M367" s="3" t="e">
        <f>tbl_MTG_Set[[#This Row],[Released On]]+tbl_MTG_Set[[#This Row],[Buy Window Month End]]*365.25/12</f>
        <v>#VALUE!</v>
      </c>
      <c r="N367" s="3" t="e">
        <f ca="1">AND(NOW()&gt;=tbl_MTG_Set[[#This Row],[Buy Window Start]], NOW()&lt;=tbl_MTG_Set[[#This Row],[Buy Window End]])</f>
        <v>#VALUE!</v>
      </c>
      <c r="O367" t="str">
        <f>_xlfn.XLOOKUP(tbl_MTG_Set[[#This Row],[Type Name]], tbl_MTG_Set_Type[Set Type], tbl_MTG_Set_Type[Heavy Printing Window Month Start], "(Set Type not found)", 0, 1)</f>
        <v>(Set Type not found)</v>
      </c>
      <c r="P367" s="3" t="e">
        <f>tbl_MTG_Set[[#This Row],[Released On]]+tbl_MTG_Set[[#This Row],[Heavy Printing Window Month Start]]*365.25/12</f>
        <v>#VALUE!</v>
      </c>
      <c r="Q367" t="str">
        <f>_xlfn.XLOOKUP(tbl_MTG_Set[[#This Row],[Type Name]], tbl_MTG_Set_Type[Set Type], tbl_MTG_Set_Type[Heavy Printing Window Month End], "(Set Type not found)", 0, 1)</f>
        <v>(Set Type not found)</v>
      </c>
      <c r="R367" s="3" t="e">
        <f>tbl_MTG_Set[[#This Row],[Released On]]+tbl_MTG_Set[[#This Row],[Heavy Printing Window Month End]]*365.25/12</f>
        <v>#VALUE!</v>
      </c>
      <c r="S367" s="3" t="e">
        <f ca="1">AND(NOW()&gt;=tbl_MTG_Set[[#This Row],[Heavy Printing Window Start]], NOW()&lt;=tbl_MTG_Set[[#This Row],[Heavy Printing Window End]])</f>
        <v>#VALUE!</v>
      </c>
      <c r="T367" t="str">
        <f>_xlfn.XLOOKUP(tbl_MTG_Set[[#This Row],[Type Name]], tbl_MTG_Set_Type[Set Type], tbl_MTG_Set_Type[Sell Window Month Start], "(Set Type not found)", 0, 1)</f>
        <v>(Set Type not found)</v>
      </c>
      <c r="U367" s="3" t="e">
        <f>tbl_MTG_Set[[#This Row],[Released On]]+tbl_MTG_Set[[#This Row],[Sell Window Month Start]]*365.25/12</f>
        <v>#VALUE!</v>
      </c>
      <c r="V367" t="str">
        <f>_xlfn.XLOOKUP(tbl_MTG_Set[[#This Row],[Type Name]], tbl_MTG_Set_Type[Set Type], tbl_MTG_Set_Type[Sell Window Month End], "(Set Type not found)", 0, 1)</f>
        <v>(Set Type not found)</v>
      </c>
      <c r="W367" s="3" t="e">
        <f>tbl_MTG_Set[[#This Row],[Released On]]+tbl_MTG_Set[[#This Row],[Sell Window Month End]]*365.25/12</f>
        <v>#VALUE!</v>
      </c>
      <c r="X367" s="3" t="e">
        <f ca="1">AND(NOW()&gt;=tbl_MTG_Set[[#This Row],[Sell Window Start]], NOW()&lt;=tbl_MTG_Set[[#This Row],[Sell Window End]])</f>
        <v>#VALUE!</v>
      </c>
      <c r="AG367" s="10"/>
      <c r="AH367" s="10"/>
      <c r="AM367" s="10" t="str" cm="1">
        <f t="array" ref="AM3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7" s="10" t="str" cm="1">
        <f t="array" ref="AN3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7" s="4" t="e">
        <f>_xlfn.XLOOKUP(tbl_MTG_Set[[#This Row],[Play Booster Box Product Id]], tbl_Product[Product Id], tbl_Product[Pack Size])</f>
        <v>#N/A</v>
      </c>
      <c r="AP367" s="10" t="e">
        <f>(tbl_MTG_Set[[#This Row],[Play Booster Box Cost]]+v_Item_Shipping_Cost_In)/tbl_MTG_Set[[#This Row],[Play Booster Box Size]]</f>
        <v>#VALUE!</v>
      </c>
      <c r="AQ367" s="10" t="str" cm="1">
        <f t="array" ref="AQ3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7" s="10"/>
      <c r="AS367" s="10"/>
      <c r="AT367" s="17" t="e">
        <f>tbl_MTG_Set[[#This Row],[Play Booster CardMarket Profit]]/tbl_MTG_Set[[#This Row],[Play Booster Cost]]</f>
        <v>#VALUE!</v>
      </c>
      <c r="AU367" s="10" t="e">
        <f>_xlfn.XLOOKUP(tbl_MTG_Set[[#This Row],[Collector Booster Box Product Id]], tbl_Product[Product Id], tbl_Product[Min Cost])</f>
        <v>#N/A</v>
      </c>
      <c r="AV367" s="10" t="e">
        <f>_xlfn.XLOOKUP(tbl_MTG_Set[[#This Row],[Collector Booster Box Product Id]], tbl_Product[Product Id], tbl_Product[Best Source])</f>
        <v>#N/A</v>
      </c>
      <c r="AW367" s="4" t="e">
        <f>_xlfn.XLOOKUP(tbl_MTG_Set[[#This Row],[Collector Booster Box Product Id]], tbl_Product[Product Id], tbl_Product[Pack Size])</f>
        <v>#N/A</v>
      </c>
      <c r="AX367" s="10" t="e">
        <f>(tbl_MTG_Set[[#This Row],[Collector Booster Box Cost]] + v_Item_Shipping_Cost_In) / tbl_MTG_Set[[#This Row],[Collector Booster Box Size]]</f>
        <v>#N/A</v>
      </c>
      <c r="AY367" s="10" t="str" cm="1">
        <f t="array" ref="AY3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7" s="10"/>
      <c r="BA3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7" s="17" t="e">
        <f>tbl_MTG_Set[[#This Row],[Collector Booster CardMarket Profit]]/tbl_MTG_Set[[#This Row],[Collector Booster Cost]]</f>
        <v>#N/A</v>
      </c>
      <c r="BC367" s="10"/>
      <c r="BF3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7" s="11" t="e">
        <f>tbl_MTG_Set[[#This Row],[Play Singles CardMarket Profit MTG Stocks]]/tbl_MTG_Set[[#This Row],[Play Booster Cost]]</f>
        <v>#VALUE!</v>
      </c>
      <c r="BI367" s="11" t="b">
        <f>tbl_MTG_Set[[#This Row],[Play Singles CardMarket Profit MTG Stocks]]&gt;0</f>
        <v>0</v>
      </c>
      <c r="BM367" s="10" t="e">
        <f>tbl_MTG_Set[[#This Row],[Play Booster Sell Price CardMarket]]*tbl_MTG_Set[[#This Row],[Play Booster Expected Market Value BotBox]]/tbl_MTG_Set[[#This Row],[Play Booster Sealed Market Value BotBox]]</f>
        <v>#VALUE!</v>
      </c>
      <c r="BN3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7" s="10" t="e">
        <f>tbl_MTG_Set[[#This Row],[Play Singles CardMarket Profit BotBox]]/tbl_MTG_Set[[#This Row],[Play Booster Cost]]</f>
        <v>#VALUE!</v>
      </c>
      <c r="BP367" s="10" t="b">
        <f>tbl_MTG_Set[[#This Row],[Play Singles CardMarket Profit BotBox]]&gt;0</f>
        <v>0</v>
      </c>
      <c r="BQ367" s="10"/>
      <c r="BR367" s="10"/>
      <c r="BS367" s="10"/>
      <c r="BT3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7" s="19" t="e">
        <f>tbl_MTG_Set[[#This Row],[Collector Singles CardMarket Profit MTG Stocks]]/tbl_MTG_Set[[#This Row],[Collector Booster Cost]]</f>
        <v>#N/A</v>
      </c>
      <c r="BW367" s="10" t="b">
        <f>tbl_MTG_Set[[#This Row],[Collector Singles CardMarket Profit MTG Stocks]]&gt;0</f>
        <v>0</v>
      </c>
      <c r="BX367" s="10"/>
      <c r="BY367" s="10"/>
      <c r="BZ3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7" s="10" t="e">
        <f>tbl_MTG_Set[[#This Row],[Collector Singles CardMarket Profit BotBox]]/tbl_MTG_Set[[#This Row],[Collector Booster Cost]]</f>
        <v>#N/A</v>
      </c>
      <c r="CC367" s="10" t="b">
        <f>tbl_MTG_Set[[#This Row],[Collector Singles CardMarket Profit BotBox]]&gt;0</f>
        <v>0</v>
      </c>
      <c r="CD3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8" spans="1:86" hidden="1">
      <c r="A368">
        <v>396</v>
      </c>
      <c r="B368" t="s">
        <v>541</v>
      </c>
      <c r="C368">
        <v>27</v>
      </c>
      <c r="D368" s="3">
        <v>43972</v>
      </c>
      <c r="F368" t="s">
        <v>174</v>
      </c>
      <c r="G368">
        <v>738</v>
      </c>
      <c r="H368">
        <f ca="1">MONTH(NOW())+12*YEAR(NOW())-MONTH(tbl_MTG_Set[[#This Row],[Released On]])-12*YEAR(tbl_MTG_Set[[#This Row],[Released On]])</f>
        <v>70</v>
      </c>
      <c r="I368" t="str">
        <f>_xlfn.XLOOKUP(tbl_MTG_Set[[#This Row],[Type Name]], tbl_MTG_Set_Type[Set Type], tbl_MTG_Set_Type[Index], "(Set Type not found)")</f>
        <v>(Set Type not found)</v>
      </c>
      <c r="J368" t="str">
        <f>_xlfn.XLOOKUP(tbl_MTG_Set[[#This Row],[Type Name]], tbl_MTG_Set_Type[Set Type], tbl_MTG_Set_Type[Buy Window Month Start], "(Set Type not found)")</f>
        <v>(Set Type not found)</v>
      </c>
      <c r="K368" s="3" t="e">
        <f>tbl_MTG_Set[[#This Row],[Released On]]+tbl_MTG_Set[[#This Row],[Buy Window Month Start]]*365.25/12</f>
        <v>#VALUE!</v>
      </c>
      <c r="L368" t="str">
        <f>_xlfn.XLOOKUP(tbl_MTG_Set[[#This Row],[Type Name]], tbl_MTG_Set_Type[Set Type], tbl_MTG_Set_Type[Buy Window Month End], "(Set Type not found)", 0, 1)</f>
        <v>(Set Type not found)</v>
      </c>
      <c r="M368" s="3" t="e">
        <f>tbl_MTG_Set[[#This Row],[Released On]]+tbl_MTG_Set[[#This Row],[Buy Window Month End]]*365.25/12</f>
        <v>#VALUE!</v>
      </c>
      <c r="N368" s="3" t="e">
        <f ca="1">AND(NOW()&gt;=tbl_MTG_Set[[#This Row],[Buy Window Start]], NOW()&lt;=tbl_MTG_Set[[#This Row],[Buy Window End]])</f>
        <v>#VALUE!</v>
      </c>
      <c r="O368" t="str">
        <f>_xlfn.XLOOKUP(tbl_MTG_Set[[#This Row],[Type Name]], tbl_MTG_Set_Type[Set Type], tbl_MTG_Set_Type[Heavy Printing Window Month Start], "(Set Type not found)", 0, 1)</f>
        <v>(Set Type not found)</v>
      </c>
      <c r="P368" s="3" t="e">
        <f>tbl_MTG_Set[[#This Row],[Released On]]+tbl_MTG_Set[[#This Row],[Heavy Printing Window Month Start]]*365.25/12</f>
        <v>#VALUE!</v>
      </c>
      <c r="Q368" t="str">
        <f>_xlfn.XLOOKUP(tbl_MTG_Set[[#This Row],[Type Name]], tbl_MTG_Set_Type[Set Type], tbl_MTG_Set_Type[Heavy Printing Window Month End], "(Set Type not found)", 0, 1)</f>
        <v>(Set Type not found)</v>
      </c>
      <c r="R368" s="3" t="e">
        <f>tbl_MTG_Set[[#This Row],[Released On]]+tbl_MTG_Set[[#This Row],[Heavy Printing Window Month End]]*365.25/12</f>
        <v>#VALUE!</v>
      </c>
      <c r="S368" s="3" t="e">
        <f ca="1">AND(NOW()&gt;=tbl_MTG_Set[[#This Row],[Heavy Printing Window Start]], NOW()&lt;=tbl_MTG_Set[[#This Row],[Heavy Printing Window End]])</f>
        <v>#VALUE!</v>
      </c>
      <c r="T368" t="str">
        <f>_xlfn.XLOOKUP(tbl_MTG_Set[[#This Row],[Type Name]], tbl_MTG_Set_Type[Set Type], tbl_MTG_Set_Type[Sell Window Month Start], "(Set Type not found)", 0, 1)</f>
        <v>(Set Type not found)</v>
      </c>
      <c r="U368" s="3" t="e">
        <f>tbl_MTG_Set[[#This Row],[Released On]]+tbl_MTG_Set[[#This Row],[Sell Window Month Start]]*365.25/12</f>
        <v>#VALUE!</v>
      </c>
      <c r="V368" t="str">
        <f>_xlfn.XLOOKUP(tbl_MTG_Set[[#This Row],[Type Name]], tbl_MTG_Set_Type[Set Type], tbl_MTG_Set_Type[Sell Window Month End], "(Set Type not found)", 0, 1)</f>
        <v>(Set Type not found)</v>
      </c>
      <c r="W368" s="3" t="e">
        <f>tbl_MTG_Set[[#This Row],[Released On]]+tbl_MTG_Set[[#This Row],[Sell Window Month End]]*365.25/12</f>
        <v>#VALUE!</v>
      </c>
      <c r="X368" s="3" t="e">
        <f ca="1">AND(NOW()&gt;=tbl_MTG_Set[[#This Row],[Sell Window Start]], NOW()&lt;=tbl_MTG_Set[[#This Row],[Sell Window End]])</f>
        <v>#VALUE!</v>
      </c>
      <c r="AG368" s="10"/>
      <c r="AH368" s="10"/>
      <c r="AM368" s="10" t="str" cm="1">
        <f t="array" ref="AM3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8" s="10" t="str" cm="1">
        <f t="array" ref="AN3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8" s="4" t="e">
        <f>_xlfn.XLOOKUP(tbl_MTG_Set[[#This Row],[Play Booster Box Product Id]], tbl_Product[Product Id], tbl_Product[Pack Size])</f>
        <v>#N/A</v>
      </c>
      <c r="AP368" s="10" t="e">
        <f>(tbl_MTG_Set[[#This Row],[Play Booster Box Cost]]+v_Item_Shipping_Cost_In)/tbl_MTG_Set[[#This Row],[Play Booster Box Size]]</f>
        <v>#VALUE!</v>
      </c>
      <c r="AQ368" s="10" t="str" cm="1">
        <f t="array" ref="AQ3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8" s="10"/>
      <c r="AS368" s="10"/>
      <c r="AT368" s="17" t="e">
        <f>tbl_MTG_Set[[#This Row],[Play Booster CardMarket Profit]]/tbl_MTG_Set[[#This Row],[Play Booster Cost]]</f>
        <v>#VALUE!</v>
      </c>
      <c r="AU368" s="10" t="e">
        <f>_xlfn.XLOOKUP(tbl_MTG_Set[[#This Row],[Collector Booster Box Product Id]], tbl_Product[Product Id], tbl_Product[Min Cost])</f>
        <v>#N/A</v>
      </c>
      <c r="AV368" s="10" t="e">
        <f>_xlfn.XLOOKUP(tbl_MTG_Set[[#This Row],[Collector Booster Box Product Id]], tbl_Product[Product Id], tbl_Product[Best Source])</f>
        <v>#N/A</v>
      </c>
      <c r="AW368" s="4" t="e">
        <f>_xlfn.XLOOKUP(tbl_MTG_Set[[#This Row],[Collector Booster Box Product Id]], tbl_Product[Product Id], tbl_Product[Pack Size])</f>
        <v>#N/A</v>
      </c>
      <c r="AX368" s="10" t="e">
        <f>(tbl_MTG_Set[[#This Row],[Collector Booster Box Cost]] + v_Item_Shipping_Cost_In) / tbl_MTG_Set[[#This Row],[Collector Booster Box Size]]</f>
        <v>#N/A</v>
      </c>
      <c r="AY368" s="10" t="str" cm="1">
        <f t="array" ref="AY3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8" s="10"/>
      <c r="BA3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8" s="17" t="e">
        <f>tbl_MTG_Set[[#This Row],[Collector Booster CardMarket Profit]]/tbl_MTG_Set[[#This Row],[Collector Booster Cost]]</f>
        <v>#N/A</v>
      </c>
      <c r="BC368" s="10"/>
      <c r="BF3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8" s="11" t="e">
        <f>tbl_MTG_Set[[#This Row],[Play Singles CardMarket Profit MTG Stocks]]/tbl_MTG_Set[[#This Row],[Play Booster Cost]]</f>
        <v>#VALUE!</v>
      </c>
      <c r="BI368" s="11" t="b">
        <f>tbl_MTG_Set[[#This Row],[Play Singles CardMarket Profit MTG Stocks]]&gt;0</f>
        <v>0</v>
      </c>
      <c r="BM368" s="10" t="e">
        <f>tbl_MTG_Set[[#This Row],[Play Booster Sell Price CardMarket]]*tbl_MTG_Set[[#This Row],[Play Booster Expected Market Value BotBox]]/tbl_MTG_Set[[#This Row],[Play Booster Sealed Market Value BotBox]]</f>
        <v>#VALUE!</v>
      </c>
      <c r="BN3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8" s="10" t="e">
        <f>tbl_MTG_Set[[#This Row],[Play Singles CardMarket Profit BotBox]]/tbl_MTG_Set[[#This Row],[Play Booster Cost]]</f>
        <v>#VALUE!</v>
      </c>
      <c r="BP368" s="10" t="b">
        <f>tbl_MTG_Set[[#This Row],[Play Singles CardMarket Profit BotBox]]&gt;0</f>
        <v>0</v>
      </c>
      <c r="BQ368" s="10"/>
      <c r="BR368" s="10"/>
      <c r="BS368" s="10"/>
      <c r="BT3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8" s="19" t="e">
        <f>tbl_MTG_Set[[#This Row],[Collector Singles CardMarket Profit MTG Stocks]]/tbl_MTG_Set[[#This Row],[Collector Booster Cost]]</f>
        <v>#N/A</v>
      </c>
      <c r="BW368" s="10" t="b">
        <f>tbl_MTG_Set[[#This Row],[Collector Singles CardMarket Profit MTG Stocks]]&gt;0</f>
        <v>0</v>
      </c>
      <c r="BX368" s="10"/>
      <c r="BY368" s="10"/>
      <c r="BZ3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8" s="10" t="e">
        <f>tbl_MTG_Set[[#This Row],[Collector Singles CardMarket Profit BotBox]]/tbl_MTG_Set[[#This Row],[Collector Booster Cost]]</f>
        <v>#N/A</v>
      </c>
      <c r="CC368" s="10" t="b">
        <f>tbl_MTG_Set[[#This Row],[Collector Singles CardMarket Profit BotBox]]&gt;0</f>
        <v>0</v>
      </c>
      <c r="CD3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69" spans="1:86" hidden="1">
      <c r="A369">
        <v>397</v>
      </c>
      <c r="B369" t="s">
        <v>542</v>
      </c>
      <c r="C369">
        <v>2</v>
      </c>
      <c r="D369" s="3">
        <v>43969</v>
      </c>
      <c r="F369" t="s">
        <v>174</v>
      </c>
      <c r="G369">
        <v>740</v>
      </c>
      <c r="H369">
        <f ca="1">MONTH(NOW())+12*YEAR(NOW())-MONTH(tbl_MTG_Set[[#This Row],[Released On]])-12*YEAR(tbl_MTG_Set[[#This Row],[Released On]])</f>
        <v>70</v>
      </c>
      <c r="I369" t="str">
        <f>_xlfn.XLOOKUP(tbl_MTG_Set[[#This Row],[Type Name]], tbl_MTG_Set_Type[Set Type], tbl_MTG_Set_Type[Index], "(Set Type not found)")</f>
        <v>(Set Type not found)</v>
      </c>
      <c r="J369" t="str">
        <f>_xlfn.XLOOKUP(tbl_MTG_Set[[#This Row],[Type Name]], tbl_MTG_Set_Type[Set Type], tbl_MTG_Set_Type[Buy Window Month Start], "(Set Type not found)")</f>
        <v>(Set Type not found)</v>
      </c>
      <c r="K369" s="3" t="e">
        <f>tbl_MTG_Set[[#This Row],[Released On]]+tbl_MTG_Set[[#This Row],[Buy Window Month Start]]*365.25/12</f>
        <v>#VALUE!</v>
      </c>
      <c r="L369" t="str">
        <f>_xlfn.XLOOKUP(tbl_MTG_Set[[#This Row],[Type Name]], tbl_MTG_Set_Type[Set Type], tbl_MTG_Set_Type[Buy Window Month End], "(Set Type not found)", 0, 1)</f>
        <v>(Set Type not found)</v>
      </c>
      <c r="M369" s="3" t="e">
        <f>tbl_MTG_Set[[#This Row],[Released On]]+tbl_MTG_Set[[#This Row],[Buy Window Month End]]*365.25/12</f>
        <v>#VALUE!</v>
      </c>
      <c r="N369" s="3" t="e">
        <f ca="1">AND(NOW()&gt;=tbl_MTG_Set[[#This Row],[Buy Window Start]], NOW()&lt;=tbl_MTG_Set[[#This Row],[Buy Window End]])</f>
        <v>#VALUE!</v>
      </c>
      <c r="O369" t="str">
        <f>_xlfn.XLOOKUP(tbl_MTG_Set[[#This Row],[Type Name]], tbl_MTG_Set_Type[Set Type], tbl_MTG_Set_Type[Heavy Printing Window Month Start], "(Set Type not found)", 0, 1)</f>
        <v>(Set Type not found)</v>
      </c>
      <c r="P369" s="3" t="e">
        <f>tbl_MTG_Set[[#This Row],[Released On]]+tbl_MTG_Set[[#This Row],[Heavy Printing Window Month Start]]*365.25/12</f>
        <v>#VALUE!</v>
      </c>
      <c r="Q369" t="str">
        <f>_xlfn.XLOOKUP(tbl_MTG_Set[[#This Row],[Type Name]], tbl_MTG_Set_Type[Set Type], tbl_MTG_Set_Type[Heavy Printing Window Month End], "(Set Type not found)", 0, 1)</f>
        <v>(Set Type not found)</v>
      </c>
      <c r="R369" s="3" t="e">
        <f>tbl_MTG_Set[[#This Row],[Released On]]+tbl_MTG_Set[[#This Row],[Heavy Printing Window Month End]]*365.25/12</f>
        <v>#VALUE!</v>
      </c>
      <c r="S369" s="3" t="e">
        <f ca="1">AND(NOW()&gt;=tbl_MTG_Set[[#This Row],[Heavy Printing Window Start]], NOW()&lt;=tbl_MTG_Set[[#This Row],[Heavy Printing Window End]])</f>
        <v>#VALUE!</v>
      </c>
      <c r="T369" t="str">
        <f>_xlfn.XLOOKUP(tbl_MTG_Set[[#This Row],[Type Name]], tbl_MTG_Set_Type[Set Type], tbl_MTG_Set_Type[Sell Window Month Start], "(Set Type not found)", 0, 1)</f>
        <v>(Set Type not found)</v>
      </c>
      <c r="U369" s="3" t="e">
        <f>tbl_MTG_Set[[#This Row],[Released On]]+tbl_MTG_Set[[#This Row],[Sell Window Month Start]]*365.25/12</f>
        <v>#VALUE!</v>
      </c>
      <c r="V369" t="str">
        <f>_xlfn.XLOOKUP(tbl_MTG_Set[[#This Row],[Type Name]], tbl_MTG_Set_Type[Set Type], tbl_MTG_Set_Type[Sell Window Month End], "(Set Type not found)", 0, 1)</f>
        <v>(Set Type not found)</v>
      </c>
      <c r="W369" s="3" t="e">
        <f>tbl_MTG_Set[[#This Row],[Released On]]+tbl_MTG_Set[[#This Row],[Sell Window Month End]]*365.25/12</f>
        <v>#VALUE!</v>
      </c>
      <c r="X369" s="3" t="e">
        <f ca="1">AND(NOW()&gt;=tbl_MTG_Set[[#This Row],[Sell Window Start]], NOW()&lt;=tbl_MTG_Set[[#This Row],[Sell Window End]])</f>
        <v>#VALUE!</v>
      </c>
      <c r="AG369" s="10"/>
      <c r="AH369" s="10"/>
      <c r="AM369" s="10" t="str" cm="1">
        <f t="array" ref="AM3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69" s="10" t="str" cm="1">
        <f t="array" ref="AN3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69" s="4" t="e">
        <f>_xlfn.XLOOKUP(tbl_MTG_Set[[#This Row],[Play Booster Box Product Id]], tbl_Product[Product Id], tbl_Product[Pack Size])</f>
        <v>#N/A</v>
      </c>
      <c r="AP369" s="10" t="e">
        <f>(tbl_MTG_Set[[#This Row],[Play Booster Box Cost]]+v_Item_Shipping_Cost_In)/tbl_MTG_Set[[#This Row],[Play Booster Box Size]]</f>
        <v>#VALUE!</v>
      </c>
      <c r="AQ369" s="10" t="str" cm="1">
        <f t="array" ref="AQ3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69" s="10"/>
      <c r="AS369" s="10"/>
      <c r="AT369" s="17" t="e">
        <f>tbl_MTG_Set[[#This Row],[Play Booster CardMarket Profit]]/tbl_MTG_Set[[#This Row],[Play Booster Cost]]</f>
        <v>#VALUE!</v>
      </c>
      <c r="AU369" s="10" t="e">
        <f>_xlfn.XLOOKUP(tbl_MTG_Set[[#This Row],[Collector Booster Box Product Id]], tbl_Product[Product Id], tbl_Product[Min Cost])</f>
        <v>#N/A</v>
      </c>
      <c r="AV369" s="10" t="e">
        <f>_xlfn.XLOOKUP(tbl_MTG_Set[[#This Row],[Collector Booster Box Product Id]], tbl_Product[Product Id], tbl_Product[Best Source])</f>
        <v>#N/A</v>
      </c>
      <c r="AW369" s="4" t="e">
        <f>_xlfn.XLOOKUP(tbl_MTG_Set[[#This Row],[Collector Booster Box Product Id]], tbl_Product[Product Id], tbl_Product[Pack Size])</f>
        <v>#N/A</v>
      </c>
      <c r="AX369" s="10" t="e">
        <f>(tbl_MTG_Set[[#This Row],[Collector Booster Box Cost]] + v_Item_Shipping_Cost_In) / tbl_MTG_Set[[#This Row],[Collector Booster Box Size]]</f>
        <v>#N/A</v>
      </c>
      <c r="AY369" s="10" t="str" cm="1">
        <f t="array" ref="AY3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69" s="10"/>
      <c r="BA3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69" s="17" t="e">
        <f>tbl_MTG_Set[[#This Row],[Collector Booster CardMarket Profit]]/tbl_MTG_Set[[#This Row],[Collector Booster Cost]]</f>
        <v>#N/A</v>
      </c>
      <c r="BC369" s="10"/>
      <c r="BF3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69" s="11" t="e">
        <f>tbl_MTG_Set[[#This Row],[Play Singles CardMarket Profit MTG Stocks]]/tbl_MTG_Set[[#This Row],[Play Booster Cost]]</f>
        <v>#VALUE!</v>
      </c>
      <c r="BI369" s="11" t="b">
        <f>tbl_MTG_Set[[#This Row],[Play Singles CardMarket Profit MTG Stocks]]&gt;0</f>
        <v>0</v>
      </c>
      <c r="BM369" s="10" t="e">
        <f>tbl_MTG_Set[[#This Row],[Play Booster Sell Price CardMarket]]*tbl_MTG_Set[[#This Row],[Play Booster Expected Market Value BotBox]]/tbl_MTG_Set[[#This Row],[Play Booster Sealed Market Value BotBox]]</f>
        <v>#VALUE!</v>
      </c>
      <c r="BN3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69" s="10" t="e">
        <f>tbl_MTG_Set[[#This Row],[Play Singles CardMarket Profit BotBox]]/tbl_MTG_Set[[#This Row],[Play Booster Cost]]</f>
        <v>#VALUE!</v>
      </c>
      <c r="BP369" s="10" t="b">
        <f>tbl_MTG_Set[[#This Row],[Play Singles CardMarket Profit BotBox]]&gt;0</f>
        <v>0</v>
      </c>
      <c r="BQ369" s="10"/>
      <c r="BR369" s="10"/>
      <c r="BS369" s="10"/>
      <c r="BT3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69" s="19" t="e">
        <f>tbl_MTG_Set[[#This Row],[Collector Singles CardMarket Profit MTG Stocks]]/tbl_MTG_Set[[#This Row],[Collector Booster Cost]]</f>
        <v>#N/A</v>
      </c>
      <c r="BW369" s="10" t="b">
        <f>tbl_MTG_Set[[#This Row],[Collector Singles CardMarket Profit MTG Stocks]]&gt;0</f>
        <v>0</v>
      </c>
      <c r="BX369" s="10"/>
      <c r="BY369" s="10"/>
      <c r="BZ3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69" s="10" t="e">
        <f>tbl_MTG_Set[[#This Row],[Collector Singles CardMarket Profit BotBox]]/tbl_MTG_Set[[#This Row],[Collector Booster Cost]]</f>
        <v>#N/A</v>
      </c>
      <c r="CC369" s="10" t="b">
        <f>tbl_MTG_Set[[#This Row],[Collector Singles CardMarket Profit BotBox]]&gt;0</f>
        <v>0</v>
      </c>
      <c r="CD3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0" spans="1:86" hidden="1">
      <c r="A370">
        <v>398</v>
      </c>
      <c r="B370" t="s">
        <v>543</v>
      </c>
      <c r="C370">
        <v>390</v>
      </c>
      <c r="D370" s="3">
        <v>43945</v>
      </c>
      <c r="F370" t="s">
        <v>174</v>
      </c>
      <c r="G370">
        <v>742</v>
      </c>
      <c r="H370">
        <f ca="1">MONTH(NOW())+12*YEAR(NOW())-MONTH(tbl_MTG_Set[[#This Row],[Released On]])-12*YEAR(tbl_MTG_Set[[#This Row],[Released On]])</f>
        <v>71</v>
      </c>
      <c r="I370" t="str">
        <f>_xlfn.XLOOKUP(tbl_MTG_Set[[#This Row],[Type Name]], tbl_MTG_Set_Type[Set Type], tbl_MTG_Set_Type[Index], "(Set Type not found)")</f>
        <v>(Set Type not found)</v>
      </c>
      <c r="J370" t="str">
        <f>_xlfn.XLOOKUP(tbl_MTG_Set[[#This Row],[Type Name]], tbl_MTG_Set_Type[Set Type], tbl_MTG_Set_Type[Buy Window Month Start], "(Set Type not found)")</f>
        <v>(Set Type not found)</v>
      </c>
      <c r="K370" s="3" t="e">
        <f>tbl_MTG_Set[[#This Row],[Released On]]+tbl_MTG_Set[[#This Row],[Buy Window Month Start]]*365.25/12</f>
        <v>#VALUE!</v>
      </c>
      <c r="L370" t="str">
        <f>_xlfn.XLOOKUP(tbl_MTG_Set[[#This Row],[Type Name]], tbl_MTG_Set_Type[Set Type], tbl_MTG_Set_Type[Buy Window Month End], "(Set Type not found)", 0, 1)</f>
        <v>(Set Type not found)</v>
      </c>
      <c r="M370" s="3" t="e">
        <f>tbl_MTG_Set[[#This Row],[Released On]]+tbl_MTG_Set[[#This Row],[Buy Window Month End]]*365.25/12</f>
        <v>#VALUE!</v>
      </c>
      <c r="N370" s="3" t="e">
        <f ca="1">AND(NOW()&gt;=tbl_MTG_Set[[#This Row],[Buy Window Start]], NOW()&lt;=tbl_MTG_Set[[#This Row],[Buy Window End]])</f>
        <v>#VALUE!</v>
      </c>
      <c r="O370" t="str">
        <f>_xlfn.XLOOKUP(tbl_MTG_Set[[#This Row],[Type Name]], tbl_MTG_Set_Type[Set Type], tbl_MTG_Set_Type[Heavy Printing Window Month Start], "(Set Type not found)", 0, 1)</f>
        <v>(Set Type not found)</v>
      </c>
      <c r="P370" s="3" t="e">
        <f>tbl_MTG_Set[[#This Row],[Released On]]+tbl_MTG_Set[[#This Row],[Heavy Printing Window Month Start]]*365.25/12</f>
        <v>#VALUE!</v>
      </c>
      <c r="Q370" t="str">
        <f>_xlfn.XLOOKUP(tbl_MTG_Set[[#This Row],[Type Name]], tbl_MTG_Set_Type[Set Type], tbl_MTG_Set_Type[Heavy Printing Window Month End], "(Set Type not found)", 0, 1)</f>
        <v>(Set Type not found)</v>
      </c>
      <c r="R370" s="3" t="e">
        <f>tbl_MTG_Set[[#This Row],[Released On]]+tbl_MTG_Set[[#This Row],[Heavy Printing Window Month End]]*365.25/12</f>
        <v>#VALUE!</v>
      </c>
      <c r="S370" s="3" t="e">
        <f ca="1">AND(NOW()&gt;=tbl_MTG_Set[[#This Row],[Heavy Printing Window Start]], NOW()&lt;=tbl_MTG_Set[[#This Row],[Heavy Printing Window End]])</f>
        <v>#VALUE!</v>
      </c>
      <c r="T370" t="str">
        <f>_xlfn.XLOOKUP(tbl_MTG_Set[[#This Row],[Type Name]], tbl_MTG_Set_Type[Set Type], tbl_MTG_Set_Type[Sell Window Month Start], "(Set Type not found)", 0, 1)</f>
        <v>(Set Type not found)</v>
      </c>
      <c r="U370" s="3" t="e">
        <f>tbl_MTG_Set[[#This Row],[Released On]]+tbl_MTG_Set[[#This Row],[Sell Window Month Start]]*365.25/12</f>
        <v>#VALUE!</v>
      </c>
      <c r="V370" t="str">
        <f>_xlfn.XLOOKUP(tbl_MTG_Set[[#This Row],[Type Name]], tbl_MTG_Set_Type[Set Type], tbl_MTG_Set_Type[Sell Window Month End], "(Set Type not found)", 0, 1)</f>
        <v>(Set Type not found)</v>
      </c>
      <c r="W370" s="3" t="e">
        <f>tbl_MTG_Set[[#This Row],[Released On]]+tbl_MTG_Set[[#This Row],[Sell Window Month End]]*365.25/12</f>
        <v>#VALUE!</v>
      </c>
      <c r="X370" s="3" t="e">
        <f ca="1">AND(NOW()&gt;=tbl_MTG_Set[[#This Row],[Sell Window Start]], NOW()&lt;=tbl_MTG_Set[[#This Row],[Sell Window End]])</f>
        <v>#VALUE!</v>
      </c>
      <c r="AG370" s="10"/>
      <c r="AH370" s="10"/>
      <c r="AM370" s="10" t="str" cm="1">
        <f t="array" ref="AM3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0" s="10" t="str" cm="1">
        <f t="array" ref="AN3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0" s="4" t="e">
        <f>_xlfn.XLOOKUP(tbl_MTG_Set[[#This Row],[Play Booster Box Product Id]], tbl_Product[Product Id], tbl_Product[Pack Size])</f>
        <v>#N/A</v>
      </c>
      <c r="AP370" s="10" t="e">
        <f>(tbl_MTG_Set[[#This Row],[Play Booster Box Cost]]+v_Item_Shipping_Cost_In)/tbl_MTG_Set[[#This Row],[Play Booster Box Size]]</f>
        <v>#VALUE!</v>
      </c>
      <c r="AQ370" s="10" t="str" cm="1">
        <f t="array" ref="AQ3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0" s="10"/>
      <c r="AS370" s="10"/>
      <c r="AT370" s="17" t="e">
        <f>tbl_MTG_Set[[#This Row],[Play Booster CardMarket Profit]]/tbl_MTG_Set[[#This Row],[Play Booster Cost]]</f>
        <v>#VALUE!</v>
      </c>
      <c r="AU370" s="10" t="e">
        <f>_xlfn.XLOOKUP(tbl_MTG_Set[[#This Row],[Collector Booster Box Product Id]], tbl_Product[Product Id], tbl_Product[Min Cost])</f>
        <v>#N/A</v>
      </c>
      <c r="AV370" s="10" t="e">
        <f>_xlfn.XLOOKUP(tbl_MTG_Set[[#This Row],[Collector Booster Box Product Id]], tbl_Product[Product Id], tbl_Product[Best Source])</f>
        <v>#N/A</v>
      </c>
      <c r="AW370" s="4" t="e">
        <f>_xlfn.XLOOKUP(tbl_MTG_Set[[#This Row],[Collector Booster Box Product Id]], tbl_Product[Product Id], tbl_Product[Pack Size])</f>
        <v>#N/A</v>
      </c>
      <c r="AX370" s="10" t="e">
        <f>(tbl_MTG_Set[[#This Row],[Collector Booster Box Cost]] + v_Item_Shipping_Cost_In) / tbl_MTG_Set[[#This Row],[Collector Booster Box Size]]</f>
        <v>#N/A</v>
      </c>
      <c r="AY370" s="10" t="str" cm="1">
        <f t="array" ref="AY3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0" s="10"/>
      <c r="BA3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0" s="17" t="e">
        <f>tbl_MTG_Set[[#This Row],[Collector Booster CardMarket Profit]]/tbl_MTG_Set[[#This Row],[Collector Booster Cost]]</f>
        <v>#N/A</v>
      </c>
      <c r="BC370" s="10"/>
      <c r="BF3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0" s="11" t="e">
        <f>tbl_MTG_Set[[#This Row],[Play Singles CardMarket Profit MTG Stocks]]/tbl_MTG_Set[[#This Row],[Play Booster Cost]]</f>
        <v>#VALUE!</v>
      </c>
      <c r="BI370" s="11" t="b">
        <f>tbl_MTG_Set[[#This Row],[Play Singles CardMarket Profit MTG Stocks]]&gt;0</f>
        <v>0</v>
      </c>
      <c r="BM370" s="10" t="e">
        <f>tbl_MTG_Set[[#This Row],[Play Booster Sell Price CardMarket]]*tbl_MTG_Set[[#This Row],[Play Booster Expected Market Value BotBox]]/tbl_MTG_Set[[#This Row],[Play Booster Sealed Market Value BotBox]]</f>
        <v>#VALUE!</v>
      </c>
      <c r="BN3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0" s="10" t="e">
        <f>tbl_MTG_Set[[#This Row],[Play Singles CardMarket Profit BotBox]]/tbl_MTG_Set[[#This Row],[Play Booster Cost]]</f>
        <v>#VALUE!</v>
      </c>
      <c r="BP370" s="10" t="b">
        <f>tbl_MTG_Set[[#This Row],[Play Singles CardMarket Profit BotBox]]&gt;0</f>
        <v>0</v>
      </c>
      <c r="BQ370" s="10"/>
      <c r="BR370" s="10"/>
      <c r="BS370" s="10"/>
      <c r="BT3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0" s="19" t="e">
        <f>tbl_MTG_Set[[#This Row],[Collector Singles CardMarket Profit MTG Stocks]]/tbl_MTG_Set[[#This Row],[Collector Booster Cost]]</f>
        <v>#N/A</v>
      </c>
      <c r="BW370" s="10" t="b">
        <f>tbl_MTG_Set[[#This Row],[Collector Singles CardMarket Profit MTG Stocks]]&gt;0</f>
        <v>0</v>
      </c>
      <c r="BX370" s="10"/>
      <c r="BY370" s="10"/>
      <c r="BZ3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0" s="10" t="e">
        <f>tbl_MTG_Set[[#This Row],[Collector Singles CardMarket Profit BotBox]]/tbl_MTG_Set[[#This Row],[Collector Booster Cost]]</f>
        <v>#N/A</v>
      </c>
      <c r="CC370" s="10" t="b">
        <f>tbl_MTG_Set[[#This Row],[Collector Singles CardMarket Profit BotBox]]&gt;0</f>
        <v>0</v>
      </c>
      <c r="CD3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1" spans="1:86" hidden="1">
      <c r="A371">
        <v>399</v>
      </c>
      <c r="B371" t="s">
        <v>544</v>
      </c>
      <c r="C371">
        <v>137</v>
      </c>
      <c r="D371" s="3">
        <v>43945</v>
      </c>
      <c r="F371" t="s">
        <v>174</v>
      </c>
      <c r="G371">
        <v>744</v>
      </c>
      <c r="H371">
        <f ca="1">MONTH(NOW())+12*YEAR(NOW())-MONTH(tbl_MTG_Set[[#This Row],[Released On]])-12*YEAR(tbl_MTG_Set[[#This Row],[Released On]])</f>
        <v>71</v>
      </c>
      <c r="I371" t="str">
        <f>_xlfn.XLOOKUP(tbl_MTG_Set[[#This Row],[Type Name]], tbl_MTG_Set_Type[Set Type], tbl_MTG_Set_Type[Index], "(Set Type not found)")</f>
        <v>(Set Type not found)</v>
      </c>
      <c r="J371" t="str">
        <f>_xlfn.XLOOKUP(tbl_MTG_Set[[#This Row],[Type Name]], tbl_MTG_Set_Type[Set Type], tbl_MTG_Set_Type[Buy Window Month Start], "(Set Type not found)")</f>
        <v>(Set Type not found)</v>
      </c>
      <c r="K371" s="3" t="e">
        <f>tbl_MTG_Set[[#This Row],[Released On]]+tbl_MTG_Set[[#This Row],[Buy Window Month Start]]*365.25/12</f>
        <v>#VALUE!</v>
      </c>
      <c r="L371" t="str">
        <f>_xlfn.XLOOKUP(tbl_MTG_Set[[#This Row],[Type Name]], tbl_MTG_Set_Type[Set Type], tbl_MTG_Set_Type[Buy Window Month End], "(Set Type not found)", 0, 1)</f>
        <v>(Set Type not found)</v>
      </c>
      <c r="M371" s="3" t="e">
        <f>tbl_MTG_Set[[#This Row],[Released On]]+tbl_MTG_Set[[#This Row],[Buy Window Month End]]*365.25/12</f>
        <v>#VALUE!</v>
      </c>
      <c r="N371" s="3" t="e">
        <f ca="1">AND(NOW()&gt;=tbl_MTG_Set[[#This Row],[Buy Window Start]], NOW()&lt;=tbl_MTG_Set[[#This Row],[Buy Window End]])</f>
        <v>#VALUE!</v>
      </c>
      <c r="O371" t="str">
        <f>_xlfn.XLOOKUP(tbl_MTG_Set[[#This Row],[Type Name]], tbl_MTG_Set_Type[Set Type], tbl_MTG_Set_Type[Heavy Printing Window Month Start], "(Set Type not found)", 0, 1)</f>
        <v>(Set Type not found)</v>
      </c>
      <c r="P371" s="3" t="e">
        <f>tbl_MTG_Set[[#This Row],[Released On]]+tbl_MTG_Set[[#This Row],[Heavy Printing Window Month Start]]*365.25/12</f>
        <v>#VALUE!</v>
      </c>
      <c r="Q371" t="str">
        <f>_xlfn.XLOOKUP(tbl_MTG_Set[[#This Row],[Type Name]], tbl_MTG_Set_Type[Set Type], tbl_MTG_Set_Type[Heavy Printing Window Month End], "(Set Type not found)", 0, 1)</f>
        <v>(Set Type not found)</v>
      </c>
      <c r="R371" s="3" t="e">
        <f>tbl_MTG_Set[[#This Row],[Released On]]+tbl_MTG_Set[[#This Row],[Heavy Printing Window Month End]]*365.25/12</f>
        <v>#VALUE!</v>
      </c>
      <c r="S371" s="3" t="e">
        <f ca="1">AND(NOW()&gt;=tbl_MTG_Set[[#This Row],[Heavy Printing Window Start]], NOW()&lt;=tbl_MTG_Set[[#This Row],[Heavy Printing Window End]])</f>
        <v>#VALUE!</v>
      </c>
      <c r="T371" t="str">
        <f>_xlfn.XLOOKUP(tbl_MTG_Set[[#This Row],[Type Name]], tbl_MTG_Set_Type[Set Type], tbl_MTG_Set_Type[Sell Window Month Start], "(Set Type not found)", 0, 1)</f>
        <v>(Set Type not found)</v>
      </c>
      <c r="U371" s="3" t="e">
        <f>tbl_MTG_Set[[#This Row],[Released On]]+tbl_MTG_Set[[#This Row],[Sell Window Month Start]]*365.25/12</f>
        <v>#VALUE!</v>
      </c>
      <c r="V371" t="str">
        <f>_xlfn.XLOOKUP(tbl_MTG_Set[[#This Row],[Type Name]], tbl_MTG_Set_Type[Set Type], tbl_MTG_Set_Type[Sell Window Month End], "(Set Type not found)", 0, 1)</f>
        <v>(Set Type not found)</v>
      </c>
      <c r="W371" s="3" t="e">
        <f>tbl_MTG_Set[[#This Row],[Released On]]+tbl_MTG_Set[[#This Row],[Sell Window Month End]]*365.25/12</f>
        <v>#VALUE!</v>
      </c>
      <c r="X371" s="3" t="e">
        <f ca="1">AND(NOW()&gt;=tbl_MTG_Set[[#This Row],[Sell Window Start]], NOW()&lt;=tbl_MTG_Set[[#This Row],[Sell Window End]])</f>
        <v>#VALUE!</v>
      </c>
      <c r="AG371" s="10"/>
      <c r="AH371" s="10"/>
      <c r="AM371" s="10" t="str" cm="1">
        <f t="array" ref="AM3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1" s="10" t="str" cm="1">
        <f t="array" ref="AN3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1" s="4" t="e">
        <f>_xlfn.XLOOKUP(tbl_MTG_Set[[#This Row],[Play Booster Box Product Id]], tbl_Product[Product Id], tbl_Product[Pack Size])</f>
        <v>#N/A</v>
      </c>
      <c r="AP371" s="10" t="e">
        <f>(tbl_MTG_Set[[#This Row],[Play Booster Box Cost]]+v_Item_Shipping_Cost_In)/tbl_MTG_Set[[#This Row],[Play Booster Box Size]]</f>
        <v>#VALUE!</v>
      </c>
      <c r="AQ371" s="10" t="str" cm="1">
        <f t="array" ref="AQ3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1" s="10"/>
      <c r="AS371" s="10"/>
      <c r="AT371" s="17" t="e">
        <f>tbl_MTG_Set[[#This Row],[Play Booster CardMarket Profit]]/tbl_MTG_Set[[#This Row],[Play Booster Cost]]</f>
        <v>#VALUE!</v>
      </c>
      <c r="AU371" s="10" t="e">
        <f>_xlfn.XLOOKUP(tbl_MTG_Set[[#This Row],[Collector Booster Box Product Id]], tbl_Product[Product Id], tbl_Product[Min Cost])</f>
        <v>#N/A</v>
      </c>
      <c r="AV371" s="10" t="e">
        <f>_xlfn.XLOOKUP(tbl_MTG_Set[[#This Row],[Collector Booster Box Product Id]], tbl_Product[Product Id], tbl_Product[Best Source])</f>
        <v>#N/A</v>
      </c>
      <c r="AW371" s="4" t="e">
        <f>_xlfn.XLOOKUP(tbl_MTG_Set[[#This Row],[Collector Booster Box Product Id]], tbl_Product[Product Id], tbl_Product[Pack Size])</f>
        <v>#N/A</v>
      </c>
      <c r="AX371" s="10" t="e">
        <f>(tbl_MTG_Set[[#This Row],[Collector Booster Box Cost]] + v_Item_Shipping_Cost_In) / tbl_MTG_Set[[#This Row],[Collector Booster Box Size]]</f>
        <v>#N/A</v>
      </c>
      <c r="AY371" s="10" t="str" cm="1">
        <f t="array" ref="AY3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1" s="10"/>
      <c r="BA3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1" s="17" t="e">
        <f>tbl_MTG_Set[[#This Row],[Collector Booster CardMarket Profit]]/tbl_MTG_Set[[#This Row],[Collector Booster Cost]]</f>
        <v>#N/A</v>
      </c>
      <c r="BC371" s="10"/>
      <c r="BF3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1" s="11" t="e">
        <f>tbl_MTG_Set[[#This Row],[Play Singles CardMarket Profit MTG Stocks]]/tbl_MTG_Set[[#This Row],[Play Booster Cost]]</f>
        <v>#VALUE!</v>
      </c>
      <c r="BI371" s="11" t="b">
        <f>tbl_MTG_Set[[#This Row],[Play Singles CardMarket Profit MTG Stocks]]&gt;0</f>
        <v>0</v>
      </c>
      <c r="BM371" s="10" t="e">
        <f>tbl_MTG_Set[[#This Row],[Play Booster Sell Price CardMarket]]*tbl_MTG_Set[[#This Row],[Play Booster Expected Market Value BotBox]]/tbl_MTG_Set[[#This Row],[Play Booster Sealed Market Value BotBox]]</f>
        <v>#VALUE!</v>
      </c>
      <c r="BN3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1" s="10" t="e">
        <f>tbl_MTG_Set[[#This Row],[Play Singles CardMarket Profit BotBox]]/tbl_MTG_Set[[#This Row],[Play Booster Cost]]</f>
        <v>#VALUE!</v>
      </c>
      <c r="BP371" s="10" t="b">
        <f>tbl_MTG_Set[[#This Row],[Play Singles CardMarket Profit BotBox]]&gt;0</f>
        <v>0</v>
      </c>
      <c r="BQ371" s="10"/>
      <c r="BR371" s="10"/>
      <c r="BS371" s="10"/>
      <c r="BT3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1" s="19" t="e">
        <f>tbl_MTG_Set[[#This Row],[Collector Singles CardMarket Profit MTG Stocks]]/tbl_MTG_Set[[#This Row],[Collector Booster Cost]]</f>
        <v>#N/A</v>
      </c>
      <c r="BW371" s="10" t="b">
        <f>tbl_MTG_Set[[#This Row],[Collector Singles CardMarket Profit MTG Stocks]]&gt;0</f>
        <v>0</v>
      </c>
      <c r="BX371" s="10"/>
      <c r="BY371" s="10"/>
      <c r="BZ3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1" s="10" t="e">
        <f>tbl_MTG_Set[[#This Row],[Collector Singles CardMarket Profit BotBox]]/tbl_MTG_Set[[#This Row],[Collector Booster Cost]]</f>
        <v>#N/A</v>
      </c>
      <c r="CC371" s="10" t="b">
        <f>tbl_MTG_Set[[#This Row],[Collector Singles CardMarket Profit BotBox]]&gt;0</f>
        <v>0</v>
      </c>
      <c r="CD3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2" spans="1:86" hidden="1">
      <c r="A372">
        <v>400</v>
      </c>
      <c r="B372" t="s">
        <v>545</v>
      </c>
      <c r="C372">
        <v>14</v>
      </c>
      <c r="D372" s="3">
        <v>43945</v>
      </c>
      <c r="F372" t="s">
        <v>174</v>
      </c>
      <c r="G372">
        <v>746</v>
      </c>
      <c r="H372">
        <f ca="1">MONTH(NOW())+12*YEAR(NOW())-MONTH(tbl_MTG_Set[[#This Row],[Released On]])-12*YEAR(tbl_MTG_Set[[#This Row],[Released On]])</f>
        <v>71</v>
      </c>
      <c r="I372" t="str">
        <f>_xlfn.XLOOKUP(tbl_MTG_Set[[#This Row],[Type Name]], tbl_MTG_Set_Type[Set Type], tbl_MTG_Set_Type[Index], "(Set Type not found)")</f>
        <v>(Set Type not found)</v>
      </c>
      <c r="J372" t="str">
        <f>_xlfn.XLOOKUP(tbl_MTG_Set[[#This Row],[Type Name]], tbl_MTG_Set_Type[Set Type], tbl_MTG_Set_Type[Buy Window Month Start], "(Set Type not found)")</f>
        <v>(Set Type not found)</v>
      </c>
      <c r="K372" s="3" t="e">
        <f>tbl_MTG_Set[[#This Row],[Released On]]+tbl_MTG_Set[[#This Row],[Buy Window Month Start]]*365.25/12</f>
        <v>#VALUE!</v>
      </c>
      <c r="L372" t="str">
        <f>_xlfn.XLOOKUP(tbl_MTG_Set[[#This Row],[Type Name]], tbl_MTG_Set_Type[Set Type], tbl_MTG_Set_Type[Buy Window Month End], "(Set Type not found)", 0, 1)</f>
        <v>(Set Type not found)</v>
      </c>
      <c r="M372" s="3" t="e">
        <f>tbl_MTG_Set[[#This Row],[Released On]]+tbl_MTG_Set[[#This Row],[Buy Window Month End]]*365.25/12</f>
        <v>#VALUE!</v>
      </c>
      <c r="N372" s="3" t="e">
        <f ca="1">AND(NOW()&gt;=tbl_MTG_Set[[#This Row],[Buy Window Start]], NOW()&lt;=tbl_MTG_Set[[#This Row],[Buy Window End]])</f>
        <v>#VALUE!</v>
      </c>
      <c r="O372" t="str">
        <f>_xlfn.XLOOKUP(tbl_MTG_Set[[#This Row],[Type Name]], tbl_MTG_Set_Type[Set Type], tbl_MTG_Set_Type[Heavy Printing Window Month Start], "(Set Type not found)", 0, 1)</f>
        <v>(Set Type not found)</v>
      </c>
      <c r="P372" s="3" t="e">
        <f>tbl_MTG_Set[[#This Row],[Released On]]+tbl_MTG_Set[[#This Row],[Heavy Printing Window Month Start]]*365.25/12</f>
        <v>#VALUE!</v>
      </c>
      <c r="Q372" t="str">
        <f>_xlfn.XLOOKUP(tbl_MTG_Set[[#This Row],[Type Name]], tbl_MTG_Set_Type[Set Type], tbl_MTG_Set_Type[Heavy Printing Window Month End], "(Set Type not found)", 0, 1)</f>
        <v>(Set Type not found)</v>
      </c>
      <c r="R372" s="3" t="e">
        <f>tbl_MTG_Set[[#This Row],[Released On]]+tbl_MTG_Set[[#This Row],[Heavy Printing Window Month End]]*365.25/12</f>
        <v>#VALUE!</v>
      </c>
      <c r="S372" s="3" t="e">
        <f ca="1">AND(NOW()&gt;=tbl_MTG_Set[[#This Row],[Heavy Printing Window Start]], NOW()&lt;=tbl_MTG_Set[[#This Row],[Heavy Printing Window End]])</f>
        <v>#VALUE!</v>
      </c>
      <c r="T372" t="str">
        <f>_xlfn.XLOOKUP(tbl_MTG_Set[[#This Row],[Type Name]], tbl_MTG_Set_Type[Set Type], tbl_MTG_Set_Type[Sell Window Month Start], "(Set Type not found)", 0, 1)</f>
        <v>(Set Type not found)</v>
      </c>
      <c r="U372" s="3" t="e">
        <f>tbl_MTG_Set[[#This Row],[Released On]]+tbl_MTG_Set[[#This Row],[Sell Window Month Start]]*365.25/12</f>
        <v>#VALUE!</v>
      </c>
      <c r="V372" t="str">
        <f>_xlfn.XLOOKUP(tbl_MTG_Set[[#This Row],[Type Name]], tbl_MTG_Set_Type[Set Type], tbl_MTG_Set_Type[Sell Window Month End], "(Set Type not found)", 0, 1)</f>
        <v>(Set Type not found)</v>
      </c>
      <c r="W372" s="3" t="e">
        <f>tbl_MTG_Set[[#This Row],[Released On]]+tbl_MTG_Set[[#This Row],[Sell Window Month End]]*365.25/12</f>
        <v>#VALUE!</v>
      </c>
      <c r="X372" s="3" t="e">
        <f ca="1">AND(NOW()&gt;=tbl_MTG_Set[[#This Row],[Sell Window Start]], NOW()&lt;=tbl_MTG_Set[[#This Row],[Sell Window End]])</f>
        <v>#VALUE!</v>
      </c>
      <c r="AG372" s="10"/>
      <c r="AH372" s="10"/>
      <c r="AM372" s="10" t="str" cm="1">
        <f t="array" ref="AM3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2" s="10" t="str" cm="1">
        <f t="array" ref="AN3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2" s="4" t="e">
        <f>_xlfn.XLOOKUP(tbl_MTG_Set[[#This Row],[Play Booster Box Product Id]], tbl_Product[Product Id], tbl_Product[Pack Size])</f>
        <v>#N/A</v>
      </c>
      <c r="AP372" s="10" t="e">
        <f>(tbl_MTG_Set[[#This Row],[Play Booster Box Cost]]+v_Item_Shipping_Cost_In)/tbl_MTG_Set[[#This Row],[Play Booster Box Size]]</f>
        <v>#VALUE!</v>
      </c>
      <c r="AQ372" s="10" t="str" cm="1">
        <f t="array" ref="AQ3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2" s="10"/>
      <c r="AS372" s="10"/>
      <c r="AT372" s="17" t="e">
        <f>tbl_MTG_Set[[#This Row],[Play Booster CardMarket Profit]]/tbl_MTG_Set[[#This Row],[Play Booster Cost]]</f>
        <v>#VALUE!</v>
      </c>
      <c r="AU372" s="10" t="e">
        <f>_xlfn.XLOOKUP(tbl_MTG_Set[[#This Row],[Collector Booster Box Product Id]], tbl_Product[Product Id], tbl_Product[Min Cost])</f>
        <v>#N/A</v>
      </c>
      <c r="AV372" s="10" t="e">
        <f>_xlfn.XLOOKUP(tbl_MTG_Set[[#This Row],[Collector Booster Box Product Id]], tbl_Product[Product Id], tbl_Product[Best Source])</f>
        <v>#N/A</v>
      </c>
      <c r="AW372" s="4" t="e">
        <f>_xlfn.XLOOKUP(tbl_MTG_Set[[#This Row],[Collector Booster Box Product Id]], tbl_Product[Product Id], tbl_Product[Pack Size])</f>
        <v>#N/A</v>
      </c>
      <c r="AX372" s="10" t="e">
        <f>(tbl_MTG_Set[[#This Row],[Collector Booster Box Cost]] + v_Item_Shipping_Cost_In) / tbl_MTG_Set[[#This Row],[Collector Booster Box Size]]</f>
        <v>#N/A</v>
      </c>
      <c r="AY372" s="10" t="str" cm="1">
        <f t="array" ref="AY3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2" s="10"/>
      <c r="BA3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2" s="17" t="e">
        <f>tbl_MTG_Set[[#This Row],[Collector Booster CardMarket Profit]]/tbl_MTG_Set[[#This Row],[Collector Booster Cost]]</f>
        <v>#N/A</v>
      </c>
      <c r="BC372" s="10"/>
      <c r="BF3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2" s="11" t="e">
        <f>tbl_MTG_Set[[#This Row],[Play Singles CardMarket Profit MTG Stocks]]/tbl_MTG_Set[[#This Row],[Play Booster Cost]]</f>
        <v>#VALUE!</v>
      </c>
      <c r="BI372" s="11" t="b">
        <f>tbl_MTG_Set[[#This Row],[Play Singles CardMarket Profit MTG Stocks]]&gt;0</f>
        <v>0</v>
      </c>
      <c r="BM372" s="10" t="e">
        <f>tbl_MTG_Set[[#This Row],[Play Booster Sell Price CardMarket]]*tbl_MTG_Set[[#This Row],[Play Booster Expected Market Value BotBox]]/tbl_MTG_Set[[#This Row],[Play Booster Sealed Market Value BotBox]]</f>
        <v>#VALUE!</v>
      </c>
      <c r="BN3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2" s="10" t="e">
        <f>tbl_MTG_Set[[#This Row],[Play Singles CardMarket Profit BotBox]]/tbl_MTG_Set[[#This Row],[Play Booster Cost]]</f>
        <v>#VALUE!</v>
      </c>
      <c r="BP372" s="10" t="b">
        <f>tbl_MTG_Set[[#This Row],[Play Singles CardMarket Profit BotBox]]&gt;0</f>
        <v>0</v>
      </c>
      <c r="BQ372" s="10"/>
      <c r="BR372" s="10"/>
      <c r="BS372" s="10"/>
      <c r="BT3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2" s="19" t="e">
        <f>tbl_MTG_Set[[#This Row],[Collector Singles CardMarket Profit MTG Stocks]]/tbl_MTG_Set[[#This Row],[Collector Booster Cost]]</f>
        <v>#N/A</v>
      </c>
      <c r="BW372" s="10" t="b">
        <f>tbl_MTG_Set[[#This Row],[Collector Singles CardMarket Profit MTG Stocks]]&gt;0</f>
        <v>0</v>
      </c>
      <c r="BX372" s="10"/>
      <c r="BY372" s="10"/>
      <c r="BZ3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2" s="10" t="e">
        <f>tbl_MTG_Set[[#This Row],[Collector Singles CardMarket Profit BotBox]]/tbl_MTG_Set[[#This Row],[Collector Booster Cost]]</f>
        <v>#N/A</v>
      </c>
      <c r="CC372" s="10" t="b">
        <f>tbl_MTG_Set[[#This Row],[Collector Singles CardMarket Profit BotBox]]&gt;0</f>
        <v>0</v>
      </c>
      <c r="CD3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3" spans="1:86" hidden="1">
      <c r="A373">
        <v>401</v>
      </c>
      <c r="B373" t="s">
        <v>546</v>
      </c>
      <c r="C373">
        <v>322</v>
      </c>
      <c r="D373" s="3">
        <v>43938</v>
      </c>
      <c r="F373" t="s">
        <v>174</v>
      </c>
      <c r="G373">
        <v>748</v>
      </c>
      <c r="H373">
        <f ca="1">MONTH(NOW())+12*YEAR(NOW())-MONTH(tbl_MTG_Set[[#This Row],[Released On]])-12*YEAR(tbl_MTG_Set[[#This Row],[Released On]])</f>
        <v>71</v>
      </c>
      <c r="I373" t="str">
        <f>_xlfn.XLOOKUP(tbl_MTG_Set[[#This Row],[Type Name]], tbl_MTG_Set_Type[Set Type], tbl_MTG_Set_Type[Index], "(Set Type not found)")</f>
        <v>(Set Type not found)</v>
      </c>
      <c r="J373" t="str">
        <f>_xlfn.XLOOKUP(tbl_MTG_Set[[#This Row],[Type Name]], tbl_MTG_Set_Type[Set Type], tbl_MTG_Set_Type[Buy Window Month Start], "(Set Type not found)")</f>
        <v>(Set Type not found)</v>
      </c>
      <c r="K373" s="3" t="e">
        <f>tbl_MTG_Set[[#This Row],[Released On]]+tbl_MTG_Set[[#This Row],[Buy Window Month Start]]*365.25/12</f>
        <v>#VALUE!</v>
      </c>
      <c r="L373" t="str">
        <f>_xlfn.XLOOKUP(tbl_MTG_Set[[#This Row],[Type Name]], tbl_MTG_Set_Type[Set Type], tbl_MTG_Set_Type[Buy Window Month End], "(Set Type not found)", 0, 1)</f>
        <v>(Set Type not found)</v>
      </c>
      <c r="M373" s="3" t="e">
        <f>tbl_MTG_Set[[#This Row],[Released On]]+tbl_MTG_Set[[#This Row],[Buy Window Month End]]*365.25/12</f>
        <v>#VALUE!</v>
      </c>
      <c r="N373" s="3" t="e">
        <f ca="1">AND(NOW()&gt;=tbl_MTG_Set[[#This Row],[Buy Window Start]], NOW()&lt;=tbl_MTG_Set[[#This Row],[Buy Window End]])</f>
        <v>#VALUE!</v>
      </c>
      <c r="O373" t="str">
        <f>_xlfn.XLOOKUP(tbl_MTG_Set[[#This Row],[Type Name]], tbl_MTG_Set_Type[Set Type], tbl_MTG_Set_Type[Heavy Printing Window Month Start], "(Set Type not found)", 0, 1)</f>
        <v>(Set Type not found)</v>
      </c>
      <c r="P373" s="3" t="e">
        <f>tbl_MTG_Set[[#This Row],[Released On]]+tbl_MTG_Set[[#This Row],[Heavy Printing Window Month Start]]*365.25/12</f>
        <v>#VALUE!</v>
      </c>
      <c r="Q373" t="str">
        <f>_xlfn.XLOOKUP(tbl_MTG_Set[[#This Row],[Type Name]], tbl_MTG_Set_Type[Set Type], tbl_MTG_Set_Type[Heavy Printing Window Month End], "(Set Type not found)", 0, 1)</f>
        <v>(Set Type not found)</v>
      </c>
      <c r="R373" s="3" t="e">
        <f>tbl_MTG_Set[[#This Row],[Released On]]+tbl_MTG_Set[[#This Row],[Heavy Printing Window Month End]]*365.25/12</f>
        <v>#VALUE!</v>
      </c>
      <c r="S373" s="3" t="e">
        <f ca="1">AND(NOW()&gt;=tbl_MTG_Set[[#This Row],[Heavy Printing Window Start]], NOW()&lt;=tbl_MTG_Set[[#This Row],[Heavy Printing Window End]])</f>
        <v>#VALUE!</v>
      </c>
      <c r="T373" t="str">
        <f>_xlfn.XLOOKUP(tbl_MTG_Set[[#This Row],[Type Name]], tbl_MTG_Set_Type[Set Type], tbl_MTG_Set_Type[Sell Window Month Start], "(Set Type not found)", 0, 1)</f>
        <v>(Set Type not found)</v>
      </c>
      <c r="U373" s="3" t="e">
        <f>tbl_MTG_Set[[#This Row],[Released On]]+tbl_MTG_Set[[#This Row],[Sell Window Month Start]]*365.25/12</f>
        <v>#VALUE!</v>
      </c>
      <c r="V373" t="str">
        <f>_xlfn.XLOOKUP(tbl_MTG_Set[[#This Row],[Type Name]], tbl_MTG_Set_Type[Set Type], tbl_MTG_Set_Type[Sell Window Month End], "(Set Type not found)", 0, 1)</f>
        <v>(Set Type not found)</v>
      </c>
      <c r="W373" s="3" t="e">
        <f>tbl_MTG_Set[[#This Row],[Released On]]+tbl_MTG_Set[[#This Row],[Sell Window Month End]]*365.25/12</f>
        <v>#VALUE!</v>
      </c>
      <c r="X373" s="3" t="e">
        <f ca="1">AND(NOW()&gt;=tbl_MTG_Set[[#This Row],[Sell Window Start]], NOW()&lt;=tbl_MTG_Set[[#This Row],[Sell Window End]])</f>
        <v>#VALUE!</v>
      </c>
      <c r="AG373" s="10"/>
      <c r="AH373" s="10"/>
      <c r="AM373" s="10" t="str" cm="1">
        <f t="array" ref="AM3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3" s="10" t="str" cm="1">
        <f t="array" ref="AN3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3" s="4" t="e">
        <f>_xlfn.XLOOKUP(tbl_MTG_Set[[#This Row],[Play Booster Box Product Id]], tbl_Product[Product Id], tbl_Product[Pack Size])</f>
        <v>#N/A</v>
      </c>
      <c r="AP373" s="10" t="e">
        <f>(tbl_MTG_Set[[#This Row],[Play Booster Box Cost]]+v_Item_Shipping_Cost_In)/tbl_MTG_Set[[#This Row],[Play Booster Box Size]]</f>
        <v>#VALUE!</v>
      </c>
      <c r="AQ373" s="10" t="str" cm="1">
        <f t="array" ref="AQ3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3" s="10"/>
      <c r="AS373" s="10"/>
      <c r="AT373" s="17" t="e">
        <f>tbl_MTG_Set[[#This Row],[Play Booster CardMarket Profit]]/tbl_MTG_Set[[#This Row],[Play Booster Cost]]</f>
        <v>#VALUE!</v>
      </c>
      <c r="AU373" s="10" t="e">
        <f>_xlfn.XLOOKUP(tbl_MTG_Set[[#This Row],[Collector Booster Box Product Id]], tbl_Product[Product Id], tbl_Product[Min Cost])</f>
        <v>#N/A</v>
      </c>
      <c r="AV373" s="10" t="e">
        <f>_xlfn.XLOOKUP(tbl_MTG_Set[[#This Row],[Collector Booster Box Product Id]], tbl_Product[Product Id], tbl_Product[Best Source])</f>
        <v>#N/A</v>
      </c>
      <c r="AW373" s="4" t="e">
        <f>_xlfn.XLOOKUP(tbl_MTG_Set[[#This Row],[Collector Booster Box Product Id]], tbl_Product[Product Id], tbl_Product[Pack Size])</f>
        <v>#N/A</v>
      </c>
      <c r="AX373" s="10" t="e">
        <f>(tbl_MTG_Set[[#This Row],[Collector Booster Box Cost]] + v_Item_Shipping_Cost_In) / tbl_MTG_Set[[#This Row],[Collector Booster Box Size]]</f>
        <v>#N/A</v>
      </c>
      <c r="AY373" s="10" t="str" cm="1">
        <f t="array" ref="AY3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3" s="10"/>
      <c r="BA3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3" s="17" t="e">
        <f>tbl_MTG_Set[[#This Row],[Collector Booster CardMarket Profit]]/tbl_MTG_Set[[#This Row],[Collector Booster Cost]]</f>
        <v>#N/A</v>
      </c>
      <c r="BC373" s="10"/>
      <c r="BF3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3" s="11" t="e">
        <f>tbl_MTG_Set[[#This Row],[Play Singles CardMarket Profit MTG Stocks]]/tbl_MTG_Set[[#This Row],[Play Booster Cost]]</f>
        <v>#VALUE!</v>
      </c>
      <c r="BI373" s="11" t="b">
        <f>tbl_MTG_Set[[#This Row],[Play Singles CardMarket Profit MTG Stocks]]&gt;0</f>
        <v>0</v>
      </c>
      <c r="BM373" s="10" t="e">
        <f>tbl_MTG_Set[[#This Row],[Play Booster Sell Price CardMarket]]*tbl_MTG_Set[[#This Row],[Play Booster Expected Market Value BotBox]]/tbl_MTG_Set[[#This Row],[Play Booster Sealed Market Value BotBox]]</f>
        <v>#VALUE!</v>
      </c>
      <c r="BN3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3" s="10" t="e">
        <f>tbl_MTG_Set[[#This Row],[Play Singles CardMarket Profit BotBox]]/tbl_MTG_Set[[#This Row],[Play Booster Cost]]</f>
        <v>#VALUE!</v>
      </c>
      <c r="BP373" s="10" t="b">
        <f>tbl_MTG_Set[[#This Row],[Play Singles CardMarket Profit BotBox]]&gt;0</f>
        <v>0</v>
      </c>
      <c r="BQ373" s="10"/>
      <c r="BR373" s="10"/>
      <c r="BS373" s="10"/>
      <c r="BT3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3" s="19" t="e">
        <f>tbl_MTG_Set[[#This Row],[Collector Singles CardMarket Profit MTG Stocks]]/tbl_MTG_Set[[#This Row],[Collector Booster Cost]]</f>
        <v>#N/A</v>
      </c>
      <c r="BW373" s="10" t="b">
        <f>tbl_MTG_Set[[#This Row],[Collector Singles CardMarket Profit MTG Stocks]]&gt;0</f>
        <v>0</v>
      </c>
      <c r="BX373" s="10"/>
      <c r="BY373" s="10"/>
      <c r="BZ3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3" s="10" t="e">
        <f>tbl_MTG_Set[[#This Row],[Collector Singles CardMarket Profit BotBox]]/tbl_MTG_Set[[#This Row],[Collector Booster Cost]]</f>
        <v>#N/A</v>
      </c>
      <c r="CC373" s="10" t="b">
        <f>tbl_MTG_Set[[#This Row],[Collector Singles CardMarket Profit BotBox]]&gt;0</f>
        <v>0</v>
      </c>
      <c r="CD3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4" spans="1:86" hidden="1">
      <c r="A374">
        <v>402</v>
      </c>
      <c r="B374" t="s">
        <v>547</v>
      </c>
      <c r="C374">
        <v>20</v>
      </c>
      <c r="D374" s="3">
        <v>43938</v>
      </c>
      <c r="F374" t="s">
        <v>174</v>
      </c>
      <c r="G374">
        <v>750</v>
      </c>
      <c r="H374">
        <f ca="1">MONTH(NOW())+12*YEAR(NOW())-MONTH(tbl_MTG_Set[[#This Row],[Released On]])-12*YEAR(tbl_MTG_Set[[#This Row],[Released On]])</f>
        <v>71</v>
      </c>
      <c r="I374" t="str">
        <f>_xlfn.XLOOKUP(tbl_MTG_Set[[#This Row],[Type Name]], tbl_MTG_Set_Type[Set Type], tbl_MTG_Set_Type[Index], "(Set Type not found)")</f>
        <v>(Set Type not found)</v>
      </c>
      <c r="J374" t="str">
        <f>_xlfn.XLOOKUP(tbl_MTG_Set[[#This Row],[Type Name]], tbl_MTG_Set_Type[Set Type], tbl_MTG_Set_Type[Buy Window Month Start], "(Set Type not found)")</f>
        <v>(Set Type not found)</v>
      </c>
      <c r="K374" s="3" t="e">
        <f>tbl_MTG_Set[[#This Row],[Released On]]+tbl_MTG_Set[[#This Row],[Buy Window Month Start]]*365.25/12</f>
        <v>#VALUE!</v>
      </c>
      <c r="L374" t="str">
        <f>_xlfn.XLOOKUP(tbl_MTG_Set[[#This Row],[Type Name]], tbl_MTG_Set_Type[Set Type], tbl_MTG_Set_Type[Buy Window Month End], "(Set Type not found)", 0, 1)</f>
        <v>(Set Type not found)</v>
      </c>
      <c r="M374" s="3" t="e">
        <f>tbl_MTG_Set[[#This Row],[Released On]]+tbl_MTG_Set[[#This Row],[Buy Window Month End]]*365.25/12</f>
        <v>#VALUE!</v>
      </c>
      <c r="N374" s="3" t="e">
        <f ca="1">AND(NOW()&gt;=tbl_MTG_Set[[#This Row],[Buy Window Start]], NOW()&lt;=tbl_MTG_Set[[#This Row],[Buy Window End]])</f>
        <v>#VALUE!</v>
      </c>
      <c r="O374" t="str">
        <f>_xlfn.XLOOKUP(tbl_MTG_Set[[#This Row],[Type Name]], tbl_MTG_Set_Type[Set Type], tbl_MTG_Set_Type[Heavy Printing Window Month Start], "(Set Type not found)", 0, 1)</f>
        <v>(Set Type not found)</v>
      </c>
      <c r="P374" s="3" t="e">
        <f>tbl_MTG_Set[[#This Row],[Released On]]+tbl_MTG_Set[[#This Row],[Heavy Printing Window Month Start]]*365.25/12</f>
        <v>#VALUE!</v>
      </c>
      <c r="Q374" t="str">
        <f>_xlfn.XLOOKUP(tbl_MTG_Set[[#This Row],[Type Name]], tbl_MTG_Set_Type[Set Type], tbl_MTG_Set_Type[Heavy Printing Window Month End], "(Set Type not found)", 0, 1)</f>
        <v>(Set Type not found)</v>
      </c>
      <c r="R374" s="3" t="e">
        <f>tbl_MTG_Set[[#This Row],[Released On]]+tbl_MTG_Set[[#This Row],[Heavy Printing Window Month End]]*365.25/12</f>
        <v>#VALUE!</v>
      </c>
      <c r="S374" s="3" t="e">
        <f ca="1">AND(NOW()&gt;=tbl_MTG_Set[[#This Row],[Heavy Printing Window Start]], NOW()&lt;=tbl_MTG_Set[[#This Row],[Heavy Printing Window End]])</f>
        <v>#VALUE!</v>
      </c>
      <c r="T374" t="str">
        <f>_xlfn.XLOOKUP(tbl_MTG_Set[[#This Row],[Type Name]], tbl_MTG_Set_Type[Set Type], tbl_MTG_Set_Type[Sell Window Month Start], "(Set Type not found)", 0, 1)</f>
        <v>(Set Type not found)</v>
      </c>
      <c r="U374" s="3" t="e">
        <f>tbl_MTG_Set[[#This Row],[Released On]]+tbl_MTG_Set[[#This Row],[Sell Window Month Start]]*365.25/12</f>
        <v>#VALUE!</v>
      </c>
      <c r="V374" t="str">
        <f>_xlfn.XLOOKUP(tbl_MTG_Set[[#This Row],[Type Name]], tbl_MTG_Set_Type[Set Type], tbl_MTG_Set_Type[Sell Window Month End], "(Set Type not found)", 0, 1)</f>
        <v>(Set Type not found)</v>
      </c>
      <c r="W374" s="3" t="e">
        <f>tbl_MTG_Set[[#This Row],[Released On]]+tbl_MTG_Set[[#This Row],[Sell Window Month End]]*365.25/12</f>
        <v>#VALUE!</v>
      </c>
      <c r="X374" s="3" t="e">
        <f ca="1">AND(NOW()&gt;=tbl_MTG_Set[[#This Row],[Sell Window Start]], NOW()&lt;=tbl_MTG_Set[[#This Row],[Sell Window End]])</f>
        <v>#VALUE!</v>
      </c>
      <c r="AG374" s="10"/>
      <c r="AH374" s="10"/>
      <c r="AM374" s="10" t="str" cm="1">
        <f t="array" ref="AM3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4" s="10" t="str" cm="1">
        <f t="array" ref="AN3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4" s="4" t="e">
        <f>_xlfn.XLOOKUP(tbl_MTG_Set[[#This Row],[Play Booster Box Product Id]], tbl_Product[Product Id], tbl_Product[Pack Size])</f>
        <v>#N/A</v>
      </c>
      <c r="AP374" s="10" t="e">
        <f>(tbl_MTG_Set[[#This Row],[Play Booster Box Cost]]+v_Item_Shipping_Cost_In)/tbl_MTG_Set[[#This Row],[Play Booster Box Size]]</f>
        <v>#VALUE!</v>
      </c>
      <c r="AQ374" s="10" t="str" cm="1">
        <f t="array" ref="AQ3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4" s="10"/>
      <c r="AS374" s="10"/>
      <c r="AT374" s="17" t="e">
        <f>tbl_MTG_Set[[#This Row],[Play Booster CardMarket Profit]]/tbl_MTG_Set[[#This Row],[Play Booster Cost]]</f>
        <v>#VALUE!</v>
      </c>
      <c r="AU374" s="10" t="e">
        <f>_xlfn.XLOOKUP(tbl_MTG_Set[[#This Row],[Collector Booster Box Product Id]], tbl_Product[Product Id], tbl_Product[Min Cost])</f>
        <v>#N/A</v>
      </c>
      <c r="AV374" s="10" t="e">
        <f>_xlfn.XLOOKUP(tbl_MTG_Set[[#This Row],[Collector Booster Box Product Id]], tbl_Product[Product Id], tbl_Product[Best Source])</f>
        <v>#N/A</v>
      </c>
      <c r="AW374" s="4" t="e">
        <f>_xlfn.XLOOKUP(tbl_MTG_Set[[#This Row],[Collector Booster Box Product Id]], tbl_Product[Product Id], tbl_Product[Pack Size])</f>
        <v>#N/A</v>
      </c>
      <c r="AX374" s="10" t="e">
        <f>(tbl_MTG_Set[[#This Row],[Collector Booster Box Cost]] + v_Item_Shipping_Cost_In) / tbl_MTG_Set[[#This Row],[Collector Booster Box Size]]</f>
        <v>#N/A</v>
      </c>
      <c r="AY374" s="10" t="str" cm="1">
        <f t="array" ref="AY3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4" s="10"/>
      <c r="BA3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4" s="17" t="e">
        <f>tbl_MTG_Set[[#This Row],[Collector Booster CardMarket Profit]]/tbl_MTG_Set[[#This Row],[Collector Booster Cost]]</f>
        <v>#N/A</v>
      </c>
      <c r="BC374" s="10"/>
      <c r="BF3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4" s="11" t="e">
        <f>tbl_MTG_Set[[#This Row],[Play Singles CardMarket Profit MTG Stocks]]/tbl_MTG_Set[[#This Row],[Play Booster Cost]]</f>
        <v>#VALUE!</v>
      </c>
      <c r="BI374" s="11" t="b">
        <f>tbl_MTG_Set[[#This Row],[Play Singles CardMarket Profit MTG Stocks]]&gt;0</f>
        <v>0</v>
      </c>
      <c r="BM374" s="10" t="e">
        <f>tbl_MTG_Set[[#This Row],[Play Booster Sell Price CardMarket]]*tbl_MTG_Set[[#This Row],[Play Booster Expected Market Value BotBox]]/tbl_MTG_Set[[#This Row],[Play Booster Sealed Market Value BotBox]]</f>
        <v>#VALUE!</v>
      </c>
      <c r="BN3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4" s="10" t="e">
        <f>tbl_MTG_Set[[#This Row],[Play Singles CardMarket Profit BotBox]]/tbl_MTG_Set[[#This Row],[Play Booster Cost]]</f>
        <v>#VALUE!</v>
      </c>
      <c r="BP374" s="10" t="b">
        <f>tbl_MTG_Set[[#This Row],[Play Singles CardMarket Profit BotBox]]&gt;0</f>
        <v>0</v>
      </c>
      <c r="BQ374" s="10"/>
      <c r="BR374" s="10"/>
      <c r="BS374" s="10"/>
      <c r="BT3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4" s="19" t="e">
        <f>tbl_MTG_Set[[#This Row],[Collector Singles CardMarket Profit MTG Stocks]]/tbl_MTG_Set[[#This Row],[Collector Booster Cost]]</f>
        <v>#N/A</v>
      </c>
      <c r="BW374" s="10" t="b">
        <f>tbl_MTG_Set[[#This Row],[Collector Singles CardMarket Profit MTG Stocks]]&gt;0</f>
        <v>0</v>
      </c>
      <c r="BX374" s="10"/>
      <c r="BY374" s="10"/>
      <c r="BZ3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4" s="10" t="e">
        <f>tbl_MTG_Set[[#This Row],[Collector Singles CardMarket Profit BotBox]]/tbl_MTG_Set[[#This Row],[Collector Booster Cost]]</f>
        <v>#N/A</v>
      </c>
      <c r="CC374" s="10" t="b">
        <f>tbl_MTG_Set[[#This Row],[Collector Singles CardMarket Profit BotBox]]&gt;0</f>
        <v>0</v>
      </c>
      <c r="CD3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5" spans="1:86" hidden="1">
      <c r="A375">
        <v>403</v>
      </c>
      <c r="B375" t="s">
        <v>548</v>
      </c>
      <c r="C375">
        <v>5</v>
      </c>
      <c r="D375" s="3">
        <v>43938</v>
      </c>
      <c r="F375" t="s">
        <v>174</v>
      </c>
      <c r="G375">
        <v>752</v>
      </c>
      <c r="H375">
        <f ca="1">MONTH(NOW())+12*YEAR(NOW())-MONTH(tbl_MTG_Set[[#This Row],[Released On]])-12*YEAR(tbl_MTG_Set[[#This Row],[Released On]])</f>
        <v>71</v>
      </c>
      <c r="I375" t="str">
        <f>_xlfn.XLOOKUP(tbl_MTG_Set[[#This Row],[Type Name]], tbl_MTG_Set_Type[Set Type], tbl_MTG_Set_Type[Index], "(Set Type not found)")</f>
        <v>(Set Type not found)</v>
      </c>
      <c r="J375" t="str">
        <f>_xlfn.XLOOKUP(tbl_MTG_Set[[#This Row],[Type Name]], tbl_MTG_Set_Type[Set Type], tbl_MTG_Set_Type[Buy Window Month Start], "(Set Type not found)")</f>
        <v>(Set Type not found)</v>
      </c>
      <c r="K375" s="3" t="e">
        <f>tbl_MTG_Set[[#This Row],[Released On]]+tbl_MTG_Set[[#This Row],[Buy Window Month Start]]*365.25/12</f>
        <v>#VALUE!</v>
      </c>
      <c r="L375" t="str">
        <f>_xlfn.XLOOKUP(tbl_MTG_Set[[#This Row],[Type Name]], tbl_MTG_Set_Type[Set Type], tbl_MTG_Set_Type[Buy Window Month End], "(Set Type not found)", 0, 1)</f>
        <v>(Set Type not found)</v>
      </c>
      <c r="M375" s="3" t="e">
        <f>tbl_MTG_Set[[#This Row],[Released On]]+tbl_MTG_Set[[#This Row],[Buy Window Month End]]*365.25/12</f>
        <v>#VALUE!</v>
      </c>
      <c r="N375" s="3" t="e">
        <f ca="1">AND(NOW()&gt;=tbl_MTG_Set[[#This Row],[Buy Window Start]], NOW()&lt;=tbl_MTG_Set[[#This Row],[Buy Window End]])</f>
        <v>#VALUE!</v>
      </c>
      <c r="O375" t="str">
        <f>_xlfn.XLOOKUP(tbl_MTG_Set[[#This Row],[Type Name]], tbl_MTG_Set_Type[Set Type], tbl_MTG_Set_Type[Heavy Printing Window Month Start], "(Set Type not found)", 0, 1)</f>
        <v>(Set Type not found)</v>
      </c>
      <c r="P375" s="3" t="e">
        <f>tbl_MTG_Set[[#This Row],[Released On]]+tbl_MTG_Set[[#This Row],[Heavy Printing Window Month Start]]*365.25/12</f>
        <v>#VALUE!</v>
      </c>
      <c r="Q375" t="str">
        <f>_xlfn.XLOOKUP(tbl_MTG_Set[[#This Row],[Type Name]], tbl_MTG_Set_Type[Set Type], tbl_MTG_Set_Type[Heavy Printing Window Month End], "(Set Type not found)", 0, 1)</f>
        <v>(Set Type not found)</v>
      </c>
      <c r="R375" s="3" t="e">
        <f>tbl_MTG_Set[[#This Row],[Released On]]+tbl_MTG_Set[[#This Row],[Heavy Printing Window Month End]]*365.25/12</f>
        <v>#VALUE!</v>
      </c>
      <c r="S375" s="3" t="e">
        <f ca="1">AND(NOW()&gt;=tbl_MTG_Set[[#This Row],[Heavy Printing Window Start]], NOW()&lt;=tbl_MTG_Set[[#This Row],[Heavy Printing Window End]])</f>
        <v>#VALUE!</v>
      </c>
      <c r="T375" t="str">
        <f>_xlfn.XLOOKUP(tbl_MTG_Set[[#This Row],[Type Name]], tbl_MTG_Set_Type[Set Type], tbl_MTG_Set_Type[Sell Window Month Start], "(Set Type not found)", 0, 1)</f>
        <v>(Set Type not found)</v>
      </c>
      <c r="U375" s="3" t="e">
        <f>tbl_MTG_Set[[#This Row],[Released On]]+tbl_MTG_Set[[#This Row],[Sell Window Month Start]]*365.25/12</f>
        <v>#VALUE!</v>
      </c>
      <c r="V375" t="str">
        <f>_xlfn.XLOOKUP(tbl_MTG_Set[[#This Row],[Type Name]], tbl_MTG_Set_Type[Set Type], tbl_MTG_Set_Type[Sell Window Month End], "(Set Type not found)", 0, 1)</f>
        <v>(Set Type not found)</v>
      </c>
      <c r="W375" s="3" t="e">
        <f>tbl_MTG_Set[[#This Row],[Released On]]+tbl_MTG_Set[[#This Row],[Sell Window Month End]]*365.25/12</f>
        <v>#VALUE!</v>
      </c>
      <c r="X375" s="3" t="e">
        <f ca="1">AND(NOW()&gt;=tbl_MTG_Set[[#This Row],[Sell Window Start]], NOW()&lt;=tbl_MTG_Set[[#This Row],[Sell Window End]])</f>
        <v>#VALUE!</v>
      </c>
      <c r="AG375" s="10"/>
      <c r="AH375" s="10"/>
      <c r="AM375" s="10" t="str" cm="1">
        <f t="array" ref="AM3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5" s="10" t="str" cm="1">
        <f t="array" ref="AN3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5" s="4" t="e">
        <f>_xlfn.XLOOKUP(tbl_MTG_Set[[#This Row],[Play Booster Box Product Id]], tbl_Product[Product Id], tbl_Product[Pack Size])</f>
        <v>#N/A</v>
      </c>
      <c r="AP375" s="10" t="e">
        <f>(tbl_MTG_Set[[#This Row],[Play Booster Box Cost]]+v_Item_Shipping_Cost_In)/tbl_MTG_Set[[#This Row],[Play Booster Box Size]]</f>
        <v>#VALUE!</v>
      </c>
      <c r="AQ375" s="10" t="str" cm="1">
        <f t="array" ref="AQ3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5" s="10"/>
      <c r="AS375" s="10"/>
      <c r="AT375" s="17" t="e">
        <f>tbl_MTG_Set[[#This Row],[Play Booster CardMarket Profit]]/tbl_MTG_Set[[#This Row],[Play Booster Cost]]</f>
        <v>#VALUE!</v>
      </c>
      <c r="AU375" s="10" t="e">
        <f>_xlfn.XLOOKUP(tbl_MTG_Set[[#This Row],[Collector Booster Box Product Id]], tbl_Product[Product Id], tbl_Product[Min Cost])</f>
        <v>#N/A</v>
      </c>
      <c r="AV375" s="10" t="e">
        <f>_xlfn.XLOOKUP(tbl_MTG_Set[[#This Row],[Collector Booster Box Product Id]], tbl_Product[Product Id], tbl_Product[Best Source])</f>
        <v>#N/A</v>
      </c>
      <c r="AW375" s="4" t="e">
        <f>_xlfn.XLOOKUP(tbl_MTG_Set[[#This Row],[Collector Booster Box Product Id]], tbl_Product[Product Id], tbl_Product[Pack Size])</f>
        <v>#N/A</v>
      </c>
      <c r="AX375" s="10" t="e">
        <f>(tbl_MTG_Set[[#This Row],[Collector Booster Box Cost]] + v_Item_Shipping_Cost_In) / tbl_MTG_Set[[#This Row],[Collector Booster Box Size]]</f>
        <v>#N/A</v>
      </c>
      <c r="AY375" s="10" t="str" cm="1">
        <f t="array" ref="AY3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5" s="10"/>
      <c r="BA3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5" s="17" t="e">
        <f>tbl_MTG_Set[[#This Row],[Collector Booster CardMarket Profit]]/tbl_MTG_Set[[#This Row],[Collector Booster Cost]]</f>
        <v>#N/A</v>
      </c>
      <c r="BC375" s="10"/>
      <c r="BF3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5" s="11" t="e">
        <f>tbl_MTG_Set[[#This Row],[Play Singles CardMarket Profit MTG Stocks]]/tbl_MTG_Set[[#This Row],[Play Booster Cost]]</f>
        <v>#VALUE!</v>
      </c>
      <c r="BI375" s="11" t="b">
        <f>tbl_MTG_Set[[#This Row],[Play Singles CardMarket Profit MTG Stocks]]&gt;0</f>
        <v>0</v>
      </c>
      <c r="BM375" s="10" t="e">
        <f>tbl_MTG_Set[[#This Row],[Play Booster Sell Price CardMarket]]*tbl_MTG_Set[[#This Row],[Play Booster Expected Market Value BotBox]]/tbl_MTG_Set[[#This Row],[Play Booster Sealed Market Value BotBox]]</f>
        <v>#VALUE!</v>
      </c>
      <c r="BN3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5" s="10" t="e">
        <f>tbl_MTG_Set[[#This Row],[Play Singles CardMarket Profit BotBox]]/tbl_MTG_Set[[#This Row],[Play Booster Cost]]</f>
        <v>#VALUE!</v>
      </c>
      <c r="BP375" s="10" t="b">
        <f>tbl_MTG_Set[[#This Row],[Play Singles CardMarket Profit BotBox]]&gt;0</f>
        <v>0</v>
      </c>
      <c r="BQ375" s="10"/>
      <c r="BR375" s="10"/>
      <c r="BS375" s="10"/>
      <c r="BT3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5" s="19" t="e">
        <f>tbl_MTG_Set[[#This Row],[Collector Singles CardMarket Profit MTG Stocks]]/tbl_MTG_Set[[#This Row],[Collector Booster Cost]]</f>
        <v>#N/A</v>
      </c>
      <c r="BW375" s="10" t="b">
        <f>tbl_MTG_Set[[#This Row],[Collector Singles CardMarket Profit MTG Stocks]]&gt;0</f>
        <v>0</v>
      </c>
      <c r="BX375" s="10"/>
      <c r="BY375" s="10"/>
      <c r="BZ3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5" s="10" t="e">
        <f>tbl_MTG_Set[[#This Row],[Collector Singles CardMarket Profit BotBox]]/tbl_MTG_Set[[#This Row],[Collector Booster Cost]]</f>
        <v>#N/A</v>
      </c>
      <c r="CC375" s="10" t="b">
        <f>tbl_MTG_Set[[#This Row],[Collector Singles CardMarket Profit BotBox]]&gt;0</f>
        <v>0</v>
      </c>
      <c r="CD3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6" spans="1:86" hidden="1">
      <c r="A376">
        <v>404</v>
      </c>
      <c r="B376" t="s">
        <v>549</v>
      </c>
      <c r="C376">
        <v>25</v>
      </c>
      <c r="D376" s="3">
        <v>43902</v>
      </c>
      <c r="F376" t="s">
        <v>174</v>
      </c>
      <c r="G376">
        <v>754</v>
      </c>
      <c r="H376">
        <f ca="1">MONTH(NOW())+12*YEAR(NOW())-MONTH(tbl_MTG_Set[[#This Row],[Released On]])-12*YEAR(tbl_MTG_Set[[#This Row],[Released On]])</f>
        <v>72</v>
      </c>
      <c r="I376" t="str">
        <f>_xlfn.XLOOKUP(tbl_MTG_Set[[#This Row],[Type Name]], tbl_MTG_Set_Type[Set Type], tbl_MTG_Set_Type[Index], "(Set Type not found)")</f>
        <v>(Set Type not found)</v>
      </c>
      <c r="J376" t="str">
        <f>_xlfn.XLOOKUP(tbl_MTG_Set[[#This Row],[Type Name]], tbl_MTG_Set_Type[Set Type], tbl_MTG_Set_Type[Buy Window Month Start], "(Set Type not found)")</f>
        <v>(Set Type not found)</v>
      </c>
      <c r="K376" s="3" t="e">
        <f>tbl_MTG_Set[[#This Row],[Released On]]+tbl_MTG_Set[[#This Row],[Buy Window Month Start]]*365.25/12</f>
        <v>#VALUE!</v>
      </c>
      <c r="L376" t="str">
        <f>_xlfn.XLOOKUP(tbl_MTG_Set[[#This Row],[Type Name]], tbl_MTG_Set_Type[Set Type], tbl_MTG_Set_Type[Buy Window Month End], "(Set Type not found)", 0, 1)</f>
        <v>(Set Type not found)</v>
      </c>
      <c r="M376" s="3" t="e">
        <f>tbl_MTG_Set[[#This Row],[Released On]]+tbl_MTG_Set[[#This Row],[Buy Window Month End]]*365.25/12</f>
        <v>#VALUE!</v>
      </c>
      <c r="N376" s="3" t="e">
        <f ca="1">AND(NOW()&gt;=tbl_MTG_Set[[#This Row],[Buy Window Start]], NOW()&lt;=tbl_MTG_Set[[#This Row],[Buy Window End]])</f>
        <v>#VALUE!</v>
      </c>
      <c r="O376" t="str">
        <f>_xlfn.XLOOKUP(tbl_MTG_Set[[#This Row],[Type Name]], tbl_MTG_Set_Type[Set Type], tbl_MTG_Set_Type[Heavy Printing Window Month Start], "(Set Type not found)", 0, 1)</f>
        <v>(Set Type not found)</v>
      </c>
      <c r="P376" s="3" t="e">
        <f>tbl_MTG_Set[[#This Row],[Released On]]+tbl_MTG_Set[[#This Row],[Heavy Printing Window Month Start]]*365.25/12</f>
        <v>#VALUE!</v>
      </c>
      <c r="Q376" t="str">
        <f>_xlfn.XLOOKUP(tbl_MTG_Set[[#This Row],[Type Name]], tbl_MTG_Set_Type[Set Type], tbl_MTG_Set_Type[Heavy Printing Window Month End], "(Set Type not found)", 0, 1)</f>
        <v>(Set Type not found)</v>
      </c>
      <c r="R376" s="3" t="e">
        <f>tbl_MTG_Set[[#This Row],[Released On]]+tbl_MTG_Set[[#This Row],[Heavy Printing Window Month End]]*365.25/12</f>
        <v>#VALUE!</v>
      </c>
      <c r="S376" s="3" t="e">
        <f ca="1">AND(NOW()&gt;=tbl_MTG_Set[[#This Row],[Heavy Printing Window Start]], NOW()&lt;=tbl_MTG_Set[[#This Row],[Heavy Printing Window End]])</f>
        <v>#VALUE!</v>
      </c>
      <c r="T376" t="str">
        <f>_xlfn.XLOOKUP(tbl_MTG_Set[[#This Row],[Type Name]], tbl_MTG_Set_Type[Set Type], tbl_MTG_Set_Type[Sell Window Month Start], "(Set Type not found)", 0, 1)</f>
        <v>(Set Type not found)</v>
      </c>
      <c r="U376" s="3" t="e">
        <f>tbl_MTG_Set[[#This Row],[Released On]]+tbl_MTG_Set[[#This Row],[Sell Window Month Start]]*365.25/12</f>
        <v>#VALUE!</v>
      </c>
      <c r="V376" t="str">
        <f>_xlfn.XLOOKUP(tbl_MTG_Set[[#This Row],[Type Name]], tbl_MTG_Set_Type[Set Type], tbl_MTG_Set_Type[Sell Window Month End], "(Set Type not found)", 0, 1)</f>
        <v>(Set Type not found)</v>
      </c>
      <c r="W376" s="3" t="e">
        <f>tbl_MTG_Set[[#This Row],[Released On]]+tbl_MTG_Set[[#This Row],[Sell Window Month End]]*365.25/12</f>
        <v>#VALUE!</v>
      </c>
      <c r="X376" s="3" t="e">
        <f ca="1">AND(NOW()&gt;=tbl_MTG_Set[[#This Row],[Sell Window Start]], NOW()&lt;=tbl_MTG_Set[[#This Row],[Sell Window End]])</f>
        <v>#VALUE!</v>
      </c>
      <c r="AG376" s="10"/>
      <c r="AH376" s="10"/>
      <c r="AM376" s="10" t="str" cm="1">
        <f t="array" ref="AM3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6" s="10" t="str" cm="1">
        <f t="array" ref="AN3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6" s="4" t="e">
        <f>_xlfn.XLOOKUP(tbl_MTG_Set[[#This Row],[Play Booster Box Product Id]], tbl_Product[Product Id], tbl_Product[Pack Size])</f>
        <v>#N/A</v>
      </c>
      <c r="AP376" s="10" t="e">
        <f>(tbl_MTG_Set[[#This Row],[Play Booster Box Cost]]+v_Item_Shipping_Cost_In)/tbl_MTG_Set[[#This Row],[Play Booster Box Size]]</f>
        <v>#VALUE!</v>
      </c>
      <c r="AQ376" s="10" t="str" cm="1">
        <f t="array" ref="AQ3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6" s="10"/>
      <c r="AS376" s="10"/>
      <c r="AT376" s="17" t="e">
        <f>tbl_MTG_Set[[#This Row],[Play Booster CardMarket Profit]]/tbl_MTG_Set[[#This Row],[Play Booster Cost]]</f>
        <v>#VALUE!</v>
      </c>
      <c r="AU376" s="10" t="e">
        <f>_xlfn.XLOOKUP(tbl_MTG_Set[[#This Row],[Collector Booster Box Product Id]], tbl_Product[Product Id], tbl_Product[Min Cost])</f>
        <v>#N/A</v>
      </c>
      <c r="AV376" s="10" t="e">
        <f>_xlfn.XLOOKUP(tbl_MTG_Set[[#This Row],[Collector Booster Box Product Id]], tbl_Product[Product Id], tbl_Product[Best Source])</f>
        <v>#N/A</v>
      </c>
      <c r="AW376" s="4" t="e">
        <f>_xlfn.XLOOKUP(tbl_MTG_Set[[#This Row],[Collector Booster Box Product Id]], tbl_Product[Product Id], tbl_Product[Pack Size])</f>
        <v>#N/A</v>
      </c>
      <c r="AX376" s="10" t="e">
        <f>(tbl_MTG_Set[[#This Row],[Collector Booster Box Cost]] + v_Item_Shipping_Cost_In) / tbl_MTG_Set[[#This Row],[Collector Booster Box Size]]</f>
        <v>#N/A</v>
      </c>
      <c r="AY376" s="10" t="str" cm="1">
        <f t="array" ref="AY3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6" s="10"/>
      <c r="BA3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6" s="17" t="e">
        <f>tbl_MTG_Set[[#This Row],[Collector Booster CardMarket Profit]]/tbl_MTG_Set[[#This Row],[Collector Booster Cost]]</f>
        <v>#N/A</v>
      </c>
      <c r="BC376" s="10"/>
      <c r="BF3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6" s="11" t="e">
        <f>tbl_MTG_Set[[#This Row],[Play Singles CardMarket Profit MTG Stocks]]/tbl_MTG_Set[[#This Row],[Play Booster Cost]]</f>
        <v>#VALUE!</v>
      </c>
      <c r="BI376" s="11" t="b">
        <f>tbl_MTG_Set[[#This Row],[Play Singles CardMarket Profit MTG Stocks]]&gt;0</f>
        <v>0</v>
      </c>
      <c r="BM376" s="10" t="e">
        <f>tbl_MTG_Set[[#This Row],[Play Booster Sell Price CardMarket]]*tbl_MTG_Set[[#This Row],[Play Booster Expected Market Value BotBox]]/tbl_MTG_Set[[#This Row],[Play Booster Sealed Market Value BotBox]]</f>
        <v>#VALUE!</v>
      </c>
      <c r="BN3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6" s="10" t="e">
        <f>tbl_MTG_Set[[#This Row],[Play Singles CardMarket Profit BotBox]]/tbl_MTG_Set[[#This Row],[Play Booster Cost]]</f>
        <v>#VALUE!</v>
      </c>
      <c r="BP376" s="10" t="b">
        <f>tbl_MTG_Set[[#This Row],[Play Singles CardMarket Profit BotBox]]&gt;0</f>
        <v>0</v>
      </c>
      <c r="BQ376" s="10"/>
      <c r="BR376" s="10"/>
      <c r="BS376" s="10"/>
      <c r="BT3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6" s="19" t="e">
        <f>tbl_MTG_Set[[#This Row],[Collector Singles CardMarket Profit MTG Stocks]]/tbl_MTG_Set[[#This Row],[Collector Booster Cost]]</f>
        <v>#N/A</v>
      </c>
      <c r="BW376" s="10" t="b">
        <f>tbl_MTG_Set[[#This Row],[Collector Singles CardMarket Profit MTG Stocks]]&gt;0</f>
        <v>0</v>
      </c>
      <c r="BX376" s="10"/>
      <c r="BY376" s="10"/>
      <c r="BZ3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6" s="10" t="e">
        <f>tbl_MTG_Set[[#This Row],[Collector Singles CardMarket Profit BotBox]]/tbl_MTG_Set[[#This Row],[Collector Booster Cost]]</f>
        <v>#N/A</v>
      </c>
      <c r="CC376" s="10" t="b">
        <f>tbl_MTG_Set[[#This Row],[Collector Singles CardMarket Profit BotBox]]&gt;0</f>
        <v>0</v>
      </c>
      <c r="CD3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7" spans="1:86" hidden="1">
      <c r="A377">
        <v>405</v>
      </c>
      <c r="B377" t="s">
        <v>550</v>
      </c>
      <c r="C377">
        <v>96</v>
      </c>
      <c r="D377" s="3">
        <v>43890</v>
      </c>
      <c r="F377" t="s">
        <v>174</v>
      </c>
      <c r="G377">
        <v>756</v>
      </c>
      <c r="H377">
        <f ca="1">MONTH(NOW())+12*YEAR(NOW())-MONTH(tbl_MTG_Set[[#This Row],[Released On]])-12*YEAR(tbl_MTG_Set[[#This Row],[Released On]])</f>
        <v>73</v>
      </c>
      <c r="I377" t="str">
        <f>_xlfn.XLOOKUP(tbl_MTG_Set[[#This Row],[Type Name]], tbl_MTG_Set_Type[Set Type], tbl_MTG_Set_Type[Index], "(Set Type not found)")</f>
        <v>(Set Type not found)</v>
      </c>
      <c r="J377" t="str">
        <f>_xlfn.XLOOKUP(tbl_MTG_Set[[#This Row],[Type Name]], tbl_MTG_Set_Type[Set Type], tbl_MTG_Set_Type[Buy Window Month Start], "(Set Type not found)")</f>
        <v>(Set Type not found)</v>
      </c>
      <c r="K377" s="3" t="e">
        <f>tbl_MTG_Set[[#This Row],[Released On]]+tbl_MTG_Set[[#This Row],[Buy Window Month Start]]*365.25/12</f>
        <v>#VALUE!</v>
      </c>
      <c r="L377" t="str">
        <f>_xlfn.XLOOKUP(tbl_MTG_Set[[#This Row],[Type Name]], tbl_MTG_Set_Type[Set Type], tbl_MTG_Set_Type[Buy Window Month End], "(Set Type not found)", 0, 1)</f>
        <v>(Set Type not found)</v>
      </c>
      <c r="M377" s="3" t="e">
        <f>tbl_MTG_Set[[#This Row],[Released On]]+tbl_MTG_Set[[#This Row],[Buy Window Month End]]*365.25/12</f>
        <v>#VALUE!</v>
      </c>
      <c r="N377" s="3" t="e">
        <f ca="1">AND(NOW()&gt;=tbl_MTG_Set[[#This Row],[Buy Window Start]], NOW()&lt;=tbl_MTG_Set[[#This Row],[Buy Window End]])</f>
        <v>#VALUE!</v>
      </c>
      <c r="O377" t="str">
        <f>_xlfn.XLOOKUP(tbl_MTG_Set[[#This Row],[Type Name]], tbl_MTG_Set_Type[Set Type], tbl_MTG_Set_Type[Heavy Printing Window Month Start], "(Set Type not found)", 0, 1)</f>
        <v>(Set Type not found)</v>
      </c>
      <c r="P377" s="3" t="e">
        <f>tbl_MTG_Set[[#This Row],[Released On]]+tbl_MTG_Set[[#This Row],[Heavy Printing Window Month Start]]*365.25/12</f>
        <v>#VALUE!</v>
      </c>
      <c r="Q377" t="str">
        <f>_xlfn.XLOOKUP(tbl_MTG_Set[[#This Row],[Type Name]], tbl_MTG_Set_Type[Set Type], tbl_MTG_Set_Type[Heavy Printing Window Month End], "(Set Type not found)", 0, 1)</f>
        <v>(Set Type not found)</v>
      </c>
      <c r="R377" s="3" t="e">
        <f>tbl_MTG_Set[[#This Row],[Released On]]+tbl_MTG_Set[[#This Row],[Heavy Printing Window Month End]]*365.25/12</f>
        <v>#VALUE!</v>
      </c>
      <c r="S377" s="3" t="e">
        <f ca="1">AND(NOW()&gt;=tbl_MTG_Set[[#This Row],[Heavy Printing Window Start]], NOW()&lt;=tbl_MTG_Set[[#This Row],[Heavy Printing Window End]])</f>
        <v>#VALUE!</v>
      </c>
      <c r="T377" t="str">
        <f>_xlfn.XLOOKUP(tbl_MTG_Set[[#This Row],[Type Name]], tbl_MTG_Set_Type[Set Type], tbl_MTG_Set_Type[Sell Window Month Start], "(Set Type not found)", 0, 1)</f>
        <v>(Set Type not found)</v>
      </c>
      <c r="U377" s="3" t="e">
        <f>tbl_MTG_Set[[#This Row],[Released On]]+tbl_MTG_Set[[#This Row],[Sell Window Month Start]]*365.25/12</f>
        <v>#VALUE!</v>
      </c>
      <c r="V377" t="str">
        <f>_xlfn.XLOOKUP(tbl_MTG_Set[[#This Row],[Type Name]], tbl_MTG_Set_Type[Set Type], tbl_MTG_Set_Type[Sell Window Month End], "(Set Type not found)", 0, 1)</f>
        <v>(Set Type not found)</v>
      </c>
      <c r="W377" s="3" t="e">
        <f>tbl_MTG_Set[[#This Row],[Released On]]+tbl_MTG_Set[[#This Row],[Sell Window Month End]]*365.25/12</f>
        <v>#VALUE!</v>
      </c>
      <c r="X377" s="3" t="e">
        <f ca="1">AND(NOW()&gt;=tbl_MTG_Set[[#This Row],[Sell Window Start]], NOW()&lt;=tbl_MTG_Set[[#This Row],[Sell Window End]])</f>
        <v>#VALUE!</v>
      </c>
      <c r="AG377" s="10"/>
      <c r="AH377" s="10"/>
      <c r="AM377" s="10" t="str" cm="1">
        <f t="array" ref="AM3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7" s="10" t="str" cm="1">
        <f t="array" ref="AN3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7" s="4" t="e">
        <f>_xlfn.XLOOKUP(tbl_MTG_Set[[#This Row],[Play Booster Box Product Id]], tbl_Product[Product Id], tbl_Product[Pack Size])</f>
        <v>#N/A</v>
      </c>
      <c r="AP377" s="10" t="e">
        <f>(tbl_MTG_Set[[#This Row],[Play Booster Box Cost]]+v_Item_Shipping_Cost_In)/tbl_MTG_Set[[#This Row],[Play Booster Box Size]]</f>
        <v>#VALUE!</v>
      </c>
      <c r="AQ377" s="10" t="str" cm="1">
        <f t="array" ref="AQ3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7" s="10"/>
      <c r="AS377" s="10"/>
      <c r="AT377" s="17" t="e">
        <f>tbl_MTG_Set[[#This Row],[Play Booster CardMarket Profit]]/tbl_MTG_Set[[#This Row],[Play Booster Cost]]</f>
        <v>#VALUE!</v>
      </c>
      <c r="AU377" s="10" t="e">
        <f>_xlfn.XLOOKUP(tbl_MTG_Set[[#This Row],[Collector Booster Box Product Id]], tbl_Product[Product Id], tbl_Product[Min Cost])</f>
        <v>#N/A</v>
      </c>
      <c r="AV377" s="10" t="e">
        <f>_xlfn.XLOOKUP(tbl_MTG_Set[[#This Row],[Collector Booster Box Product Id]], tbl_Product[Product Id], tbl_Product[Best Source])</f>
        <v>#N/A</v>
      </c>
      <c r="AW377" s="4" t="e">
        <f>_xlfn.XLOOKUP(tbl_MTG_Set[[#This Row],[Collector Booster Box Product Id]], tbl_Product[Product Id], tbl_Product[Pack Size])</f>
        <v>#N/A</v>
      </c>
      <c r="AX377" s="10" t="e">
        <f>(tbl_MTG_Set[[#This Row],[Collector Booster Box Cost]] + v_Item_Shipping_Cost_In) / tbl_MTG_Set[[#This Row],[Collector Booster Box Size]]</f>
        <v>#N/A</v>
      </c>
      <c r="AY377" s="10" t="str" cm="1">
        <f t="array" ref="AY3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7" s="10"/>
      <c r="BA3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7" s="17" t="e">
        <f>tbl_MTG_Set[[#This Row],[Collector Booster CardMarket Profit]]/tbl_MTG_Set[[#This Row],[Collector Booster Cost]]</f>
        <v>#N/A</v>
      </c>
      <c r="BC377" s="10"/>
      <c r="BF3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7" s="11" t="e">
        <f>tbl_MTG_Set[[#This Row],[Play Singles CardMarket Profit MTG Stocks]]/tbl_MTG_Set[[#This Row],[Play Booster Cost]]</f>
        <v>#VALUE!</v>
      </c>
      <c r="BI377" s="11" t="b">
        <f>tbl_MTG_Set[[#This Row],[Play Singles CardMarket Profit MTG Stocks]]&gt;0</f>
        <v>0</v>
      </c>
      <c r="BM377" s="10" t="e">
        <f>tbl_MTG_Set[[#This Row],[Play Booster Sell Price CardMarket]]*tbl_MTG_Set[[#This Row],[Play Booster Expected Market Value BotBox]]/tbl_MTG_Set[[#This Row],[Play Booster Sealed Market Value BotBox]]</f>
        <v>#VALUE!</v>
      </c>
      <c r="BN3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7" s="10" t="e">
        <f>tbl_MTG_Set[[#This Row],[Play Singles CardMarket Profit BotBox]]/tbl_MTG_Set[[#This Row],[Play Booster Cost]]</f>
        <v>#VALUE!</v>
      </c>
      <c r="BP377" s="10" t="b">
        <f>tbl_MTG_Set[[#This Row],[Play Singles CardMarket Profit BotBox]]&gt;0</f>
        <v>0</v>
      </c>
      <c r="BQ377" s="10"/>
      <c r="BR377" s="10"/>
      <c r="BS377" s="10"/>
      <c r="BT3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7" s="19" t="e">
        <f>tbl_MTG_Set[[#This Row],[Collector Singles CardMarket Profit MTG Stocks]]/tbl_MTG_Set[[#This Row],[Collector Booster Cost]]</f>
        <v>#N/A</v>
      </c>
      <c r="BW377" s="10" t="b">
        <f>tbl_MTG_Set[[#This Row],[Collector Singles CardMarket Profit MTG Stocks]]&gt;0</f>
        <v>0</v>
      </c>
      <c r="BX377" s="10"/>
      <c r="BY377" s="10"/>
      <c r="BZ3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7" s="10" t="e">
        <f>tbl_MTG_Set[[#This Row],[Collector Singles CardMarket Profit BotBox]]/tbl_MTG_Set[[#This Row],[Collector Booster Cost]]</f>
        <v>#N/A</v>
      </c>
      <c r="CC377" s="10" t="b">
        <f>tbl_MTG_Set[[#This Row],[Collector Singles CardMarket Profit BotBox]]&gt;0</f>
        <v>0</v>
      </c>
      <c r="CD3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8" spans="1:86" hidden="1">
      <c r="A378">
        <v>406</v>
      </c>
      <c r="B378" t="s">
        <v>551</v>
      </c>
      <c r="C378">
        <v>6</v>
      </c>
      <c r="D378" s="3">
        <v>43890</v>
      </c>
      <c r="F378" t="s">
        <v>174</v>
      </c>
      <c r="G378">
        <v>758</v>
      </c>
      <c r="H378">
        <f ca="1">MONTH(NOW())+12*YEAR(NOW())-MONTH(tbl_MTG_Set[[#This Row],[Released On]])-12*YEAR(tbl_MTG_Set[[#This Row],[Released On]])</f>
        <v>73</v>
      </c>
      <c r="I378" t="str">
        <f>_xlfn.XLOOKUP(tbl_MTG_Set[[#This Row],[Type Name]], tbl_MTG_Set_Type[Set Type], tbl_MTG_Set_Type[Index], "(Set Type not found)")</f>
        <v>(Set Type not found)</v>
      </c>
      <c r="J378" t="str">
        <f>_xlfn.XLOOKUP(tbl_MTG_Set[[#This Row],[Type Name]], tbl_MTG_Set_Type[Set Type], tbl_MTG_Set_Type[Buy Window Month Start], "(Set Type not found)")</f>
        <v>(Set Type not found)</v>
      </c>
      <c r="K378" s="3" t="e">
        <f>tbl_MTG_Set[[#This Row],[Released On]]+tbl_MTG_Set[[#This Row],[Buy Window Month Start]]*365.25/12</f>
        <v>#VALUE!</v>
      </c>
      <c r="L378" t="str">
        <f>_xlfn.XLOOKUP(tbl_MTG_Set[[#This Row],[Type Name]], tbl_MTG_Set_Type[Set Type], tbl_MTG_Set_Type[Buy Window Month End], "(Set Type not found)", 0, 1)</f>
        <v>(Set Type not found)</v>
      </c>
      <c r="M378" s="3" t="e">
        <f>tbl_MTG_Set[[#This Row],[Released On]]+tbl_MTG_Set[[#This Row],[Buy Window Month End]]*365.25/12</f>
        <v>#VALUE!</v>
      </c>
      <c r="N378" s="3" t="e">
        <f ca="1">AND(NOW()&gt;=tbl_MTG_Set[[#This Row],[Buy Window Start]], NOW()&lt;=tbl_MTG_Set[[#This Row],[Buy Window End]])</f>
        <v>#VALUE!</v>
      </c>
      <c r="O378" t="str">
        <f>_xlfn.XLOOKUP(tbl_MTG_Set[[#This Row],[Type Name]], tbl_MTG_Set_Type[Set Type], tbl_MTG_Set_Type[Heavy Printing Window Month Start], "(Set Type not found)", 0, 1)</f>
        <v>(Set Type not found)</v>
      </c>
      <c r="P378" s="3" t="e">
        <f>tbl_MTG_Set[[#This Row],[Released On]]+tbl_MTG_Set[[#This Row],[Heavy Printing Window Month Start]]*365.25/12</f>
        <v>#VALUE!</v>
      </c>
      <c r="Q378" t="str">
        <f>_xlfn.XLOOKUP(tbl_MTG_Set[[#This Row],[Type Name]], tbl_MTG_Set_Type[Set Type], tbl_MTG_Set_Type[Heavy Printing Window Month End], "(Set Type not found)", 0, 1)</f>
        <v>(Set Type not found)</v>
      </c>
      <c r="R378" s="3" t="e">
        <f>tbl_MTG_Set[[#This Row],[Released On]]+tbl_MTG_Set[[#This Row],[Heavy Printing Window Month End]]*365.25/12</f>
        <v>#VALUE!</v>
      </c>
      <c r="S378" s="3" t="e">
        <f ca="1">AND(NOW()&gt;=tbl_MTG_Set[[#This Row],[Heavy Printing Window Start]], NOW()&lt;=tbl_MTG_Set[[#This Row],[Heavy Printing Window End]])</f>
        <v>#VALUE!</v>
      </c>
      <c r="T378" t="str">
        <f>_xlfn.XLOOKUP(tbl_MTG_Set[[#This Row],[Type Name]], tbl_MTG_Set_Type[Set Type], tbl_MTG_Set_Type[Sell Window Month Start], "(Set Type not found)", 0, 1)</f>
        <v>(Set Type not found)</v>
      </c>
      <c r="U378" s="3" t="e">
        <f>tbl_MTG_Set[[#This Row],[Released On]]+tbl_MTG_Set[[#This Row],[Sell Window Month Start]]*365.25/12</f>
        <v>#VALUE!</v>
      </c>
      <c r="V378" t="str">
        <f>_xlfn.XLOOKUP(tbl_MTG_Set[[#This Row],[Type Name]], tbl_MTG_Set_Type[Set Type], tbl_MTG_Set_Type[Sell Window Month End], "(Set Type not found)", 0, 1)</f>
        <v>(Set Type not found)</v>
      </c>
      <c r="W378" s="3" t="e">
        <f>tbl_MTG_Set[[#This Row],[Released On]]+tbl_MTG_Set[[#This Row],[Sell Window Month End]]*365.25/12</f>
        <v>#VALUE!</v>
      </c>
      <c r="X378" s="3" t="e">
        <f ca="1">AND(NOW()&gt;=tbl_MTG_Set[[#This Row],[Sell Window Start]], NOW()&lt;=tbl_MTG_Set[[#This Row],[Sell Window End]])</f>
        <v>#VALUE!</v>
      </c>
      <c r="AG378" s="10"/>
      <c r="AH378" s="10"/>
      <c r="AM378" s="10" t="str" cm="1">
        <f t="array" ref="AM3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8" s="10" t="str" cm="1">
        <f t="array" ref="AN3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8" s="4" t="e">
        <f>_xlfn.XLOOKUP(tbl_MTG_Set[[#This Row],[Play Booster Box Product Id]], tbl_Product[Product Id], tbl_Product[Pack Size])</f>
        <v>#N/A</v>
      </c>
      <c r="AP378" s="10" t="e">
        <f>(tbl_MTG_Set[[#This Row],[Play Booster Box Cost]]+v_Item_Shipping_Cost_In)/tbl_MTG_Set[[#This Row],[Play Booster Box Size]]</f>
        <v>#VALUE!</v>
      </c>
      <c r="AQ378" s="10" t="str" cm="1">
        <f t="array" ref="AQ3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8" s="10"/>
      <c r="AS378" s="10"/>
      <c r="AT378" s="17" t="e">
        <f>tbl_MTG_Set[[#This Row],[Play Booster CardMarket Profit]]/tbl_MTG_Set[[#This Row],[Play Booster Cost]]</f>
        <v>#VALUE!</v>
      </c>
      <c r="AU378" s="10" t="e">
        <f>_xlfn.XLOOKUP(tbl_MTG_Set[[#This Row],[Collector Booster Box Product Id]], tbl_Product[Product Id], tbl_Product[Min Cost])</f>
        <v>#N/A</v>
      </c>
      <c r="AV378" s="10" t="e">
        <f>_xlfn.XLOOKUP(tbl_MTG_Set[[#This Row],[Collector Booster Box Product Id]], tbl_Product[Product Id], tbl_Product[Best Source])</f>
        <v>#N/A</v>
      </c>
      <c r="AW378" s="4" t="e">
        <f>_xlfn.XLOOKUP(tbl_MTG_Set[[#This Row],[Collector Booster Box Product Id]], tbl_Product[Product Id], tbl_Product[Pack Size])</f>
        <v>#N/A</v>
      </c>
      <c r="AX378" s="10" t="e">
        <f>(tbl_MTG_Set[[#This Row],[Collector Booster Box Cost]] + v_Item_Shipping_Cost_In) / tbl_MTG_Set[[#This Row],[Collector Booster Box Size]]</f>
        <v>#N/A</v>
      </c>
      <c r="AY378" s="10" t="str" cm="1">
        <f t="array" ref="AY3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8" s="10"/>
      <c r="BA3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8" s="17" t="e">
        <f>tbl_MTG_Set[[#This Row],[Collector Booster CardMarket Profit]]/tbl_MTG_Set[[#This Row],[Collector Booster Cost]]</f>
        <v>#N/A</v>
      </c>
      <c r="BC378" s="10"/>
      <c r="BF3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8" s="11" t="e">
        <f>tbl_MTG_Set[[#This Row],[Play Singles CardMarket Profit MTG Stocks]]/tbl_MTG_Set[[#This Row],[Play Booster Cost]]</f>
        <v>#VALUE!</v>
      </c>
      <c r="BI378" s="11" t="b">
        <f>tbl_MTG_Set[[#This Row],[Play Singles CardMarket Profit MTG Stocks]]&gt;0</f>
        <v>0</v>
      </c>
      <c r="BM378" s="10" t="e">
        <f>tbl_MTG_Set[[#This Row],[Play Booster Sell Price CardMarket]]*tbl_MTG_Set[[#This Row],[Play Booster Expected Market Value BotBox]]/tbl_MTG_Set[[#This Row],[Play Booster Sealed Market Value BotBox]]</f>
        <v>#VALUE!</v>
      </c>
      <c r="BN3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8" s="10" t="e">
        <f>tbl_MTG_Set[[#This Row],[Play Singles CardMarket Profit BotBox]]/tbl_MTG_Set[[#This Row],[Play Booster Cost]]</f>
        <v>#VALUE!</v>
      </c>
      <c r="BP378" s="10" t="b">
        <f>tbl_MTG_Set[[#This Row],[Play Singles CardMarket Profit BotBox]]&gt;0</f>
        <v>0</v>
      </c>
      <c r="BQ378" s="10"/>
      <c r="BR378" s="10"/>
      <c r="BS378" s="10"/>
      <c r="BT3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8" s="19" t="e">
        <f>tbl_MTG_Set[[#This Row],[Collector Singles CardMarket Profit MTG Stocks]]/tbl_MTG_Set[[#This Row],[Collector Booster Cost]]</f>
        <v>#N/A</v>
      </c>
      <c r="BW378" s="10" t="b">
        <f>tbl_MTG_Set[[#This Row],[Collector Singles CardMarket Profit MTG Stocks]]&gt;0</f>
        <v>0</v>
      </c>
      <c r="BX378" s="10"/>
      <c r="BY378" s="10"/>
      <c r="BZ3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8" s="10" t="e">
        <f>tbl_MTG_Set[[#This Row],[Collector Singles CardMarket Profit BotBox]]/tbl_MTG_Set[[#This Row],[Collector Booster Cost]]</f>
        <v>#N/A</v>
      </c>
      <c r="CC378" s="10" t="b">
        <f>tbl_MTG_Set[[#This Row],[Collector Singles CardMarket Profit BotBox]]&gt;0</f>
        <v>0</v>
      </c>
      <c r="CD3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79" spans="1:86" hidden="1">
      <c r="A379">
        <v>407</v>
      </c>
      <c r="B379" t="s">
        <v>552</v>
      </c>
      <c r="C379">
        <v>358</v>
      </c>
      <c r="D379" s="3">
        <v>43854</v>
      </c>
      <c r="E379" t="s">
        <v>59</v>
      </c>
      <c r="F379" t="s">
        <v>174</v>
      </c>
      <c r="G379">
        <v>760</v>
      </c>
      <c r="H379">
        <f ca="1">MONTH(NOW())+12*YEAR(NOW())-MONTH(tbl_MTG_Set[[#This Row],[Released On]])-12*YEAR(tbl_MTG_Set[[#This Row],[Released On]])</f>
        <v>74</v>
      </c>
      <c r="I379">
        <f>_xlfn.XLOOKUP(tbl_MTG_Set[[#This Row],[Type Name]], tbl_MTG_Set_Type[Set Type], tbl_MTG_Set_Type[Index], "(Set Type not found)")</f>
        <v>1</v>
      </c>
      <c r="J379">
        <f>_xlfn.XLOOKUP(tbl_MTG_Set[[#This Row],[Type Name]], tbl_MTG_Set_Type[Set Type], tbl_MTG_Set_Type[Buy Window Month Start], "(Set Type not found)")</f>
        <v>18</v>
      </c>
      <c r="K379" s="3">
        <f>tbl_MTG_Set[[#This Row],[Released On]]+tbl_MTG_Set[[#This Row],[Buy Window Month Start]]*365.25/12</f>
        <v>44401.875</v>
      </c>
      <c r="L379">
        <f>_xlfn.XLOOKUP(tbl_MTG_Set[[#This Row],[Type Name]], tbl_MTG_Set_Type[Set Type], tbl_MTG_Set_Type[Buy Window Month End], "(Set Type not found)", 0, 1)</f>
        <v>24</v>
      </c>
      <c r="M379" s="3">
        <f>tbl_MTG_Set[[#This Row],[Released On]]+tbl_MTG_Set[[#This Row],[Buy Window Month End]]*365.25/12</f>
        <v>44584.5</v>
      </c>
      <c r="N379" s="3" t="b">
        <f ca="1">AND(NOW()&gt;=tbl_MTG_Set[[#This Row],[Buy Window Start]], NOW()&lt;=tbl_MTG_Set[[#This Row],[Buy Window End]])</f>
        <v>0</v>
      </c>
      <c r="O379">
        <f>_xlfn.XLOOKUP(tbl_MTG_Set[[#This Row],[Type Name]], tbl_MTG_Set_Type[Set Type], tbl_MTG_Set_Type[Heavy Printing Window Month Start], "(Set Type not found)", 0, 1)</f>
        <v>1</v>
      </c>
      <c r="P379" s="3">
        <f>tbl_MTG_Set[[#This Row],[Released On]]+tbl_MTG_Set[[#This Row],[Heavy Printing Window Month Start]]*365.25/12</f>
        <v>43884.4375</v>
      </c>
      <c r="Q379">
        <f>_xlfn.XLOOKUP(tbl_MTG_Set[[#This Row],[Type Name]], tbl_MTG_Set_Type[Set Type], tbl_MTG_Set_Type[Heavy Printing Window Month End], "(Set Type not found)", 0, 1)</f>
        <v>18</v>
      </c>
      <c r="R379" s="3">
        <f>tbl_MTG_Set[[#This Row],[Released On]]+tbl_MTG_Set[[#This Row],[Heavy Printing Window Month End]]*365.25/12</f>
        <v>44401.875</v>
      </c>
      <c r="S379" s="3" t="b">
        <f ca="1">AND(NOW()&gt;=tbl_MTG_Set[[#This Row],[Heavy Printing Window Start]], NOW()&lt;=tbl_MTG_Set[[#This Row],[Heavy Printing Window End]])</f>
        <v>0</v>
      </c>
      <c r="T379">
        <f>_xlfn.XLOOKUP(tbl_MTG_Set[[#This Row],[Type Name]], tbl_MTG_Set_Type[Set Type], tbl_MTG_Set_Type[Sell Window Month Start], "(Set Type not found)", 0, 1)</f>
        <v>36</v>
      </c>
      <c r="U379" s="3">
        <f>tbl_MTG_Set[[#This Row],[Released On]]+tbl_MTG_Set[[#This Row],[Sell Window Month Start]]*365.25/12</f>
        <v>44949.75</v>
      </c>
      <c r="V379">
        <f>_xlfn.XLOOKUP(tbl_MTG_Set[[#This Row],[Type Name]], tbl_MTG_Set_Type[Set Type], tbl_MTG_Set_Type[Sell Window Month End], "(Set Type not found)", 0, 1)</f>
        <v>48</v>
      </c>
      <c r="W379" s="3">
        <f>tbl_MTG_Set[[#This Row],[Released On]]+tbl_MTG_Set[[#This Row],[Sell Window Month End]]*365.25/12</f>
        <v>45315</v>
      </c>
      <c r="X379" s="3" t="b">
        <f ca="1">AND(NOW()&gt;=tbl_MTG_Set[[#This Row],[Sell Window Start]], NOW()&lt;=tbl_MTG_Set[[#This Row],[Sell Window End]])</f>
        <v>0</v>
      </c>
      <c r="AG379" s="10"/>
      <c r="AH379" s="10"/>
      <c r="AM379" s="10" t="str" cm="1">
        <f t="array" ref="AM3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79" s="10" t="str" cm="1">
        <f t="array" ref="AN3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79" s="4" t="e">
        <f>_xlfn.XLOOKUP(tbl_MTG_Set[[#This Row],[Play Booster Box Product Id]], tbl_Product[Product Id], tbl_Product[Pack Size])</f>
        <v>#N/A</v>
      </c>
      <c r="AP379" s="10" t="e">
        <f>(tbl_MTG_Set[[#This Row],[Play Booster Box Cost]]+v_Item_Shipping_Cost_In)/tbl_MTG_Set[[#This Row],[Play Booster Box Size]]</f>
        <v>#VALUE!</v>
      </c>
      <c r="AQ379" s="10" t="str" cm="1">
        <f t="array" ref="AQ3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79" s="10"/>
      <c r="AS379" s="10"/>
      <c r="AT379" s="17" t="e">
        <f>tbl_MTG_Set[[#This Row],[Play Booster CardMarket Profit]]/tbl_MTG_Set[[#This Row],[Play Booster Cost]]</f>
        <v>#VALUE!</v>
      </c>
      <c r="AU379" s="10" t="e">
        <f>_xlfn.XLOOKUP(tbl_MTG_Set[[#This Row],[Collector Booster Box Product Id]], tbl_Product[Product Id], tbl_Product[Min Cost])</f>
        <v>#N/A</v>
      </c>
      <c r="AV379" s="10" t="e">
        <f>_xlfn.XLOOKUP(tbl_MTG_Set[[#This Row],[Collector Booster Box Product Id]], tbl_Product[Product Id], tbl_Product[Best Source])</f>
        <v>#N/A</v>
      </c>
      <c r="AW379" s="4" t="e">
        <f>_xlfn.XLOOKUP(tbl_MTG_Set[[#This Row],[Collector Booster Box Product Id]], tbl_Product[Product Id], tbl_Product[Pack Size])</f>
        <v>#N/A</v>
      </c>
      <c r="AX379" s="10" t="e">
        <f>(tbl_MTG_Set[[#This Row],[Collector Booster Box Cost]] + v_Item_Shipping_Cost_In) / tbl_MTG_Set[[#This Row],[Collector Booster Box Size]]</f>
        <v>#N/A</v>
      </c>
      <c r="AY379" s="10" t="str" cm="1">
        <f t="array" ref="AY3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79" s="10"/>
      <c r="BA3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79" s="17" t="e">
        <f>tbl_MTG_Set[[#This Row],[Collector Booster CardMarket Profit]]/tbl_MTG_Set[[#This Row],[Collector Booster Cost]]</f>
        <v>#N/A</v>
      </c>
      <c r="BC379" s="10"/>
      <c r="BF3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79" s="11" t="e">
        <f>tbl_MTG_Set[[#This Row],[Play Singles CardMarket Profit MTG Stocks]]/tbl_MTG_Set[[#This Row],[Play Booster Cost]]</f>
        <v>#VALUE!</v>
      </c>
      <c r="BI379" s="11" t="b">
        <f>tbl_MTG_Set[[#This Row],[Play Singles CardMarket Profit MTG Stocks]]&gt;0</f>
        <v>0</v>
      </c>
      <c r="BM379" s="10" t="e">
        <f>tbl_MTG_Set[[#This Row],[Play Booster Sell Price CardMarket]]*tbl_MTG_Set[[#This Row],[Play Booster Expected Market Value BotBox]]/tbl_MTG_Set[[#This Row],[Play Booster Sealed Market Value BotBox]]</f>
        <v>#VALUE!</v>
      </c>
      <c r="BN3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79" s="10" t="e">
        <f>tbl_MTG_Set[[#This Row],[Play Singles CardMarket Profit BotBox]]/tbl_MTG_Set[[#This Row],[Play Booster Cost]]</f>
        <v>#VALUE!</v>
      </c>
      <c r="BP379" s="10" t="b">
        <f>tbl_MTG_Set[[#This Row],[Play Singles CardMarket Profit BotBox]]&gt;0</f>
        <v>0</v>
      </c>
      <c r="BQ379" s="10"/>
      <c r="BR379" s="10"/>
      <c r="BS379" s="10"/>
      <c r="BT3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79" s="19" t="e">
        <f>tbl_MTG_Set[[#This Row],[Collector Singles CardMarket Profit MTG Stocks]]/tbl_MTG_Set[[#This Row],[Collector Booster Cost]]</f>
        <v>#N/A</v>
      </c>
      <c r="BW379" s="10" t="b">
        <f>tbl_MTG_Set[[#This Row],[Collector Singles CardMarket Profit MTG Stocks]]&gt;0</f>
        <v>0</v>
      </c>
      <c r="BX379" s="10"/>
      <c r="BY379" s="10"/>
      <c r="BZ3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79" s="10" t="e">
        <f>tbl_MTG_Set[[#This Row],[Collector Singles CardMarket Profit BotBox]]/tbl_MTG_Set[[#This Row],[Collector Booster Cost]]</f>
        <v>#N/A</v>
      </c>
      <c r="CC379" s="10" t="b">
        <f>tbl_MTG_Set[[#This Row],[Collector Singles CardMarket Profit BotBox]]&gt;0</f>
        <v>0</v>
      </c>
      <c r="CD3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0" spans="1:86" hidden="1">
      <c r="A380">
        <v>408</v>
      </c>
      <c r="B380" t="s">
        <v>553</v>
      </c>
      <c r="C380">
        <v>137</v>
      </c>
      <c r="D380" s="3">
        <v>43854</v>
      </c>
      <c r="E380" t="s">
        <v>59</v>
      </c>
      <c r="F380" t="s">
        <v>174</v>
      </c>
      <c r="G380">
        <v>762</v>
      </c>
      <c r="H380">
        <f ca="1">MONTH(NOW())+12*YEAR(NOW())-MONTH(tbl_MTG_Set[[#This Row],[Released On]])-12*YEAR(tbl_MTG_Set[[#This Row],[Released On]])</f>
        <v>74</v>
      </c>
      <c r="I380">
        <f>_xlfn.XLOOKUP(tbl_MTG_Set[[#This Row],[Type Name]], tbl_MTG_Set_Type[Set Type], tbl_MTG_Set_Type[Index], "(Set Type not found)")</f>
        <v>1</v>
      </c>
      <c r="J380">
        <f>_xlfn.XLOOKUP(tbl_MTG_Set[[#This Row],[Type Name]], tbl_MTG_Set_Type[Set Type], tbl_MTG_Set_Type[Buy Window Month Start], "(Set Type not found)")</f>
        <v>18</v>
      </c>
      <c r="K380" s="3">
        <f>tbl_MTG_Set[[#This Row],[Released On]]+tbl_MTG_Set[[#This Row],[Buy Window Month Start]]*365.25/12</f>
        <v>44401.875</v>
      </c>
      <c r="L380">
        <f>_xlfn.XLOOKUP(tbl_MTG_Set[[#This Row],[Type Name]], tbl_MTG_Set_Type[Set Type], tbl_MTG_Set_Type[Buy Window Month End], "(Set Type not found)", 0, 1)</f>
        <v>24</v>
      </c>
      <c r="M380" s="3">
        <f>tbl_MTG_Set[[#This Row],[Released On]]+tbl_MTG_Set[[#This Row],[Buy Window Month End]]*365.25/12</f>
        <v>44584.5</v>
      </c>
      <c r="N380" s="3" t="b">
        <f ca="1">AND(NOW()&gt;=tbl_MTG_Set[[#This Row],[Buy Window Start]], NOW()&lt;=tbl_MTG_Set[[#This Row],[Buy Window End]])</f>
        <v>0</v>
      </c>
      <c r="O380">
        <f>_xlfn.XLOOKUP(tbl_MTG_Set[[#This Row],[Type Name]], tbl_MTG_Set_Type[Set Type], tbl_MTG_Set_Type[Heavy Printing Window Month Start], "(Set Type not found)", 0, 1)</f>
        <v>1</v>
      </c>
      <c r="P380" s="3">
        <f>tbl_MTG_Set[[#This Row],[Released On]]+tbl_MTG_Set[[#This Row],[Heavy Printing Window Month Start]]*365.25/12</f>
        <v>43884.4375</v>
      </c>
      <c r="Q380">
        <f>_xlfn.XLOOKUP(tbl_MTG_Set[[#This Row],[Type Name]], tbl_MTG_Set_Type[Set Type], tbl_MTG_Set_Type[Heavy Printing Window Month End], "(Set Type not found)", 0, 1)</f>
        <v>18</v>
      </c>
      <c r="R380" s="3">
        <f>tbl_MTG_Set[[#This Row],[Released On]]+tbl_MTG_Set[[#This Row],[Heavy Printing Window Month End]]*365.25/12</f>
        <v>44401.875</v>
      </c>
      <c r="S380" s="3" t="b">
        <f ca="1">AND(NOW()&gt;=tbl_MTG_Set[[#This Row],[Heavy Printing Window Start]], NOW()&lt;=tbl_MTG_Set[[#This Row],[Heavy Printing Window End]])</f>
        <v>0</v>
      </c>
      <c r="T380">
        <f>_xlfn.XLOOKUP(tbl_MTG_Set[[#This Row],[Type Name]], tbl_MTG_Set_Type[Set Type], tbl_MTG_Set_Type[Sell Window Month Start], "(Set Type not found)", 0, 1)</f>
        <v>36</v>
      </c>
      <c r="U380" s="3">
        <f>tbl_MTG_Set[[#This Row],[Released On]]+tbl_MTG_Set[[#This Row],[Sell Window Month Start]]*365.25/12</f>
        <v>44949.75</v>
      </c>
      <c r="V380">
        <f>_xlfn.XLOOKUP(tbl_MTG_Set[[#This Row],[Type Name]], tbl_MTG_Set_Type[Set Type], tbl_MTG_Set_Type[Sell Window Month End], "(Set Type not found)", 0, 1)</f>
        <v>48</v>
      </c>
      <c r="W380" s="3">
        <f>tbl_MTG_Set[[#This Row],[Released On]]+tbl_MTG_Set[[#This Row],[Sell Window Month End]]*365.25/12</f>
        <v>45315</v>
      </c>
      <c r="X380" s="3" t="b">
        <f ca="1">AND(NOW()&gt;=tbl_MTG_Set[[#This Row],[Sell Window Start]], NOW()&lt;=tbl_MTG_Set[[#This Row],[Sell Window End]])</f>
        <v>0</v>
      </c>
      <c r="AG380" s="10"/>
      <c r="AH380" s="10"/>
      <c r="AM380" s="10" t="str" cm="1">
        <f t="array" ref="AM3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0" s="10" t="str" cm="1">
        <f t="array" ref="AN3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0" s="4" t="e">
        <f>_xlfn.XLOOKUP(tbl_MTG_Set[[#This Row],[Play Booster Box Product Id]], tbl_Product[Product Id], tbl_Product[Pack Size])</f>
        <v>#N/A</v>
      </c>
      <c r="AP380" s="10" t="e">
        <f>(tbl_MTG_Set[[#This Row],[Play Booster Box Cost]]+v_Item_Shipping_Cost_In)/tbl_MTG_Set[[#This Row],[Play Booster Box Size]]</f>
        <v>#VALUE!</v>
      </c>
      <c r="AQ380" s="10" t="str" cm="1">
        <f t="array" ref="AQ3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0" s="10"/>
      <c r="AS380" s="10"/>
      <c r="AT380" s="17" t="e">
        <f>tbl_MTG_Set[[#This Row],[Play Booster CardMarket Profit]]/tbl_MTG_Set[[#This Row],[Play Booster Cost]]</f>
        <v>#VALUE!</v>
      </c>
      <c r="AU380" s="10" t="e">
        <f>_xlfn.XLOOKUP(tbl_MTG_Set[[#This Row],[Collector Booster Box Product Id]], tbl_Product[Product Id], tbl_Product[Min Cost])</f>
        <v>#N/A</v>
      </c>
      <c r="AV380" s="10" t="e">
        <f>_xlfn.XLOOKUP(tbl_MTG_Set[[#This Row],[Collector Booster Box Product Id]], tbl_Product[Product Id], tbl_Product[Best Source])</f>
        <v>#N/A</v>
      </c>
      <c r="AW380" s="4" t="e">
        <f>_xlfn.XLOOKUP(tbl_MTG_Set[[#This Row],[Collector Booster Box Product Id]], tbl_Product[Product Id], tbl_Product[Pack Size])</f>
        <v>#N/A</v>
      </c>
      <c r="AX380" s="10" t="e">
        <f>(tbl_MTG_Set[[#This Row],[Collector Booster Box Cost]] + v_Item_Shipping_Cost_In) / tbl_MTG_Set[[#This Row],[Collector Booster Box Size]]</f>
        <v>#N/A</v>
      </c>
      <c r="AY380" s="10" t="str" cm="1">
        <f t="array" ref="AY3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0" s="10"/>
      <c r="BA3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0" s="17" t="e">
        <f>tbl_MTG_Set[[#This Row],[Collector Booster CardMarket Profit]]/tbl_MTG_Set[[#This Row],[Collector Booster Cost]]</f>
        <v>#N/A</v>
      </c>
      <c r="BC380" s="10"/>
      <c r="BF3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0" s="11" t="e">
        <f>tbl_MTG_Set[[#This Row],[Play Singles CardMarket Profit MTG Stocks]]/tbl_MTG_Set[[#This Row],[Play Booster Cost]]</f>
        <v>#VALUE!</v>
      </c>
      <c r="BI380" s="11" t="b">
        <f>tbl_MTG_Set[[#This Row],[Play Singles CardMarket Profit MTG Stocks]]&gt;0</f>
        <v>0</v>
      </c>
      <c r="BM380" s="10" t="e">
        <f>tbl_MTG_Set[[#This Row],[Play Booster Sell Price CardMarket]]*tbl_MTG_Set[[#This Row],[Play Booster Expected Market Value BotBox]]/tbl_MTG_Set[[#This Row],[Play Booster Sealed Market Value BotBox]]</f>
        <v>#VALUE!</v>
      </c>
      <c r="BN3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0" s="10" t="e">
        <f>tbl_MTG_Set[[#This Row],[Play Singles CardMarket Profit BotBox]]/tbl_MTG_Set[[#This Row],[Play Booster Cost]]</f>
        <v>#VALUE!</v>
      </c>
      <c r="BP380" s="10" t="b">
        <f>tbl_MTG_Set[[#This Row],[Play Singles CardMarket Profit BotBox]]&gt;0</f>
        <v>0</v>
      </c>
      <c r="BQ380" s="10"/>
      <c r="BR380" s="10"/>
      <c r="BS380" s="10"/>
      <c r="BT3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0" s="19" t="e">
        <f>tbl_MTG_Set[[#This Row],[Collector Singles CardMarket Profit MTG Stocks]]/tbl_MTG_Set[[#This Row],[Collector Booster Cost]]</f>
        <v>#N/A</v>
      </c>
      <c r="BW380" s="10" t="b">
        <f>tbl_MTG_Set[[#This Row],[Collector Singles CardMarket Profit MTG Stocks]]&gt;0</f>
        <v>0</v>
      </c>
      <c r="BX380" s="10"/>
      <c r="BY380" s="10"/>
      <c r="BZ3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0" s="10" t="e">
        <f>tbl_MTG_Set[[#This Row],[Collector Singles CardMarket Profit BotBox]]/tbl_MTG_Set[[#This Row],[Collector Booster Cost]]</f>
        <v>#N/A</v>
      </c>
      <c r="CC380" s="10" t="b">
        <f>tbl_MTG_Set[[#This Row],[Collector Singles CardMarket Profit BotBox]]&gt;0</f>
        <v>0</v>
      </c>
      <c r="CD3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1" spans="1:86" hidden="1">
      <c r="A381">
        <v>409</v>
      </c>
      <c r="B381" t="s">
        <v>554</v>
      </c>
      <c r="C381">
        <v>14</v>
      </c>
      <c r="D381" s="3">
        <v>43854</v>
      </c>
      <c r="E381" t="s">
        <v>59</v>
      </c>
      <c r="F381" t="s">
        <v>174</v>
      </c>
      <c r="G381">
        <v>764</v>
      </c>
      <c r="H381">
        <f ca="1">MONTH(NOW())+12*YEAR(NOW())-MONTH(tbl_MTG_Set[[#This Row],[Released On]])-12*YEAR(tbl_MTG_Set[[#This Row],[Released On]])</f>
        <v>74</v>
      </c>
      <c r="I381">
        <f>_xlfn.XLOOKUP(tbl_MTG_Set[[#This Row],[Type Name]], tbl_MTG_Set_Type[Set Type], tbl_MTG_Set_Type[Index], "(Set Type not found)")</f>
        <v>1</v>
      </c>
      <c r="J381">
        <f>_xlfn.XLOOKUP(tbl_MTG_Set[[#This Row],[Type Name]], tbl_MTG_Set_Type[Set Type], tbl_MTG_Set_Type[Buy Window Month Start], "(Set Type not found)")</f>
        <v>18</v>
      </c>
      <c r="K381" s="3">
        <f>tbl_MTG_Set[[#This Row],[Released On]]+tbl_MTG_Set[[#This Row],[Buy Window Month Start]]*365.25/12</f>
        <v>44401.875</v>
      </c>
      <c r="L381">
        <f>_xlfn.XLOOKUP(tbl_MTG_Set[[#This Row],[Type Name]], tbl_MTG_Set_Type[Set Type], tbl_MTG_Set_Type[Buy Window Month End], "(Set Type not found)", 0, 1)</f>
        <v>24</v>
      </c>
      <c r="M381" s="3">
        <f>tbl_MTG_Set[[#This Row],[Released On]]+tbl_MTG_Set[[#This Row],[Buy Window Month End]]*365.25/12</f>
        <v>44584.5</v>
      </c>
      <c r="N381" s="3" t="b">
        <f ca="1">AND(NOW()&gt;=tbl_MTG_Set[[#This Row],[Buy Window Start]], NOW()&lt;=tbl_MTG_Set[[#This Row],[Buy Window End]])</f>
        <v>0</v>
      </c>
      <c r="O381">
        <f>_xlfn.XLOOKUP(tbl_MTG_Set[[#This Row],[Type Name]], tbl_MTG_Set_Type[Set Type], tbl_MTG_Set_Type[Heavy Printing Window Month Start], "(Set Type not found)", 0, 1)</f>
        <v>1</v>
      </c>
      <c r="P381" s="3">
        <f>tbl_MTG_Set[[#This Row],[Released On]]+tbl_MTG_Set[[#This Row],[Heavy Printing Window Month Start]]*365.25/12</f>
        <v>43884.4375</v>
      </c>
      <c r="Q381">
        <f>_xlfn.XLOOKUP(tbl_MTG_Set[[#This Row],[Type Name]], tbl_MTG_Set_Type[Set Type], tbl_MTG_Set_Type[Heavy Printing Window Month End], "(Set Type not found)", 0, 1)</f>
        <v>18</v>
      </c>
      <c r="R381" s="3">
        <f>tbl_MTG_Set[[#This Row],[Released On]]+tbl_MTG_Set[[#This Row],[Heavy Printing Window Month End]]*365.25/12</f>
        <v>44401.875</v>
      </c>
      <c r="S381" s="3" t="b">
        <f ca="1">AND(NOW()&gt;=tbl_MTG_Set[[#This Row],[Heavy Printing Window Start]], NOW()&lt;=tbl_MTG_Set[[#This Row],[Heavy Printing Window End]])</f>
        <v>0</v>
      </c>
      <c r="T381">
        <f>_xlfn.XLOOKUP(tbl_MTG_Set[[#This Row],[Type Name]], tbl_MTG_Set_Type[Set Type], tbl_MTG_Set_Type[Sell Window Month Start], "(Set Type not found)", 0, 1)</f>
        <v>36</v>
      </c>
      <c r="U381" s="3">
        <f>tbl_MTG_Set[[#This Row],[Released On]]+tbl_MTG_Set[[#This Row],[Sell Window Month Start]]*365.25/12</f>
        <v>44949.75</v>
      </c>
      <c r="V381">
        <f>_xlfn.XLOOKUP(tbl_MTG_Set[[#This Row],[Type Name]], tbl_MTG_Set_Type[Set Type], tbl_MTG_Set_Type[Sell Window Month End], "(Set Type not found)", 0, 1)</f>
        <v>48</v>
      </c>
      <c r="W381" s="3">
        <f>tbl_MTG_Set[[#This Row],[Released On]]+tbl_MTG_Set[[#This Row],[Sell Window Month End]]*365.25/12</f>
        <v>45315</v>
      </c>
      <c r="X381" s="3" t="b">
        <f ca="1">AND(NOW()&gt;=tbl_MTG_Set[[#This Row],[Sell Window Start]], NOW()&lt;=tbl_MTG_Set[[#This Row],[Sell Window End]])</f>
        <v>0</v>
      </c>
      <c r="AG381" s="10"/>
      <c r="AH381" s="10"/>
      <c r="AM381" s="10" t="str" cm="1">
        <f t="array" ref="AM3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1" s="10" t="str" cm="1">
        <f t="array" ref="AN3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1" s="4" t="e">
        <f>_xlfn.XLOOKUP(tbl_MTG_Set[[#This Row],[Play Booster Box Product Id]], tbl_Product[Product Id], tbl_Product[Pack Size])</f>
        <v>#N/A</v>
      </c>
      <c r="AP381" s="10" t="e">
        <f>(tbl_MTG_Set[[#This Row],[Play Booster Box Cost]]+v_Item_Shipping_Cost_In)/tbl_MTG_Set[[#This Row],[Play Booster Box Size]]</f>
        <v>#VALUE!</v>
      </c>
      <c r="AQ381" s="10" t="str" cm="1">
        <f t="array" ref="AQ3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1" s="10"/>
      <c r="AS381" s="10"/>
      <c r="AT381" s="17" t="e">
        <f>tbl_MTG_Set[[#This Row],[Play Booster CardMarket Profit]]/tbl_MTG_Set[[#This Row],[Play Booster Cost]]</f>
        <v>#VALUE!</v>
      </c>
      <c r="AU381" s="10" t="e">
        <f>_xlfn.XLOOKUP(tbl_MTG_Set[[#This Row],[Collector Booster Box Product Id]], tbl_Product[Product Id], tbl_Product[Min Cost])</f>
        <v>#N/A</v>
      </c>
      <c r="AV381" s="10" t="e">
        <f>_xlfn.XLOOKUP(tbl_MTG_Set[[#This Row],[Collector Booster Box Product Id]], tbl_Product[Product Id], tbl_Product[Best Source])</f>
        <v>#N/A</v>
      </c>
      <c r="AW381" s="4" t="e">
        <f>_xlfn.XLOOKUP(tbl_MTG_Set[[#This Row],[Collector Booster Box Product Id]], tbl_Product[Product Id], tbl_Product[Pack Size])</f>
        <v>#N/A</v>
      </c>
      <c r="AX381" s="10" t="e">
        <f>(tbl_MTG_Set[[#This Row],[Collector Booster Box Cost]] + v_Item_Shipping_Cost_In) / tbl_MTG_Set[[#This Row],[Collector Booster Box Size]]</f>
        <v>#N/A</v>
      </c>
      <c r="AY381" s="10" t="str" cm="1">
        <f t="array" ref="AY3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1" s="10"/>
      <c r="BA3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1" s="17" t="e">
        <f>tbl_MTG_Set[[#This Row],[Collector Booster CardMarket Profit]]/tbl_MTG_Set[[#This Row],[Collector Booster Cost]]</f>
        <v>#N/A</v>
      </c>
      <c r="BC381" s="10"/>
      <c r="BF3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1" s="11" t="e">
        <f>tbl_MTG_Set[[#This Row],[Play Singles CardMarket Profit MTG Stocks]]/tbl_MTG_Set[[#This Row],[Play Booster Cost]]</f>
        <v>#VALUE!</v>
      </c>
      <c r="BI381" s="11" t="b">
        <f>tbl_MTG_Set[[#This Row],[Play Singles CardMarket Profit MTG Stocks]]&gt;0</f>
        <v>0</v>
      </c>
      <c r="BM381" s="10" t="e">
        <f>tbl_MTG_Set[[#This Row],[Play Booster Sell Price CardMarket]]*tbl_MTG_Set[[#This Row],[Play Booster Expected Market Value BotBox]]/tbl_MTG_Set[[#This Row],[Play Booster Sealed Market Value BotBox]]</f>
        <v>#VALUE!</v>
      </c>
      <c r="BN3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1" s="10" t="e">
        <f>tbl_MTG_Set[[#This Row],[Play Singles CardMarket Profit BotBox]]/tbl_MTG_Set[[#This Row],[Play Booster Cost]]</f>
        <v>#VALUE!</v>
      </c>
      <c r="BP381" s="10" t="b">
        <f>tbl_MTG_Set[[#This Row],[Play Singles CardMarket Profit BotBox]]&gt;0</f>
        <v>0</v>
      </c>
      <c r="BQ381" s="10"/>
      <c r="BR381" s="10"/>
      <c r="BS381" s="10"/>
      <c r="BT3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1" s="19" t="e">
        <f>tbl_MTG_Set[[#This Row],[Collector Singles CardMarket Profit MTG Stocks]]/tbl_MTG_Set[[#This Row],[Collector Booster Cost]]</f>
        <v>#N/A</v>
      </c>
      <c r="BW381" s="10" t="b">
        <f>tbl_MTG_Set[[#This Row],[Collector Singles CardMarket Profit MTG Stocks]]&gt;0</f>
        <v>0</v>
      </c>
      <c r="BX381" s="10"/>
      <c r="BY381" s="10"/>
      <c r="BZ3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1" s="10" t="e">
        <f>tbl_MTG_Set[[#This Row],[Collector Singles CardMarket Profit BotBox]]/tbl_MTG_Set[[#This Row],[Collector Booster Cost]]</f>
        <v>#N/A</v>
      </c>
      <c r="CC381" s="10" t="b">
        <f>tbl_MTG_Set[[#This Row],[Collector Singles CardMarket Profit BotBox]]&gt;0</f>
        <v>0</v>
      </c>
      <c r="CD3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2" spans="1:86" hidden="1">
      <c r="A382">
        <v>410</v>
      </c>
      <c r="B382" t="s">
        <v>555</v>
      </c>
      <c r="C382">
        <v>6</v>
      </c>
      <c r="D382" s="3">
        <v>43831</v>
      </c>
      <c r="F382" t="s">
        <v>174</v>
      </c>
      <c r="G382">
        <v>766</v>
      </c>
      <c r="H382">
        <f ca="1">MONTH(NOW())+12*YEAR(NOW())-MONTH(tbl_MTG_Set[[#This Row],[Released On]])-12*YEAR(tbl_MTG_Set[[#This Row],[Released On]])</f>
        <v>74</v>
      </c>
      <c r="I382" t="str">
        <f>_xlfn.XLOOKUP(tbl_MTG_Set[[#This Row],[Type Name]], tbl_MTG_Set_Type[Set Type], tbl_MTG_Set_Type[Index], "(Set Type not found)")</f>
        <v>(Set Type not found)</v>
      </c>
      <c r="J382" t="str">
        <f>_xlfn.XLOOKUP(tbl_MTG_Set[[#This Row],[Type Name]], tbl_MTG_Set_Type[Set Type], tbl_MTG_Set_Type[Buy Window Month Start], "(Set Type not found)")</f>
        <v>(Set Type not found)</v>
      </c>
      <c r="K382" s="3" t="e">
        <f>tbl_MTG_Set[[#This Row],[Released On]]+tbl_MTG_Set[[#This Row],[Buy Window Month Start]]*365.25/12</f>
        <v>#VALUE!</v>
      </c>
      <c r="L382" t="str">
        <f>_xlfn.XLOOKUP(tbl_MTG_Set[[#This Row],[Type Name]], tbl_MTG_Set_Type[Set Type], tbl_MTG_Set_Type[Buy Window Month End], "(Set Type not found)", 0, 1)</f>
        <v>(Set Type not found)</v>
      </c>
      <c r="M382" s="3" t="e">
        <f>tbl_MTG_Set[[#This Row],[Released On]]+tbl_MTG_Set[[#This Row],[Buy Window Month End]]*365.25/12</f>
        <v>#VALUE!</v>
      </c>
      <c r="N382" s="3" t="e">
        <f ca="1">AND(NOW()&gt;=tbl_MTG_Set[[#This Row],[Buy Window Start]], NOW()&lt;=tbl_MTG_Set[[#This Row],[Buy Window End]])</f>
        <v>#VALUE!</v>
      </c>
      <c r="O382" t="str">
        <f>_xlfn.XLOOKUP(tbl_MTG_Set[[#This Row],[Type Name]], tbl_MTG_Set_Type[Set Type], tbl_MTG_Set_Type[Heavy Printing Window Month Start], "(Set Type not found)", 0, 1)</f>
        <v>(Set Type not found)</v>
      </c>
      <c r="P382" s="3" t="e">
        <f>tbl_MTG_Set[[#This Row],[Released On]]+tbl_MTG_Set[[#This Row],[Heavy Printing Window Month Start]]*365.25/12</f>
        <v>#VALUE!</v>
      </c>
      <c r="Q382" t="str">
        <f>_xlfn.XLOOKUP(tbl_MTG_Set[[#This Row],[Type Name]], tbl_MTG_Set_Type[Set Type], tbl_MTG_Set_Type[Heavy Printing Window Month End], "(Set Type not found)", 0, 1)</f>
        <v>(Set Type not found)</v>
      </c>
      <c r="R382" s="3" t="e">
        <f>tbl_MTG_Set[[#This Row],[Released On]]+tbl_MTG_Set[[#This Row],[Heavy Printing Window Month End]]*365.25/12</f>
        <v>#VALUE!</v>
      </c>
      <c r="S382" s="3" t="e">
        <f ca="1">AND(NOW()&gt;=tbl_MTG_Set[[#This Row],[Heavy Printing Window Start]], NOW()&lt;=tbl_MTG_Set[[#This Row],[Heavy Printing Window End]])</f>
        <v>#VALUE!</v>
      </c>
      <c r="T382" t="str">
        <f>_xlfn.XLOOKUP(tbl_MTG_Set[[#This Row],[Type Name]], tbl_MTG_Set_Type[Set Type], tbl_MTG_Set_Type[Sell Window Month Start], "(Set Type not found)", 0, 1)</f>
        <v>(Set Type not found)</v>
      </c>
      <c r="U382" s="3" t="e">
        <f>tbl_MTG_Set[[#This Row],[Released On]]+tbl_MTG_Set[[#This Row],[Sell Window Month Start]]*365.25/12</f>
        <v>#VALUE!</v>
      </c>
      <c r="V382" t="str">
        <f>_xlfn.XLOOKUP(tbl_MTG_Set[[#This Row],[Type Name]], tbl_MTG_Set_Type[Set Type], tbl_MTG_Set_Type[Sell Window Month End], "(Set Type not found)", 0, 1)</f>
        <v>(Set Type not found)</v>
      </c>
      <c r="W382" s="3" t="e">
        <f>tbl_MTG_Set[[#This Row],[Released On]]+tbl_MTG_Set[[#This Row],[Sell Window Month End]]*365.25/12</f>
        <v>#VALUE!</v>
      </c>
      <c r="X382" s="3" t="e">
        <f ca="1">AND(NOW()&gt;=tbl_MTG_Set[[#This Row],[Sell Window Start]], NOW()&lt;=tbl_MTG_Set[[#This Row],[Sell Window End]])</f>
        <v>#VALUE!</v>
      </c>
      <c r="AG382" s="10"/>
      <c r="AH382" s="10"/>
      <c r="AM382" s="10" t="str" cm="1">
        <f t="array" ref="AM3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2" s="10" t="str" cm="1">
        <f t="array" ref="AN3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2" s="4" t="e">
        <f>_xlfn.XLOOKUP(tbl_MTG_Set[[#This Row],[Play Booster Box Product Id]], tbl_Product[Product Id], tbl_Product[Pack Size])</f>
        <v>#N/A</v>
      </c>
      <c r="AP382" s="10" t="e">
        <f>(tbl_MTG_Set[[#This Row],[Play Booster Box Cost]]+v_Item_Shipping_Cost_In)/tbl_MTG_Set[[#This Row],[Play Booster Box Size]]</f>
        <v>#VALUE!</v>
      </c>
      <c r="AQ382" s="10" t="str" cm="1">
        <f t="array" ref="AQ3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2" s="10"/>
      <c r="AS382" s="10"/>
      <c r="AT382" s="17" t="e">
        <f>tbl_MTG_Set[[#This Row],[Play Booster CardMarket Profit]]/tbl_MTG_Set[[#This Row],[Play Booster Cost]]</f>
        <v>#VALUE!</v>
      </c>
      <c r="AU382" s="10" t="e">
        <f>_xlfn.XLOOKUP(tbl_MTG_Set[[#This Row],[Collector Booster Box Product Id]], tbl_Product[Product Id], tbl_Product[Min Cost])</f>
        <v>#N/A</v>
      </c>
      <c r="AV382" s="10" t="e">
        <f>_xlfn.XLOOKUP(tbl_MTG_Set[[#This Row],[Collector Booster Box Product Id]], tbl_Product[Product Id], tbl_Product[Best Source])</f>
        <v>#N/A</v>
      </c>
      <c r="AW382" s="4" t="e">
        <f>_xlfn.XLOOKUP(tbl_MTG_Set[[#This Row],[Collector Booster Box Product Id]], tbl_Product[Product Id], tbl_Product[Pack Size])</f>
        <v>#N/A</v>
      </c>
      <c r="AX382" s="10" t="e">
        <f>(tbl_MTG_Set[[#This Row],[Collector Booster Box Cost]] + v_Item_Shipping_Cost_In) / tbl_MTG_Set[[#This Row],[Collector Booster Box Size]]</f>
        <v>#N/A</v>
      </c>
      <c r="AY382" s="10" t="str" cm="1">
        <f t="array" ref="AY3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2" s="10"/>
      <c r="BA3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2" s="17" t="e">
        <f>tbl_MTG_Set[[#This Row],[Collector Booster CardMarket Profit]]/tbl_MTG_Set[[#This Row],[Collector Booster Cost]]</f>
        <v>#N/A</v>
      </c>
      <c r="BC382" s="10"/>
      <c r="BF3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2" s="11" t="e">
        <f>tbl_MTG_Set[[#This Row],[Play Singles CardMarket Profit MTG Stocks]]/tbl_MTG_Set[[#This Row],[Play Booster Cost]]</f>
        <v>#VALUE!</v>
      </c>
      <c r="BI382" s="11" t="b">
        <f>tbl_MTG_Set[[#This Row],[Play Singles CardMarket Profit MTG Stocks]]&gt;0</f>
        <v>0</v>
      </c>
      <c r="BM382" s="10" t="e">
        <f>tbl_MTG_Set[[#This Row],[Play Booster Sell Price CardMarket]]*tbl_MTG_Set[[#This Row],[Play Booster Expected Market Value BotBox]]/tbl_MTG_Set[[#This Row],[Play Booster Sealed Market Value BotBox]]</f>
        <v>#VALUE!</v>
      </c>
      <c r="BN3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2" s="10" t="e">
        <f>tbl_MTG_Set[[#This Row],[Play Singles CardMarket Profit BotBox]]/tbl_MTG_Set[[#This Row],[Play Booster Cost]]</f>
        <v>#VALUE!</v>
      </c>
      <c r="BP382" s="10" t="b">
        <f>tbl_MTG_Set[[#This Row],[Play Singles CardMarket Profit BotBox]]&gt;0</f>
        <v>0</v>
      </c>
      <c r="BQ382" s="10"/>
      <c r="BR382" s="10"/>
      <c r="BS382" s="10"/>
      <c r="BT3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2" s="19" t="e">
        <f>tbl_MTG_Set[[#This Row],[Collector Singles CardMarket Profit MTG Stocks]]/tbl_MTG_Set[[#This Row],[Collector Booster Cost]]</f>
        <v>#N/A</v>
      </c>
      <c r="BW382" s="10" t="b">
        <f>tbl_MTG_Set[[#This Row],[Collector Singles CardMarket Profit MTG Stocks]]&gt;0</f>
        <v>0</v>
      </c>
      <c r="BX382" s="10"/>
      <c r="BY382" s="10"/>
      <c r="BZ3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2" s="10" t="e">
        <f>tbl_MTG_Set[[#This Row],[Collector Singles CardMarket Profit BotBox]]/tbl_MTG_Set[[#This Row],[Collector Booster Cost]]</f>
        <v>#N/A</v>
      </c>
      <c r="CC382" s="10" t="b">
        <f>tbl_MTG_Set[[#This Row],[Collector Singles CardMarket Profit BotBox]]&gt;0</f>
        <v>0</v>
      </c>
      <c r="CD3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3" spans="1:86" hidden="1">
      <c r="A383">
        <v>411</v>
      </c>
      <c r="B383" t="s">
        <v>556</v>
      </c>
      <c r="C383">
        <v>10</v>
      </c>
      <c r="D383" s="3">
        <v>43831</v>
      </c>
      <c r="F383" t="s">
        <v>174</v>
      </c>
      <c r="G383">
        <v>768</v>
      </c>
      <c r="H383">
        <f ca="1">MONTH(NOW())+12*YEAR(NOW())-MONTH(tbl_MTG_Set[[#This Row],[Released On]])-12*YEAR(tbl_MTG_Set[[#This Row],[Released On]])</f>
        <v>74</v>
      </c>
      <c r="I383" t="str">
        <f>_xlfn.XLOOKUP(tbl_MTG_Set[[#This Row],[Type Name]], tbl_MTG_Set_Type[Set Type], tbl_MTG_Set_Type[Index], "(Set Type not found)")</f>
        <v>(Set Type not found)</v>
      </c>
      <c r="J383" t="str">
        <f>_xlfn.XLOOKUP(tbl_MTG_Set[[#This Row],[Type Name]], tbl_MTG_Set_Type[Set Type], tbl_MTG_Set_Type[Buy Window Month Start], "(Set Type not found)")</f>
        <v>(Set Type not found)</v>
      </c>
      <c r="K383" s="3" t="e">
        <f>tbl_MTG_Set[[#This Row],[Released On]]+tbl_MTG_Set[[#This Row],[Buy Window Month Start]]*365.25/12</f>
        <v>#VALUE!</v>
      </c>
      <c r="L383" t="str">
        <f>_xlfn.XLOOKUP(tbl_MTG_Set[[#This Row],[Type Name]], tbl_MTG_Set_Type[Set Type], tbl_MTG_Set_Type[Buy Window Month End], "(Set Type not found)", 0, 1)</f>
        <v>(Set Type not found)</v>
      </c>
      <c r="M383" s="3" t="e">
        <f>tbl_MTG_Set[[#This Row],[Released On]]+tbl_MTG_Set[[#This Row],[Buy Window Month End]]*365.25/12</f>
        <v>#VALUE!</v>
      </c>
      <c r="N383" s="3" t="e">
        <f ca="1">AND(NOW()&gt;=tbl_MTG_Set[[#This Row],[Buy Window Start]], NOW()&lt;=tbl_MTG_Set[[#This Row],[Buy Window End]])</f>
        <v>#VALUE!</v>
      </c>
      <c r="O383" t="str">
        <f>_xlfn.XLOOKUP(tbl_MTG_Set[[#This Row],[Type Name]], tbl_MTG_Set_Type[Set Type], tbl_MTG_Set_Type[Heavy Printing Window Month Start], "(Set Type not found)", 0, 1)</f>
        <v>(Set Type not found)</v>
      </c>
      <c r="P383" s="3" t="e">
        <f>tbl_MTG_Set[[#This Row],[Released On]]+tbl_MTG_Set[[#This Row],[Heavy Printing Window Month Start]]*365.25/12</f>
        <v>#VALUE!</v>
      </c>
      <c r="Q383" t="str">
        <f>_xlfn.XLOOKUP(tbl_MTG_Set[[#This Row],[Type Name]], tbl_MTG_Set_Type[Set Type], tbl_MTG_Set_Type[Heavy Printing Window Month End], "(Set Type not found)", 0, 1)</f>
        <v>(Set Type not found)</v>
      </c>
      <c r="R383" s="3" t="e">
        <f>tbl_MTG_Set[[#This Row],[Released On]]+tbl_MTG_Set[[#This Row],[Heavy Printing Window Month End]]*365.25/12</f>
        <v>#VALUE!</v>
      </c>
      <c r="S383" s="3" t="e">
        <f ca="1">AND(NOW()&gt;=tbl_MTG_Set[[#This Row],[Heavy Printing Window Start]], NOW()&lt;=tbl_MTG_Set[[#This Row],[Heavy Printing Window End]])</f>
        <v>#VALUE!</v>
      </c>
      <c r="T383" t="str">
        <f>_xlfn.XLOOKUP(tbl_MTG_Set[[#This Row],[Type Name]], tbl_MTG_Set_Type[Set Type], tbl_MTG_Set_Type[Sell Window Month Start], "(Set Type not found)", 0, 1)</f>
        <v>(Set Type not found)</v>
      </c>
      <c r="U383" s="3" t="e">
        <f>tbl_MTG_Set[[#This Row],[Released On]]+tbl_MTG_Set[[#This Row],[Sell Window Month Start]]*365.25/12</f>
        <v>#VALUE!</v>
      </c>
      <c r="V383" t="str">
        <f>_xlfn.XLOOKUP(tbl_MTG_Set[[#This Row],[Type Name]], tbl_MTG_Set_Type[Set Type], tbl_MTG_Set_Type[Sell Window Month End], "(Set Type not found)", 0, 1)</f>
        <v>(Set Type not found)</v>
      </c>
      <c r="W383" s="3" t="e">
        <f>tbl_MTG_Set[[#This Row],[Released On]]+tbl_MTG_Set[[#This Row],[Sell Window Month End]]*365.25/12</f>
        <v>#VALUE!</v>
      </c>
      <c r="X383" s="3" t="e">
        <f ca="1">AND(NOW()&gt;=tbl_MTG_Set[[#This Row],[Sell Window Start]], NOW()&lt;=tbl_MTG_Set[[#This Row],[Sell Window End]])</f>
        <v>#VALUE!</v>
      </c>
      <c r="AG383" s="10"/>
      <c r="AH383" s="10"/>
      <c r="AM383" s="10" t="str" cm="1">
        <f t="array" ref="AM3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3" s="10" t="str" cm="1">
        <f t="array" ref="AN3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3" s="4" t="e">
        <f>_xlfn.XLOOKUP(tbl_MTG_Set[[#This Row],[Play Booster Box Product Id]], tbl_Product[Product Id], tbl_Product[Pack Size])</f>
        <v>#N/A</v>
      </c>
      <c r="AP383" s="10" t="e">
        <f>(tbl_MTG_Set[[#This Row],[Play Booster Box Cost]]+v_Item_Shipping_Cost_In)/tbl_MTG_Set[[#This Row],[Play Booster Box Size]]</f>
        <v>#VALUE!</v>
      </c>
      <c r="AQ383" s="10" t="str" cm="1">
        <f t="array" ref="AQ3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3" s="10"/>
      <c r="AS383" s="10"/>
      <c r="AT383" s="17" t="e">
        <f>tbl_MTG_Set[[#This Row],[Play Booster CardMarket Profit]]/tbl_MTG_Set[[#This Row],[Play Booster Cost]]</f>
        <v>#VALUE!</v>
      </c>
      <c r="AU383" s="10" t="e">
        <f>_xlfn.XLOOKUP(tbl_MTG_Set[[#This Row],[Collector Booster Box Product Id]], tbl_Product[Product Id], tbl_Product[Min Cost])</f>
        <v>#N/A</v>
      </c>
      <c r="AV383" s="10" t="e">
        <f>_xlfn.XLOOKUP(tbl_MTG_Set[[#This Row],[Collector Booster Box Product Id]], tbl_Product[Product Id], tbl_Product[Best Source])</f>
        <v>#N/A</v>
      </c>
      <c r="AW383" s="4" t="e">
        <f>_xlfn.XLOOKUP(tbl_MTG_Set[[#This Row],[Collector Booster Box Product Id]], tbl_Product[Product Id], tbl_Product[Pack Size])</f>
        <v>#N/A</v>
      </c>
      <c r="AX383" s="10" t="e">
        <f>(tbl_MTG_Set[[#This Row],[Collector Booster Box Cost]] + v_Item_Shipping_Cost_In) / tbl_MTG_Set[[#This Row],[Collector Booster Box Size]]</f>
        <v>#N/A</v>
      </c>
      <c r="AY383" s="10" t="str" cm="1">
        <f t="array" ref="AY3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3" s="10"/>
      <c r="BA3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3" s="17" t="e">
        <f>tbl_MTG_Set[[#This Row],[Collector Booster CardMarket Profit]]/tbl_MTG_Set[[#This Row],[Collector Booster Cost]]</f>
        <v>#N/A</v>
      </c>
      <c r="BC383" s="10"/>
      <c r="BF3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3" s="11" t="e">
        <f>tbl_MTG_Set[[#This Row],[Play Singles CardMarket Profit MTG Stocks]]/tbl_MTG_Set[[#This Row],[Play Booster Cost]]</f>
        <v>#VALUE!</v>
      </c>
      <c r="BI383" s="11" t="b">
        <f>tbl_MTG_Set[[#This Row],[Play Singles CardMarket Profit MTG Stocks]]&gt;0</f>
        <v>0</v>
      </c>
      <c r="BM383" s="10" t="e">
        <f>tbl_MTG_Set[[#This Row],[Play Booster Sell Price CardMarket]]*tbl_MTG_Set[[#This Row],[Play Booster Expected Market Value BotBox]]/tbl_MTG_Set[[#This Row],[Play Booster Sealed Market Value BotBox]]</f>
        <v>#VALUE!</v>
      </c>
      <c r="BN3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3" s="10" t="e">
        <f>tbl_MTG_Set[[#This Row],[Play Singles CardMarket Profit BotBox]]/tbl_MTG_Set[[#This Row],[Play Booster Cost]]</f>
        <v>#VALUE!</v>
      </c>
      <c r="BP383" s="10" t="b">
        <f>tbl_MTG_Set[[#This Row],[Play Singles CardMarket Profit BotBox]]&gt;0</f>
        <v>0</v>
      </c>
      <c r="BQ383" s="10"/>
      <c r="BR383" s="10"/>
      <c r="BS383" s="10"/>
      <c r="BT3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3" s="19" t="e">
        <f>tbl_MTG_Set[[#This Row],[Collector Singles CardMarket Profit MTG Stocks]]/tbl_MTG_Set[[#This Row],[Collector Booster Cost]]</f>
        <v>#N/A</v>
      </c>
      <c r="BW383" s="10" t="b">
        <f>tbl_MTG_Set[[#This Row],[Collector Singles CardMarket Profit MTG Stocks]]&gt;0</f>
        <v>0</v>
      </c>
      <c r="BX383" s="10"/>
      <c r="BY383" s="10"/>
      <c r="BZ3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3" s="10" t="e">
        <f>tbl_MTG_Set[[#This Row],[Collector Singles CardMarket Profit BotBox]]/tbl_MTG_Set[[#This Row],[Collector Booster Cost]]</f>
        <v>#N/A</v>
      </c>
      <c r="CC383" s="10" t="b">
        <f>tbl_MTG_Set[[#This Row],[Collector Singles CardMarket Profit BotBox]]&gt;0</f>
        <v>0</v>
      </c>
      <c r="CD3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4" spans="1:86" hidden="1">
      <c r="A384">
        <v>412</v>
      </c>
      <c r="B384" t="s">
        <v>557</v>
      </c>
      <c r="C384">
        <v>2302</v>
      </c>
      <c r="D384" s="3">
        <v>43801</v>
      </c>
      <c r="F384" t="s">
        <v>174</v>
      </c>
      <c r="G384">
        <v>770</v>
      </c>
      <c r="H384">
        <f ca="1">MONTH(NOW())+12*YEAR(NOW())-MONTH(tbl_MTG_Set[[#This Row],[Released On]])-12*YEAR(tbl_MTG_Set[[#This Row],[Released On]])</f>
        <v>75</v>
      </c>
      <c r="I384" t="str">
        <f>_xlfn.XLOOKUP(tbl_MTG_Set[[#This Row],[Type Name]], tbl_MTG_Set_Type[Set Type], tbl_MTG_Set_Type[Index], "(Set Type not found)")</f>
        <v>(Set Type not found)</v>
      </c>
      <c r="J384" t="str">
        <f>_xlfn.XLOOKUP(tbl_MTG_Set[[#This Row],[Type Name]], tbl_MTG_Set_Type[Set Type], tbl_MTG_Set_Type[Buy Window Month Start], "(Set Type not found)")</f>
        <v>(Set Type not found)</v>
      </c>
      <c r="K384" s="3" t="e">
        <f>tbl_MTG_Set[[#This Row],[Released On]]+tbl_MTG_Set[[#This Row],[Buy Window Month Start]]*365.25/12</f>
        <v>#VALUE!</v>
      </c>
      <c r="L384" t="str">
        <f>_xlfn.XLOOKUP(tbl_MTG_Set[[#This Row],[Type Name]], tbl_MTG_Set_Type[Set Type], tbl_MTG_Set_Type[Buy Window Month End], "(Set Type not found)", 0, 1)</f>
        <v>(Set Type not found)</v>
      </c>
      <c r="M384" s="3" t="e">
        <f>tbl_MTG_Set[[#This Row],[Released On]]+tbl_MTG_Set[[#This Row],[Buy Window Month End]]*365.25/12</f>
        <v>#VALUE!</v>
      </c>
      <c r="N384" s="3" t="e">
        <f ca="1">AND(NOW()&gt;=tbl_MTG_Set[[#This Row],[Buy Window Start]], NOW()&lt;=tbl_MTG_Set[[#This Row],[Buy Window End]])</f>
        <v>#VALUE!</v>
      </c>
      <c r="O384" t="str">
        <f>_xlfn.XLOOKUP(tbl_MTG_Set[[#This Row],[Type Name]], tbl_MTG_Set_Type[Set Type], tbl_MTG_Set_Type[Heavy Printing Window Month Start], "(Set Type not found)", 0, 1)</f>
        <v>(Set Type not found)</v>
      </c>
      <c r="P384" s="3" t="e">
        <f>tbl_MTG_Set[[#This Row],[Released On]]+tbl_MTG_Set[[#This Row],[Heavy Printing Window Month Start]]*365.25/12</f>
        <v>#VALUE!</v>
      </c>
      <c r="Q384" t="str">
        <f>_xlfn.XLOOKUP(tbl_MTG_Set[[#This Row],[Type Name]], tbl_MTG_Set_Type[Set Type], tbl_MTG_Set_Type[Heavy Printing Window Month End], "(Set Type not found)", 0, 1)</f>
        <v>(Set Type not found)</v>
      </c>
      <c r="R384" s="3" t="e">
        <f>tbl_MTG_Set[[#This Row],[Released On]]+tbl_MTG_Set[[#This Row],[Heavy Printing Window Month End]]*365.25/12</f>
        <v>#VALUE!</v>
      </c>
      <c r="S384" s="3" t="e">
        <f ca="1">AND(NOW()&gt;=tbl_MTG_Set[[#This Row],[Heavy Printing Window Start]], NOW()&lt;=tbl_MTG_Set[[#This Row],[Heavy Printing Window End]])</f>
        <v>#VALUE!</v>
      </c>
      <c r="T384" t="str">
        <f>_xlfn.XLOOKUP(tbl_MTG_Set[[#This Row],[Type Name]], tbl_MTG_Set_Type[Set Type], tbl_MTG_Set_Type[Sell Window Month Start], "(Set Type not found)", 0, 1)</f>
        <v>(Set Type not found)</v>
      </c>
      <c r="U384" s="3" t="e">
        <f>tbl_MTG_Set[[#This Row],[Released On]]+tbl_MTG_Set[[#This Row],[Sell Window Month Start]]*365.25/12</f>
        <v>#VALUE!</v>
      </c>
      <c r="V384" t="str">
        <f>_xlfn.XLOOKUP(tbl_MTG_Set[[#This Row],[Type Name]], tbl_MTG_Set_Type[Set Type], tbl_MTG_Set_Type[Sell Window Month End], "(Set Type not found)", 0, 1)</f>
        <v>(Set Type not found)</v>
      </c>
      <c r="W384" s="3" t="e">
        <f>tbl_MTG_Set[[#This Row],[Released On]]+tbl_MTG_Set[[#This Row],[Sell Window Month End]]*365.25/12</f>
        <v>#VALUE!</v>
      </c>
      <c r="X384" s="3" t="e">
        <f ca="1">AND(NOW()&gt;=tbl_MTG_Set[[#This Row],[Sell Window Start]], NOW()&lt;=tbl_MTG_Set[[#This Row],[Sell Window End]])</f>
        <v>#VALUE!</v>
      </c>
      <c r="AG384" s="10"/>
      <c r="AH384" s="10"/>
      <c r="AM384" s="10" t="str" cm="1">
        <f t="array" ref="AM3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4" s="10" t="str" cm="1">
        <f t="array" ref="AN3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4" s="4" t="e">
        <f>_xlfn.XLOOKUP(tbl_MTG_Set[[#This Row],[Play Booster Box Product Id]], tbl_Product[Product Id], tbl_Product[Pack Size])</f>
        <v>#N/A</v>
      </c>
      <c r="AP384" s="10" t="e">
        <f>(tbl_MTG_Set[[#This Row],[Play Booster Box Cost]]+v_Item_Shipping_Cost_In)/tbl_MTG_Set[[#This Row],[Play Booster Box Size]]</f>
        <v>#VALUE!</v>
      </c>
      <c r="AQ384" s="10" t="str" cm="1">
        <f t="array" ref="AQ3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4" s="10"/>
      <c r="AS384" s="10"/>
      <c r="AT384" s="17" t="e">
        <f>tbl_MTG_Set[[#This Row],[Play Booster CardMarket Profit]]/tbl_MTG_Set[[#This Row],[Play Booster Cost]]</f>
        <v>#VALUE!</v>
      </c>
      <c r="AU384" s="10" t="e">
        <f>_xlfn.XLOOKUP(tbl_MTG_Set[[#This Row],[Collector Booster Box Product Id]], tbl_Product[Product Id], tbl_Product[Min Cost])</f>
        <v>#N/A</v>
      </c>
      <c r="AV384" s="10" t="e">
        <f>_xlfn.XLOOKUP(tbl_MTG_Set[[#This Row],[Collector Booster Box Product Id]], tbl_Product[Product Id], tbl_Product[Best Source])</f>
        <v>#N/A</v>
      </c>
      <c r="AW384" s="4" t="e">
        <f>_xlfn.XLOOKUP(tbl_MTG_Set[[#This Row],[Collector Booster Box Product Id]], tbl_Product[Product Id], tbl_Product[Pack Size])</f>
        <v>#N/A</v>
      </c>
      <c r="AX384" s="10" t="e">
        <f>(tbl_MTG_Set[[#This Row],[Collector Booster Box Cost]] + v_Item_Shipping_Cost_In) / tbl_MTG_Set[[#This Row],[Collector Booster Box Size]]</f>
        <v>#N/A</v>
      </c>
      <c r="AY384" s="10" t="str" cm="1">
        <f t="array" ref="AY3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4" s="10"/>
      <c r="BA3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4" s="17" t="e">
        <f>tbl_MTG_Set[[#This Row],[Collector Booster CardMarket Profit]]/tbl_MTG_Set[[#This Row],[Collector Booster Cost]]</f>
        <v>#N/A</v>
      </c>
      <c r="BC384" s="10"/>
      <c r="BF3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4" s="11" t="e">
        <f>tbl_MTG_Set[[#This Row],[Play Singles CardMarket Profit MTG Stocks]]/tbl_MTG_Set[[#This Row],[Play Booster Cost]]</f>
        <v>#VALUE!</v>
      </c>
      <c r="BI384" s="11" t="b">
        <f>tbl_MTG_Set[[#This Row],[Play Singles CardMarket Profit MTG Stocks]]&gt;0</f>
        <v>0</v>
      </c>
      <c r="BM384" s="10" t="e">
        <f>tbl_MTG_Set[[#This Row],[Play Booster Sell Price CardMarket]]*tbl_MTG_Set[[#This Row],[Play Booster Expected Market Value BotBox]]/tbl_MTG_Set[[#This Row],[Play Booster Sealed Market Value BotBox]]</f>
        <v>#VALUE!</v>
      </c>
      <c r="BN3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4" s="10" t="e">
        <f>tbl_MTG_Set[[#This Row],[Play Singles CardMarket Profit BotBox]]/tbl_MTG_Set[[#This Row],[Play Booster Cost]]</f>
        <v>#VALUE!</v>
      </c>
      <c r="BP384" s="10" t="b">
        <f>tbl_MTG_Set[[#This Row],[Play Singles CardMarket Profit BotBox]]&gt;0</f>
        <v>0</v>
      </c>
      <c r="BQ384" s="10"/>
      <c r="BR384" s="10"/>
      <c r="BS384" s="10"/>
      <c r="BT3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4" s="19" t="e">
        <f>tbl_MTG_Set[[#This Row],[Collector Singles CardMarket Profit MTG Stocks]]/tbl_MTG_Set[[#This Row],[Collector Booster Cost]]</f>
        <v>#N/A</v>
      </c>
      <c r="BW384" s="10" t="b">
        <f>tbl_MTG_Set[[#This Row],[Collector Singles CardMarket Profit MTG Stocks]]&gt;0</f>
        <v>0</v>
      </c>
      <c r="BX384" s="10"/>
      <c r="BY384" s="10"/>
      <c r="BZ3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4" s="10" t="e">
        <f>tbl_MTG_Set[[#This Row],[Collector Singles CardMarket Profit BotBox]]/tbl_MTG_Set[[#This Row],[Collector Booster Cost]]</f>
        <v>#N/A</v>
      </c>
      <c r="CC384" s="10" t="b">
        <f>tbl_MTG_Set[[#This Row],[Collector Singles CardMarket Profit BotBox]]&gt;0</f>
        <v>0</v>
      </c>
      <c r="CD3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5" spans="1:86" hidden="1">
      <c r="A385">
        <v>413</v>
      </c>
      <c r="B385" t="s">
        <v>558</v>
      </c>
      <c r="C385">
        <v>10</v>
      </c>
      <c r="D385" s="3">
        <v>45709</v>
      </c>
      <c r="F385" t="s">
        <v>174</v>
      </c>
      <c r="G385">
        <v>772</v>
      </c>
      <c r="H385">
        <f ca="1">MONTH(NOW())+12*YEAR(NOW())-MONTH(tbl_MTG_Set[[#This Row],[Released On]])-12*YEAR(tbl_MTG_Set[[#This Row],[Released On]])</f>
        <v>13</v>
      </c>
      <c r="I385" t="str">
        <f>_xlfn.XLOOKUP(tbl_MTG_Set[[#This Row],[Type Name]], tbl_MTG_Set_Type[Set Type], tbl_MTG_Set_Type[Index], "(Set Type not found)")</f>
        <v>(Set Type not found)</v>
      </c>
      <c r="J385" t="str">
        <f>_xlfn.XLOOKUP(tbl_MTG_Set[[#This Row],[Type Name]], tbl_MTG_Set_Type[Set Type], tbl_MTG_Set_Type[Buy Window Month Start], "(Set Type not found)")</f>
        <v>(Set Type not found)</v>
      </c>
      <c r="K385" s="3" t="e">
        <f>tbl_MTG_Set[[#This Row],[Released On]]+tbl_MTG_Set[[#This Row],[Buy Window Month Start]]*365.25/12</f>
        <v>#VALUE!</v>
      </c>
      <c r="L385" t="str">
        <f>_xlfn.XLOOKUP(tbl_MTG_Set[[#This Row],[Type Name]], tbl_MTG_Set_Type[Set Type], tbl_MTG_Set_Type[Buy Window Month End], "(Set Type not found)", 0, 1)</f>
        <v>(Set Type not found)</v>
      </c>
      <c r="M385" s="3" t="e">
        <f>tbl_MTG_Set[[#This Row],[Released On]]+tbl_MTG_Set[[#This Row],[Buy Window Month End]]*365.25/12</f>
        <v>#VALUE!</v>
      </c>
      <c r="N385" s="3" t="e">
        <f ca="1">AND(NOW()&gt;=tbl_MTG_Set[[#This Row],[Buy Window Start]], NOW()&lt;=tbl_MTG_Set[[#This Row],[Buy Window End]])</f>
        <v>#VALUE!</v>
      </c>
      <c r="O385" t="str">
        <f>_xlfn.XLOOKUP(tbl_MTG_Set[[#This Row],[Type Name]], tbl_MTG_Set_Type[Set Type], tbl_MTG_Set_Type[Heavy Printing Window Month Start], "(Set Type not found)", 0, 1)</f>
        <v>(Set Type not found)</v>
      </c>
      <c r="P385" s="3" t="e">
        <f>tbl_MTG_Set[[#This Row],[Released On]]+tbl_MTG_Set[[#This Row],[Heavy Printing Window Month Start]]*365.25/12</f>
        <v>#VALUE!</v>
      </c>
      <c r="Q385" t="str">
        <f>_xlfn.XLOOKUP(tbl_MTG_Set[[#This Row],[Type Name]], tbl_MTG_Set_Type[Set Type], tbl_MTG_Set_Type[Heavy Printing Window Month End], "(Set Type not found)", 0, 1)</f>
        <v>(Set Type not found)</v>
      </c>
      <c r="R385" s="3" t="e">
        <f>tbl_MTG_Set[[#This Row],[Released On]]+tbl_MTG_Set[[#This Row],[Heavy Printing Window Month End]]*365.25/12</f>
        <v>#VALUE!</v>
      </c>
      <c r="S385" s="3" t="e">
        <f ca="1">AND(NOW()&gt;=tbl_MTG_Set[[#This Row],[Heavy Printing Window Start]], NOW()&lt;=tbl_MTG_Set[[#This Row],[Heavy Printing Window End]])</f>
        <v>#VALUE!</v>
      </c>
      <c r="T385" t="str">
        <f>_xlfn.XLOOKUP(tbl_MTG_Set[[#This Row],[Type Name]], tbl_MTG_Set_Type[Set Type], tbl_MTG_Set_Type[Sell Window Month Start], "(Set Type not found)", 0, 1)</f>
        <v>(Set Type not found)</v>
      </c>
      <c r="U385" s="3" t="e">
        <f>tbl_MTG_Set[[#This Row],[Released On]]+tbl_MTG_Set[[#This Row],[Sell Window Month Start]]*365.25/12</f>
        <v>#VALUE!</v>
      </c>
      <c r="V385" t="str">
        <f>_xlfn.XLOOKUP(tbl_MTG_Set[[#This Row],[Type Name]], tbl_MTG_Set_Type[Set Type], tbl_MTG_Set_Type[Sell Window Month End], "(Set Type not found)", 0, 1)</f>
        <v>(Set Type not found)</v>
      </c>
      <c r="W385" s="3" t="e">
        <f>tbl_MTG_Set[[#This Row],[Released On]]+tbl_MTG_Set[[#This Row],[Sell Window Month End]]*365.25/12</f>
        <v>#VALUE!</v>
      </c>
      <c r="X385" s="3" t="e">
        <f ca="1">AND(NOW()&gt;=tbl_MTG_Set[[#This Row],[Sell Window Start]], NOW()&lt;=tbl_MTG_Set[[#This Row],[Sell Window End]])</f>
        <v>#VALUE!</v>
      </c>
      <c r="AG385" s="10"/>
      <c r="AH385" s="10"/>
      <c r="AM385" s="10" t="str" cm="1">
        <f t="array" ref="AM3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5" s="10" t="str" cm="1">
        <f t="array" ref="AN3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5" s="4" t="e">
        <f>_xlfn.XLOOKUP(tbl_MTG_Set[[#This Row],[Play Booster Box Product Id]], tbl_Product[Product Id], tbl_Product[Pack Size])</f>
        <v>#N/A</v>
      </c>
      <c r="AP385" s="10" t="e">
        <f>(tbl_MTG_Set[[#This Row],[Play Booster Box Cost]]+v_Item_Shipping_Cost_In)/tbl_MTG_Set[[#This Row],[Play Booster Box Size]]</f>
        <v>#VALUE!</v>
      </c>
      <c r="AQ385" s="10" t="str" cm="1">
        <f t="array" ref="AQ3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5" s="10"/>
      <c r="AS385" s="10"/>
      <c r="AT385" s="17" t="e">
        <f>tbl_MTG_Set[[#This Row],[Play Booster CardMarket Profit]]/tbl_MTG_Set[[#This Row],[Play Booster Cost]]</f>
        <v>#VALUE!</v>
      </c>
      <c r="AU385" s="10" t="e">
        <f>_xlfn.XLOOKUP(tbl_MTG_Set[[#This Row],[Collector Booster Box Product Id]], tbl_Product[Product Id], tbl_Product[Min Cost])</f>
        <v>#N/A</v>
      </c>
      <c r="AV385" s="10" t="e">
        <f>_xlfn.XLOOKUP(tbl_MTG_Set[[#This Row],[Collector Booster Box Product Id]], tbl_Product[Product Id], tbl_Product[Best Source])</f>
        <v>#N/A</v>
      </c>
      <c r="AW385" s="4" t="e">
        <f>_xlfn.XLOOKUP(tbl_MTG_Set[[#This Row],[Collector Booster Box Product Id]], tbl_Product[Product Id], tbl_Product[Pack Size])</f>
        <v>#N/A</v>
      </c>
      <c r="AX385" s="10" t="e">
        <f>(tbl_MTG_Set[[#This Row],[Collector Booster Box Cost]] + v_Item_Shipping_Cost_In) / tbl_MTG_Set[[#This Row],[Collector Booster Box Size]]</f>
        <v>#N/A</v>
      </c>
      <c r="AY385" s="10" t="str" cm="1">
        <f t="array" ref="AY3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5" s="10"/>
      <c r="BA3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5" s="17" t="e">
        <f>tbl_MTG_Set[[#This Row],[Collector Booster CardMarket Profit]]/tbl_MTG_Set[[#This Row],[Collector Booster Cost]]</f>
        <v>#N/A</v>
      </c>
      <c r="BC385" s="10"/>
      <c r="BF3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5" s="11" t="e">
        <f>tbl_MTG_Set[[#This Row],[Play Singles CardMarket Profit MTG Stocks]]/tbl_MTG_Set[[#This Row],[Play Booster Cost]]</f>
        <v>#VALUE!</v>
      </c>
      <c r="BI385" s="11" t="b">
        <f>tbl_MTG_Set[[#This Row],[Play Singles CardMarket Profit MTG Stocks]]&gt;0</f>
        <v>0</v>
      </c>
      <c r="BM385" s="10" t="e">
        <f>tbl_MTG_Set[[#This Row],[Play Booster Sell Price CardMarket]]*tbl_MTG_Set[[#This Row],[Play Booster Expected Market Value BotBox]]/tbl_MTG_Set[[#This Row],[Play Booster Sealed Market Value BotBox]]</f>
        <v>#VALUE!</v>
      </c>
      <c r="BN3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5" s="10" t="e">
        <f>tbl_MTG_Set[[#This Row],[Play Singles CardMarket Profit BotBox]]/tbl_MTG_Set[[#This Row],[Play Booster Cost]]</f>
        <v>#VALUE!</v>
      </c>
      <c r="BP385" s="10" t="b">
        <f>tbl_MTG_Set[[#This Row],[Play Singles CardMarket Profit BotBox]]&gt;0</f>
        <v>0</v>
      </c>
      <c r="BQ385" s="10"/>
      <c r="BR385" s="10"/>
      <c r="BS385" s="10"/>
      <c r="BT3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5" s="19" t="e">
        <f>tbl_MTG_Set[[#This Row],[Collector Singles CardMarket Profit MTG Stocks]]/tbl_MTG_Set[[#This Row],[Collector Booster Cost]]</f>
        <v>#N/A</v>
      </c>
      <c r="BW385" s="10" t="b">
        <f>tbl_MTG_Set[[#This Row],[Collector Singles CardMarket Profit MTG Stocks]]&gt;0</f>
        <v>0</v>
      </c>
      <c r="BX385" s="10"/>
      <c r="BY385" s="10"/>
      <c r="BZ3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5" s="10" t="e">
        <f>tbl_MTG_Set[[#This Row],[Collector Singles CardMarket Profit BotBox]]/tbl_MTG_Set[[#This Row],[Collector Booster Cost]]</f>
        <v>#N/A</v>
      </c>
      <c r="CC385" s="10" t="b">
        <f>tbl_MTG_Set[[#This Row],[Collector Singles CardMarket Profit BotBox]]&gt;0</f>
        <v>0</v>
      </c>
      <c r="CD3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6" spans="1:86" hidden="1">
      <c r="A386">
        <v>414</v>
      </c>
      <c r="B386" t="s">
        <v>559</v>
      </c>
      <c r="C386">
        <v>47</v>
      </c>
      <c r="D386" s="3">
        <v>44974</v>
      </c>
      <c r="F386" t="s">
        <v>174</v>
      </c>
      <c r="G386">
        <v>774</v>
      </c>
      <c r="H386">
        <f ca="1">MONTH(NOW())+12*YEAR(NOW())-MONTH(tbl_MTG_Set[[#This Row],[Released On]])-12*YEAR(tbl_MTG_Set[[#This Row],[Released On]])</f>
        <v>37</v>
      </c>
      <c r="I386" t="str">
        <f>_xlfn.XLOOKUP(tbl_MTG_Set[[#This Row],[Type Name]], tbl_MTG_Set_Type[Set Type], tbl_MTG_Set_Type[Index], "(Set Type not found)")</f>
        <v>(Set Type not found)</v>
      </c>
      <c r="J386" t="str">
        <f>_xlfn.XLOOKUP(tbl_MTG_Set[[#This Row],[Type Name]], tbl_MTG_Set_Type[Set Type], tbl_MTG_Set_Type[Buy Window Month Start], "(Set Type not found)")</f>
        <v>(Set Type not found)</v>
      </c>
      <c r="K386" s="3" t="e">
        <f>tbl_MTG_Set[[#This Row],[Released On]]+tbl_MTG_Set[[#This Row],[Buy Window Month Start]]*365.25/12</f>
        <v>#VALUE!</v>
      </c>
      <c r="L386" t="str">
        <f>_xlfn.XLOOKUP(tbl_MTG_Set[[#This Row],[Type Name]], tbl_MTG_Set_Type[Set Type], tbl_MTG_Set_Type[Buy Window Month End], "(Set Type not found)", 0, 1)</f>
        <v>(Set Type not found)</v>
      </c>
      <c r="M386" s="3" t="e">
        <f>tbl_MTG_Set[[#This Row],[Released On]]+tbl_MTG_Set[[#This Row],[Buy Window Month End]]*365.25/12</f>
        <v>#VALUE!</v>
      </c>
      <c r="N386" s="3" t="e">
        <f ca="1">AND(NOW()&gt;=tbl_MTG_Set[[#This Row],[Buy Window Start]], NOW()&lt;=tbl_MTG_Set[[#This Row],[Buy Window End]])</f>
        <v>#VALUE!</v>
      </c>
      <c r="O386" t="str">
        <f>_xlfn.XLOOKUP(tbl_MTG_Set[[#This Row],[Type Name]], tbl_MTG_Set_Type[Set Type], tbl_MTG_Set_Type[Heavy Printing Window Month Start], "(Set Type not found)", 0, 1)</f>
        <v>(Set Type not found)</v>
      </c>
      <c r="P386" s="3" t="e">
        <f>tbl_MTG_Set[[#This Row],[Released On]]+tbl_MTG_Set[[#This Row],[Heavy Printing Window Month Start]]*365.25/12</f>
        <v>#VALUE!</v>
      </c>
      <c r="Q386" t="str">
        <f>_xlfn.XLOOKUP(tbl_MTG_Set[[#This Row],[Type Name]], tbl_MTG_Set_Type[Set Type], tbl_MTG_Set_Type[Heavy Printing Window Month End], "(Set Type not found)", 0, 1)</f>
        <v>(Set Type not found)</v>
      </c>
      <c r="R386" s="3" t="e">
        <f>tbl_MTG_Set[[#This Row],[Released On]]+tbl_MTG_Set[[#This Row],[Heavy Printing Window Month End]]*365.25/12</f>
        <v>#VALUE!</v>
      </c>
      <c r="S386" s="3" t="e">
        <f ca="1">AND(NOW()&gt;=tbl_MTG_Set[[#This Row],[Heavy Printing Window Start]], NOW()&lt;=tbl_MTG_Set[[#This Row],[Heavy Printing Window End]])</f>
        <v>#VALUE!</v>
      </c>
      <c r="T386" t="str">
        <f>_xlfn.XLOOKUP(tbl_MTG_Set[[#This Row],[Type Name]], tbl_MTG_Set_Type[Set Type], tbl_MTG_Set_Type[Sell Window Month Start], "(Set Type not found)", 0, 1)</f>
        <v>(Set Type not found)</v>
      </c>
      <c r="U386" s="3" t="e">
        <f>tbl_MTG_Set[[#This Row],[Released On]]+tbl_MTG_Set[[#This Row],[Sell Window Month Start]]*365.25/12</f>
        <v>#VALUE!</v>
      </c>
      <c r="V386" t="str">
        <f>_xlfn.XLOOKUP(tbl_MTG_Set[[#This Row],[Type Name]], tbl_MTG_Set_Type[Set Type], tbl_MTG_Set_Type[Sell Window Month End], "(Set Type not found)", 0, 1)</f>
        <v>(Set Type not found)</v>
      </c>
      <c r="W386" s="3" t="e">
        <f>tbl_MTG_Set[[#This Row],[Released On]]+tbl_MTG_Set[[#This Row],[Sell Window Month End]]*365.25/12</f>
        <v>#VALUE!</v>
      </c>
      <c r="X386" s="3" t="e">
        <f ca="1">AND(NOW()&gt;=tbl_MTG_Set[[#This Row],[Sell Window Start]], NOW()&lt;=tbl_MTG_Set[[#This Row],[Sell Window End]])</f>
        <v>#VALUE!</v>
      </c>
      <c r="AG386" s="10"/>
      <c r="AH386" s="10"/>
      <c r="AM386" s="10" t="str" cm="1">
        <f t="array" ref="AM3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6" s="10" t="str" cm="1">
        <f t="array" ref="AN3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6" s="4" t="e">
        <f>_xlfn.XLOOKUP(tbl_MTG_Set[[#This Row],[Play Booster Box Product Id]], tbl_Product[Product Id], tbl_Product[Pack Size])</f>
        <v>#N/A</v>
      </c>
      <c r="AP386" s="10" t="e">
        <f>(tbl_MTG_Set[[#This Row],[Play Booster Box Cost]]+v_Item_Shipping_Cost_In)/tbl_MTG_Set[[#This Row],[Play Booster Box Size]]</f>
        <v>#VALUE!</v>
      </c>
      <c r="AQ386" s="10" t="str" cm="1">
        <f t="array" ref="AQ3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6" s="10"/>
      <c r="AS386" s="10"/>
      <c r="AT386" s="17" t="e">
        <f>tbl_MTG_Set[[#This Row],[Play Booster CardMarket Profit]]/tbl_MTG_Set[[#This Row],[Play Booster Cost]]</f>
        <v>#VALUE!</v>
      </c>
      <c r="AU386" s="10" t="e">
        <f>_xlfn.XLOOKUP(tbl_MTG_Set[[#This Row],[Collector Booster Box Product Id]], tbl_Product[Product Id], tbl_Product[Min Cost])</f>
        <v>#N/A</v>
      </c>
      <c r="AV386" s="10" t="e">
        <f>_xlfn.XLOOKUP(tbl_MTG_Set[[#This Row],[Collector Booster Box Product Id]], tbl_Product[Product Id], tbl_Product[Best Source])</f>
        <v>#N/A</v>
      </c>
      <c r="AW386" s="4" t="e">
        <f>_xlfn.XLOOKUP(tbl_MTG_Set[[#This Row],[Collector Booster Box Product Id]], tbl_Product[Product Id], tbl_Product[Pack Size])</f>
        <v>#N/A</v>
      </c>
      <c r="AX386" s="10" t="e">
        <f>(tbl_MTG_Set[[#This Row],[Collector Booster Box Cost]] + v_Item_Shipping_Cost_In) / tbl_MTG_Set[[#This Row],[Collector Booster Box Size]]</f>
        <v>#N/A</v>
      </c>
      <c r="AY386" s="10" t="str" cm="1">
        <f t="array" ref="AY3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6" s="10"/>
      <c r="BA3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6" s="17" t="e">
        <f>tbl_MTG_Set[[#This Row],[Collector Booster CardMarket Profit]]/tbl_MTG_Set[[#This Row],[Collector Booster Cost]]</f>
        <v>#N/A</v>
      </c>
      <c r="BC386" s="10"/>
      <c r="BF3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6" s="11" t="e">
        <f>tbl_MTG_Set[[#This Row],[Play Singles CardMarket Profit MTG Stocks]]/tbl_MTG_Set[[#This Row],[Play Booster Cost]]</f>
        <v>#VALUE!</v>
      </c>
      <c r="BI386" s="11" t="b">
        <f>tbl_MTG_Set[[#This Row],[Play Singles CardMarket Profit MTG Stocks]]&gt;0</f>
        <v>0</v>
      </c>
      <c r="BM386" s="10" t="e">
        <f>tbl_MTG_Set[[#This Row],[Play Booster Sell Price CardMarket]]*tbl_MTG_Set[[#This Row],[Play Booster Expected Market Value BotBox]]/tbl_MTG_Set[[#This Row],[Play Booster Sealed Market Value BotBox]]</f>
        <v>#VALUE!</v>
      </c>
      <c r="BN3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6" s="10" t="e">
        <f>tbl_MTG_Set[[#This Row],[Play Singles CardMarket Profit BotBox]]/tbl_MTG_Set[[#This Row],[Play Booster Cost]]</f>
        <v>#VALUE!</v>
      </c>
      <c r="BP386" s="10" t="b">
        <f>tbl_MTG_Set[[#This Row],[Play Singles CardMarket Profit BotBox]]&gt;0</f>
        <v>0</v>
      </c>
      <c r="BQ386" s="10"/>
      <c r="BR386" s="10"/>
      <c r="BS386" s="10"/>
      <c r="BT3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6" s="19" t="e">
        <f>tbl_MTG_Set[[#This Row],[Collector Singles CardMarket Profit MTG Stocks]]/tbl_MTG_Set[[#This Row],[Collector Booster Cost]]</f>
        <v>#N/A</v>
      </c>
      <c r="BW386" s="10" t="b">
        <f>tbl_MTG_Set[[#This Row],[Collector Singles CardMarket Profit MTG Stocks]]&gt;0</f>
        <v>0</v>
      </c>
      <c r="BX386" s="10"/>
      <c r="BY386" s="10"/>
      <c r="BZ3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6" s="10" t="e">
        <f>tbl_MTG_Set[[#This Row],[Collector Singles CardMarket Profit BotBox]]/tbl_MTG_Set[[#This Row],[Collector Booster Cost]]</f>
        <v>#N/A</v>
      </c>
      <c r="CC386" s="10" t="b">
        <f>tbl_MTG_Set[[#This Row],[Collector Singles CardMarket Profit BotBox]]&gt;0</f>
        <v>0</v>
      </c>
      <c r="CD3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7" spans="1:86" hidden="1">
      <c r="A387">
        <v>415</v>
      </c>
      <c r="B387" t="s">
        <v>560</v>
      </c>
      <c r="C387">
        <v>84</v>
      </c>
      <c r="D387" s="3">
        <v>44866</v>
      </c>
      <c r="F387" t="s">
        <v>174</v>
      </c>
      <c r="G387">
        <v>776</v>
      </c>
      <c r="H387">
        <f ca="1">MONTH(NOW())+12*YEAR(NOW())-MONTH(tbl_MTG_Set[[#This Row],[Released On]])-12*YEAR(tbl_MTG_Set[[#This Row],[Released On]])</f>
        <v>40</v>
      </c>
      <c r="I387" t="str">
        <f>_xlfn.XLOOKUP(tbl_MTG_Set[[#This Row],[Type Name]], tbl_MTG_Set_Type[Set Type], tbl_MTG_Set_Type[Index], "(Set Type not found)")</f>
        <v>(Set Type not found)</v>
      </c>
      <c r="J387" t="str">
        <f>_xlfn.XLOOKUP(tbl_MTG_Set[[#This Row],[Type Name]], tbl_MTG_Set_Type[Set Type], tbl_MTG_Set_Type[Buy Window Month Start], "(Set Type not found)")</f>
        <v>(Set Type not found)</v>
      </c>
      <c r="K387" s="3" t="e">
        <f>tbl_MTG_Set[[#This Row],[Released On]]+tbl_MTG_Set[[#This Row],[Buy Window Month Start]]*365.25/12</f>
        <v>#VALUE!</v>
      </c>
      <c r="L387" t="str">
        <f>_xlfn.XLOOKUP(tbl_MTG_Set[[#This Row],[Type Name]], tbl_MTG_Set_Type[Set Type], tbl_MTG_Set_Type[Buy Window Month End], "(Set Type not found)", 0, 1)</f>
        <v>(Set Type not found)</v>
      </c>
      <c r="M387" s="3" t="e">
        <f>tbl_MTG_Set[[#This Row],[Released On]]+tbl_MTG_Set[[#This Row],[Buy Window Month End]]*365.25/12</f>
        <v>#VALUE!</v>
      </c>
      <c r="N387" s="3" t="e">
        <f ca="1">AND(NOW()&gt;=tbl_MTG_Set[[#This Row],[Buy Window Start]], NOW()&lt;=tbl_MTG_Set[[#This Row],[Buy Window End]])</f>
        <v>#VALUE!</v>
      </c>
      <c r="O387" t="str">
        <f>_xlfn.XLOOKUP(tbl_MTG_Set[[#This Row],[Type Name]], tbl_MTG_Set_Type[Set Type], tbl_MTG_Set_Type[Heavy Printing Window Month Start], "(Set Type not found)", 0, 1)</f>
        <v>(Set Type not found)</v>
      </c>
      <c r="P387" s="3" t="e">
        <f>tbl_MTG_Set[[#This Row],[Released On]]+tbl_MTG_Set[[#This Row],[Heavy Printing Window Month Start]]*365.25/12</f>
        <v>#VALUE!</v>
      </c>
      <c r="Q387" t="str">
        <f>_xlfn.XLOOKUP(tbl_MTG_Set[[#This Row],[Type Name]], tbl_MTG_Set_Type[Set Type], tbl_MTG_Set_Type[Heavy Printing Window Month End], "(Set Type not found)", 0, 1)</f>
        <v>(Set Type not found)</v>
      </c>
      <c r="R387" s="3" t="e">
        <f>tbl_MTG_Set[[#This Row],[Released On]]+tbl_MTG_Set[[#This Row],[Heavy Printing Window Month End]]*365.25/12</f>
        <v>#VALUE!</v>
      </c>
      <c r="S387" s="3" t="e">
        <f ca="1">AND(NOW()&gt;=tbl_MTG_Set[[#This Row],[Heavy Printing Window Start]], NOW()&lt;=tbl_MTG_Set[[#This Row],[Heavy Printing Window End]])</f>
        <v>#VALUE!</v>
      </c>
      <c r="T387" t="str">
        <f>_xlfn.XLOOKUP(tbl_MTG_Set[[#This Row],[Type Name]], tbl_MTG_Set_Type[Set Type], tbl_MTG_Set_Type[Sell Window Month Start], "(Set Type not found)", 0, 1)</f>
        <v>(Set Type not found)</v>
      </c>
      <c r="U387" s="3" t="e">
        <f>tbl_MTG_Set[[#This Row],[Released On]]+tbl_MTG_Set[[#This Row],[Sell Window Month Start]]*365.25/12</f>
        <v>#VALUE!</v>
      </c>
      <c r="V387" t="str">
        <f>_xlfn.XLOOKUP(tbl_MTG_Set[[#This Row],[Type Name]], tbl_MTG_Set_Type[Set Type], tbl_MTG_Set_Type[Sell Window Month End], "(Set Type not found)", 0, 1)</f>
        <v>(Set Type not found)</v>
      </c>
      <c r="W387" s="3" t="e">
        <f>tbl_MTG_Set[[#This Row],[Released On]]+tbl_MTG_Set[[#This Row],[Sell Window Month End]]*365.25/12</f>
        <v>#VALUE!</v>
      </c>
      <c r="X387" s="3" t="e">
        <f ca="1">AND(NOW()&gt;=tbl_MTG_Set[[#This Row],[Sell Window Start]], NOW()&lt;=tbl_MTG_Set[[#This Row],[Sell Window End]])</f>
        <v>#VALUE!</v>
      </c>
      <c r="AG387" s="10"/>
      <c r="AH387" s="10"/>
      <c r="AM387" s="10" t="str" cm="1">
        <f t="array" ref="AM3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7" s="10" t="str" cm="1">
        <f t="array" ref="AN3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7" s="4" t="e">
        <f>_xlfn.XLOOKUP(tbl_MTG_Set[[#This Row],[Play Booster Box Product Id]], tbl_Product[Product Id], tbl_Product[Pack Size])</f>
        <v>#N/A</v>
      </c>
      <c r="AP387" s="10" t="e">
        <f>(tbl_MTG_Set[[#This Row],[Play Booster Box Cost]]+v_Item_Shipping_Cost_In)/tbl_MTG_Set[[#This Row],[Play Booster Box Size]]</f>
        <v>#VALUE!</v>
      </c>
      <c r="AQ387" s="10" t="str" cm="1">
        <f t="array" ref="AQ3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7" s="10"/>
      <c r="AS387" s="10"/>
      <c r="AT387" s="17" t="e">
        <f>tbl_MTG_Set[[#This Row],[Play Booster CardMarket Profit]]/tbl_MTG_Set[[#This Row],[Play Booster Cost]]</f>
        <v>#VALUE!</v>
      </c>
      <c r="AU387" s="10" t="e">
        <f>_xlfn.XLOOKUP(tbl_MTG_Set[[#This Row],[Collector Booster Box Product Id]], tbl_Product[Product Id], tbl_Product[Min Cost])</f>
        <v>#N/A</v>
      </c>
      <c r="AV387" s="10" t="e">
        <f>_xlfn.XLOOKUP(tbl_MTG_Set[[#This Row],[Collector Booster Box Product Id]], tbl_Product[Product Id], tbl_Product[Best Source])</f>
        <v>#N/A</v>
      </c>
      <c r="AW387" s="4" t="e">
        <f>_xlfn.XLOOKUP(tbl_MTG_Set[[#This Row],[Collector Booster Box Product Id]], tbl_Product[Product Id], tbl_Product[Pack Size])</f>
        <v>#N/A</v>
      </c>
      <c r="AX387" s="10" t="e">
        <f>(tbl_MTG_Set[[#This Row],[Collector Booster Box Cost]] + v_Item_Shipping_Cost_In) / tbl_MTG_Set[[#This Row],[Collector Booster Box Size]]</f>
        <v>#N/A</v>
      </c>
      <c r="AY387" s="10" t="str" cm="1">
        <f t="array" ref="AY3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7" s="10"/>
      <c r="BA3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7" s="17" t="e">
        <f>tbl_MTG_Set[[#This Row],[Collector Booster CardMarket Profit]]/tbl_MTG_Set[[#This Row],[Collector Booster Cost]]</f>
        <v>#N/A</v>
      </c>
      <c r="BC387" s="10"/>
      <c r="BF3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7" s="11" t="e">
        <f>tbl_MTG_Set[[#This Row],[Play Singles CardMarket Profit MTG Stocks]]/tbl_MTG_Set[[#This Row],[Play Booster Cost]]</f>
        <v>#VALUE!</v>
      </c>
      <c r="BI387" s="11" t="b">
        <f>tbl_MTG_Set[[#This Row],[Play Singles CardMarket Profit MTG Stocks]]&gt;0</f>
        <v>0</v>
      </c>
      <c r="BM387" s="10" t="e">
        <f>tbl_MTG_Set[[#This Row],[Play Booster Sell Price CardMarket]]*tbl_MTG_Set[[#This Row],[Play Booster Expected Market Value BotBox]]/tbl_MTG_Set[[#This Row],[Play Booster Sealed Market Value BotBox]]</f>
        <v>#VALUE!</v>
      </c>
      <c r="BN3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7" s="10" t="e">
        <f>tbl_MTG_Set[[#This Row],[Play Singles CardMarket Profit BotBox]]/tbl_MTG_Set[[#This Row],[Play Booster Cost]]</f>
        <v>#VALUE!</v>
      </c>
      <c r="BP387" s="10" t="b">
        <f>tbl_MTG_Set[[#This Row],[Play Singles CardMarket Profit BotBox]]&gt;0</f>
        <v>0</v>
      </c>
      <c r="BQ387" s="10"/>
      <c r="BR387" s="10"/>
      <c r="BS387" s="10"/>
      <c r="BT3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7" s="19" t="e">
        <f>tbl_MTG_Set[[#This Row],[Collector Singles CardMarket Profit MTG Stocks]]/tbl_MTG_Set[[#This Row],[Collector Booster Cost]]</f>
        <v>#N/A</v>
      </c>
      <c r="BW387" s="10" t="b">
        <f>tbl_MTG_Set[[#This Row],[Collector Singles CardMarket Profit MTG Stocks]]&gt;0</f>
        <v>0</v>
      </c>
      <c r="BX387" s="10"/>
      <c r="BY387" s="10"/>
      <c r="BZ3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7" s="10" t="e">
        <f>tbl_MTG_Set[[#This Row],[Collector Singles CardMarket Profit BotBox]]/tbl_MTG_Set[[#This Row],[Collector Booster Cost]]</f>
        <v>#N/A</v>
      </c>
      <c r="CC387" s="10" t="b">
        <f>tbl_MTG_Set[[#This Row],[Collector Singles CardMarket Profit BotBox]]&gt;0</f>
        <v>0</v>
      </c>
      <c r="CD3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8" spans="1:86" hidden="1">
      <c r="A388">
        <v>416</v>
      </c>
      <c r="B388" t="s">
        <v>561</v>
      </c>
      <c r="C388">
        <v>30</v>
      </c>
      <c r="D388" s="3">
        <v>44623</v>
      </c>
      <c r="F388" t="s">
        <v>174</v>
      </c>
      <c r="G388">
        <v>778</v>
      </c>
      <c r="H388">
        <f ca="1">MONTH(NOW())+12*YEAR(NOW())-MONTH(tbl_MTG_Set[[#This Row],[Released On]])-12*YEAR(tbl_MTG_Set[[#This Row],[Released On]])</f>
        <v>48</v>
      </c>
      <c r="I388" t="str">
        <f>_xlfn.XLOOKUP(tbl_MTG_Set[[#This Row],[Type Name]], tbl_MTG_Set_Type[Set Type], tbl_MTG_Set_Type[Index], "(Set Type not found)")</f>
        <v>(Set Type not found)</v>
      </c>
      <c r="J388" t="str">
        <f>_xlfn.XLOOKUP(tbl_MTG_Set[[#This Row],[Type Name]], tbl_MTG_Set_Type[Set Type], tbl_MTG_Set_Type[Buy Window Month Start], "(Set Type not found)")</f>
        <v>(Set Type not found)</v>
      </c>
      <c r="K388" s="3" t="e">
        <f>tbl_MTG_Set[[#This Row],[Released On]]+tbl_MTG_Set[[#This Row],[Buy Window Month Start]]*365.25/12</f>
        <v>#VALUE!</v>
      </c>
      <c r="L388" t="str">
        <f>_xlfn.XLOOKUP(tbl_MTG_Set[[#This Row],[Type Name]], tbl_MTG_Set_Type[Set Type], tbl_MTG_Set_Type[Buy Window Month End], "(Set Type not found)", 0, 1)</f>
        <v>(Set Type not found)</v>
      </c>
      <c r="M388" s="3" t="e">
        <f>tbl_MTG_Set[[#This Row],[Released On]]+tbl_MTG_Set[[#This Row],[Buy Window Month End]]*365.25/12</f>
        <v>#VALUE!</v>
      </c>
      <c r="N388" s="3" t="e">
        <f ca="1">AND(NOW()&gt;=tbl_MTG_Set[[#This Row],[Buy Window Start]], NOW()&lt;=tbl_MTG_Set[[#This Row],[Buy Window End]])</f>
        <v>#VALUE!</v>
      </c>
      <c r="O388" t="str">
        <f>_xlfn.XLOOKUP(tbl_MTG_Set[[#This Row],[Type Name]], tbl_MTG_Set_Type[Set Type], tbl_MTG_Set_Type[Heavy Printing Window Month Start], "(Set Type not found)", 0, 1)</f>
        <v>(Set Type not found)</v>
      </c>
      <c r="P388" s="3" t="e">
        <f>tbl_MTG_Set[[#This Row],[Released On]]+tbl_MTG_Set[[#This Row],[Heavy Printing Window Month Start]]*365.25/12</f>
        <v>#VALUE!</v>
      </c>
      <c r="Q388" t="str">
        <f>_xlfn.XLOOKUP(tbl_MTG_Set[[#This Row],[Type Name]], tbl_MTG_Set_Type[Set Type], tbl_MTG_Set_Type[Heavy Printing Window Month End], "(Set Type not found)", 0, 1)</f>
        <v>(Set Type not found)</v>
      </c>
      <c r="R388" s="3" t="e">
        <f>tbl_MTG_Set[[#This Row],[Released On]]+tbl_MTG_Set[[#This Row],[Heavy Printing Window Month End]]*365.25/12</f>
        <v>#VALUE!</v>
      </c>
      <c r="S388" s="3" t="e">
        <f ca="1">AND(NOW()&gt;=tbl_MTG_Set[[#This Row],[Heavy Printing Window Start]], NOW()&lt;=tbl_MTG_Set[[#This Row],[Heavy Printing Window End]])</f>
        <v>#VALUE!</v>
      </c>
      <c r="T388" t="str">
        <f>_xlfn.XLOOKUP(tbl_MTG_Set[[#This Row],[Type Name]], tbl_MTG_Set_Type[Set Type], tbl_MTG_Set_Type[Sell Window Month Start], "(Set Type not found)", 0, 1)</f>
        <v>(Set Type not found)</v>
      </c>
      <c r="U388" s="3" t="e">
        <f>tbl_MTG_Set[[#This Row],[Released On]]+tbl_MTG_Set[[#This Row],[Sell Window Month Start]]*365.25/12</f>
        <v>#VALUE!</v>
      </c>
      <c r="V388" t="str">
        <f>_xlfn.XLOOKUP(tbl_MTG_Set[[#This Row],[Type Name]], tbl_MTG_Set_Type[Set Type], tbl_MTG_Set_Type[Sell Window Month End], "(Set Type not found)", 0, 1)</f>
        <v>(Set Type not found)</v>
      </c>
      <c r="W388" s="3" t="e">
        <f>tbl_MTG_Set[[#This Row],[Released On]]+tbl_MTG_Set[[#This Row],[Sell Window Month End]]*365.25/12</f>
        <v>#VALUE!</v>
      </c>
      <c r="X388" s="3" t="e">
        <f ca="1">AND(NOW()&gt;=tbl_MTG_Set[[#This Row],[Sell Window Start]], NOW()&lt;=tbl_MTG_Set[[#This Row],[Sell Window End]])</f>
        <v>#VALUE!</v>
      </c>
      <c r="AG388" s="10"/>
      <c r="AH388" s="10"/>
      <c r="AM388" s="10" t="str" cm="1">
        <f t="array" ref="AM3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8" s="10" t="str" cm="1">
        <f t="array" ref="AN3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8" s="4" t="e">
        <f>_xlfn.XLOOKUP(tbl_MTG_Set[[#This Row],[Play Booster Box Product Id]], tbl_Product[Product Id], tbl_Product[Pack Size])</f>
        <v>#N/A</v>
      </c>
      <c r="AP388" s="10" t="e">
        <f>(tbl_MTG_Set[[#This Row],[Play Booster Box Cost]]+v_Item_Shipping_Cost_In)/tbl_MTG_Set[[#This Row],[Play Booster Box Size]]</f>
        <v>#VALUE!</v>
      </c>
      <c r="AQ388" s="10" t="str" cm="1">
        <f t="array" ref="AQ3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8" s="10"/>
      <c r="AS388" s="10"/>
      <c r="AT388" s="17" t="e">
        <f>tbl_MTG_Set[[#This Row],[Play Booster CardMarket Profit]]/tbl_MTG_Set[[#This Row],[Play Booster Cost]]</f>
        <v>#VALUE!</v>
      </c>
      <c r="AU388" s="10" t="e">
        <f>_xlfn.XLOOKUP(tbl_MTG_Set[[#This Row],[Collector Booster Box Product Id]], tbl_Product[Product Id], tbl_Product[Min Cost])</f>
        <v>#N/A</v>
      </c>
      <c r="AV388" s="10" t="e">
        <f>_xlfn.XLOOKUP(tbl_MTG_Set[[#This Row],[Collector Booster Box Product Id]], tbl_Product[Product Id], tbl_Product[Best Source])</f>
        <v>#N/A</v>
      </c>
      <c r="AW388" s="4" t="e">
        <f>_xlfn.XLOOKUP(tbl_MTG_Set[[#This Row],[Collector Booster Box Product Id]], tbl_Product[Product Id], tbl_Product[Pack Size])</f>
        <v>#N/A</v>
      </c>
      <c r="AX388" s="10" t="e">
        <f>(tbl_MTG_Set[[#This Row],[Collector Booster Box Cost]] + v_Item_Shipping_Cost_In) / tbl_MTG_Set[[#This Row],[Collector Booster Box Size]]</f>
        <v>#N/A</v>
      </c>
      <c r="AY388" s="10" t="str" cm="1">
        <f t="array" ref="AY3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8" s="10"/>
      <c r="BA3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8" s="17" t="e">
        <f>tbl_MTG_Set[[#This Row],[Collector Booster CardMarket Profit]]/tbl_MTG_Set[[#This Row],[Collector Booster Cost]]</f>
        <v>#N/A</v>
      </c>
      <c r="BC388" s="10"/>
      <c r="BF3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8" s="11" t="e">
        <f>tbl_MTG_Set[[#This Row],[Play Singles CardMarket Profit MTG Stocks]]/tbl_MTG_Set[[#This Row],[Play Booster Cost]]</f>
        <v>#VALUE!</v>
      </c>
      <c r="BI388" s="11" t="b">
        <f>tbl_MTG_Set[[#This Row],[Play Singles CardMarket Profit MTG Stocks]]&gt;0</f>
        <v>0</v>
      </c>
      <c r="BM388" s="10" t="e">
        <f>tbl_MTG_Set[[#This Row],[Play Booster Sell Price CardMarket]]*tbl_MTG_Set[[#This Row],[Play Booster Expected Market Value BotBox]]/tbl_MTG_Set[[#This Row],[Play Booster Sealed Market Value BotBox]]</f>
        <v>#VALUE!</v>
      </c>
      <c r="BN3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8" s="10" t="e">
        <f>tbl_MTG_Set[[#This Row],[Play Singles CardMarket Profit BotBox]]/tbl_MTG_Set[[#This Row],[Play Booster Cost]]</f>
        <v>#VALUE!</v>
      </c>
      <c r="BP388" s="10" t="b">
        <f>tbl_MTG_Set[[#This Row],[Play Singles CardMarket Profit BotBox]]&gt;0</f>
        <v>0</v>
      </c>
      <c r="BQ388" s="10"/>
      <c r="BR388" s="10"/>
      <c r="BS388" s="10"/>
      <c r="BT3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8" s="19" t="e">
        <f>tbl_MTG_Set[[#This Row],[Collector Singles CardMarket Profit MTG Stocks]]/tbl_MTG_Set[[#This Row],[Collector Booster Cost]]</f>
        <v>#N/A</v>
      </c>
      <c r="BW388" s="10" t="b">
        <f>tbl_MTG_Set[[#This Row],[Collector Singles CardMarket Profit MTG Stocks]]&gt;0</f>
        <v>0</v>
      </c>
      <c r="BX388" s="10"/>
      <c r="BY388" s="10"/>
      <c r="BZ3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8" s="10" t="e">
        <f>tbl_MTG_Set[[#This Row],[Collector Singles CardMarket Profit BotBox]]/tbl_MTG_Set[[#This Row],[Collector Booster Cost]]</f>
        <v>#N/A</v>
      </c>
      <c r="CC388" s="10" t="b">
        <f>tbl_MTG_Set[[#This Row],[Collector Singles CardMarket Profit BotBox]]&gt;0</f>
        <v>0</v>
      </c>
      <c r="CD3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89" spans="1:86" hidden="1">
      <c r="A389">
        <v>417</v>
      </c>
      <c r="B389" t="s">
        <v>562</v>
      </c>
      <c r="C389">
        <v>16</v>
      </c>
      <c r="D389" s="3">
        <v>43980</v>
      </c>
      <c r="F389" t="s">
        <v>174</v>
      </c>
      <c r="G389">
        <v>780</v>
      </c>
      <c r="H389">
        <f ca="1">MONTH(NOW())+12*YEAR(NOW())-MONTH(tbl_MTG_Set[[#This Row],[Released On]])-12*YEAR(tbl_MTG_Set[[#This Row],[Released On]])</f>
        <v>70</v>
      </c>
      <c r="I389" t="str">
        <f>_xlfn.XLOOKUP(tbl_MTG_Set[[#This Row],[Type Name]], tbl_MTG_Set_Type[Set Type], tbl_MTG_Set_Type[Index], "(Set Type not found)")</f>
        <v>(Set Type not found)</v>
      </c>
      <c r="J389" t="str">
        <f>_xlfn.XLOOKUP(tbl_MTG_Set[[#This Row],[Type Name]], tbl_MTG_Set_Type[Set Type], tbl_MTG_Set_Type[Buy Window Month Start], "(Set Type not found)")</f>
        <v>(Set Type not found)</v>
      </c>
      <c r="K389" s="3" t="e">
        <f>tbl_MTG_Set[[#This Row],[Released On]]+tbl_MTG_Set[[#This Row],[Buy Window Month Start]]*365.25/12</f>
        <v>#VALUE!</v>
      </c>
      <c r="L389" t="str">
        <f>_xlfn.XLOOKUP(tbl_MTG_Set[[#This Row],[Type Name]], tbl_MTG_Set_Type[Set Type], tbl_MTG_Set_Type[Buy Window Month End], "(Set Type not found)", 0, 1)</f>
        <v>(Set Type not found)</v>
      </c>
      <c r="M389" s="3" t="e">
        <f>tbl_MTG_Set[[#This Row],[Released On]]+tbl_MTG_Set[[#This Row],[Buy Window Month End]]*365.25/12</f>
        <v>#VALUE!</v>
      </c>
      <c r="N389" s="3" t="e">
        <f ca="1">AND(NOW()&gt;=tbl_MTG_Set[[#This Row],[Buy Window Start]], NOW()&lt;=tbl_MTG_Set[[#This Row],[Buy Window End]])</f>
        <v>#VALUE!</v>
      </c>
      <c r="O389" t="str">
        <f>_xlfn.XLOOKUP(tbl_MTG_Set[[#This Row],[Type Name]], tbl_MTG_Set_Type[Set Type], tbl_MTG_Set_Type[Heavy Printing Window Month Start], "(Set Type not found)", 0, 1)</f>
        <v>(Set Type not found)</v>
      </c>
      <c r="P389" s="3" t="e">
        <f>tbl_MTG_Set[[#This Row],[Released On]]+tbl_MTG_Set[[#This Row],[Heavy Printing Window Month Start]]*365.25/12</f>
        <v>#VALUE!</v>
      </c>
      <c r="Q389" t="str">
        <f>_xlfn.XLOOKUP(tbl_MTG_Set[[#This Row],[Type Name]], tbl_MTG_Set_Type[Set Type], tbl_MTG_Set_Type[Heavy Printing Window Month End], "(Set Type not found)", 0, 1)</f>
        <v>(Set Type not found)</v>
      </c>
      <c r="R389" s="3" t="e">
        <f>tbl_MTG_Set[[#This Row],[Released On]]+tbl_MTG_Set[[#This Row],[Heavy Printing Window Month End]]*365.25/12</f>
        <v>#VALUE!</v>
      </c>
      <c r="S389" s="3" t="e">
        <f ca="1">AND(NOW()&gt;=tbl_MTG_Set[[#This Row],[Heavy Printing Window Start]], NOW()&lt;=tbl_MTG_Set[[#This Row],[Heavy Printing Window End]])</f>
        <v>#VALUE!</v>
      </c>
      <c r="T389" t="str">
        <f>_xlfn.XLOOKUP(tbl_MTG_Set[[#This Row],[Type Name]], tbl_MTG_Set_Type[Set Type], tbl_MTG_Set_Type[Sell Window Month Start], "(Set Type not found)", 0, 1)</f>
        <v>(Set Type not found)</v>
      </c>
      <c r="U389" s="3" t="e">
        <f>tbl_MTG_Set[[#This Row],[Released On]]+tbl_MTG_Set[[#This Row],[Sell Window Month Start]]*365.25/12</f>
        <v>#VALUE!</v>
      </c>
      <c r="V389" t="str">
        <f>_xlfn.XLOOKUP(tbl_MTG_Set[[#This Row],[Type Name]], tbl_MTG_Set_Type[Set Type], tbl_MTG_Set_Type[Sell Window Month End], "(Set Type not found)", 0, 1)</f>
        <v>(Set Type not found)</v>
      </c>
      <c r="W389" s="3" t="e">
        <f>tbl_MTG_Set[[#This Row],[Released On]]+tbl_MTG_Set[[#This Row],[Sell Window Month End]]*365.25/12</f>
        <v>#VALUE!</v>
      </c>
      <c r="X389" s="3" t="e">
        <f ca="1">AND(NOW()&gt;=tbl_MTG_Set[[#This Row],[Sell Window Start]], NOW()&lt;=tbl_MTG_Set[[#This Row],[Sell Window End]])</f>
        <v>#VALUE!</v>
      </c>
      <c r="AG389" s="10"/>
      <c r="AH389" s="10"/>
      <c r="AM389" s="10" t="str" cm="1">
        <f t="array" ref="AM3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89" s="10" t="str" cm="1">
        <f t="array" ref="AN3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89" s="4" t="e">
        <f>_xlfn.XLOOKUP(tbl_MTG_Set[[#This Row],[Play Booster Box Product Id]], tbl_Product[Product Id], tbl_Product[Pack Size])</f>
        <v>#N/A</v>
      </c>
      <c r="AP389" s="10" t="e">
        <f>(tbl_MTG_Set[[#This Row],[Play Booster Box Cost]]+v_Item_Shipping_Cost_In)/tbl_MTG_Set[[#This Row],[Play Booster Box Size]]</f>
        <v>#VALUE!</v>
      </c>
      <c r="AQ389" s="10" t="str" cm="1">
        <f t="array" ref="AQ3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89" s="10"/>
      <c r="AS389" s="10"/>
      <c r="AT389" s="17" t="e">
        <f>tbl_MTG_Set[[#This Row],[Play Booster CardMarket Profit]]/tbl_MTG_Set[[#This Row],[Play Booster Cost]]</f>
        <v>#VALUE!</v>
      </c>
      <c r="AU389" s="10" t="e">
        <f>_xlfn.XLOOKUP(tbl_MTG_Set[[#This Row],[Collector Booster Box Product Id]], tbl_Product[Product Id], tbl_Product[Min Cost])</f>
        <v>#N/A</v>
      </c>
      <c r="AV389" s="10" t="e">
        <f>_xlfn.XLOOKUP(tbl_MTG_Set[[#This Row],[Collector Booster Box Product Id]], tbl_Product[Product Id], tbl_Product[Best Source])</f>
        <v>#N/A</v>
      </c>
      <c r="AW389" s="4" t="e">
        <f>_xlfn.XLOOKUP(tbl_MTG_Set[[#This Row],[Collector Booster Box Product Id]], tbl_Product[Product Id], tbl_Product[Pack Size])</f>
        <v>#N/A</v>
      </c>
      <c r="AX389" s="10" t="e">
        <f>(tbl_MTG_Set[[#This Row],[Collector Booster Box Cost]] + v_Item_Shipping_Cost_In) / tbl_MTG_Set[[#This Row],[Collector Booster Box Size]]</f>
        <v>#N/A</v>
      </c>
      <c r="AY389" s="10" t="str" cm="1">
        <f t="array" ref="AY3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89" s="10"/>
      <c r="BA3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89" s="17" t="e">
        <f>tbl_MTG_Set[[#This Row],[Collector Booster CardMarket Profit]]/tbl_MTG_Set[[#This Row],[Collector Booster Cost]]</f>
        <v>#N/A</v>
      </c>
      <c r="BC389" s="10"/>
      <c r="BF3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89" s="11" t="e">
        <f>tbl_MTG_Set[[#This Row],[Play Singles CardMarket Profit MTG Stocks]]/tbl_MTG_Set[[#This Row],[Play Booster Cost]]</f>
        <v>#VALUE!</v>
      </c>
      <c r="BI389" s="11" t="b">
        <f>tbl_MTG_Set[[#This Row],[Play Singles CardMarket Profit MTG Stocks]]&gt;0</f>
        <v>0</v>
      </c>
      <c r="BM389" s="10" t="e">
        <f>tbl_MTG_Set[[#This Row],[Play Booster Sell Price CardMarket]]*tbl_MTG_Set[[#This Row],[Play Booster Expected Market Value BotBox]]/tbl_MTG_Set[[#This Row],[Play Booster Sealed Market Value BotBox]]</f>
        <v>#VALUE!</v>
      </c>
      <c r="BN3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89" s="10" t="e">
        <f>tbl_MTG_Set[[#This Row],[Play Singles CardMarket Profit BotBox]]/tbl_MTG_Set[[#This Row],[Play Booster Cost]]</f>
        <v>#VALUE!</v>
      </c>
      <c r="BP389" s="10" t="b">
        <f>tbl_MTG_Set[[#This Row],[Play Singles CardMarket Profit BotBox]]&gt;0</f>
        <v>0</v>
      </c>
      <c r="BQ389" s="10"/>
      <c r="BR389" s="10"/>
      <c r="BS389" s="10"/>
      <c r="BT3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89" s="19" t="e">
        <f>tbl_MTG_Set[[#This Row],[Collector Singles CardMarket Profit MTG Stocks]]/tbl_MTG_Set[[#This Row],[Collector Booster Cost]]</f>
        <v>#N/A</v>
      </c>
      <c r="BW389" s="10" t="b">
        <f>tbl_MTG_Set[[#This Row],[Collector Singles CardMarket Profit MTG Stocks]]&gt;0</f>
        <v>0</v>
      </c>
      <c r="BX389" s="10"/>
      <c r="BY389" s="10"/>
      <c r="BZ3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89" s="10" t="e">
        <f>tbl_MTG_Set[[#This Row],[Collector Singles CardMarket Profit BotBox]]/tbl_MTG_Set[[#This Row],[Collector Booster Cost]]</f>
        <v>#N/A</v>
      </c>
      <c r="CC389" s="10" t="b">
        <f>tbl_MTG_Set[[#This Row],[Collector Singles CardMarket Profit BotBox]]&gt;0</f>
        <v>0</v>
      </c>
      <c r="CD3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0" spans="1:86" hidden="1">
      <c r="A390">
        <v>418</v>
      </c>
      <c r="B390" t="s">
        <v>563</v>
      </c>
      <c r="C390">
        <v>20</v>
      </c>
      <c r="D390" s="3">
        <v>43790</v>
      </c>
      <c r="F390" t="s">
        <v>174</v>
      </c>
      <c r="G390">
        <v>782</v>
      </c>
      <c r="H390">
        <f ca="1">MONTH(NOW())+12*YEAR(NOW())-MONTH(tbl_MTG_Set[[#This Row],[Released On]])-12*YEAR(tbl_MTG_Set[[#This Row],[Released On]])</f>
        <v>76</v>
      </c>
      <c r="I390" t="str">
        <f>_xlfn.XLOOKUP(tbl_MTG_Set[[#This Row],[Type Name]], tbl_MTG_Set_Type[Set Type], tbl_MTG_Set_Type[Index], "(Set Type not found)")</f>
        <v>(Set Type not found)</v>
      </c>
      <c r="J390" t="str">
        <f>_xlfn.XLOOKUP(tbl_MTG_Set[[#This Row],[Type Name]], tbl_MTG_Set_Type[Set Type], tbl_MTG_Set_Type[Buy Window Month Start], "(Set Type not found)")</f>
        <v>(Set Type not found)</v>
      </c>
      <c r="K390" s="3" t="e">
        <f>tbl_MTG_Set[[#This Row],[Released On]]+tbl_MTG_Set[[#This Row],[Buy Window Month Start]]*365.25/12</f>
        <v>#VALUE!</v>
      </c>
      <c r="L390" t="str">
        <f>_xlfn.XLOOKUP(tbl_MTG_Set[[#This Row],[Type Name]], tbl_MTG_Set_Type[Set Type], tbl_MTG_Set_Type[Buy Window Month End], "(Set Type not found)", 0, 1)</f>
        <v>(Set Type not found)</v>
      </c>
      <c r="M390" s="3" t="e">
        <f>tbl_MTG_Set[[#This Row],[Released On]]+tbl_MTG_Set[[#This Row],[Buy Window Month End]]*365.25/12</f>
        <v>#VALUE!</v>
      </c>
      <c r="N390" s="3" t="e">
        <f ca="1">AND(NOW()&gt;=tbl_MTG_Set[[#This Row],[Buy Window Start]], NOW()&lt;=tbl_MTG_Set[[#This Row],[Buy Window End]])</f>
        <v>#VALUE!</v>
      </c>
      <c r="O390" t="str">
        <f>_xlfn.XLOOKUP(tbl_MTG_Set[[#This Row],[Type Name]], tbl_MTG_Set_Type[Set Type], tbl_MTG_Set_Type[Heavy Printing Window Month Start], "(Set Type not found)", 0, 1)</f>
        <v>(Set Type not found)</v>
      </c>
      <c r="P390" s="3" t="e">
        <f>tbl_MTG_Set[[#This Row],[Released On]]+tbl_MTG_Set[[#This Row],[Heavy Printing Window Month Start]]*365.25/12</f>
        <v>#VALUE!</v>
      </c>
      <c r="Q390" t="str">
        <f>_xlfn.XLOOKUP(tbl_MTG_Set[[#This Row],[Type Name]], tbl_MTG_Set_Type[Set Type], tbl_MTG_Set_Type[Heavy Printing Window Month End], "(Set Type not found)", 0, 1)</f>
        <v>(Set Type not found)</v>
      </c>
      <c r="R390" s="3" t="e">
        <f>tbl_MTG_Set[[#This Row],[Released On]]+tbl_MTG_Set[[#This Row],[Heavy Printing Window Month End]]*365.25/12</f>
        <v>#VALUE!</v>
      </c>
      <c r="S390" s="3" t="e">
        <f ca="1">AND(NOW()&gt;=tbl_MTG_Set[[#This Row],[Heavy Printing Window Start]], NOW()&lt;=tbl_MTG_Set[[#This Row],[Heavy Printing Window End]])</f>
        <v>#VALUE!</v>
      </c>
      <c r="T390" t="str">
        <f>_xlfn.XLOOKUP(tbl_MTG_Set[[#This Row],[Type Name]], tbl_MTG_Set_Type[Set Type], tbl_MTG_Set_Type[Sell Window Month Start], "(Set Type not found)", 0, 1)</f>
        <v>(Set Type not found)</v>
      </c>
      <c r="U390" s="3" t="e">
        <f>tbl_MTG_Set[[#This Row],[Released On]]+tbl_MTG_Set[[#This Row],[Sell Window Month Start]]*365.25/12</f>
        <v>#VALUE!</v>
      </c>
      <c r="V390" t="str">
        <f>_xlfn.XLOOKUP(tbl_MTG_Set[[#This Row],[Type Name]], tbl_MTG_Set_Type[Set Type], tbl_MTG_Set_Type[Sell Window Month End], "(Set Type not found)", 0, 1)</f>
        <v>(Set Type not found)</v>
      </c>
      <c r="W390" s="3" t="e">
        <f>tbl_MTG_Set[[#This Row],[Released On]]+tbl_MTG_Set[[#This Row],[Sell Window Month End]]*365.25/12</f>
        <v>#VALUE!</v>
      </c>
      <c r="X390" s="3" t="e">
        <f ca="1">AND(NOW()&gt;=tbl_MTG_Set[[#This Row],[Sell Window Start]], NOW()&lt;=tbl_MTG_Set[[#This Row],[Sell Window End]])</f>
        <v>#VALUE!</v>
      </c>
      <c r="AG390" s="10"/>
      <c r="AH390" s="10"/>
      <c r="AM390" s="10" t="str" cm="1">
        <f t="array" ref="AM3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0" s="10" t="str" cm="1">
        <f t="array" ref="AN3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0" s="4" t="e">
        <f>_xlfn.XLOOKUP(tbl_MTG_Set[[#This Row],[Play Booster Box Product Id]], tbl_Product[Product Id], tbl_Product[Pack Size])</f>
        <v>#N/A</v>
      </c>
      <c r="AP390" s="10" t="e">
        <f>(tbl_MTG_Set[[#This Row],[Play Booster Box Cost]]+v_Item_Shipping_Cost_In)/tbl_MTG_Set[[#This Row],[Play Booster Box Size]]</f>
        <v>#VALUE!</v>
      </c>
      <c r="AQ390" s="10" t="str" cm="1">
        <f t="array" ref="AQ3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0" s="10"/>
      <c r="AS390" s="10"/>
      <c r="AT390" s="17" t="e">
        <f>tbl_MTG_Set[[#This Row],[Play Booster CardMarket Profit]]/tbl_MTG_Set[[#This Row],[Play Booster Cost]]</f>
        <v>#VALUE!</v>
      </c>
      <c r="AU390" s="10" t="e">
        <f>_xlfn.XLOOKUP(tbl_MTG_Set[[#This Row],[Collector Booster Box Product Id]], tbl_Product[Product Id], tbl_Product[Min Cost])</f>
        <v>#N/A</v>
      </c>
      <c r="AV390" s="10" t="e">
        <f>_xlfn.XLOOKUP(tbl_MTG_Set[[#This Row],[Collector Booster Box Product Id]], tbl_Product[Product Id], tbl_Product[Best Source])</f>
        <v>#N/A</v>
      </c>
      <c r="AW390" s="4" t="e">
        <f>_xlfn.XLOOKUP(tbl_MTG_Set[[#This Row],[Collector Booster Box Product Id]], tbl_Product[Product Id], tbl_Product[Pack Size])</f>
        <v>#N/A</v>
      </c>
      <c r="AX390" s="10" t="e">
        <f>(tbl_MTG_Set[[#This Row],[Collector Booster Box Cost]] + v_Item_Shipping_Cost_In) / tbl_MTG_Set[[#This Row],[Collector Booster Box Size]]</f>
        <v>#N/A</v>
      </c>
      <c r="AY390" s="10" t="str" cm="1">
        <f t="array" ref="AY3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0" s="10"/>
      <c r="BA3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0" s="17" t="e">
        <f>tbl_MTG_Set[[#This Row],[Collector Booster CardMarket Profit]]/tbl_MTG_Set[[#This Row],[Collector Booster Cost]]</f>
        <v>#N/A</v>
      </c>
      <c r="BC390" s="10"/>
      <c r="BF3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0" s="11" t="e">
        <f>tbl_MTG_Set[[#This Row],[Play Singles CardMarket Profit MTG Stocks]]/tbl_MTG_Set[[#This Row],[Play Booster Cost]]</f>
        <v>#VALUE!</v>
      </c>
      <c r="BI390" s="11" t="b">
        <f>tbl_MTG_Set[[#This Row],[Play Singles CardMarket Profit MTG Stocks]]&gt;0</f>
        <v>0</v>
      </c>
      <c r="BM390" s="10" t="e">
        <f>tbl_MTG_Set[[#This Row],[Play Booster Sell Price CardMarket]]*tbl_MTG_Set[[#This Row],[Play Booster Expected Market Value BotBox]]/tbl_MTG_Set[[#This Row],[Play Booster Sealed Market Value BotBox]]</f>
        <v>#VALUE!</v>
      </c>
      <c r="BN3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0" s="10" t="e">
        <f>tbl_MTG_Set[[#This Row],[Play Singles CardMarket Profit BotBox]]/tbl_MTG_Set[[#This Row],[Play Booster Cost]]</f>
        <v>#VALUE!</v>
      </c>
      <c r="BP390" s="10" t="b">
        <f>tbl_MTG_Set[[#This Row],[Play Singles CardMarket Profit BotBox]]&gt;0</f>
        <v>0</v>
      </c>
      <c r="BQ390" s="10"/>
      <c r="BR390" s="10"/>
      <c r="BS390" s="10"/>
      <c r="BT3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0" s="19" t="e">
        <f>tbl_MTG_Set[[#This Row],[Collector Singles CardMarket Profit MTG Stocks]]/tbl_MTG_Set[[#This Row],[Collector Booster Cost]]</f>
        <v>#N/A</v>
      </c>
      <c r="BW390" s="10" t="b">
        <f>tbl_MTG_Set[[#This Row],[Collector Singles CardMarket Profit MTG Stocks]]&gt;0</f>
        <v>0</v>
      </c>
      <c r="BX390" s="10"/>
      <c r="BY390" s="10"/>
      <c r="BZ3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0" s="10" t="e">
        <f>tbl_MTG_Set[[#This Row],[Collector Singles CardMarket Profit BotBox]]/tbl_MTG_Set[[#This Row],[Collector Booster Cost]]</f>
        <v>#N/A</v>
      </c>
      <c r="CC390" s="10" t="b">
        <f>tbl_MTG_Set[[#This Row],[Collector Singles CardMarket Profit BotBox]]&gt;0</f>
        <v>0</v>
      </c>
      <c r="CD3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1" spans="1:86" hidden="1">
      <c r="A391">
        <v>419</v>
      </c>
      <c r="B391" t="s">
        <v>564</v>
      </c>
      <c r="C391">
        <v>64</v>
      </c>
      <c r="D391" s="3">
        <v>43784</v>
      </c>
      <c r="F391" t="s">
        <v>174</v>
      </c>
      <c r="G391">
        <v>784</v>
      </c>
      <c r="H391">
        <f ca="1">MONTH(NOW())+12*YEAR(NOW())-MONTH(tbl_MTG_Set[[#This Row],[Released On]])-12*YEAR(tbl_MTG_Set[[#This Row],[Released On]])</f>
        <v>76</v>
      </c>
      <c r="I391" t="str">
        <f>_xlfn.XLOOKUP(tbl_MTG_Set[[#This Row],[Type Name]], tbl_MTG_Set_Type[Set Type], tbl_MTG_Set_Type[Index], "(Set Type not found)")</f>
        <v>(Set Type not found)</v>
      </c>
      <c r="J391" t="str">
        <f>_xlfn.XLOOKUP(tbl_MTG_Set[[#This Row],[Type Name]], tbl_MTG_Set_Type[Set Type], tbl_MTG_Set_Type[Buy Window Month Start], "(Set Type not found)")</f>
        <v>(Set Type not found)</v>
      </c>
      <c r="K391" s="3" t="e">
        <f>tbl_MTG_Set[[#This Row],[Released On]]+tbl_MTG_Set[[#This Row],[Buy Window Month Start]]*365.25/12</f>
        <v>#VALUE!</v>
      </c>
      <c r="L391" t="str">
        <f>_xlfn.XLOOKUP(tbl_MTG_Set[[#This Row],[Type Name]], tbl_MTG_Set_Type[Set Type], tbl_MTG_Set_Type[Buy Window Month End], "(Set Type not found)", 0, 1)</f>
        <v>(Set Type not found)</v>
      </c>
      <c r="M391" s="3" t="e">
        <f>tbl_MTG_Set[[#This Row],[Released On]]+tbl_MTG_Set[[#This Row],[Buy Window Month End]]*365.25/12</f>
        <v>#VALUE!</v>
      </c>
      <c r="N391" s="3" t="e">
        <f ca="1">AND(NOW()&gt;=tbl_MTG_Set[[#This Row],[Buy Window Start]], NOW()&lt;=tbl_MTG_Set[[#This Row],[Buy Window End]])</f>
        <v>#VALUE!</v>
      </c>
      <c r="O391" t="str">
        <f>_xlfn.XLOOKUP(tbl_MTG_Set[[#This Row],[Type Name]], tbl_MTG_Set_Type[Set Type], tbl_MTG_Set_Type[Heavy Printing Window Month Start], "(Set Type not found)", 0, 1)</f>
        <v>(Set Type not found)</v>
      </c>
      <c r="P391" s="3" t="e">
        <f>tbl_MTG_Set[[#This Row],[Released On]]+tbl_MTG_Set[[#This Row],[Heavy Printing Window Month Start]]*365.25/12</f>
        <v>#VALUE!</v>
      </c>
      <c r="Q391" t="str">
        <f>_xlfn.XLOOKUP(tbl_MTG_Set[[#This Row],[Type Name]], tbl_MTG_Set_Type[Set Type], tbl_MTG_Set_Type[Heavy Printing Window Month End], "(Set Type not found)", 0, 1)</f>
        <v>(Set Type not found)</v>
      </c>
      <c r="R391" s="3" t="e">
        <f>tbl_MTG_Set[[#This Row],[Released On]]+tbl_MTG_Set[[#This Row],[Heavy Printing Window Month End]]*365.25/12</f>
        <v>#VALUE!</v>
      </c>
      <c r="S391" s="3" t="e">
        <f ca="1">AND(NOW()&gt;=tbl_MTG_Set[[#This Row],[Heavy Printing Window Start]], NOW()&lt;=tbl_MTG_Set[[#This Row],[Heavy Printing Window End]])</f>
        <v>#VALUE!</v>
      </c>
      <c r="T391" t="str">
        <f>_xlfn.XLOOKUP(tbl_MTG_Set[[#This Row],[Type Name]], tbl_MTG_Set_Type[Set Type], tbl_MTG_Set_Type[Sell Window Month Start], "(Set Type not found)", 0, 1)</f>
        <v>(Set Type not found)</v>
      </c>
      <c r="U391" s="3" t="e">
        <f>tbl_MTG_Set[[#This Row],[Released On]]+tbl_MTG_Set[[#This Row],[Sell Window Month Start]]*365.25/12</f>
        <v>#VALUE!</v>
      </c>
      <c r="V391" t="str">
        <f>_xlfn.XLOOKUP(tbl_MTG_Set[[#This Row],[Type Name]], tbl_MTG_Set_Type[Set Type], tbl_MTG_Set_Type[Sell Window Month End], "(Set Type not found)", 0, 1)</f>
        <v>(Set Type not found)</v>
      </c>
      <c r="W391" s="3" t="e">
        <f>tbl_MTG_Set[[#This Row],[Released On]]+tbl_MTG_Set[[#This Row],[Sell Window Month End]]*365.25/12</f>
        <v>#VALUE!</v>
      </c>
      <c r="X391" s="3" t="e">
        <f ca="1">AND(NOW()&gt;=tbl_MTG_Set[[#This Row],[Sell Window Start]], NOW()&lt;=tbl_MTG_Set[[#This Row],[Sell Window End]])</f>
        <v>#VALUE!</v>
      </c>
      <c r="AG391" s="10"/>
      <c r="AH391" s="10"/>
      <c r="AM391" s="10" t="str" cm="1">
        <f t="array" ref="AM3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1" s="10" t="str" cm="1">
        <f t="array" ref="AN3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1" s="4" t="e">
        <f>_xlfn.XLOOKUP(tbl_MTG_Set[[#This Row],[Play Booster Box Product Id]], tbl_Product[Product Id], tbl_Product[Pack Size])</f>
        <v>#N/A</v>
      </c>
      <c r="AP391" s="10" t="e">
        <f>(tbl_MTG_Set[[#This Row],[Play Booster Box Cost]]+v_Item_Shipping_Cost_In)/tbl_MTG_Set[[#This Row],[Play Booster Box Size]]</f>
        <v>#VALUE!</v>
      </c>
      <c r="AQ391" s="10" t="str" cm="1">
        <f t="array" ref="AQ3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1" s="10"/>
      <c r="AS391" s="10"/>
      <c r="AT391" s="17" t="e">
        <f>tbl_MTG_Set[[#This Row],[Play Booster CardMarket Profit]]/tbl_MTG_Set[[#This Row],[Play Booster Cost]]</f>
        <v>#VALUE!</v>
      </c>
      <c r="AU391" s="10" t="e">
        <f>_xlfn.XLOOKUP(tbl_MTG_Set[[#This Row],[Collector Booster Box Product Id]], tbl_Product[Product Id], tbl_Product[Min Cost])</f>
        <v>#N/A</v>
      </c>
      <c r="AV391" s="10" t="e">
        <f>_xlfn.XLOOKUP(tbl_MTG_Set[[#This Row],[Collector Booster Box Product Id]], tbl_Product[Product Id], tbl_Product[Best Source])</f>
        <v>#N/A</v>
      </c>
      <c r="AW391" s="4" t="e">
        <f>_xlfn.XLOOKUP(tbl_MTG_Set[[#This Row],[Collector Booster Box Product Id]], tbl_Product[Product Id], tbl_Product[Pack Size])</f>
        <v>#N/A</v>
      </c>
      <c r="AX391" s="10" t="e">
        <f>(tbl_MTG_Set[[#This Row],[Collector Booster Box Cost]] + v_Item_Shipping_Cost_In) / tbl_MTG_Set[[#This Row],[Collector Booster Box Size]]</f>
        <v>#N/A</v>
      </c>
      <c r="AY391" s="10" t="str" cm="1">
        <f t="array" ref="AY3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1" s="10"/>
      <c r="BA3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1" s="17" t="e">
        <f>tbl_MTG_Set[[#This Row],[Collector Booster CardMarket Profit]]/tbl_MTG_Set[[#This Row],[Collector Booster Cost]]</f>
        <v>#N/A</v>
      </c>
      <c r="BC391" s="10"/>
      <c r="BF3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1" s="11" t="e">
        <f>tbl_MTG_Set[[#This Row],[Play Singles CardMarket Profit MTG Stocks]]/tbl_MTG_Set[[#This Row],[Play Booster Cost]]</f>
        <v>#VALUE!</v>
      </c>
      <c r="BI391" s="11" t="b">
        <f>tbl_MTG_Set[[#This Row],[Play Singles CardMarket Profit MTG Stocks]]&gt;0</f>
        <v>0</v>
      </c>
      <c r="BM391" s="10" t="e">
        <f>tbl_MTG_Set[[#This Row],[Play Booster Sell Price CardMarket]]*tbl_MTG_Set[[#This Row],[Play Booster Expected Market Value BotBox]]/tbl_MTG_Set[[#This Row],[Play Booster Sealed Market Value BotBox]]</f>
        <v>#VALUE!</v>
      </c>
      <c r="BN3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1" s="10" t="e">
        <f>tbl_MTG_Set[[#This Row],[Play Singles CardMarket Profit BotBox]]/tbl_MTG_Set[[#This Row],[Play Booster Cost]]</f>
        <v>#VALUE!</v>
      </c>
      <c r="BP391" s="10" t="b">
        <f>tbl_MTG_Set[[#This Row],[Play Singles CardMarket Profit BotBox]]&gt;0</f>
        <v>0</v>
      </c>
      <c r="BQ391" s="10"/>
      <c r="BR391" s="10"/>
      <c r="BS391" s="10"/>
      <c r="BT3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1" s="19" t="e">
        <f>tbl_MTG_Set[[#This Row],[Collector Singles CardMarket Profit MTG Stocks]]/tbl_MTG_Set[[#This Row],[Collector Booster Cost]]</f>
        <v>#N/A</v>
      </c>
      <c r="BW391" s="10" t="b">
        <f>tbl_MTG_Set[[#This Row],[Collector Singles CardMarket Profit MTG Stocks]]&gt;0</f>
        <v>0</v>
      </c>
      <c r="BX391" s="10"/>
      <c r="BY391" s="10"/>
      <c r="BZ3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1" s="10" t="e">
        <f>tbl_MTG_Set[[#This Row],[Collector Singles CardMarket Profit BotBox]]/tbl_MTG_Set[[#This Row],[Collector Booster Cost]]</f>
        <v>#N/A</v>
      </c>
      <c r="CC391" s="10" t="b">
        <f>tbl_MTG_Set[[#This Row],[Collector Singles CardMarket Profit BotBox]]&gt;0</f>
        <v>0</v>
      </c>
      <c r="CD3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2" spans="1:86" hidden="1">
      <c r="A392">
        <v>420</v>
      </c>
      <c r="B392" t="s">
        <v>565</v>
      </c>
      <c r="C392">
        <v>3</v>
      </c>
      <c r="D392" s="3">
        <v>43784</v>
      </c>
      <c r="F392" t="s">
        <v>174</v>
      </c>
      <c r="G392">
        <v>786</v>
      </c>
      <c r="H392">
        <f ca="1">MONTH(NOW())+12*YEAR(NOW())-MONTH(tbl_MTG_Set[[#This Row],[Released On]])-12*YEAR(tbl_MTG_Set[[#This Row],[Released On]])</f>
        <v>76</v>
      </c>
      <c r="I392" t="str">
        <f>_xlfn.XLOOKUP(tbl_MTG_Set[[#This Row],[Type Name]], tbl_MTG_Set_Type[Set Type], tbl_MTG_Set_Type[Index], "(Set Type not found)")</f>
        <v>(Set Type not found)</v>
      </c>
      <c r="J392" t="str">
        <f>_xlfn.XLOOKUP(tbl_MTG_Set[[#This Row],[Type Name]], tbl_MTG_Set_Type[Set Type], tbl_MTG_Set_Type[Buy Window Month Start], "(Set Type not found)")</f>
        <v>(Set Type not found)</v>
      </c>
      <c r="K392" s="3" t="e">
        <f>tbl_MTG_Set[[#This Row],[Released On]]+tbl_MTG_Set[[#This Row],[Buy Window Month Start]]*365.25/12</f>
        <v>#VALUE!</v>
      </c>
      <c r="L392" t="str">
        <f>_xlfn.XLOOKUP(tbl_MTG_Set[[#This Row],[Type Name]], tbl_MTG_Set_Type[Set Type], tbl_MTG_Set_Type[Buy Window Month End], "(Set Type not found)", 0, 1)</f>
        <v>(Set Type not found)</v>
      </c>
      <c r="M392" s="3" t="e">
        <f>tbl_MTG_Set[[#This Row],[Released On]]+tbl_MTG_Set[[#This Row],[Buy Window Month End]]*365.25/12</f>
        <v>#VALUE!</v>
      </c>
      <c r="N392" s="3" t="e">
        <f ca="1">AND(NOW()&gt;=tbl_MTG_Set[[#This Row],[Buy Window Start]], NOW()&lt;=tbl_MTG_Set[[#This Row],[Buy Window End]])</f>
        <v>#VALUE!</v>
      </c>
      <c r="O392" t="str">
        <f>_xlfn.XLOOKUP(tbl_MTG_Set[[#This Row],[Type Name]], tbl_MTG_Set_Type[Set Type], tbl_MTG_Set_Type[Heavy Printing Window Month Start], "(Set Type not found)", 0, 1)</f>
        <v>(Set Type not found)</v>
      </c>
      <c r="P392" s="3" t="e">
        <f>tbl_MTG_Set[[#This Row],[Released On]]+tbl_MTG_Set[[#This Row],[Heavy Printing Window Month Start]]*365.25/12</f>
        <v>#VALUE!</v>
      </c>
      <c r="Q392" t="str">
        <f>_xlfn.XLOOKUP(tbl_MTG_Set[[#This Row],[Type Name]], tbl_MTG_Set_Type[Set Type], tbl_MTG_Set_Type[Heavy Printing Window Month End], "(Set Type not found)", 0, 1)</f>
        <v>(Set Type not found)</v>
      </c>
      <c r="R392" s="3" t="e">
        <f>tbl_MTG_Set[[#This Row],[Released On]]+tbl_MTG_Set[[#This Row],[Heavy Printing Window Month End]]*365.25/12</f>
        <v>#VALUE!</v>
      </c>
      <c r="S392" s="3" t="e">
        <f ca="1">AND(NOW()&gt;=tbl_MTG_Set[[#This Row],[Heavy Printing Window Start]], NOW()&lt;=tbl_MTG_Set[[#This Row],[Heavy Printing Window End]])</f>
        <v>#VALUE!</v>
      </c>
      <c r="T392" t="str">
        <f>_xlfn.XLOOKUP(tbl_MTG_Set[[#This Row],[Type Name]], tbl_MTG_Set_Type[Set Type], tbl_MTG_Set_Type[Sell Window Month Start], "(Set Type not found)", 0, 1)</f>
        <v>(Set Type not found)</v>
      </c>
      <c r="U392" s="3" t="e">
        <f>tbl_MTG_Set[[#This Row],[Released On]]+tbl_MTG_Set[[#This Row],[Sell Window Month Start]]*365.25/12</f>
        <v>#VALUE!</v>
      </c>
      <c r="V392" t="str">
        <f>_xlfn.XLOOKUP(tbl_MTG_Set[[#This Row],[Type Name]], tbl_MTG_Set_Type[Set Type], tbl_MTG_Set_Type[Sell Window Month End], "(Set Type not found)", 0, 1)</f>
        <v>(Set Type not found)</v>
      </c>
      <c r="W392" s="3" t="e">
        <f>tbl_MTG_Set[[#This Row],[Released On]]+tbl_MTG_Set[[#This Row],[Sell Window Month End]]*365.25/12</f>
        <v>#VALUE!</v>
      </c>
      <c r="X392" s="3" t="e">
        <f ca="1">AND(NOW()&gt;=tbl_MTG_Set[[#This Row],[Sell Window Start]], NOW()&lt;=tbl_MTG_Set[[#This Row],[Sell Window End]])</f>
        <v>#VALUE!</v>
      </c>
      <c r="AG392" s="10"/>
      <c r="AH392" s="10"/>
      <c r="AM392" s="10" t="str" cm="1">
        <f t="array" ref="AM3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2" s="10" t="str" cm="1">
        <f t="array" ref="AN3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2" s="4" t="e">
        <f>_xlfn.XLOOKUP(tbl_MTG_Set[[#This Row],[Play Booster Box Product Id]], tbl_Product[Product Id], tbl_Product[Pack Size])</f>
        <v>#N/A</v>
      </c>
      <c r="AP392" s="10" t="e">
        <f>(tbl_MTG_Set[[#This Row],[Play Booster Box Cost]]+v_Item_Shipping_Cost_In)/tbl_MTG_Set[[#This Row],[Play Booster Box Size]]</f>
        <v>#VALUE!</v>
      </c>
      <c r="AQ392" s="10" t="str" cm="1">
        <f t="array" ref="AQ3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2" s="10"/>
      <c r="AS392" s="10"/>
      <c r="AT392" s="17" t="e">
        <f>tbl_MTG_Set[[#This Row],[Play Booster CardMarket Profit]]/tbl_MTG_Set[[#This Row],[Play Booster Cost]]</f>
        <v>#VALUE!</v>
      </c>
      <c r="AU392" s="10" t="e">
        <f>_xlfn.XLOOKUP(tbl_MTG_Set[[#This Row],[Collector Booster Box Product Id]], tbl_Product[Product Id], tbl_Product[Min Cost])</f>
        <v>#N/A</v>
      </c>
      <c r="AV392" s="10" t="e">
        <f>_xlfn.XLOOKUP(tbl_MTG_Set[[#This Row],[Collector Booster Box Product Id]], tbl_Product[Product Id], tbl_Product[Best Source])</f>
        <v>#N/A</v>
      </c>
      <c r="AW392" s="4" t="e">
        <f>_xlfn.XLOOKUP(tbl_MTG_Set[[#This Row],[Collector Booster Box Product Id]], tbl_Product[Product Id], tbl_Product[Pack Size])</f>
        <v>#N/A</v>
      </c>
      <c r="AX392" s="10" t="e">
        <f>(tbl_MTG_Set[[#This Row],[Collector Booster Box Cost]] + v_Item_Shipping_Cost_In) / tbl_MTG_Set[[#This Row],[Collector Booster Box Size]]</f>
        <v>#N/A</v>
      </c>
      <c r="AY392" s="10" t="str" cm="1">
        <f t="array" ref="AY3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2" s="10"/>
      <c r="BA3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2" s="17" t="e">
        <f>tbl_MTG_Set[[#This Row],[Collector Booster CardMarket Profit]]/tbl_MTG_Set[[#This Row],[Collector Booster Cost]]</f>
        <v>#N/A</v>
      </c>
      <c r="BC392" s="10"/>
      <c r="BF3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2" s="11" t="e">
        <f>tbl_MTG_Set[[#This Row],[Play Singles CardMarket Profit MTG Stocks]]/tbl_MTG_Set[[#This Row],[Play Booster Cost]]</f>
        <v>#VALUE!</v>
      </c>
      <c r="BI392" s="11" t="b">
        <f>tbl_MTG_Set[[#This Row],[Play Singles CardMarket Profit MTG Stocks]]&gt;0</f>
        <v>0</v>
      </c>
      <c r="BM392" s="10" t="e">
        <f>tbl_MTG_Set[[#This Row],[Play Booster Sell Price CardMarket]]*tbl_MTG_Set[[#This Row],[Play Booster Expected Market Value BotBox]]/tbl_MTG_Set[[#This Row],[Play Booster Sealed Market Value BotBox]]</f>
        <v>#VALUE!</v>
      </c>
      <c r="BN3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2" s="10" t="e">
        <f>tbl_MTG_Set[[#This Row],[Play Singles CardMarket Profit BotBox]]/tbl_MTG_Set[[#This Row],[Play Booster Cost]]</f>
        <v>#VALUE!</v>
      </c>
      <c r="BP392" s="10" t="b">
        <f>tbl_MTG_Set[[#This Row],[Play Singles CardMarket Profit BotBox]]&gt;0</f>
        <v>0</v>
      </c>
      <c r="BQ392" s="10"/>
      <c r="BR392" s="10"/>
      <c r="BS392" s="10"/>
      <c r="BT3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2" s="19" t="e">
        <f>tbl_MTG_Set[[#This Row],[Collector Singles CardMarket Profit MTG Stocks]]/tbl_MTG_Set[[#This Row],[Collector Booster Cost]]</f>
        <v>#N/A</v>
      </c>
      <c r="BW392" s="10" t="b">
        <f>tbl_MTG_Set[[#This Row],[Collector Singles CardMarket Profit MTG Stocks]]&gt;0</f>
        <v>0</v>
      </c>
      <c r="BX392" s="10"/>
      <c r="BY392" s="10"/>
      <c r="BZ3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2" s="10" t="e">
        <f>tbl_MTG_Set[[#This Row],[Collector Singles CardMarket Profit BotBox]]/tbl_MTG_Set[[#This Row],[Collector Booster Cost]]</f>
        <v>#N/A</v>
      </c>
      <c r="CC392" s="10" t="b">
        <f>tbl_MTG_Set[[#This Row],[Collector Singles CardMarket Profit BotBox]]&gt;0</f>
        <v>0</v>
      </c>
      <c r="CD3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3" spans="1:86" hidden="1">
      <c r="A393">
        <v>421</v>
      </c>
      <c r="B393" t="s">
        <v>566</v>
      </c>
      <c r="C393">
        <v>121</v>
      </c>
      <c r="D393" s="3">
        <v>43776</v>
      </c>
      <c r="F393" t="s">
        <v>174</v>
      </c>
      <c r="G393">
        <v>788</v>
      </c>
      <c r="H393">
        <f ca="1">MONTH(NOW())+12*YEAR(NOW())-MONTH(tbl_MTG_Set[[#This Row],[Released On]])-12*YEAR(tbl_MTG_Set[[#This Row],[Released On]])</f>
        <v>76</v>
      </c>
      <c r="I393" t="str">
        <f>_xlfn.XLOOKUP(tbl_MTG_Set[[#This Row],[Type Name]], tbl_MTG_Set_Type[Set Type], tbl_MTG_Set_Type[Index], "(Set Type not found)")</f>
        <v>(Set Type not found)</v>
      </c>
      <c r="J393" t="str">
        <f>_xlfn.XLOOKUP(tbl_MTG_Set[[#This Row],[Type Name]], tbl_MTG_Set_Type[Set Type], tbl_MTG_Set_Type[Buy Window Month Start], "(Set Type not found)")</f>
        <v>(Set Type not found)</v>
      </c>
      <c r="K393" s="3" t="e">
        <f>tbl_MTG_Set[[#This Row],[Released On]]+tbl_MTG_Set[[#This Row],[Buy Window Month Start]]*365.25/12</f>
        <v>#VALUE!</v>
      </c>
      <c r="L393" t="str">
        <f>_xlfn.XLOOKUP(tbl_MTG_Set[[#This Row],[Type Name]], tbl_MTG_Set_Type[Set Type], tbl_MTG_Set_Type[Buy Window Month End], "(Set Type not found)", 0, 1)</f>
        <v>(Set Type not found)</v>
      </c>
      <c r="M393" s="3" t="e">
        <f>tbl_MTG_Set[[#This Row],[Released On]]+tbl_MTG_Set[[#This Row],[Buy Window Month End]]*365.25/12</f>
        <v>#VALUE!</v>
      </c>
      <c r="N393" s="3" t="e">
        <f ca="1">AND(NOW()&gt;=tbl_MTG_Set[[#This Row],[Buy Window Start]], NOW()&lt;=tbl_MTG_Set[[#This Row],[Buy Window End]])</f>
        <v>#VALUE!</v>
      </c>
      <c r="O393" t="str">
        <f>_xlfn.XLOOKUP(tbl_MTG_Set[[#This Row],[Type Name]], tbl_MTG_Set_Type[Set Type], tbl_MTG_Set_Type[Heavy Printing Window Month Start], "(Set Type not found)", 0, 1)</f>
        <v>(Set Type not found)</v>
      </c>
      <c r="P393" s="3" t="e">
        <f>tbl_MTG_Set[[#This Row],[Released On]]+tbl_MTG_Set[[#This Row],[Heavy Printing Window Month Start]]*365.25/12</f>
        <v>#VALUE!</v>
      </c>
      <c r="Q393" t="str">
        <f>_xlfn.XLOOKUP(tbl_MTG_Set[[#This Row],[Type Name]], tbl_MTG_Set_Type[Set Type], tbl_MTG_Set_Type[Heavy Printing Window Month End], "(Set Type not found)", 0, 1)</f>
        <v>(Set Type not found)</v>
      </c>
      <c r="R393" s="3" t="e">
        <f>tbl_MTG_Set[[#This Row],[Released On]]+tbl_MTG_Set[[#This Row],[Heavy Printing Window Month End]]*365.25/12</f>
        <v>#VALUE!</v>
      </c>
      <c r="S393" s="3" t="e">
        <f ca="1">AND(NOW()&gt;=tbl_MTG_Set[[#This Row],[Heavy Printing Window Start]], NOW()&lt;=tbl_MTG_Set[[#This Row],[Heavy Printing Window End]])</f>
        <v>#VALUE!</v>
      </c>
      <c r="T393" t="str">
        <f>_xlfn.XLOOKUP(tbl_MTG_Set[[#This Row],[Type Name]], tbl_MTG_Set_Type[Set Type], tbl_MTG_Set_Type[Sell Window Month Start], "(Set Type not found)", 0, 1)</f>
        <v>(Set Type not found)</v>
      </c>
      <c r="U393" s="3" t="e">
        <f>tbl_MTG_Set[[#This Row],[Released On]]+tbl_MTG_Set[[#This Row],[Sell Window Month Start]]*365.25/12</f>
        <v>#VALUE!</v>
      </c>
      <c r="V393" t="str">
        <f>_xlfn.XLOOKUP(tbl_MTG_Set[[#This Row],[Type Name]], tbl_MTG_Set_Type[Set Type], tbl_MTG_Set_Type[Sell Window Month End], "(Set Type not found)", 0, 1)</f>
        <v>(Set Type not found)</v>
      </c>
      <c r="W393" s="3" t="e">
        <f>tbl_MTG_Set[[#This Row],[Released On]]+tbl_MTG_Set[[#This Row],[Sell Window Month End]]*365.25/12</f>
        <v>#VALUE!</v>
      </c>
      <c r="X393" s="3" t="e">
        <f ca="1">AND(NOW()&gt;=tbl_MTG_Set[[#This Row],[Sell Window Start]], NOW()&lt;=tbl_MTG_Set[[#This Row],[Sell Window End]])</f>
        <v>#VALUE!</v>
      </c>
      <c r="AG393" s="10"/>
      <c r="AH393" s="10"/>
      <c r="AM393" s="10" t="str" cm="1">
        <f t="array" ref="AM3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3" s="10" t="str" cm="1">
        <f t="array" ref="AN3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3" s="4" t="e">
        <f>_xlfn.XLOOKUP(tbl_MTG_Set[[#This Row],[Play Booster Box Product Id]], tbl_Product[Product Id], tbl_Product[Pack Size])</f>
        <v>#N/A</v>
      </c>
      <c r="AP393" s="10" t="e">
        <f>(tbl_MTG_Set[[#This Row],[Play Booster Box Cost]]+v_Item_Shipping_Cost_In)/tbl_MTG_Set[[#This Row],[Play Booster Box Size]]</f>
        <v>#VALUE!</v>
      </c>
      <c r="AQ393" s="10" t="str" cm="1">
        <f t="array" ref="AQ3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3" s="10"/>
      <c r="AS393" s="10"/>
      <c r="AT393" s="17" t="e">
        <f>tbl_MTG_Set[[#This Row],[Play Booster CardMarket Profit]]/tbl_MTG_Set[[#This Row],[Play Booster Cost]]</f>
        <v>#VALUE!</v>
      </c>
      <c r="AU393" s="10" t="e">
        <f>_xlfn.XLOOKUP(tbl_MTG_Set[[#This Row],[Collector Booster Box Product Id]], tbl_Product[Product Id], tbl_Product[Min Cost])</f>
        <v>#N/A</v>
      </c>
      <c r="AV393" s="10" t="e">
        <f>_xlfn.XLOOKUP(tbl_MTG_Set[[#This Row],[Collector Booster Box Product Id]], tbl_Product[Product Id], tbl_Product[Best Source])</f>
        <v>#N/A</v>
      </c>
      <c r="AW393" s="4" t="e">
        <f>_xlfn.XLOOKUP(tbl_MTG_Set[[#This Row],[Collector Booster Box Product Id]], tbl_Product[Product Id], tbl_Product[Pack Size])</f>
        <v>#N/A</v>
      </c>
      <c r="AX393" s="10" t="e">
        <f>(tbl_MTG_Set[[#This Row],[Collector Booster Box Cost]] + v_Item_Shipping_Cost_In) / tbl_MTG_Set[[#This Row],[Collector Booster Box Size]]</f>
        <v>#N/A</v>
      </c>
      <c r="AY393" s="10" t="str" cm="1">
        <f t="array" ref="AY3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3" s="10"/>
      <c r="BA3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3" s="17" t="e">
        <f>tbl_MTG_Set[[#This Row],[Collector Booster CardMarket Profit]]/tbl_MTG_Set[[#This Row],[Collector Booster Cost]]</f>
        <v>#N/A</v>
      </c>
      <c r="BC393" s="10"/>
      <c r="BF3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3" s="11" t="e">
        <f>tbl_MTG_Set[[#This Row],[Play Singles CardMarket Profit MTG Stocks]]/tbl_MTG_Set[[#This Row],[Play Booster Cost]]</f>
        <v>#VALUE!</v>
      </c>
      <c r="BI393" s="11" t="b">
        <f>tbl_MTG_Set[[#This Row],[Play Singles CardMarket Profit MTG Stocks]]&gt;0</f>
        <v>0</v>
      </c>
      <c r="BM393" s="10" t="e">
        <f>tbl_MTG_Set[[#This Row],[Play Booster Sell Price CardMarket]]*tbl_MTG_Set[[#This Row],[Play Booster Expected Market Value BotBox]]/tbl_MTG_Set[[#This Row],[Play Booster Sealed Market Value BotBox]]</f>
        <v>#VALUE!</v>
      </c>
      <c r="BN3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3" s="10" t="e">
        <f>tbl_MTG_Set[[#This Row],[Play Singles CardMarket Profit BotBox]]/tbl_MTG_Set[[#This Row],[Play Booster Cost]]</f>
        <v>#VALUE!</v>
      </c>
      <c r="BP393" s="10" t="b">
        <f>tbl_MTG_Set[[#This Row],[Play Singles CardMarket Profit BotBox]]&gt;0</f>
        <v>0</v>
      </c>
      <c r="BQ393" s="10"/>
      <c r="BR393" s="10"/>
      <c r="BS393" s="10"/>
      <c r="BT3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3" s="19" t="e">
        <f>tbl_MTG_Set[[#This Row],[Collector Singles CardMarket Profit MTG Stocks]]/tbl_MTG_Set[[#This Row],[Collector Booster Cost]]</f>
        <v>#N/A</v>
      </c>
      <c r="BW393" s="10" t="b">
        <f>tbl_MTG_Set[[#This Row],[Collector Singles CardMarket Profit MTG Stocks]]&gt;0</f>
        <v>0</v>
      </c>
      <c r="BX393" s="10"/>
      <c r="BY393" s="10"/>
      <c r="BZ3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3" s="10" t="e">
        <f>tbl_MTG_Set[[#This Row],[Collector Singles CardMarket Profit BotBox]]/tbl_MTG_Set[[#This Row],[Collector Booster Cost]]</f>
        <v>#N/A</v>
      </c>
      <c r="CC393" s="10" t="b">
        <f>tbl_MTG_Set[[#This Row],[Collector Singles CardMarket Profit BotBox]]&gt;0</f>
        <v>0</v>
      </c>
      <c r="CD3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4" spans="1:86" hidden="1">
      <c r="A394">
        <v>422</v>
      </c>
      <c r="B394" t="s">
        <v>567</v>
      </c>
      <c r="C394">
        <v>3</v>
      </c>
      <c r="D394" s="3">
        <v>43760</v>
      </c>
      <c r="F394" t="s">
        <v>174</v>
      </c>
      <c r="G394">
        <v>790</v>
      </c>
      <c r="H394">
        <f ca="1">MONTH(NOW())+12*YEAR(NOW())-MONTH(tbl_MTG_Set[[#This Row],[Released On]])-12*YEAR(tbl_MTG_Set[[#This Row],[Released On]])</f>
        <v>77</v>
      </c>
      <c r="I394" t="str">
        <f>_xlfn.XLOOKUP(tbl_MTG_Set[[#This Row],[Type Name]], tbl_MTG_Set_Type[Set Type], tbl_MTG_Set_Type[Index], "(Set Type not found)")</f>
        <v>(Set Type not found)</v>
      </c>
      <c r="J394" t="str">
        <f>_xlfn.XLOOKUP(tbl_MTG_Set[[#This Row],[Type Name]], tbl_MTG_Set_Type[Set Type], tbl_MTG_Set_Type[Buy Window Month Start], "(Set Type not found)")</f>
        <v>(Set Type not found)</v>
      </c>
      <c r="K394" s="3" t="e">
        <f>tbl_MTG_Set[[#This Row],[Released On]]+tbl_MTG_Set[[#This Row],[Buy Window Month Start]]*365.25/12</f>
        <v>#VALUE!</v>
      </c>
      <c r="L394" t="str">
        <f>_xlfn.XLOOKUP(tbl_MTG_Set[[#This Row],[Type Name]], tbl_MTG_Set_Type[Set Type], tbl_MTG_Set_Type[Buy Window Month End], "(Set Type not found)", 0, 1)</f>
        <v>(Set Type not found)</v>
      </c>
      <c r="M394" s="3" t="e">
        <f>tbl_MTG_Set[[#This Row],[Released On]]+tbl_MTG_Set[[#This Row],[Buy Window Month End]]*365.25/12</f>
        <v>#VALUE!</v>
      </c>
      <c r="N394" s="3" t="e">
        <f ca="1">AND(NOW()&gt;=tbl_MTG_Set[[#This Row],[Buy Window Start]], NOW()&lt;=tbl_MTG_Set[[#This Row],[Buy Window End]])</f>
        <v>#VALUE!</v>
      </c>
      <c r="O394" t="str">
        <f>_xlfn.XLOOKUP(tbl_MTG_Set[[#This Row],[Type Name]], tbl_MTG_Set_Type[Set Type], tbl_MTG_Set_Type[Heavy Printing Window Month Start], "(Set Type not found)", 0, 1)</f>
        <v>(Set Type not found)</v>
      </c>
      <c r="P394" s="3" t="e">
        <f>tbl_MTG_Set[[#This Row],[Released On]]+tbl_MTG_Set[[#This Row],[Heavy Printing Window Month Start]]*365.25/12</f>
        <v>#VALUE!</v>
      </c>
      <c r="Q394" t="str">
        <f>_xlfn.XLOOKUP(tbl_MTG_Set[[#This Row],[Type Name]], tbl_MTG_Set_Type[Set Type], tbl_MTG_Set_Type[Heavy Printing Window Month End], "(Set Type not found)", 0, 1)</f>
        <v>(Set Type not found)</v>
      </c>
      <c r="R394" s="3" t="e">
        <f>tbl_MTG_Set[[#This Row],[Released On]]+tbl_MTG_Set[[#This Row],[Heavy Printing Window Month End]]*365.25/12</f>
        <v>#VALUE!</v>
      </c>
      <c r="S394" s="3" t="e">
        <f ca="1">AND(NOW()&gt;=tbl_MTG_Set[[#This Row],[Heavy Printing Window Start]], NOW()&lt;=tbl_MTG_Set[[#This Row],[Heavy Printing Window End]])</f>
        <v>#VALUE!</v>
      </c>
      <c r="T394" t="str">
        <f>_xlfn.XLOOKUP(tbl_MTG_Set[[#This Row],[Type Name]], tbl_MTG_Set_Type[Set Type], tbl_MTG_Set_Type[Sell Window Month Start], "(Set Type not found)", 0, 1)</f>
        <v>(Set Type not found)</v>
      </c>
      <c r="U394" s="3" t="e">
        <f>tbl_MTG_Set[[#This Row],[Released On]]+tbl_MTG_Set[[#This Row],[Sell Window Month Start]]*365.25/12</f>
        <v>#VALUE!</v>
      </c>
      <c r="V394" t="str">
        <f>_xlfn.XLOOKUP(tbl_MTG_Set[[#This Row],[Type Name]], tbl_MTG_Set_Type[Set Type], tbl_MTG_Set_Type[Sell Window Month End], "(Set Type not found)", 0, 1)</f>
        <v>(Set Type not found)</v>
      </c>
      <c r="W394" s="3" t="e">
        <f>tbl_MTG_Set[[#This Row],[Released On]]+tbl_MTG_Set[[#This Row],[Sell Window Month End]]*365.25/12</f>
        <v>#VALUE!</v>
      </c>
      <c r="X394" s="3" t="e">
        <f ca="1">AND(NOW()&gt;=tbl_MTG_Set[[#This Row],[Sell Window Start]], NOW()&lt;=tbl_MTG_Set[[#This Row],[Sell Window End]])</f>
        <v>#VALUE!</v>
      </c>
      <c r="AG394" s="10"/>
      <c r="AH394" s="10"/>
      <c r="AM394" s="10" t="str" cm="1">
        <f t="array" ref="AM3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4" s="10" t="str" cm="1">
        <f t="array" ref="AN3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4" s="4" t="e">
        <f>_xlfn.XLOOKUP(tbl_MTG_Set[[#This Row],[Play Booster Box Product Id]], tbl_Product[Product Id], tbl_Product[Pack Size])</f>
        <v>#N/A</v>
      </c>
      <c r="AP394" s="10" t="e">
        <f>(tbl_MTG_Set[[#This Row],[Play Booster Box Cost]]+v_Item_Shipping_Cost_In)/tbl_MTG_Set[[#This Row],[Play Booster Box Size]]</f>
        <v>#VALUE!</v>
      </c>
      <c r="AQ394" s="10" t="str" cm="1">
        <f t="array" ref="AQ3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4" s="10"/>
      <c r="AS394" s="10"/>
      <c r="AT394" s="17" t="e">
        <f>tbl_MTG_Set[[#This Row],[Play Booster CardMarket Profit]]/tbl_MTG_Set[[#This Row],[Play Booster Cost]]</f>
        <v>#VALUE!</v>
      </c>
      <c r="AU394" s="10" t="e">
        <f>_xlfn.XLOOKUP(tbl_MTG_Set[[#This Row],[Collector Booster Box Product Id]], tbl_Product[Product Id], tbl_Product[Min Cost])</f>
        <v>#N/A</v>
      </c>
      <c r="AV394" s="10" t="e">
        <f>_xlfn.XLOOKUP(tbl_MTG_Set[[#This Row],[Collector Booster Box Product Id]], tbl_Product[Product Id], tbl_Product[Best Source])</f>
        <v>#N/A</v>
      </c>
      <c r="AW394" s="4" t="e">
        <f>_xlfn.XLOOKUP(tbl_MTG_Set[[#This Row],[Collector Booster Box Product Id]], tbl_Product[Product Id], tbl_Product[Pack Size])</f>
        <v>#N/A</v>
      </c>
      <c r="AX394" s="10" t="e">
        <f>(tbl_MTG_Set[[#This Row],[Collector Booster Box Cost]] + v_Item_Shipping_Cost_In) / tbl_MTG_Set[[#This Row],[Collector Booster Box Size]]</f>
        <v>#N/A</v>
      </c>
      <c r="AY394" s="10" t="str" cm="1">
        <f t="array" ref="AY3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4" s="10"/>
      <c r="BA3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4" s="17" t="e">
        <f>tbl_MTG_Set[[#This Row],[Collector Booster CardMarket Profit]]/tbl_MTG_Set[[#This Row],[Collector Booster Cost]]</f>
        <v>#N/A</v>
      </c>
      <c r="BC394" s="10"/>
      <c r="BF3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4" s="11" t="e">
        <f>tbl_MTG_Set[[#This Row],[Play Singles CardMarket Profit MTG Stocks]]/tbl_MTG_Set[[#This Row],[Play Booster Cost]]</f>
        <v>#VALUE!</v>
      </c>
      <c r="BI394" s="11" t="b">
        <f>tbl_MTG_Set[[#This Row],[Play Singles CardMarket Profit MTG Stocks]]&gt;0</f>
        <v>0</v>
      </c>
      <c r="BM394" s="10" t="e">
        <f>tbl_MTG_Set[[#This Row],[Play Booster Sell Price CardMarket]]*tbl_MTG_Set[[#This Row],[Play Booster Expected Market Value BotBox]]/tbl_MTG_Set[[#This Row],[Play Booster Sealed Market Value BotBox]]</f>
        <v>#VALUE!</v>
      </c>
      <c r="BN3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4" s="10" t="e">
        <f>tbl_MTG_Set[[#This Row],[Play Singles CardMarket Profit BotBox]]/tbl_MTG_Set[[#This Row],[Play Booster Cost]]</f>
        <v>#VALUE!</v>
      </c>
      <c r="BP394" s="10" t="b">
        <f>tbl_MTG_Set[[#This Row],[Play Singles CardMarket Profit BotBox]]&gt;0</f>
        <v>0</v>
      </c>
      <c r="BQ394" s="10"/>
      <c r="BR394" s="10"/>
      <c r="BS394" s="10"/>
      <c r="BT3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4" s="19" t="e">
        <f>tbl_MTG_Set[[#This Row],[Collector Singles CardMarket Profit MTG Stocks]]/tbl_MTG_Set[[#This Row],[Collector Booster Cost]]</f>
        <v>#N/A</v>
      </c>
      <c r="BW394" s="10" t="b">
        <f>tbl_MTG_Set[[#This Row],[Collector Singles CardMarket Profit MTG Stocks]]&gt;0</f>
        <v>0</v>
      </c>
      <c r="BX394" s="10"/>
      <c r="BY394" s="10"/>
      <c r="BZ3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4" s="10" t="e">
        <f>tbl_MTG_Set[[#This Row],[Collector Singles CardMarket Profit BotBox]]/tbl_MTG_Set[[#This Row],[Collector Booster Cost]]</f>
        <v>#N/A</v>
      </c>
      <c r="CC394" s="10" t="b">
        <f>tbl_MTG_Set[[#This Row],[Collector Singles CardMarket Profit BotBox]]&gt;0</f>
        <v>0</v>
      </c>
      <c r="CD3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5" spans="1:86" hidden="1">
      <c r="A395">
        <v>424</v>
      </c>
      <c r="B395" t="s">
        <v>568</v>
      </c>
      <c r="C395">
        <v>138</v>
      </c>
      <c r="D395" s="3">
        <v>43742</v>
      </c>
      <c r="E395" t="s">
        <v>59</v>
      </c>
      <c r="F395" t="s">
        <v>174</v>
      </c>
      <c r="G395">
        <v>794</v>
      </c>
      <c r="H395">
        <f ca="1">MONTH(NOW())+12*YEAR(NOW())-MONTH(tbl_MTG_Set[[#This Row],[Released On]])-12*YEAR(tbl_MTG_Set[[#This Row],[Released On]])</f>
        <v>77</v>
      </c>
      <c r="I395">
        <f>_xlfn.XLOOKUP(tbl_MTG_Set[[#This Row],[Type Name]], tbl_MTG_Set_Type[Set Type], tbl_MTG_Set_Type[Index], "(Set Type not found)")</f>
        <v>1</v>
      </c>
      <c r="J395">
        <f>_xlfn.XLOOKUP(tbl_MTG_Set[[#This Row],[Type Name]], tbl_MTG_Set_Type[Set Type], tbl_MTG_Set_Type[Buy Window Month Start], "(Set Type not found)")</f>
        <v>18</v>
      </c>
      <c r="K395" s="3">
        <f>tbl_MTG_Set[[#This Row],[Released On]]+tbl_MTG_Set[[#This Row],[Buy Window Month Start]]*365.25/12</f>
        <v>44289.875</v>
      </c>
      <c r="L395">
        <f>_xlfn.XLOOKUP(tbl_MTG_Set[[#This Row],[Type Name]], tbl_MTG_Set_Type[Set Type], tbl_MTG_Set_Type[Buy Window Month End], "(Set Type not found)", 0, 1)</f>
        <v>24</v>
      </c>
      <c r="M395" s="3">
        <f>tbl_MTG_Set[[#This Row],[Released On]]+tbl_MTG_Set[[#This Row],[Buy Window Month End]]*365.25/12</f>
        <v>44472.5</v>
      </c>
      <c r="N395" s="3" t="b">
        <f ca="1">AND(NOW()&gt;=tbl_MTG_Set[[#This Row],[Buy Window Start]], NOW()&lt;=tbl_MTG_Set[[#This Row],[Buy Window End]])</f>
        <v>0</v>
      </c>
      <c r="O395">
        <f>_xlfn.XLOOKUP(tbl_MTG_Set[[#This Row],[Type Name]], tbl_MTG_Set_Type[Set Type], tbl_MTG_Set_Type[Heavy Printing Window Month Start], "(Set Type not found)", 0, 1)</f>
        <v>1</v>
      </c>
      <c r="P395" s="3">
        <f>tbl_MTG_Set[[#This Row],[Released On]]+tbl_MTG_Set[[#This Row],[Heavy Printing Window Month Start]]*365.25/12</f>
        <v>43772.4375</v>
      </c>
      <c r="Q395">
        <f>_xlfn.XLOOKUP(tbl_MTG_Set[[#This Row],[Type Name]], tbl_MTG_Set_Type[Set Type], tbl_MTG_Set_Type[Heavy Printing Window Month End], "(Set Type not found)", 0, 1)</f>
        <v>18</v>
      </c>
      <c r="R395" s="3">
        <f>tbl_MTG_Set[[#This Row],[Released On]]+tbl_MTG_Set[[#This Row],[Heavy Printing Window Month End]]*365.25/12</f>
        <v>44289.875</v>
      </c>
      <c r="S395" s="3" t="b">
        <f ca="1">AND(NOW()&gt;=tbl_MTG_Set[[#This Row],[Heavy Printing Window Start]], NOW()&lt;=tbl_MTG_Set[[#This Row],[Heavy Printing Window End]])</f>
        <v>0</v>
      </c>
      <c r="T395">
        <f>_xlfn.XLOOKUP(tbl_MTG_Set[[#This Row],[Type Name]], tbl_MTG_Set_Type[Set Type], tbl_MTG_Set_Type[Sell Window Month Start], "(Set Type not found)", 0, 1)</f>
        <v>36</v>
      </c>
      <c r="U395" s="3">
        <f>tbl_MTG_Set[[#This Row],[Released On]]+tbl_MTG_Set[[#This Row],[Sell Window Month Start]]*365.25/12</f>
        <v>44837.75</v>
      </c>
      <c r="V395">
        <f>_xlfn.XLOOKUP(tbl_MTG_Set[[#This Row],[Type Name]], tbl_MTG_Set_Type[Set Type], tbl_MTG_Set_Type[Sell Window Month End], "(Set Type not found)", 0, 1)</f>
        <v>48</v>
      </c>
      <c r="W395" s="3">
        <f>tbl_MTG_Set[[#This Row],[Released On]]+tbl_MTG_Set[[#This Row],[Sell Window Month End]]*365.25/12</f>
        <v>45203</v>
      </c>
      <c r="X395" s="3" t="b">
        <f ca="1">AND(NOW()&gt;=tbl_MTG_Set[[#This Row],[Sell Window Start]], NOW()&lt;=tbl_MTG_Set[[#This Row],[Sell Window End]])</f>
        <v>0</v>
      </c>
      <c r="AG395" s="10"/>
      <c r="AH395" s="10"/>
      <c r="AM395" s="10" t="str" cm="1">
        <f t="array" ref="AM3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5" s="10" t="str" cm="1">
        <f t="array" ref="AN3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5" s="4" t="e">
        <f>_xlfn.XLOOKUP(tbl_MTG_Set[[#This Row],[Play Booster Box Product Id]], tbl_Product[Product Id], tbl_Product[Pack Size])</f>
        <v>#N/A</v>
      </c>
      <c r="AP395" s="10" t="e">
        <f>(tbl_MTG_Set[[#This Row],[Play Booster Box Cost]]+v_Item_Shipping_Cost_In)/tbl_MTG_Set[[#This Row],[Play Booster Box Size]]</f>
        <v>#VALUE!</v>
      </c>
      <c r="AQ395" s="10" t="str" cm="1">
        <f t="array" ref="AQ3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5" s="10"/>
      <c r="AS395" s="10"/>
      <c r="AT395" s="17" t="e">
        <f>tbl_MTG_Set[[#This Row],[Play Booster CardMarket Profit]]/tbl_MTG_Set[[#This Row],[Play Booster Cost]]</f>
        <v>#VALUE!</v>
      </c>
      <c r="AU395" s="10" t="e">
        <f>_xlfn.XLOOKUP(tbl_MTG_Set[[#This Row],[Collector Booster Box Product Id]], tbl_Product[Product Id], tbl_Product[Min Cost])</f>
        <v>#N/A</v>
      </c>
      <c r="AV395" s="10" t="e">
        <f>_xlfn.XLOOKUP(tbl_MTG_Set[[#This Row],[Collector Booster Box Product Id]], tbl_Product[Product Id], tbl_Product[Best Source])</f>
        <v>#N/A</v>
      </c>
      <c r="AW395" s="4" t="e">
        <f>_xlfn.XLOOKUP(tbl_MTG_Set[[#This Row],[Collector Booster Box Product Id]], tbl_Product[Product Id], tbl_Product[Pack Size])</f>
        <v>#N/A</v>
      </c>
      <c r="AX395" s="10" t="e">
        <f>(tbl_MTG_Set[[#This Row],[Collector Booster Box Cost]] + v_Item_Shipping_Cost_In) / tbl_MTG_Set[[#This Row],[Collector Booster Box Size]]</f>
        <v>#N/A</v>
      </c>
      <c r="AY395" s="10" t="str" cm="1">
        <f t="array" ref="AY3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5" s="10"/>
      <c r="BA3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5" s="17" t="e">
        <f>tbl_MTG_Set[[#This Row],[Collector Booster CardMarket Profit]]/tbl_MTG_Set[[#This Row],[Collector Booster Cost]]</f>
        <v>#N/A</v>
      </c>
      <c r="BC395" s="10"/>
      <c r="BF3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5" s="11" t="e">
        <f>tbl_MTG_Set[[#This Row],[Play Singles CardMarket Profit MTG Stocks]]/tbl_MTG_Set[[#This Row],[Play Booster Cost]]</f>
        <v>#VALUE!</v>
      </c>
      <c r="BI395" s="11" t="b">
        <f>tbl_MTG_Set[[#This Row],[Play Singles CardMarket Profit MTG Stocks]]&gt;0</f>
        <v>0</v>
      </c>
      <c r="BM395" s="10" t="e">
        <f>tbl_MTG_Set[[#This Row],[Play Booster Sell Price CardMarket]]*tbl_MTG_Set[[#This Row],[Play Booster Expected Market Value BotBox]]/tbl_MTG_Set[[#This Row],[Play Booster Sealed Market Value BotBox]]</f>
        <v>#VALUE!</v>
      </c>
      <c r="BN3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5" s="10" t="e">
        <f>tbl_MTG_Set[[#This Row],[Play Singles CardMarket Profit BotBox]]/tbl_MTG_Set[[#This Row],[Play Booster Cost]]</f>
        <v>#VALUE!</v>
      </c>
      <c r="BP395" s="10" t="b">
        <f>tbl_MTG_Set[[#This Row],[Play Singles CardMarket Profit BotBox]]&gt;0</f>
        <v>0</v>
      </c>
      <c r="BQ395" s="10"/>
      <c r="BR395" s="10"/>
      <c r="BS395" s="10"/>
      <c r="BT3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5" s="19" t="e">
        <f>tbl_MTG_Set[[#This Row],[Collector Singles CardMarket Profit MTG Stocks]]/tbl_MTG_Set[[#This Row],[Collector Booster Cost]]</f>
        <v>#N/A</v>
      </c>
      <c r="BW395" s="10" t="b">
        <f>tbl_MTG_Set[[#This Row],[Collector Singles CardMarket Profit MTG Stocks]]&gt;0</f>
        <v>0</v>
      </c>
      <c r="BX395" s="10"/>
      <c r="BY395" s="10"/>
      <c r="BZ3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5" s="10" t="e">
        <f>tbl_MTG_Set[[#This Row],[Collector Singles CardMarket Profit BotBox]]/tbl_MTG_Set[[#This Row],[Collector Booster Cost]]</f>
        <v>#N/A</v>
      </c>
      <c r="CC395" s="10" t="b">
        <f>tbl_MTG_Set[[#This Row],[Collector Singles CardMarket Profit BotBox]]&gt;0</f>
        <v>0</v>
      </c>
      <c r="CD3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6" spans="1:86" hidden="1">
      <c r="A396">
        <v>425</v>
      </c>
      <c r="B396" t="s">
        <v>569</v>
      </c>
      <c r="C396">
        <v>20</v>
      </c>
      <c r="D396" s="3">
        <v>43742</v>
      </c>
      <c r="E396" t="s">
        <v>59</v>
      </c>
      <c r="F396" t="s">
        <v>174</v>
      </c>
      <c r="G396">
        <v>796</v>
      </c>
      <c r="H396">
        <f ca="1">MONTH(NOW())+12*YEAR(NOW())-MONTH(tbl_MTG_Set[[#This Row],[Released On]])-12*YEAR(tbl_MTG_Set[[#This Row],[Released On]])</f>
        <v>77</v>
      </c>
      <c r="I396">
        <f>_xlfn.XLOOKUP(tbl_MTG_Set[[#This Row],[Type Name]], tbl_MTG_Set_Type[Set Type], tbl_MTG_Set_Type[Index], "(Set Type not found)")</f>
        <v>1</v>
      </c>
      <c r="J396">
        <f>_xlfn.XLOOKUP(tbl_MTG_Set[[#This Row],[Type Name]], tbl_MTG_Set_Type[Set Type], tbl_MTG_Set_Type[Buy Window Month Start], "(Set Type not found)")</f>
        <v>18</v>
      </c>
      <c r="K396" s="3">
        <f>tbl_MTG_Set[[#This Row],[Released On]]+tbl_MTG_Set[[#This Row],[Buy Window Month Start]]*365.25/12</f>
        <v>44289.875</v>
      </c>
      <c r="L396">
        <f>_xlfn.XLOOKUP(tbl_MTG_Set[[#This Row],[Type Name]], tbl_MTG_Set_Type[Set Type], tbl_MTG_Set_Type[Buy Window Month End], "(Set Type not found)", 0, 1)</f>
        <v>24</v>
      </c>
      <c r="M396" s="3">
        <f>tbl_MTG_Set[[#This Row],[Released On]]+tbl_MTG_Set[[#This Row],[Buy Window Month End]]*365.25/12</f>
        <v>44472.5</v>
      </c>
      <c r="N396" s="3" t="b">
        <f ca="1">AND(NOW()&gt;=tbl_MTG_Set[[#This Row],[Buy Window Start]], NOW()&lt;=tbl_MTG_Set[[#This Row],[Buy Window End]])</f>
        <v>0</v>
      </c>
      <c r="O396">
        <f>_xlfn.XLOOKUP(tbl_MTG_Set[[#This Row],[Type Name]], tbl_MTG_Set_Type[Set Type], tbl_MTG_Set_Type[Heavy Printing Window Month Start], "(Set Type not found)", 0, 1)</f>
        <v>1</v>
      </c>
      <c r="P396" s="3">
        <f>tbl_MTG_Set[[#This Row],[Released On]]+tbl_MTG_Set[[#This Row],[Heavy Printing Window Month Start]]*365.25/12</f>
        <v>43772.4375</v>
      </c>
      <c r="Q396">
        <f>_xlfn.XLOOKUP(tbl_MTG_Set[[#This Row],[Type Name]], tbl_MTG_Set_Type[Set Type], tbl_MTG_Set_Type[Heavy Printing Window Month End], "(Set Type not found)", 0, 1)</f>
        <v>18</v>
      </c>
      <c r="R396" s="3">
        <f>tbl_MTG_Set[[#This Row],[Released On]]+tbl_MTG_Set[[#This Row],[Heavy Printing Window Month End]]*365.25/12</f>
        <v>44289.875</v>
      </c>
      <c r="S396" s="3" t="b">
        <f ca="1">AND(NOW()&gt;=tbl_MTG_Set[[#This Row],[Heavy Printing Window Start]], NOW()&lt;=tbl_MTG_Set[[#This Row],[Heavy Printing Window End]])</f>
        <v>0</v>
      </c>
      <c r="T396">
        <f>_xlfn.XLOOKUP(tbl_MTG_Set[[#This Row],[Type Name]], tbl_MTG_Set_Type[Set Type], tbl_MTG_Set_Type[Sell Window Month Start], "(Set Type not found)", 0, 1)</f>
        <v>36</v>
      </c>
      <c r="U396" s="3">
        <f>tbl_MTG_Set[[#This Row],[Released On]]+tbl_MTG_Set[[#This Row],[Sell Window Month Start]]*365.25/12</f>
        <v>44837.75</v>
      </c>
      <c r="V396">
        <f>_xlfn.XLOOKUP(tbl_MTG_Set[[#This Row],[Type Name]], tbl_MTG_Set_Type[Set Type], tbl_MTG_Set_Type[Sell Window Month End], "(Set Type not found)", 0, 1)</f>
        <v>48</v>
      </c>
      <c r="W396" s="3">
        <f>tbl_MTG_Set[[#This Row],[Released On]]+tbl_MTG_Set[[#This Row],[Sell Window Month End]]*365.25/12</f>
        <v>45203</v>
      </c>
      <c r="X396" s="3" t="b">
        <f ca="1">AND(NOW()&gt;=tbl_MTG_Set[[#This Row],[Sell Window Start]], NOW()&lt;=tbl_MTG_Set[[#This Row],[Sell Window End]])</f>
        <v>0</v>
      </c>
      <c r="AG396" s="10"/>
      <c r="AH396" s="10"/>
      <c r="AM396" s="10" t="str" cm="1">
        <f t="array" ref="AM3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6" s="10" t="str" cm="1">
        <f t="array" ref="AN3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6" s="4" t="e">
        <f>_xlfn.XLOOKUP(tbl_MTG_Set[[#This Row],[Play Booster Box Product Id]], tbl_Product[Product Id], tbl_Product[Pack Size])</f>
        <v>#N/A</v>
      </c>
      <c r="AP396" s="10" t="e">
        <f>(tbl_MTG_Set[[#This Row],[Play Booster Box Cost]]+v_Item_Shipping_Cost_In)/tbl_MTG_Set[[#This Row],[Play Booster Box Size]]</f>
        <v>#VALUE!</v>
      </c>
      <c r="AQ396" s="10" t="str" cm="1">
        <f t="array" ref="AQ3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6" s="10"/>
      <c r="AS396" s="10"/>
      <c r="AT396" s="17" t="e">
        <f>tbl_MTG_Set[[#This Row],[Play Booster CardMarket Profit]]/tbl_MTG_Set[[#This Row],[Play Booster Cost]]</f>
        <v>#VALUE!</v>
      </c>
      <c r="AU396" s="10" t="e">
        <f>_xlfn.XLOOKUP(tbl_MTG_Set[[#This Row],[Collector Booster Box Product Id]], tbl_Product[Product Id], tbl_Product[Min Cost])</f>
        <v>#N/A</v>
      </c>
      <c r="AV396" s="10" t="e">
        <f>_xlfn.XLOOKUP(tbl_MTG_Set[[#This Row],[Collector Booster Box Product Id]], tbl_Product[Product Id], tbl_Product[Best Source])</f>
        <v>#N/A</v>
      </c>
      <c r="AW396" s="4" t="e">
        <f>_xlfn.XLOOKUP(tbl_MTG_Set[[#This Row],[Collector Booster Box Product Id]], tbl_Product[Product Id], tbl_Product[Pack Size])</f>
        <v>#N/A</v>
      </c>
      <c r="AX396" s="10" t="e">
        <f>(tbl_MTG_Set[[#This Row],[Collector Booster Box Cost]] + v_Item_Shipping_Cost_In) / tbl_MTG_Set[[#This Row],[Collector Booster Box Size]]</f>
        <v>#N/A</v>
      </c>
      <c r="AY396" s="10" t="str" cm="1">
        <f t="array" ref="AY3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6" s="10"/>
      <c r="BA3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6" s="17" t="e">
        <f>tbl_MTG_Set[[#This Row],[Collector Booster CardMarket Profit]]/tbl_MTG_Set[[#This Row],[Collector Booster Cost]]</f>
        <v>#N/A</v>
      </c>
      <c r="BC396" s="10"/>
      <c r="BF3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6" s="11" t="e">
        <f>tbl_MTG_Set[[#This Row],[Play Singles CardMarket Profit MTG Stocks]]/tbl_MTG_Set[[#This Row],[Play Booster Cost]]</f>
        <v>#VALUE!</v>
      </c>
      <c r="BI396" s="11" t="b">
        <f>tbl_MTG_Set[[#This Row],[Play Singles CardMarket Profit MTG Stocks]]&gt;0</f>
        <v>0</v>
      </c>
      <c r="BM396" s="10" t="e">
        <f>tbl_MTG_Set[[#This Row],[Play Booster Sell Price CardMarket]]*tbl_MTG_Set[[#This Row],[Play Booster Expected Market Value BotBox]]/tbl_MTG_Set[[#This Row],[Play Booster Sealed Market Value BotBox]]</f>
        <v>#VALUE!</v>
      </c>
      <c r="BN3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6" s="10" t="e">
        <f>tbl_MTG_Set[[#This Row],[Play Singles CardMarket Profit BotBox]]/tbl_MTG_Set[[#This Row],[Play Booster Cost]]</f>
        <v>#VALUE!</v>
      </c>
      <c r="BP396" s="10" t="b">
        <f>tbl_MTG_Set[[#This Row],[Play Singles CardMarket Profit BotBox]]&gt;0</f>
        <v>0</v>
      </c>
      <c r="BQ396" s="10"/>
      <c r="BR396" s="10"/>
      <c r="BS396" s="10"/>
      <c r="BT3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6" s="19" t="e">
        <f>tbl_MTG_Set[[#This Row],[Collector Singles CardMarket Profit MTG Stocks]]/tbl_MTG_Set[[#This Row],[Collector Booster Cost]]</f>
        <v>#N/A</v>
      </c>
      <c r="BW396" s="10" t="b">
        <f>tbl_MTG_Set[[#This Row],[Collector Singles CardMarket Profit MTG Stocks]]&gt;0</f>
        <v>0</v>
      </c>
      <c r="BX396" s="10"/>
      <c r="BY396" s="10"/>
      <c r="BZ3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6" s="10" t="e">
        <f>tbl_MTG_Set[[#This Row],[Collector Singles CardMarket Profit BotBox]]/tbl_MTG_Set[[#This Row],[Collector Booster Cost]]</f>
        <v>#N/A</v>
      </c>
      <c r="CC396" s="10" t="b">
        <f>tbl_MTG_Set[[#This Row],[Collector Singles CardMarket Profit BotBox]]&gt;0</f>
        <v>0</v>
      </c>
      <c r="CD3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7" spans="1:86" hidden="1">
      <c r="A397">
        <v>426</v>
      </c>
      <c r="B397" t="s">
        <v>570</v>
      </c>
      <c r="C397">
        <v>42</v>
      </c>
      <c r="D397" s="3">
        <v>43739</v>
      </c>
      <c r="F397" t="s">
        <v>174</v>
      </c>
      <c r="G397">
        <v>798</v>
      </c>
      <c r="H397">
        <f ca="1">MONTH(NOW())+12*YEAR(NOW())-MONTH(tbl_MTG_Set[[#This Row],[Released On]])-12*YEAR(tbl_MTG_Set[[#This Row],[Released On]])</f>
        <v>77</v>
      </c>
      <c r="I397" t="str">
        <f>_xlfn.XLOOKUP(tbl_MTG_Set[[#This Row],[Type Name]], tbl_MTG_Set_Type[Set Type], tbl_MTG_Set_Type[Index], "(Set Type not found)")</f>
        <v>(Set Type not found)</v>
      </c>
      <c r="J397" t="str">
        <f>_xlfn.XLOOKUP(tbl_MTG_Set[[#This Row],[Type Name]], tbl_MTG_Set_Type[Set Type], tbl_MTG_Set_Type[Buy Window Month Start], "(Set Type not found)")</f>
        <v>(Set Type not found)</v>
      </c>
      <c r="K397" s="3" t="e">
        <f>tbl_MTG_Set[[#This Row],[Released On]]+tbl_MTG_Set[[#This Row],[Buy Window Month Start]]*365.25/12</f>
        <v>#VALUE!</v>
      </c>
      <c r="L397" t="str">
        <f>_xlfn.XLOOKUP(tbl_MTG_Set[[#This Row],[Type Name]], tbl_MTG_Set_Type[Set Type], tbl_MTG_Set_Type[Buy Window Month End], "(Set Type not found)", 0, 1)</f>
        <v>(Set Type not found)</v>
      </c>
      <c r="M397" s="3" t="e">
        <f>tbl_MTG_Set[[#This Row],[Released On]]+tbl_MTG_Set[[#This Row],[Buy Window Month End]]*365.25/12</f>
        <v>#VALUE!</v>
      </c>
      <c r="N397" s="3" t="e">
        <f ca="1">AND(NOW()&gt;=tbl_MTG_Set[[#This Row],[Buy Window Start]], NOW()&lt;=tbl_MTG_Set[[#This Row],[Buy Window End]])</f>
        <v>#VALUE!</v>
      </c>
      <c r="O397" t="str">
        <f>_xlfn.XLOOKUP(tbl_MTG_Set[[#This Row],[Type Name]], tbl_MTG_Set_Type[Set Type], tbl_MTG_Set_Type[Heavy Printing Window Month Start], "(Set Type not found)", 0, 1)</f>
        <v>(Set Type not found)</v>
      </c>
      <c r="P397" s="3" t="e">
        <f>tbl_MTG_Set[[#This Row],[Released On]]+tbl_MTG_Set[[#This Row],[Heavy Printing Window Month Start]]*365.25/12</f>
        <v>#VALUE!</v>
      </c>
      <c r="Q397" t="str">
        <f>_xlfn.XLOOKUP(tbl_MTG_Set[[#This Row],[Type Name]], tbl_MTG_Set_Type[Set Type], tbl_MTG_Set_Type[Heavy Printing Window Month End], "(Set Type not found)", 0, 1)</f>
        <v>(Set Type not found)</v>
      </c>
      <c r="R397" s="3" t="e">
        <f>tbl_MTG_Set[[#This Row],[Released On]]+tbl_MTG_Set[[#This Row],[Heavy Printing Window Month End]]*365.25/12</f>
        <v>#VALUE!</v>
      </c>
      <c r="S397" s="3" t="e">
        <f ca="1">AND(NOW()&gt;=tbl_MTG_Set[[#This Row],[Heavy Printing Window Start]], NOW()&lt;=tbl_MTG_Set[[#This Row],[Heavy Printing Window End]])</f>
        <v>#VALUE!</v>
      </c>
      <c r="T397" t="str">
        <f>_xlfn.XLOOKUP(tbl_MTG_Set[[#This Row],[Type Name]], tbl_MTG_Set_Type[Set Type], tbl_MTG_Set_Type[Sell Window Month Start], "(Set Type not found)", 0, 1)</f>
        <v>(Set Type not found)</v>
      </c>
      <c r="U397" s="3" t="e">
        <f>tbl_MTG_Set[[#This Row],[Released On]]+tbl_MTG_Set[[#This Row],[Sell Window Month Start]]*365.25/12</f>
        <v>#VALUE!</v>
      </c>
      <c r="V397" t="str">
        <f>_xlfn.XLOOKUP(tbl_MTG_Set[[#This Row],[Type Name]], tbl_MTG_Set_Type[Set Type], tbl_MTG_Set_Type[Sell Window Month End], "(Set Type not found)", 0, 1)</f>
        <v>(Set Type not found)</v>
      </c>
      <c r="W397" s="3" t="e">
        <f>tbl_MTG_Set[[#This Row],[Released On]]+tbl_MTG_Set[[#This Row],[Sell Window Month End]]*365.25/12</f>
        <v>#VALUE!</v>
      </c>
      <c r="X397" s="3" t="e">
        <f ca="1">AND(NOW()&gt;=tbl_MTG_Set[[#This Row],[Sell Window Start]], NOW()&lt;=tbl_MTG_Set[[#This Row],[Sell Window End]])</f>
        <v>#VALUE!</v>
      </c>
      <c r="AG397" s="10"/>
      <c r="AH397" s="10"/>
      <c r="AM397" s="10" t="str" cm="1">
        <f t="array" ref="AM3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7" s="10" t="str" cm="1">
        <f t="array" ref="AN3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7" s="4" t="e">
        <f>_xlfn.XLOOKUP(tbl_MTG_Set[[#This Row],[Play Booster Box Product Id]], tbl_Product[Product Id], tbl_Product[Pack Size])</f>
        <v>#N/A</v>
      </c>
      <c r="AP397" s="10" t="e">
        <f>(tbl_MTG_Set[[#This Row],[Play Booster Box Cost]]+v_Item_Shipping_Cost_In)/tbl_MTG_Set[[#This Row],[Play Booster Box Size]]</f>
        <v>#VALUE!</v>
      </c>
      <c r="AQ397" s="10" t="str" cm="1">
        <f t="array" ref="AQ3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7" s="10"/>
      <c r="AS397" s="10"/>
      <c r="AT397" s="17" t="e">
        <f>tbl_MTG_Set[[#This Row],[Play Booster CardMarket Profit]]/tbl_MTG_Set[[#This Row],[Play Booster Cost]]</f>
        <v>#VALUE!</v>
      </c>
      <c r="AU397" s="10" t="e">
        <f>_xlfn.XLOOKUP(tbl_MTG_Set[[#This Row],[Collector Booster Box Product Id]], tbl_Product[Product Id], tbl_Product[Min Cost])</f>
        <v>#N/A</v>
      </c>
      <c r="AV397" s="10" t="e">
        <f>_xlfn.XLOOKUP(tbl_MTG_Set[[#This Row],[Collector Booster Box Product Id]], tbl_Product[Product Id], tbl_Product[Best Source])</f>
        <v>#N/A</v>
      </c>
      <c r="AW397" s="4" t="e">
        <f>_xlfn.XLOOKUP(tbl_MTG_Set[[#This Row],[Collector Booster Box Product Id]], tbl_Product[Product Id], tbl_Product[Pack Size])</f>
        <v>#N/A</v>
      </c>
      <c r="AX397" s="10" t="e">
        <f>(tbl_MTG_Set[[#This Row],[Collector Booster Box Cost]] + v_Item_Shipping_Cost_In) / tbl_MTG_Set[[#This Row],[Collector Booster Box Size]]</f>
        <v>#N/A</v>
      </c>
      <c r="AY397" s="10" t="str" cm="1">
        <f t="array" ref="AY3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7" s="10"/>
      <c r="BA3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7" s="17" t="e">
        <f>tbl_MTG_Set[[#This Row],[Collector Booster CardMarket Profit]]/tbl_MTG_Set[[#This Row],[Collector Booster Cost]]</f>
        <v>#N/A</v>
      </c>
      <c r="BC397" s="10"/>
      <c r="BF3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7" s="11" t="e">
        <f>tbl_MTG_Set[[#This Row],[Play Singles CardMarket Profit MTG Stocks]]/tbl_MTG_Set[[#This Row],[Play Booster Cost]]</f>
        <v>#VALUE!</v>
      </c>
      <c r="BI397" s="11" t="b">
        <f>tbl_MTG_Set[[#This Row],[Play Singles CardMarket Profit MTG Stocks]]&gt;0</f>
        <v>0</v>
      </c>
      <c r="BM397" s="10" t="e">
        <f>tbl_MTG_Set[[#This Row],[Play Booster Sell Price CardMarket]]*tbl_MTG_Set[[#This Row],[Play Booster Expected Market Value BotBox]]/tbl_MTG_Set[[#This Row],[Play Booster Sealed Market Value BotBox]]</f>
        <v>#VALUE!</v>
      </c>
      <c r="BN3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7" s="10" t="e">
        <f>tbl_MTG_Set[[#This Row],[Play Singles CardMarket Profit BotBox]]/tbl_MTG_Set[[#This Row],[Play Booster Cost]]</f>
        <v>#VALUE!</v>
      </c>
      <c r="BP397" s="10" t="b">
        <f>tbl_MTG_Set[[#This Row],[Play Singles CardMarket Profit BotBox]]&gt;0</f>
        <v>0</v>
      </c>
      <c r="BQ397" s="10"/>
      <c r="BR397" s="10"/>
      <c r="BS397" s="10"/>
      <c r="BT3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7" s="19" t="e">
        <f>tbl_MTG_Set[[#This Row],[Collector Singles CardMarket Profit MTG Stocks]]/tbl_MTG_Set[[#This Row],[Collector Booster Cost]]</f>
        <v>#N/A</v>
      </c>
      <c r="BW397" s="10" t="b">
        <f>tbl_MTG_Set[[#This Row],[Collector Singles CardMarket Profit MTG Stocks]]&gt;0</f>
        <v>0</v>
      </c>
      <c r="BX397" s="10"/>
      <c r="BY397" s="10"/>
      <c r="BZ3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7" s="10" t="e">
        <f>tbl_MTG_Set[[#This Row],[Collector Singles CardMarket Profit BotBox]]/tbl_MTG_Set[[#This Row],[Collector Booster Cost]]</f>
        <v>#N/A</v>
      </c>
      <c r="CC397" s="10" t="b">
        <f>tbl_MTG_Set[[#This Row],[Collector Singles CardMarket Profit BotBox]]&gt;0</f>
        <v>0</v>
      </c>
      <c r="CD3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8" spans="1:86" hidden="1">
      <c r="A398">
        <v>427</v>
      </c>
      <c r="B398" t="s">
        <v>571</v>
      </c>
      <c r="C398">
        <v>540</v>
      </c>
      <c r="D398" s="3">
        <v>43705</v>
      </c>
      <c r="F398">
        <v>0</v>
      </c>
      <c r="G398">
        <v>800</v>
      </c>
      <c r="H398">
        <f ca="1">MONTH(NOW())+12*YEAR(NOW())-MONTH(tbl_MTG_Set[[#This Row],[Released On]])-12*YEAR(tbl_MTG_Set[[#This Row],[Released On]])</f>
        <v>79</v>
      </c>
      <c r="I398" t="str">
        <f>_xlfn.XLOOKUP(tbl_MTG_Set[[#This Row],[Type Name]], tbl_MTG_Set_Type[Set Type], tbl_MTG_Set_Type[Index], "(Set Type not found)")</f>
        <v>(Set Type not found)</v>
      </c>
      <c r="J398" t="str">
        <f>_xlfn.XLOOKUP(tbl_MTG_Set[[#This Row],[Type Name]], tbl_MTG_Set_Type[Set Type], tbl_MTG_Set_Type[Buy Window Month Start], "(Set Type not found)")</f>
        <v>(Set Type not found)</v>
      </c>
      <c r="K398" s="3" t="e">
        <f>tbl_MTG_Set[[#This Row],[Released On]]+tbl_MTG_Set[[#This Row],[Buy Window Month Start]]*365.25/12</f>
        <v>#VALUE!</v>
      </c>
      <c r="L398" t="str">
        <f>_xlfn.XLOOKUP(tbl_MTG_Set[[#This Row],[Type Name]], tbl_MTG_Set_Type[Set Type], tbl_MTG_Set_Type[Buy Window Month End], "(Set Type not found)", 0, 1)</f>
        <v>(Set Type not found)</v>
      </c>
      <c r="M398" s="3" t="e">
        <f>tbl_MTG_Set[[#This Row],[Released On]]+tbl_MTG_Set[[#This Row],[Buy Window Month End]]*365.25/12</f>
        <v>#VALUE!</v>
      </c>
      <c r="N398" s="3" t="e">
        <f ca="1">AND(NOW()&gt;=tbl_MTG_Set[[#This Row],[Buy Window Start]], NOW()&lt;=tbl_MTG_Set[[#This Row],[Buy Window End]])</f>
        <v>#VALUE!</v>
      </c>
      <c r="O398" t="str">
        <f>_xlfn.XLOOKUP(tbl_MTG_Set[[#This Row],[Type Name]], tbl_MTG_Set_Type[Set Type], tbl_MTG_Set_Type[Heavy Printing Window Month Start], "(Set Type not found)", 0, 1)</f>
        <v>(Set Type not found)</v>
      </c>
      <c r="P398" s="3" t="e">
        <f>tbl_MTG_Set[[#This Row],[Released On]]+tbl_MTG_Set[[#This Row],[Heavy Printing Window Month Start]]*365.25/12</f>
        <v>#VALUE!</v>
      </c>
      <c r="Q398" t="str">
        <f>_xlfn.XLOOKUP(tbl_MTG_Set[[#This Row],[Type Name]], tbl_MTG_Set_Type[Set Type], tbl_MTG_Set_Type[Heavy Printing Window Month End], "(Set Type not found)", 0, 1)</f>
        <v>(Set Type not found)</v>
      </c>
      <c r="R398" s="3" t="e">
        <f>tbl_MTG_Set[[#This Row],[Released On]]+tbl_MTG_Set[[#This Row],[Heavy Printing Window Month End]]*365.25/12</f>
        <v>#VALUE!</v>
      </c>
      <c r="S398" s="3" t="e">
        <f ca="1">AND(NOW()&gt;=tbl_MTG_Set[[#This Row],[Heavy Printing Window Start]], NOW()&lt;=tbl_MTG_Set[[#This Row],[Heavy Printing Window End]])</f>
        <v>#VALUE!</v>
      </c>
      <c r="T398" t="str">
        <f>_xlfn.XLOOKUP(tbl_MTG_Set[[#This Row],[Type Name]], tbl_MTG_Set_Type[Set Type], tbl_MTG_Set_Type[Sell Window Month Start], "(Set Type not found)", 0, 1)</f>
        <v>(Set Type not found)</v>
      </c>
      <c r="U398" s="3" t="e">
        <f>tbl_MTG_Set[[#This Row],[Released On]]+tbl_MTG_Set[[#This Row],[Sell Window Month Start]]*365.25/12</f>
        <v>#VALUE!</v>
      </c>
      <c r="V398" t="str">
        <f>_xlfn.XLOOKUP(tbl_MTG_Set[[#This Row],[Type Name]], tbl_MTG_Set_Type[Set Type], tbl_MTG_Set_Type[Sell Window Month End], "(Set Type not found)", 0, 1)</f>
        <v>(Set Type not found)</v>
      </c>
      <c r="W398" s="3" t="e">
        <f>tbl_MTG_Set[[#This Row],[Released On]]+tbl_MTG_Set[[#This Row],[Sell Window Month End]]*365.25/12</f>
        <v>#VALUE!</v>
      </c>
      <c r="X398" s="3" t="e">
        <f ca="1">AND(NOW()&gt;=tbl_MTG_Set[[#This Row],[Sell Window Start]], NOW()&lt;=tbl_MTG_Set[[#This Row],[Sell Window End]])</f>
        <v>#VALUE!</v>
      </c>
      <c r="AG398" s="10"/>
      <c r="AH398" s="10"/>
      <c r="AM398" s="10" t="str" cm="1">
        <f t="array" ref="AM3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8" s="10" t="str" cm="1">
        <f t="array" ref="AN3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8" s="4" t="e">
        <f>_xlfn.XLOOKUP(tbl_MTG_Set[[#This Row],[Play Booster Box Product Id]], tbl_Product[Product Id], tbl_Product[Pack Size])</f>
        <v>#N/A</v>
      </c>
      <c r="AP398" s="10" t="e">
        <f>(tbl_MTG_Set[[#This Row],[Play Booster Box Cost]]+v_Item_Shipping_Cost_In)/tbl_MTG_Set[[#This Row],[Play Booster Box Size]]</f>
        <v>#VALUE!</v>
      </c>
      <c r="AQ398" s="10" t="str" cm="1">
        <f t="array" ref="AQ3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8" s="10"/>
      <c r="AS398" s="10"/>
      <c r="AT398" s="17" t="e">
        <f>tbl_MTG_Set[[#This Row],[Play Booster CardMarket Profit]]/tbl_MTG_Set[[#This Row],[Play Booster Cost]]</f>
        <v>#VALUE!</v>
      </c>
      <c r="AU398" s="10" t="e">
        <f>_xlfn.XLOOKUP(tbl_MTG_Set[[#This Row],[Collector Booster Box Product Id]], tbl_Product[Product Id], tbl_Product[Min Cost])</f>
        <v>#N/A</v>
      </c>
      <c r="AV398" s="10" t="e">
        <f>_xlfn.XLOOKUP(tbl_MTG_Set[[#This Row],[Collector Booster Box Product Id]], tbl_Product[Product Id], tbl_Product[Best Source])</f>
        <v>#N/A</v>
      </c>
      <c r="AW398" s="4" t="e">
        <f>_xlfn.XLOOKUP(tbl_MTG_Set[[#This Row],[Collector Booster Box Product Id]], tbl_Product[Product Id], tbl_Product[Pack Size])</f>
        <v>#N/A</v>
      </c>
      <c r="AX398" s="10" t="e">
        <f>(tbl_MTG_Set[[#This Row],[Collector Booster Box Cost]] + v_Item_Shipping_Cost_In) / tbl_MTG_Set[[#This Row],[Collector Booster Box Size]]</f>
        <v>#N/A</v>
      </c>
      <c r="AY398" s="10" t="str" cm="1">
        <f t="array" ref="AY3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8" s="10"/>
      <c r="BA3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8" s="17" t="e">
        <f>tbl_MTG_Set[[#This Row],[Collector Booster CardMarket Profit]]/tbl_MTG_Set[[#This Row],[Collector Booster Cost]]</f>
        <v>#N/A</v>
      </c>
      <c r="BC398" s="10"/>
      <c r="BF3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8" s="11" t="e">
        <f>tbl_MTG_Set[[#This Row],[Play Singles CardMarket Profit MTG Stocks]]/tbl_MTG_Set[[#This Row],[Play Booster Cost]]</f>
        <v>#VALUE!</v>
      </c>
      <c r="BI398" s="11" t="b">
        <f>tbl_MTG_Set[[#This Row],[Play Singles CardMarket Profit MTG Stocks]]&gt;0</f>
        <v>0</v>
      </c>
      <c r="BM398" s="10" t="e">
        <f>tbl_MTG_Set[[#This Row],[Play Booster Sell Price CardMarket]]*tbl_MTG_Set[[#This Row],[Play Booster Expected Market Value BotBox]]/tbl_MTG_Set[[#This Row],[Play Booster Sealed Market Value BotBox]]</f>
        <v>#VALUE!</v>
      </c>
      <c r="BN3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8" s="10" t="e">
        <f>tbl_MTG_Set[[#This Row],[Play Singles CardMarket Profit BotBox]]/tbl_MTG_Set[[#This Row],[Play Booster Cost]]</f>
        <v>#VALUE!</v>
      </c>
      <c r="BP398" s="10" t="b">
        <f>tbl_MTG_Set[[#This Row],[Play Singles CardMarket Profit BotBox]]&gt;0</f>
        <v>0</v>
      </c>
      <c r="BQ398" s="10"/>
      <c r="BR398" s="10"/>
      <c r="BS398" s="10"/>
      <c r="BT3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8" s="19" t="e">
        <f>tbl_MTG_Set[[#This Row],[Collector Singles CardMarket Profit MTG Stocks]]/tbl_MTG_Set[[#This Row],[Collector Booster Cost]]</f>
        <v>#N/A</v>
      </c>
      <c r="BW398" s="10" t="b">
        <f>tbl_MTG_Set[[#This Row],[Collector Singles CardMarket Profit MTG Stocks]]&gt;0</f>
        <v>0</v>
      </c>
      <c r="BX398" s="10"/>
      <c r="BY398" s="10"/>
      <c r="BZ3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8" s="10" t="e">
        <f>tbl_MTG_Set[[#This Row],[Collector Singles CardMarket Profit BotBox]]/tbl_MTG_Set[[#This Row],[Collector Booster Cost]]</f>
        <v>#N/A</v>
      </c>
      <c r="CC398" s="10" t="b">
        <f>tbl_MTG_Set[[#This Row],[Collector Singles CardMarket Profit BotBox]]&gt;0</f>
        <v>0</v>
      </c>
      <c r="CD3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399" spans="1:86" hidden="1">
      <c r="A399">
        <v>428</v>
      </c>
      <c r="B399" t="s">
        <v>572</v>
      </c>
      <c r="C399">
        <v>302</v>
      </c>
      <c r="D399" s="3">
        <v>43700</v>
      </c>
      <c r="F399" t="s">
        <v>174</v>
      </c>
      <c r="G399">
        <v>802</v>
      </c>
      <c r="H399">
        <f ca="1">MONTH(NOW())+12*YEAR(NOW())-MONTH(tbl_MTG_Set[[#This Row],[Released On]])-12*YEAR(tbl_MTG_Set[[#This Row],[Released On]])</f>
        <v>79</v>
      </c>
      <c r="I399" t="str">
        <f>_xlfn.XLOOKUP(tbl_MTG_Set[[#This Row],[Type Name]], tbl_MTG_Set_Type[Set Type], tbl_MTG_Set_Type[Index], "(Set Type not found)")</f>
        <v>(Set Type not found)</v>
      </c>
      <c r="J399" t="str">
        <f>_xlfn.XLOOKUP(tbl_MTG_Set[[#This Row],[Type Name]], tbl_MTG_Set_Type[Set Type], tbl_MTG_Set_Type[Buy Window Month Start], "(Set Type not found)")</f>
        <v>(Set Type not found)</v>
      </c>
      <c r="K399" s="3" t="e">
        <f>tbl_MTG_Set[[#This Row],[Released On]]+tbl_MTG_Set[[#This Row],[Buy Window Month Start]]*365.25/12</f>
        <v>#VALUE!</v>
      </c>
      <c r="L399" t="str">
        <f>_xlfn.XLOOKUP(tbl_MTG_Set[[#This Row],[Type Name]], tbl_MTG_Set_Type[Set Type], tbl_MTG_Set_Type[Buy Window Month End], "(Set Type not found)", 0, 1)</f>
        <v>(Set Type not found)</v>
      </c>
      <c r="M399" s="3" t="e">
        <f>tbl_MTG_Set[[#This Row],[Released On]]+tbl_MTG_Set[[#This Row],[Buy Window Month End]]*365.25/12</f>
        <v>#VALUE!</v>
      </c>
      <c r="N399" s="3" t="e">
        <f ca="1">AND(NOW()&gt;=tbl_MTG_Set[[#This Row],[Buy Window Start]], NOW()&lt;=tbl_MTG_Set[[#This Row],[Buy Window End]])</f>
        <v>#VALUE!</v>
      </c>
      <c r="O399" t="str">
        <f>_xlfn.XLOOKUP(tbl_MTG_Set[[#This Row],[Type Name]], tbl_MTG_Set_Type[Set Type], tbl_MTG_Set_Type[Heavy Printing Window Month Start], "(Set Type not found)", 0, 1)</f>
        <v>(Set Type not found)</v>
      </c>
      <c r="P399" s="3" t="e">
        <f>tbl_MTG_Set[[#This Row],[Released On]]+tbl_MTG_Set[[#This Row],[Heavy Printing Window Month Start]]*365.25/12</f>
        <v>#VALUE!</v>
      </c>
      <c r="Q399" t="str">
        <f>_xlfn.XLOOKUP(tbl_MTG_Set[[#This Row],[Type Name]], tbl_MTG_Set_Type[Set Type], tbl_MTG_Set_Type[Heavy Printing Window Month End], "(Set Type not found)", 0, 1)</f>
        <v>(Set Type not found)</v>
      </c>
      <c r="R399" s="3" t="e">
        <f>tbl_MTG_Set[[#This Row],[Released On]]+tbl_MTG_Set[[#This Row],[Heavy Printing Window Month End]]*365.25/12</f>
        <v>#VALUE!</v>
      </c>
      <c r="S399" s="3" t="e">
        <f ca="1">AND(NOW()&gt;=tbl_MTG_Set[[#This Row],[Heavy Printing Window Start]], NOW()&lt;=tbl_MTG_Set[[#This Row],[Heavy Printing Window End]])</f>
        <v>#VALUE!</v>
      </c>
      <c r="T399" t="str">
        <f>_xlfn.XLOOKUP(tbl_MTG_Set[[#This Row],[Type Name]], tbl_MTG_Set_Type[Set Type], tbl_MTG_Set_Type[Sell Window Month Start], "(Set Type not found)", 0, 1)</f>
        <v>(Set Type not found)</v>
      </c>
      <c r="U399" s="3" t="e">
        <f>tbl_MTG_Set[[#This Row],[Released On]]+tbl_MTG_Set[[#This Row],[Sell Window Month Start]]*365.25/12</f>
        <v>#VALUE!</v>
      </c>
      <c r="V399" t="str">
        <f>_xlfn.XLOOKUP(tbl_MTG_Set[[#This Row],[Type Name]], tbl_MTG_Set_Type[Set Type], tbl_MTG_Set_Type[Sell Window Month End], "(Set Type not found)", 0, 1)</f>
        <v>(Set Type not found)</v>
      </c>
      <c r="W399" s="3" t="e">
        <f>tbl_MTG_Set[[#This Row],[Released On]]+tbl_MTG_Set[[#This Row],[Sell Window Month End]]*365.25/12</f>
        <v>#VALUE!</v>
      </c>
      <c r="X399" s="3" t="e">
        <f ca="1">AND(NOW()&gt;=tbl_MTG_Set[[#This Row],[Sell Window Start]], NOW()&lt;=tbl_MTG_Set[[#This Row],[Sell Window End]])</f>
        <v>#VALUE!</v>
      </c>
      <c r="AG399" s="10"/>
      <c r="AH399" s="10"/>
      <c r="AM399" s="10" t="str" cm="1">
        <f t="array" ref="AM3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399" s="10" t="str" cm="1">
        <f t="array" ref="AN3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399" s="4" t="e">
        <f>_xlfn.XLOOKUP(tbl_MTG_Set[[#This Row],[Play Booster Box Product Id]], tbl_Product[Product Id], tbl_Product[Pack Size])</f>
        <v>#N/A</v>
      </c>
      <c r="AP399" s="10" t="e">
        <f>(tbl_MTG_Set[[#This Row],[Play Booster Box Cost]]+v_Item_Shipping_Cost_In)/tbl_MTG_Set[[#This Row],[Play Booster Box Size]]</f>
        <v>#VALUE!</v>
      </c>
      <c r="AQ399" s="10" t="str" cm="1">
        <f t="array" ref="AQ3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399" s="10"/>
      <c r="AS399" s="10"/>
      <c r="AT399" s="17" t="e">
        <f>tbl_MTG_Set[[#This Row],[Play Booster CardMarket Profit]]/tbl_MTG_Set[[#This Row],[Play Booster Cost]]</f>
        <v>#VALUE!</v>
      </c>
      <c r="AU399" s="10" t="e">
        <f>_xlfn.XLOOKUP(tbl_MTG_Set[[#This Row],[Collector Booster Box Product Id]], tbl_Product[Product Id], tbl_Product[Min Cost])</f>
        <v>#N/A</v>
      </c>
      <c r="AV399" s="10" t="e">
        <f>_xlfn.XLOOKUP(tbl_MTG_Set[[#This Row],[Collector Booster Box Product Id]], tbl_Product[Product Id], tbl_Product[Best Source])</f>
        <v>#N/A</v>
      </c>
      <c r="AW399" s="4" t="e">
        <f>_xlfn.XLOOKUP(tbl_MTG_Set[[#This Row],[Collector Booster Box Product Id]], tbl_Product[Product Id], tbl_Product[Pack Size])</f>
        <v>#N/A</v>
      </c>
      <c r="AX399" s="10" t="e">
        <f>(tbl_MTG_Set[[#This Row],[Collector Booster Box Cost]] + v_Item_Shipping_Cost_In) / tbl_MTG_Set[[#This Row],[Collector Booster Box Size]]</f>
        <v>#N/A</v>
      </c>
      <c r="AY399" s="10" t="str" cm="1">
        <f t="array" ref="AY3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399" s="10"/>
      <c r="BA3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399" s="17" t="e">
        <f>tbl_MTG_Set[[#This Row],[Collector Booster CardMarket Profit]]/tbl_MTG_Set[[#This Row],[Collector Booster Cost]]</f>
        <v>#N/A</v>
      </c>
      <c r="BC399" s="10"/>
      <c r="BF3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3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399" s="11" t="e">
        <f>tbl_MTG_Set[[#This Row],[Play Singles CardMarket Profit MTG Stocks]]/tbl_MTG_Set[[#This Row],[Play Booster Cost]]</f>
        <v>#VALUE!</v>
      </c>
      <c r="BI399" s="11" t="b">
        <f>tbl_MTG_Set[[#This Row],[Play Singles CardMarket Profit MTG Stocks]]&gt;0</f>
        <v>0</v>
      </c>
      <c r="BM399" s="10" t="e">
        <f>tbl_MTG_Set[[#This Row],[Play Booster Sell Price CardMarket]]*tbl_MTG_Set[[#This Row],[Play Booster Expected Market Value BotBox]]/tbl_MTG_Set[[#This Row],[Play Booster Sealed Market Value BotBox]]</f>
        <v>#VALUE!</v>
      </c>
      <c r="BN3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399" s="10" t="e">
        <f>tbl_MTG_Set[[#This Row],[Play Singles CardMarket Profit BotBox]]/tbl_MTG_Set[[#This Row],[Play Booster Cost]]</f>
        <v>#VALUE!</v>
      </c>
      <c r="BP399" s="10" t="b">
        <f>tbl_MTG_Set[[#This Row],[Play Singles CardMarket Profit BotBox]]&gt;0</f>
        <v>0</v>
      </c>
      <c r="BQ399" s="10"/>
      <c r="BR399" s="10"/>
      <c r="BS399" s="10"/>
      <c r="BT3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3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399" s="19" t="e">
        <f>tbl_MTG_Set[[#This Row],[Collector Singles CardMarket Profit MTG Stocks]]/tbl_MTG_Set[[#This Row],[Collector Booster Cost]]</f>
        <v>#N/A</v>
      </c>
      <c r="BW399" s="10" t="b">
        <f>tbl_MTG_Set[[#This Row],[Collector Singles CardMarket Profit MTG Stocks]]&gt;0</f>
        <v>0</v>
      </c>
      <c r="BX399" s="10"/>
      <c r="BY399" s="10"/>
      <c r="BZ3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3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399" s="10" t="e">
        <f>tbl_MTG_Set[[#This Row],[Collector Singles CardMarket Profit BotBox]]/tbl_MTG_Set[[#This Row],[Collector Booster Cost]]</f>
        <v>#N/A</v>
      </c>
      <c r="CC399" s="10" t="b">
        <f>tbl_MTG_Set[[#This Row],[Collector Singles CardMarket Profit BotBox]]&gt;0</f>
        <v>0</v>
      </c>
      <c r="CD3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3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3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3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3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0" spans="1:86" hidden="1">
      <c r="A400">
        <v>429</v>
      </c>
      <c r="B400" t="s">
        <v>573</v>
      </c>
      <c r="C400">
        <v>29</v>
      </c>
      <c r="D400" s="3">
        <v>43678</v>
      </c>
      <c r="F400" t="s">
        <v>174</v>
      </c>
      <c r="G400">
        <v>804</v>
      </c>
      <c r="H400">
        <f ca="1">MONTH(NOW())+12*YEAR(NOW())-MONTH(tbl_MTG_Set[[#This Row],[Released On]])-12*YEAR(tbl_MTG_Set[[#This Row],[Released On]])</f>
        <v>79</v>
      </c>
      <c r="I400" t="str">
        <f>_xlfn.XLOOKUP(tbl_MTG_Set[[#This Row],[Type Name]], tbl_MTG_Set_Type[Set Type], tbl_MTG_Set_Type[Index], "(Set Type not found)")</f>
        <v>(Set Type not found)</v>
      </c>
      <c r="J400" t="str">
        <f>_xlfn.XLOOKUP(tbl_MTG_Set[[#This Row],[Type Name]], tbl_MTG_Set_Type[Set Type], tbl_MTG_Set_Type[Buy Window Month Start], "(Set Type not found)")</f>
        <v>(Set Type not found)</v>
      </c>
      <c r="K400" s="3" t="e">
        <f>tbl_MTG_Set[[#This Row],[Released On]]+tbl_MTG_Set[[#This Row],[Buy Window Month Start]]*365.25/12</f>
        <v>#VALUE!</v>
      </c>
      <c r="L400" t="str">
        <f>_xlfn.XLOOKUP(tbl_MTG_Set[[#This Row],[Type Name]], tbl_MTG_Set_Type[Set Type], tbl_MTG_Set_Type[Buy Window Month End], "(Set Type not found)", 0, 1)</f>
        <v>(Set Type not found)</v>
      </c>
      <c r="M400" s="3" t="e">
        <f>tbl_MTG_Set[[#This Row],[Released On]]+tbl_MTG_Set[[#This Row],[Buy Window Month End]]*365.25/12</f>
        <v>#VALUE!</v>
      </c>
      <c r="N400" s="3" t="e">
        <f ca="1">AND(NOW()&gt;=tbl_MTG_Set[[#This Row],[Buy Window Start]], NOW()&lt;=tbl_MTG_Set[[#This Row],[Buy Window End]])</f>
        <v>#VALUE!</v>
      </c>
      <c r="O400" t="str">
        <f>_xlfn.XLOOKUP(tbl_MTG_Set[[#This Row],[Type Name]], tbl_MTG_Set_Type[Set Type], tbl_MTG_Set_Type[Heavy Printing Window Month Start], "(Set Type not found)", 0, 1)</f>
        <v>(Set Type not found)</v>
      </c>
      <c r="P400" s="3" t="e">
        <f>tbl_MTG_Set[[#This Row],[Released On]]+tbl_MTG_Set[[#This Row],[Heavy Printing Window Month Start]]*365.25/12</f>
        <v>#VALUE!</v>
      </c>
      <c r="Q400" t="str">
        <f>_xlfn.XLOOKUP(tbl_MTG_Set[[#This Row],[Type Name]], tbl_MTG_Set_Type[Set Type], tbl_MTG_Set_Type[Heavy Printing Window Month End], "(Set Type not found)", 0, 1)</f>
        <v>(Set Type not found)</v>
      </c>
      <c r="R400" s="3" t="e">
        <f>tbl_MTG_Set[[#This Row],[Released On]]+tbl_MTG_Set[[#This Row],[Heavy Printing Window Month End]]*365.25/12</f>
        <v>#VALUE!</v>
      </c>
      <c r="S400" s="3" t="e">
        <f ca="1">AND(NOW()&gt;=tbl_MTG_Set[[#This Row],[Heavy Printing Window Start]], NOW()&lt;=tbl_MTG_Set[[#This Row],[Heavy Printing Window End]])</f>
        <v>#VALUE!</v>
      </c>
      <c r="T400" t="str">
        <f>_xlfn.XLOOKUP(tbl_MTG_Set[[#This Row],[Type Name]], tbl_MTG_Set_Type[Set Type], tbl_MTG_Set_Type[Sell Window Month Start], "(Set Type not found)", 0, 1)</f>
        <v>(Set Type not found)</v>
      </c>
      <c r="U400" s="3" t="e">
        <f>tbl_MTG_Set[[#This Row],[Released On]]+tbl_MTG_Set[[#This Row],[Sell Window Month Start]]*365.25/12</f>
        <v>#VALUE!</v>
      </c>
      <c r="V400" t="str">
        <f>_xlfn.XLOOKUP(tbl_MTG_Set[[#This Row],[Type Name]], tbl_MTG_Set_Type[Set Type], tbl_MTG_Set_Type[Sell Window Month End], "(Set Type not found)", 0, 1)</f>
        <v>(Set Type not found)</v>
      </c>
      <c r="W400" s="3" t="e">
        <f>tbl_MTG_Set[[#This Row],[Released On]]+tbl_MTG_Set[[#This Row],[Sell Window Month End]]*365.25/12</f>
        <v>#VALUE!</v>
      </c>
      <c r="X400" s="3" t="e">
        <f ca="1">AND(NOW()&gt;=tbl_MTG_Set[[#This Row],[Sell Window Start]], NOW()&lt;=tbl_MTG_Set[[#This Row],[Sell Window End]])</f>
        <v>#VALUE!</v>
      </c>
      <c r="AG400" s="10"/>
      <c r="AH400" s="10"/>
      <c r="AM400" s="10" t="str" cm="1">
        <f t="array" ref="AM4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0" s="10" t="str" cm="1">
        <f t="array" ref="AN4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0" s="4" t="e">
        <f>_xlfn.XLOOKUP(tbl_MTG_Set[[#This Row],[Play Booster Box Product Id]], tbl_Product[Product Id], tbl_Product[Pack Size])</f>
        <v>#N/A</v>
      </c>
      <c r="AP400" s="10" t="e">
        <f>(tbl_MTG_Set[[#This Row],[Play Booster Box Cost]]+v_Item_Shipping_Cost_In)/tbl_MTG_Set[[#This Row],[Play Booster Box Size]]</f>
        <v>#VALUE!</v>
      </c>
      <c r="AQ400" s="10" t="str" cm="1">
        <f t="array" ref="AQ4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0" s="10"/>
      <c r="AS400" s="10"/>
      <c r="AT400" s="17" t="e">
        <f>tbl_MTG_Set[[#This Row],[Play Booster CardMarket Profit]]/tbl_MTG_Set[[#This Row],[Play Booster Cost]]</f>
        <v>#VALUE!</v>
      </c>
      <c r="AU400" s="10" t="e">
        <f>_xlfn.XLOOKUP(tbl_MTG_Set[[#This Row],[Collector Booster Box Product Id]], tbl_Product[Product Id], tbl_Product[Min Cost])</f>
        <v>#N/A</v>
      </c>
      <c r="AV400" s="10" t="e">
        <f>_xlfn.XLOOKUP(tbl_MTG_Set[[#This Row],[Collector Booster Box Product Id]], tbl_Product[Product Id], tbl_Product[Best Source])</f>
        <v>#N/A</v>
      </c>
      <c r="AW400" s="4" t="e">
        <f>_xlfn.XLOOKUP(tbl_MTG_Set[[#This Row],[Collector Booster Box Product Id]], tbl_Product[Product Id], tbl_Product[Pack Size])</f>
        <v>#N/A</v>
      </c>
      <c r="AX400" s="10" t="e">
        <f>(tbl_MTG_Set[[#This Row],[Collector Booster Box Cost]] + v_Item_Shipping_Cost_In) / tbl_MTG_Set[[#This Row],[Collector Booster Box Size]]</f>
        <v>#N/A</v>
      </c>
      <c r="AY400" s="10" t="str" cm="1">
        <f t="array" ref="AY4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0" s="10"/>
      <c r="BA4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0" s="17" t="e">
        <f>tbl_MTG_Set[[#This Row],[Collector Booster CardMarket Profit]]/tbl_MTG_Set[[#This Row],[Collector Booster Cost]]</f>
        <v>#N/A</v>
      </c>
      <c r="BC400" s="10"/>
      <c r="BF4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0" s="11" t="e">
        <f>tbl_MTG_Set[[#This Row],[Play Singles CardMarket Profit MTG Stocks]]/tbl_MTG_Set[[#This Row],[Play Booster Cost]]</f>
        <v>#VALUE!</v>
      </c>
      <c r="BI400" s="11" t="b">
        <f>tbl_MTG_Set[[#This Row],[Play Singles CardMarket Profit MTG Stocks]]&gt;0</f>
        <v>0</v>
      </c>
      <c r="BM400" s="10" t="e">
        <f>tbl_MTG_Set[[#This Row],[Play Booster Sell Price CardMarket]]*tbl_MTG_Set[[#This Row],[Play Booster Expected Market Value BotBox]]/tbl_MTG_Set[[#This Row],[Play Booster Sealed Market Value BotBox]]</f>
        <v>#VALUE!</v>
      </c>
      <c r="BN4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0" s="10" t="e">
        <f>tbl_MTG_Set[[#This Row],[Play Singles CardMarket Profit BotBox]]/tbl_MTG_Set[[#This Row],[Play Booster Cost]]</f>
        <v>#VALUE!</v>
      </c>
      <c r="BP400" s="10" t="b">
        <f>tbl_MTG_Set[[#This Row],[Play Singles CardMarket Profit BotBox]]&gt;0</f>
        <v>0</v>
      </c>
      <c r="BQ400" s="10"/>
      <c r="BR400" s="10"/>
      <c r="BS400" s="10"/>
      <c r="BT4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0" s="19" t="e">
        <f>tbl_MTG_Set[[#This Row],[Collector Singles CardMarket Profit MTG Stocks]]/tbl_MTG_Set[[#This Row],[Collector Booster Cost]]</f>
        <v>#N/A</v>
      </c>
      <c r="BW400" s="10" t="b">
        <f>tbl_MTG_Set[[#This Row],[Collector Singles CardMarket Profit MTG Stocks]]&gt;0</f>
        <v>0</v>
      </c>
      <c r="BX400" s="10"/>
      <c r="BY400" s="10"/>
      <c r="BZ4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0" s="10" t="e">
        <f>tbl_MTG_Set[[#This Row],[Collector Singles CardMarket Profit BotBox]]/tbl_MTG_Set[[#This Row],[Collector Booster Cost]]</f>
        <v>#N/A</v>
      </c>
      <c r="CC400" s="10" t="b">
        <f>tbl_MTG_Set[[#This Row],[Collector Singles CardMarket Profit BotBox]]&gt;0</f>
        <v>0</v>
      </c>
      <c r="CD4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1" spans="1:86" hidden="1">
      <c r="A401">
        <v>430</v>
      </c>
      <c r="B401" t="s">
        <v>574</v>
      </c>
      <c r="C401">
        <v>4</v>
      </c>
      <c r="D401" s="3">
        <v>43708</v>
      </c>
      <c r="F401" t="s">
        <v>174</v>
      </c>
      <c r="G401">
        <v>806</v>
      </c>
      <c r="H401">
        <f ca="1">MONTH(NOW())+12*YEAR(NOW())-MONTH(tbl_MTG_Set[[#This Row],[Released On]])-12*YEAR(tbl_MTG_Set[[#This Row],[Released On]])</f>
        <v>79</v>
      </c>
      <c r="I401" t="str">
        <f>_xlfn.XLOOKUP(tbl_MTG_Set[[#This Row],[Type Name]], tbl_MTG_Set_Type[Set Type], tbl_MTG_Set_Type[Index], "(Set Type not found)")</f>
        <v>(Set Type not found)</v>
      </c>
      <c r="J401" t="str">
        <f>_xlfn.XLOOKUP(tbl_MTG_Set[[#This Row],[Type Name]], tbl_MTG_Set_Type[Set Type], tbl_MTG_Set_Type[Buy Window Month Start], "(Set Type not found)")</f>
        <v>(Set Type not found)</v>
      </c>
      <c r="K401" s="3" t="e">
        <f>tbl_MTG_Set[[#This Row],[Released On]]+tbl_MTG_Set[[#This Row],[Buy Window Month Start]]*365.25/12</f>
        <v>#VALUE!</v>
      </c>
      <c r="L401" t="str">
        <f>_xlfn.XLOOKUP(tbl_MTG_Set[[#This Row],[Type Name]], tbl_MTG_Set_Type[Set Type], tbl_MTG_Set_Type[Buy Window Month End], "(Set Type not found)", 0, 1)</f>
        <v>(Set Type not found)</v>
      </c>
      <c r="M401" s="3" t="e">
        <f>tbl_MTG_Set[[#This Row],[Released On]]+tbl_MTG_Set[[#This Row],[Buy Window Month End]]*365.25/12</f>
        <v>#VALUE!</v>
      </c>
      <c r="N401" s="3" t="e">
        <f ca="1">AND(NOW()&gt;=tbl_MTG_Set[[#This Row],[Buy Window Start]], NOW()&lt;=tbl_MTG_Set[[#This Row],[Buy Window End]])</f>
        <v>#VALUE!</v>
      </c>
      <c r="O401" t="str">
        <f>_xlfn.XLOOKUP(tbl_MTG_Set[[#This Row],[Type Name]], tbl_MTG_Set_Type[Set Type], tbl_MTG_Set_Type[Heavy Printing Window Month Start], "(Set Type not found)", 0, 1)</f>
        <v>(Set Type not found)</v>
      </c>
      <c r="P401" s="3" t="e">
        <f>tbl_MTG_Set[[#This Row],[Released On]]+tbl_MTG_Set[[#This Row],[Heavy Printing Window Month Start]]*365.25/12</f>
        <v>#VALUE!</v>
      </c>
      <c r="Q401" t="str">
        <f>_xlfn.XLOOKUP(tbl_MTG_Set[[#This Row],[Type Name]], tbl_MTG_Set_Type[Set Type], tbl_MTG_Set_Type[Heavy Printing Window Month End], "(Set Type not found)", 0, 1)</f>
        <v>(Set Type not found)</v>
      </c>
      <c r="R401" s="3" t="e">
        <f>tbl_MTG_Set[[#This Row],[Released On]]+tbl_MTG_Set[[#This Row],[Heavy Printing Window Month End]]*365.25/12</f>
        <v>#VALUE!</v>
      </c>
      <c r="S401" s="3" t="e">
        <f ca="1">AND(NOW()&gt;=tbl_MTG_Set[[#This Row],[Heavy Printing Window Start]], NOW()&lt;=tbl_MTG_Set[[#This Row],[Heavy Printing Window End]])</f>
        <v>#VALUE!</v>
      </c>
      <c r="T401" t="str">
        <f>_xlfn.XLOOKUP(tbl_MTG_Set[[#This Row],[Type Name]], tbl_MTG_Set_Type[Set Type], tbl_MTG_Set_Type[Sell Window Month Start], "(Set Type not found)", 0, 1)</f>
        <v>(Set Type not found)</v>
      </c>
      <c r="U401" s="3" t="e">
        <f>tbl_MTG_Set[[#This Row],[Released On]]+tbl_MTG_Set[[#This Row],[Sell Window Month Start]]*365.25/12</f>
        <v>#VALUE!</v>
      </c>
      <c r="V401" t="str">
        <f>_xlfn.XLOOKUP(tbl_MTG_Set[[#This Row],[Type Name]], tbl_MTG_Set_Type[Set Type], tbl_MTG_Set_Type[Sell Window Month End], "(Set Type not found)", 0, 1)</f>
        <v>(Set Type not found)</v>
      </c>
      <c r="W401" s="3" t="e">
        <f>tbl_MTG_Set[[#This Row],[Released On]]+tbl_MTG_Set[[#This Row],[Sell Window Month End]]*365.25/12</f>
        <v>#VALUE!</v>
      </c>
      <c r="X401" s="3" t="e">
        <f ca="1">AND(NOW()&gt;=tbl_MTG_Set[[#This Row],[Sell Window Start]], NOW()&lt;=tbl_MTG_Set[[#This Row],[Sell Window End]])</f>
        <v>#VALUE!</v>
      </c>
      <c r="AG401" s="10"/>
      <c r="AH401" s="10"/>
      <c r="AM401" s="10" t="str" cm="1">
        <f t="array" ref="AM4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1" s="10" t="str" cm="1">
        <f t="array" ref="AN4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1" s="4" t="e">
        <f>_xlfn.XLOOKUP(tbl_MTG_Set[[#This Row],[Play Booster Box Product Id]], tbl_Product[Product Id], tbl_Product[Pack Size])</f>
        <v>#N/A</v>
      </c>
      <c r="AP401" s="10" t="e">
        <f>(tbl_MTG_Set[[#This Row],[Play Booster Box Cost]]+v_Item_Shipping_Cost_In)/tbl_MTG_Set[[#This Row],[Play Booster Box Size]]</f>
        <v>#VALUE!</v>
      </c>
      <c r="AQ401" s="10" t="str" cm="1">
        <f t="array" ref="AQ4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1" s="10"/>
      <c r="AS401" s="10"/>
      <c r="AT401" s="17" t="e">
        <f>tbl_MTG_Set[[#This Row],[Play Booster CardMarket Profit]]/tbl_MTG_Set[[#This Row],[Play Booster Cost]]</f>
        <v>#VALUE!</v>
      </c>
      <c r="AU401" s="10" t="e">
        <f>_xlfn.XLOOKUP(tbl_MTG_Set[[#This Row],[Collector Booster Box Product Id]], tbl_Product[Product Id], tbl_Product[Min Cost])</f>
        <v>#N/A</v>
      </c>
      <c r="AV401" s="10" t="e">
        <f>_xlfn.XLOOKUP(tbl_MTG_Set[[#This Row],[Collector Booster Box Product Id]], tbl_Product[Product Id], tbl_Product[Best Source])</f>
        <v>#N/A</v>
      </c>
      <c r="AW401" s="4" t="e">
        <f>_xlfn.XLOOKUP(tbl_MTG_Set[[#This Row],[Collector Booster Box Product Id]], tbl_Product[Product Id], tbl_Product[Pack Size])</f>
        <v>#N/A</v>
      </c>
      <c r="AX401" s="10" t="e">
        <f>(tbl_MTG_Set[[#This Row],[Collector Booster Box Cost]] + v_Item_Shipping_Cost_In) / tbl_MTG_Set[[#This Row],[Collector Booster Box Size]]</f>
        <v>#N/A</v>
      </c>
      <c r="AY401" s="10" t="str" cm="1">
        <f t="array" ref="AY4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1" s="10"/>
      <c r="BA4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1" s="17" t="e">
        <f>tbl_MTG_Set[[#This Row],[Collector Booster CardMarket Profit]]/tbl_MTG_Set[[#This Row],[Collector Booster Cost]]</f>
        <v>#N/A</v>
      </c>
      <c r="BC401" s="10"/>
      <c r="BF4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1" s="11" t="e">
        <f>tbl_MTG_Set[[#This Row],[Play Singles CardMarket Profit MTG Stocks]]/tbl_MTG_Set[[#This Row],[Play Booster Cost]]</f>
        <v>#VALUE!</v>
      </c>
      <c r="BI401" s="11" t="b">
        <f>tbl_MTG_Set[[#This Row],[Play Singles CardMarket Profit MTG Stocks]]&gt;0</f>
        <v>0</v>
      </c>
      <c r="BM401" s="10" t="e">
        <f>tbl_MTG_Set[[#This Row],[Play Booster Sell Price CardMarket]]*tbl_MTG_Set[[#This Row],[Play Booster Expected Market Value BotBox]]/tbl_MTG_Set[[#This Row],[Play Booster Sealed Market Value BotBox]]</f>
        <v>#VALUE!</v>
      </c>
      <c r="BN4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1" s="10" t="e">
        <f>tbl_MTG_Set[[#This Row],[Play Singles CardMarket Profit BotBox]]/tbl_MTG_Set[[#This Row],[Play Booster Cost]]</f>
        <v>#VALUE!</v>
      </c>
      <c r="BP401" s="10" t="b">
        <f>tbl_MTG_Set[[#This Row],[Play Singles CardMarket Profit BotBox]]&gt;0</f>
        <v>0</v>
      </c>
      <c r="BQ401" s="10"/>
      <c r="BR401" s="10"/>
      <c r="BS401" s="10"/>
      <c r="BT4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1" s="19" t="e">
        <f>tbl_MTG_Set[[#This Row],[Collector Singles CardMarket Profit MTG Stocks]]/tbl_MTG_Set[[#This Row],[Collector Booster Cost]]</f>
        <v>#N/A</v>
      </c>
      <c r="BW401" s="10" t="b">
        <f>tbl_MTG_Set[[#This Row],[Collector Singles CardMarket Profit MTG Stocks]]&gt;0</f>
        <v>0</v>
      </c>
      <c r="BX401" s="10"/>
      <c r="BY401" s="10"/>
      <c r="BZ4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1" s="10" t="e">
        <f>tbl_MTG_Set[[#This Row],[Collector Singles CardMarket Profit BotBox]]/tbl_MTG_Set[[#This Row],[Collector Booster Cost]]</f>
        <v>#N/A</v>
      </c>
      <c r="CC401" s="10" t="b">
        <f>tbl_MTG_Set[[#This Row],[Collector Singles CardMarket Profit BotBox]]&gt;0</f>
        <v>0</v>
      </c>
      <c r="CD4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2" spans="1:86" hidden="1">
      <c r="A402">
        <v>431</v>
      </c>
      <c r="B402" t="s">
        <v>575</v>
      </c>
      <c r="C402">
        <v>5</v>
      </c>
      <c r="D402" s="3">
        <v>43678</v>
      </c>
      <c r="F402" t="s">
        <v>174</v>
      </c>
      <c r="G402">
        <v>808</v>
      </c>
      <c r="H402">
        <f ca="1">MONTH(NOW())+12*YEAR(NOW())-MONTH(tbl_MTG_Set[[#This Row],[Released On]])-12*YEAR(tbl_MTG_Set[[#This Row],[Released On]])</f>
        <v>79</v>
      </c>
      <c r="I402" t="str">
        <f>_xlfn.XLOOKUP(tbl_MTG_Set[[#This Row],[Type Name]], tbl_MTG_Set_Type[Set Type], tbl_MTG_Set_Type[Index], "(Set Type not found)")</f>
        <v>(Set Type not found)</v>
      </c>
      <c r="J402" t="str">
        <f>_xlfn.XLOOKUP(tbl_MTG_Set[[#This Row],[Type Name]], tbl_MTG_Set_Type[Set Type], tbl_MTG_Set_Type[Buy Window Month Start], "(Set Type not found)")</f>
        <v>(Set Type not found)</v>
      </c>
      <c r="K402" s="3" t="e">
        <f>tbl_MTG_Set[[#This Row],[Released On]]+tbl_MTG_Set[[#This Row],[Buy Window Month Start]]*365.25/12</f>
        <v>#VALUE!</v>
      </c>
      <c r="L402" t="str">
        <f>_xlfn.XLOOKUP(tbl_MTG_Set[[#This Row],[Type Name]], tbl_MTG_Set_Type[Set Type], tbl_MTG_Set_Type[Buy Window Month End], "(Set Type not found)", 0, 1)</f>
        <v>(Set Type not found)</v>
      </c>
      <c r="M402" s="3" t="e">
        <f>tbl_MTG_Set[[#This Row],[Released On]]+tbl_MTG_Set[[#This Row],[Buy Window Month End]]*365.25/12</f>
        <v>#VALUE!</v>
      </c>
      <c r="N402" s="3" t="e">
        <f ca="1">AND(NOW()&gt;=tbl_MTG_Set[[#This Row],[Buy Window Start]], NOW()&lt;=tbl_MTG_Set[[#This Row],[Buy Window End]])</f>
        <v>#VALUE!</v>
      </c>
      <c r="O402" t="str">
        <f>_xlfn.XLOOKUP(tbl_MTG_Set[[#This Row],[Type Name]], tbl_MTG_Set_Type[Set Type], tbl_MTG_Set_Type[Heavy Printing Window Month Start], "(Set Type not found)", 0, 1)</f>
        <v>(Set Type not found)</v>
      </c>
      <c r="P402" s="3" t="e">
        <f>tbl_MTG_Set[[#This Row],[Released On]]+tbl_MTG_Set[[#This Row],[Heavy Printing Window Month Start]]*365.25/12</f>
        <v>#VALUE!</v>
      </c>
      <c r="Q402" t="str">
        <f>_xlfn.XLOOKUP(tbl_MTG_Set[[#This Row],[Type Name]], tbl_MTG_Set_Type[Set Type], tbl_MTG_Set_Type[Heavy Printing Window Month End], "(Set Type not found)", 0, 1)</f>
        <v>(Set Type not found)</v>
      </c>
      <c r="R402" s="3" t="e">
        <f>tbl_MTG_Set[[#This Row],[Released On]]+tbl_MTG_Set[[#This Row],[Heavy Printing Window Month End]]*365.25/12</f>
        <v>#VALUE!</v>
      </c>
      <c r="S402" s="3" t="e">
        <f ca="1">AND(NOW()&gt;=tbl_MTG_Set[[#This Row],[Heavy Printing Window Start]], NOW()&lt;=tbl_MTG_Set[[#This Row],[Heavy Printing Window End]])</f>
        <v>#VALUE!</v>
      </c>
      <c r="T402" t="str">
        <f>_xlfn.XLOOKUP(tbl_MTG_Set[[#This Row],[Type Name]], tbl_MTG_Set_Type[Set Type], tbl_MTG_Set_Type[Sell Window Month Start], "(Set Type not found)", 0, 1)</f>
        <v>(Set Type not found)</v>
      </c>
      <c r="U402" s="3" t="e">
        <f>tbl_MTG_Set[[#This Row],[Released On]]+tbl_MTG_Set[[#This Row],[Sell Window Month Start]]*365.25/12</f>
        <v>#VALUE!</v>
      </c>
      <c r="V402" t="str">
        <f>_xlfn.XLOOKUP(tbl_MTG_Set[[#This Row],[Type Name]], tbl_MTG_Set_Type[Set Type], tbl_MTG_Set_Type[Sell Window Month End], "(Set Type not found)", 0, 1)</f>
        <v>(Set Type not found)</v>
      </c>
      <c r="W402" s="3" t="e">
        <f>tbl_MTG_Set[[#This Row],[Released On]]+tbl_MTG_Set[[#This Row],[Sell Window Month End]]*365.25/12</f>
        <v>#VALUE!</v>
      </c>
      <c r="X402" s="3" t="e">
        <f ca="1">AND(NOW()&gt;=tbl_MTG_Set[[#This Row],[Sell Window Start]], NOW()&lt;=tbl_MTG_Set[[#This Row],[Sell Window End]])</f>
        <v>#VALUE!</v>
      </c>
      <c r="AG402" s="10"/>
      <c r="AH402" s="10"/>
      <c r="AM402" s="10" t="str" cm="1">
        <f t="array" ref="AM4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2" s="10" t="str" cm="1">
        <f t="array" ref="AN4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2" s="4" t="e">
        <f>_xlfn.XLOOKUP(tbl_MTG_Set[[#This Row],[Play Booster Box Product Id]], tbl_Product[Product Id], tbl_Product[Pack Size])</f>
        <v>#N/A</v>
      </c>
      <c r="AP402" s="10" t="e">
        <f>(tbl_MTG_Set[[#This Row],[Play Booster Box Cost]]+v_Item_Shipping_Cost_In)/tbl_MTG_Set[[#This Row],[Play Booster Box Size]]</f>
        <v>#VALUE!</v>
      </c>
      <c r="AQ402" s="10" t="str" cm="1">
        <f t="array" ref="AQ4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2" s="10"/>
      <c r="AS402" s="10"/>
      <c r="AT402" s="17" t="e">
        <f>tbl_MTG_Set[[#This Row],[Play Booster CardMarket Profit]]/tbl_MTG_Set[[#This Row],[Play Booster Cost]]</f>
        <v>#VALUE!</v>
      </c>
      <c r="AU402" s="10" t="e">
        <f>_xlfn.XLOOKUP(tbl_MTG_Set[[#This Row],[Collector Booster Box Product Id]], tbl_Product[Product Id], tbl_Product[Min Cost])</f>
        <v>#N/A</v>
      </c>
      <c r="AV402" s="10" t="e">
        <f>_xlfn.XLOOKUP(tbl_MTG_Set[[#This Row],[Collector Booster Box Product Id]], tbl_Product[Product Id], tbl_Product[Best Source])</f>
        <v>#N/A</v>
      </c>
      <c r="AW402" s="4" t="e">
        <f>_xlfn.XLOOKUP(tbl_MTG_Set[[#This Row],[Collector Booster Box Product Id]], tbl_Product[Product Id], tbl_Product[Pack Size])</f>
        <v>#N/A</v>
      </c>
      <c r="AX402" s="10" t="e">
        <f>(tbl_MTG_Set[[#This Row],[Collector Booster Box Cost]] + v_Item_Shipping_Cost_In) / tbl_MTG_Set[[#This Row],[Collector Booster Box Size]]</f>
        <v>#N/A</v>
      </c>
      <c r="AY402" s="10" t="str" cm="1">
        <f t="array" ref="AY4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2" s="10"/>
      <c r="BA4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2" s="17" t="e">
        <f>tbl_MTG_Set[[#This Row],[Collector Booster CardMarket Profit]]/tbl_MTG_Set[[#This Row],[Collector Booster Cost]]</f>
        <v>#N/A</v>
      </c>
      <c r="BC402" s="10"/>
      <c r="BF4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2" s="11" t="e">
        <f>tbl_MTG_Set[[#This Row],[Play Singles CardMarket Profit MTG Stocks]]/tbl_MTG_Set[[#This Row],[Play Booster Cost]]</f>
        <v>#VALUE!</v>
      </c>
      <c r="BI402" s="11" t="b">
        <f>tbl_MTG_Set[[#This Row],[Play Singles CardMarket Profit MTG Stocks]]&gt;0</f>
        <v>0</v>
      </c>
      <c r="BM402" s="10" t="e">
        <f>tbl_MTG_Set[[#This Row],[Play Booster Sell Price CardMarket]]*tbl_MTG_Set[[#This Row],[Play Booster Expected Market Value BotBox]]/tbl_MTG_Set[[#This Row],[Play Booster Sealed Market Value BotBox]]</f>
        <v>#VALUE!</v>
      </c>
      <c r="BN4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2" s="10" t="e">
        <f>tbl_MTG_Set[[#This Row],[Play Singles CardMarket Profit BotBox]]/tbl_MTG_Set[[#This Row],[Play Booster Cost]]</f>
        <v>#VALUE!</v>
      </c>
      <c r="BP402" s="10" t="b">
        <f>tbl_MTG_Set[[#This Row],[Play Singles CardMarket Profit BotBox]]&gt;0</f>
        <v>0</v>
      </c>
      <c r="BQ402" s="10"/>
      <c r="BR402" s="10"/>
      <c r="BS402" s="10"/>
      <c r="BT4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2" s="19" t="e">
        <f>tbl_MTG_Set[[#This Row],[Collector Singles CardMarket Profit MTG Stocks]]/tbl_MTG_Set[[#This Row],[Collector Booster Cost]]</f>
        <v>#N/A</v>
      </c>
      <c r="BW402" s="10" t="b">
        <f>tbl_MTG_Set[[#This Row],[Collector Singles CardMarket Profit MTG Stocks]]&gt;0</f>
        <v>0</v>
      </c>
      <c r="BX402" s="10"/>
      <c r="BY402" s="10"/>
      <c r="BZ4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2" s="10" t="e">
        <f>tbl_MTG_Set[[#This Row],[Collector Singles CardMarket Profit BotBox]]/tbl_MTG_Set[[#This Row],[Collector Booster Cost]]</f>
        <v>#N/A</v>
      </c>
      <c r="CC402" s="10" t="b">
        <f>tbl_MTG_Set[[#This Row],[Collector Singles CardMarket Profit BotBox]]&gt;0</f>
        <v>0</v>
      </c>
      <c r="CD4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3" spans="1:86" hidden="1">
      <c r="A403">
        <v>432</v>
      </c>
      <c r="B403" t="s">
        <v>576</v>
      </c>
      <c r="C403">
        <v>5</v>
      </c>
      <c r="D403" s="3">
        <v>43664</v>
      </c>
      <c r="F403" t="s">
        <v>174</v>
      </c>
      <c r="G403">
        <v>810</v>
      </c>
      <c r="H403">
        <f ca="1">MONTH(NOW())+12*YEAR(NOW())-MONTH(tbl_MTG_Set[[#This Row],[Released On]])-12*YEAR(tbl_MTG_Set[[#This Row],[Released On]])</f>
        <v>80</v>
      </c>
      <c r="I403" t="str">
        <f>_xlfn.XLOOKUP(tbl_MTG_Set[[#This Row],[Type Name]], tbl_MTG_Set_Type[Set Type], tbl_MTG_Set_Type[Index], "(Set Type not found)")</f>
        <v>(Set Type not found)</v>
      </c>
      <c r="J403" t="str">
        <f>_xlfn.XLOOKUP(tbl_MTG_Set[[#This Row],[Type Name]], tbl_MTG_Set_Type[Set Type], tbl_MTG_Set_Type[Buy Window Month Start], "(Set Type not found)")</f>
        <v>(Set Type not found)</v>
      </c>
      <c r="K403" s="3" t="e">
        <f>tbl_MTG_Set[[#This Row],[Released On]]+tbl_MTG_Set[[#This Row],[Buy Window Month Start]]*365.25/12</f>
        <v>#VALUE!</v>
      </c>
      <c r="L403" t="str">
        <f>_xlfn.XLOOKUP(tbl_MTG_Set[[#This Row],[Type Name]], tbl_MTG_Set_Type[Set Type], tbl_MTG_Set_Type[Buy Window Month End], "(Set Type not found)", 0, 1)</f>
        <v>(Set Type not found)</v>
      </c>
      <c r="M403" s="3" t="e">
        <f>tbl_MTG_Set[[#This Row],[Released On]]+tbl_MTG_Set[[#This Row],[Buy Window Month End]]*365.25/12</f>
        <v>#VALUE!</v>
      </c>
      <c r="N403" s="3" t="e">
        <f ca="1">AND(NOW()&gt;=tbl_MTG_Set[[#This Row],[Buy Window Start]], NOW()&lt;=tbl_MTG_Set[[#This Row],[Buy Window End]])</f>
        <v>#VALUE!</v>
      </c>
      <c r="O403" t="str">
        <f>_xlfn.XLOOKUP(tbl_MTG_Set[[#This Row],[Type Name]], tbl_MTG_Set_Type[Set Type], tbl_MTG_Set_Type[Heavy Printing Window Month Start], "(Set Type not found)", 0, 1)</f>
        <v>(Set Type not found)</v>
      </c>
      <c r="P403" s="3" t="e">
        <f>tbl_MTG_Set[[#This Row],[Released On]]+tbl_MTG_Set[[#This Row],[Heavy Printing Window Month Start]]*365.25/12</f>
        <v>#VALUE!</v>
      </c>
      <c r="Q403" t="str">
        <f>_xlfn.XLOOKUP(tbl_MTG_Set[[#This Row],[Type Name]], tbl_MTG_Set_Type[Set Type], tbl_MTG_Set_Type[Heavy Printing Window Month End], "(Set Type not found)", 0, 1)</f>
        <v>(Set Type not found)</v>
      </c>
      <c r="R403" s="3" t="e">
        <f>tbl_MTG_Set[[#This Row],[Released On]]+tbl_MTG_Set[[#This Row],[Heavy Printing Window Month End]]*365.25/12</f>
        <v>#VALUE!</v>
      </c>
      <c r="S403" s="3" t="e">
        <f ca="1">AND(NOW()&gt;=tbl_MTG_Set[[#This Row],[Heavy Printing Window Start]], NOW()&lt;=tbl_MTG_Set[[#This Row],[Heavy Printing Window End]])</f>
        <v>#VALUE!</v>
      </c>
      <c r="T403" t="str">
        <f>_xlfn.XLOOKUP(tbl_MTG_Set[[#This Row],[Type Name]], tbl_MTG_Set_Type[Set Type], tbl_MTG_Set_Type[Sell Window Month Start], "(Set Type not found)", 0, 1)</f>
        <v>(Set Type not found)</v>
      </c>
      <c r="U403" s="3" t="e">
        <f>tbl_MTG_Set[[#This Row],[Released On]]+tbl_MTG_Set[[#This Row],[Sell Window Month Start]]*365.25/12</f>
        <v>#VALUE!</v>
      </c>
      <c r="V403" t="str">
        <f>_xlfn.XLOOKUP(tbl_MTG_Set[[#This Row],[Type Name]], tbl_MTG_Set_Type[Set Type], tbl_MTG_Set_Type[Sell Window Month End], "(Set Type not found)", 0, 1)</f>
        <v>(Set Type not found)</v>
      </c>
      <c r="W403" s="3" t="e">
        <f>tbl_MTG_Set[[#This Row],[Released On]]+tbl_MTG_Set[[#This Row],[Sell Window Month End]]*365.25/12</f>
        <v>#VALUE!</v>
      </c>
      <c r="X403" s="3" t="e">
        <f ca="1">AND(NOW()&gt;=tbl_MTG_Set[[#This Row],[Sell Window Start]], NOW()&lt;=tbl_MTG_Set[[#This Row],[Sell Window End]])</f>
        <v>#VALUE!</v>
      </c>
      <c r="AG403" s="10"/>
      <c r="AH403" s="10"/>
      <c r="AM403" s="10" t="str" cm="1">
        <f t="array" ref="AM4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3" s="10" t="str" cm="1">
        <f t="array" ref="AN4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3" s="4" t="e">
        <f>_xlfn.XLOOKUP(tbl_MTG_Set[[#This Row],[Play Booster Box Product Id]], tbl_Product[Product Id], tbl_Product[Pack Size])</f>
        <v>#N/A</v>
      </c>
      <c r="AP403" s="10" t="e">
        <f>(tbl_MTG_Set[[#This Row],[Play Booster Box Cost]]+v_Item_Shipping_Cost_In)/tbl_MTG_Set[[#This Row],[Play Booster Box Size]]</f>
        <v>#VALUE!</v>
      </c>
      <c r="AQ403" s="10" t="str" cm="1">
        <f t="array" ref="AQ4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3" s="10"/>
      <c r="AS403" s="10"/>
      <c r="AT403" s="17" t="e">
        <f>tbl_MTG_Set[[#This Row],[Play Booster CardMarket Profit]]/tbl_MTG_Set[[#This Row],[Play Booster Cost]]</f>
        <v>#VALUE!</v>
      </c>
      <c r="AU403" s="10" t="e">
        <f>_xlfn.XLOOKUP(tbl_MTG_Set[[#This Row],[Collector Booster Box Product Id]], tbl_Product[Product Id], tbl_Product[Min Cost])</f>
        <v>#N/A</v>
      </c>
      <c r="AV403" s="10" t="e">
        <f>_xlfn.XLOOKUP(tbl_MTG_Set[[#This Row],[Collector Booster Box Product Id]], tbl_Product[Product Id], tbl_Product[Best Source])</f>
        <v>#N/A</v>
      </c>
      <c r="AW403" s="4" t="e">
        <f>_xlfn.XLOOKUP(tbl_MTG_Set[[#This Row],[Collector Booster Box Product Id]], tbl_Product[Product Id], tbl_Product[Pack Size])</f>
        <v>#N/A</v>
      </c>
      <c r="AX403" s="10" t="e">
        <f>(tbl_MTG_Set[[#This Row],[Collector Booster Box Cost]] + v_Item_Shipping_Cost_In) / tbl_MTG_Set[[#This Row],[Collector Booster Box Size]]</f>
        <v>#N/A</v>
      </c>
      <c r="AY403" s="10" t="str" cm="1">
        <f t="array" ref="AY4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3" s="10"/>
      <c r="BA4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3" s="17" t="e">
        <f>tbl_MTG_Set[[#This Row],[Collector Booster CardMarket Profit]]/tbl_MTG_Set[[#This Row],[Collector Booster Cost]]</f>
        <v>#N/A</v>
      </c>
      <c r="BC403" s="10"/>
      <c r="BF4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3" s="11" t="e">
        <f>tbl_MTG_Set[[#This Row],[Play Singles CardMarket Profit MTG Stocks]]/tbl_MTG_Set[[#This Row],[Play Booster Cost]]</f>
        <v>#VALUE!</v>
      </c>
      <c r="BI403" s="11" t="b">
        <f>tbl_MTG_Set[[#This Row],[Play Singles CardMarket Profit MTG Stocks]]&gt;0</f>
        <v>0</v>
      </c>
      <c r="BM403" s="10" t="e">
        <f>tbl_MTG_Set[[#This Row],[Play Booster Sell Price CardMarket]]*tbl_MTG_Set[[#This Row],[Play Booster Expected Market Value BotBox]]/tbl_MTG_Set[[#This Row],[Play Booster Sealed Market Value BotBox]]</f>
        <v>#VALUE!</v>
      </c>
      <c r="BN4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3" s="10" t="e">
        <f>tbl_MTG_Set[[#This Row],[Play Singles CardMarket Profit BotBox]]/tbl_MTG_Set[[#This Row],[Play Booster Cost]]</f>
        <v>#VALUE!</v>
      </c>
      <c r="BP403" s="10" t="b">
        <f>tbl_MTG_Set[[#This Row],[Play Singles CardMarket Profit BotBox]]&gt;0</f>
        <v>0</v>
      </c>
      <c r="BQ403" s="10"/>
      <c r="BR403" s="10"/>
      <c r="BS403" s="10"/>
      <c r="BT4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3" s="19" t="e">
        <f>tbl_MTG_Set[[#This Row],[Collector Singles CardMarket Profit MTG Stocks]]/tbl_MTG_Set[[#This Row],[Collector Booster Cost]]</f>
        <v>#N/A</v>
      </c>
      <c r="BW403" s="10" t="b">
        <f>tbl_MTG_Set[[#This Row],[Collector Singles CardMarket Profit MTG Stocks]]&gt;0</f>
        <v>0</v>
      </c>
      <c r="BX403" s="10"/>
      <c r="BY403" s="10"/>
      <c r="BZ4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3" s="10" t="e">
        <f>tbl_MTG_Set[[#This Row],[Collector Singles CardMarket Profit BotBox]]/tbl_MTG_Set[[#This Row],[Collector Booster Cost]]</f>
        <v>#N/A</v>
      </c>
      <c r="CC403" s="10" t="b">
        <f>tbl_MTG_Set[[#This Row],[Collector Singles CardMarket Profit BotBox]]&gt;0</f>
        <v>0</v>
      </c>
      <c r="CD4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4" spans="1:86" hidden="1">
      <c r="A404">
        <v>433</v>
      </c>
      <c r="B404" t="s">
        <v>577</v>
      </c>
      <c r="C404">
        <v>346</v>
      </c>
      <c r="D404" s="3">
        <v>43658</v>
      </c>
      <c r="F404" t="s">
        <v>174</v>
      </c>
      <c r="G404">
        <v>812</v>
      </c>
      <c r="H404">
        <f ca="1">MONTH(NOW())+12*YEAR(NOW())-MONTH(tbl_MTG_Set[[#This Row],[Released On]])-12*YEAR(tbl_MTG_Set[[#This Row],[Released On]])</f>
        <v>80</v>
      </c>
      <c r="I404" t="str">
        <f>_xlfn.XLOOKUP(tbl_MTG_Set[[#This Row],[Type Name]], tbl_MTG_Set_Type[Set Type], tbl_MTG_Set_Type[Index], "(Set Type not found)")</f>
        <v>(Set Type not found)</v>
      </c>
      <c r="J404" t="str">
        <f>_xlfn.XLOOKUP(tbl_MTG_Set[[#This Row],[Type Name]], tbl_MTG_Set_Type[Set Type], tbl_MTG_Set_Type[Buy Window Month Start], "(Set Type not found)")</f>
        <v>(Set Type not found)</v>
      </c>
      <c r="K404" s="3" t="e">
        <f>tbl_MTG_Set[[#This Row],[Released On]]+tbl_MTG_Set[[#This Row],[Buy Window Month Start]]*365.25/12</f>
        <v>#VALUE!</v>
      </c>
      <c r="L404" t="str">
        <f>_xlfn.XLOOKUP(tbl_MTG_Set[[#This Row],[Type Name]], tbl_MTG_Set_Type[Set Type], tbl_MTG_Set_Type[Buy Window Month End], "(Set Type not found)", 0, 1)</f>
        <v>(Set Type not found)</v>
      </c>
      <c r="M404" s="3" t="e">
        <f>tbl_MTG_Set[[#This Row],[Released On]]+tbl_MTG_Set[[#This Row],[Buy Window Month End]]*365.25/12</f>
        <v>#VALUE!</v>
      </c>
      <c r="N404" s="3" t="e">
        <f ca="1">AND(NOW()&gt;=tbl_MTG_Set[[#This Row],[Buy Window Start]], NOW()&lt;=tbl_MTG_Set[[#This Row],[Buy Window End]])</f>
        <v>#VALUE!</v>
      </c>
      <c r="O404" t="str">
        <f>_xlfn.XLOOKUP(tbl_MTG_Set[[#This Row],[Type Name]], tbl_MTG_Set_Type[Set Type], tbl_MTG_Set_Type[Heavy Printing Window Month Start], "(Set Type not found)", 0, 1)</f>
        <v>(Set Type not found)</v>
      </c>
      <c r="P404" s="3" t="e">
        <f>tbl_MTG_Set[[#This Row],[Released On]]+tbl_MTG_Set[[#This Row],[Heavy Printing Window Month Start]]*365.25/12</f>
        <v>#VALUE!</v>
      </c>
      <c r="Q404" t="str">
        <f>_xlfn.XLOOKUP(tbl_MTG_Set[[#This Row],[Type Name]], tbl_MTG_Set_Type[Set Type], tbl_MTG_Set_Type[Heavy Printing Window Month End], "(Set Type not found)", 0, 1)</f>
        <v>(Set Type not found)</v>
      </c>
      <c r="R404" s="3" t="e">
        <f>tbl_MTG_Set[[#This Row],[Released On]]+tbl_MTG_Set[[#This Row],[Heavy Printing Window Month End]]*365.25/12</f>
        <v>#VALUE!</v>
      </c>
      <c r="S404" s="3" t="e">
        <f ca="1">AND(NOW()&gt;=tbl_MTG_Set[[#This Row],[Heavy Printing Window Start]], NOW()&lt;=tbl_MTG_Set[[#This Row],[Heavy Printing Window End]])</f>
        <v>#VALUE!</v>
      </c>
      <c r="T404" t="str">
        <f>_xlfn.XLOOKUP(tbl_MTG_Set[[#This Row],[Type Name]], tbl_MTG_Set_Type[Set Type], tbl_MTG_Set_Type[Sell Window Month Start], "(Set Type not found)", 0, 1)</f>
        <v>(Set Type not found)</v>
      </c>
      <c r="U404" s="3" t="e">
        <f>tbl_MTG_Set[[#This Row],[Released On]]+tbl_MTG_Set[[#This Row],[Sell Window Month Start]]*365.25/12</f>
        <v>#VALUE!</v>
      </c>
      <c r="V404" t="str">
        <f>_xlfn.XLOOKUP(tbl_MTG_Set[[#This Row],[Type Name]], tbl_MTG_Set_Type[Set Type], tbl_MTG_Set_Type[Sell Window Month End], "(Set Type not found)", 0, 1)</f>
        <v>(Set Type not found)</v>
      </c>
      <c r="W404" s="3" t="e">
        <f>tbl_MTG_Set[[#This Row],[Released On]]+tbl_MTG_Set[[#This Row],[Sell Window Month End]]*365.25/12</f>
        <v>#VALUE!</v>
      </c>
      <c r="X404" s="3" t="e">
        <f ca="1">AND(NOW()&gt;=tbl_MTG_Set[[#This Row],[Sell Window Start]], NOW()&lt;=tbl_MTG_Set[[#This Row],[Sell Window End]])</f>
        <v>#VALUE!</v>
      </c>
      <c r="AG404" s="10"/>
      <c r="AH404" s="10"/>
      <c r="AM404" s="10" t="str" cm="1">
        <f t="array" ref="AM4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4" s="10" t="str" cm="1">
        <f t="array" ref="AN4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4" s="4" t="e">
        <f>_xlfn.XLOOKUP(tbl_MTG_Set[[#This Row],[Play Booster Box Product Id]], tbl_Product[Product Id], tbl_Product[Pack Size])</f>
        <v>#N/A</v>
      </c>
      <c r="AP404" s="10" t="e">
        <f>(tbl_MTG_Set[[#This Row],[Play Booster Box Cost]]+v_Item_Shipping_Cost_In)/tbl_MTG_Set[[#This Row],[Play Booster Box Size]]</f>
        <v>#VALUE!</v>
      </c>
      <c r="AQ404" s="10" t="str" cm="1">
        <f t="array" ref="AQ4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4" s="10"/>
      <c r="AS404" s="10"/>
      <c r="AT404" s="17" t="e">
        <f>tbl_MTG_Set[[#This Row],[Play Booster CardMarket Profit]]/tbl_MTG_Set[[#This Row],[Play Booster Cost]]</f>
        <v>#VALUE!</v>
      </c>
      <c r="AU404" s="10" t="e">
        <f>_xlfn.XLOOKUP(tbl_MTG_Set[[#This Row],[Collector Booster Box Product Id]], tbl_Product[Product Id], tbl_Product[Min Cost])</f>
        <v>#N/A</v>
      </c>
      <c r="AV404" s="10" t="e">
        <f>_xlfn.XLOOKUP(tbl_MTG_Set[[#This Row],[Collector Booster Box Product Id]], tbl_Product[Product Id], tbl_Product[Best Source])</f>
        <v>#N/A</v>
      </c>
      <c r="AW404" s="4" t="e">
        <f>_xlfn.XLOOKUP(tbl_MTG_Set[[#This Row],[Collector Booster Box Product Id]], tbl_Product[Product Id], tbl_Product[Pack Size])</f>
        <v>#N/A</v>
      </c>
      <c r="AX404" s="10" t="e">
        <f>(tbl_MTG_Set[[#This Row],[Collector Booster Box Cost]] + v_Item_Shipping_Cost_In) / tbl_MTG_Set[[#This Row],[Collector Booster Box Size]]</f>
        <v>#N/A</v>
      </c>
      <c r="AY404" s="10" t="str" cm="1">
        <f t="array" ref="AY4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4" s="10"/>
      <c r="BA4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4" s="17" t="e">
        <f>tbl_MTG_Set[[#This Row],[Collector Booster CardMarket Profit]]/tbl_MTG_Set[[#This Row],[Collector Booster Cost]]</f>
        <v>#N/A</v>
      </c>
      <c r="BC404" s="10"/>
      <c r="BF4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4" s="11" t="e">
        <f>tbl_MTG_Set[[#This Row],[Play Singles CardMarket Profit MTG Stocks]]/tbl_MTG_Set[[#This Row],[Play Booster Cost]]</f>
        <v>#VALUE!</v>
      </c>
      <c r="BI404" s="11" t="b">
        <f>tbl_MTG_Set[[#This Row],[Play Singles CardMarket Profit MTG Stocks]]&gt;0</f>
        <v>0</v>
      </c>
      <c r="BM404" s="10" t="e">
        <f>tbl_MTG_Set[[#This Row],[Play Booster Sell Price CardMarket]]*tbl_MTG_Set[[#This Row],[Play Booster Expected Market Value BotBox]]/tbl_MTG_Set[[#This Row],[Play Booster Sealed Market Value BotBox]]</f>
        <v>#VALUE!</v>
      </c>
      <c r="BN4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4" s="10" t="e">
        <f>tbl_MTG_Set[[#This Row],[Play Singles CardMarket Profit BotBox]]/tbl_MTG_Set[[#This Row],[Play Booster Cost]]</f>
        <v>#VALUE!</v>
      </c>
      <c r="BP404" s="10" t="b">
        <f>tbl_MTG_Set[[#This Row],[Play Singles CardMarket Profit BotBox]]&gt;0</f>
        <v>0</v>
      </c>
      <c r="BQ404" s="10"/>
      <c r="BR404" s="10"/>
      <c r="BS404" s="10"/>
      <c r="BT4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4" s="19" t="e">
        <f>tbl_MTG_Set[[#This Row],[Collector Singles CardMarket Profit MTG Stocks]]/tbl_MTG_Set[[#This Row],[Collector Booster Cost]]</f>
        <v>#N/A</v>
      </c>
      <c r="BW404" s="10" t="b">
        <f>tbl_MTG_Set[[#This Row],[Collector Singles CardMarket Profit MTG Stocks]]&gt;0</f>
        <v>0</v>
      </c>
      <c r="BX404" s="10"/>
      <c r="BY404" s="10"/>
      <c r="BZ4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4" s="10" t="e">
        <f>tbl_MTG_Set[[#This Row],[Collector Singles CardMarket Profit BotBox]]/tbl_MTG_Set[[#This Row],[Collector Booster Cost]]</f>
        <v>#N/A</v>
      </c>
      <c r="CC404" s="10" t="b">
        <f>tbl_MTG_Set[[#This Row],[Collector Singles CardMarket Profit BotBox]]&gt;0</f>
        <v>0</v>
      </c>
      <c r="CD4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5" spans="1:86" hidden="1">
      <c r="A405">
        <v>434</v>
      </c>
      <c r="B405" t="s">
        <v>578</v>
      </c>
      <c r="C405">
        <v>144</v>
      </c>
      <c r="D405" s="3">
        <v>43658</v>
      </c>
      <c r="F405" t="s">
        <v>174</v>
      </c>
      <c r="G405">
        <v>814</v>
      </c>
      <c r="H405">
        <f ca="1">MONTH(NOW())+12*YEAR(NOW())-MONTH(tbl_MTG_Set[[#This Row],[Released On]])-12*YEAR(tbl_MTG_Set[[#This Row],[Released On]])</f>
        <v>80</v>
      </c>
      <c r="I405" t="str">
        <f>_xlfn.XLOOKUP(tbl_MTG_Set[[#This Row],[Type Name]], tbl_MTG_Set_Type[Set Type], tbl_MTG_Set_Type[Index], "(Set Type not found)")</f>
        <v>(Set Type not found)</v>
      </c>
      <c r="J405" t="str">
        <f>_xlfn.XLOOKUP(tbl_MTG_Set[[#This Row],[Type Name]], tbl_MTG_Set_Type[Set Type], tbl_MTG_Set_Type[Buy Window Month Start], "(Set Type not found)")</f>
        <v>(Set Type not found)</v>
      </c>
      <c r="K405" s="3" t="e">
        <f>tbl_MTG_Set[[#This Row],[Released On]]+tbl_MTG_Set[[#This Row],[Buy Window Month Start]]*365.25/12</f>
        <v>#VALUE!</v>
      </c>
      <c r="L405" t="str">
        <f>_xlfn.XLOOKUP(tbl_MTG_Set[[#This Row],[Type Name]], tbl_MTG_Set_Type[Set Type], tbl_MTG_Set_Type[Buy Window Month End], "(Set Type not found)", 0, 1)</f>
        <v>(Set Type not found)</v>
      </c>
      <c r="M405" s="3" t="e">
        <f>tbl_MTG_Set[[#This Row],[Released On]]+tbl_MTG_Set[[#This Row],[Buy Window Month End]]*365.25/12</f>
        <v>#VALUE!</v>
      </c>
      <c r="N405" s="3" t="e">
        <f ca="1">AND(NOW()&gt;=tbl_MTG_Set[[#This Row],[Buy Window Start]], NOW()&lt;=tbl_MTG_Set[[#This Row],[Buy Window End]])</f>
        <v>#VALUE!</v>
      </c>
      <c r="O405" t="str">
        <f>_xlfn.XLOOKUP(tbl_MTG_Set[[#This Row],[Type Name]], tbl_MTG_Set_Type[Set Type], tbl_MTG_Set_Type[Heavy Printing Window Month Start], "(Set Type not found)", 0, 1)</f>
        <v>(Set Type not found)</v>
      </c>
      <c r="P405" s="3" t="e">
        <f>tbl_MTG_Set[[#This Row],[Released On]]+tbl_MTG_Set[[#This Row],[Heavy Printing Window Month Start]]*365.25/12</f>
        <v>#VALUE!</v>
      </c>
      <c r="Q405" t="str">
        <f>_xlfn.XLOOKUP(tbl_MTG_Set[[#This Row],[Type Name]], tbl_MTG_Set_Type[Set Type], tbl_MTG_Set_Type[Heavy Printing Window Month End], "(Set Type not found)", 0, 1)</f>
        <v>(Set Type not found)</v>
      </c>
      <c r="R405" s="3" t="e">
        <f>tbl_MTG_Set[[#This Row],[Released On]]+tbl_MTG_Set[[#This Row],[Heavy Printing Window Month End]]*365.25/12</f>
        <v>#VALUE!</v>
      </c>
      <c r="S405" s="3" t="e">
        <f ca="1">AND(NOW()&gt;=tbl_MTG_Set[[#This Row],[Heavy Printing Window Start]], NOW()&lt;=tbl_MTG_Set[[#This Row],[Heavy Printing Window End]])</f>
        <v>#VALUE!</v>
      </c>
      <c r="T405" t="str">
        <f>_xlfn.XLOOKUP(tbl_MTG_Set[[#This Row],[Type Name]], tbl_MTG_Set_Type[Set Type], tbl_MTG_Set_Type[Sell Window Month Start], "(Set Type not found)", 0, 1)</f>
        <v>(Set Type not found)</v>
      </c>
      <c r="U405" s="3" t="e">
        <f>tbl_MTG_Set[[#This Row],[Released On]]+tbl_MTG_Set[[#This Row],[Sell Window Month Start]]*365.25/12</f>
        <v>#VALUE!</v>
      </c>
      <c r="V405" t="str">
        <f>_xlfn.XLOOKUP(tbl_MTG_Set[[#This Row],[Type Name]], tbl_MTG_Set_Type[Set Type], tbl_MTG_Set_Type[Sell Window Month End], "(Set Type not found)", 0, 1)</f>
        <v>(Set Type not found)</v>
      </c>
      <c r="W405" s="3" t="e">
        <f>tbl_MTG_Set[[#This Row],[Released On]]+tbl_MTG_Set[[#This Row],[Sell Window Month End]]*365.25/12</f>
        <v>#VALUE!</v>
      </c>
      <c r="X405" s="3" t="e">
        <f ca="1">AND(NOW()&gt;=tbl_MTG_Set[[#This Row],[Sell Window Start]], NOW()&lt;=tbl_MTG_Set[[#This Row],[Sell Window End]])</f>
        <v>#VALUE!</v>
      </c>
      <c r="AG405" s="10"/>
      <c r="AH405" s="10"/>
      <c r="AM405" s="10" t="str" cm="1">
        <f t="array" ref="AM4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5" s="10" t="str" cm="1">
        <f t="array" ref="AN4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5" s="4" t="e">
        <f>_xlfn.XLOOKUP(tbl_MTG_Set[[#This Row],[Play Booster Box Product Id]], tbl_Product[Product Id], tbl_Product[Pack Size])</f>
        <v>#N/A</v>
      </c>
      <c r="AP405" s="10" t="e">
        <f>(tbl_MTG_Set[[#This Row],[Play Booster Box Cost]]+v_Item_Shipping_Cost_In)/tbl_MTG_Set[[#This Row],[Play Booster Box Size]]</f>
        <v>#VALUE!</v>
      </c>
      <c r="AQ405" s="10" t="str" cm="1">
        <f t="array" ref="AQ4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5" s="10"/>
      <c r="AS405" s="10"/>
      <c r="AT405" s="17" t="e">
        <f>tbl_MTG_Set[[#This Row],[Play Booster CardMarket Profit]]/tbl_MTG_Set[[#This Row],[Play Booster Cost]]</f>
        <v>#VALUE!</v>
      </c>
      <c r="AU405" s="10" t="e">
        <f>_xlfn.XLOOKUP(tbl_MTG_Set[[#This Row],[Collector Booster Box Product Id]], tbl_Product[Product Id], tbl_Product[Min Cost])</f>
        <v>#N/A</v>
      </c>
      <c r="AV405" s="10" t="e">
        <f>_xlfn.XLOOKUP(tbl_MTG_Set[[#This Row],[Collector Booster Box Product Id]], tbl_Product[Product Id], tbl_Product[Best Source])</f>
        <v>#N/A</v>
      </c>
      <c r="AW405" s="4" t="e">
        <f>_xlfn.XLOOKUP(tbl_MTG_Set[[#This Row],[Collector Booster Box Product Id]], tbl_Product[Product Id], tbl_Product[Pack Size])</f>
        <v>#N/A</v>
      </c>
      <c r="AX405" s="10" t="e">
        <f>(tbl_MTG_Set[[#This Row],[Collector Booster Box Cost]] + v_Item_Shipping_Cost_In) / tbl_MTG_Set[[#This Row],[Collector Booster Box Size]]</f>
        <v>#N/A</v>
      </c>
      <c r="AY405" s="10" t="str" cm="1">
        <f t="array" ref="AY4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5" s="10"/>
      <c r="BA4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5" s="17" t="e">
        <f>tbl_MTG_Set[[#This Row],[Collector Booster CardMarket Profit]]/tbl_MTG_Set[[#This Row],[Collector Booster Cost]]</f>
        <v>#N/A</v>
      </c>
      <c r="BC405" s="10"/>
      <c r="BF4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5" s="11" t="e">
        <f>tbl_MTG_Set[[#This Row],[Play Singles CardMarket Profit MTG Stocks]]/tbl_MTG_Set[[#This Row],[Play Booster Cost]]</f>
        <v>#VALUE!</v>
      </c>
      <c r="BI405" s="11" t="b">
        <f>tbl_MTG_Set[[#This Row],[Play Singles CardMarket Profit MTG Stocks]]&gt;0</f>
        <v>0</v>
      </c>
      <c r="BM405" s="10" t="e">
        <f>tbl_MTG_Set[[#This Row],[Play Booster Sell Price CardMarket]]*tbl_MTG_Set[[#This Row],[Play Booster Expected Market Value BotBox]]/tbl_MTG_Set[[#This Row],[Play Booster Sealed Market Value BotBox]]</f>
        <v>#VALUE!</v>
      </c>
      <c r="BN4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5" s="10" t="e">
        <f>tbl_MTG_Set[[#This Row],[Play Singles CardMarket Profit BotBox]]/tbl_MTG_Set[[#This Row],[Play Booster Cost]]</f>
        <v>#VALUE!</v>
      </c>
      <c r="BP405" s="10" t="b">
        <f>tbl_MTG_Set[[#This Row],[Play Singles CardMarket Profit BotBox]]&gt;0</f>
        <v>0</v>
      </c>
      <c r="BQ405" s="10"/>
      <c r="BR405" s="10"/>
      <c r="BS405" s="10"/>
      <c r="BT4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5" s="19" t="e">
        <f>tbl_MTG_Set[[#This Row],[Collector Singles CardMarket Profit MTG Stocks]]/tbl_MTG_Set[[#This Row],[Collector Booster Cost]]</f>
        <v>#N/A</v>
      </c>
      <c r="BW405" s="10" t="b">
        <f>tbl_MTG_Set[[#This Row],[Collector Singles CardMarket Profit MTG Stocks]]&gt;0</f>
        <v>0</v>
      </c>
      <c r="BX405" s="10"/>
      <c r="BY405" s="10"/>
      <c r="BZ4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5" s="10" t="e">
        <f>tbl_MTG_Set[[#This Row],[Collector Singles CardMarket Profit BotBox]]/tbl_MTG_Set[[#This Row],[Collector Booster Cost]]</f>
        <v>#N/A</v>
      </c>
      <c r="CC405" s="10" t="b">
        <f>tbl_MTG_Set[[#This Row],[Collector Singles CardMarket Profit BotBox]]&gt;0</f>
        <v>0</v>
      </c>
      <c r="CD4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6" spans="1:86" hidden="1">
      <c r="A406">
        <v>435</v>
      </c>
      <c r="B406" t="s">
        <v>579</v>
      </c>
      <c r="C406">
        <v>12</v>
      </c>
      <c r="D406" s="3">
        <v>43658</v>
      </c>
      <c r="F406" t="s">
        <v>174</v>
      </c>
      <c r="G406">
        <v>816</v>
      </c>
      <c r="H406">
        <f ca="1">MONTH(NOW())+12*YEAR(NOW())-MONTH(tbl_MTG_Set[[#This Row],[Released On]])-12*YEAR(tbl_MTG_Set[[#This Row],[Released On]])</f>
        <v>80</v>
      </c>
      <c r="I406" t="str">
        <f>_xlfn.XLOOKUP(tbl_MTG_Set[[#This Row],[Type Name]], tbl_MTG_Set_Type[Set Type], tbl_MTG_Set_Type[Index], "(Set Type not found)")</f>
        <v>(Set Type not found)</v>
      </c>
      <c r="J406" t="str">
        <f>_xlfn.XLOOKUP(tbl_MTG_Set[[#This Row],[Type Name]], tbl_MTG_Set_Type[Set Type], tbl_MTG_Set_Type[Buy Window Month Start], "(Set Type not found)")</f>
        <v>(Set Type not found)</v>
      </c>
      <c r="K406" s="3" t="e">
        <f>tbl_MTG_Set[[#This Row],[Released On]]+tbl_MTG_Set[[#This Row],[Buy Window Month Start]]*365.25/12</f>
        <v>#VALUE!</v>
      </c>
      <c r="L406" t="str">
        <f>_xlfn.XLOOKUP(tbl_MTG_Set[[#This Row],[Type Name]], tbl_MTG_Set_Type[Set Type], tbl_MTG_Set_Type[Buy Window Month End], "(Set Type not found)", 0, 1)</f>
        <v>(Set Type not found)</v>
      </c>
      <c r="M406" s="3" t="e">
        <f>tbl_MTG_Set[[#This Row],[Released On]]+tbl_MTG_Set[[#This Row],[Buy Window Month End]]*365.25/12</f>
        <v>#VALUE!</v>
      </c>
      <c r="N406" s="3" t="e">
        <f ca="1">AND(NOW()&gt;=tbl_MTG_Set[[#This Row],[Buy Window Start]], NOW()&lt;=tbl_MTG_Set[[#This Row],[Buy Window End]])</f>
        <v>#VALUE!</v>
      </c>
      <c r="O406" t="str">
        <f>_xlfn.XLOOKUP(tbl_MTG_Set[[#This Row],[Type Name]], tbl_MTG_Set_Type[Set Type], tbl_MTG_Set_Type[Heavy Printing Window Month Start], "(Set Type not found)", 0, 1)</f>
        <v>(Set Type not found)</v>
      </c>
      <c r="P406" s="3" t="e">
        <f>tbl_MTG_Set[[#This Row],[Released On]]+tbl_MTG_Set[[#This Row],[Heavy Printing Window Month Start]]*365.25/12</f>
        <v>#VALUE!</v>
      </c>
      <c r="Q406" t="str">
        <f>_xlfn.XLOOKUP(tbl_MTG_Set[[#This Row],[Type Name]], tbl_MTG_Set_Type[Set Type], tbl_MTG_Set_Type[Heavy Printing Window Month End], "(Set Type not found)", 0, 1)</f>
        <v>(Set Type not found)</v>
      </c>
      <c r="R406" s="3" t="e">
        <f>tbl_MTG_Set[[#This Row],[Released On]]+tbl_MTG_Set[[#This Row],[Heavy Printing Window Month End]]*365.25/12</f>
        <v>#VALUE!</v>
      </c>
      <c r="S406" s="3" t="e">
        <f ca="1">AND(NOW()&gt;=tbl_MTG_Set[[#This Row],[Heavy Printing Window Start]], NOW()&lt;=tbl_MTG_Set[[#This Row],[Heavy Printing Window End]])</f>
        <v>#VALUE!</v>
      </c>
      <c r="T406" t="str">
        <f>_xlfn.XLOOKUP(tbl_MTG_Set[[#This Row],[Type Name]], tbl_MTG_Set_Type[Set Type], tbl_MTG_Set_Type[Sell Window Month Start], "(Set Type not found)", 0, 1)</f>
        <v>(Set Type not found)</v>
      </c>
      <c r="U406" s="3" t="e">
        <f>tbl_MTG_Set[[#This Row],[Released On]]+tbl_MTG_Set[[#This Row],[Sell Window Month Start]]*365.25/12</f>
        <v>#VALUE!</v>
      </c>
      <c r="V406" t="str">
        <f>_xlfn.XLOOKUP(tbl_MTG_Set[[#This Row],[Type Name]], tbl_MTG_Set_Type[Set Type], tbl_MTG_Set_Type[Sell Window Month End], "(Set Type not found)", 0, 1)</f>
        <v>(Set Type not found)</v>
      </c>
      <c r="W406" s="3" t="e">
        <f>tbl_MTG_Set[[#This Row],[Released On]]+tbl_MTG_Set[[#This Row],[Sell Window Month End]]*365.25/12</f>
        <v>#VALUE!</v>
      </c>
      <c r="X406" s="3" t="e">
        <f ca="1">AND(NOW()&gt;=tbl_MTG_Set[[#This Row],[Sell Window Start]], NOW()&lt;=tbl_MTG_Set[[#This Row],[Sell Window End]])</f>
        <v>#VALUE!</v>
      </c>
      <c r="AG406" s="10"/>
      <c r="AH406" s="10"/>
      <c r="AM406" s="10" t="str" cm="1">
        <f t="array" ref="AM4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6" s="10" t="str" cm="1">
        <f t="array" ref="AN4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6" s="4" t="e">
        <f>_xlfn.XLOOKUP(tbl_MTG_Set[[#This Row],[Play Booster Box Product Id]], tbl_Product[Product Id], tbl_Product[Pack Size])</f>
        <v>#N/A</v>
      </c>
      <c r="AP406" s="10" t="e">
        <f>(tbl_MTG_Set[[#This Row],[Play Booster Box Cost]]+v_Item_Shipping_Cost_In)/tbl_MTG_Set[[#This Row],[Play Booster Box Size]]</f>
        <v>#VALUE!</v>
      </c>
      <c r="AQ406" s="10" t="str" cm="1">
        <f t="array" ref="AQ4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6" s="10"/>
      <c r="AS406" s="10"/>
      <c r="AT406" s="17" t="e">
        <f>tbl_MTG_Set[[#This Row],[Play Booster CardMarket Profit]]/tbl_MTG_Set[[#This Row],[Play Booster Cost]]</f>
        <v>#VALUE!</v>
      </c>
      <c r="AU406" s="10" t="e">
        <f>_xlfn.XLOOKUP(tbl_MTG_Set[[#This Row],[Collector Booster Box Product Id]], tbl_Product[Product Id], tbl_Product[Min Cost])</f>
        <v>#N/A</v>
      </c>
      <c r="AV406" s="10" t="e">
        <f>_xlfn.XLOOKUP(tbl_MTG_Set[[#This Row],[Collector Booster Box Product Id]], tbl_Product[Product Id], tbl_Product[Best Source])</f>
        <v>#N/A</v>
      </c>
      <c r="AW406" s="4" t="e">
        <f>_xlfn.XLOOKUP(tbl_MTG_Set[[#This Row],[Collector Booster Box Product Id]], tbl_Product[Product Id], tbl_Product[Pack Size])</f>
        <v>#N/A</v>
      </c>
      <c r="AX406" s="10" t="e">
        <f>(tbl_MTG_Set[[#This Row],[Collector Booster Box Cost]] + v_Item_Shipping_Cost_In) / tbl_MTG_Set[[#This Row],[Collector Booster Box Size]]</f>
        <v>#N/A</v>
      </c>
      <c r="AY406" s="10" t="str" cm="1">
        <f t="array" ref="AY4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6" s="10"/>
      <c r="BA4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6" s="17" t="e">
        <f>tbl_MTG_Set[[#This Row],[Collector Booster CardMarket Profit]]/tbl_MTG_Set[[#This Row],[Collector Booster Cost]]</f>
        <v>#N/A</v>
      </c>
      <c r="BC406" s="10"/>
      <c r="BF4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6" s="11" t="e">
        <f>tbl_MTG_Set[[#This Row],[Play Singles CardMarket Profit MTG Stocks]]/tbl_MTG_Set[[#This Row],[Play Booster Cost]]</f>
        <v>#VALUE!</v>
      </c>
      <c r="BI406" s="11" t="b">
        <f>tbl_MTG_Set[[#This Row],[Play Singles CardMarket Profit MTG Stocks]]&gt;0</f>
        <v>0</v>
      </c>
      <c r="BM406" s="10" t="e">
        <f>tbl_MTG_Set[[#This Row],[Play Booster Sell Price CardMarket]]*tbl_MTG_Set[[#This Row],[Play Booster Expected Market Value BotBox]]/tbl_MTG_Set[[#This Row],[Play Booster Sealed Market Value BotBox]]</f>
        <v>#VALUE!</v>
      </c>
      <c r="BN4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6" s="10" t="e">
        <f>tbl_MTG_Set[[#This Row],[Play Singles CardMarket Profit BotBox]]/tbl_MTG_Set[[#This Row],[Play Booster Cost]]</f>
        <v>#VALUE!</v>
      </c>
      <c r="BP406" s="10" t="b">
        <f>tbl_MTG_Set[[#This Row],[Play Singles CardMarket Profit BotBox]]&gt;0</f>
        <v>0</v>
      </c>
      <c r="BQ406" s="10"/>
      <c r="BR406" s="10"/>
      <c r="BS406" s="10"/>
      <c r="BT4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6" s="19" t="e">
        <f>tbl_MTG_Set[[#This Row],[Collector Singles CardMarket Profit MTG Stocks]]/tbl_MTG_Set[[#This Row],[Collector Booster Cost]]</f>
        <v>#N/A</v>
      </c>
      <c r="BW406" s="10" t="b">
        <f>tbl_MTG_Set[[#This Row],[Collector Singles CardMarket Profit MTG Stocks]]&gt;0</f>
        <v>0</v>
      </c>
      <c r="BX406" s="10"/>
      <c r="BY406" s="10"/>
      <c r="BZ4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6" s="10" t="e">
        <f>tbl_MTG_Set[[#This Row],[Collector Singles CardMarket Profit BotBox]]/tbl_MTG_Set[[#This Row],[Collector Booster Cost]]</f>
        <v>#N/A</v>
      </c>
      <c r="CC406" s="10" t="b">
        <f>tbl_MTG_Set[[#This Row],[Collector Singles CardMarket Profit BotBox]]&gt;0</f>
        <v>0</v>
      </c>
      <c r="CD4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7" spans="1:86" hidden="1">
      <c r="A407">
        <v>436</v>
      </c>
      <c r="B407" t="s">
        <v>580</v>
      </c>
      <c r="C407">
        <v>5</v>
      </c>
      <c r="D407" s="3">
        <v>43658</v>
      </c>
      <c r="F407" t="s">
        <v>174</v>
      </c>
      <c r="G407">
        <v>818</v>
      </c>
      <c r="H407">
        <f ca="1">MONTH(NOW())+12*YEAR(NOW())-MONTH(tbl_MTG_Set[[#This Row],[Released On]])-12*YEAR(tbl_MTG_Set[[#This Row],[Released On]])</f>
        <v>80</v>
      </c>
      <c r="I407" t="str">
        <f>_xlfn.XLOOKUP(tbl_MTG_Set[[#This Row],[Type Name]], tbl_MTG_Set_Type[Set Type], tbl_MTG_Set_Type[Index], "(Set Type not found)")</f>
        <v>(Set Type not found)</v>
      </c>
      <c r="J407" t="str">
        <f>_xlfn.XLOOKUP(tbl_MTG_Set[[#This Row],[Type Name]], tbl_MTG_Set_Type[Set Type], tbl_MTG_Set_Type[Buy Window Month Start], "(Set Type not found)")</f>
        <v>(Set Type not found)</v>
      </c>
      <c r="K407" s="3" t="e">
        <f>tbl_MTG_Set[[#This Row],[Released On]]+tbl_MTG_Set[[#This Row],[Buy Window Month Start]]*365.25/12</f>
        <v>#VALUE!</v>
      </c>
      <c r="L407" t="str">
        <f>_xlfn.XLOOKUP(tbl_MTG_Set[[#This Row],[Type Name]], tbl_MTG_Set_Type[Set Type], tbl_MTG_Set_Type[Buy Window Month End], "(Set Type not found)", 0, 1)</f>
        <v>(Set Type not found)</v>
      </c>
      <c r="M407" s="3" t="e">
        <f>tbl_MTG_Set[[#This Row],[Released On]]+tbl_MTG_Set[[#This Row],[Buy Window Month End]]*365.25/12</f>
        <v>#VALUE!</v>
      </c>
      <c r="N407" s="3" t="e">
        <f ca="1">AND(NOW()&gt;=tbl_MTG_Set[[#This Row],[Buy Window Start]], NOW()&lt;=tbl_MTG_Set[[#This Row],[Buy Window End]])</f>
        <v>#VALUE!</v>
      </c>
      <c r="O407" t="str">
        <f>_xlfn.XLOOKUP(tbl_MTG_Set[[#This Row],[Type Name]], tbl_MTG_Set_Type[Set Type], tbl_MTG_Set_Type[Heavy Printing Window Month Start], "(Set Type not found)", 0, 1)</f>
        <v>(Set Type not found)</v>
      </c>
      <c r="P407" s="3" t="e">
        <f>tbl_MTG_Set[[#This Row],[Released On]]+tbl_MTG_Set[[#This Row],[Heavy Printing Window Month Start]]*365.25/12</f>
        <v>#VALUE!</v>
      </c>
      <c r="Q407" t="str">
        <f>_xlfn.XLOOKUP(tbl_MTG_Set[[#This Row],[Type Name]], tbl_MTG_Set_Type[Set Type], tbl_MTG_Set_Type[Heavy Printing Window Month End], "(Set Type not found)", 0, 1)</f>
        <v>(Set Type not found)</v>
      </c>
      <c r="R407" s="3" t="e">
        <f>tbl_MTG_Set[[#This Row],[Released On]]+tbl_MTG_Set[[#This Row],[Heavy Printing Window Month End]]*365.25/12</f>
        <v>#VALUE!</v>
      </c>
      <c r="S407" s="3" t="e">
        <f ca="1">AND(NOW()&gt;=tbl_MTG_Set[[#This Row],[Heavy Printing Window Start]], NOW()&lt;=tbl_MTG_Set[[#This Row],[Heavy Printing Window End]])</f>
        <v>#VALUE!</v>
      </c>
      <c r="T407" t="str">
        <f>_xlfn.XLOOKUP(tbl_MTG_Set[[#This Row],[Type Name]], tbl_MTG_Set_Type[Set Type], tbl_MTG_Set_Type[Sell Window Month Start], "(Set Type not found)", 0, 1)</f>
        <v>(Set Type not found)</v>
      </c>
      <c r="U407" s="3" t="e">
        <f>tbl_MTG_Set[[#This Row],[Released On]]+tbl_MTG_Set[[#This Row],[Sell Window Month Start]]*365.25/12</f>
        <v>#VALUE!</v>
      </c>
      <c r="V407" t="str">
        <f>_xlfn.XLOOKUP(tbl_MTG_Set[[#This Row],[Type Name]], tbl_MTG_Set_Type[Set Type], tbl_MTG_Set_Type[Sell Window Month End], "(Set Type not found)", 0, 1)</f>
        <v>(Set Type not found)</v>
      </c>
      <c r="W407" s="3" t="e">
        <f>tbl_MTG_Set[[#This Row],[Released On]]+tbl_MTG_Set[[#This Row],[Sell Window Month End]]*365.25/12</f>
        <v>#VALUE!</v>
      </c>
      <c r="X407" s="3" t="e">
        <f ca="1">AND(NOW()&gt;=tbl_MTG_Set[[#This Row],[Sell Window Start]], NOW()&lt;=tbl_MTG_Set[[#This Row],[Sell Window End]])</f>
        <v>#VALUE!</v>
      </c>
      <c r="AG407" s="10"/>
      <c r="AH407" s="10"/>
      <c r="AM407" s="10" t="str" cm="1">
        <f t="array" ref="AM4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7" s="10" t="str" cm="1">
        <f t="array" ref="AN4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7" s="4" t="e">
        <f>_xlfn.XLOOKUP(tbl_MTG_Set[[#This Row],[Play Booster Box Product Id]], tbl_Product[Product Id], tbl_Product[Pack Size])</f>
        <v>#N/A</v>
      </c>
      <c r="AP407" s="10" t="e">
        <f>(tbl_MTG_Set[[#This Row],[Play Booster Box Cost]]+v_Item_Shipping_Cost_In)/tbl_MTG_Set[[#This Row],[Play Booster Box Size]]</f>
        <v>#VALUE!</v>
      </c>
      <c r="AQ407" s="10" t="str" cm="1">
        <f t="array" ref="AQ4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7" s="10"/>
      <c r="AS407" s="10"/>
      <c r="AT407" s="17" t="e">
        <f>tbl_MTG_Set[[#This Row],[Play Booster CardMarket Profit]]/tbl_MTG_Set[[#This Row],[Play Booster Cost]]</f>
        <v>#VALUE!</v>
      </c>
      <c r="AU407" s="10" t="e">
        <f>_xlfn.XLOOKUP(tbl_MTG_Set[[#This Row],[Collector Booster Box Product Id]], tbl_Product[Product Id], tbl_Product[Min Cost])</f>
        <v>#N/A</v>
      </c>
      <c r="AV407" s="10" t="e">
        <f>_xlfn.XLOOKUP(tbl_MTG_Set[[#This Row],[Collector Booster Box Product Id]], tbl_Product[Product Id], tbl_Product[Best Source])</f>
        <v>#N/A</v>
      </c>
      <c r="AW407" s="4" t="e">
        <f>_xlfn.XLOOKUP(tbl_MTG_Set[[#This Row],[Collector Booster Box Product Id]], tbl_Product[Product Id], tbl_Product[Pack Size])</f>
        <v>#N/A</v>
      </c>
      <c r="AX407" s="10" t="e">
        <f>(tbl_MTG_Set[[#This Row],[Collector Booster Box Cost]] + v_Item_Shipping_Cost_In) / tbl_MTG_Set[[#This Row],[Collector Booster Box Size]]</f>
        <v>#N/A</v>
      </c>
      <c r="AY407" s="10" t="str" cm="1">
        <f t="array" ref="AY4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7" s="10"/>
      <c r="BA4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7" s="17" t="e">
        <f>tbl_MTG_Set[[#This Row],[Collector Booster CardMarket Profit]]/tbl_MTG_Set[[#This Row],[Collector Booster Cost]]</f>
        <v>#N/A</v>
      </c>
      <c r="BC407" s="10"/>
      <c r="BF4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7" s="11" t="e">
        <f>tbl_MTG_Set[[#This Row],[Play Singles CardMarket Profit MTG Stocks]]/tbl_MTG_Set[[#This Row],[Play Booster Cost]]</f>
        <v>#VALUE!</v>
      </c>
      <c r="BI407" s="11" t="b">
        <f>tbl_MTG_Set[[#This Row],[Play Singles CardMarket Profit MTG Stocks]]&gt;0</f>
        <v>0</v>
      </c>
      <c r="BM407" s="10" t="e">
        <f>tbl_MTG_Set[[#This Row],[Play Booster Sell Price CardMarket]]*tbl_MTG_Set[[#This Row],[Play Booster Expected Market Value BotBox]]/tbl_MTG_Set[[#This Row],[Play Booster Sealed Market Value BotBox]]</f>
        <v>#VALUE!</v>
      </c>
      <c r="BN4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7" s="10" t="e">
        <f>tbl_MTG_Set[[#This Row],[Play Singles CardMarket Profit BotBox]]/tbl_MTG_Set[[#This Row],[Play Booster Cost]]</f>
        <v>#VALUE!</v>
      </c>
      <c r="BP407" s="10" t="b">
        <f>tbl_MTG_Set[[#This Row],[Play Singles CardMarket Profit BotBox]]&gt;0</f>
        <v>0</v>
      </c>
      <c r="BQ407" s="10"/>
      <c r="BR407" s="10"/>
      <c r="BS407" s="10"/>
      <c r="BT4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7" s="19" t="e">
        <f>tbl_MTG_Set[[#This Row],[Collector Singles CardMarket Profit MTG Stocks]]/tbl_MTG_Set[[#This Row],[Collector Booster Cost]]</f>
        <v>#N/A</v>
      </c>
      <c r="BW407" s="10" t="b">
        <f>tbl_MTG_Set[[#This Row],[Collector Singles CardMarket Profit MTG Stocks]]&gt;0</f>
        <v>0</v>
      </c>
      <c r="BX407" s="10"/>
      <c r="BY407" s="10"/>
      <c r="BZ4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7" s="10" t="e">
        <f>tbl_MTG_Set[[#This Row],[Collector Singles CardMarket Profit BotBox]]/tbl_MTG_Set[[#This Row],[Collector Booster Cost]]</f>
        <v>#N/A</v>
      </c>
      <c r="CC407" s="10" t="b">
        <f>tbl_MTG_Set[[#This Row],[Collector Singles CardMarket Profit BotBox]]&gt;0</f>
        <v>0</v>
      </c>
      <c r="CD4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8" spans="1:86" hidden="1">
      <c r="A408">
        <v>437</v>
      </c>
      <c r="B408" t="s">
        <v>581</v>
      </c>
      <c r="C408">
        <v>8</v>
      </c>
      <c r="D408" s="3">
        <v>43644</v>
      </c>
      <c r="F408" t="s">
        <v>174</v>
      </c>
      <c r="G408">
        <v>820</v>
      </c>
      <c r="H408">
        <f ca="1">MONTH(NOW())+12*YEAR(NOW())-MONTH(tbl_MTG_Set[[#This Row],[Released On]])-12*YEAR(tbl_MTG_Set[[#This Row],[Released On]])</f>
        <v>81</v>
      </c>
      <c r="I408" t="str">
        <f>_xlfn.XLOOKUP(tbl_MTG_Set[[#This Row],[Type Name]], tbl_MTG_Set_Type[Set Type], tbl_MTG_Set_Type[Index], "(Set Type not found)")</f>
        <v>(Set Type not found)</v>
      </c>
      <c r="J408" t="str">
        <f>_xlfn.XLOOKUP(tbl_MTG_Set[[#This Row],[Type Name]], tbl_MTG_Set_Type[Set Type], tbl_MTG_Set_Type[Buy Window Month Start], "(Set Type not found)")</f>
        <v>(Set Type not found)</v>
      </c>
      <c r="K408" s="3" t="e">
        <f>tbl_MTG_Set[[#This Row],[Released On]]+tbl_MTG_Set[[#This Row],[Buy Window Month Start]]*365.25/12</f>
        <v>#VALUE!</v>
      </c>
      <c r="L408" t="str">
        <f>_xlfn.XLOOKUP(tbl_MTG_Set[[#This Row],[Type Name]], tbl_MTG_Set_Type[Set Type], tbl_MTG_Set_Type[Buy Window Month End], "(Set Type not found)", 0, 1)</f>
        <v>(Set Type not found)</v>
      </c>
      <c r="M408" s="3" t="e">
        <f>tbl_MTG_Set[[#This Row],[Released On]]+tbl_MTG_Set[[#This Row],[Buy Window Month End]]*365.25/12</f>
        <v>#VALUE!</v>
      </c>
      <c r="N408" s="3" t="e">
        <f ca="1">AND(NOW()&gt;=tbl_MTG_Set[[#This Row],[Buy Window Start]], NOW()&lt;=tbl_MTG_Set[[#This Row],[Buy Window End]])</f>
        <v>#VALUE!</v>
      </c>
      <c r="O408" t="str">
        <f>_xlfn.XLOOKUP(tbl_MTG_Set[[#This Row],[Type Name]], tbl_MTG_Set_Type[Set Type], tbl_MTG_Set_Type[Heavy Printing Window Month Start], "(Set Type not found)", 0, 1)</f>
        <v>(Set Type not found)</v>
      </c>
      <c r="P408" s="3" t="e">
        <f>tbl_MTG_Set[[#This Row],[Released On]]+tbl_MTG_Set[[#This Row],[Heavy Printing Window Month Start]]*365.25/12</f>
        <v>#VALUE!</v>
      </c>
      <c r="Q408" t="str">
        <f>_xlfn.XLOOKUP(tbl_MTG_Set[[#This Row],[Type Name]], tbl_MTG_Set_Type[Set Type], tbl_MTG_Set_Type[Heavy Printing Window Month End], "(Set Type not found)", 0, 1)</f>
        <v>(Set Type not found)</v>
      </c>
      <c r="R408" s="3" t="e">
        <f>tbl_MTG_Set[[#This Row],[Released On]]+tbl_MTG_Set[[#This Row],[Heavy Printing Window Month End]]*365.25/12</f>
        <v>#VALUE!</v>
      </c>
      <c r="S408" s="3" t="e">
        <f ca="1">AND(NOW()&gt;=tbl_MTG_Set[[#This Row],[Heavy Printing Window Start]], NOW()&lt;=tbl_MTG_Set[[#This Row],[Heavy Printing Window End]])</f>
        <v>#VALUE!</v>
      </c>
      <c r="T408" t="str">
        <f>_xlfn.XLOOKUP(tbl_MTG_Set[[#This Row],[Type Name]], tbl_MTG_Set_Type[Set Type], tbl_MTG_Set_Type[Sell Window Month Start], "(Set Type not found)", 0, 1)</f>
        <v>(Set Type not found)</v>
      </c>
      <c r="U408" s="3" t="e">
        <f>tbl_MTG_Set[[#This Row],[Released On]]+tbl_MTG_Set[[#This Row],[Sell Window Month Start]]*365.25/12</f>
        <v>#VALUE!</v>
      </c>
      <c r="V408" t="str">
        <f>_xlfn.XLOOKUP(tbl_MTG_Set[[#This Row],[Type Name]], tbl_MTG_Set_Type[Set Type], tbl_MTG_Set_Type[Sell Window Month End], "(Set Type not found)", 0, 1)</f>
        <v>(Set Type not found)</v>
      </c>
      <c r="W408" s="3" t="e">
        <f>tbl_MTG_Set[[#This Row],[Released On]]+tbl_MTG_Set[[#This Row],[Sell Window Month End]]*365.25/12</f>
        <v>#VALUE!</v>
      </c>
      <c r="X408" s="3" t="e">
        <f ca="1">AND(NOW()&gt;=tbl_MTG_Set[[#This Row],[Sell Window Start]], NOW()&lt;=tbl_MTG_Set[[#This Row],[Sell Window End]])</f>
        <v>#VALUE!</v>
      </c>
      <c r="AG408" s="10"/>
      <c r="AH408" s="10"/>
      <c r="AM408" s="10" t="str" cm="1">
        <f t="array" ref="AM4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8" s="10" t="str" cm="1">
        <f t="array" ref="AN4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8" s="4" t="e">
        <f>_xlfn.XLOOKUP(tbl_MTG_Set[[#This Row],[Play Booster Box Product Id]], tbl_Product[Product Id], tbl_Product[Pack Size])</f>
        <v>#N/A</v>
      </c>
      <c r="AP408" s="10" t="e">
        <f>(tbl_MTG_Set[[#This Row],[Play Booster Box Cost]]+v_Item_Shipping_Cost_In)/tbl_MTG_Set[[#This Row],[Play Booster Box Size]]</f>
        <v>#VALUE!</v>
      </c>
      <c r="AQ408" s="10" t="str" cm="1">
        <f t="array" ref="AQ4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8" s="10"/>
      <c r="AS408" s="10"/>
      <c r="AT408" s="17" t="e">
        <f>tbl_MTG_Set[[#This Row],[Play Booster CardMarket Profit]]/tbl_MTG_Set[[#This Row],[Play Booster Cost]]</f>
        <v>#VALUE!</v>
      </c>
      <c r="AU408" s="10" t="e">
        <f>_xlfn.XLOOKUP(tbl_MTG_Set[[#This Row],[Collector Booster Box Product Id]], tbl_Product[Product Id], tbl_Product[Min Cost])</f>
        <v>#N/A</v>
      </c>
      <c r="AV408" s="10" t="e">
        <f>_xlfn.XLOOKUP(tbl_MTG_Set[[#This Row],[Collector Booster Box Product Id]], tbl_Product[Product Id], tbl_Product[Best Source])</f>
        <v>#N/A</v>
      </c>
      <c r="AW408" s="4" t="e">
        <f>_xlfn.XLOOKUP(tbl_MTG_Set[[#This Row],[Collector Booster Box Product Id]], tbl_Product[Product Id], tbl_Product[Pack Size])</f>
        <v>#N/A</v>
      </c>
      <c r="AX408" s="10" t="e">
        <f>(tbl_MTG_Set[[#This Row],[Collector Booster Box Cost]] + v_Item_Shipping_Cost_In) / tbl_MTG_Set[[#This Row],[Collector Booster Box Size]]</f>
        <v>#N/A</v>
      </c>
      <c r="AY408" s="10" t="str" cm="1">
        <f t="array" ref="AY4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8" s="10"/>
      <c r="BA4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8" s="17" t="e">
        <f>tbl_MTG_Set[[#This Row],[Collector Booster CardMarket Profit]]/tbl_MTG_Set[[#This Row],[Collector Booster Cost]]</f>
        <v>#N/A</v>
      </c>
      <c r="BC408" s="10"/>
      <c r="BF4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8" s="11" t="e">
        <f>tbl_MTG_Set[[#This Row],[Play Singles CardMarket Profit MTG Stocks]]/tbl_MTG_Set[[#This Row],[Play Booster Cost]]</f>
        <v>#VALUE!</v>
      </c>
      <c r="BI408" s="11" t="b">
        <f>tbl_MTG_Set[[#This Row],[Play Singles CardMarket Profit MTG Stocks]]&gt;0</f>
        <v>0</v>
      </c>
      <c r="BM408" s="10" t="e">
        <f>tbl_MTG_Set[[#This Row],[Play Booster Sell Price CardMarket]]*tbl_MTG_Set[[#This Row],[Play Booster Expected Market Value BotBox]]/tbl_MTG_Set[[#This Row],[Play Booster Sealed Market Value BotBox]]</f>
        <v>#VALUE!</v>
      </c>
      <c r="BN4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8" s="10" t="e">
        <f>tbl_MTG_Set[[#This Row],[Play Singles CardMarket Profit BotBox]]/tbl_MTG_Set[[#This Row],[Play Booster Cost]]</f>
        <v>#VALUE!</v>
      </c>
      <c r="BP408" s="10" t="b">
        <f>tbl_MTG_Set[[#This Row],[Play Singles CardMarket Profit BotBox]]&gt;0</f>
        <v>0</v>
      </c>
      <c r="BQ408" s="10"/>
      <c r="BR408" s="10"/>
      <c r="BS408" s="10"/>
      <c r="BT4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8" s="19" t="e">
        <f>tbl_MTG_Set[[#This Row],[Collector Singles CardMarket Profit MTG Stocks]]/tbl_MTG_Set[[#This Row],[Collector Booster Cost]]</f>
        <v>#N/A</v>
      </c>
      <c r="BW408" s="10" t="b">
        <f>tbl_MTG_Set[[#This Row],[Collector Singles CardMarket Profit MTG Stocks]]&gt;0</f>
        <v>0</v>
      </c>
      <c r="BX408" s="10"/>
      <c r="BY408" s="10"/>
      <c r="BZ4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8" s="10" t="e">
        <f>tbl_MTG_Set[[#This Row],[Collector Singles CardMarket Profit BotBox]]/tbl_MTG_Set[[#This Row],[Collector Booster Cost]]</f>
        <v>#N/A</v>
      </c>
      <c r="CC408" s="10" t="b">
        <f>tbl_MTG_Set[[#This Row],[Collector Singles CardMarket Profit BotBox]]&gt;0</f>
        <v>0</v>
      </c>
      <c r="CD4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09" spans="1:86" hidden="1">
      <c r="A409">
        <v>438</v>
      </c>
      <c r="B409" t="s">
        <v>582</v>
      </c>
      <c r="C409">
        <v>255</v>
      </c>
      <c r="D409" s="3">
        <v>43630</v>
      </c>
      <c r="F409" t="s">
        <v>174</v>
      </c>
      <c r="G409">
        <v>822</v>
      </c>
      <c r="H409">
        <f ca="1">MONTH(NOW())+12*YEAR(NOW())-MONTH(tbl_MTG_Set[[#This Row],[Released On]])-12*YEAR(tbl_MTG_Set[[#This Row],[Released On]])</f>
        <v>81</v>
      </c>
      <c r="I409" t="str">
        <f>_xlfn.XLOOKUP(tbl_MTG_Set[[#This Row],[Type Name]], tbl_MTG_Set_Type[Set Type], tbl_MTG_Set_Type[Index], "(Set Type not found)")</f>
        <v>(Set Type not found)</v>
      </c>
      <c r="J409" t="str">
        <f>_xlfn.XLOOKUP(tbl_MTG_Set[[#This Row],[Type Name]], tbl_MTG_Set_Type[Set Type], tbl_MTG_Set_Type[Buy Window Month Start], "(Set Type not found)")</f>
        <v>(Set Type not found)</v>
      </c>
      <c r="K409" s="3" t="e">
        <f>tbl_MTG_Set[[#This Row],[Released On]]+tbl_MTG_Set[[#This Row],[Buy Window Month Start]]*365.25/12</f>
        <v>#VALUE!</v>
      </c>
      <c r="L409" t="str">
        <f>_xlfn.XLOOKUP(tbl_MTG_Set[[#This Row],[Type Name]], tbl_MTG_Set_Type[Set Type], tbl_MTG_Set_Type[Buy Window Month End], "(Set Type not found)", 0, 1)</f>
        <v>(Set Type not found)</v>
      </c>
      <c r="M409" s="3" t="e">
        <f>tbl_MTG_Set[[#This Row],[Released On]]+tbl_MTG_Set[[#This Row],[Buy Window Month End]]*365.25/12</f>
        <v>#VALUE!</v>
      </c>
      <c r="N409" s="3" t="e">
        <f ca="1">AND(NOW()&gt;=tbl_MTG_Set[[#This Row],[Buy Window Start]], NOW()&lt;=tbl_MTG_Set[[#This Row],[Buy Window End]])</f>
        <v>#VALUE!</v>
      </c>
      <c r="O409" t="str">
        <f>_xlfn.XLOOKUP(tbl_MTG_Set[[#This Row],[Type Name]], tbl_MTG_Set_Type[Set Type], tbl_MTG_Set_Type[Heavy Printing Window Month Start], "(Set Type not found)", 0, 1)</f>
        <v>(Set Type not found)</v>
      </c>
      <c r="P409" s="3" t="e">
        <f>tbl_MTG_Set[[#This Row],[Released On]]+tbl_MTG_Set[[#This Row],[Heavy Printing Window Month Start]]*365.25/12</f>
        <v>#VALUE!</v>
      </c>
      <c r="Q409" t="str">
        <f>_xlfn.XLOOKUP(tbl_MTG_Set[[#This Row],[Type Name]], tbl_MTG_Set_Type[Set Type], tbl_MTG_Set_Type[Heavy Printing Window Month End], "(Set Type not found)", 0, 1)</f>
        <v>(Set Type not found)</v>
      </c>
      <c r="R409" s="3" t="e">
        <f>tbl_MTG_Set[[#This Row],[Released On]]+tbl_MTG_Set[[#This Row],[Heavy Printing Window Month End]]*365.25/12</f>
        <v>#VALUE!</v>
      </c>
      <c r="S409" s="3" t="e">
        <f ca="1">AND(NOW()&gt;=tbl_MTG_Set[[#This Row],[Heavy Printing Window Start]], NOW()&lt;=tbl_MTG_Set[[#This Row],[Heavy Printing Window End]])</f>
        <v>#VALUE!</v>
      </c>
      <c r="T409" t="str">
        <f>_xlfn.XLOOKUP(tbl_MTG_Set[[#This Row],[Type Name]], tbl_MTG_Set_Type[Set Type], tbl_MTG_Set_Type[Sell Window Month Start], "(Set Type not found)", 0, 1)</f>
        <v>(Set Type not found)</v>
      </c>
      <c r="U409" s="3" t="e">
        <f>tbl_MTG_Set[[#This Row],[Released On]]+tbl_MTG_Set[[#This Row],[Sell Window Month Start]]*365.25/12</f>
        <v>#VALUE!</v>
      </c>
      <c r="V409" t="str">
        <f>_xlfn.XLOOKUP(tbl_MTG_Set[[#This Row],[Type Name]], tbl_MTG_Set_Type[Set Type], tbl_MTG_Set_Type[Sell Window Month End], "(Set Type not found)", 0, 1)</f>
        <v>(Set Type not found)</v>
      </c>
      <c r="W409" s="3" t="e">
        <f>tbl_MTG_Set[[#This Row],[Released On]]+tbl_MTG_Set[[#This Row],[Sell Window Month End]]*365.25/12</f>
        <v>#VALUE!</v>
      </c>
      <c r="X409" s="3" t="e">
        <f ca="1">AND(NOW()&gt;=tbl_MTG_Set[[#This Row],[Sell Window Start]], NOW()&lt;=tbl_MTG_Set[[#This Row],[Sell Window End]])</f>
        <v>#VALUE!</v>
      </c>
      <c r="AG409" s="10"/>
      <c r="AH409" s="10"/>
      <c r="AM409" s="10" t="str" cm="1">
        <f t="array" ref="AM4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09" s="10" t="str" cm="1">
        <f t="array" ref="AN4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09" s="4" t="e">
        <f>_xlfn.XLOOKUP(tbl_MTG_Set[[#This Row],[Play Booster Box Product Id]], tbl_Product[Product Id], tbl_Product[Pack Size])</f>
        <v>#N/A</v>
      </c>
      <c r="AP409" s="10" t="e">
        <f>(tbl_MTG_Set[[#This Row],[Play Booster Box Cost]]+v_Item_Shipping_Cost_In)/tbl_MTG_Set[[#This Row],[Play Booster Box Size]]</f>
        <v>#VALUE!</v>
      </c>
      <c r="AQ409" s="10" t="str" cm="1">
        <f t="array" ref="AQ4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09" s="10"/>
      <c r="AS409" s="10"/>
      <c r="AT409" s="17" t="e">
        <f>tbl_MTG_Set[[#This Row],[Play Booster CardMarket Profit]]/tbl_MTG_Set[[#This Row],[Play Booster Cost]]</f>
        <v>#VALUE!</v>
      </c>
      <c r="AU409" s="10" t="e">
        <f>_xlfn.XLOOKUP(tbl_MTG_Set[[#This Row],[Collector Booster Box Product Id]], tbl_Product[Product Id], tbl_Product[Min Cost])</f>
        <v>#N/A</v>
      </c>
      <c r="AV409" s="10" t="e">
        <f>_xlfn.XLOOKUP(tbl_MTG_Set[[#This Row],[Collector Booster Box Product Id]], tbl_Product[Product Id], tbl_Product[Best Source])</f>
        <v>#N/A</v>
      </c>
      <c r="AW409" s="4" t="e">
        <f>_xlfn.XLOOKUP(tbl_MTG_Set[[#This Row],[Collector Booster Box Product Id]], tbl_Product[Product Id], tbl_Product[Pack Size])</f>
        <v>#N/A</v>
      </c>
      <c r="AX409" s="10" t="e">
        <f>(tbl_MTG_Set[[#This Row],[Collector Booster Box Cost]] + v_Item_Shipping_Cost_In) / tbl_MTG_Set[[#This Row],[Collector Booster Box Size]]</f>
        <v>#N/A</v>
      </c>
      <c r="AY409" s="10" t="str" cm="1">
        <f t="array" ref="AY4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09" s="10"/>
      <c r="BA4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09" s="17" t="e">
        <f>tbl_MTG_Set[[#This Row],[Collector Booster CardMarket Profit]]/tbl_MTG_Set[[#This Row],[Collector Booster Cost]]</f>
        <v>#N/A</v>
      </c>
      <c r="BC409" s="10"/>
      <c r="BF4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09" s="11" t="e">
        <f>tbl_MTG_Set[[#This Row],[Play Singles CardMarket Profit MTG Stocks]]/tbl_MTG_Set[[#This Row],[Play Booster Cost]]</f>
        <v>#VALUE!</v>
      </c>
      <c r="BI409" s="11" t="b">
        <f>tbl_MTG_Set[[#This Row],[Play Singles CardMarket Profit MTG Stocks]]&gt;0</f>
        <v>0</v>
      </c>
      <c r="BM409" s="10" t="e">
        <f>tbl_MTG_Set[[#This Row],[Play Booster Sell Price CardMarket]]*tbl_MTG_Set[[#This Row],[Play Booster Expected Market Value BotBox]]/tbl_MTG_Set[[#This Row],[Play Booster Sealed Market Value BotBox]]</f>
        <v>#VALUE!</v>
      </c>
      <c r="BN4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09" s="10" t="e">
        <f>tbl_MTG_Set[[#This Row],[Play Singles CardMarket Profit BotBox]]/tbl_MTG_Set[[#This Row],[Play Booster Cost]]</f>
        <v>#VALUE!</v>
      </c>
      <c r="BP409" s="10" t="b">
        <f>tbl_MTG_Set[[#This Row],[Play Singles CardMarket Profit BotBox]]&gt;0</f>
        <v>0</v>
      </c>
      <c r="BQ409" s="10"/>
      <c r="BR409" s="10"/>
      <c r="BS409" s="10"/>
      <c r="BT4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09" s="19" t="e">
        <f>tbl_MTG_Set[[#This Row],[Collector Singles CardMarket Profit MTG Stocks]]/tbl_MTG_Set[[#This Row],[Collector Booster Cost]]</f>
        <v>#N/A</v>
      </c>
      <c r="BW409" s="10" t="b">
        <f>tbl_MTG_Set[[#This Row],[Collector Singles CardMarket Profit MTG Stocks]]&gt;0</f>
        <v>0</v>
      </c>
      <c r="BX409" s="10"/>
      <c r="BY409" s="10"/>
      <c r="BZ4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09" s="10" t="e">
        <f>tbl_MTG_Set[[#This Row],[Collector Singles CardMarket Profit BotBox]]/tbl_MTG_Set[[#This Row],[Collector Booster Cost]]</f>
        <v>#N/A</v>
      </c>
      <c r="CC409" s="10" t="b">
        <f>tbl_MTG_Set[[#This Row],[Collector Singles CardMarket Profit BotBox]]&gt;0</f>
        <v>0</v>
      </c>
      <c r="CD4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0" spans="1:86" hidden="1">
      <c r="A410">
        <v>439</v>
      </c>
      <c r="B410" t="s">
        <v>583</v>
      </c>
      <c r="C410">
        <v>2</v>
      </c>
      <c r="D410" s="3">
        <v>43630</v>
      </c>
      <c r="F410" t="s">
        <v>174</v>
      </c>
      <c r="G410">
        <v>824</v>
      </c>
      <c r="H410">
        <f ca="1">MONTH(NOW())+12*YEAR(NOW())-MONTH(tbl_MTG_Set[[#This Row],[Released On]])-12*YEAR(tbl_MTG_Set[[#This Row],[Released On]])</f>
        <v>81</v>
      </c>
      <c r="I410" t="str">
        <f>_xlfn.XLOOKUP(tbl_MTG_Set[[#This Row],[Type Name]], tbl_MTG_Set_Type[Set Type], tbl_MTG_Set_Type[Index], "(Set Type not found)")</f>
        <v>(Set Type not found)</v>
      </c>
      <c r="J410" t="str">
        <f>_xlfn.XLOOKUP(tbl_MTG_Set[[#This Row],[Type Name]], tbl_MTG_Set_Type[Set Type], tbl_MTG_Set_Type[Buy Window Month Start], "(Set Type not found)")</f>
        <v>(Set Type not found)</v>
      </c>
      <c r="K410" s="3" t="e">
        <f>tbl_MTG_Set[[#This Row],[Released On]]+tbl_MTG_Set[[#This Row],[Buy Window Month Start]]*365.25/12</f>
        <v>#VALUE!</v>
      </c>
      <c r="L410" t="str">
        <f>_xlfn.XLOOKUP(tbl_MTG_Set[[#This Row],[Type Name]], tbl_MTG_Set_Type[Set Type], tbl_MTG_Set_Type[Buy Window Month End], "(Set Type not found)", 0, 1)</f>
        <v>(Set Type not found)</v>
      </c>
      <c r="M410" s="3" t="e">
        <f>tbl_MTG_Set[[#This Row],[Released On]]+tbl_MTG_Set[[#This Row],[Buy Window Month End]]*365.25/12</f>
        <v>#VALUE!</v>
      </c>
      <c r="N410" s="3" t="e">
        <f ca="1">AND(NOW()&gt;=tbl_MTG_Set[[#This Row],[Buy Window Start]], NOW()&lt;=tbl_MTG_Set[[#This Row],[Buy Window End]])</f>
        <v>#VALUE!</v>
      </c>
      <c r="O410" t="str">
        <f>_xlfn.XLOOKUP(tbl_MTG_Set[[#This Row],[Type Name]], tbl_MTG_Set_Type[Set Type], tbl_MTG_Set_Type[Heavy Printing Window Month Start], "(Set Type not found)", 0, 1)</f>
        <v>(Set Type not found)</v>
      </c>
      <c r="P410" s="3" t="e">
        <f>tbl_MTG_Set[[#This Row],[Released On]]+tbl_MTG_Set[[#This Row],[Heavy Printing Window Month Start]]*365.25/12</f>
        <v>#VALUE!</v>
      </c>
      <c r="Q410" t="str">
        <f>_xlfn.XLOOKUP(tbl_MTG_Set[[#This Row],[Type Name]], tbl_MTG_Set_Type[Set Type], tbl_MTG_Set_Type[Heavy Printing Window Month End], "(Set Type not found)", 0, 1)</f>
        <v>(Set Type not found)</v>
      </c>
      <c r="R410" s="3" t="e">
        <f>tbl_MTG_Set[[#This Row],[Released On]]+tbl_MTG_Set[[#This Row],[Heavy Printing Window Month End]]*365.25/12</f>
        <v>#VALUE!</v>
      </c>
      <c r="S410" s="3" t="e">
        <f ca="1">AND(NOW()&gt;=tbl_MTG_Set[[#This Row],[Heavy Printing Window Start]], NOW()&lt;=tbl_MTG_Set[[#This Row],[Heavy Printing Window End]])</f>
        <v>#VALUE!</v>
      </c>
      <c r="T410" t="str">
        <f>_xlfn.XLOOKUP(tbl_MTG_Set[[#This Row],[Type Name]], tbl_MTG_Set_Type[Set Type], tbl_MTG_Set_Type[Sell Window Month Start], "(Set Type not found)", 0, 1)</f>
        <v>(Set Type not found)</v>
      </c>
      <c r="U410" s="3" t="e">
        <f>tbl_MTG_Set[[#This Row],[Released On]]+tbl_MTG_Set[[#This Row],[Sell Window Month Start]]*365.25/12</f>
        <v>#VALUE!</v>
      </c>
      <c r="V410" t="str">
        <f>_xlfn.XLOOKUP(tbl_MTG_Set[[#This Row],[Type Name]], tbl_MTG_Set_Type[Set Type], tbl_MTG_Set_Type[Sell Window Month End], "(Set Type not found)", 0, 1)</f>
        <v>(Set Type not found)</v>
      </c>
      <c r="W410" s="3" t="e">
        <f>tbl_MTG_Set[[#This Row],[Released On]]+tbl_MTG_Set[[#This Row],[Sell Window Month End]]*365.25/12</f>
        <v>#VALUE!</v>
      </c>
      <c r="X410" s="3" t="e">
        <f ca="1">AND(NOW()&gt;=tbl_MTG_Set[[#This Row],[Sell Window Start]], NOW()&lt;=tbl_MTG_Set[[#This Row],[Sell Window End]])</f>
        <v>#VALUE!</v>
      </c>
      <c r="AG410" s="10"/>
      <c r="AH410" s="10"/>
      <c r="AM410" s="10" t="str" cm="1">
        <f t="array" ref="AM4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0" s="10" t="str" cm="1">
        <f t="array" ref="AN4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0" s="4" t="e">
        <f>_xlfn.XLOOKUP(tbl_MTG_Set[[#This Row],[Play Booster Box Product Id]], tbl_Product[Product Id], tbl_Product[Pack Size])</f>
        <v>#N/A</v>
      </c>
      <c r="AP410" s="10" t="e">
        <f>(tbl_MTG_Set[[#This Row],[Play Booster Box Cost]]+v_Item_Shipping_Cost_In)/tbl_MTG_Set[[#This Row],[Play Booster Box Size]]</f>
        <v>#VALUE!</v>
      </c>
      <c r="AQ410" s="10" t="str" cm="1">
        <f t="array" ref="AQ4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0" s="10"/>
      <c r="AS410" s="10"/>
      <c r="AT410" s="17" t="e">
        <f>tbl_MTG_Set[[#This Row],[Play Booster CardMarket Profit]]/tbl_MTG_Set[[#This Row],[Play Booster Cost]]</f>
        <v>#VALUE!</v>
      </c>
      <c r="AU410" s="10" t="e">
        <f>_xlfn.XLOOKUP(tbl_MTG_Set[[#This Row],[Collector Booster Box Product Id]], tbl_Product[Product Id], tbl_Product[Min Cost])</f>
        <v>#N/A</v>
      </c>
      <c r="AV410" s="10" t="e">
        <f>_xlfn.XLOOKUP(tbl_MTG_Set[[#This Row],[Collector Booster Box Product Id]], tbl_Product[Product Id], tbl_Product[Best Source])</f>
        <v>#N/A</v>
      </c>
      <c r="AW410" s="4" t="e">
        <f>_xlfn.XLOOKUP(tbl_MTG_Set[[#This Row],[Collector Booster Box Product Id]], tbl_Product[Product Id], tbl_Product[Pack Size])</f>
        <v>#N/A</v>
      </c>
      <c r="AX410" s="10" t="e">
        <f>(tbl_MTG_Set[[#This Row],[Collector Booster Box Cost]] + v_Item_Shipping_Cost_In) / tbl_MTG_Set[[#This Row],[Collector Booster Box Size]]</f>
        <v>#N/A</v>
      </c>
      <c r="AY410" s="10" t="str" cm="1">
        <f t="array" ref="AY4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0" s="10"/>
      <c r="BA4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0" s="17" t="e">
        <f>tbl_MTG_Set[[#This Row],[Collector Booster CardMarket Profit]]/tbl_MTG_Set[[#This Row],[Collector Booster Cost]]</f>
        <v>#N/A</v>
      </c>
      <c r="BC410" s="10"/>
      <c r="BF4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0" s="11" t="e">
        <f>tbl_MTG_Set[[#This Row],[Play Singles CardMarket Profit MTG Stocks]]/tbl_MTG_Set[[#This Row],[Play Booster Cost]]</f>
        <v>#VALUE!</v>
      </c>
      <c r="BI410" s="11" t="b">
        <f>tbl_MTG_Set[[#This Row],[Play Singles CardMarket Profit MTG Stocks]]&gt;0</f>
        <v>0</v>
      </c>
      <c r="BM410" s="10" t="e">
        <f>tbl_MTG_Set[[#This Row],[Play Booster Sell Price CardMarket]]*tbl_MTG_Set[[#This Row],[Play Booster Expected Market Value BotBox]]/tbl_MTG_Set[[#This Row],[Play Booster Sealed Market Value BotBox]]</f>
        <v>#VALUE!</v>
      </c>
      <c r="BN4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0" s="10" t="e">
        <f>tbl_MTG_Set[[#This Row],[Play Singles CardMarket Profit BotBox]]/tbl_MTG_Set[[#This Row],[Play Booster Cost]]</f>
        <v>#VALUE!</v>
      </c>
      <c r="BP410" s="10" t="b">
        <f>tbl_MTG_Set[[#This Row],[Play Singles CardMarket Profit BotBox]]&gt;0</f>
        <v>0</v>
      </c>
      <c r="BQ410" s="10"/>
      <c r="BR410" s="10"/>
      <c r="BS410" s="10"/>
      <c r="BT4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0" s="19" t="e">
        <f>tbl_MTG_Set[[#This Row],[Collector Singles CardMarket Profit MTG Stocks]]/tbl_MTG_Set[[#This Row],[Collector Booster Cost]]</f>
        <v>#N/A</v>
      </c>
      <c r="BW410" s="10" t="b">
        <f>tbl_MTG_Set[[#This Row],[Collector Singles CardMarket Profit MTG Stocks]]&gt;0</f>
        <v>0</v>
      </c>
      <c r="BX410" s="10"/>
      <c r="BY410" s="10"/>
      <c r="BZ4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0" s="10" t="e">
        <f>tbl_MTG_Set[[#This Row],[Collector Singles CardMarket Profit BotBox]]/tbl_MTG_Set[[#This Row],[Collector Booster Cost]]</f>
        <v>#N/A</v>
      </c>
      <c r="CC410" s="10" t="b">
        <f>tbl_MTG_Set[[#This Row],[Collector Singles CardMarket Profit BotBox]]&gt;0</f>
        <v>0</v>
      </c>
      <c r="CD4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1" spans="1:86" hidden="1">
      <c r="A411">
        <v>440</v>
      </c>
      <c r="B411" t="s">
        <v>584</v>
      </c>
      <c r="C411">
        <v>21</v>
      </c>
      <c r="D411" s="3">
        <v>43615</v>
      </c>
      <c r="F411" t="s">
        <v>174</v>
      </c>
      <c r="G411">
        <v>826</v>
      </c>
      <c r="H411">
        <f ca="1">MONTH(NOW())+12*YEAR(NOW())-MONTH(tbl_MTG_Set[[#This Row],[Released On]])-12*YEAR(tbl_MTG_Set[[#This Row],[Released On]])</f>
        <v>82</v>
      </c>
      <c r="I411" t="str">
        <f>_xlfn.XLOOKUP(tbl_MTG_Set[[#This Row],[Type Name]], tbl_MTG_Set_Type[Set Type], tbl_MTG_Set_Type[Index], "(Set Type not found)")</f>
        <v>(Set Type not found)</v>
      </c>
      <c r="J411" t="str">
        <f>_xlfn.XLOOKUP(tbl_MTG_Set[[#This Row],[Type Name]], tbl_MTG_Set_Type[Set Type], tbl_MTG_Set_Type[Buy Window Month Start], "(Set Type not found)")</f>
        <v>(Set Type not found)</v>
      </c>
      <c r="K411" s="3" t="e">
        <f>tbl_MTG_Set[[#This Row],[Released On]]+tbl_MTG_Set[[#This Row],[Buy Window Month Start]]*365.25/12</f>
        <v>#VALUE!</v>
      </c>
      <c r="L411" t="str">
        <f>_xlfn.XLOOKUP(tbl_MTG_Set[[#This Row],[Type Name]], tbl_MTG_Set_Type[Set Type], tbl_MTG_Set_Type[Buy Window Month End], "(Set Type not found)", 0, 1)</f>
        <v>(Set Type not found)</v>
      </c>
      <c r="M411" s="3" t="e">
        <f>tbl_MTG_Set[[#This Row],[Released On]]+tbl_MTG_Set[[#This Row],[Buy Window Month End]]*365.25/12</f>
        <v>#VALUE!</v>
      </c>
      <c r="N411" s="3" t="e">
        <f ca="1">AND(NOW()&gt;=tbl_MTG_Set[[#This Row],[Buy Window Start]], NOW()&lt;=tbl_MTG_Set[[#This Row],[Buy Window End]])</f>
        <v>#VALUE!</v>
      </c>
      <c r="O411" t="str">
        <f>_xlfn.XLOOKUP(tbl_MTG_Set[[#This Row],[Type Name]], tbl_MTG_Set_Type[Set Type], tbl_MTG_Set_Type[Heavy Printing Window Month Start], "(Set Type not found)", 0, 1)</f>
        <v>(Set Type not found)</v>
      </c>
      <c r="P411" s="3" t="e">
        <f>tbl_MTG_Set[[#This Row],[Released On]]+tbl_MTG_Set[[#This Row],[Heavy Printing Window Month Start]]*365.25/12</f>
        <v>#VALUE!</v>
      </c>
      <c r="Q411" t="str">
        <f>_xlfn.XLOOKUP(tbl_MTG_Set[[#This Row],[Type Name]], tbl_MTG_Set_Type[Set Type], tbl_MTG_Set_Type[Heavy Printing Window Month End], "(Set Type not found)", 0, 1)</f>
        <v>(Set Type not found)</v>
      </c>
      <c r="R411" s="3" t="e">
        <f>tbl_MTG_Set[[#This Row],[Released On]]+tbl_MTG_Set[[#This Row],[Heavy Printing Window Month End]]*365.25/12</f>
        <v>#VALUE!</v>
      </c>
      <c r="S411" s="3" t="e">
        <f ca="1">AND(NOW()&gt;=tbl_MTG_Set[[#This Row],[Heavy Printing Window Start]], NOW()&lt;=tbl_MTG_Set[[#This Row],[Heavy Printing Window End]])</f>
        <v>#VALUE!</v>
      </c>
      <c r="T411" t="str">
        <f>_xlfn.XLOOKUP(tbl_MTG_Set[[#This Row],[Type Name]], tbl_MTG_Set_Type[Set Type], tbl_MTG_Set_Type[Sell Window Month Start], "(Set Type not found)", 0, 1)</f>
        <v>(Set Type not found)</v>
      </c>
      <c r="U411" s="3" t="e">
        <f>tbl_MTG_Set[[#This Row],[Released On]]+tbl_MTG_Set[[#This Row],[Sell Window Month Start]]*365.25/12</f>
        <v>#VALUE!</v>
      </c>
      <c r="V411" t="str">
        <f>_xlfn.XLOOKUP(tbl_MTG_Set[[#This Row],[Type Name]], tbl_MTG_Set_Type[Set Type], tbl_MTG_Set_Type[Sell Window Month End], "(Set Type not found)", 0, 1)</f>
        <v>(Set Type not found)</v>
      </c>
      <c r="W411" s="3" t="e">
        <f>tbl_MTG_Set[[#This Row],[Released On]]+tbl_MTG_Set[[#This Row],[Sell Window Month End]]*365.25/12</f>
        <v>#VALUE!</v>
      </c>
      <c r="X411" s="3" t="e">
        <f ca="1">AND(NOW()&gt;=tbl_MTG_Set[[#This Row],[Sell Window Start]], NOW()&lt;=tbl_MTG_Set[[#This Row],[Sell Window End]])</f>
        <v>#VALUE!</v>
      </c>
      <c r="AG411" s="10"/>
      <c r="AH411" s="10"/>
      <c r="AM411" s="10" t="str" cm="1">
        <f t="array" ref="AM4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1" s="10" t="str" cm="1">
        <f t="array" ref="AN4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1" s="4" t="e">
        <f>_xlfn.XLOOKUP(tbl_MTG_Set[[#This Row],[Play Booster Box Product Id]], tbl_Product[Product Id], tbl_Product[Pack Size])</f>
        <v>#N/A</v>
      </c>
      <c r="AP411" s="10" t="e">
        <f>(tbl_MTG_Set[[#This Row],[Play Booster Box Cost]]+v_Item_Shipping_Cost_In)/tbl_MTG_Set[[#This Row],[Play Booster Box Size]]</f>
        <v>#VALUE!</v>
      </c>
      <c r="AQ411" s="10" t="str" cm="1">
        <f t="array" ref="AQ4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1" s="10"/>
      <c r="AS411" s="10"/>
      <c r="AT411" s="17" t="e">
        <f>tbl_MTG_Set[[#This Row],[Play Booster CardMarket Profit]]/tbl_MTG_Set[[#This Row],[Play Booster Cost]]</f>
        <v>#VALUE!</v>
      </c>
      <c r="AU411" s="10" t="e">
        <f>_xlfn.XLOOKUP(tbl_MTG_Set[[#This Row],[Collector Booster Box Product Id]], tbl_Product[Product Id], tbl_Product[Min Cost])</f>
        <v>#N/A</v>
      </c>
      <c r="AV411" s="10" t="e">
        <f>_xlfn.XLOOKUP(tbl_MTG_Set[[#This Row],[Collector Booster Box Product Id]], tbl_Product[Product Id], tbl_Product[Best Source])</f>
        <v>#N/A</v>
      </c>
      <c r="AW411" s="4" t="e">
        <f>_xlfn.XLOOKUP(tbl_MTG_Set[[#This Row],[Collector Booster Box Product Id]], tbl_Product[Product Id], tbl_Product[Pack Size])</f>
        <v>#N/A</v>
      </c>
      <c r="AX411" s="10" t="e">
        <f>(tbl_MTG_Set[[#This Row],[Collector Booster Box Cost]] + v_Item_Shipping_Cost_In) / tbl_MTG_Set[[#This Row],[Collector Booster Box Size]]</f>
        <v>#N/A</v>
      </c>
      <c r="AY411" s="10" t="str" cm="1">
        <f t="array" ref="AY4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1" s="10"/>
      <c r="BA4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1" s="17" t="e">
        <f>tbl_MTG_Set[[#This Row],[Collector Booster CardMarket Profit]]/tbl_MTG_Set[[#This Row],[Collector Booster Cost]]</f>
        <v>#N/A</v>
      </c>
      <c r="BC411" s="10"/>
      <c r="BF4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1" s="11" t="e">
        <f>tbl_MTG_Set[[#This Row],[Play Singles CardMarket Profit MTG Stocks]]/tbl_MTG_Set[[#This Row],[Play Booster Cost]]</f>
        <v>#VALUE!</v>
      </c>
      <c r="BI411" s="11" t="b">
        <f>tbl_MTG_Set[[#This Row],[Play Singles CardMarket Profit MTG Stocks]]&gt;0</f>
        <v>0</v>
      </c>
      <c r="BM411" s="10" t="e">
        <f>tbl_MTG_Set[[#This Row],[Play Booster Sell Price CardMarket]]*tbl_MTG_Set[[#This Row],[Play Booster Expected Market Value BotBox]]/tbl_MTG_Set[[#This Row],[Play Booster Sealed Market Value BotBox]]</f>
        <v>#VALUE!</v>
      </c>
      <c r="BN4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1" s="10" t="e">
        <f>tbl_MTG_Set[[#This Row],[Play Singles CardMarket Profit BotBox]]/tbl_MTG_Set[[#This Row],[Play Booster Cost]]</f>
        <v>#VALUE!</v>
      </c>
      <c r="BP411" s="10" t="b">
        <f>tbl_MTG_Set[[#This Row],[Play Singles CardMarket Profit BotBox]]&gt;0</f>
        <v>0</v>
      </c>
      <c r="BQ411" s="10"/>
      <c r="BR411" s="10"/>
      <c r="BS411" s="10"/>
      <c r="BT4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1" s="19" t="e">
        <f>tbl_MTG_Set[[#This Row],[Collector Singles CardMarket Profit MTG Stocks]]/tbl_MTG_Set[[#This Row],[Collector Booster Cost]]</f>
        <v>#N/A</v>
      </c>
      <c r="BW411" s="10" t="b">
        <f>tbl_MTG_Set[[#This Row],[Collector Singles CardMarket Profit MTG Stocks]]&gt;0</f>
        <v>0</v>
      </c>
      <c r="BX411" s="10"/>
      <c r="BY411" s="10"/>
      <c r="BZ4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1" s="10" t="e">
        <f>tbl_MTG_Set[[#This Row],[Collector Singles CardMarket Profit BotBox]]/tbl_MTG_Set[[#This Row],[Collector Booster Cost]]</f>
        <v>#N/A</v>
      </c>
      <c r="CC411" s="10" t="b">
        <f>tbl_MTG_Set[[#This Row],[Collector Singles CardMarket Profit BotBox]]&gt;0</f>
        <v>0</v>
      </c>
      <c r="CD4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2" spans="1:86" hidden="1">
      <c r="A412">
        <v>441</v>
      </c>
      <c r="B412" t="s">
        <v>585</v>
      </c>
      <c r="C412">
        <v>54</v>
      </c>
      <c r="D412" s="3">
        <v>43621</v>
      </c>
      <c r="F412" t="s">
        <v>174</v>
      </c>
      <c r="G412">
        <v>828</v>
      </c>
      <c r="H412">
        <f ca="1">MONTH(NOW())+12*YEAR(NOW())-MONTH(tbl_MTG_Set[[#This Row],[Released On]])-12*YEAR(tbl_MTG_Set[[#This Row],[Released On]])</f>
        <v>81</v>
      </c>
      <c r="I412" t="str">
        <f>_xlfn.XLOOKUP(tbl_MTG_Set[[#This Row],[Type Name]], tbl_MTG_Set_Type[Set Type], tbl_MTG_Set_Type[Index], "(Set Type not found)")</f>
        <v>(Set Type not found)</v>
      </c>
      <c r="J412" t="str">
        <f>_xlfn.XLOOKUP(tbl_MTG_Set[[#This Row],[Type Name]], tbl_MTG_Set_Type[Set Type], tbl_MTG_Set_Type[Buy Window Month Start], "(Set Type not found)")</f>
        <v>(Set Type not found)</v>
      </c>
      <c r="K412" s="3" t="e">
        <f>tbl_MTG_Set[[#This Row],[Released On]]+tbl_MTG_Set[[#This Row],[Buy Window Month Start]]*365.25/12</f>
        <v>#VALUE!</v>
      </c>
      <c r="L412" t="str">
        <f>_xlfn.XLOOKUP(tbl_MTG_Set[[#This Row],[Type Name]], tbl_MTG_Set_Type[Set Type], tbl_MTG_Set_Type[Buy Window Month End], "(Set Type not found)", 0, 1)</f>
        <v>(Set Type not found)</v>
      </c>
      <c r="M412" s="3" t="e">
        <f>tbl_MTG_Set[[#This Row],[Released On]]+tbl_MTG_Set[[#This Row],[Buy Window Month End]]*365.25/12</f>
        <v>#VALUE!</v>
      </c>
      <c r="N412" s="3" t="e">
        <f ca="1">AND(NOW()&gt;=tbl_MTG_Set[[#This Row],[Buy Window Start]], NOW()&lt;=tbl_MTG_Set[[#This Row],[Buy Window End]])</f>
        <v>#VALUE!</v>
      </c>
      <c r="O412" t="str">
        <f>_xlfn.XLOOKUP(tbl_MTG_Set[[#This Row],[Type Name]], tbl_MTG_Set_Type[Set Type], tbl_MTG_Set_Type[Heavy Printing Window Month Start], "(Set Type not found)", 0, 1)</f>
        <v>(Set Type not found)</v>
      </c>
      <c r="P412" s="3" t="e">
        <f>tbl_MTG_Set[[#This Row],[Released On]]+tbl_MTG_Set[[#This Row],[Heavy Printing Window Month Start]]*365.25/12</f>
        <v>#VALUE!</v>
      </c>
      <c r="Q412" t="str">
        <f>_xlfn.XLOOKUP(tbl_MTG_Set[[#This Row],[Type Name]], tbl_MTG_Set_Type[Set Type], tbl_MTG_Set_Type[Heavy Printing Window Month End], "(Set Type not found)", 0, 1)</f>
        <v>(Set Type not found)</v>
      </c>
      <c r="R412" s="3" t="e">
        <f>tbl_MTG_Set[[#This Row],[Released On]]+tbl_MTG_Set[[#This Row],[Heavy Printing Window Month End]]*365.25/12</f>
        <v>#VALUE!</v>
      </c>
      <c r="S412" s="3" t="e">
        <f ca="1">AND(NOW()&gt;=tbl_MTG_Set[[#This Row],[Heavy Printing Window Start]], NOW()&lt;=tbl_MTG_Set[[#This Row],[Heavy Printing Window End]])</f>
        <v>#VALUE!</v>
      </c>
      <c r="T412" t="str">
        <f>_xlfn.XLOOKUP(tbl_MTG_Set[[#This Row],[Type Name]], tbl_MTG_Set_Type[Set Type], tbl_MTG_Set_Type[Sell Window Month Start], "(Set Type not found)", 0, 1)</f>
        <v>(Set Type not found)</v>
      </c>
      <c r="U412" s="3" t="e">
        <f>tbl_MTG_Set[[#This Row],[Released On]]+tbl_MTG_Set[[#This Row],[Sell Window Month Start]]*365.25/12</f>
        <v>#VALUE!</v>
      </c>
      <c r="V412" t="str">
        <f>_xlfn.XLOOKUP(tbl_MTG_Set[[#This Row],[Type Name]], tbl_MTG_Set_Type[Set Type], tbl_MTG_Set_Type[Sell Window Month End], "(Set Type not found)", 0, 1)</f>
        <v>(Set Type not found)</v>
      </c>
      <c r="W412" s="3" t="e">
        <f>tbl_MTG_Set[[#This Row],[Released On]]+tbl_MTG_Set[[#This Row],[Sell Window Month End]]*365.25/12</f>
        <v>#VALUE!</v>
      </c>
      <c r="X412" s="3" t="e">
        <f ca="1">AND(NOW()&gt;=tbl_MTG_Set[[#This Row],[Sell Window Start]], NOW()&lt;=tbl_MTG_Set[[#This Row],[Sell Window End]])</f>
        <v>#VALUE!</v>
      </c>
      <c r="AG412" s="10"/>
      <c r="AH412" s="10"/>
      <c r="AM412" s="10" t="str" cm="1">
        <f t="array" ref="AM4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2" s="10" t="str" cm="1">
        <f t="array" ref="AN4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2" s="4" t="e">
        <f>_xlfn.XLOOKUP(tbl_MTG_Set[[#This Row],[Play Booster Box Product Id]], tbl_Product[Product Id], tbl_Product[Pack Size])</f>
        <v>#N/A</v>
      </c>
      <c r="AP412" s="10" t="e">
        <f>(tbl_MTG_Set[[#This Row],[Play Booster Box Cost]]+v_Item_Shipping_Cost_In)/tbl_MTG_Set[[#This Row],[Play Booster Box Size]]</f>
        <v>#VALUE!</v>
      </c>
      <c r="AQ412" s="10" t="str" cm="1">
        <f t="array" ref="AQ4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2" s="10"/>
      <c r="AS412" s="10"/>
      <c r="AT412" s="17" t="e">
        <f>tbl_MTG_Set[[#This Row],[Play Booster CardMarket Profit]]/tbl_MTG_Set[[#This Row],[Play Booster Cost]]</f>
        <v>#VALUE!</v>
      </c>
      <c r="AU412" s="10" t="e">
        <f>_xlfn.XLOOKUP(tbl_MTG_Set[[#This Row],[Collector Booster Box Product Id]], tbl_Product[Product Id], tbl_Product[Min Cost])</f>
        <v>#N/A</v>
      </c>
      <c r="AV412" s="10" t="e">
        <f>_xlfn.XLOOKUP(tbl_MTG_Set[[#This Row],[Collector Booster Box Product Id]], tbl_Product[Product Id], tbl_Product[Best Source])</f>
        <v>#N/A</v>
      </c>
      <c r="AW412" s="4" t="e">
        <f>_xlfn.XLOOKUP(tbl_MTG_Set[[#This Row],[Collector Booster Box Product Id]], tbl_Product[Product Id], tbl_Product[Pack Size])</f>
        <v>#N/A</v>
      </c>
      <c r="AX412" s="10" t="e">
        <f>(tbl_MTG_Set[[#This Row],[Collector Booster Box Cost]] + v_Item_Shipping_Cost_In) / tbl_MTG_Set[[#This Row],[Collector Booster Box Size]]</f>
        <v>#N/A</v>
      </c>
      <c r="AY412" s="10" t="str" cm="1">
        <f t="array" ref="AY4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2" s="10"/>
      <c r="BA4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2" s="17" t="e">
        <f>tbl_MTG_Set[[#This Row],[Collector Booster CardMarket Profit]]/tbl_MTG_Set[[#This Row],[Collector Booster Cost]]</f>
        <v>#N/A</v>
      </c>
      <c r="BC412" s="10"/>
      <c r="BF4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2" s="11" t="e">
        <f>tbl_MTG_Set[[#This Row],[Play Singles CardMarket Profit MTG Stocks]]/tbl_MTG_Set[[#This Row],[Play Booster Cost]]</f>
        <v>#VALUE!</v>
      </c>
      <c r="BI412" s="11" t="b">
        <f>tbl_MTG_Set[[#This Row],[Play Singles CardMarket Profit MTG Stocks]]&gt;0</f>
        <v>0</v>
      </c>
      <c r="BM412" s="10" t="e">
        <f>tbl_MTG_Set[[#This Row],[Play Booster Sell Price CardMarket]]*tbl_MTG_Set[[#This Row],[Play Booster Expected Market Value BotBox]]/tbl_MTG_Set[[#This Row],[Play Booster Sealed Market Value BotBox]]</f>
        <v>#VALUE!</v>
      </c>
      <c r="BN4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2" s="10" t="e">
        <f>tbl_MTG_Set[[#This Row],[Play Singles CardMarket Profit BotBox]]/tbl_MTG_Set[[#This Row],[Play Booster Cost]]</f>
        <v>#VALUE!</v>
      </c>
      <c r="BP412" s="10" t="b">
        <f>tbl_MTG_Set[[#This Row],[Play Singles CardMarket Profit BotBox]]&gt;0</f>
        <v>0</v>
      </c>
      <c r="BQ412" s="10"/>
      <c r="BR412" s="10"/>
      <c r="BS412" s="10"/>
      <c r="BT4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2" s="19" t="e">
        <f>tbl_MTG_Set[[#This Row],[Collector Singles CardMarket Profit MTG Stocks]]/tbl_MTG_Set[[#This Row],[Collector Booster Cost]]</f>
        <v>#N/A</v>
      </c>
      <c r="BW412" s="10" t="b">
        <f>tbl_MTG_Set[[#This Row],[Collector Singles CardMarket Profit MTG Stocks]]&gt;0</f>
        <v>0</v>
      </c>
      <c r="BX412" s="10"/>
      <c r="BY412" s="10"/>
      <c r="BZ4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2" s="10" t="e">
        <f>tbl_MTG_Set[[#This Row],[Collector Singles CardMarket Profit BotBox]]/tbl_MTG_Set[[#This Row],[Collector Booster Cost]]</f>
        <v>#N/A</v>
      </c>
      <c r="CC412" s="10" t="b">
        <f>tbl_MTG_Set[[#This Row],[Collector Singles CardMarket Profit BotBox]]&gt;0</f>
        <v>0</v>
      </c>
      <c r="CD4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3" spans="1:86" hidden="1">
      <c r="A413">
        <v>443</v>
      </c>
      <c r="B413" t="s">
        <v>586</v>
      </c>
      <c r="C413">
        <v>176</v>
      </c>
      <c r="D413" s="3">
        <v>43588</v>
      </c>
      <c r="E413" t="s">
        <v>59</v>
      </c>
      <c r="F413" t="s">
        <v>174</v>
      </c>
      <c r="G413">
        <v>832</v>
      </c>
      <c r="H413">
        <f ca="1">MONTH(NOW())+12*YEAR(NOW())-MONTH(tbl_MTG_Set[[#This Row],[Released On]])-12*YEAR(tbl_MTG_Set[[#This Row],[Released On]])</f>
        <v>82</v>
      </c>
      <c r="I413">
        <f>_xlfn.XLOOKUP(tbl_MTG_Set[[#This Row],[Type Name]], tbl_MTG_Set_Type[Set Type], tbl_MTG_Set_Type[Index], "(Set Type not found)")</f>
        <v>1</v>
      </c>
      <c r="J413">
        <f>_xlfn.XLOOKUP(tbl_MTG_Set[[#This Row],[Type Name]], tbl_MTG_Set_Type[Set Type], tbl_MTG_Set_Type[Buy Window Month Start], "(Set Type not found)")</f>
        <v>18</v>
      </c>
      <c r="K413" s="3">
        <f>tbl_MTG_Set[[#This Row],[Released On]]+tbl_MTG_Set[[#This Row],[Buy Window Month Start]]*365.25/12</f>
        <v>44135.875</v>
      </c>
      <c r="L413">
        <f>_xlfn.XLOOKUP(tbl_MTG_Set[[#This Row],[Type Name]], tbl_MTG_Set_Type[Set Type], tbl_MTG_Set_Type[Buy Window Month End], "(Set Type not found)", 0, 1)</f>
        <v>24</v>
      </c>
      <c r="M413" s="3">
        <f>tbl_MTG_Set[[#This Row],[Released On]]+tbl_MTG_Set[[#This Row],[Buy Window Month End]]*365.25/12</f>
        <v>44318.5</v>
      </c>
      <c r="N413" s="3" t="b">
        <f ca="1">AND(NOW()&gt;=tbl_MTG_Set[[#This Row],[Buy Window Start]], NOW()&lt;=tbl_MTG_Set[[#This Row],[Buy Window End]])</f>
        <v>0</v>
      </c>
      <c r="O413">
        <f>_xlfn.XLOOKUP(tbl_MTG_Set[[#This Row],[Type Name]], tbl_MTG_Set_Type[Set Type], tbl_MTG_Set_Type[Heavy Printing Window Month Start], "(Set Type not found)", 0, 1)</f>
        <v>1</v>
      </c>
      <c r="P413" s="3">
        <f>tbl_MTG_Set[[#This Row],[Released On]]+tbl_MTG_Set[[#This Row],[Heavy Printing Window Month Start]]*365.25/12</f>
        <v>43618.4375</v>
      </c>
      <c r="Q413">
        <f>_xlfn.XLOOKUP(tbl_MTG_Set[[#This Row],[Type Name]], tbl_MTG_Set_Type[Set Type], tbl_MTG_Set_Type[Heavy Printing Window Month End], "(Set Type not found)", 0, 1)</f>
        <v>18</v>
      </c>
      <c r="R413" s="3">
        <f>tbl_MTG_Set[[#This Row],[Released On]]+tbl_MTG_Set[[#This Row],[Heavy Printing Window Month End]]*365.25/12</f>
        <v>44135.875</v>
      </c>
      <c r="S413" s="3" t="b">
        <f ca="1">AND(NOW()&gt;=tbl_MTG_Set[[#This Row],[Heavy Printing Window Start]], NOW()&lt;=tbl_MTG_Set[[#This Row],[Heavy Printing Window End]])</f>
        <v>0</v>
      </c>
      <c r="T413">
        <f>_xlfn.XLOOKUP(tbl_MTG_Set[[#This Row],[Type Name]], tbl_MTG_Set_Type[Set Type], tbl_MTG_Set_Type[Sell Window Month Start], "(Set Type not found)", 0, 1)</f>
        <v>36</v>
      </c>
      <c r="U413" s="3">
        <f>tbl_MTG_Set[[#This Row],[Released On]]+tbl_MTG_Set[[#This Row],[Sell Window Month Start]]*365.25/12</f>
        <v>44683.75</v>
      </c>
      <c r="V413">
        <f>_xlfn.XLOOKUP(tbl_MTG_Set[[#This Row],[Type Name]], tbl_MTG_Set_Type[Set Type], tbl_MTG_Set_Type[Sell Window Month End], "(Set Type not found)", 0, 1)</f>
        <v>48</v>
      </c>
      <c r="W413" s="3">
        <f>tbl_MTG_Set[[#This Row],[Released On]]+tbl_MTG_Set[[#This Row],[Sell Window Month End]]*365.25/12</f>
        <v>45049</v>
      </c>
      <c r="X413" s="3" t="b">
        <f ca="1">AND(NOW()&gt;=tbl_MTG_Set[[#This Row],[Sell Window Start]], NOW()&lt;=tbl_MTG_Set[[#This Row],[Sell Window End]])</f>
        <v>0</v>
      </c>
      <c r="AG413" s="10"/>
      <c r="AH413" s="10"/>
      <c r="AM413" s="10" t="str" cm="1">
        <f t="array" ref="AM4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3" s="10" t="str" cm="1">
        <f t="array" ref="AN4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3" s="4" t="e">
        <f>_xlfn.XLOOKUP(tbl_MTG_Set[[#This Row],[Play Booster Box Product Id]], tbl_Product[Product Id], tbl_Product[Pack Size])</f>
        <v>#N/A</v>
      </c>
      <c r="AP413" s="10" t="e">
        <f>(tbl_MTG_Set[[#This Row],[Play Booster Box Cost]]+v_Item_Shipping_Cost_In)/tbl_MTG_Set[[#This Row],[Play Booster Box Size]]</f>
        <v>#VALUE!</v>
      </c>
      <c r="AQ413" s="10" t="str" cm="1">
        <f t="array" ref="AQ4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3" s="10"/>
      <c r="AS413" s="10"/>
      <c r="AT413" s="17" t="e">
        <f>tbl_MTG_Set[[#This Row],[Play Booster CardMarket Profit]]/tbl_MTG_Set[[#This Row],[Play Booster Cost]]</f>
        <v>#VALUE!</v>
      </c>
      <c r="AU413" s="10" t="e">
        <f>_xlfn.XLOOKUP(tbl_MTG_Set[[#This Row],[Collector Booster Box Product Id]], tbl_Product[Product Id], tbl_Product[Min Cost])</f>
        <v>#N/A</v>
      </c>
      <c r="AV413" s="10" t="e">
        <f>_xlfn.XLOOKUP(tbl_MTG_Set[[#This Row],[Collector Booster Box Product Id]], tbl_Product[Product Id], tbl_Product[Best Source])</f>
        <v>#N/A</v>
      </c>
      <c r="AW413" s="4" t="e">
        <f>_xlfn.XLOOKUP(tbl_MTG_Set[[#This Row],[Collector Booster Box Product Id]], tbl_Product[Product Id], tbl_Product[Pack Size])</f>
        <v>#N/A</v>
      </c>
      <c r="AX413" s="10" t="e">
        <f>(tbl_MTG_Set[[#This Row],[Collector Booster Box Cost]] + v_Item_Shipping_Cost_In) / tbl_MTG_Set[[#This Row],[Collector Booster Box Size]]</f>
        <v>#N/A</v>
      </c>
      <c r="AY413" s="10" t="str" cm="1">
        <f t="array" ref="AY4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3" s="10"/>
      <c r="BA4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3" s="17" t="e">
        <f>tbl_MTG_Set[[#This Row],[Collector Booster CardMarket Profit]]/tbl_MTG_Set[[#This Row],[Collector Booster Cost]]</f>
        <v>#N/A</v>
      </c>
      <c r="BC413" s="10"/>
      <c r="BF4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3" s="11" t="e">
        <f>tbl_MTG_Set[[#This Row],[Play Singles CardMarket Profit MTG Stocks]]/tbl_MTG_Set[[#This Row],[Play Booster Cost]]</f>
        <v>#VALUE!</v>
      </c>
      <c r="BI413" s="11" t="b">
        <f>tbl_MTG_Set[[#This Row],[Play Singles CardMarket Profit MTG Stocks]]&gt;0</f>
        <v>0</v>
      </c>
      <c r="BM413" s="10" t="e">
        <f>tbl_MTG_Set[[#This Row],[Play Booster Sell Price CardMarket]]*tbl_MTG_Set[[#This Row],[Play Booster Expected Market Value BotBox]]/tbl_MTG_Set[[#This Row],[Play Booster Sealed Market Value BotBox]]</f>
        <v>#VALUE!</v>
      </c>
      <c r="BN4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3" s="10" t="e">
        <f>tbl_MTG_Set[[#This Row],[Play Singles CardMarket Profit BotBox]]/tbl_MTG_Set[[#This Row],[Play Booster Cost]]</f>
        <v>#VALUE!</v>
      </c>
      <c r="BP413" s="10" t="b">
        <f>tbl_MTG_Set[[#This Row],[Play Singles CardMarket Profit BotBox]]&gt;0</f>
        <v>0</v>
      </c>
      <c r="BQ413" s="10"/>
      <c r="BR413" s="10"/>
      <c r="BS413" s="10"/>
      <c r="BT4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3" s="19" t="e">
        <f>tbl_MTG_Set[[#This Row],[Collector Singles CardMarket Profit MTG Stocks]]/tbl_MTG_Set[[#This Row],[Collector Booster Cost]]</f>
        <v>#N/A</v>
      </c>
      <c r="BW413" s="10" t="b">
        <f>tbl_MTG_Set[[#This Row],[Collector Singles CardMarket Profit MTG Stocks]]&gt;0</f>
        <v>0</v>
      </c>
      <c r="BX413" s="10"/>
      <c r="BY413" s="10"/>
      <c r="BZ4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3" s="10" t="e">
        <f>tbl_MTG_Set[[#This Row],[Collector Singles CardMarket Profit BotBox]]/tbl_MTG_Set[[#This Row],[Collector Booster Cost]]</f>
        <v>#N/A</v>
      </c>
      <c r="CC413" s="10" t="b">
        <f>tbl_MTG_Set[[#This Row],[Collector Singles CardMarket Profit BotBox]]&gt;0</f>
        <v>0</v>
      </c>
      <c r="CD4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4" spans="1:86" hidden="1">
      <c r="A414">
        <v>444</v>
      </c>
      <c r="B414" t="s">
        <v>587</v>
      </c>
      <c r="C414">
        <v>19</v>
      </c>
      <c r="D414" s="3">
        <v>43588</v>
      </c>
      <c r="E414" t="s">
        <v>59</v>
      </c>
      <c r="F414" t="s">
        <v>174</v>
      </c>
      <c r="G414">
        <v>834</v>
      </c>
      <c r="H414">
        <f ca="1">MONTH(NOW())+12*YEAR(NOW())-MONTH(tbl_MTG_Set[[#This Row],[Released On]])-12*YEAR(tbl_MTG_Set[[#This Row],[Released On]])</f>
        <v>82</v>
      </c>
      <c r="I414">
        <f>_xlfn.XLOOKUP(tbl_MTG_Set[[#This Row],[Type Name]], tbl_MTG_Set_Type[Set Type], tbl_MTG_Set_Type[Index], "(Set Type not found)")</f>
        <v>1</v>
      </c>
      <c r="J414">
        <f>_xlfn.XLOOKUP(tbl_MTG_Set[[#This Row],[Type Name]], tbl_MTG_Set_Type[Set Type], tbl_MTG_Set_Type[Buy Window Month Start], "(Set Type not found)")</f>
        <v>18</v>
      </c>
      <c r="K414" s="3">
        <f>tbl_MTG_Set[[#This Row],[Released On]]+tbl_MTG_Set[[#This Row],[Buy Window Month Start]]*365.25/12</f>
        <v>44135.875</v>
      </c>
      <c r="L414">
        <f>_xlfn.XLOOKUP(tbl_MTG_Set[[#This Row],[Type Name]], tbl_MTG_Set_Type[Set Type], tbl_MTG_Set_Type[Buy Window Month End], "(Set Type not found)", 0, 1)</f>
        <v>24</v>
      </c>
      <c r="M414" s="3">
        <f>tbl_MTG_Set[[#This Row],[Released On]]+tbl_MTG_Set[[#This Row],[Buy Window Month End]]*365.25/12</f>
        <v>44318.5</v>
      </c>
      <c r="N414" s="3" t="b">
        <f ca="1">AND(NOW()&gt;=tbl_MTG_Set[[#This Row],[Buy Window Start]], NOW()&lt;=tbl_MTG_Set[[#This Row],[Buy Window End]])</f>
        <v>0</v>
      </c>
      <c r="O414">
        <f>_xlfn.XLOOKUP(tbl_MTG_Set[[#This Row],[Type Name]], tbl_MTG_Set_Type[Set Type], tbl_MTG_Set_Type[Heavy Printing Window Month Start], "(Set Type not found)", 0, 1)</f>
        <v>1</v>
      </c>
      <c r="P414" s="3">
        <f>tbl_MTG_Set[[#This Row],[Released On]]+tbl_MTG_Set[[#This Row],[Heavy Printing Window Month Start]]*365.25/12</f>
        <v>43618.4375</v>
      </c>
      <c r="Q414">
        <f>_xlfn.XLOOKUP(tbl_MTG_Set[[#This Row],[Type Name]], tbl_MTG_Set_Type[Set Type], tbl_MTG_Set_Type[Heavy Printing Window Month End], "(Set Type not found)", 0, 1)</f>
        <v>18</v>
      </c>
      <c r="R414" s="3">
        <f>tbl_MTG_Set[[#This Row],[Released On]]+tbl_MTG_Set[[#This Row],[Heavy Printing Window Month End]]*365.25/12</f>
        <v>44135.875</v>
      </c>
      <c r="S414" s="3" t="b">
        <f ca="1">AND(NOW()&gt;=tbl_MTG_Set[[#This Row],[Heavy Printing Window Start]], NOW()&lt;=tbl_MTG_Set[[#This Row],[Heavy Printing Window End]])</f>
        <v>0</v>
      </c>
      <c r="T414">
        <f>_xlfn.XLOOKUP(tbl_MTG_Set[[#This Row],[Type Name]], tbl_MTG_Set_Type[Set Type], tbl_MTG_Set_Type[Sell Window Month Start], "(Set Type not found)", 0, 1)</f>
        <v>36</v>
      </c>
      <c r="U414" s="3">
        <f>tbl_MTG_Set[[#This Row],[Released On]]+tbl_MTG_Set[[#This Row],[Sell Window Month Start]]*365.25/12</f>
        <v>44683.75</v>
      </c>
      <c r="V414">
        <f>_xlfn.XLOOKUP(tbl_MTG_Set[[#This Row],[Type Name]], tbl_MTG_Set_Type[Set Type], tbl_MTG_Set_Type[Sell Window Month End], "(Set Type not found)", 0, 1)</f>
        <v>48</v>
      </c>
      <c r="W414" s="3">
        <f>tbl_MTG_Set[[#This Row],[Released On]]+tbl_MTG_Set[[#This Row],[Sell Window Month End]]*365.25/12</f>
        <v>45049</v>
      </c>
      <c r="X414" s="3" t="b">
        <f ca="1">AND(NOW()&gt;=tbl_MTG_Set[[#This Row],[Sell Window Start]], NOW()&lt;=tbl_MTG_Set[[#This Row],[Sell Window End]])</f>
        <v>0</v>
      </c>
      <c r="AG414" s="10"/>
      <c r="AH414" s="10"/>
      <c r="AM414" s="10" t="str" cm="1">
        <f t="array" ref="AM4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4" s="10" t="str" cm="1">
        <f t="array" ref="AN4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4" s="4" t="e">
        <f>_xlfn.XLOOKUP(tbl_MTG_Set[[#This Row],[Play Booster Box Product Id]], tbl_Product[Product Id], tbl_Product[Pack Size])</f>
        <v>#N/A</v>
      </c>
      <c r="AP414" s="10" t="e">
        <f>(tbl_MTG_Set[[#This Row],[Play Booster Box Cost]]+v_Item_Shipping_Cost_In)/tbl_MTG_Set[[#This Row],[Play Booster Box Size]]</f>
        <v>#VALUE!</v>
      </c>
      <c r="AQ414" s="10" t="str" cm="1">
        <f t="array" ref="AQ4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4" s="10"/>
      <c r="AS414" s="10"/>
      <c r="AT414" s="17" t="e">
        <f>tbl_MTG_Set[[#This Row],[Play Booster CardMarket Profit]]/tbl_MTG_Set[[#This Row],[Play Booster Cost]]</f>
        <v>#VALUE!</v>
      </c>
      <c r="AU414" s="10" t="e">
        <f>_xlfn.XLOOKUP(tbl_MTG_Set[[#This Row],[Collector Booster Box Product Id]], tbl_Product[Product Id], tbl_Product[Min Cost])</f>
        <v>#N/A</v>
      </c>
      <c r="AV414" s="10" t="e">
        <f>_xlfn.XLOOKUP(tbl_MTG_Set[[#This Row],[Collector Booster Box Product Id]], tbl_Product[Product Id], tbl_Product[Best Source])</f>
        <v>#N/A</v>
      </c>
      <c r="AW414" s="4" t="e">
        <f>_xlfn.XLOOKUP(tbl_MTG_Set[[#This Row],[Collector Booster Box Product Id]], tbl_Product[Product Id], tbl_Product[Pack Size])</f>
        <v>#N/A</v>
      </c>
      <c r="AX414" s="10" t="e">
        <f>(tbl_MTG_Set[[#This Row],[Collector Booster Box Cost]] + v_Item_Shipping_Cost_In) / tbl_MTG_Set[[#This Row],[Collector Booster Box Size]]</f>
        <v>#N/A</v>
      </c>
      <c r="AY414" s="10" t="str" cm="1">
        <f t="array" ref="AY4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4" s="10"/>
      <c r="BA4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4" s="17" t="e">
        <f>tbl_MTG_Set[[#This Row],[Collector Booster CardMarket Profit]]/tbl_MTG_Set[[#This Row],[Collector Booster Cost]]</f>
        <v>#N/A</v>
      </c>
      <c r="BC414" s="10"/>
      <c r="BF4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4" s="11" t="e">
        <f>tbl_MTG_Set[[#This Row],[Play Singles CardMarket Profit MTG Stocks]]/tbl_MTG_Set[[#This Row],[Play Booster Cost]]</f>
        <v>#VALUE!</v>
      </c>
      <c r="BI414" s="11" t="b">
        <f>tbl_MTG_Set[[#This Row],[Play Singles CardMarket Profit MTG Stocks]]&gt;0</f>
        <v>0</v>
      </c>
      <c r="BM414" s="10" t="e">
        <f>tbl_MTG_Set[[#This Row],[Play Booster Sell Price CardMarket]]*tbl_MTG_Set[[#This Row],[Play Booster Expected Market Value BotBox]]/tbl_MTG_Set[[#This Row],[Play Booster Sealed Market Value BotBox]]</f>
        <v>#VALUE!</v>
      </c>
      <c r="BN4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4" s="10" t="e">
        <f>tbl_MTG_Set[[#This Row],[Play Singles CardMarket Profit BotBox]]/tbl_MTG_Set[[#This Row],[Play Booster Cost]]</f>
        <v>#VALUE!</v>
      </c>
      <c r="BP414" s="10" t="b">
        <f>tbl_MTG_Set[[#This Row],[Play Singles CardMarket Profit BotBox]]&gt;0</f>
        <v>0</v>
      </c>
      <c r="BQ414" s="10"/>
      <c r="BR414" s="10"/>
      <c r="BS414" s="10"/>
      <c r="BT4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4" s="19" t="e">
        <f>tbl_MTG_Set[[#This Row],[Collector Singles CardMarket Profit MTG Stocks]]/tbl_MTG_Set[[#This Row],[Collector Booster Cost]]</f>
        <v>#N/A</v>
      </c>
      <c r="BW414" s="10" t="b">
        <f>tbl_MTG_Set[[#This Row],[Collector Singles CardMarket Profit MTG Stocks]]&gt;0</f>
        <v>0</v>
      </c>
      <c r="BX414" s="10"/>
      <c r="BY414" s="10"/>
      <c r="BZ4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4" s="10" t="e">
        <f>tbl_MTG_Set[[#This Row],[Collector Singles CardMarket Profit BotBox]]/tbl_MTG_Set[[#This Row],[Collector Booster Cost]]</f>
        <v>#N/A</v>
      </c>
      <c r="CC414" s="10" t="b">
        <f>tbl_MTG_Set[[#This Row],[Collector Singles CardMarket Profit BotBox]]&gt;0</f>
        <v>0</v>
      </c>
      <c r="CD4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5" spans="1:86" hidden="1">
      <c r="A415">
        <v>445</v>
      </c>
      <c r="B415" t="s">
        <v>588</v>
      </c>
      <c r="C415">
        <v>8</v>
      </c>
      <c r="D415" s="3">
        <v>43565</v>
      </c>
      <c r="F415" t="s">
        <v>174</v>
      </c>
      <c r="G415">
        <v>836</v>
      </c>
      <c r="H415">
        <f ca="1">MONTH(NOW())+12*YEAR(NOW())-MONTH(tbl_MTG_Set[[#This Row],[Released On]])-12*YEAR(tbl_MTG_Set[[#This Row],[Released On]])</f>
        <v>83</v>
      </c>
      <c r="I415" t="str">
        <f>_xlfn.XLOOKUP(tbl_MTG_Set[[#This Row],[Type Name]], tbl_MTG_Set_Type[Set Type], tbl_MTG_Set_Type[Index], "(Set Type not found)")</f>
        <v>(Set Type not found)</v>
      </c>
      <c r="J415" t="str">
        <f>_xlfn.XLOOKUP(tbl_MTG_Set[[#This Row],[Type Name]], tbl_MTG_Set_Type[Set Type], tbl_MTG_Set_Type[Buy Window Month Start], "(Set Type not found)")</f>
        <v>(Set Type not found)</v>
      </c>
      <c r="K415" s="3" t="e">
        <f>tbl_MTG_Set[[#This Row],[Released On]]+tbl_MTG_Set[[#This Row],[Buy Window Month Start]]*365.25/12</f>
        <v>#VALUE!</v>
      </c>
      <c r="L415" t="str">
        <f>_xlfn.XLOOKUP(tbl_MTG_Set[[#This Row],[Type Name]], tbl_MTG_Set_Type[Set Type], tbl_MTG_Set_Type[Buy Window Month End], "(Set Type not found)", 0, 1)</f>
        <v>(Set Type not found)</v>
      </c>
      <c r="M415" s="3" t="e">
        <f>tbl_MTG_Set[[#This Row],[Released On]]+tbl_MTG_Set[[#This Row],[Buy Window Month End]]*365.25/12</f>
        <v>#VALUE!</v>
      </c>
      <c r="N415" s="3" t="e">
        <f ca="1">AND(NOW()&gt;=tbl_MTG_Set[[#This Row],[Buy Window Start]], NOW()&lt;=tbl_MTG_Set[[#This Row],[Buy Window End]])</f>
        <v>#VALUE!</v>
      </c>
      <c r="O415" t="str">
        <f>_xlfn.XLOOKUP(tbl_MTG_Set[[#This Row],[Type Name]], tbl_MTG_Set_Type[Set Type], tbl_MTG_Set_Type[Heavy Printing Window Month Start], "(Set Type not found)", 0, 1)</f>
        <v>(Set Type not found)</v>
      </c>
      <c r="P415" s="3" t="e">
        <f>tbl_MTG_Set[[#This Row],[Released On]]+tbl_MTG_Set[[#This Row],[Heavy Printing Window Month Start]]*365.25/12</f>
        <v>#VALUE!</v>
      </c>
      <c r="Q415" t="str">
        <f>_xlfn.XLOOKUP(tbl_MTG_Set[[#This Row],[Type Name]], tbl_MTG_Set_Type[Set Type], tbl_MTG_Set_Type[Heavy Printing Window Month End], "(Set Type not found)", 0, 1)</f>
        <v>(Set Type not found)</v>
      </c>
      <c r="R415" s="3" t="e">
        <f>tbl_MTG_Set[[#This Row],[Released On]]+tbl_MTG_Set[[#This Row],[Heavy Printing Window Month End]]*365.25/12</f>
        <v>#VALUE!</v>
      </c>
      <c r="S415" s="3" t="e">
        <f ca="1">AND(NOW()&gt;=tbl_MTG_Set[[#This Row],[Heavy Printing Window Start]], NOW()&lt;=tbl_MTG_Set[[#This Row],[Heavy Printing Window End]])</f>
        <v>#VALUE!</v>
      </c>
      <c r="T415" t="str">
        <f>_xlfn.XLOOKUP(tbl_MTG_Set[[#This Row],[Type Name]], tbl_MTG_Set_Type[Set Type], tbl_MTG_Set_Type[Sell Window Month Start], "(Set Type not found)", 0, 1)</f>
        <v>(Set Type not found)</v>
      </c>
      <c r="U415" s="3" t="e">
        <f>tbl_MTG_Set[[#This Row],[Released On]]+tbl_MTG_Set[[#This Row],[Sell Window Month Start]]*365.25/12</f>
        <v>#VALUE!</v>
      </c>
      <c r="V415" t="str">
        <f>_xlfn.XLOOKUP(tbl_MTG_Set[[#This Row],[Type Name]], tbl_MTG_Set_Type[Set Type], tbl_MTG_Set_Type[Sell Window Month End], "(Set Type not found)", 0, 1)</f>
        <v>(Set Type not found)</v>
      </c>
      <c r="W415" s="3" t="e">
        <f>tbl_MTG_Set[[#This Row],[Released On]]+tbl_MTG_Set[[#This Row],[Sell Window Month End]]*365.25/12</f>
        <v>#VALUE!</v>
      </c>
      <c r="X415" s="3" t="e">
        <f ca="1">AND(NOW()&gt;=tbl_MTG_Set[[#This Row],[Sell Window Start]], NOW()&lt;=tbl_MTG_Set[[#This Row],[Sell Window End]])</f>
        <v>#VALUE!</v>
      </c>
      <c r="AG415" s="10"/>
      <c r="AH415" s="10"/>
      <c r="AM415" s="10" t="str" cm="1">
        <f t="array" ref="AM4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5" s="10" t="str" cm="1">
        <f t="array" ref="AN4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5" s="4" t="e">
        <f>_xlfn.XLOOKUP(tbl_MTG_Set[[#This Row],[Play Booster Box Product Id]], tbl_Product[Product Id], tbl_Product[Pack Size])</f>
        <v>#N/A</v>
      </c>
      <c r="AP415" s="10" t="e">
        <f>(tbl_MTG_Set[[#This Row],[Play Booster Box Cost]]+v_Item_Shipping_Cost_In)/tbl_MTG_Set[[#This Row],[Play Booster Box Size]]</f>
        <v>#VALUE!</v>
      </c>
      <c r="AQ415" s="10" t="str" cm="1">
        <f t="array" ref="AQ4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5" s="10"/>
      <c r="AS415" s="10"/>
      <c r="AT415" s="17" t="e">
        <f>tbl_MTG_Set[[#This Row],[Play Booster CardMarket Profit]]/tbl_MTG_Set[[#This Row],[Play Booster Cost]]</f>
        <v>#VALUE!</v>
      </c>
      <c r="AU415" s="10" t="e">
        <f>_xlfn.XLOOKUP(tbl_MTG_Set[[#This Row],[Collector Booster Box Product Id]], tbl_Product[Product Id], tbl_Product[Min Cost])</f>
        <v>#N/A</v>
      </c>
      <c r="AV415" s="10" t="e">
        <f>_xlfn.XLOOKUP(tbl_MTG_Set[[#This Row],[Collector Booster Box Product Id]], tbl_Product[Product Id], tbl_Product[Best Source])</f>
        <v>#N/A</v>
      </c>
      <c r="AW415" s="4" t="e">
        <f>_xlfn.XLOOKUP(tbl_MTG_Set[[#This Row],[Collector Booster Box Product Id]], tbl_Product[Product Id], tbl_Product[Pack Size])</f>
        <v>#N/A</v>
      </c>
      <c r="AX415" s="10" t="e">
        <f>(tbl_MTG_Set[[#This Row],[Collector Booster Box Cost]] + v_Item_Shipping_Cost_In) / tbl_MTG_Set[[#This Row],[Collector Booster Box Size]]</f>
        <v>#N/A</v>
      </c>
      <c r="AY415" s="10" t="str" cm="1">
        <f t="array" ref="AY4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5" s="10"/>
      <c r="BA4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5" s="17" t="e">
        <f>tbl_MTG_Set[[#This Row],[Collector Booster CardMarket Profit]]/tbl_MTG_Set[[#This Row],[Collector Booster Cost]]</f>
        <v>#N/A</v>
      </c>
      <c r="BC415" s="10"/>
      <c r="BF4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5" s="11" t="e">
        <f>tbl_MTG_Set[[#This Row],[Play Singles CardMarket Profit MTG Stocks]]/tbl_MTG_Set[[#This Row],[Play Booster Cost]]</f>
        <v>#VALUE!</v>
      </c>
      <c r="BI415" s="11" t="b">
        <f>tbl_MTG_Set[[#This Row],[Play Singles CardMarket Profit MTG Stocks]]&gt;0</f>
        <v>0</v>
      </c>
      <c r="BM415" s="10" t="e">
        <f>tbl_MTG_Set[[#This Row],[Play Booster Sell Price CardMarket]]*tbl_MTG_Set[[#This Row],[Play Booster Expected Market Value BotBox]]/tbl_MTG_Set[[#This Row],[Play Booster Sealed Market Value BotBox]]</f>
        <v>#VALUE!</v>
      </c>
      <c r="BN4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5" s="10" t="e">
        <f>tbl_MTG_Set[[#This Row],[Play Singles CardMarket Profit BotBox]]/tbl_MTG_Set[[#This Row],[Play Booster Cost]]</f>
        <v>#VALUE!</v>
      </c>
      <c r="BP415" s="10" t="b">
        <f>tbl_MTG_Set[[#This Row],[Play Singles CardMarket Profit BotBox]]&gt;0</f>
        <v>0</v>
      </c>
      <c r="BQ415" s="10"/>
      <c r="BR415" s="10"/>
      <c r="BS415" s="10"/>
      <c r="BT4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5" s="19" t="e">
        <f>tbl_MTG_Set[[#This Row],[Collector Singles CardMarket Profit MTG Stocks]]/tbl_MTG_Set[[#This Row],[Collector Booster Cost]]</f>
        <v>#N/A</v>
      </c>
      <c r="BW415" s="10" t="b">
        <f>tbl_MTG_Set[[#This Row],[Collector Singles CardMarket Profit MTG Stocks]]&gt;0</f>
        <v>0</v>
      </c>
      <c r="BX415" s="10"/>
      <c r="BY415" s="10"/>
      <c r="BZ4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5" s="10" t="e">
        <f>tbl_MTG_Set[[#This Row],[Collector Singles CardMarket Profit BotBox]]/tbl_MTG_Set[[#This Row],[Collector Booster Cost]]</f>
        <v>#N/A</v>
      </c>
      <c r="CC415" s="10" t="b">
        <f>tbl_MTG_Set[[#This Row],[Collector Singles CardMarket Profit BotBox]]&gt;0</f>
        <v>0</v>
      </c>
      <c r="CD4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6" spans="1:86" hidden="1">
      <c r="A416">
        <v>446</v>
      </c>
      <c r="B416" t="s">
        <v>589</v>
      </c>
      <c r="C416">
        <v>133</v>
      </c>
      <c r="D416" s="3">
        <v>43511</v>
      </c>
      <c r="F416" t="s">
        <v>174</v>
      </c>
      <c r="G416">
        <v>838</v>
      </c>
      <c r="H416">
        <f ca="1">MONTH(NOW())+12*YEAR(NOW())-MONTH(tbl_MTG_Set[[#This Row],[Released On]])-12*YEAR(tbl_MTG_Set[[#This Row],[Released On]])</f>
        <v>85</v>
      </c>
      <c r="I416" t="str">
        <f>_xlfn.XLOOKUP(tbl_MTG_Set[[#This Row],[Type Name]], tbl_MTG_Set_Type[Set Type], tbl_MTG_Set_Type[Index], "(Set Type not found)")</f>
        <v>(Set Type not found)</v>
      </c>
      <c r="J416" t="str">
        <f>_xlfn.XLOOKUP(tbl_MTG_Set[[#This Row],[Type Name]], tbl_MTG_Set_Type[Set Type], tbl_MTG_Set_Type[Buy Window Month Start], "(Set Type not found)")</f>
        <v>(Set Type not found)</v>
      </c>
      <c r="K416" s="3" t="e">
        <f>tbl_MTG_Set[[#This Row],[Released On]]+tbl_MTG_Set[[#This Row],[Buy Window Month Start]]*365.25/12</f>
        <v>#VALUE!</v>
      </c>
      <c r="L416" t="str">
        <f>_xlfn.XLOOKUP(tbl_MTG_Set[[#This Row],[Type Name]], tbl_MTG_Set_Type[Set Type], tbl_MTG_Set_Type[Buy Window Month End], "(Set Type not found)", 0, 1)</f>
        <v>(Set Type not found)</v>
      </c>
      <c r="M416" s="3" t="e">
        <f>tbl_MTG_Set[[#This Row],[Released On]]+tbl_MTG_Set[[#This Row],[Buy Window Month End]]*365.25/12</f>
        <v>#VALUE!</v>
      </c>
      <c r="N416" s="3" t="e">
        <f ca="1">AND(NOW()&gt;=tbl_MTG_Set[[#This Row],[Buy Window Start]], NOW()&lt;=tbl_MTG_Set[[#This Row],[Buy Window End]])</f>
        <v>#VALUE!</v>
      </c>
      <c r="O416" t="str">
        <f>_xlfn.XLOOKUP(tbl_MTG_Set[[#This Row],[Type Name]], tbl_MTG_Set_Type[Set Type], tbl_MTG_Set_Type[Heavy Printing Window Month Start], "(Set Type not found)", 0, 1)</f>
        <v>(Set Type not found)</v>
      </c>
      <c r="P416" s="3" t="e">
        <f>tbl_MTG_Set[[#This Row],[Released On]]+tbl_MTG_Set[[#This Row],[Heavy Printing Window Month Start]]*365.25/12</f>
        <v>#VALUE!</v>
      </c>
      <c r="Q416" t="str">
        <f>_xlfn.XLOOKUP(tbl_MTG_Set[[#This Row],[Type Name]], tbl_MTG_Set_Type[Set Type], tbl_MTG_Set_Type[Heavy Printing Window Month End], "(Set Type not found)", 0, 1)</f>
        <v>(Set Type not found)</v>
      </c>
      <c r="R416" s="3" t="e">
        <f>tbl_MTG_Set[[#This Row],[Released On]]+tbl_MTG_Set[[#This Row],[Heavy Printing Window Month End]]*365.25/12</f>
        <v>#VALUE!</v>
      </c>
      <c r="S416" s="3" t="e">
        <f ca="1">AND(NOW()&gt;=tbl_MTG_Set[[#This Row],[Heavy Printing Window Start]], NOW()&lt;=tbl_MTG_Set[[#This Row],[Heavy Printing Window End]])</f>
        <v>#VALUE!</v>
      </c>
      <c r="T416" t="str">
        <f>_xlfn.XLOOKUP(tbl_MTG_Set[[#This Row],[Type Name]], tbl_MTG_Set_Type[Set Type], tbl_MTG_Set_Type[Sell Window Month Start], "(Set Type not found)", 0, 1)</f>
        <v>(Set Type not found)</v>
      </c>
      <c r="U416" s="3" t="e">
        <f>tbl_MTG_Set[[#This Row],[Released On]]+tbl_MTG_Set[[#This Row],[Sell Window Month Start]]*365.25/12</f>
        <v>#VALUE!</v>
      </c>
      <c r="V416" t="str">
        <f>_xlfn.XLOOKUP(tbl_MTG_Set[[#This Row],[Type Name]], tbl_MTG_Set_Type[Set Type], tbl_MTG_Set_Type[Sell Window Month End], "(Set Type not found)", 0, 1)</f>
        <v>(Set Type not found)</v>
      </c>
      <c r="W416" s="3" t="e">
        <f>tbl_MTG_Set[[#This Row],[Released On]]+tbl_MTG_Set[[#This Row],[Sell Window Month End]]*365.25/12</f>
        <v>#VALUE!</v>
      </c>
      <c r="X416" s="3" t="e">
        <f ca="1">AND(NOW()&gt;=tbl_MTG_Set[[#This Row],[Sell Window Start]], NOW()&lt;=tbl_MTG_Set[[#This Row],[Sell Window End]])</f>
        <v>#VALUE!</v>
      </c>
      <c r="AG416" s="10"/>
      <c r="AH416" s="10"/>
      <c r="AM416" s="10" t="str" cm="1">
        <f t="array" ref="AM4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6" s="10" t="str" cm="1">
        <f t="array" ref="AN4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6" s="4" t="e">
        <f>_xlfn.XLOOKUP(tbl_MTG_Set[[#This Row],[Play Booster Box Product Id]], tbl_Product[Product Id], tbl_Product[Pack Size])</f>
        <v>#N/A</v>
      </c>
      <c r="AP416" s="10" t="e">
        <f>(tbl_MTG_Set[[#This Row],[Play Booster Box Cost]]+v_Item_Shipping_Cost_In)/tbl_MTG_Set[[#This Row],[Play Booster Box Size]]</f>
        <v>#VALUE!</v>
      </c>
      <c r="AQ416" s="10" t="str" cm="1">
        <f t="array" ref="AQ4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6" s="10"/>
      <c r="AS416" s="10"/>
      <c r="AT416" s="17" t="e">
        <f>tbl_MTG_Set[[#This Row],[Play Booster CardMarket Profit]]/tbl_MTG_Set[[#This Row],[Play Booster Cost]]</f>
        <v>#VALUE!</v>
      </c>
      <c r="AU416" s="10" t="e">
        <f>_xlfn.XLOOKUP(tbl_MTG_Set[[#This Row],[Collector Booster Box Product Id]], tbl_Product[Product Id], tbl_Product[Min Cost])</f>
        <v>#N/A</v>
      </c>
      <c r="AV416" s="10" t="e">
        <f>_xlfn.XLOOKUP(tbl_MTG_Set[[#This Row],[Collector Booster Box Product Id]], tbl_Product[Product Id], tbl_Product[Best Source])</f>
        <v>#N/A</v>
      </c>
      <c r="AW416" s="4" t="e">
        <f>_xlfn.XLOOKUP(tbl_MTG_Set[[#This Row],[Collector Booster Box Product Id]], tbl_Product[Product Id], tbl_Product[Pack Size])</f>
        <v>#N/A</v>
      </c>
      <c r="AX416" s="10" t="e">
        <f>(tbl_MTG_Set[[#This Row],[Collector Booster Box Cost]] + v_Item_Shipping_Cost_In) / tbl_MTG_Set[[#This Row],[Collector Booster Box Size]]</f>
        <v>#N/A</v>
      </c>
      <c r="AY416" s="10" t="str" cm="1">
        <f t="array" ref="AY4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6" s="10"/>
      <c r="BA4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6" s="17" t="e">
        <f>tbl_MTG_Set[[#This Row],[Collector Booster CardMarket Profit]]/tbl_MTG_Set[[#This Row],[Collector Booster Cost]]</f>
        <v>#N/A</v>
      </c>
      <c r="BC416" s="10"/>
      <c r="BF4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6" s="11" t="e">
        <f>tbl_MTG_Set[[#This Row],[Play Singles CardMarket Profit MTG Stocks]]/tbl_MTG_Set[[#This Row],[Play Booster Cost]]</f>
        <v>#VALUE!</v>
      </c>
      <c r="BI416" s="11" t="b">
        <f>tbl_MTG_Set[[#This Row],[Play Singles CardMarket Profit MTG Stocks]]&gt;0</f>
        <v>0</v>
      </c>
      <c r="BM416" s="10" t="e">
        <f>tbl_MTG_Set[[#This Row],[Play Booster Sell Price CardMarket]]*tbl_MTG_Set[[#This Row],[Play Booster Expected Market Value BotBox]]/tbl_MTG_Set[[#This Row],[Play Booster Sealed Market Value BotBox]]</f>
        <v>#VALUE!</v>
      </c>
      <c r="BN4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6" s="10" t="e">
        <f>tbl_MTG_Set[[#This Row],[Play Singles CardMarket Profit BotBox]]/tbl_MTG_Set[[#This Row],[Play Booster Cost]]</f>
        <v>#VALUE!</v>
      </c>
      <c r="BP416" s="10" t="b">
        <f>tbl_MTG_Set[[#This Row],[Play Singles CardMarket Profit BotBox]]&gt;0</f>
        <v>0</v>
      </c>
      <c r="BQ416" s="10"/>
      <c r="BR416" s="10"/>
      <c r="BS416" s="10"/>
      <c r="BT4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6" s="19" t="e">
        <f>tbl_MTG_Set[[#This Row],[Collector Singles CardMarket Profit MTG Stocks]]/tbl_MTG_Set[[#This Row],[Collector Booster Cost]]</f>
        <v>#N/A</v>
      </c>
      <c r="BW416" s="10" t="b">
        <f>tbl_MTG_Set[[#This Row],[Collector Singles CardMarket Profit MTG Stocks]]&gt;0</f>
        <v>0</v>
      </c>
      <c r="BX416" s="10"/>
      <c r="BY416" s="10"/>
      <c r="BZ4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6" s="10" t="e">
        <f>tbl_MTG_Set[[#This Row],[Collector Singles CardMarket Profit BotBox]]/tbl_MTG_Set[[#This Row],[Collector Booster Cost]]</f>
        <v>#N/A</v>
      </c>
      <c r="CC416" s="10" t="b">
        <f>tbl_MTG_Set[[#This Row],[Collector Singles CardMarket Profit BotBox]]&gt;0</f>
        <v>0</v>
      </c>
      <c r="CD4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7" spans="1:86" hidden="1">
      <c r="A417">
        <v>447</v>
      </c>
      <c r="B417" t="s">
        <v>590</v>
      </c>
      <c r="C417">
        <v>9</v>
      </c>
      <c r="D417" s="3">
        <v>43511</v>
      </c>
      <c r="F417" t="s">
        <v>174</v>
      </c>
      <c r="G417">
        <v>840</v>
      </c>
      <c r="H417">
        <f ca="1">MONTH(NOW())+12*YEAR(NOW())-MONTH(tbl_MTG_Set[[#This Row],[Released On]])-12*YEAR(tbl_MTG_Set[[#This Row],[Released On]])</f>
        <v>85</v>
      </c>
      <c r="I417" t="str">
        <f>_xlfn.XLOOKUP(tbl_MTG_Set[[#This Row],[Type Name]], tbl_MTG_Set_Type[Set Type], tbl_MTG_Set_Type[Index], "(Set Type not found)")</f>
        <v>(Set Type not found)</v>
      </c>
      <c r="J417" t="str">
        <f>_xlfn.XLOOKUP(tbl_MTG_Set[[#This Row],[Type Name]], tbl_MTG_Set_Type[Set Type], tbl_MTG_Set_Type[Buy Window Month Start], "(Set Type not found)")</f>
        <v>(Set Type not found)</v>
      </c>
      <c r="K417" s="3" t="e">
        <f>tbl_MTG_Set[[#This Row],[Released On]]+tbl_MTG_Set[[#This Row],[Buy Window Month Start]]*365.25/12</f>
        <v>#VALUE!</v>
      </c>
      <c r="L417" t="str">
        <f>_xlfn.XLOOKUP(tbl_MTG_Set[[#This Row],[Type Name]], tbl_MTG_Set_Type[Set Type], tbl_MTG_Set_Type[Buy Window Month End], "(Set Type not found)", 0, 1)</f>
        <v>(Set Type not found)</v>
      </c>
      <c r="M417" s="3" t="e">
        <f>tbl_MTG_Set[[#This Row],[Released On]]+tbl_MTG_Set[[#This Row],[Buy Window Month End]]*365.25/12</f>
        <v>#VALUE!</v>
      </c>
      <c r="N417" s="3" t="e">
        <f ca="1">AND(NOW()&gt;=tbl_MTG_Set[[#This Row],[Buy Window Start]], NOW()&lt;=tbl_MTG_Set[[#This Row],[Buy Window End]])</f>
        <v>#VALUE!</v>
      </c>
      <c r="O417" t="str">
        <f>_xlfn.XLOOKUP(tbl_MTG_Set[[#This Row],[Type Name]], tbl_MTG_Set_Type[Set Type], tbl_MTG_Set_Type[Heavy Printing Window Month Start], "(Set Type not found)", 0, 1)</f>
        <v>(Set Type not found)</v>
      </c>
      <c r="P417" s="3" t="e">
        <f>tbl_MTG_Set[[#This Row],[Released On]]+tbl_MTG_Set[[#This Row],[Heavy Printing Window Month Start]]*365.25/12</f>
        <v>#VALUE!</v>
      </c>
      <c r="Q417" t="str">
        <f>_xlfn.XLOOKUP(tbl_MTG_Set[[#This Row],[Type Name]], tbl_MTG_Set_Type[Set Type], tbl_MTG_Set_Type[Heavy Printing Window Month End], "(Set Type not found)", 0, 1)</f>
        <v>(Set Type not found)</v>
      </c>
      <c r="R417" s="3" t="e">
        <f>tbl_MTG_Set[[#This Row],[Released On]]+tbl_MTG_Set[[#This Row],[Heavy Printing Window Month End]]*365.25/12</f>
        <v>#VALUE!</v>
      </c>
      <c r="S417" s="3" t="e">
        <f ca="1">AND(NOW()&gt;=tbl_MTG_Set[[#This Row],[Heavy Printing Window Start]], NOW()&lt;=tbl_MTG_Set[[#This Row],[Heavy Printing Window End]])</f>
        <v>#VALUE!</v>
      </c>
      <c r="T417" t="str">
        <f>_xlfn.XLOOKUP(tbl_MTG_Set[[#This Row],[Type Name]], tbl_MTG_Set_Type[Set Type], tbl_MTG_Set_Type[Sell Window Month Start], "(Set Type not found)", 0, 1)</f>
        <v>(Set Type not found)</v>
      </c>
      <c r="U417" s="3" t="e">
        <f>tbl_MTG_Set[[#This Row],[Released On]]+tbl_MTG_Set[[#This Row],[Sell Window Month Start]]*365.25/12</f>
        <v>#VALUE!</v>
      </c>
      <c r="V417" t="str">
        <f>_xlfn.XLOOKUP(tbl_MTG_Set[[#This Row],[Type Name]], tbl_MTG_Set_Type[Set Type], tbl_MTG_Set_Type[Sell Window Month End], "(Set Type not found)", 0, 1)</f>
        <v>(Set Type not found)</v>
      </c>
      <c r="W417" s="3" t="e">
        <f>tbl_MTG_Set[[#This Row],[Released On]]+tbl_MTG_Set[[#This Row],[Sell Window Month End]]*365.25/12</f>
        <v>#VALUE!</v>
      </c>
      <c r="X417" s="3" t="e">
        <f ca="1">AND(NOW()&gt;=tbl_MTG_Set[[#This Row],[Sell Window Start]], NOW()&lt;=tbl_MTG_Set[[#This Row],[Sell Window End]])</f>
        <v>#VALUE!</v>
      </c>
      <c r="AG417" s="10"/>
      <c r="AH417" s="10"/>
      <c r="AM417" s="10" t="str" cm="1">
        <f t="array" ref="AM4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7" s="10" t="str" cm="1">
        <f t="array" ref="AN4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7" s="4" t="e">
        <f>_xlfn.XLOOKUP(tbl_MTG_Set[[#This Row],[Play Booster Box Product Id]], tbl_Product[Product Id], tbl_Product[Pack Size])</f>
        <v>#N/A</v>
      </c>
      <c r="AP417" s="10" t="e">
        <f>(tbl_MTG_Set[[#This Row],[Play Booster Box Cost]]+v_Item_Shipping_Cost_In)/tbl_MTG_Set[[#This Row],[Play Booster Box Size]]</f>
        <v>#VALUE!</v>
      </c>
      <c r="AQ417" s="10" t="str" cm="1">
        <f t="array" ref="AQ4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7" s="10"/>
      <c r="AS417" s="10"/>
      <c r="AT417" s="17" t="e">
        <f>tbl_MTG_Set[[#This Row],[Play Booster CardMarket Profit]]/tbl_MTG_Set[[#This Row],[Play Booster Cost]]</f>
        <v>#VALUE!</v>
      </c>
      <c r="AU417" s="10" t="e">
        <f>_xlfn.XLOOKUP(tbl_MTG_Set[[#This Row],[Collector Booster Box Product Id]], tbl_Product[Product Id], tbl_Product[Min Cost])</f>
        <v>#N/A</v>
      </c>
      <c r="AV417" s="10" t="e">
        <f>_xlfn.XLOOKUP(tbl_MTG_Set[[#This Row],[Collector Booster Box Product Id]], tbl_Product[Product Id], tbl_Product[Best Source])</f>
        <v>#N/A</v>
      </c>
      <c r="AW417" s="4" t="e">
        <f>_xlfn.XLOOKUP(tbl_MTG_Set[[#This Row],[Collector Booster Box Product Id]], tbl_Product[Product Id], tbl_Product[Pack Size])</f>
        <v>#N/A</v>
      </c>
      <c r="AX417" s="10" t="e">
        <f>(tbl_MTG_Set[[#This Row],[Collector Booster Box Cost]] + v_Item_Shipping_Cost_In) / tbl_MTG_Set[[#This Row],[Collector Booster Box Size]]</f>
        <v>#N/A</v>
      </c>
      <c r="AY417" s="10" t="str" cm="1">
        <f t="array" ref="AY4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7" s="10"/>
      <c r="BA4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7" s="17" t="e">
        <f>tbl_MTG_Set[[#This Row],[Collector Booster CardMarket Profit]]/tbl_MTG_Set[[#This Row],[Collector Booster Cost]]</f>
        <v>#N/A</v>
      </c>
      <c r="BC417" s="10"/>
      <c r="BF4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7" s="11" t="e">
        <f>tbl_MTG_Set[[#This Row],[Play Singles CardMarket Profit MTG Stocks]]/tbl_MTG_Set[[#This Row],[Play Booster Cost]]</f>
        <v>#VALUE!</v>
      </c>
      <c r="BI417" s="11" t="b">
        <f>tbl_MTG_Set[[#This Row],[Play Singles CardMarket Profit MTG Stocks]]&gt;0</f>
        <v>0</v>
      </c>
      <c r="BM417" s="10" t="e">
        <f>tbl_MTG_Set[[#This Row],[Play Booster Sell Price CardMarket]]*tbl_MTG_Set[[#This Row],[Play Booster Expected Market Value BotBox]]/tbl_MTG_Set[[#This Row],[Play Booster Sealed Market Value BotBox]]</f>
        <v>#VALUE!</v>
      </c>
      <c r="BN4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7" s="10" t="e">
        <f>tbl_MTG_Set[[#This Row],[Play Singles CardMarket Profit BotBox]]/tbl_MTG_Set[[#This Row],[Play Booster Cost]]</f>
        <v>#VALUE!</v>
      </c>
      <c r="BP417" s="10" t="b">
        <f>tbl_MTG_Set[[#This Row],[Play Singles CardMarket Profit BotBox]]&gt;0</f>
        <v>0</v>
      </c>
      <c r="BQ417" s="10"/>
      <c r="BR417" s="10"/>
      <c r="BS417" s="10"/>
      <c r="BT4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7" s="19" t="e">
        <f>tbl_MTG_Set[[#This Row],[Collector Singles CardMarket Profit MTG Stocks]]/tbl_MTG_Set[[#This Row],[Collector Booster Cost]]</f>
        <v>#N/A</v>
      </c>
      <c r="BW417" s="10" t="b">
        <f>tbl_MTG_Set[[#This Row],[Collector Singles CardMarket Profit MTG Stocks]]&gt;0</f>
        <v>0</v>
      </c>
      <c r="BX417" s="10"/>
      <c r="BY417" s="10"/>
      <c r="BZ4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7" s="10" t="e">
        <f>tbl_MTG_Set[[#This Row],[Collector Singles CardMarket Profit BotBox]]/tbl_MTG_Set[[#This Row],[Collector Booster Cost]]</f>
        <v>#N/A</v>
      </c>
      <c r="CC417" s="10" t="b">
        <f>tbl_MTG_Set[[#This Row],[Collector Singles CardMarket Profit BotBox]]&gt;0</f>
        <v>0</v>
      </c>
      <c r="CD4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8" spans="1:86" hidden="1">
      <c r="A418">
        <v>448</v>
      </c>
      <c r="B418" t="s">
        <v>591</v>
      </c>
      <c r="C418">
        <v>273</v>
      </c>
      <c r="D418" s="3">
        <v>43490</v>
      </c>
      <c r="F418" t="s">
        <v>174</v>
      </c>
      <c r="G418">
        <v>842</v>
      </c>
      <c r="H418">
        <f ca="1">MONTH(NOW())+12*YEAR(NOW())-MONTH(tbl_MTG_Set[[#This Row],[Released On]])-12*YEAR(tbl_MTG_Set[[#This Row],[Released On]])</f>
        <v>86</v>
      </c>
      <c r="I418" t="str">
        <f>_xlfn.XLOOKUP(tbl_MTG_Set[[#This Row],[Type Name]], tbl_MTG_Set_Type[Set Type], tbl_MTG_Set_Type[Index], "(Set Type not found)")</f>
        <v>(Set Type not found)</v>
      </c>
      <c r="J418" t="str">
        <f>_xlfn.XLOOKUP(tbl_MTG_Set[[#This Row],[Type Name]], tbl_MTG_Set_Type[Set Type], tbl_MTG_Set_Type[Buy Window Month Start], "(Set Type not found)")</f>
        <v>(Set Type not found)</v>
      </c>
      <c r="K418" s="3" t="e">
        <f>tbl_MTG_Set[[#This Row],[Released On]]+tbl_MTG_Set[[#This Row],[Buy Window Month Start]]*365.25/12</f>
        <v>#VALUE!</v>
      </c>
      <c r="L418" t="str">
        <f>_xlfn.XLOOKUP(tbl_MTG_Set[[#This Row],[Type Name]], tbl_MTG_Set_Type[Set Type], tbl_MTG_Set_Type[Buy Window Month End], "(Set Type not found)", 0, 1)</f>
        <v>(Set Type not found)</v>
      </c>
      <c r="M418" s="3" t="e">
        <f>tbl_MTG_Set[[#This Row],[Released On]]+tbl_MTG_Set[[#This Row],[Buy Window Month End]]*365.25/12</f>
        <v>#VALUE!</v>
      </c>
      <c r="N418" s="3" t="e">
        <f ca="1">AND(NOW()&gt;=tbl_MTG_Set[[#This Row],[Buy Window Start]], NOW()&lt;=tbl_MTG_Set[[#This Row],[Buy Window End]])</f>
        <v>#VALUE!</v>
      </c>
      <c r="O418" t="str">
        <f>_xlfn.XLOOKUP(tbl_MTG_Set[[#This Row],[Type Name]], tbl_MTG_Set_Type[Set Type], tbl_MTG_Set_Type[Heavy Printing Window Month Start], "(Set Type not found)", 0, 1)</f>
        <v>(Set Type not found)</v>
      </c>
      <c r="P418" s="3" t="e">
        <f>tbl_MTG_Set[[#This Row],[Released On]]+tbl_MTG_Set[[#This Row],[Heavy Printing Window Month Start]]*365.25/12</f>
        <v>#VALUE!</v>
      </c>
      <c r="Q418" t="str">
        <f>_xlfn.XLOOKUP(tbl_MTG_Set[[#This Row],[Type Name]], tbl_MTG_Set_Type[Set Type], tbl_MTG_Set_Type[Heavy Printing Window Month End], "(Set Type not found)", 0, 1)</f>
        <v>(Set Type not found)</v>
      </c>
      <c r="R418" s="3" t="e">
        <f>tbl_MTG_Set[[#This Row],[Released On]]+tbl_MTG_Set[[#This Row],[Heavy Printing Window Month End]]*365.25/12</f>
        <v>#VALUE!</v>
      </c>
      <c r="S418" s="3" t="e">
        <f ca="1">AND(NOW()&gt;=tbl_MTG_Set[[#This Row],[Heavy Printing Window Start]], NOW()&lt;=tbl_MTG_Set[[#This Row],[Heavy Printing Window End]])</f>
        <v>#VALUE!</v>
      </c>
      <c r="T418" t="str">
        <f>_xlfn.XLOOKUP(tbl_MTG_Set[[#This Row],[Type Name]], tbl_MTG_Set_Type[Set Type], tbl_MTG_Set_Type[Sell Window Month Start], "(Set Type not found)", 0, 1)</f>
        <v>(Set Type not found)</v>
      </c>
      <c r="U418" s="3" t="e">
        <f>tbl_MTG_Set[[#This Row],[Released On]]+tbl_MTG_Set[[#This Row],[Sell Window Month Start]]*365.25/12</f>
        <v>#VALUE!</v>
      </c>
      <c r="V418" t="str">
        <f>_xlfn.XLOOKUP(tbl_MTG_Set[[#This Row],[Type Name]], tbl_MTG_Set_Type[Set Type], tbl_MTG_Set_Type[Sell Window Month End], "(Set Type not found)", 0, 1)</f>
        <v>(Set Type not found)</v>
      </c>
      <c r="W418" s="3" t="e">
        <f>tbl_MTG_Set[[#This Row],[Released On]]+tbl_MTG_Set[[#This Row],[Sell Window Month End]]*365.25/12</f>
        <v>#VALUE!</v>
      </c>
      <c r="X418" s="3" t="e">
        <f ca="1">AND(NOW()&gt;=tbl_MTG_Set[[#This Row],[Sell Window Start]], NOW()&lt;=tbl_MTG_Set[[#This Row],[Sell Window End]])</f>
        <v>#VALUE!</v>
      </c>
      <c r="AG418" s="10"/>
      <c r="AH418" s="10"/>
      <c r="AM418" s="10" t="str" cm="1">
        <f t="array" ref="AM4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8" s="10" t="str" cm="1">
        <f t="array" ref="AN4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8" s="4" t="e">
        <f>_xlfn.XLOOKUP(tbl_MTG_Set[[#This Row],[Play Booster Box Product Id]], tbl_Product[Product Id], tbl_Product[Pack Size])</f>
        <v>#N/A</v>
      </c>
      <c r="AP418" s="10" t="e">
        <f>(tbl_MTG_Set[[#This Row],[Play Booster Box Cost]]+v_Item_Shipping_Cost_In)/tbl_MTG_Set[[#This Row],[Play Booster Box Size]]</f>
        <v>#VALUE!</v>
      </c>
      <c r="AQ418" s="10" t="str" cm="1">
        <f t="array" ref="AQ4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8" s="10"/>
      <c r="AS418" s="10"/>
      <c r="AT418" s="17" t="e">
        <f>tbl_MTG_Set[[#This Row],[Play Booster CardMarket Profit]]/tbl_MTG_Set[[#This Row],[Play Booster Cost]]</f>
        <v>#VALUE!</v>
      </c>
      <c r="AU418" s="10" t="e">
        <f>_xlfn.XLOOKUP(tbl_MTG_Set[[#This Row],[Collector Booster Box Product Id]], tbl_Product[Product Id], tbl_Product[Min Cost])</f>
        <v>#N/A</v>
      </c>
      <c r="AV418" s="10" t="e">
        <f>_xlfn.XLOOKUP(tbl_MTG_Set[[#This Row],[Collector Booster Box Product Id]], tbl_Product[Product Id], tbl_Product[Best Source])</f>
        <v>#N/A</v>
      </c>
      <c r="AW418" s="4" t="e">
        <f>_xlfn.XLOOKUP(tbl_MTG_Set[[#This Row],[Collector Booster Box Product Id]], tbl_Product[Product Id], tbl_Product[Pack Size])</f>
        <v>#N/A</v>
      </c>
      <c r="AX418" s="10" t="e">
        <f>(tbl_MTG_Set[[#This Row],[Collector Booster Box Cost]] + v_Item_Shipping_Cost_In) / tbl_MTG_Set[[#This Row],[Collector Booster Box Size]]</f>
        <v>#N/A</v>
      </c>
      <c r="AY418" s="10" t="str" cm="1">
        <f t="array" ref="AY4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8" s="10"/>
      <c r="BA4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8" s="17" t="e">
        <f>tbl_MTG_Set[[#This Row],[Collector Booster CardMarket Profit]]/tbl_MTG_Set[[#This Row],[Collector Booster Cost]]</f>
        <v>#N/A</v>
      </c>
      <c r="BC418" s="10"/>
      <c r="BF4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8" s="11" t="e">
        <f>tbl_MTG_Set[[#This Row],[Play Singles CardMarket Profit MTG Stocks]]/tbl_MTG_Set[[#This Row],[Play Booster Cost]]</f>
        <v>#VALUE!</v>
      </c>
      <c r="BI418" s="11" t="b">
        <f>tbl_MTG_Set[[#This Row],[Play Singles CardMarket Profit MTG Stocks]]&gt;0</f>
        <v>0</v>
      </c>
      <c r="BM418" s="10" t="e">
        <f>tbl_MTG_Set[[#This Row],[Play Booster Sell Price CardMarket]]*tbl_MTG_Set[[#This Row],[Play Booster Expected Market Value BotBox]]/tbl_MTG_Set[[#This Row],[Play Booster Sealed Market Value BotBox]]</f>
        <v>#VALUE!</v>
      </c>
      <c r="BN4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8" s="10" t="e">
        <f>tbl_MTG_Set[[#This Row],[Play Singles CardMarket Profit BotBox]]/tbl_MTG_Set[[#This Row],[Play Booster Cost]]</f>
        <v>#VALUE!</v>
      </c>
      <c r="BP418" s="10" t="b">
        <f>tbl_MTG_Set[[#This Row],[Play Singles CardMarket Profit BotBox]]&gt;0</f>
        <v>0</v>
      </c>
      <c r="BQ418" s="10"/>
      <c r="BR418" s="10"/>
      <c r="BS418" s="10"/>
      <c r="BT4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8" s="19" t="e">
        <f>tbl_MTG_Set[[#This Row],[Collector Singles CardMarket Profit MTG Stocks]]/tbl_MTG_Set[[#This Row],[Collector Booster Cost]]</f>
        <v>#N/A</v>
      </c>
      <c r="BW418" s="10" t="b">
        <f>tbl_MTG_Set[[#This Row],[Collector Singles CardMarket Profit MTG Stocks]]&gt;0</f>
        <v>0</v>
      </c>
      <c r="BX418" s="10"/>
      <c r="BY418" s="10"/>
      <c r="BZ4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8" s="10" t="e">
        <f>tbl_MTG_Set[[#This Row],[Collector Singles CardMarket Profit BotBox]]/tbl_MTG_Set[[#This Row],[Collector Booster Cost]]</f>
        <v>#N/A</v>
      </c>
      <c r="CC418" s="10" t="b">
        <f>tbl_MTG_Set[[#This Row],[Collector Singles CardMarket Profit BotBox]]&gt;0</f>
        <v>0</v>
      </c>
      <c r="CD4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19" spans="1:86" hidden="1">
      <c r="A419">
        <v>449</v>
      </c>
      <c r="B419" t="s">
        <v>592</v>
      </c>
      <c r="C419">
        <v>81</v>
      </c>
      <c r="D419" s="3">
        <v>43490</v>
      </c>
      <c r="F419" t="s">
        <v>174</v>
      </c>
      <c r="G419">
        <v>844</v>
      </c>
      <c r="H419">
        <f ca="1">MONTH(NOW())+12*YEAR(NOW())-MONTH(tbl_MTG_Set[[#This Row],[Released On]])-12*YEAR(tbl_MTG_Set[[#This Row],[Released On]])</f>
        <v>86</v>
      </c>
      <c r="I419" t="str">
        <f>_xlfn.XLOOKUP(tbl_MTG_Set[[#This Row],[Type Name]], tbl_MTG_Set_Type[Set Type], tbl_MTG_Set_Type[Index], "(Set Type not found)")</f>
        <v>(Set Type not found)</v>
      </c>
      <c r="J419" t="str">
        <f>_xlfn.XLOOKUP(tbl_MTG_Set[[#This Row],[Type Name]], tbl_MTG_Set_Type[Set Type], tbl_MTG_Set_Type[Buy Window Month Start], "(Set Type not found)")</f>
        <v>(Set Type not found)</v>
      </c>
      <c r="K419" s="3" t="e">
        <f>tbl_MTG_Set[[#This Row],[Released On]]+tbl_MTG_Set[[#This Row],[Buy Window Month Start]]*365.25/12</f>
        <v>#VALUE!</v>
      </c>
      <c r="L419" t="str">
        <f>_xlfn.XLOOKUP(tbl_MTG_Set[[#This Row],[Type Name]], tbl_MTG_Set_Type[Set Type], tbl_MTG_Set_Type[Buy Window Month End], "(Set Type not found)", 0, 1)</f>
        <v>(Set Type not found)</v>
      </c>
      <c r="M419" s="3" t="e">
        <f>tbl_MTG_Set[[#This Row],[Released On]]+tbl_MTG_Set[[#This Row],[Buy Window Month End]]*365.25/12</f>
        <v>#VALUE!</v>
      </c>
      <c r="N419" s="3" t="e">
        <f ca="1">AND(NOW()&gt;=tbl_MTG_Set[[#This Row],[Buy Window Start]], NOW()&lt;=tbl_MTG_Set[[#This Row],[Buy Window End]])</f>
        <v>#VALUE!</v>
      </c>
      <c r="O419" t="str">
        <f>_xlfn.XLOOKUP(tbl_MTG_Set[[#This Row],[Type Name]], tbl_MTG_Set_Type[Set Type], tbl_MTG_Set_Type[Heavy Printing Window Month Start], "(Set Type not found)", 0, 1)</f>
        <v>(Set Type not found)</v>
      </c>
      <c r="P419" s="3" t="e">
        <f>tbl_MTG_Set[[#This Row],[Released On]]+tbl_MTG_Set[[#This Row],[Heavy Printing Window Month Start]]*365.25/12</f>
        <v>#VALUE!</v>
      </c>
      <c r="Q419" t="str">
        <f>_xlfn.XLOOKUP(tbl_MTG_Set[[#This Row],[Type Name]], tbl_MTG_Set_Type[Set Type], tbl_MTG_Set_Type[Heavy Printing Window Month End], "(Set Type not found)", 0, 1)</f>
        <v>(Set Type not found)</v>
      </c>
      <c r="R419" s="3" t="e">
        <f>tbl_MTG_Set[[#This Row],[Released On]]+tbl_MTG_Set[[#This Row],[Heavy Printing Window Month End]]*365.25/12</f>
        <v>#VALUE!</v>
      </c>
      <c r="S419" s="3" t="e">
        <f ca="1">AND(NOW()&gt;=tbl_MTG_Set[[#This Row],[Heavy Printing Window Start]], NOW()&lt;=tbl_MTG_Set[[#This Row],[Heavy Printing Window End]])</f>
        <v>#VALUE!</v>
      </c>
      <c r="T419" t="str">
        <f>_xlfn.XLOOKUP(tbl_MTG_Set[[#This Row],[Type Name]], tbl_MTG_Set_Type[Set Type], tbl_MTG_Set_Type[Sell Window Month Start], "(Set Type not found)", 0, 1)</f>
        <v>(Set Type not found)</v>
      </c>
      <c r="U419" s="3" t="e">
        <f>tbl_MTG_Set[[#This Row],[Released On]]+tbl_MTG_Set[[#This Row],[Sell Window Month Start]]*365.25/12</f>
        <v>#VALUE!</v>
      </c>
      <c r="V419" t="str">
        <f>_xlfn.XLOOKUP(tbl_MTG_Set[[#This Row],[Type Name]], tbl_MTG_Set_Type[Set Type], tbl_MTG_Set_Type[Sell Window Month End], "(Set Type not found)", 0, 1)</f>
        <v>(Set Type not found)</v>
      </c>
      <c r="W419" s="3" t="e">
        <f>tbl_MTG_Set[[#This Row],[Released On]]+tbl_MTG_Set[[#This Row],[Sell Window Month End]]*365.25/12</f>
        <v>#VALUE!</v>
      </c>
      <c r="X419" s="3" t="e">
        <f ca="1">AND(NOW()&gt;=tbl_MTG_Set[[#This Row],[Sell Window Start]], NOW()&lt;=tbl_MTG_Set[[#This Row],[Sell Window End]])</f>
        <v>#VALUE!</v>
      </c>
      <c r="AG419" s="10"/>
      <c r="AH419" s="10"/>
      <c r="AM419" s="10" t="str" cm="1">
        <f t="array" ref="AM4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19" s="10" t="str" cm="1">
        <f t="array" ref="AN4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19" s="4" t="e">
        <f>_xlfn.XLOOKUP(tbl_MTG_Set[[#This Row],[Play Booster Box Product Id]], tbl_Product[Product Id], tbl_Product[Pack Size])</f>
        <v>#N/A</v>
      </c>
      <c r="AP419" s="10" t="e">
        <f>(tbl_MTG_Set[[#This Row],[Play Booster Box Cost]]+v_Item_Shipping_Cost_In)/tbl_MTG_Set[[#This Row],[Play Booster Box Size]]</f>
        <v>#VALUE!</v>
      </c>
      <c r="AQ419" s="10" t="str" cm="1">
        <f t="array" ref="AQ4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19" s="10"/>
      <c r="AS419" s="10"/>
      <c r="AT419" s="17" t="e">
        <f>tbl_MTG_Set[[#This Row],[Play Booster CardMarket Profit]]/tbl_MTG_Set[[#This Row],[Play Booster Cost]]</f>
        <v>#VALUE!</v>
      </c>
      <c r="AU419" s="10" t="e">
        <f>_xlfn.XLOOKUP(tbl_MTG_Set[[#This Row],[Collector Booster Box Product Id]], tbl_Product[Product Id], tbl_Product[Min Cost])</f>
        <v>#N/A</v>
      </c>
      <c r="AV419" s="10" t="e">
        <f>_xlfn.XLOOKUP(tbl_MTG_Set[[#This Row],[Collector Booster Box Product Id]], tbl_Product[Product Id], tbl_Product[Best Source])</f>
        <v>#N/A</v>
      </c>
      <c r="AW419" s="4" t="e">
        <f>_xlfn.XLOOKUP(tbl_MTG_Set[[#This Row],[Collector Booster Box Product Id]], tbl_Product[Product Id], tbl_Product[Pack Size])</f>
        <v>#N/A</v>
      </c>
      <c r="AX419" s="10" t="e">
        <f>(tbl_MTG_Set[[#This Row],[Collector Booster Box Cost]] + v_Item_Shipping_Cost_In) / tbl_MTG_Set[[#This Row],[Collector Booster Box Size]]</f>
        <v>#N/A</v>
      </c>
      <c r="AY419" s="10" t="str" cm="1">
        <f t="array" ref="AY4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19" s="10"/>
      <c r="BA4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19" s="17" t="e">
        <f>tbl_MTG_Set[[#This Row],[Collector Booster CardMarket Profit]]/tbl_MTG_Set[[#This Row],[Collector Booster Cost]]</f>
        <v>#N/A</v>
      </c>
      <c r="BC419" s="10"/>
      <c r="BF4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19" s="11" t="e">
        <f>tbl_MTG_Set[[#This Row],[Play Singles CardMarket Profit MTG Stocks]]/tbl_MTG_Set[[#This Row],[Play Booster Cost]]</f>
        <v>#VALUE!</v>
      </c>
      <c r="BI419" s="11" t="b">
        <f>tbl_MTG_Set[[#This Row],[Play Singles CardMarket Profit MTG Stocks]]&gt;0</f>
        <v>0</v>
      </c>
      <c r="BM419" s="10" t="e">
        <f>tbl_MTG_Set[[#This Row],[Play Booster Sell Price CardMarket]]*tbl_MTG_Set[[#This Row],[Play Booster Expected Market Value BotBox]]/tbl_MTG_Set[[#This Row],[Play Booster Sealed Market Value BotBox]]</f>
        <v>#VALUE!</v>
      </c>
      <c r="BN4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19" s="10" t="e">
        <f>tbl_MTG_Set[[#This Row],[Play Singles CardMarket Profit BotBox]]/tbl_MTG_Set[[#This Row],[Play Booster Cost]]</f>
        <v>#VALUE!</v>
      </c>
      <c r="BP419" s="10" t="b">
        <f>tbl_MTG_Set[[#This Row],[Play Singles CardMarket Profit BotBox]]&gt;0</f>
        <v>0</v>
      </c>
      <c r="BQ419" s="10"/>
      <c r="BR419" s="10"/>
      <c r="BS419" s="10"/>
      <c r="BT4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19" s="19" t="e">
        <f>tbl_MTG_Set[[#This Row],[Collector Singles CardMarket Profit MTG Stocks]]/tbl_MTG_Set[[#This Row],[Collector Booster Cost]]</f>
        <v>#N/A</v>
      </c>
      <c r="BW419" s="10" t="b">
        <f>tbl_MTG_Set[[#This Row],[Collector Singles CardMarket Profit MTG Stocks]]&gt;0</f>
        <v>0</v>
      </c>
      <c r="BX419" s="10"/>
      <c r="BY419" s="10"/>
      <c r="BZ4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19" s="10" t="e">
        <f>tbl_MTG_Set[[#This Row],[Collector Singles CardMarket Profit BotBox]]/tbl_MTG_Set[[#This Row],[Collector Booster Cost]]</f>
        <v>#N/A</v>
      </c>
      <c r="CC419" s="10" t="b">
        <f>tbl_MTG_Set[[#This Row],[Collector Singles CardMarket Profit BotBox]]&gt;0</f>
        <v>0</v>
      </c>
      <c r="CD4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0" spans="1:86" hidden="1">
      <c r="A420">
        <v>450</v>
      </c>
      <c r="B420" t="s">
        <v>593</v>
      </c>
      <c r="C420">
        <v>13</v>
      </c>
      <c r="D420" s="3">
        <v>43490</v>
      </c>
      <c r="F420" t="s">
        <v>174</v>
      </c>
      <c r="G420">
        <v>846</v>
      </c>
      <c r="H420">
        <f ca="1">MONTH(NOW())+12*YEAR(NOW())-MONTH(tbl_MTG_Set[[#This Row],[Released On]])-12*YEAR(tbl_MTG_Set[[#This Row],[Released On]])</f>
        <v>86</v>
      </c>
      <c r="I420" t="str">
        <f>_xlfn.XLOOKUP(tbl_MTG_Set[[#This Row],[Type Name]], tbl_MTG_Set_Type[Set Type], tbl_MTG_Set_Type[Index], "(Set Type not found)")</f>
        <v>(Set Type not found)</v>
      </c>
      <c r="J420" t="str">
        <f>_xlfn.XLOOKUP(tbl_MTG_Set[[#This Row],[Type Name]], tbl_MTG_Set_Type[Set Type], tbl_MTG_Set_Type[Buy Window Month Start], "(Set Type not found)")</f>
        <v>(Set Type not found)</v>
      </c>
      <c r="K420" s="3" t="e">
        <f>tbl_MTG_Set[[#This Row],[Released On]]+tbl_MTG_Set[[#This Row],[Buy Window Month Start]]*365.25/12</f>
        <v>#VALUE!</v>
      </c>
      <c r="L420" t="str">
        <f>_xlfn.XLOOKUP(tbl_MTG_Set[[#This Row],[Type Name]], tbl_MTG_Set_Type[Set Type], tbl_MTG_Set_Type[Buy Window Month End], "(Set Type not found)", 0, 1)</f>
        <v>(Set Type not found)</v>
      </c>
      <c r="M420" s="3" t="e">
        <f>tbl_MTG_Set[[#This Row],[Released On]]+tbl_MTG_Set[[#This Row],[Buy Window Month End]]*365.25/12</f>
        <v>#VALUE!</v>
      </c>
      <c r="N420" s="3" t="e">
        <f ca="1">AND(NOW()&gt;=tbl_MTG_Set[[#This Row],[Buy Window Start]], NOW()&lt;=tbl_MTG_Set[[#This Row],[Buy Window End]])</f>
        <v>#VALUE!</v>
      </c>
      <c r="O420" t="str">
        <f>_xlfn.XLOOKUP(tbl_MTG_Set[[#This Row],[Type Name]], tbl_MTG_Set_Type[Set Type], tbl_MTG_Set_Type[Heavy Printing Window Month Start], "(Set Type not found)", 0, 1)</f>
        <v>(Set Type not found)</v>
      </c>
      <c r="P420" s="3" t="e">
        <f>tbl_MTG_Set[[#This Row],[Released On]]+tbl_MTG_Set[[#This Row],[Heavy Printing Window Month Start]]*365.25/12</f>
        <v>#VALUE!</v>
      </c>
      <c r="Q420" t="str">
        <f>_xlfn.XLOOKUP(tbl_MTG_Set[[#This Row],[Type Name]], tbl_MTG_Set_Type[Set Type], tbl_MTG_Set_Type[Heavy Printing Window Month End], "(Set Type not found)", 0, 1)</f>
        <v>(Set Type not found)</v>
      </c>
      <c r="R420" s="3" t="e">
        <f>tbl_MTG_Set[[#This Row],[Released On]]+tbl_MTG_Set[[#This Row],[Heavy Printing Window Month End]]*365.25/12</f>
        <v>#VALUE!</v>
      </c>
      <c r="S420" s="3" t="e">
        <f ca="1">AND(NOW()&gt;=tbl_MTG_Set[[#This Row],[Heavy Printing Window Start]], NOW()&lt;=tbl_MTG_Set[[#This Row],[Heavy Printing Window End]])</f>
        <v>#VALUE!</v>
      </c>
      <c r="T420" t="str">
        <f>_xlfn.XLOOKUP(tbl_MTG_Set[[#This Row],[Type Name]], tbl_MTG_Set_Type[Set Type], tbl_MTG_Set_Type[Sell Window Month Start], "(Set Type not found)", 0, 1)</f>
        <v>(Set Type not found)</v>
      </c>
      <c r="U420" s="3" t="e">
        <f>tbl_MTG_Set[[#This Row],[Released On]]+tbl_MTG_Set[[#This Row],[Sell Window Month Start]]*365.25/12</f>
        <v>#VALUE!</v>
      </c>
      <c r="V420" t="str">
        <f>_xlfn.XLOOKUP(tbl_MTG_Set[[#This Row],[Type Name]], tbl_MTG_Set_Type[Set Type], tbl_MTG_Set_Type[Sell Window Month End], "(Set Type not found)", 0, 1)</f>
        <v>(Set Type not found)</v>
      </c>
      <c r="W420" s="3" t="e">
        <f>tbl_MTG_Set[[#This Row],[Released On]]+tbl_MTG_Set[[#This Row],[Sell Window Month End]]*365.25/12</f>
        <v>#VALUE!</v>
      </c>
      <c r="X420" s="3" t="e">
        <f ca="1">AND(NOW()&gt;=tbl_MTG_Set[[#This Row],[Sell Window Start]], NOW()&lt;=tbl_MTG_Set[[#This Row],[Sell Window End]])</f>
        <v>#VALUE!</v>
      </c>
      <c r="AG420" s="10"/>
      <c r="AH420" s="10"/>
      <c r="AM420" s="10" t="str" cm="1">
        <f t="array" ref="AM4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0" s="10" t="str" cm="1">
        <f t="array" ref="AN4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0" s="4" t="e">
        <f>_xlfn.XLOOKUP(tbl_MTG_Set[[#This Row],[Play Booster Box Product Id]], tbl_Product[Product Id], tbl_Product[Pack Size])</f>
        <v>#N/A</v>
      </c>
      <c r="AP420" s="10" t="e">
        <f>(tbl_MTG_Set[[#This Row],[Play Booster Box Cost]]+v_Item_Shipping_Cost_In)/tbl_MTG_Set[[#This Row],[Play Booster Box Size]]</f>
        <v>#VALUE!</v>
      </c>
      <c r="AQ420" s="10" t="str" cm="1">
        <f t="array" ref="AQ4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0" s="10"/>
      <c r="AS420" s="10"/>
      <c r="AT420" s="17" t="e">
        <f>tbl_MTG_Set[[#This Row],[Play Booster CardMarket Profit]]/tbl_MTG_Set[[#This Row],[Play Booster Cost]]</f>
        <v>#VALUE!</v>
      </c>
      <c r="AU420" s="10" t="e">
        <f>_xlfn.XLOOKUP(tbl_MTG_Set[[#This Row],[Collector Booster Box Product Id]], tbl_Product[Product Id], tbl_Product[Min Cost])</f>
        <v>#N/A</v>
      </c>
      <c r="AV420" s="10" t="e">
        <f>_xlfn.XLOOKUP(tbl_MTG_Set[[#This Row],[Collector Booster Box Product Id]], tbl_Product[Product Id], tbl_Product[Best Source])</f>
        <v>#N/A</v>
      </c>
      <c r="AW420" s="4" t="e">
        <f>_xlfn.XLOOKUP(tbl_MTG_Set[[#This Row],[Collector Booster Box Product Id]], tbl_Product[Product Id], tbl_Product[Pack Size])</f>
        <v>#N/A</v>
      </c>
      <c r="AX420" s="10" t="e">
        <f>(tbl_MTG_Set[[#This Row],[Collector Booster Box Cost]] + v_Item_Shipping_Cost_In) / tbl_MTG_Set[[#This Row],[Collector Booster Box Size]]</f>
        <v>#N/A</v>
      </c>
      <c r="AY420" s="10" t="str" cm="1">
        <f t="array" ref="AY4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0" s="10"/>
      <c r="BA4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0" s="17" t="e">
        <f>tbl_MTG_Set[[#This Row],[Collector Booster CardMarket Profit]]/tbl_MTG_Set[[#This Row],[Collector Booster Cost]]</f>
        <v>#N/A</v>
      </c>
      <c r="BC420" s="10"/>
      <c r="BF4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0" s="11" t="e">
        <f>tbl_MTG_Set[[#This Row],[Play Singles CardMarket Profit MTG Stocks]]/tbl_MTG_Set[[#This Row],[Play Booster Cost]]</f>
        <v>#VALUE!</v>
      </c>
      <c r="BI420" s="11" t="b">
        <f>tbl_MTG_Set[[#This Row],[Play Singles CardMarket Profit MTG Stocks]]&gt;0</f>
        <v>0</v>
      </c>
      <c r="BM420" s="10" t="e">
        <f>tbl_MTG_Set[[#This Row],[Play Booster Sell Price CardMarket]]*tbl_MTG_Set[[#This Row],[Play Booster Expected Market Value BotBox]]/tbl_MTG_Set[[#This Row],[Play Booster Sealed Market Value BotBox]]</f>
        <v>#VALUE!</v>
      </c>
      <c r="BN4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0" s="10" t="e">
        <f>tbl_MTG_Set[[#This Row],[Play Singles CardMarket Profit BotBox]]/tbl_MTG_Set[[#This Row],[Play Booster Cost]]</f>
        <v>#VALUE!</v>
      </c>
      <c r="BP420" s="10" t="b">
        <f>tbl_MTG_Set[[#This Row],[Play Singles CardMarket Profit BotBox]]&gt;0</f>
        <v>0</v>
      </c>
      <c r="BQ420" s="10"/>
      <c r="BR420" s="10"/>
      <c r="BS420" s="10"/>
      <c r="BT4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0" s="19" t="e">
        <f>tbl_MTG_Set[[#This Row],[Collector Singles CardMarket Profit MTG Stocks]]/tbl_MTG_Set[[#This Row],[Collector Booster Cost]]</f>
        <v>#N/A</v>
      </c>
      <c r="BW420" s="10" t="b">
        <f>tbl_MTG_Set[[#This Row],[Collector Singles CardMarket Profit MTG Stocks]]&gt;0</f>
        <v>0</v>
      </c>
      <c r="BX420" s="10"/>
      <c r="BY420" s="10"/>
      <c r="BZ4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0" s="10" t="e">
        <f>tbl_MTG_Set[[#This Row],[Collector Singles CardMarket Profit BotBox]]/tbl_MTG_Set[[#This Row],[Collector Booster Cost]]</f>
        <v>#N/A</v>
      </c>
      <c r="CC420" s="10" t="b">
        <f>tbl_MTG_Set[[#This Row],[Collector Singles CardMarket Profit BotBox]]&gt;0</f>
        <v>0</v>
      </c>
      <c r="CD4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1" spans="1:86" hidden="1">
      <c r="A421">
        <v>451</v>
      </c>
      <c r="B421" t="s">
        <v>594</v>
      </c>
      <c r="C421">
        <v>10</v>
      </c>
      <c r="D421" s="3">
        <v>43512</v>
      </c>
      <c r="F421" t="s">
        <v>174</v>
      </c>
      <c r="G421">
        <v>848</v>
      </c>
      <c r="H421">
        <f ca="1">MONTH(NOW())+12*YEAR(NOW())-MONTH(tbl_MTG_Set[[#This Row],[Released On]])-12*YEAR(tbl_MTG_Set[[#This Row],[Released On]])</f>
        <v>85</v>
      </c>
      <c r="I421" t="str">
        <f>_xlfn.XLOOKUP(tbl_MTG_Set[[#This Row],[Type Name]], tbl_MTG_Set_Type[Set Type], tbl_MTG_Set_Type[Index], "(Set Type not found)")</f>
        <v>(Set Type not found)</v>
      </c>
      <c r="J421" t="str">
        <f>_xlfn.XLOOKUP(tbl_MTG_Set[[#This Row],[Type Name]], tbl_MTG_Set_Type[Set Type], tbl_MTG_Set_Type[Buy Window Month Start], "(Set Type not found)")</f>
        <v>(Set Type not found)</v>
      </c>
      <c r="K421" s="3" t="e">
        <f>tbl_MTG_Set[[#This Row],[Released On]]+tbl_MTG_Set[[#This Row],[Buy Window Month Start]]*365.25/12</f>
        <v>#VALUE!</v>
      </c>
      <c r="L421" t="str">
        <f>_xlfn.XLOOKUP(tbl_MTG_Set[[#This Row],[Type Name]], tbl_MTG_Set_Type[Set Type], tbl_MTG_Set_Type[Buy Window Month End], "(Set Type not found)", 0, 1)</f>
        <v>(Set Type not found)</v>
      </c>
      <c r="M421" s="3" t="e">
        <f>tbl_MTG_Set[[#This Row],[Released On]]+tbl_MTG_Set[[#This Row],[Buy Window Month End]]*365.25/12</f>
        <v>#VALUE!</v>
      </c>
      <c r="N421" s="3" t="e">
        <f ca="1">AND(NOW()&gt;=tbl_MTG_Set[[#This Row],[Buy Window Start]], NOW()&lt;=tbl_MTG_Set[[#This Row],[Buy Window End]])</f>
        <v>#VALUE!</v>
      </c>
      <c r="O421" t="str">
        <f>_xlfn.XLOOKUP(tbl_MTG_Set[[#This Row],[Type Name]], tbl_MTG_Set_Type[Set Type], tbl_MTG_Set_Type[Heavy Printing Window Month Start], "(Set Type not found)", 0, 1)</f>
        <v>(Set Type not found)</v>
      </c>
      <c r="P421" s="3" t="e">
        <f>tbl_MTG_Set[[#This Row],[Released On]]+tbl_MTG_Set[[#This Row],[Heavy Printing Window Month Start]]*365.25/12</f>
        <v>#VALUE!</v>
      </c>
      <c r="Q421" t="str">
        <f>_xlfn.XLOOKUP(tbl_MTG_Set[[#This Row],[Type Name]], tbl_MTG_Set_Type[Set Type], tbl_MTG_Set_Type[Heavy Printing Window Month End], "(Set Type not found)", 0, 1)</f>
        <v>(Set Type not found)</v>
      </c>
      <c r="R421" s="3" t="e">
        <f>tbl_MTG_Set[[#This Row],[Released On]]+tbl_MTG_Set[[#This Row],[Heavy Printing Window Month End]]*365.25/12</f>
        <v>#VALUE!</v>
      </c>
      <c r="S421" s="3" t="e">
        <f ca="1">AND(NOW()&gt;=tbl_MTG_Set[[#This Row],[Heavy Printing Window Start]], NOW()&lt;=tbl_MTG_Set[[#This Row],[Heavy Printing Window End]])</f>
        <v>#VALUE!</v>
      </c>
      <c r="T421" t="str">
        <f>_xlfn.XLOOKUP(tbl_MTG_Set[[#This Row],[Type Name]], tbl_MTG_Set_Type[Set Type], tbl_MTG_Set_Type[Sell Window Month Start], "(Set Type not found)", 0, 1)</f>
        <v>(Set Type not found)</v>
      </c>
      <c r="U421" s="3" t="e">
        <f>tbl_MTG_Set[[#This Row],[Released On]]+tbl_MTG_Set[[#This Row],[Sell Window Month Start]]*365.25/12</f>
        <v>#VALUE!</v>
      </c>
      <c r="V421" t="str">
        <f>_xlfn.XLOOKUP(tbl_MTG_Set[[#This Row],[Type Name]], tbl_MTG_Set_Type[Set Type], tbl_MTG_Set_Type[Sell Window Month End], "(Set Type not found)", 0, 1)</f>
        <v>(Set Type not found)</v>
      </c>
      <c r="W421" s="3" t="e">
        <f>tbl_MTG_Set[[#This Row],[Released On]]+tbl_MTG_Set[[#This Row],[Sell Window Month End]]*365.25/12</f>
        <v>#VALUE!</v>
      </c>
      <c r="X421" s="3" t="e">
        <f ca="1">AND(NOW()&gt;=tbl_MTG_Set[[#This Row],[Sell Window Start]], NOW()&lt;=tbl_MTG_Set[[#This Row],[Sell Window End]])</f>
        <v>#VALUE!</v>
      </c>
      <c r="AG421" s="10"/>
      <c r="AH421" s="10"/>
      <c r="AM421" s="10" t="str" cm="1">
        <f t="array" ref="AM4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1" s="10" t="str" cm="1">
        <f t="array" ref="AN4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1" s="4" t="e">
        <f>_xlfn.XLOOKUP(tbl_MTG_Set[[#This Row],[Play Booster Box Product Id]], tbl_Product[Product Id], tbl_Product[Pack Size])</f>
        <v>#N/A</v>
      </c>
      <c r="AP421" s="10" t="e">
        <f>(tbl_MTG_Set[[#This Row],[Play Booster Box Cost]]+v_Item_Shipping_Cost_In)/tbl_MTG_Set[[#This Row],[Play Booster Box Size]]</f>
        <v>#VALUE!</v>
      </c>
      <c r="AQ421" s="10" t="str" cm="1">
        <f t="array" ref="AQ4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1" s="10"/>
      <c r="AS421" s="10"/>
      <c r="AT421" s="17" t="e">
        <f>tbl_MTG_Set[[#This Row],[Play Booster CardMarket Profit]]/tbl_MTG_Set[[#This Row],[Play Booster Cost]]</f>
        <v>#VALUE!</v>
      </c>
      <c r="AU421" s="10" t="e">
        <f>_xlfn.XLOOKUP(tbl_MTG_Set[[#This Row],[Collector Booster Box Product Id]], tbl_Product[Product Id], tbl_Product[Min Cost])</f>
        <v>#N/A</v>
      </c>
      <c r="AV421" s="10" t="e">
        <f>_xlfn.XLOOKUP(tbl_MTG_Set[[#This Row],[Collector Booster Box Product Id]], tbl_Product[Product Id], tbl_Product[Best Source])</f>
        <v>#N/A</v>
      </c>
      <c r="AW421" s="4" t="e">
        <f>_xlfn.XLOOKUP(tbl_MTG_Set[[#This Row],[Collector Booster Box Product Id]], tbl_Product[Product Id], tbl_Product[Pack Size])</f>
        <v>#N/A</v>
      </c>
      <c r="AX421" s="10" t="e">
        <f>(tbl_MTG_Set[[#This Row],[Collector Booster Box Cost]] + v_Item_Shipping_Cost_In) / tbl_MTG_Set[[#This Row],[Collector Booster Box Size]]</f>
        <v>#N/A</v>
      </c>
      <c r="AY421" s="10" t="str" cm="1">
        <f t="array" ref="AY4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1" s="10"/>
      <c r="BA4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1" s="17" t="e">
        <f>tbl_MTG_Set[[#This Row],[Collector Booster CardMarket Profit]]/tbl_MTG_Set[[#This Row],[Collector Booster Cost]]</f>
        <v>#N/A</v>
      </c>
      <c r="BC421" s="10"/>
      <c r="BF4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1" s="11" t="e">
        <f>tbl_MTG_Set[[#This Row],[Play Singles CardMarket Profit MTG Stocks]]/tbl_MTG_Set[[#This Row],[Play Booster Cost]]</f>
        <v>#VALUE!</v>
      </c>
      <c r="BI421" s="11" t="b">
        <f>tbl_MTG_Set[[#This Row],[Play Singles CardMarket Profit MTG Stocks]]&gt;0</f>
        <v>0</v>
      </c>
      <c r="BM421" s="10" t="e">
        <f>tbl_MTG_Set[[#This Row],[Play Booster Sell Price CardMarket]]*tbl_MTG_Set[[#This Row],[Play Booster Expected Market Value BotBox]]/tbl_MTG_Set[[#This Row],[Play Booster Sealed Market Value BotBox]]</f>
        <v>#VALUE!</v>
      </c>
      <c r="BN4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1" s="10" t="e">
        <f>tbl_MTG_Set[[#This Row],[Play Singles CardMarket Profit BotBox]]/tbl_MTG_Set[[#This Row],[Play Booster Cost]]</f>
        <v>#VALUE!</v>
      </c>
      <c r="BP421" s="10" t="b">
        <f>tbl_MTG_Set[[#This Row],[Play Singles CardMarket Profit BotBox]]&gt;0</f>
        <v>0</v>
      </c>
      <c r="BQ421" s="10"/>
      <c r="BR421" s="10"/>
      <c r="BS421" s="10"/>
      <c r="BT4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1" s="19" t="e">
        <f>tbl_MTG_Set[[#This Row],[Collector Singles CardMarket Profit MTG Stocks]]/tbl_MTG_Set[[#This Row],[Collector Booster Cost]]</f>
        <v>#N/A</v>
      </c>
      <c r="BW421" s="10" t="b">
        <f>tbl_MTG_Set[[#This Row],[Collector Singles CardMarket Profit MTG Stocks]]&gt;0</f>
        <v>0</v>
      </c>
      <c r="BX421" s="10"/>
      <c r="BY421" s="10"/>
      <c r="BZ4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1" s="10" t="e">
        <f>tbl_MTG_Set[[#This Row],[Collector Singles CardMarket Profit BotBox]]/tbl_MTG_Set[[#This Row],[Collector Booster Cost]]</f>
        <v>#N/A</v>
      </c>
      <c r="CC421" s="10" t="b">
        <f>tbl_MTG_Set[[#This Row],[Collector Singles CardMarket Profit BotBox]]&gt;0</f>
        <v>0</v>
      </c>
      <c r="CD4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2" spans="1:86" hidden="1">
      <c r="A422">
        <v>452</v>
      </c>
      <c r="B422" t="s">
        <v>595</v>
      </c>
      <c r="C422">
        <v>7</v>
      </c>
      <c r="D422" s="3">
        <v>43466</v>
      </c>
      <c r="F422" t="s">
        <v>174</v>
      </c>
      <c r="G422">
        <v>850</v>
      </c>
      <c r="H422">
        <f ca="1">MONTH(NOW())+12*YEAR(NOW())-MONTH(tbl_MTG_Set[[#This Row],[Released On]])-12*YEAR(tbl_MTG_Set[[#This Row],[Released On]])</f>
        <v>86</v>
      </c>
      <c r="I422" t="str">
        <f>_xlfn.XLOOKUP(tbl_MTG_Set[[#This Row],[Type Name]], tbl_MTG_Set_Type[Set Type], tbl_MTG_Set_Type[Index], "(Set Type not found)")</f>
        <v>(Set Type not found)</v>
      </c>
      <c r="J422" t="str">
        <f>_xlfn.XLOOKUP(tbl_MTG_Set[[#This Row],[Type Name]], tbl_MTG_Set_Type[Set Type], tbl_MTG_Set_Type[Buy Window Month Start], "(Set Type not found)")</f>
        <v>(Set Type not found)</v>
      </c>
      <c r="K422" s="3" t="e">
        <f>tbl_MTG_Set[[#This Row],[Released On]]+tbl_MTG_Set[[#This Row],[Buy Window Month Start]]*365.25/12</f>
        <v>#VALUE!</v>
      </c>
      <c r="L422" t="str">
        <f>_xlfn.XLOOKUP(tbl_MTG_Set[[#This Row],[Type Name]], tbl_MTG_Set_Type[Set Type], tbl_MTG_Set_Type[Buy Window Month End], "(Set Type not found)", 0, 1)</f>
        <v>(Set Type not found)</v>
      </c>
      <c r="M422" s="3" t="e">
        <f>tbl_MTG_Set[[#This Row],[Released On]]+tbl_MTG_Set[[#This Row],[Buy Window Month End]]*365.25/12</f>
        <v>#VALUE!</v>
      </c>
      <c r="N422" s="3" t="e">
        <f ca="1">AND(NOW()&gt;=tbl_MTG_Set[[#This Row],[Buy Window Start]], NOW()&lt;=tbl_MTG_Set[[#This Row],[Buy Window End]])</f>
        <v>#VALUE!</v>
      </c>
      <c r="O422" t="str">
        <f>_xlfn.XLOOKUP(tbl_MTG_Set[[#This Row],[Type Name]], tbl_MTG_Set_Type[Set Type], tbl_MTG_Set_Type[Heavy Printing Window Month Start], "(Set Type not found)", 0, 1)</f>
        <v>(Set Type not found)</v>
      </c>
      <c r="P422" s="3" t="e">
        <f>tbl_MTG_Set[[#This Row],[Released On]]+tbl_MTG_Set[[#This Row],[Heavy Printing Window Month Start]]*365.25/12</f>
        <v>#VALUE!</v>
      </c>
      <c r="Q422" t="str">
        <f>_xlfn.XLOOKUP(tbl_MTG_Set[[#This Row],[Type Name]], tbl_MTG_Set_Type[Set Type], tbl_MTG_Set_Type[Heavy Printing Window Month End], "(Set Type not found)", 0, 1)</f>
        <v>(Set Type not found)</v>
      </c>
      <c r="R422" s="3" t="e">
        <f>tbl_MTG_Set[[#This Row],[Released On]]+tbl_MTG_Set[[#This Row],[Heavy Printing Window Month End]]*365.25/12</f>
        <v>#VALUE!</v>
      </c>
      <c r="S422" s="3" t="e">
        <f ca="1">AND(NOW()&gt;=tbl_MTG_Set[[#This Row],[Heavy Printing Window Start]], NOW()&lt;=tbl_MTG_Set[[#This Row],[Heavy Printing Window End]])</f>
        <v>#VALUE!</v>
      </c>
      <c r="T422" t="str">
        <f>_xlfn.XLOOKUP(tbl_MTG_Set[[#This Row],[Type Name]], tbl_MTG_Set_Type[Set Type], tbl_MTG_Set_Type[Sell Window Month Start], "(Set Type not found)", 0, 1)</f>
        <v>(Set Type not found)</v>
      </c>
      <c r="U422" s="3" t="e">
        <f>tbl_MTG_Set[[#This Row],[Released On]]+tbl_MTG_Set[[#This Row],[Sell Window Month Start]]*365.25/12</f>
        <v>#VALUE!</v>
      </c>
      <c r="V422" t="str">
        <f>_xlfn.XLOOKUP(tbl_MTG_Set[[#This Row],[Type Name]], tbl_MTG_Set_Type[Set Type], tbl_MTG_Set_Type[Sell Window Month End], "(Set Type not found)", 0, 1)</f>
        <v>(Set Type not found)</v>
      </c>
      <c r="W422" s="3" t="e">
        <f>tbl_MTG_Set[[#This Row],[Released On]]+tbl_MTG_Set[[#This Row],[Sell Window Month End]]*365.25/12</f>
        <v>#VALUE!</v>
      </c>
      <c r="X422" s="3" t="e">
        <f ca="1">AND(NOW()&gt;=tbl_MTG_Set[[#This Row],[Sell Window Start]], NOW()&lt;=tbl_MTG_Set[[#This Row],[Sell Window End]])</f>
        <v>#VALUE!</v>
      </c>
      <c r="AG422" s="10"/>
      <c r="AH422" s="10"/>
      <c r="AM422" s="10" t="str" cm="1">
        <f t="array" ref="AM4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2" s="10" t="str" cm="1">
        <f t="array" ref="AN4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2" s="4" t="e">
        <f>_xlfn.XLOOKUP(tbl_MTG_Set[[#This Row],[Play Booster Box Product Id]], tbl_Product[Product Id], tbl_Product[Pack Size])</f>
        <v>#N/A</v>
      </c>
      <c r="AP422" s="10" t="e">
        <f>(tbl_MTG_Set[[#This Row],[Play Booster Box Cost]]+v_Item_Shipping_Cost_In)/tbl_MTG_Set[[#This Row],[Play Booster Box Size]]</f>
        <v>#VALUE!</v>
      </c>
      <c r="AQ422" s="10" t="str" cm="1">
        <f t="array" ref="AQ4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2" s="10"/>
      <c r="AS422" s="10"/>
      <c r="AT422" s="17" t="e">
        <f>tbl_MTG_Set[[#This Row],[Play Booster CardMarket Profit]]/tbl_MTG_Set[[#This Row],[Play Booster Cost]]</f>
        <v>#VALUE!</v>
      </c>
      <c r="AU422" s="10" t="e">
        <f>_xlfn.XLOOKUP(tbl_MTG_Set[[#This Row],[Collector Booster Box Product Id]], tbl_Product[Product Id], tbl_Product[Min Cost])</f>
        <v>#N/A</v>
      </c>
      <c r="AV422" s="10" t="e">
        <f>_xlfn.XLOOKUP(tbl_MTG_Set[[#This Row],[Collector Booster Box Product Id]], tbl_Product[Product Id], tbl_Product[Best Source])</f>
        <v>#N/A</v>
      </c>
      <c r="AW422" s="4" t="e">
        <f>_xlfn.XLOOKUP(tbl_MTG_Set[[#This Row],[Collector Booster Box Product Id]], tbl_Product[Product Id], tbl_Product[Pack Size])</f>
        <v>#N/A</v>
      </c>
      <c r="AX422" s="10" t="e">
        <f>(tbl_MTG_Set[[#This Row],[Collector Booster Box Cost]] + v_Item_Shipping_Cost_In) / tbl_MTG_Set[[#This Row],[Collector Booster Box Size]]</f>
        <v>#N/A</v>
      </c>
      <c r="AY422" s="10" t="str" cm="1">
        <f t="array" ref="AY4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2" s="10"/>
      <c r="BA4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2" s="17" t="e">
        <f>tbl_MTG_Set[[#This Row],[Collector Booster CardMarket Profit]]/tbl_MTG_Set[[#This Row],[Collector Booster Cost]]</f>
        <v>#N/A</v>
      </c>
      <c r="BC422" s="10"/>
      <c r="BF4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2" s="11" t="e">
        <f>tbl_MTG_Set[[#This Row],[Play Singles CardMarket Profit MTG Stocks]]/tbl_MTG_Set[[#This Row],[Play Booster Cost]]</f>
        <v>#VALUE!</v>
      </c>
      <c r="BI422" s="11" t="b">
        <f>tbl_MTG_Set[[#This Row],[Play Singles CardMarket Profit MTG Stocks]]&gt;0</f>
        <v>0</v>
      </c>
      <c r="BM422" s="10" t="e">
        <f>tbl_MTG_Set[[#This Row],[Play Booster Sell Price CardMarket]]*tbl_MTG_Set[[#This Row],[Play Booster Expected Market Value BotBox]]/tbl_MTG_Set[[#This Row],[Play Booster Sealed Market Value BotBox]]</f>
        <v>#VALUE!</v>
      </c>
      <c r="BN4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2" s="10" t="e">
        <f>tbl_MTG_Set[[#This Row],[Play Singles CardMarket Profit BotBox]]/tbl_MTG_Set[[#This Row],[Play Booster Cost]]</f>
        <v>#VALUE!</v>
      </c>
      <c r="BP422" s="10" t="b">
        <f>tbl_MTG_Set[[#This Row],[Play Singles CardMarket Profit BotBox]]&gt;0</f>
        <v>0</v>
      </c>
      <c r="BQ422" s="10"/>
      <c r="BR422" s="10"/>
      <c r="BS422" s="10"/>
      <c r="BT4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2" s="19" t="e">
        <f>tbl_MTG_Set[[#This Row],[Collector Singles CardMarket Profit MTG Stocks]]/tbl_MTG_Set[[#This Row],[Collector Booster Cost]]</f>
        <v>#N/A</v>
      </c>
      <c r="BW422" s="10" t="b">
        <f>tbl_MTG_Set[[#This Row],[Collector Singles CardMarket Profit MTG Stocks]]&gt;0</f>
        <v>0</v>
      </c>
      <c r="BX422" s="10"/>
      <c r="BY422" s="10"/>
      <c r="BZ4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2" s="10" t="e">
        <f>tbl_MTG_Set[[#This Row],[Collector Singles CardMarket Profit BotBox]]/tbl_MTG_Set[[#This Row],[Collector Booster Cost]]</f>
        <v>#N/A</v>
      </c>
      <c r="CC422" s="10" t="b">
        <f>tbl_MTG_Set[[#This Row],[Collector Singles CardMarket Profit BotBox]]&gt;0</f>
        <v>0</v>
      </c>
      <c r="CD4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3" spans="1:86" hidden="1">
      <c r="A423">
        <v>453</v>
      </c>
      <c r="B423" t="s">
        <v>596</v>
      </c>
      <c r="C423">
        <v>254</v>
      </c>
      <c r="D423" s="3">
        <v>43441</v>
      </c>
      <c r="F423" t="s">
        <v>174</v>
      </c>
      <c r="G423">
        <v>852</v>
      </c>
      <c r="H423">
        <f ca="1">MONTH(NOW())+12*YEAR(NOW())-MONTH(tbl_MTG_Set[[#This Row],[Released On]])-12*YEAR(tbl_MTG_Set[[#This Row],[Released On]])</f>
        <v>87</v>
      </c>
      <c r="I423" t="str">
        <f>_xlfn.XLOOKUP(tbl_MTG_Set[[#This Row],[Type Name]], tbl_MTG_Set_Type[Set Type], tbl_MTG_Set_Type[Index], "(Set Type not found)")</f>
        <v>(Set Type not found)</v>
      </c>
      <c r="J423" t="str">
        <f>_xlfn.XLOOKUP(tbl_MTG_Set[[#This Row],[Type Name]], tbl_MTG_Set_Type[Set Type], tbl_MTG_Set_Type[Buy Window Month Start], "(Set Type not found)")</f>
        <v>(Set Type not found)</v>
      </c>
      <c r="K423" s="3" t="e">
        <f>tbl_MTG_Set[[#This Row],[Released On]]+tbl_MTG_Set[[#This Row],[Buy Window Month Start]]*365.25/12</f>
        <v>#VALUE!</v>
      </c>
      <c r="L423" t="str">
        <f>_xlfn.XLOOKUP(tbl_MTG_Set[[#This Row],[Type Name]], tbl_MTG_Set_Type[Set Type], tbl_MTG_Set_Type[Buy Window Month End], "(Set Type not found)", 0, 1)</f>
        <v>(Set Type not found)</v>
      </c>
      <c r="M423" s="3" t="e">
        <f>tbl_MTG_Set[[#This Row],[Released On]]+tbl_MTG_Set[[#This Row],[Buy Window Month End]]*365.25/12</f>
        <v>#VALUE!</v>
      </c>
      <c r="N423" s="3" t="e">
        <f ca="1">AND(NOW()&gt;=tbl_MTG_Set[[#This Row],[Buy Window Start]], NOW()&lt;=tbl_MTG_Set[[#This Row],[Buy Window End]])</f>
        <v>#VALUE!</v>
      </c>
      <c r="O423" t="str">
        <f>_xlfn.XLOOKUP(tbl_MTG_Set[[#This Row],[Type Name]], tbl_MTG_Set_Type[Set Type], tbl_MTG_Set_Type[Heavy Printing Window Month Start], "(Set Type not found)", 0, 1)</f>
        <v>(Set Type not found)</v>
      </c>
      <c r="P423" s="3" t="e">
        <f>tbl_MTG_Set[[#This Row],[Released On]]+tbl_MTG_Set[[#This Row],[Heavy Printing Window Month Start]]*365.25/12</f>
        <v>#VALUE!</v>
      </c>
      <c r="Q423" t="str">
        <f>_xlfn.XLOOKUP(tbl_MTG_Set[[#This Row],[Type Name]], tbl_MTG_Set_Type[Set Type], tbl_MTG_Set_Type[Heavy Printing Window Month End], "(Set Type not found)", 0, 1)</f>
        <v>(Set Type not found)</v>
      </c>
      <c r="R423" s="3" t="e">
        <f>tbl_MTG_Set[[#This Row],[Released On]]+tbl_MTG_Set[[#This Row],[Heavy Printing Window Month End]]*365.25/12</f>
        <v>#VALUE!</v>
      </c>
      <c r="S423" s="3" t="e">
        <f ca="1">AND(NOW()&gt;=tbl_MTG_Set[[#This Row],[Heavy Printing Window Start]], NOW()&lt;=tbl_MTG_Set[[#This Row],[Heavy Printing Window End]])</f>
        <v>#VALUE!</v>
      </c>
      <c r="T423" t="str">
        <f>_xlfn.XLOOKUP(tbl_MTG_Set[[#This Row],[Type Name]], tbl_MTG_Set_Type[Set Type], tbl_MTG_Set_Type[Sell Window Month Start], "(Set Type not found)", 0, 1)</f>
        <v>(Set Type not found)</v>
      </c>
      <c r="U423" s="3" t="e">
        <f>tbl_MTG_Set[[#This Row],[Released On]]+tbl_MTG_Set[[#This Row],[Sell Window Month Start]]*365.25/12</f>
        <v>#VALUE!</v>
      </c>
      <c r="V423" t="str">
        <f>_xlfn.XLOOKUP(tbl_MTG_Set[[#This Row],[Type Name]], tbl_MTG_Set_Type[Set Type], tbl_MTG_Set_Type[Sell Window Month End], "(Set Type not found)", 0, 1)</f>
        <v>(Set Type not found)</v>
      </c>
      <c r="W423" s="3" t="e">
        <f>tbl_MTG_Set[[#This Row],[Released On]]+tbl_MTG_Set[[#This Row],[Sell Window Month End]]*365.25/12</f>
        <v>#VALUE!</v>
      </c>
      <c r="X423" s="3" t="e">
        <f ca="1">AND(NOW()&gt;=tbl_MTG_Set[[#This Row],[Sell Window Start]], NOW()&lt;=tbl_MTG_Set[[#This Row],[Sell Window End]])</f>
        <v>#VALUE!</v>
      </c>
      <c r="AG423" s="10"/>
      <c r="AH423" s="10"/>
      <c r="AM423" s="10" t="str" cm="1">
        <f t="array" ref="AM4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3" s="10" t="str" cm="1">
        <f t="array" ref="AN4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3" s="4" t="e">
        <f>_xlfn.XLOOKUP(tbl_MTG_Set[[#This Row],[Play Booster Box Product Id]], tbl_Product[Product Id], tbl_Product[Pack Size])</f>
        <v>#N/A</v>
      </c>
      <c r="AP423" s="10" t="e">
        <f>(tbl_MTG_Set[[#This Row],[Play Booster Box Cost]]+v_Item_Shipping_Cost_In)/tbl_MTG_Set[[#This Row],[Play Booster Box Size]]</f>
        <v>#VALUE!</v>
      </c>
      <c r="AQ423" s="10" t="str" cm="1">
        <f t="array" ref="AQ4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3" s="10"/>
      <c r="AS423" s="10"/>
      <c r="AT423" s="17" t="e">
        <f>tbl_MTG_Set[[#This Row],[Play Booster CardMarket Profit]]/tbl_MTG_Set[[#This Row],[Play Booster Cost]]</f>
        <v>#VALUE!</v>
      </c>
      <c r="AU423" s="10" t="e">
        <f>_xlfn.XLOOKUP(tbl_MTG_Set[[#This Row],[Collector Booster Box Product Id]], tbl_Product[Product Id], tbl_Product[Min Cost])</f>
        <v>#N/A</v>
      </c>
      <c r="AV423" s="10" t="e">
        <f>_xlfn.XLOOKUP(tbl_MTG_Set[[#This Row],[Collector Booster Box Product Id]], tbl_Product[Product Id], tbl_Product[Best Source])</f>
        <v>#N/A</v>
      </c>
      <c r="AW423" s="4" t="e">
        <f>_xlfn.XLOOKUP(tbl_MTG_Set[[#This Row],[Collector Booster Box Product Id]], tbl_Product[Product Id], tbl_Product[Pack Size])</f>
        <v>#N/A</v>
      </c>
      <c r="AX423" s="10" t="e">
        <f>(tbl_MTG_Set[[#This Row],[Collector Booster Box Cost]] + v_Item_Shipping_Cost_In) / tbl_MTG_Set[[#This Row],[Collector Booster Box Size]]</f>
        <v>#N/A</v>
      </c>
      <c r="AY423" s="10" t="str" cm="1">
        <f t="array" ref="AY4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3" s="10"/>
      <c r="BA4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3" s="17" t="e">
        <f>tbl_MTG_Set[[#This Row],[Collector Booster CardMarket Profit]]/tbl_MTG_Set[[#This Row],[Collector Booster Cost]]</f>
        <v>#N/A</v>
      </c>
      <c r="BC423" s="10"/>
      <c r="BF4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3" s="11" t="e">
        <f>tbl_MTG_Set[[#This Row],[Play Singles CardMarket Profit MTG Stocks]]/tbl_MTG_Set[[#This Row],[Play Booster Cost]]</f>
        <v>#VALUE!</v>
      </c>
      <c r="BI423" s="11" t="b">
        <f>tbl_MTG_Set[[#This Row],[Play Singles CardMarket Profit MTG Stocks]]&gt;0</f>
        <v>0</v>
      </c>
      <c r="BM423" s="10" t="e">
        <f>tbl_MTG_Set[[#This Row],[Play Booster Sell Price CardMarket]]*tbl_MTG_Set[[#This Row],[Play Booster Expected Market Value BotBox]]/tbl_MTG_Set[[#This Row],[Play Booster Sealed Market Value BotBox]]</f>
        <v>#VALUE!</v>
      </c>
      <c r="BN4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3" s="10" t="e">
        <f>tbl_MTG_Set[[#This Row],[Play Singles CardMarket Profit BotBox]]/tbl_MTG_Set[[#This Row],[Play Booster Cost]]</f>
        <v>#VALUE!</v>
      </c>
      <c r="BP423" s="10" t="b">
        <f>tbl_MTG_Set[[#This Row],[Play Singles CardMarket Profit BotBox]]&gt;0</f>
        <v>0</v>
      </c>
      <c r="BQ423" s="10"/>
      <c r="BR423" s="10"/>
      <c r="BS423" s="10"/>
      <c r="BT4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3" s="19" t="e">
        <f>tbl_MTG_Set[[#This Row],[Collector Singles CardMarket Profit MTG Stocks]]/tbl_MTG_Set[[#This Row],[Collector Booster Cost]]</f>
        <v>#N/A</v>
      </c>
      <c r="BW423" s="10" t="b">
        <f>tbl_MTG_Set[[#This Row],[Collector Singles CardMarket Profit MTG Stocks]]&gt;0</f>
        <v>0</v>
      </c>
      <c r="BX423" s="10"/>
      <c r="BY423" s="10"/>
      <c r="BZ4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3" s="10" t="e">
        <f>tbl_MTG_Set[[#This Row],[Collector Singles CardMarket Profit BotBox]]/tbl_MTG_Set[[#This Row],[Collector Booster Cost]]</f>
        <v>#N/A</v>
      </c>
      <c r="CC423" s="10" t="b">
        <f>tbl_MTG_Set[[#This Row],[Collector Singles CardMarket Profit BotBox]]&gt;0</f>
        <v>0</v>
      </c>
      <c r="CD4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4" spans="1:86" hidden="1">
      <c r="A424">
        <v>454</v>
      </c>
      <c r="B424" t="s">
        <v>597</v>
      </c>
      <c r="C424">
        <v>40</v>
      </c>
      <c r="D424" s="3">
        <v>43441</v>
      </c>
      <c r="F424" t="s">
        <v>174</v>
      </c>
      <c r="G424">
        <v>854</v>
      </c>
      <c r="H424">
        <f ca="1">MONTH(NOW())+12*YEAR(NOW())-MONTH(tbl_MTG_Set[[#This Row],[Released On]])-12*YEAR(tbl_MTG_Set[[#This Row],[Released On]])</f>
        <v>87</v>
      </c>
      <c r="I424" t="str">
        <f>_xlfn.XLOOKUP(tbl_MTG_Set[[#This Row],[Type Name]], tbl_MTG_Set_Type[Set Type], tbl_MTG_Set_Type[Index], "(Set Type not found)")</f>
        <v>(Set Type not found)</v>
      </c>
      <c r="J424" t="str">
        <f>_xlfn.XLOOKUP(tbl_MTG_Set[[#This Row],[Type Name]], tbl_MTG_Set_Type[Set Type], tbl_MTG_Set_Type[Buy Window Month Start], "(Set Type not found)")</f>
        <v>(Set Type not found)</v>
      </c>
      <c r="K424" s="3" t="e">
        <f>tbl_MTG_Set[[#This Row],[Released On]]+tbl_MTG_Set[[#This Row],[Buy Window Month Start]]*365.25/12</f>
        <v>#VALUE!</v>
      </c>
      <c r="L424" t="str">
        <f>_xlfn.XLOOKUP(tbl_MTG_Set[[#This Row],[Type Name]], tbl_MTG_Set_Type[Set Type], tbl_MTG_Set_Type[Buy Window Month End], "(Set Type not found)", 0, 1)</f>
        <v>(Set Type not found)</v>
      </c>
      <c r="M424" s="3" t="e">
        <f>tbl_MTG_Set[[#This Row],[Released On]]+tbl_MTG_Set[[#This Row],[Buy Window Month End]]*365.25/12</f>
        <v>#VALUE!</v>
      </c>
      <c r="N424" s="3" t="e">
        <f ca="1">AND(NOW()&gt;=tbl_MTG_Set[[#This Row],[Buy Window Start]], NOW()&lt;=tbl_MTG_Set[[#This Row],[Buy Window End]])</f>
        <v>#VALUE!</v>
      </c>
      <c r="O424" t="str">
        <f>_xlfn.XLOOKUP(tbl_MTG_Set[[#This Row],[Type Name]], tbl_MTG_Set_Type[Set Type], tbl_MTG_Set_Type[Heavy Printing Window Month Start], "(Set Type not found)", 0, 1)</f>
        <v>(Set Type not found)</v>
      </c>
      <c r="P424" s="3" t="e">
        <f>tbl_MTG_Set[[#This Row],[Released On]]+tbl_MTG_Set[[#This Row],[Heavy Printing Window Month Start]]*365.25/12</f>
        <v>#VALUE!</v>
      </c>
      <c r="Q424" t="str">
        <f>_xlfn.XLOOKUP(tbl_MTG_Set[[#This Row],[Type Name]], tbl_MTG_Set_Type[Set Type], tbl_MTG_Set_Type[Heavy Printing Window Month End], "(Set Type not found)", 0, 1)</f>
        <v>(Set Type not found)</v>
      </c>
      <c r="R424" s="3" t="e">
        <f>tbl_MTG_Set[[#This Row],[Released On]]+tbl_MTG_Set[[#This Row],[Heavy Printing Window Month End]]*365.25/12</f>
        <v>#VALUE!</v>
      </c>
      <c r="S424" s="3" t="e">
        <f ca="1">AND(NOW()&gt;=tbl_MTG_Set[[#This Row],[Heavy Printing Window Start]], NOW()&lt;=tbl_MTG_Set[[#This Row],[Heavy Printing Window End]])</f>
        <v>#VALUE!</v>
      </c>
      <c r="T424" t="str">
        <f>_xlfn.XLOOKUP(tbl_MTG_Set[[#This Row],[Type Name]], tbl_MTG_Set_Type[Set Type], tbl_MTG_Set_Type[Sell Window Month Start], "(Set Type not found)", 0, 1)</f>
        <v>(Set Type not found)</v>
      </c>
      <c r="U424" s="3" t="e">
        <f>tbl_MTG_Set[[#This Row],[Released On]]+tbl_MTG_Set[[#This Row],[Sell Window Month Start]]*365.25/12</f>
        <v>#VALUE!</v>
      </c>
      <c r="V424" t="str">
        <f>_xlfn.XLOOKUP(tbl_MTG_Set[[#This Row],[Type Name]], tbl_MTG_Set_Type[Set Type], tbl_MTG_Set_Type[Sell Window Month End], "(Set Type not found)", 0, 1)</f>
        <v>(Set Type not found)</v>
      </c>
      <c r="W424" s="3" t="e">
        <f>tbl_MTG_Set[[#This Row],[Released On]]+tbl_MTG_Set[[#This Row],[Sell Window Month End]]*365.25/12</f>
        <v>#VALUE!</v>
      </c>
      <c r="X424" s="3" t="e">
        <f ca="1">AND(NOW()&gt;=tbl_MTG_Set[[#This Row],[Sell Window Start]], NOW()&lt;=tbl_MTG_Set[[#This Row],[Sell Window End]])</f>
        <v>#VALUE!</v>
      </c>
      <c r="AG424" s="10"/>
      <c r="AH424" s="10"/>
      <c r="AM424" s="10" t="str" cm="1">
        <f t="array" ref="AM4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4" s="10" t="str" cm="1">
        <f t="array" ref="AN4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4" s="4" t="e">
        <f>_xlfn.XLOOKUP(tbl_MTG_Set[[#This Row],[Play Booster Box Product Id]], tbl_Product[Product Id], tbl_Product[Pack Size])</f>
        <v>#N/A</v>
      </c>
      <c r="AP424" s="10" t="e">
        <f>(tbl_MTG_Set[[#This Row],[Play Booster Box Cost]]+v_Item_Shipping_Cost_In)/tbl_MTG_Set[[#This Row],[Play Booster Box Size]]</f>
        <v>#VALUE!</v>
      </c>
      <c r="AQ424" s="10" t="str" cm="1">
        <f t="array" ref="AQ4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4" s="10"/>
      <c r="AS424" s="10"/>
      <c r="AT424" s="17" t="e">
        <f>tbl_MTG_Set[[#This Row],[Play Booster CardMarket Profit]]/tbl_MTG_Set[[#This Row],[Play Booster Cost]]</f>
        <v>#VALUE!</v>
      </c>
      <c r="AU424" s="10" t="e">
        <f>_xlfn.XLOOKUP(tbl_MTG_Set[[#This Row],[Collector Booster Box Product Id]], tbl_Product[Product Id], tbl_Product[Min Cost])</f>
        <v>#N/A</v>
      </c>
      <c r="AV424" s="10" t="e">
        <f>_xlfn.XLOOKUP(tbl_MTG_Set[[#This Row],[Collector Booster Box Product Id]], tbl_Product[Product Id], tbl_Product[Best Source])</f>
        <v>#N/A</v>
      </c>
      <c r="AW424" s="4" t="e">
        <f>_xlfn.XLOOKUP(tbl_MTG_Set[[#This Row],[Collector Booster Box Product Id]], tbl_Product[Product Id], tbl_Product[Pack Size])</f>
        <v>#N/A</v>
      </c>
      <c r="AX424" s="10" t="e">
        <f>(tbl_MTG_Set[[#This Row],[Collector Booster Box Cost]] + v_Item_Shipping_Cost_In) / tbl_MTG_Set[[#This Row],[Collector Booster Box Size]]</f>
        <v>#N/A</v>
      </c>
      <c r="AY424" s="10" t="str" cm="1">
        <f t="array" ref="AY4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4" s="10"/>
      <c r="BA4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4" s="17" t="e">
        <f>tbl_MTG_Set[[#This Row],[Collector Booster CardMarket Profit]]/tbl_MTG_Set[[#This Row],[Collector Booster Cost]]</f>
        <v>#N/A</v>
      </c>
      <c r="BC424" s="10"/>
      <c r="BF4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4" s="11" t="e">
        <f>tbl_MTG_Set[[#This Row],[Play Singles CardMarket Profit MTG Stocks]]/tbl_MTG_Set[[#This Row],[Play Booster Cost]]</f>
        <v>#VALUE!</v>
      </c>
      <c r="BI424" s="11" t="b">
        <f>tbl_MTG_Set[[#This Row],[Play Singles CardMarket Profit MTG Stocks]]&gt;0</f>
        <v>0</v>
      </c>
      <c r="BM424" s="10" t="e">
        <f>tbl_MTG_Set[[#This Row],[Play Booster Sell Price CardMarket]]*tbl_MTG_Set[[#This Row],[Play Booster Expected Market Value BotBox]]/tbl_MTG_Set[[#This Row],[Play Booster Sealed Market Value BotBox]]</f>
        <v>#VALUE!</v>
      </c>
      <c r="BN4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4" s="10" t="e">
        <f>tbl_MTG_Set[[#This Row],[Play Singles CardMarket Profit BotBox]]/tbl_MTG_Set[[#This Row],[Play Booster Cost]]</f>
        <v>#VALUE!</v>
      </c>
      <c r="BP424" s="10" t="b">
        <f>tbl_MTG_Set[[#This Row],[Play Singles CardMarket Profit BotBox]]&gt;0</f>
        <v>0</v>
      </c>
      <c r="BQ424" s="10"/>
      <c r="BR424" s="10"/>
      <c r="BS424" s="10"/>
      <c r="BT4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4" s="19" t="e">
        <f>tbl_MTG_Set[[#This Row],[Collector Singles CardMarket Profit MTG Stocks]]/tbl_MTG_Set[[#This Row],[Collector Booster Cost]]</f>
        <v>#N/A</v>
      </c>
      <c r="BW424" s="10" t="b">
        <f>tbl_MTG_Set[[#This Row],[Collector Singles CardMarket Profit MTG Stocks]]&gt;0</f>
        <v>0</v>
      </c>
      <c r="BX424" s="10"/>
      <c r="BY424" s="10"/>
      <c r="BZ4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4" s="10" t="e">
        <f>tbl_MTG_Set[[#This Row],[Collector Singles CardMarket Profit BotBox]]/tbl_MTG_Set[[#This Row],[Collector Booster Cost]]</f>
        <v>#N/A</v>
      </c>
      <c r="CC424" s="10" t="b">
        <f>tbl_MTG_Set[[#This Row],[Collector Singles CardMarket Profit BotBox]]&gt;0</f>
        <v>0</v>
      </c>
      <c r="CD4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5" spans="1:86" hidden="1">
      <c r="A425">
        <v>455</v>
      </c>
      <c r="B425" t="s">
        <v>598</v>
      </c>
      <c r="C425">
        <v>16</v>
      </c>
      <c r="D425" s="3">
        <v>43441</v>
      </c>
      <c r="F425" t="s">
        <v>174</v>
      </c>
      <c r="G425">
        <v>856</v>
      </c>
      <c r="H425">
        <f ca="1">MONTH(NOW())+12*YEAR(NOW())-MONTH(tbl_MTG_Set[[#This Row],[Released On]])-12*YEAR(tbl_MTG_Set[[#This Row],[Released On]])</f>
        <v>87</v>
      </c>
      <c r="I425" t="str">
        <f>_xlfn.XLOOKUP(tbl_MTG_Set[[#This Row],[Type Name]], tbl_MTG_Set_Type[Set Type], tbl_MTG_Set_Type[Index], "(Set Type not found)")</f>
        <v>(Set Type not found)</v>
      </c>
      <c r="J425" t="str">
        <f>_xlfn.XLOOKUP(tbl_MTG_Set[[#This Row],[Type Name]], tbl_MTG_Set_Type[Set Type], tbl_MTG_Set_Type[Buy Window Month Start], "(Set Type not found)")</f>
        <v>(Set Type not found)</v>
      </c>
      <c r="K425" s="3" t="e">
        <f>tbl_MTG_Set[[#This Row],[Released On]]+tbl_MTG_Set[[#This Row],[Buy Window Month Start]]*365.25/12</f>
        <v>#VALUE!</v>
      </c>
      <c r="L425" t="str">
        <f>_xlfn.XLOOKUP(tbl_MTG_Set[[#This Row],[Type Name]], tbl_MTG_Set_Type[Set Type], tbl_MTG_Set_Type[Buy Window Month End], "(Set Type not found)", 0, 1)</f>
        <v>(Set Type not found)</v>
      </c>
      <c r="M425" s="3" t="e">
        <f>tbl_MTG_Set[[#This Row],[Released On]]+tbl_MTG_Set[[#This Row],[Buy Window Month End]]*365.25/12</f>
        <v>#VALUE!</v>
      </c>
      <c r="N425" s="3" t="e">
        <f ca="1">AND(NOW()&gt;=tbl_MTG_Set[[#This Row],[Buy Window Start]], NOW()&lt;=tbl_MTG_Set[[#This Row],[Buy Window End]])</f>
        <v>#VALUE!</v>
      </c>
      <c r="O425" t="str">
        <f>_xlfn.XLOOKUP(tbl_MTG_Set[[#This Row],[Type Name]], tbl_MTG_Set_Type[Set Type], tbl_MTG_Set_Type[Heavy Printing Window Month Start], "(Set Type not found)", 0, 1)</f>
        <v>(Set Type not found)</v>
      </c>
      <c r="P425" s="3" t="e">
        <f>tbl_MTG_Set[[#This Row],[Released On]]+tbl_MTG_Set[[#This Row],[Heavy Printing Window Month Start]]*365.25/12</f>
        <v>#VALUE!</v>
      </c>
      <c r="Q425" t="str">
        <f>_xlfn.XLOOKUP(tbl_MTG_Set[[#This Row],[Type Name]], tbl_MTG_Set_Type[Set Type], tbl_MTG_Set_Type[Heavy Printing Window Month End], "(Set Type not found)", 0, 1)</f>
        <v>(Set Type not found)</v>
      </c>
      <c r="R425" s="3" t="e">
        <f>tbl_MTG_Set[[#This Row],[Released On]]+tbl_MTG_Set[[#This Row],[Heavy Printing Window Month End]]*365.25/12</f>
        <v>#VALUE!</v>
      </c>
      <c r="S425" s="3" t="e">
        <f ca="1">AND(NOW()&gt;=tbl_MTG_Set[[#This Row],[Heavy Printing Window Start]], NOW()&lt;=tbl_MTG_Set[[#This Row],[Heavy Printing Window End]])</f>
        <v>#VALUE!</v>
      </c>
      <c r="T425" t="str">
        <f>_xlfn.XLOOKUP(tbl_MTG_Set[[#This Row],[Type Name]], tbl_MTG_Set_Type[Set Type], tbl_MTG_Set_Type[Sell Window Month Start], "(Set Type not found)", 0, 1)</f>
        <v>(Set Type not found)</v>
      </c>
      <c r="U425" s="3" t="e">
        <f>tbl_MTG_Set[[#This Row],[Released On]]+tbl_MTG_Set[[#This Row],[Sell Window Month Start]]*365.25/12</f>
        <v>#VALUE!</v>
      </c>
      <c r="V425" t="str">
        <f>_xlfn.XLOOKUP(tbl_MTG_Set[[#This Row],[Type Name]], tbl_MTG_Set_Type[Set Type], tbl_MTG_Set_Type[Sell Window Month End], "(Set Type not found)", 0, 1)</f>
        <v>(Set Type not found)</v>
      </c>
      <c r="W425" s="3" t="e">
        <f>tbl_MTG_Set[[#This Row],[Released On]]+tbl_MTG_Set[[#This Row],[Sell Window Month End]]*365.25/12</f>
        <v>#VALUE!</v>
      </c>
      <c r="X425" s="3" t="e">
        <f ca="1">AND(NOW()&gt;=tbl_MTG_Set[[#This Row],[Sell Window Start]], NOW()&lt;=tbl_MTG_Set[[#This Row],[Sell Window End]])</f>
        <v>#VALUE!</v>
      </c>
      <c r="AG425" s="10"/>
      <c r="AH425" s="10"/>
      <c r="AM425" s="10" t="str" cm="1">
        <f t="array" ref="AM4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5" s="10" t="str" cm="1">
        <f t="array" ref="AN4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5" s="4" t="e">
        <f>_xlfn.XLOOKUP(tbl_MTG_Set[[#This Row],[Play Booster Box Product Id]], tbl_Product[Product Id], tbl_Product[Pack Size])</f>
        <v>#N/A</v>
      </c>
      <c r="AP425" s="10" t="e">
        <f>(tbl_MTG_Set[[#This Row],[Play Booster Box Cost]]+v_Item_Shipping_Cost_In)/tbl_MTG_Set[[#This Row],[Play Booster Box Size]]</f>
        <v>#VALUE!</v>
      </c>
      <c r="AQ425" s="10" t="str" cm="1">
        <f t="array" ref="AQ4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5" s="10"/>
      <c r="AS425" s="10"/>
      <c r="AT425" s="17" t="e">
        <f>tbl_MTG_Set[[#This Row],[Play Booster CardMarket Profit]]/tbl_MTG_Set[[#This Row],[Play Booster Cost]]</f>
        <v>#VALUE!</v>
      </c>
      <c r="AU425" s="10" t="e">
        <f>_xlfn.XLOOKUP(tbl_MTG_Set[[#This Row],[Collector Booster Box Product Id]], tbl_Product[Product Id], tbl_Product[Min Cost])</f>
        <v>#N/A</v>
      </c>
      <c r="AV425" s="10" t="e">
        <f>_xlfn.XLOOKUP(tbl_MTG_Set[[#This Row],[Collector Booster Box Product Id]], tbl_Product[Product Id], tbl_Product[Best Source])</f>
        <v>#N/A</v>
      </c>
      <c r="AW425" s="4" t="e">
        <f>_xlfn.XLOOKUP(tbl_MTG_Set[[#This Row],[Collector Booster Box Product Id]], tbl_Product[Product Id], tbl_Product[Pack Size])</f>
        <v>#N/A</v>
      </c>
      <c r="AX425" s="10" t="e">
        <f>(tbl_MTG_Set[[#This Row],[Collector Booster Box Cost]] + v_Item_Shipping_Cost_In) / tbl_MTG_Set[[#This Row],[Collector Booster Box Size]]</f>
        <v>#N/A</v>
      </c>
      <c r="AY425" s="10" t="str" cm="1">
        <f t="array" ref="AY4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5" s="10"/>
      <c r="BA4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5" s="17" t="e">
        <f>tbl_MTG_Set[[#This Row],[Collector Booster CardMarket Profit]]/tbl_MTG_Set[[#This Row],[Collector Booster Cost]]</f>
        <v>#N/A</v>
      </c>
      <c r="BC425" s="10"/>
      <c r="BF4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5" s="11" t="e">
        <f>tbl_MTG_Set[[#This Row],[Play Singles CardMarket Profit MTG Stocks]]/tbl_MTG_Set[[#This Row],[Play Booster Cost]]</f>
        <v>#VALUE!</v>
      </c>
      <c r="BI425" s="11" t="b">
        <f>tbl_MTG_Set[[#This Row],[Play Singles CardMarket Profit MTG Stocks]]&gt;0</f>
        <v>0</v>
      </c>
      <c r="BM425" s="10" t="e">
        <f>tbl_MTG_Set[[#This Row],[Play Booster Sell Price CardMarket]]*tbl_MTG_Set[[#This Row],[Play Booster Expected Market Value BotBox]]/tbl_MTG_Set[[#This Row],[Play Booster Sealed Market Value BotBox]]</f>
        <v>#VALUE!</v>
      </c>
      <c r="BN4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5" s="10" t="e">
        <f>tbl_MTG_Set[[#This Row],[Play Singles CardMarket Profit BotBox]]/tbl_MTG_Set[[#This Row],[Play Booster Cost]]</f>
        <v>#VALUE!</v>
      </c>
      <c r="BP425" s="10" t="b">
        <f>tbl_MTG_Set[[#This Row],[Play Singles CardMarket Profit BotBox]]&gt;0</f>
        <v>0</v>
      </c>
      <c r="BQ425" s="10"/>
      <c r="BR425" s="10"/>
      <c r="BS425" s="10"/>
      <c r="BT4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5" s="19" t="e">
        <f>tbl_MTG_Set[[#This Row],[Collector Singles CardMarket Profit MTG Stocks]]/tbl_MTG_Set[[#This Row],[Collector Booster Cost]]</f>
        <v>#N/A</v>
      </c>
      <c r="BW425" s="10" t="b">
        <f>tbl_MTG_Set[[#This Row],[Collector Singles CardMarket Profit MTG Stocks]]&gt;0</f>
        <v>0</v>
      </c>
      <c r="BX425" s="10"/>
      <c r="BY425" s="10"/>
      <c r="BZ4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5" s="10" t="e">
        <f>tbl_MTG_Set[[#This Row],[Collector Singles CardMarket Profit BotBox]]/tbl_MTG_Set[[#This Row],[Collector Booster Cost]]</f>
        <v>#N/A</v>
      </c>
      <c r="CC425" s="10" t="b">
        <f>tbl_MTG_Set[[#This Row],[Collector Singles CardMarket Profit BotBox]]&gt;0</f>
        <v>0</v>
      </c>
      <c r="CD4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6" spans="1:86" hidden="1">
      <c r="A426">
        <v>456</v>
      </c>
      <c r="B426" t="s">
        <v>599</v>
      </c>
      <c r="C426">
        <v>68</v>
      </c>
      <c r="D426" s="3">
        <v>43420</v>
      </c>
      <c r="F426" t="s">
        <v>174</v>
      </c>
      <c r="G426">
        <v>858</v>
      </c>
      <c r="H426">
        <f ca="1">MONTH(NOW())+12*YEAR(NOW())-MONTH(tbl_MTG_Set[[#This Row],[Released On]])-12*YEAR(tbl_MTG_Set[[#This Row],[Released On]])</f>
        <v>88</v>
      </c>
      <c r="I426" t="str">
        <f>_xlfn.XLOOKUP(tbl_MTG_Set[[#This Row],[Type Name]], tbl_MTG_Set_Type[Set Type], tbl_MTG_Set_Type[Index], "(Set Type not found)")</f>
        <v>(Set Type not found)</v>
      </c>
      <c r="J426" t="str">
        <f>_xlfn.XLOOKUP(tbl_MTG_Set[[#This Row],[Type Name]], tbl_MTG_Set_Type[Set Type], tbl_MTG_Set_Type[Buy Window Month Start], "(Set Type not found)")</f>
        <v>(Set Type not found)</v>
      </c>
      <c r="K426" s="3" t="e">
        <f>tbl_MTG_Set[[#This Row],[Released On]]+tbl_MTG_Set[[#This Row],[Buy Window Month Start]]*365.25/12</f>
        <v>#VALUE!</v>
      </c>
      <c r="L426" t="str">
        <f>_xlfn.XLOOKUP(tbl_MTG_Set[[#This Row],[Type Name]], tbl_MTG_Set_Type[Set Type], tbl_MTG_Set_Type[Buy Window Month End], "(Set Type not found)", 0, 1)</f>
        <v>(Set Type not found)</v>
      </c>
      <c r="M426" s="3" t="e">
        <f>tbl_MTG_Set[[#This Row],[Released On]]+tbl_MTG_Set[[#This Row],[Buy Window Month End]]*365.25/12</f>
        <v>#VALUE!</v>
      </c>
      <c r="N426" s="3" t="e">
        <f ca="1">AND(NOW()&gt;=tbl_MTG_Set[[#This Row],[Buy Window Start]], NOW()&lt;=tbl_MTG_Set[[#This Row],[Buy Window End]])</f>
        <v>#VALUE!</v>
      </c>
      <c r="O426" t="str">
        <f>_xlfn.XLOOKUP(tbl_MTG_Set[[#This Row],[Type Name]], tbl_MTG_Set_Type[Set Type], tbl_MTG_Set_Type[Heavy Printing Window Month Start], "(Set Type not found)", 0, 1)</f>
        <v>(Set Type not found)</v>
      </c>
      <c r="P426" s="3" t="e">
        <f>tbl_MTG_Set[[#This Row],[Released On]]+tbl_MTG_Set[[#This Row],[Heavy Printing Window Month Start]]*365.25/12</f>
        <v>#VALUE!</v>
      </c>
      <c r="Q426" t="str">
        <f>_xlfn.XLOOKUP(tbl_MTG_Set[[#This Row],[Type Name]], tbl_MTG_Set_Type[Set Type], tbl_MTG_Set_Type[Heavy Printing Window Month End], "(Set Type not found)", 0, 1)</f>
        <v>(Set Type not found)</v>
      </c>
      <c r="R426" s="3" t="e">
        <f>tbl_MTG_Set[[#This Row],[Released On]]+tbl_MTG_Set[[#This Row],[Heavy Printing Window Month End]]*365.25/12</f>
        <v>#VALUE!</v>
      </c>
      <c r="S426" s="3" t="e">
        <f ca="1">AND(NOW()&gt;=tbl_MTG_Set[[#This Row],[Heavy Printing Window Start]], NOW()&lt;=tbl_MTG_Set[[#This Row],[Heavy Printing Window End]])</f>
        <v>#VALUE!</v>
      </c>
      <c r="T426" t="str">
        <f>_xlfn.XLOOKUP(tbl_MTG_Set[[#This Row],[Type Name]], tbl_MTG_Set_Type[Set Type], tbl_MTG_Set_Type[Sell Window Month Start], "(Set Type not found)", 0, 1)</f>
        <v>(Set Type not found)</v>
      </c>
      <c r="U426" s="3" t="e">
        <f>tbl_MTG_Set[[#This Row],[Released On]]+tbl_MTG_Set[[#This Row],[Sell Window Month Start]]*365.25/12</f>
        <v>#VALUE!</v>
      </c>
      <c r="V426" t="str">
        <f>_xlfn.XLOOKUP(tbl_MTG_Set[[#This Row],[Type Name]], tbl_MTG_Set_Type[Set Type], tbl_MTG_Set_Type[Sell Window Month End], "(Set Type not found)", 0, 1)</f>
        <v>(Set Type not found)</v>
      </c>
      <c r="W426" s="3" t="e">
        <f>tbl_MTG_Set[[#This Row],[Released On]]+tbl_MTG_Set[[#This Row],[Sell Window Month End]]*365.25/12</f>
        <v>#VALUE!</v>
      </c>
      <c r="X426" s="3" t="e">
        <f ca="1">AND(NOW()&gt;=tbl_MTG_Set[[#This Row],[Sell Window Start]], NOW()&lt;=tbl_MTG_Set[[#This Row],[Sell Window End]])</f>
        <v>#VALUE!</v>
      </c>
      <c r="AG426" s="10"/>
      <c r="AH426" s="10"/>
      <c r="AM426" s="10" t="str" cm="1">
        <f t="array" ref="AM4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6" s="10" t="str" cm="1">
        <f t="array" ref="AN4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6" s="4" t="e">
        <f>_xlfn.XLOOKUP(tbl_MTG_Set[[#This Row],[Play Booster Box Product Id]], tbl_Product[Product Id], tbl_Product[Pack Size])</f>
        <v>#N/A</v>
      </c>
      <c r="AP426" s="10" t="e">
        <f>(tbl_MTG_Set[[#This Row],[Play Booster Box Cost]]+v_Item_Shipping_Cost_In)/tbl_MTG_Set[[#This Row],[Play Booster Box Size]]</f>
        <v>#VALUE!</v>
      </c>
      <c r="AQ426" s="10" t="str" cm="1">
        <f t="array" ref="AQ4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6" s="10"/>
      <c r="AS426" s="10"/>
      <c r="AT426" s="17" t="e">
        <f>tbl_MTG_Set[[#This Row],[Play Booster CardMarket Profit]]/tbl_MTG_Set[[#This Row],[Play Booster Cost]]</f>
        <v>#VALUE!</v>
      </c>
      <c r="AU426" s="10" t="e">
        <f>_xlfn.XLOOKUP(tbl_MTG_Set[[#This Row],[Collector Booster Box Product Id]], tbl_Product[Product Id], tbl_Product[Min Cost])</f>
        <v>#N/A</v>
      </c>
      <c r="AV426" s="10" t="e">
        <f>_xlfn.XLOOKUP(tbl_MTG_Set[[#This Row],[Collector Booster Box Product Id]], tbl_Product[Product Id], tbl_Product[Best Source])</f>
        <v>#N/A</v>
      </c>
      <c r="AW426" s="4" t="e">
        <f>_xlfn.XLOOKUP(tbl_MTG_Set[[#This Row],[Collector Booster Box Product Id]], tbl_Product[Product Id], tbl_Product[Pack Size])</f>
        <v>#N/A</v>
      </c>
      <c r="AX426" s="10" t="e">
        <f>(tbl_MTG_Set[[#This Row],[Collector Booster Box Cost]] + v_Item_Shipping_Cost_In) / tbl_MTG_Set[[#This Row],[Collector Booster Box Size]]</f>
        <v>#N/A</v>
      </c>
      <c r="AY426" s="10" t="str" cm="1">
        <f t="array" ref="AY4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6" s="10"/>
      <c r="BA4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6" s="17" t="e">
        <f>tbl_MTG_Set[[#This Row],[Collector Booster CardMarket Profit]]/tbl_MTG_Set[[#This Row],[Collector Booster Cost]]</f>
        <v>#N/A</v>
      </c>
      <c r="BC426" s="10"/>
      <c r="BF4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6" s="11" t="e">
        <f>tbl_MTG_Set[[#This Row],[Play Singles CardMarket Profit MTG Stocks]]/tbl_MTG_Set[[#This Row],[Play Booster Cost]]</f>
        <v>#VALUE!</v>
      </c>
      <c r="BI426" s="11" t="b">
        <f>tbl_MTG_Set[[#This Row],[Play Singles CardMarket Profit MTG Stocks]]&gt;0</f>
        <v>0</v>
      </c>
      <c r="BM426" s="10" t="e">
        <f>tbl_MTG_Set[[#This Row],[Play Booster Sell Price CardMarket]]*tbl_MTG_Set[[#This Row],[Play Booster Expected Market Value BotBox]]/tbl_MTG_Set[[#This Row],[Play Booster Sealed Market Value BotBox]]</f>
        <v>#VALUE!</v>
      </c>
      <c r="BN4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6" s="10" t="e">
        <f>tbl_MTG_Set[[#This Row],[Play Singles CardMarket Profit BotBox]]/tbl_MTG_Set[[#This Row],[Play Booster Cost]]</f>
        <v>#VALUE!</v>
      </c>
      <c r="BP426" s="10" t="b">
        <f>tbl_MTG_Set[[#This Row],[Play Singles CardMarket Profit BotBox]]&gt;0</f>
        <v>0</v>
      </c>
      <c r="BQ426" s="10"/>
      <c r="BR426" s="10"/>
      <c r="BS426" s="10"/>
      <c r="BT4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6" s="19" t="e">
        <f>tbl_MTG_Set[[#This Row],[Collector Singles CardMarket Profit MTG Stocks]]/tbl_MTG_Set[[#This Row],[Collector Booster Cost]]</f>
        <v>#N/A</v>
      </c>
      <c r="BW426" s="10" t="b">
        <f>tbl_MTG_Set[[#This Row],[Collector Singles CardMarket Profit MTG Stocks]]&gt;0</f>
        <v>0</v>
      </c>
      <c r="BX426" s="10"/>
      <c r="BY426" s="10"/>
      <c r="BZ4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6" s="10" t="e">
        <f>tbl_MTG_Set[[#This Row],[Collector Singles CardMarket Profit BotBox]]/tbl_MTG_Set[[#This Row],[Collector Booster Cost]]</f>
        <v>#N/A</v>
      </c>
      <c r="CC426" s="10" t="b">
        <f>tbl_MTG_Set[[#This Row],[Collector Singles CardMarket Profit BotBox]]&gt;0</f>
        <v>0</v>
      </c>
      <c r="CD4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7" spans="1:86" hidden="1">
      <c r="A427">
        <v>457</v>
      </c>
      <c r="B427" t="s">
        <v>600</v>
      </c>
      <c r="C427">
        <v>127</v>
      </c>
      <c r="D427" s="3">
        <v>43406</v>
      </c>
      <c r="F427" t="s">
        <v>174</v>
      </c>
      <c r="G427">
        <v>860</v>
      </c>
      <c r="H427">
        <f ca="1">MONTH(NOW())+12*YEAR(NOW())-MONTH(tbl_MTG_Set[[#This Row],[Released On]])-12*YEAR(tbl_MTG_Set[[#This Row],[Released On]])</f>
        <v>88</v>
      </c>
      <c r="I427" t="str">
        <f>_xlfn.XLOOKUP(tbl_MTG_Set[[#This Row],[Type Name]], tbl_MTG_Set_Type[Set Type], tbl_MTG_Set_Type[Index], "(Set Type not found)")</f>
        <v>(Set Type not found)</v>
      </c>
      <c r="J427" t="str">
        <f>_xlfn.XLOOKUP(tbl_MTG_Set[[#This Row],[Type Name]], tbl_MTG_Set_Type[Set Type], tbl_MTG_Set_Type[Buy Window Month Start], "(Set Type not found)")</f>
        <v>(Set Type not found)</v>
      </c>
      <c r="K427" s="3" t="e">
        <f>tbl_MTG_Set[[#This Row],[Released On]]+tbl_MTG_Set[[#This Row],[Buy Window Month Start]]*365.25/12</f>
        <v>#VALUE!</v>
      </c>
      <c r="L427" t="str">
        <f>_xlfn.XLOOKUP(tbl_MTG_Set[[#This Row],[Type Name]], tbl_MTG_Set_Type[Set Type], tbl_MTG_Set_Type[Buy Window Month End], "(Set Type not found)", 0, 1)</f>
        <v>(Set Type not found)</v>
      </c>
      <c r="M427" s="3" t="e">
        <f>tbl_MTG_Set[[#This Row],[Released On]]+tbl_MTG_Set[[#This Row],[Buy Window Month End]]*365.25/12</f>
        <v>#VALUE!</v>
      </c>
      <c r="N427" s="3" t="e">
        <f ca="1">AND(NOW()&gt;=tbl_MTG_Set[[#This Row],[Buy Window Start]], NOW()&lt;=tbl_MTG_Set[[#This Row],[Buy Window End]])</f>
        <v>#VALUE!</v>
      </c>
      <c r="O427" t="str">
        <f>_xlfn.XLOOKUP(tbl_MTG_Set[[#This Row],[Type Name]], tbl_MTG_Set_Type[Set Type], tbl_MTG_Set_Type[Heavy Printing Window Month Start], "(Set Type not found)", 0, 1)</f>
        <v>(Set Type not found)</v>
      </c>
      <c r="P427" s="3" t="e">
        <f>tbl_MTG_Set[[#This Row],[Released On]]+tbl_MTG_Set[[#This Row],[Heavy Printing Window Month Start]]*365.25/12</f>
        <v>#VALUE!</v>
      </c>
      <c r="Q427" t="str">
        <f>_xlfn.XLOOKUP(tbl_MTG_Set[[#This Row],[Type Name]], tbl_MTG_Set_Type[Set Type], tbl_MTG_Set_Type[Heavy Printing Window Month End], "(Set Type not found)", 0, 1)</f>
        <v>(Set Type not found)</v>
      </c>
      <c r="R427" s="3" t="e">
        <f>tbl_MTG_Set[[#This Row],[Released On]]+tbl_MTG_Set[[#This Row],[Heavy Printing Window Month End]]*365.25/12</f>
        <v>#VALUE!</v>
      </c>
      <c r="S427" s="3" t="e">
        <f ca="1">AND(NOW()&gt;=tbl_MTG_Set[[#This Row],[Heavy Printing Window Start]], NOW()&lt;=tbl_MTG_Set[[#This Row],[Heavy Printing Window End]])</f>
        <v>#VALUE!</v>
      </c>
      <c r="T427" t="str">
        <f>_xlfn.XLOOKUP(tbl_MTG_Set[[#This Row],[Type Name]], tbl_MTG_Set_Type[Set Type], tbl_MTG_Set_Type[Sell Window Month Start], "(Set Type not found)", 0, 1)</f>
        <v>(Set Type not found)</v>
      </c>
      <c r="U427" s="3" t="e">
        <f>tbl_MTG_Set[[#This Row],[Released On]]+tbl_MTG_Set[[#This Row],[Sell Window Month Start]]*365.25/12</f>
        <v>#VALUE!</v>
      </c>
      <c r="V427" t="str">
        <f>_xlfn.XLOOKUP(tbl_MTG_Set[[#This Row],[Type Name]], tbl_MTG_Set_Type[Set Type], tbl_MTG_Set_Type[Sell Window Month End], "(Set Type not found)", 0, 1)</f>
        <v>(Set Type not found)</v>
      </c>
      <c r="W427" s="3" t="e">
        <f>tbl_MTG_Set[[#This Row],[Released On]]+tbl_MTG_Set[[#This Row],[Sell Window Month End]]*365.25/12</f>
        <v>#VALUE!</v>
      </c>
      <c r="X427" s="3" t="e">
        <f ca="1">AND(NOW()&gt;=tbl_MTG_Set[[#This Row],[Sell Window Start]], NOW()&lt;=tbl_MTG_Set[[#This Row],[Sell Window End]])</f>
        <v>#VALUE!</v>
      </c>
      <c r="AG427" s="10"/>
      <c r="AH427" s="10"/>
      <c r="AM427" s="10" t="str" cm="1">
        <f t="array" ref="AM4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7" s="10" t="str" cm="1">
        <f t="array" ref="AN4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7" s="4" t="e">
        <f>_xlfn.XLOOKUP(tbl_MTG_Set[[#This Row],[Play Booster Box Product Id]], tbl_Product[Product Id], tbl_Product[Pack Size])</f>
        <v>#N/A</v>
      </c>
      <c r="AP427" s="10" t="e">
        <f>(tbl_MTG_Set[[#This Row],[Play Booster Box Cost]]+v_Item_Shipping_Cost_In)/tbl_MTG_Set[[#This Row],[Play Booster Box Size]]</f>
        <v>#VALUE!</v>
      </c>
      <c r="AQ427" s="10" t="str" cm="1">
        <f t="array" ref="AQ4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7" s="10"/>
      <c r="AS427" s="10"/>
      <c r="AT427" s="17" t="e">
        <f>tbl_MTG_Set[[#This Row],[Play Booster CardMarket Profit]]/tbl_MTG_Set[[#This Row],[Play Booster Cost]]</f>
        <v>#VALUE!</v>
      </c>
      <c r="AU427" s="10" t="e">
        <f>_xlfn.XLOOKUP(tbl_MTG_Set[[#This Row],[Collector Booster Box Product Id]], tbl_Product[Product Id], tbl_Product[Min Cost])</f>
        <v>#N/A</v>
      </c>
      <c r="AV427" s="10" t="e">
        <f>_xlfn.XLOOKUP(tbl_MTG_Set[[#This Row],[Collector Booster Box Product Id]], tbl_Product[Product Id], tbl_Product[Best Source])</f>
        <v>#N/A</v>
      </c>
      <c r="AW427" s="4" t="e">
        <f>_xlfn.XLOOKUP(tbl_MTG_Set[[#This Row],[Collector Booster Box Product Id]], tbl_Product[Product Id], tbl_Product[Pack Size])</f>
        <v>#N/A</v>
      </c>
      <c r="AX427" s="10" t="e">
        <f>(tbl_MTG_Set[[#This Row],[Collector Booster Box Cost]] + v_Item_Shipping_Cost_In) / tbl_MTG_Set[[#This Row],[Collector Booster Box Size]]</f>
        <v>#N/A</v>
      </c>
      <c r="AY427" s="10" t="str" cm="1">
        <f t="array" ref="AY4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7" s="10"/>
      <c r="BA4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7" s="17" t="e">
        <f>tbl_MTG_Set[[#This Row],[Collector Booster CardMarket Profit]]/tbl_MTG_Set[[#This Row],[Collector Booster Cost]]</f>
        <v>#N/A</v>
      </c>
      <c r="BC427" s="10"/>
      <c r="BF4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7" s="11" t="e">
        <f>tbl_MTG_Set[[#This Row],[Play Singles CardMarket Profit MTG Stocks]]/tbl_MTG_Set[[#This Row],[Play Booster Cost]]</f>
        <v>#VALUE!</v>
      </c>
      <c r="BI427" s="11" t="b">
        <f>tbl_MTG_Set[[#This Row],[Play Singles CardMarket Profit MTG Stocks]]&gt;0</f>
        <v>0</v>
      </c>
      <c r="BM427" s="10" t="e">
        <f>tbl_MTG_Set[[#This Row],[Play Booster Sell Price CardMarket]]*tbl_MTG_Set[[#This Row],[Play Booster Expected Market Value BotBox]]/tbl_MTG_Set[[#This Row],[Play Booster Sealed Market Value BotBox]]</f>
        <v>#VALUE!</v>
      </c>
      <c r="BN4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7" s="10" t="e">
        <f>tbl_MTG_Set[[#This Row],[Play Singles CardMarket Profit BotBox]]/tbl_MTG_Set[[#This Row],[Play Booster Cost]]</f>
        <v>#VALUE!</v>
      </c>
      <c r="BP427" s="10" t="b">
        <f>tbl_MTG_Set[[#This Row],[Play Singles CardMarket Profit BotBox]]&gt;0</f>
        <v>0</v>
      </c>
      <c r="BQ427" s="10"/>
      <c r="BR427" s="10"/>
      <c r="BS427" s="10"/>
      <c r="BT4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7" s="19" t="e">
        <f>tbl_MTG_Set[[#This Row],[Collector Singles CardMarket Profit MTG Stocks]]/tbl_MTG_Set[[#This Row],[Collector Booster Cost]]</f>
        <v>#N/A</v>
      </c>
      <c r="BW427" s="10" t="b">
        <f>tbl_MTG_Set[[#This Row],[Collector Singles CardMarket Profit MTG Stocks]]&gt;0</f>
        <v>0</v>
      </c>
      <c r="BX427" s="10"/>
      <c r="BY427" s="10"/>
      <c r="BZ4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7" s="10" t="e">
        <f>tbl_MTG_Set[[#This Row],[Collector Singles CardMarket Profit BotBox]]/tbl_MTG_Set[[#This Row],[Collector Booster Cost]]</f>
        <v>#N/A</v>
      </c>
      <c r="CC427" s="10" t="b">
        <f>tbl_MTG_Set[[#This Row],[Collector Singles CardMarket Profit BotBox]]&gt;0</f>
        <v>0</v>
      </c>
      <c r="CD4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8" spans="1:86" hidden="1">
      <c r="A428">
        <v>458</v>
      </c>
      <c r="B428" t="s">
        <v>601</v>
      </c>
      <c r="C428">
        <v>10</v>
      </c>
      <c r="D428" s="3">
        <v>43406</v>
      </c>
      <c r="F428" t="s">
        <v>174</v>
      </c>
      <c r="G428">
        <v>862</v>
      </c>
      <c r="H428">
        <f ca="1">MONTH(NOW())+12*YEAR(NOW())-MONTH(tbl_MTG_Set[[#This Row],[Released On]])-12*YEAR(tbl_MTG_Set[[#This Row],[Released On]])</f>
        <v>88</v>
      </c>
      <c r="I428" t="str">
        <f>_xlfn.XLOOKUP(tbl_MTG_Set[[#This Row],[Type Name]], tbl_MTG_Set_Type[Set Type], tbl_MTG_Set_Type[Index], "(Set Type not found)")</f>
        <v>(Set Type not found)</v>
      </c>
      <c r="J428" t="str">
        <f>_xlfn.XLOOKUP(tbl_MTG_Set[[#This Row],[Type Name]], tbl_MTG_Set_Type[Set Type], tbl_MTG_Set_Type[Buy Window Month Start], "(Set Type not found)")</f>
        <v>(Set Type not found)</v>
      </c>
      <c r="K428" s="3" t="e">
        <f>tbl_MTG_Set[[#This Row],[Released On]]+tbl_MTG_Set[[#This Row],[Buy Window Month Start]]*365.25/12</f>
        <v>#VALUE!</v>
      </c>
      <c r="L428" t="str">
        <f>_xlfn.XLOOKUP(tbl_MTG_Set[[#This Row],[Type Name]], tbl_MTG_Set_Type[Set Type], tbl_MTG_Set_Type[Buy Window Month End], "(Set Type not found)", 0, 1)</f>
        <v>(Set Type not found)</v>
      </c>
      <c r="M428" s="3" t="e">
        <f>tbl_MTG_Set[[#This Row],[Released On]]+tbl_MTG_Set[[#This Row],[Buy Window Month End]]*365.25/12</f>
        <v>#VALUE!</v>
      </c>
      <c r="N428" s="3" t="e">
        <f ca="1">AND(NOW()&gt;=tbl_MTG_Set[[#This Row],[Buy Window Start]], NOW()&lt;=tbl_MTG_Set[[#This Row],[Buy Window End]])</f>
        <v>#VALUE!</v>
      </c>
      <c r="O428" t="str">
        <f>_xlfn.XLOOKUP(tbl_MTG_Set[[#This Row],[Type Name]], tbl_MTG_Set_Type[Set Type], tbl_MTG_Set_Type[Heavy Printing Window Month Start], "(Set Type not found)", 0, 1)</f>
        <v>(Set Type not found)</v>
      </c>
      <c r="P428" s="3" t="e">
        <f>tbl_MTG_Set[[#This Row],[Released On]]+tbl_MTG_Set[[#This Row],[Heavy Printing Window Month Start]]*365.25/12</f>
        <v>#VALUE!</v>
      </c>
      <c r="Q428" t="str">
        <f>_xlfn.XLOOKUP(tbl_MTG_Set[[#This Row],[Type Name]], tbl_MTG_Set_Type[Set Type], tbl_MTG_Set_Type[Heavy Printing Window Month End], "(Set Type not found)", 0, 1)</f>
        <v>(Set Type not found)</v>
      </c>
      <c r="R428" s="3" t="e">
        <f>tbl_MTG_Set[[#This Row],[Released On]]+tbl_MTG_Set[[#This Row],[Heavy Printing Window Month End]]*365.25/12</f>
        <v>#VALUE!</v>
      </c>
      <c r="S428" s="3" t="e">
        <f ca="1">AND(NOW()&gt;=tbl_MTG_Set[[#This Row],[Heavy Printing Window Start]], NOW()&lt;=tbl_MTG_Set[[#This Row],[Heavy Printing Window End]])</f>
        <v>#VALUE!</v>
      </c>
      <c r="T428" t="str">
        <f>_xlfn.XLOOKUP(tbl_MTG_Set[[#This Row],[Type Name]], tbl_MTG_Set_Type[Set Type], tbl_MTG_Set_Type[Sell Window Month Start], "(Set Type not found)", 0, 1)</f>
        <v>(Set Type not found)</v>
      </c>
      <c r="U428" s="3" t="e">
        <f>tbl_MTG_Set[[#This Row],[Released On]]+tbl_MTG_Set[[#This Row],[Sell Window Month Start]]*365.25/12</f>
        <v>#VALUE!</v>
      </c>
      <c r="V428" t="str">
        <f>_xlfn.XLOOKUP(tbl_MTG_Set[[#This Row],[Type Name]], tbl_MTG_Set_Type[Set Type], tbl_MTG_Set_Type[Sell Window Month End], "(Set Type not found)", 0, 1)</f>
        <v>(Set Type not found)</v>
      </c>
      <c r="W428" s="3" t="e">
        <f>tbl_MTG_Set[[#This Row],[Released On]]+tbl_MTG_Set[[#This Row],[Sell Window Month End]]*365.25/12</f>
        <v>#VALUE!</v>
      </c>
      <c r="X428" s="3" t="e">
        <f ca="1">AND(NOW()&gt;=tbl_MTG_Set[[#This Row],[Sell Window Start]], NOW()&lt;=tbl_MTG_Set[[#This Row],[Sell Window End]])</f>
        <v>#VALUE!</v>
      </c>
      <c r="AG428" s="10"/>
      <c r="AH428" s="10"/>
      <c r="AM428" s="10" t="str" cm="1">
        <f t="array" ref="AM4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8" s="10" t="str" cm="1">
        <f t="array" ref="AN4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8" s="4" t="e">
        <f>_xlfn.XLOOKUP(tbl_MTG_Set[[#This Row],[Play Booster Box Product Id]], tbl_Product[Product Id], tbl_Product[Pack Size])</f>
        <v>#N/A</v>
      </c>
      <c r="AP428" s="10" t="e">
        <f>(tbl_MTG_Set[[#This Row],[Play Booster Box Cost]]+v_Item_Shipping_Cost_In)/tbl_MTG_Set[[#This Row],[Play Booster Box Size]]</f>
        <v>#VALUE!</v>
      </c>
      <c r="AQ428" s="10" t="str" cm="1">
        <f t="array" ref="AQ4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8" s="10"/>
      <c r="AS428" s="10"/>
      <c r="AT428" s="17" t="e">
        <f>tbl_MTG_Set[[#This Row],[Play Booster CardMarket Profit]]/tbl_MTG_Set[[#This Row],[Play Booster Cost]]</f>
        <v>#VALUE!</v>
      </c>
      <c r="AU428" s="10" t="e">
        <f>_xlfn.XLOOKUP(tbl_MTG_Set[[#This Row],[Collector Booster Box Product Id]], tbl_Product[Product Id], tbl_Product[Min Cost])</f>
        <v>#N/A</v>
      </c>
      <c r="AV428" s="10" t="e">
        <f>_xlfn.XLOOKUP(tbl_MTG_Set[[#This Row],[Collector Booster Box Product Id]], tbl_Product[Product Id], tbl_Product[Best Source])</f>
        <v>#N/A</v>
      </c>
      <c r="AW428" s="4" t="e">
        <f>_xlfn.XLOOKUP(tbl_MTG_Set[[#This Row],[Collector Booster Box Product Id]], tbl_Product[Product Id], tbl_Product[Pack Size])</f>
        <v>#N/A</v>
      </c>
      <c r="AX428" s="10" t="e">
        <f>(tbl_MTG_Set[[#This Row],[Collector Booster Box Cost]] + v_Item_Shipping_Cost_In) / tbl_MTG_Set[[#This Row],[Collector Booster Box Size]]</f>
        <v>#N/A</v>
      </c>
      <c r="AY428" s="10" t="str" cm="1">
        <f t="array" ref="AY4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8" s="10"/>
      <c r="BA4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8" s="17" t="e">
        <f>tbl_MTG_Set[[#This Row],[Collector Booster CardMarket Profit]]/tbl_MTG_Set[[#This Row],[Collector Booster Cost]]</f>
        <v>#N/A</v>
      </c>
      <c r="BC428" s="10"/>
      <c r="BF4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8" s="11" t="e">
        <f>tbl_MTG_Set[[#This Row],[Play Singles CardMarket Profit MTG Stocks]]/tbl_MTG_Set[[#This Row],[Play Booster Cost]]</f>
        <v>#VALUE!</v>
      </c>
      <c r="BI428" s="11" t="b">
        <f>tbl_MTG_Set[[#This Row],[Play Singles CardMarket Profit MTG Stocks]]&gt;0</f>
        <v>0</v>
      </c>
      <c r="BM428" s="10" t="e">
        <f>tbl_MTG_Set[[#This Row],[Play Booster Sell Price CardMarket]]*tbl_MTG_Set[[#This Row],[Play Booster Expected Market Value BotBox]]/tbl_MTG_Set[[#This Row],[Play Booster Sealed Market Value BotBox]]</f>
        <v>#VALUE!</v>
      </c>
      <c r="BN4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8" s="10" t="e">
        <f>tbl_MTG_Set[[#This Row],[Play Singles CardMarket Profit BotBox]]/tbl_MTG_Set[[#This Row],[Play Booster Cost]]</f>
        <v>#VALUE!</v>
      </c>
      <c r="BP428" s="10" t="b">
        <f>tbl_MTG_Set[[#This Row],[Play Singles CardMarket Profit BotBox]]&gt;0</f>
        <v>0</v>
      </c>
      <c r="BQ428" s="10"/>
      <c r="BR428" s="10"/>
      <c r="BS428" s="10"/>
      <c r="BT4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8" s="19" t="e">
        <f>tbl_MTG_Set[[#This Row],[Collector Singles CardMarket Profit MTG Stocks]]/tbl_MTG_Set[[#This Row],[Collector Booster Cost]]</f>
        <v>#N/A</v>
      </c>
      <c r="BW428" s="10" t="b">
        <f>tbl_MTG_Set[[#This Row],[Collector Singles CardMarket Profit MTG Stocks]]&gt;0</f>
        <v>0</v>
      </c>
      <c r="BX428" s="10"/>
      <c r="BY428" s="10"/>
      <c r="BZ4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8" s="10" t="e">
        <f>tbl_MTG_Set[[#This Row],[Collector Singles CardMarket Profit BotBox]]/tbl_MTG_Set[[#This Row],[Collector Booster Cost]]</f>
        <v>#N/A</v>
      </c>
      <c r="CC428" s="10" t="b">
        <f>tbl_MTG_Set[[#This Row],[Collector Singles CardMarket Profit BotBox]]&gt;0</f>
        <v>0</v>
      </c>
      <c r="CD4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29" spans="1:86" hidden="1">
      <c r="A429">
        <v>459</v>
      </c>
      <c r="B429" t="s">
        <v>602</v>
      </c>
      <c r="C429">
        <v>273</v>
      </c>
      <c r="D429" s="3">
        <v>43378</v>
      </c>
      <c r="F429" t="s">
        <v>174</v>
      </c>
      <c r="G429">
        <v>864</v>
      </c>
      <c r="H429">
        <f ca="1">MONTH(NOW())+12*YEAR(NOW())-MONTH(tbl_MTG_Set[[#This Row],[Released On]])-12*YEAR(tbl_MTG_Set[[#This Row],[Released On]])</f>
        <v>89</v>
      </c>
      <c r="I429" t="str">
        <f>_xlfn.XLOOKUP(tbl_MTG_Set[[#This Row],[Type Name]], tbl_MTG_Set_Type[Set Type], tbl_MTG_Set_Type[Index], "(Set Type not found)")</f>
        <v>(Set Type not found)</v>
      </c>
      <c r="J429" t="str">
        <f>_xlfn.XLOOKUP(tbl_MTG_Set[[#This Row],[Type Name]], tbl_MTG_Set_Type[Set Type], tbl_MTG_Set_Type[Buy Window Month Start], "(Set Type not found)")</f>
        <v>(Set Type not found)</v>
      </c>
      <c r="K429" s="3" t="e">
        <f>tbl_MTG_Set[[#This Row],[Released On]]+tbl_MTG_Set[[#This Row],[Buy Window Month Start]]*365.25/12</f>
        <v>#VALUE!</v>
      </c>
      <c r="L429" t="str">
        <f>_xlfn.XLOOKUP(tbl_MTG_Set[[#This Row],[Type Name]], tbl_MTG_Set_Type[Set Type], tbl_MTG_Set_Type[Buy Window Month End], "(Set Type not found)", 0, 1)</f>
        <v>(Set Type not found)</v>
      </c>
      <c r="M429" s="3" t="e">
        <f>tbl_MTG_Set[[#This Row],[Released On]]+tbl_MTG_Set[[#This Row],[Buy Window Month End]]*365.25/12</f>
        <v>#VALUE!</v>
      </c>
      <c r="N429" s="3" t="e">
        <f ca="1">AND(NOW()&gt;=tbl_MTG_Set[[#This Row],[Buy Window Start]], NOW()&lt;=tbl_MTG_Set[[#This Row],[Buy Window End]])</f>
        <v>#VALUE!</v>
      </c>
      <c r="O429" t="str">
        <f>_xlfn.XLOOKUP(tbl_MTG_Set[[#This Row],[Type Name]], tbl_MTG_Set_Type[Set Type], tbl_MTG_Set_Type[Heavy Printing Window Month Start], "(Set Type not found)", 0, 1)</f>
        <v>(Set Type not found)</v>
      </c>
      <c r="P429" s="3" t="e">
        <f>tbl_MTG_Set[[#This Row],[Released On]]+tbl_MTG_Set[[#This Row],[Heavy Printing Window Month Start]]*365.25/12</f>
        <v>#VALUE!</v>
      </c>
      <c r="Q429" t="str">
        <f>_xlfn.XLOOKUP(tbl_MTG_Set[[#This Row],[Type Name]], tbl_MTG_Set_Type[Set Type], tbl_MTG_Set_Type[Heavy Printing Window Month End], "(Set Type not found)", 0, 1)</f>
        <v>(Set Type not found)</v>
      </c>
      <c r="R429" s="3" t="e">
        <f>tbl_MTG_Set[[#This Row],[Released On]]+tbl_MTG_Set[[#This Row],[Heavy Printing Window Month End]]*365.25/12</f>
        <v>#VALUE!</v>
      </c>
      <c r="S429" s="3" t="e">
        <f ca="1">AND(NOW()&gt;=tbl_MTG_Set[[#This Row],[Heavy Printing Window Start]], NOW()&lt;=tbl_MTG_Set[[#This Row],[Heavy Printing Window End]])</f>
        <v>#VALUE!</v>
      </c>
      <c r="T429" t="str">
        <f>_xlfn.XLOOKUP(tbl_MTG_Set[[#This Row],[Type Name]], tbl_MTG_Set_Type[Set Type], tbl_MTG_Set_Type[Sell Window Month Start], "(Set Type not found)", 0, 1)</f>
        <v>(Set Type not found)</v>
      </c>
      <c r="U429" s="3" t="e">
        <f>tbl_MTG_Set[[#This Row],[Released On]]+tbl_MTG_Set[[#This Row],[Sell Window Month Start]]*365.25/12</f>
        <v>#VALUE!</v>
      </c>
      <c r="V429" t="str">
        <f>_xlfn.XLOOKUP(tbl_MTG_Set[[#This Row],[Type Name]], tbl_MTG_Set_Type[Set Type], tbl_MTG_Set_Type[Sell Window Month End], "(Set Type not found)", 0, 1)</f>
        <v>(Set Type not found)</v>
      </c>
      <c r="W429" s="3" t="e">
        <f>tbl_MTG_Set[[#This Row],[Released On]]+tbl_MTG_Set[[#This Row],[Sell Window Month End]]*365.25/12</f>
        <v>#VALUE!</v>
      </c>
      <c r="X429" s="3" t="e">
        <f ca="1">AND(NOW()&gt;=tbl_MTG_Set[[#This Row],[Sell Window Start]], NOW()&lt;=tbl_MTG_Set[[#This Row],[Sell Window End]])</f>
        <v>#VALUE!</v>
      </c>
      <c r="AG429" s="10"/>
      <c r="AH429" s="10"/>
      <c r="AM429" s="10" t="str" cm="1">
        <f t="array" ref="AM4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29" s="10" t="str" cm="1">
        <f t="array" ref="AN4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29" s="4" t="e">
        <f>_xlfn.XLOOKUP(tbl_MTG_Set[[#This Row],[Play Booster Box Product Id]], tbl_Product[Product Id], tbl_Product[Pack Size])</f>
        <v>#N/A</v>
      </c>
      <c r="AP429" s="10" t="e">
        <f>(tbl_MTG_Set[[#This Row],[Play Booster Box Cost]]+v_Item_Shipping_Cost_In)/tbl_MTG_Set[[#This Row],[Play Booster Box Size]]</f>
        <v>#VALUE!</v>
      </c>
      <c r="AQ429" s="10" t="str" cm="1">
        <f t="array" ref="AQ4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29" s="10"/>
      <c r="AS429" s="10"/>
      <c r="AT429" s="17" t="e">
        <f>tbl_MTG_Set[[#This Row],[Play Booster CardMarket Profit]]/tbl_MTG_Set[[#This Row],[Play Booster Cost]]</f>
        <v>#VALUE!</v>
      </c>
      <c r="AU429" s="10" t="e">
        <f>_xlfn.XLOOKUP(tbl_MTG_Set[[#This Row],[Collector Booster Box Product Id]], tbl_Product[Product Id], tbl_Product[Min Cost])</f>
        <v>#N/A</v>
      </c>
      <c r="AV429" s="10" t="e">
        <f>_xlfn.XLOOKUP(tbl_MTG_Set[[#This Row],[Collector Booster Box Product Id]], tbl_Product[Product Id], tbl_Product[Best Source])</f>
        <v>#N/A</v>
      </c>
      <c r="AW429" s="4" t="e">
        <f>_xlfn.XLOOKUP(tbl_MTG_Set[[#This Row],[Collector Booster Box Product Id]], tbl_Product[Product Id], tbl_Product[Pack Size])</f>
        <v>#N/A</v>
      </c>
      <c r="AX429" s="10" t="e">
        <f>(tbl_MTG_Set[[#This Row],[Collector Booster Box Cost]] + v_Item_Shipping_Cost_In) / tbl_MTG_Set[[#This Row],[Collector Booster Box Size]]</f>
        <v>#N/A</v>
      </c>
      <c r="AY429" s="10" t="str" cm="1">
        <f t="array" ref="AY4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29" s="10"/>
      <c r="BA4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29" s="17" t="e">
        <f>tbl_MTG_Set[[#This Row],[Collector Booster CardMarket Profit]]/tbl_MTG_Set[[#This Row],[Collector Booster Cost]]</f>
        <v>#N/A</v>
      </c>
      <c r="BC429" s="10"/>
      <c r="BF4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29" s="11" t="e">
        <f>tbl_MTG_Set[[#This Row],[Play Singles CardMarket Profit MTG Stocks]]/tbl_MTG_Set[[#This Row],[Play Booster Cost]]</f>
        <v>#VALUE!</v>
      </c>
      <c r="BI429" s="11" t="b">
        <f>tbl_MTG_Set[[#This Row],[Play Singles CardMarket Profit MTG Stocks]]&gt;0</f>
        <v>0</v>
      </c>
      <c r="BM429" s="10" t="e">
        <f>tbl_MTG_Set[[#This Row],[Play Booster Sell Price CardMarket]]*tbl_MTG_Set[[#This Row],[Play Booster Expected Market Value BotBox]]/tbl_MTG_Set[[#This Row],[Play Booster Sealed Market Value BotBox]]</f>
        <v>#VALUE!</v>
      </c>
      <c r="BN4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29" s="10" t="e">
        <f>tbl_MTG_Set[[#This Row],[Play Singles CardMarket Profit BotBox]]/tbl_MTG_Set[[#This Row],[Play Booster Cost]]</f>
        <v>#VALUE!</v>
      </c>
      <c r="BP429" s="10" t="b">
        <f>tbl_MTG_Set[[#This Row],[Play Singles CardMarket Profit BotBox]]&gt;0</f>
        <v>0</v>
      </c>
      <c r="BQ429" s="10"/>
      <c r="BR429" s="10"/>
      <c r="BS429" s="10"/>
      <c r="BT4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29" s="19" t="e">
        <f>tbl_MTG_Set[[#This Row],[Collector Singles CardMarket Profit MTG Stocks]]/tbl_MTG_Set[[#This Row],[Collector Booster Cost]]</f>
        <v>#N/A</v>
      </c>
      <c r="BW429" s="10" t="b">
        <f>tbl_MTG_Set[[#This Row],[Collector Singles CardMarket Profit MTG Stocks]]&gt;0</f>
        <v>0</v>
      </c>
      <c r="BX429" s="10"/>
      <c r="BY429" s="10"/>
      <c r="BZ4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29" s="10" t="e">
        <f>tbl_MTG_Set[[#This Row],[Collector Singles CardMarket Profit BotBox]]/tbl_MTG_Set[[#This Row],[Collector Booster Cost]]</f>
        <v>#N/A</v>
      </c>
      <c r="CC429" s="10" t="b">
        <f>tbl_MTG_Set[[#This Row],[Collector Singles CardMarket Profit BotBox]]&gt;0</f>
        <v>0</v>
      </c>
      <c r="CD4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0" spans="1:86" hidden="1">
      <c r="A430">
        <v>460</v>
      </c>
      <c r="B430" t="s">
        <v>603</v>
      </c>
      <c r="C430">
        <v>84</v>
      </c>
      <c r="D430" s="3">
        <v>43378</v>
      </c>
      <c r="F430" t="s">
        <v>174</v>
      </c>
      <c r="G430">
        <v>866</v>
      </c>
      <c r="H430">
        <f ca="1">MONTH(NOW())+12*YEAR(NOW())-MONTH(tbl_MTG_Set[[#This Row],[Released On]])-12*YEAR(tbl_MTG_Set[[#This Row],[Released On]])</f>
        <v>89</v>
      </c>
      <c r="I430" t="str">
        <f>_xlfn.XLOOKUP(tbl_MTG_Set[[#This Row],[Type Name]], tbl_MTG_Set_Type[Set Type], tbl_MTG_Set_Type[Index], "(Set Type not found)")</f>
        <v>(Set Type not found)</v>
      </c>
      <c r="J430" t="str">
        <f>_xlfn.XLOOKUP(tbl_MTG_Set[[#This Row],[Type Name]], tbl_MTG_Set_Type[Set Type], tbl_MTG_Set_Type[Buy Window Month Start], "(Set Type not found)")</f>
        <v>(Set Type not found)</v>
      </c>
      <c r="K430" s="3" t="e">
        <f>tbl_MTG_Set[[#This Row],[Released On]]+tbl_MTG_Set[[#This Row],[Buy Window Month Start]]*365.25/12</f>
        <v>#VALUE!</v>
      </c>
      <c r="L430" t="str">
        <f>_xlfn.XLOOKUP(tbl_MTG_Set[[#This Row],[Type Name]], tbl_MTG_Set_Type[Set Type], tbl_MTG_Set_Type[Buy Window Month End], "(Set Type not found)", 0, 1)</f>
        <v>(Set Type not found)</v>
      </c>
      <c r="M430" s="3" t="e">
        <f>tbl_MTG_Set[[#This Row],[Released On]]+tbl_MTG_Set[[#This Row],[Buy Window Month End]]*365.25/12</f>
        <v>#VALUE!</v>
      </c>
      <c r="N430" s="3" t="e">
        <f ca="1">AND(NOW()&gt;=tbl_MTG_Set[[#This Row],[Buy Window Start]], NOW()&lt;=tbl_MTG_Set[[#This Row],[Buy Window End]])</f>
        <v>#VALUE!</v>
      </c>
      <c r="O430" t="str">
        <f>_xlfn.XLOOKUP(tbl_MTG_Set[[#This Row],[Type Name]], tbl_MTG_Set_Type[Set Type], tbl_MTG_Set_Type[Heavy Printing Window Month Start], "(Set Type not found)", 0, 1)</f>
        <v>(Set Type not found)</v>
      </c>
      <c r="P430" s="3" t="e">
        <f>tbl_MTG_Set[[#This Row],[Released On]]+tbl_MTG_Set[[#This Row],[Heavy Printing Window Month Start]]*365.25/12</f>
        <v>#VALUE!</v>
      </c>
      <c r="Q430" t="str">
        <f>_xlfn.XLOOKUP(tbl_MTG_Set[[#This Row],[Type Name]], tbl_MTG_Set_Type[Set Type], tbl_MTG_Set_Type[Heavy Printing Window Month End], "(Set Type not found)", 0, 1)</f>
        <v>(Set Type not found)</v>
      </c>
      <c r="R430" s="3" t="e">
        <f>tbl_MTG_Set[[#This Row],[Released On]]+tbl_MTG_Set[[#This Row],[Heavy Printing Window Month End]]*365.25/12</f>
        <v>#VALUE!</v>
      </c>
      <c r="S430" s="3" t="e">
        <f ca="1">AND(NOW()&gt;=tbl_MTG_Set[[#This Row],[Heavy Printing Window Start]], NOW()&lt;=tbl_MTG_Set[[#This Row],[Heavy Printing Window End]])</f>
        <v>#VALUE!</v>
      </c>
      <c r="T430" t="str">
        <f>_xlfn.XLOOKUP(tbl_MTG_Set[[#This Row],[Type Name]], tbl_MTG_Set_Type[Set Type], tbl_MTG_Set_Type[Sell Window Month Start], "(Set Type not found)", 0, 1)</f>
        <v>(Set Type not found)</v>
      </c>
      <c r="U430" s="3" t="e">
        <f>tbl_MTG_Set[[#This Row],[Released On]]+tbl_MTG_Set[[#This Row],[Sell Window Month Start]]*365.25/12</f>
        <v>#VALUE!</v>
      </c>
      <c r="V430" t="str">
        <f>_xlfn.XLOOKUP(tbl_MTG_Set[[#This Row],[Type Name]], tbl_MTG_Set_Type[Set Type], tbl_MTG_Set_Type[Sell Window Month End], "(Set Type not found)", 0, 1)</f>
        <v>(Set Type not found)</v>
      </c>
      <c r="W430" s="3" t="e">
        <f>tbl_MTG_Set[[#This Row],[Released On]]+tbl_MTG_Set[[#This Row],[Sell Window Month End]]*365.25/12</f>
        <v>#VALUE!</v>
      </c>
      <c r="X430" s="3" t="e">
        <f ca="1">AND(NOW()&gt;=tbl_MTG_Set[[#This Row],[Sell Window Start]], NOW()&lt;=tbl_MTG_Set[[#This Row],[Sell Window End]])</f>
        <v>#VALUE!</v>
      </c>
      <c r="AG430" s="10"/>
      <c r="AH430" s="10"/>
      <c r="AM430" s="10" t="str" cm="1">
        <f t="array" ref="AM4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0" s="10" t="str" cm="1">
        <f t="array" ref="AN4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0" s="4" t="e">
        <f>_xlfn.XLOOKUP(tbl_MTG_Set[[#This Row],[Play Booster Box Product Id]], tbl_Product[Product Id], tbl_Product[Pack Size])</f>
        <v>#N/A</v>
      </c>
      <c r="AP430" s="10" t="e">
        <f>(tbl_MTG_Set[[#This Row],[Play Booster Box Cost]]+v_Item_Shipping_Cost_In)/tbl_MTG_Set[[#This Row],[Play Booster Box Size]]</f>
        <v>#VALUE!</v>
      </c>
      <c r="AQ430" s="10" t="str" cm="1">
        <f t="array" ref="AQ4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0" s="10"/>
      <c r="AS430" s="10"/>
      <c r="AT430" s="17" t="e">
        <f>tbl_MTG_Set[[#This Row],[Play Booster CardMarket Profit]]/tbl_MTG_Set[[#This Row],[Play Booster Cost]]</f>
        <v>#VALUE!</v>
      </c>
      <c r="AU430" s="10" t="e">
        <f>_xlfn.XLOOKUP(tbl_MTG_Set[[#This Row],[Collector Booster Box Product Id]], tbl_Product[Product Id], tbl_Product[Min Cost])</f>
        <v>#N/A</v>
      </c>
      <c r="AV430" s="10" t="e">
        <f>_xlfn.XLOOKUP(tbl_MTG_Set[[#This Row],[Collector Booster Box Product Id]], tbl_Product[Product Id], tbl_Product[Best Source])</f>
        <v>#N/A</v>
      </c>
      <c r="AW430" s="4" t="e">
        <f>_xlfn.XLOOKUP(tbl_MTG_Set[[#This Row],[Collector Booster Box Product Id]], tbl_Product[Product Id], tbl_Product[Pack Size])</f>
        <v>#N/A</v>
      </c>
      <c r="AX430" s="10" t="e">
        <f>(tbl_MTG_Set[[#This Row],[Collector Booster Box Cost]] + v_Item_Shipping_Cost_In) / tbl_MTG_Set[[#This Row],[Collector Booster Box Size]]</f>
        <v>#N/A</v>
      </c>
      <c r="AY430" s="10" t="str" cm="1">
        <f t="array" ref="AY4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0" s="10"/>
      <c r="BA4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0" s="17" t="e">
        <f>tbl_MTG_Set[[#This Row],[Collector Booster CardMarket Profit]]/tbl_MTG_Set[[#This Row],[Collector Booster Cost]]</f>
        <v>#N/A</v>
      </c>
      <c r="BC430" s="10"/>
      <c r="BF4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0" s="11" t="e">
        <f>tbl_MTG_Set[[#This Row],[Play Singles CardMarket Profit MTG Stocks]]/tbl_MTG_Set[[#This Row],[Play Booster Cost]]</f>
        <v>#VALUE!</v>
      </c>
      <c r="BI430" s="11" t="b">
        <f>tbl_MTG_Set[[#This Row],[Play Singles CardMarket Profit MTG Stocks]]&gt;0</f>
        <v>0</v>
      </c>
      <c r="BM430" s="10" t="e">
        <f>tbl_MTG_Set[[#This Row],[Play Booster Sell Price CardMarket]]*tbl_MTG_Set[[#This Row],[Play Booster Expected Market Value BotBox]]/tbl_MTG_Set[[#This Row],[Play Booster Sealed Market Value BotBox]]</f>
        <v>#VALUE!</v>
      </c>
      <c r="BN4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0" s="10" t="e">
        <f>tbl_MTG_Set[[#This Row],[Play Singles CardMarket Profit BotBox]]/tbl_MTG_Set[[#This Row],[Play Booster Cost]]</f>
        <v>#VALUE!</v>
      </c>
      <c r="BP430" s="10" t="b">
        <f>tbl_MTG_Set[[#This Row],[Play Singles CardMarket Profit BotBox]]&gt;0</f>
        <v>0</v>
      </c>
      <c r="BQ430" s="10"/>
      <c r="BR430" s="10"/>
      <c r="BS430" s="10"/>
      <c r="BT4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0" s="19" t="e">
        <f>tbl_MTG_Set[[#This Row],[Collector Singles CardMarket Profit MTG Stocks]]/tbl_MTG_Set[[#This Row],[Collector Booster Cost]]</f>
        <v>#N/A</v>
      </c>
      <c r="BW430" s="10" t="b">
        <f>tbl_MTG_Set[[#This Row],[Collector Singles CardMarket Profit MTG Stocks]]&gt;0</f>
        <v>0</v>
      </c>
      <c r="BX430" s="10"/>
      <c r="BY430" s="10"/>
      <c r="BZ4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0" s="10" t="e">
        <f>tbl_MTG_Set[[#This Row],[Collector Singles CardMarket Profit BotBox]]/tbl_MTG_Set[[#This Row],[Collector Booster Cost]]</f>
        <v>#N/A</v>
      </c>
      <c r="CC430" s="10" t="b">
        <f>tbl_MTG_Set[[#This Row],[Collector Singles CardMarket Profit BotBox]]&gt;0</f>
        <v>0</v>
      </c>
      <c r="CD4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1" spans="1:86" hidden="1">
      <c r="A431">
        <v>461</v>
      </c>
      <c r="B431" t="s">
        <v>604</v>
      </c>
      <c r="C431">
        <v>8</v>
      </c>
      <c r="D431" s="3">
        <v>43378</v>
      </c>
      <c r="F431" t="s">
        <v>174</v>
      </c>
      <c r="G431">
        <v>868</v>
      </c>
      <c r="H431">
        <f ca="1">MONTH(NOW())+12*YEAR(NOW())-MONTH(tbl_MTG_Set[[#This Row],[Released On]])-12*YEAR(tbl_MTG_Set[[#This Row],[Released On]])</f>
        <v>89</v>
      </c>
      <c r="I431" t="str">
        <f>_xlfn.XLOOKUP(tbl_MTG_Set[[#This Row],[Type Name]], tbl_MTG_Set_Type[Set Type], tbl_MTG_Set_Type[Index], "(Set Type not found)")</f>
        <v>(Set Type not found)</v>
      </c>
      <c r="J431" t="str">
        <f>_xlfn.XLOOKUP(tbl_MTG_Set[[#This Row],[Type Name]], tbl_MTG_Set_Type[Set Type], tbl_MTG_Set_Type[Buy Window Month Start], "(Set Type not found)")</f>
        <v>(Set Type not found)</v>
      </c>
      <c r="K431" s="3" t="e">
        <f>tbl_MTG_Set[[#This Row],[Released On]]+tbl_MTG_Set[[#This Row],[Buy Window Month Start]]*365.25/12</f>
        <v>#VALUE!</v>
      </c>
      <c r="L431" t="str">
        <f>_xlfn.XLOOKUP(tbl_MTG_Set[[#This Row],[Type Name]], tbl_MTG_Set_Type[Set Type], tbl_MTG_Set_Type[Buy Window Month End], "(Set Type not found)", 0, 1)</f>
        <v>(Set Type not found)</v>
      </c>
      <c r="M431" s="3" t="e">
        <f>tbl_MTG_Set[[#This Row],[Released On]]+tbl_MTG_Set[[#This Row],[Buy Window Month End]]*365.25/12</f>
        <v>#VALUE!</v>
      </c>
      <c r="N431" s="3" t="e">
        <f ca="1">AND(NOW()&gt;=tbl_MTG_Set[[#This Row],[Buy Window Start]], NOW()&lt;=tbl_MTG_Set[[#This Row],[Buy Window End]])</f>
        <v>#VALUE!</v>
      </c>
      <c r="O431" t="str">
        <f>_xlfn.XLOOKUP(tbl_MTG_Set[[#This Row],[Type Name]], tbl_MTG_Set_Type[Set Type], tbl_MTG_Set_Type[Heavy Printing Window Month Start], "(Set Type not found)", 0, 1)</f>
        <v>(Set Type not found)</v>
      </c>
      <c r="P431" s="3" t="e">
        <f>tbl_MTG_Set[[#This Row],[Released On]]+tbl_MTG_Set[[#This Row],[Heavy Printing Window Month Start]]*365.25/12</f>
        <v>#VALUE!</v>
      </c>
      <c r="Q431" t="str">
        <f>_xlfn.XLOOKUP(tbl_MTG_Set[[#This Row],[Type Name]], tbl_MTG_Set_Type[Set Type], tbl_MTG_Set_Type[Heavy Printing Window Month End], "(Set Type not found)", 0, 1)</f>
        <v>(Set Type not found)</v>
      </c>
      <c r="R431" s="3" t="e">
        <f>tbl_MTG_Set[[#This Row],[Released On]]+tbl_MTG_Set[[#This Row],[Heavy Printing Window Month End]]*365.25/12</f>
        <v>#VALUE!</v>
      </c>
      <c r="S431" s="3" t="e">
        <f ca="1">AND(NOW()&gt;=tbl_MTG_Set[[#This Row],[Heavy Printing Window Start]], NOW()&lt;=tbl_MTG_Set[[#This Row],[Heavy Printing Window End]])</f>
        <v>#VALUE!</v>
      </c>
      <c r="T431" t="str">
        <f>_xlfn.XLOOKUP(tbl_MTG_Set[[#This Row],[Type Name]], tbl_MTG_Set_Type[Set Type], tbl_MTG_Set_Type[Sell Window Month Start], "(Set Type not found)", 0, 1)</f>
        <v>(Set Type not found)</v>
      </c>
      <c r="U431" s="3" t="e">
        <f>tbl_MTG_Set[[#This Row],[Released On]]+tbl_MTG_Set[[#This Row],[Sell Window Month Start]]*365.25/12</f>
        <v>#VALUE!</v>
      </c>
      <c r="V431" t="str">
        <f>_xlfn.XLOOKUP(tbl_MTG_Set[[#This Row],[Type Name]], tbl_MTG_Set_Type[Set Type], tbl_MTG_Set_Type[Sell Window Month End], "(Set Type not found)", 0, 1)</f>
        <v>(Set Type not found)</v>
      </c>
      <c r="W431" s="3" t="e">
        <f>tbl_MTG_Set[[#This Row],[Released On]]+tbl_MTG_Set[[#This Row],[Sell Window Month End]]*365.25/12</f>
        <v>#VALUE!</v>
      </c>
      <c r="X431" s="3" t="e">
        <f ca="1">AND(NOW()&gt;=tbl_MTG_Set[[#This Row],[Sell Window Start]], NOW()&lt;=tbl_MTG_Set[[#This Row],[Sell Window End]])</f>
        <v>#VALUE!</v>
      </c>
      <c r="AG431" s="10"/>
      <c r="AH431" s="10"/>
      <c r="AM431" s="10" t="str" cm="1">
        <f t="array" ref="AM4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1" s="10" t="str" cm="1">
        <f t="array" ref="AN4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1" s="4" t="e">
        <f>_xlfn.XLOOKUP(tbl_MTG_Set[[#This Row],[Play Booster Box Product Id]], tbl_Product[Product Id], tbl_Product[Pack Size])</f>
        <v>#N/A</v>
      </c>
      <c r="AP431" s="10" t="e">
        <f>(tbl_MTG_Set[[#This Row],[Play Booster Box Cost]]+v_Item_Shipping_Cost_In)/tbl_MTG_Set[[#This Row],[Play Booster Box Size]]</f>
        <v>#VALUE!</v>
      </c>
      <c r="AQ431" s="10" t="str" cm="1">
        <f t="array" ref="AQ4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1" s="10"/>
      <c r="AS431" s="10"/>
      <c r="AT431" s="17" t="e">
        <f>tbl_MTG_Set[[#This Row],[Play Booster CardMarket Profit]]/tbl_MTG_Set[[#This Row],[Play Booster Cost]]</f>
        <v>#VALUE!</v>
      </c>
      <c r="AU431" s="10" t="e">
        <f>_xlfn.XLOOKUP(tbl_MTG_Set[[#This Row],[Collector Booster Box Product Id]], tbl_Product[Product Id], tbl_Product[Min Cost])</f>
        <v>#N/A</v>
      </c>
      <c r="AV431" s="10" t="e">
        <f>_xlfn.XLOOKUP(tbl_MTG_Set[[#This Row],[Collector Booster Box Product Id]], tbl_Product[Product Id], tbl_Product[Best Source])</f>
        <v>#N/A</v>
      </c>
      <c r="AW431" s="4" t="e">
        <f>_xlfn.XLOOKUP(tbl_MTG_Set[[#This Row],[Collector Booster Box Product Id]], tbl_Product[Product Id], tbl_Product[Pack Size])</f>
        <v>#N/A</v>
      </c>
      <c r="AX431" s="10" t="e">
        <f>(tbl_MTG_Set[[#This Row],[Collector Booster Box Cost]] + v_Item_Shipping_Cost_In) / tbl_MTG_Set[[#This Row],[Collector Booster Box Size]]</f>
        <v>#N/A</v>
      </c>
      <c r="AY431" s="10" t="str" cm="1">
        <f t="array" ref="AY4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1" s="10"/>
      <c r="BA4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1" s="17" t="e">
        <f>tbl_MTG_Set[[#This Row],[Collector Booster CardMarket Profit]]/tbl_MTG_Set[[#This Row],[Collector Booster Cost]]</f>
        <v>#N/A</v>
      </c>
      <c r="BC431" s="10"/>
      <c r="BF4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1" s="11" t="e">
        <f>tbl_MTG_Set[[#This Row],[Play Singles CardMarket Profit MTG Stocks]]/tbl_MTG_Set[[#This Row],[Play Booster Cost]]</f>
        <v>#VALUE!</v>
      </c>
      <c r="BI431" s="11" t="b">
        <f>tbl_MTG_Set[[#This Row],[Play Singles CardMarket Profit MTG Stocks]]&gt;0</f>
        <v>0</v>
      </c>
      <c r="BM431" s="10" t="e">
        <f>tbl_MTG_Set[[#This Row],[Play Booster Sell Price CardMarket]]*tbl_MTG_Set[[#This Row],[Play Booster Expected Market Value BotBox]]/tbl_MTG_Set[[#This Row],[Play Booster Sealed Market Value BotBox]]</f>
        <v>#VALUE!</v>
      </c>
      <c r="BN4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1" s="10" t="e">
        <f>tbl_MTG_Set[[#This Row],[Play Singles CardMarket Profit BotBox]]/tbl_MTG_Set[[#This Row],[Play Booster Cost]]</f>
        <v>#VALUE!</v>
      </c>
      <c r="BP431" s="10" t="b">
        <f>tbl_MTG_Set[[#This Row],[Play Singles CardMarket Profit BotBox]]&gt;0</f>
        <v>0</v>
      </c>
      <c r="BQ431" s="10"/>
      <c r="BR431" s="10"/>
      <c r="BS431" s="10"/>
      <c r="BT4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1" s="19" t="e">
        <f>tbl_MTG_Set[[#This Row],[Collector Singles CardMarket Profit MTG Stocks]]/tbl_MTG_Set[[#This Row],[Collector Booster Cost]]</f>
        <v>#N/A</v>
      </c>
      <c r="BW431" s="10" t="b">
        <f>tbl_MTG_Set[[#This Row],[Collector Singles CardMarket Profit MTG Stocks]]&gt;0</f>
        <v>0</v>
      </c>
      <c r="BX431" s="10"/>
      <c r="BY431" s="10"/>
      <c r="BZ4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1" s="10" t="e">
        <f>tbl_MTG_Set[[#This Row],[Collector Singles CardMarket Profit BotBox]]/tbl_MTG_Set[[#This Row],[Collector Booster Cost]]</f>
        <v>#N/A</v>
      </c>
      <c r="CC431" s="10" t="b">
        <f>tbl_MTG_Set[[#This Row],[Collector Singles CardMarket Profit BotBox]]&gt;0</f>
        <v>0</v>
      </c>
      <c r="CD4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2" spans="1:86" hidden="1">
      <c r="A432">
        <v>462</v>
      </c>
      <c r="B432" t="s">
        <v>605</v>
      </c>
      <c r="C432">
        <v>10</v>
      </c>
      <c r="D432" s="3">
        <v>43413</v>
      </c>
      <c r="F432" t="s">
        <v>174</v>
      </c>
      <c r="G432">
        <v>870</v>
      </c>
      <c r="H432">
        <f ca="1">MONTH(NOW())+12*YEAR(NOW())-MONTH(tbl_MTG_Set[[#This Row],[Released On]])-12*YEAR(tbl_MTG_Set[[#This Row],[Released On]])</f>
        <v>88</v>
      </c>
      <c r="I432" t="str">
        <f>_xlfn.XLOOKUP(tbl_MTG_Set[[#This Row],[Type Name]], tbl_MTG_Set_Type[Set Type], tbl_MTG_Set_Type[Index], "(Set Type not found)")</f>
        <v>(Set Type not found)</v>
      </c>
      <c r="J432" t="str">
        <f>_xlfn.XLOOKUP(tbl_MTG_Set[[#This Row],[Type Name]], tbl_MTG_Set_Type[Set Type], tbl_MTG_Set_Type[Buy Window Month Start], "(Set Type not found)")</f>
        <v>(Set Type not found)</v>
      </c>
      <c r="K432" s="3" t="e">
        <f>tbl_MTG_Set[[#This Row],[Released On]]+tbl_MTG_Set[[#This Row],[Buy Window Month Start]]*365.25/12</f>
        <v>#VALUE!</v>
      </c>
      <c r="L432" t="str">
        <f>_xlfn.XLOOKUP(tbl_MTG_Set[[#This Row],[Type Name]], tbl_MTG_Set_Type[Set Type], tbl_MTG_Set_Type[Buy Window Month End], "(Set Type not found)", 0, 1)</f>
        <v>(Set Type not found)</v>
      </c>
      <c r="M432" s="3" t="e">
        <f>tbl_MTG_Set[[#This Row],[Released On]]+tbl_MTG_Set[[#This Row],[Buy Window Month End]]*365.25/12</f>
        <v>#VALUE!</v>
      </c>
      <c r="N432" s="3" t="e">
        <f ca="1">AND(NOW()&gt;=tbl_MTG_Set[[#This Row],[Buy Window Start]], NOW()&lt;=tbl_MTG_Set[[#This Row],[Buy Window End]])</f>
        <v>#VALUE!</v>
      </c>
      <c r="O432" t="str">
        <f>_xlfn.XLOOKUP(tbl_MTG_Set[[#This Row],[Type Name]], tbl_MTG_Set_Type[Set Type], tbl_MTG_Set_Type[Heavy Printing Window Month Start], "(Set Type not found)", 0, 1)</f>
        <v>(Set Type not found)</v>
      </c>
      <c r="P432" s="3" t="e">
        <f>tbl_MTG_Set[[#This Row],[Released On]]+tbl_MTG_Set[[#This Row],[Heavy Printing Window Month Start]]*365.25/12</f>
        <v>#VALUE!</v>
      </c>
      <c r="Q432" t="str">
        <f>_xlfn.XLOOKUP(tbl_MTG_Set[[#This Row],[Type Name]], tbl_MTG_Set_Type[Set Type], tbl_MTG_Set_Type[Heavy Printing Window Month End], "(Set Type not found)", 0, 1)</f>
        <v>(Set Type not found)</v>
      </c>
      <c r="R432" s="3" t="e">
        <f>tbl_MTG_Set[[#This Row],[Released On]]+tbl_MTG_Set[[#This Row],[Heavy Printing Window Month End]]*365.25/12</f>
        <v>#VALUE!</v>
      </c>
      <c r="S432" s="3" t="e">
        <f ca="1">AND(NOW()&gt;=tbl_MTG_Set[[#This Row],[Heavy Printing Window Start]], NOW()&lt;=tbl_MTG_Set[[#This Row],[Heavy Printing Window End]])</f>
        <v>#VALUE!</v>
      </c>
      <c r="T432" t="str">
        <f>_xlfn.XLOOKUP(tbl_MTG_Set[[#This Row],[Type Name]], tbl_MTG_Set_Type[Set Type], tbl_MTG_Set_Type[Sell Window Month Start], "(Set Type not found)", 0, 1)</f>
        <v>(Set Type not found)</v>
      </c>
      <c r="U432" s="3" t="e">
        <f>tbl_MTG_Set[[#This Row],[Released On]]+tbl_MTG_Set[[#This Row],[Sell Window Month Start]]*365.25/12</f>
        <v>#VALUE!</v>
      </c>
      <c r="V432" t="str">
        <f>_xlfn.XLOOKUP(tbl_MTG_Set[[#This Row],[Type Name]], tbl_MTG_Set_Type[Set Type], tbl_MTG_Set_Type[Sell Window Month End], "(Set Type not found)", 0, 1)</f>
        <v>(Set Type not found)</v>
      </c>
      <c r="W432" s="3" t="e">
        <f>tbl_MTG_Set[[#This Row],[Released On]]+tbl_MTG_Set[[#This Row],[Sell Window Month End]]*365.25/12</f>
        <v>#VALUE!</v>
      </c>
      <c r="X432" s="3" t="e">
        <f ca="1">AND(NOW()&gt;=tbl_MTG_Set[[#This Row],[Sell Window Start]], NOW()&lt;=tbl_MTG_Set[[#This Row],[Sell Window End]])</f>
        <v>#VALUE!</v>
      </c>
      <c r="AG432" s="10"/>
      <c r="AH432" s="10"/>
      <c r="AM432" s="10" t="str" cm="1">
        <f t="array" ref="AM4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2" s="10" t="str" cm="1">
        <f t="array" ref="AN4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2" s="4" t="e">
        <f>_xlfn.XLOOKUP(tbl_MTG_Set[[#This Row],[Play Booster Box Product Id]], tbl_Product[Product Id], tbl_Product[Pack Size])</f>
        <v>#N/A</v>
      </c>
      <c r="AP432" s="10" t="e">
        <f>(tbl_MTG_Set[[#This Row],[Play Booster Box Cost]]+v_Item_Shipping_Cost_In)/tbl_MTG_Set[[#This Row],[Play Booster Box Size]]</f>
        <v>#VALUE!</v>
      </c>
      <c r="AQ432" s="10" t="str" cm="1">
        <f t="array" ref="AQ4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2" s="10"/>
      <c r="AS432" s="10"/>
      <c r="AT432" s="17" t="e">
        <f>tbl_MTG_Set[[#This Row],[Play Booster CardMarket Profit]]/tbl_MTG_Set[[#This Row],[Play Booster Cost]]</f>
        <v>#VALUE!</v>
      </c>
      <c r="AU432" s="10" t="e">
        <f>_xlfn.XLOOKUP(tbl_MTG_Set[[#This Row],[Collector Booster Box Product Id]], tbl_Product[Product Id], tbl_Product[Min Cost])</f>
        <v>#N/A</v>
      </c>
      <c r="AV432" s="10" t="e">
        <f>_xlfn.XLOOKUP(tbl_MTG_Set[[#This Row],[Collector Booster Box Product Id]], tbl_Product[Product Id], tbl_Product[Best Source])</f>
        <v>#N/A</v>
      </c>
      <c r="AW432" s="4" t="e">
        <f>_xlfn.XLOOKUP(tbl_MTG_Set[[#This Row],[Collector Booster Box Product Id]], tbl_Product[Product Id], tbl_Product[Pack Size])</f>
        <v>#N/A</v>
      </c>
      <c r="AX432" s="10" t="e">
        <f>(tbl_MTG_Set[[#This Row],[Collector Booster Box Cost]] + v_Item_Shipping_Cost_In) / tbl_MTG_Set[[#This Row],[Collector Booster Box Size]]</f>
        <v>#N/A</v>
      </c>
      <c r="AY432" s="10" t="str" cm="1">
        <f t="array" ref="AY4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2" s="10"/>
      <c r="BA4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2" s="17" t="e">
        <f>tbl_MTG_Set[[#This Row],[Collector Booster CardMarket Profit]]/tbl_MTG_Set[[#This Row],[Collector Booster Cost]]</f>
        <v>#N/A</v>
      </c>
      <c r="BC432" s="10"/>
      <c r="BF4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2" s="11" t="e">
        <f>tbl_MTG_Set[[#This Row],[Play Singles CardMarket Profit MTG Stocks]]/tbl_MTG_Set[[#This Row],[Play Booster Cost]]</f>
        <v>#VALUE!</v>
      </c>
      <c r="BI432" s="11" t="b">
        <f>tbl_MTG_Set[[#This Row],[Play Singles CardMarket Profit MTG Stocks]]&gt;0</f>
        <v>0</v>
      </c>
      <c r="BM432" s="10" t="e">
        <f>tbl_MTG_Set[[#This Row],[Play Booster Sell Price CardMarket]]*tbl_MTG_Set[[#This Row],[Play Booster Expected Market Value BotBox]]/tbl_MTG_Set[[#This Row],[Play Booster Sealed Market Value BotBox]]</f>
        <v>#VALUE!</v>
      </c>
      <c r="BN4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2" s="10" t="e">
        <f>tbl_MTG_Set[[#This Row],[Play Singles CardMarket Profit BotBox]]/tbl_MTG_Set[[#This Row],[Play Booster Cost]]</f>
        <v>#VALUE!</v>
      </c>
      <c r="BP432" s="10" t="b">
        <f>tbl_MTG_Set[[#This Row],[Play Singles CardMarket Profit BotBox]]&gt;0</f>
        <v>0</v>
      </c>
      <c r="BQ432" s="10"/>
      <c r="BR432" s="10"/>
      <c r="BS432" s="10"/>
      <c r="BT4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2" s="19" t="e">
        <f>tbl_MTG_Set[[#This Row],[Collector Singles CardMarket Profit MTG Stocks]]/tbl_MTG_Set[[#This Row],[Collector Booster Cost]]</f>
        <v>#N/A</v>
      </c>
      <c r="BW432" s="10" t="b">
        <f>tbl_MTG_Set[[#This Row],[Collector Singles CardMarket Profit MTG Stocks]]&gt;0</f>
        <v>0</v>
      </c>
      <c r="BX432" s="10"/>
      <c r="BY432" s="10"/>
      <c r="BZ4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2" s="10" t="e">
        <f>tbl_MTG_Set[[#This Row],[Collector Singles CardMarket Profit BotBox]]/tbl_MTG_Set[[#This Row],[Collector Booster Cost]]</f>
        <v>#N/A</v>
      </c>
      <c r="CC432" s="10" t="b">
        <f>tbl_MTG_Set[[#This Row],[Collector Singles CardMarket Profit BotBox]]&gt;0</f>
        <v>0</v>
      </c>
      <c r="CD4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3" spans="1:86" hidden="1">
      <c r="A433">
        <v>463</v>
      </c>
      <c r="B433" t="s">
        <v>606</v>
      </c>
      <c r="C433">
        <v>24</v>
      </c>
      <c r="D433" s="3">
        <v>43378</v>
      </c>
      <c r="F433" t="s">
        <v>174</v>
      </c>
      <c r="G433">
        <v>872</v>
      </c>
      <c r="H433">
        <f ca="1">MONTH(NOW())+12*YEAR(NOW())-MONTH(tbl_MTG_Set[[#This Row],[Released On]])-12*YEAR(tbl_MTG_Set[[#This Row],[Released On]])</f>
        <v>89</v>
      </c>
      <c r="I433" t="str">
        <f>_xlfn.XLOOKUP(tbl_MTG_Set[[#This Row],[Type Name]], tbl_MTG_Set_Type[Set Type], tbl_MTG_Set_Type[Index], "(Set Type not found)")</f>
        <v>(Set Type not found)</v>
      </c>
      <c r="J433" t="str">
        <f>_xlfn.XLOOKUP(tbl_MTG_Set[[#This Row],[Type Name]], tbl_MTG_Set_Type[Set Type], tbl_MTG_Set_Type[Buy Window Month Start], "(Set Type not found)")</f>
        <v>(Set Type not found)</v>
      </c>
      <c r="K433" s="3" t="e">
        <f>tbl_MTG_Set[[#This Row],[Released On]]+tbl_MTG_Set[[#This Row],[Buy Window Month Start]]*365.25/12</f>
        <v>#VALUE!</v>
      </c>
      <c r="L433" t="str">
        <f>_xlfn.XLOOKUP(tbl_MTG_Set[[#This Row],[Type Name]], tbl_MTG_Set_Type[Set Type], tbl_MTG_Set_Type[Buy Window Month End], "(Set Type not found)", 0, 1)</f>
        <v>(Set Type not found)</v>
      </c>
      <c r="M433" s="3" t="e">
        <f>tbl_MTG_Set[[#This Row],[Released On]]+tbl_MTG_Set[[#This Row],[Buy Window Month End]]*365.25/12</f>
        <v>#VALUE!</v>
      </c>
      <c r="N433" s="3" t="e">
        <f ca="1">AND(NOW()&gt;=tbl_MTG_Set[[#This Row],[Buy Window Start]], NOW()&lt;=tbl_MTG_Set[[#This Row],[Buy Window End]])</f>
        <v>#VALUE!</v>
      </c>
      <c r="O433" t="str">
        <f>_xlfn.XLOOKUP(tbl_MTG_Set[[#This Row],[Type Name]], tbl_MTG_Set_Type[Set Type], tbl_MTG_Set_Type[Heavy Printing Window Month Start], "(Set Type not found)", 0, 1)</f>
        <v>(Set Type not found)</v>
      </c>
      <c r="P433" s="3" t="e">
        <f>tbl_MTG_Set[[#This Row],[Released On]]+tbl_MTG_Set[[#This Row],[Heavy Printing Window Month Start]]*365.25/12</f>
        <v>#VALUE!</v>
      </c>
      <c r="Q433" t="str">
        <f>_xlfn.XLOOKUP(tbl_MTG_Set[[#This Row],[Type Name]], tbl_MTG_Set_Type[Set Type], tbl_MTG_Set_Type[Heavy Printing Window Month End], "(Set Type not found)", 0, 1)</f>
        <v>(Set Type not found)</v>
      </c>
      <c r="R433" s="3" t="e">
        <f>tbl_MTG_Set[[#This Row],[Released On]]+tbl_MTG_Set[[#This Row],[Heavy Printing Window Month End]]*365.25/12</f>
        <v>#VALUE!</v>
      </c>
      <c r="S433" s="3" t="e">
        <f ca="1">AND(NOW()&gt;=tbl_MTG_Set[[#This Row],[Heavy Printing Window Start]], NOW()&lt;=tbl_MTG_Set[[#This Row],[Heavy Printing Window End]])</f>
        <v>#VALUE!</v>
      </c>
      <c r="T433" t="str">
        <f>_xlfn.XLOOKUP(tbl_MTG_Set[[#This Row],[Type Name]], tbl_MTG_Set_Type[Set Type], tbl_MTG_Set_Type[Sell Window Month Start], "(Set Type not found)", 0, 1)</f>
        <v>(Set Type not found)</v>
      </c>
      <c r="U433" s="3" t="e">
        <f>tbl_MTG_Set[[#This Row],[Released On]]+tbl_MTG_Set[[#This Row],[Sell Window Month Start]]*365.25/12</f>
        <v>#VALUE!</v>
      </c>
      <c r="V433" t="str">
        <f>_xlfn.XLOOKUP(tbl_MTG_Set[[#This Row],[Type Name]], tbl_MTG_Set_Type[Set Type], tbl_MTG_Set_Type[Sell Window Month End], "(Set Type not found)", 0, 1)</f>
        <v>(Set Type not found)</v>
      </c>
      <c r="W433" s="3" t="e">
        <f>tbl_MTG_Set[[#This Row],[Released On]]+tbl_MTG_Set[[#This Row],[Sell Window Month End]]*365.25/12</f>
        <v>#VALUE!</v>
      </c>
      <c r="X433" s="3" t="e">
        <f ca="1">AND(NOW()&gt;=tbl_MTG_Set[[#This Row],[Sell Window Start]], NOW()&lt;=tbl_MTG_Set[[#This Row],[Sell Window End]])</f>
        <v>#VALUE!</v>
      </c>
      <c r="AG433" s="10"/>
      <c r="AH433" s="10"/>
      <c r="AM433" s="10" t="str" cm="1">
        <f t="array" ref="AM4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3" s="10" t="str" cm="1">
        <f t="array" ref="AN4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3" s="4" t="e">
        <f>_xlfn.XLOOKUP(tbl_MTG_Set[[#This Row],[Play Booster Box Product Id]], tbl_Product[Product Id], tbl_Product[Pack Size])</f>
        <v>#N/A</v>
      </c>
      <c r="AP433" s="10" t="e">
        <f>(tbl_MTG_Set[[#This Row],[Play Booster Box Cost]]+v_Item_Shipping_Cost_In)/tbl_MTG_Set[[#This Row],[Play Booster Box Size]]</f>
        <v>#VALUE!</v>
      </c>
      <c r="AQ433" s="10" t="str" cm="1">
        <f t="array" ref="AQ4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3" s="10"/>
      <c r="AS433" s="10"/>
      <c r="AT433" s="17" t="e">
        <f>tbl_MTG_Set[[#This Row],[Play Booster CardMarket Profit]]/tbl_MTG_Set[[#This Row],[Play Booster Cost]]</f>
        <v>#VALUE!</v>
      </c>
      <c r="AU433" s="10" t="e">
        <f>_xlfn.XLOOKUP(tbl_MTG_Set[[#This Row],[Collector Booster Box Product Id]], tbl_Product[Product Id], tbl_Product[Min Cost])</f>
        <v>#N/A</v>
      </c>
      <c r="AV433" s="10" t="e">
        <f>_xlfn.XLOOKUP(tbl_MTG_Set[[#This Row],[Collector Booster Box Product Id]], tbl_Product[Product Id], tbl_Product[Best Source])</f>
        <v>#N/A</v>
      </c>
      <c r="AW433" s="4" t="e">
        <f>_xlfn.XLOOKUP(tbl_MTG_Set[[#This Row],[Collector Booster Box Product Id]], tbl_Product[Product Id], tbl_Product[Pack Size])</f>
        <v>#N/A</v>
      </c>
      <c r="AX433" s="10" t="e">
        <f>(tbl_MTG_Set[[#This Row],[Collector Booster Box Cost]] + v_Item_Shipping_Cost_In) / tbl_MTG_Set[[#This Row],[Collector Booster Box Size]]</f>
        <v>#N/A</v>
      </c>
      <c r="AY433" s="10" t="str" cm="1">
        <f t="array" ref="AY4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3" s="10"/>
      <c r="BA4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3" s="17" t="e">
        <f>tbl_MTG_Set[[#This Row],[Collector Booster CardMarket Profit]]/tbl_MTG_Set[[#This Row],[Collector Booster Cost]]</f>
        <v>#N/A</v>
      </c>
      <c r="BC433" s="10"/>
      <c r="BF4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3" s="11" t="e">
        <f>tbl_MTG_Set[[#This Row],[Play Singles CardMarket Profit MTG Stocks]]/tbl_MTG_Set[[#This Row],[Play Booster Cost]]</f>
        <v>#VALUE!</v>
      </c>
      <c r="BI433" s="11" t="b">
        <f>tbl_MTG_Set[[#This Row],[Play Singles CardMarket Profit MTG Stocks]]&gt;0</f>
        <v>0</v>
      </c>
      <c r="BM433" s="10" t="e">
        <f>tbl_MTG_Set[[#This Row],[Play Booster Sell Price CardMarket]]*tbl_MTG_Set[[#This Row],[Play Booster Expected Market Value BotBox]]/tbl_MTG_Set[[#This Row],[Play Booster Sealed Market Value BotBox]]</f>
        <v>#VALUE!</v>
      </c>
      <c r="BN4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3" s="10" t="e">
        <f>tbl_MTG_Set[[#This Row],[Play Singles CardMarket Profit BotBox]]/tbl_MTG_Set[[#This Row],[Play Booster Cost]]</f>
        <v>#VALUE!</v>
      </c>
      <c r="BP433" s="10" t="b">
        <f>tbl_MTG_Set[[#This Row],[Play Singles CardMarket Profit BotBox]]&gt;0</f>
        <v>0</v>
      </c>
      <c r="BQ433" s="10"/>
      <c r="BR433" s="10"/>
      <c r="BS433" s="10"/>
      <c r="BT4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3" s="19" t="e">
        <f>tbl_MTG_Set[[#This Row],[Collector Singles CardMarket Profit MTG Stocks]]/tbl_MTG_Set[[#This Row],[Collector Booster Cost]]</f>
        <v>#N/A</v>
      </c>
      <c r="BW433" s="10" t="b">
        <f>tbl_MTG_Set[[#This Row],[Collector Singles CardMarket Profit MTG Stocks]]&gt;0</f>
        <v>0</v>
      </c>
      <c r="BX433" s="10"/>
      <c r="BY433" s="10"/>
      <c r="BZ4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3" s="10" t="e">
        <f>tbl_MTG_Set[[#This Row],[Collector Singles CardMarket Profit BotBox]]/tbl_MTG_Set[[#This Row],[Collector Booster Cost]]</f>
        <v>#N/A</v>
      </c>
      <c r="CC433" s="10" t="b">
        <f>tbl_MTG_Set[[#This Row],[Collector Singles CardMarket Profit BotBox]]&gt;0</f>
        <v>0</v>
      </c>
      <c r="CD4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4" spans="1:86" hidden="1">
      <c r="A434">
        <v>464</v>
      </c>
      <c r="B434" t="s">
        <v>607</v>
      </c>
      <c r="C434">
        <v>16</v>
      </c>
      <c r="D434" s="3">
        <v>43378</v>
      </c>
      <c r="F434" t="s">
        <v>174</v>
      </c>
      <c r="G434">
        <v>874</v>
      </c>
      <c r="H434">
        <f ca="1">MONTH(NOW())+12*YEAR(NOW())-MONTH(tbl_MTG_Set[[#This Row],[Released On]])-12*YEAR(tbl_MTG_Set[[#This Row],[Released On]])</f>
        <v>89</v>
      </c>
      <c r="I434" t="str">
        <f>_xlfn.XLOOKUP(tbl_MTG_Set[[#This Row],[Type Name]], tbl_MTG_Set_Type[Set Type], tbl_MTG_Set_Type[Index], "(Set Type not found)")</f>
        <v>(Set Type not found)</v>
      </c>
      <c r="J434" t="str">
        <f>_xlfn.XLOOKUP(tbl_MTG_Set[[#This Row],[Type Name]], tbl_MTG_Set_Type[Set Type], tbl_MTG_Set_Type[Buy Window Month Start], "(Set Type not found)")</f>
        <v>(Set Type not found)</v>
      </c>
      <c r="K434" s="3" t="e">
        <f>tbl_MTG_Set[[#This Row],[Released On]]+tbl_MTG_Set[[#This Row],[Buy Window Month Start]]*365.25/12</f>
        <v>#VALUE!</v>
      </c>
      <c r="L434" t="str">
        <f>_xlfn.XLOOKUP(tbl_MTG_Set[[#This Row],[Type Name]], tbl_MTG_Set_Type[Set Type], tbl_MTG_Set_Type[Buy Window Month End], "(Set Type not found)", 0, 1)</f>
        <v>(Set Type not found)</v>
      </c>
      <c r="M434" s="3" t="e">
        <f>tbl_MTG_Set[[#This Row],[Released On]]+tbl_MTG_Set[[#This Row],[Buy Window Month End]]*365.25/12</f>
        <v>#VALUE!</v>
      </c>
      <c r="N434" s="3" t="e">
        <f ca="1">AND(NOW()&gt;=tbl_MTG_Set[[#This Row],[Buy Window Start]], NOW()&lt;=tbl_MTG_Set[[#This Row],[Buy Window End]])</f>
        <v>#VALUE!</v>
      </c>
      <c r="O434" t="str">
        <f>_xlfn.XLOOKUP(tbl_MTG_Set[[#This Row],[Type Name]], tbl_MTG_Set_Type[Set Type], tbl_MTG_Set_Type[Heavy Printing Window Month Start], "(Set Type not found)", 0, 1)</f>
        <v>(Set Type not found)</v>
      </c>
      <c r="P434" s="3" t="e">
        <f>tbl_MTG_Set[[#This Row],[Released On]]+tbl_MTG_Set[[#This Row],[Heavy Printing Window Month Start]]*365.25/12</f>
        <v>#VALUE!</v>
      </c>
      <c r="Q434" t="str">
        <f>_xlfn.XLOOKUP(tbl_MTG_Set[[#This Row],[Type Name]], tbl_MTG_Set_Type[Set Type], tbl_MTG_Set_Type[Heavy Printing Window Month End], "(Set Type not found)", 0, 1)</f>
        <v>(Set Type not found)</v>
      </c>
      <c r="R434" s="3" t="e">
        <f>tbl_MTG_Set[[#This Row],[Released On]]+tbl_MTG_Set[[#This Row],[Heavy Printing Window Month End]]*365.25/12</f>
        <v>#VALUE!</v>
      </c>
      <c r="S434" s="3" t="e">
        <f ca="1">AND(NOW()&gt;=tbl_MTG_Set[[#This Row],[Heavy Printing Window Start]], NOW()&lt;=tbl_MTG_Set[[#This Row],[Heavy Printing Window End]])</f>
        <v>#VALUE!</v>
      </c>
      <c r="T434" t="str">
        <f>_xlfn.XLOOKUP(tbl_MTG_Set[[#This Row],[Type Name]], tbl_MTG_Set_Type[Set Type], tbl_MTG_Set_Type[Sell Window Month Start], "(Set Type not found)", 0, 1)</f>
        <v>(Set Type not found)</v>
      </c>
      <c r="U434" s="3" t="e">
        <f>tbl_MTG_Set[[#This Row],[Released On]]+tbl_MTG_Set[[#This Row],[Sell Window Month Start]]*365.25/12</f>
        <v>#VALUE!</v>
      </c>
      <c r="V434" t="str">
        <f>_xlfn.XLOOKUP(tbl_MTG_Set[[#This Row],[Type Name]], tbl_MTG_Set_Type[Set Type], tbl_MTG_Set_Type[Sell Window Month End], "(Set Type not found)", 0, 1)</f>
        <v>(Set Type not found)</v>
      </c>
      <c r="W434" s="3" t="e">
        <f>tbl_MTG_Set[[#This Row],[Released On]]+tbl_MTG_Set[[#This Row],[Sell Window Month End]]*365.25/12</f>
        <v>#VALUE!</v>
      </c>
      <c r="X434" s="3" t="e">
        <f ca="1">AND(NOW()&gt;=tbl_MTG_Set[[#This Row],[Sell Window Start]], NOW()&lt;=tbl_MTG_Set[[#This Row],[Sell Window End]])</f>
        <v>#VALUE!</v>
      </c>
      <c r="AG434" s="10"/>
      <c r="AH434" s="10"/>
      <c r="AM434" s="10" t="str" cm="1">
        <f t="array" ref="AM4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4" s="10" t="str" cm="1">
        <f t="array" ref="AN4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4" s="4" t="e">
        <f>_xlfn.XLOOKUP(tbl_MTG_Set[[#This Row],[Play Booster Box Product Id]], tbl_Product[Product Id], tbl_Product[Pack Size])</f>
        <v>#N/A</v>
      </c>
      <c r="AP434" s="10" t="e">
        <f>(tbl_MTG_Set[[#This Row],[Play Booster Box Cost]]+v_Item_Shipping_Cost_In)/tbl_MTG_Set[[#This Row],[Play Booster Box Size]]</f>
        <v>#VALUE!</v>
      </c>
      <c r="AQ434" s="10" t="str" cm="1">
        <f t="array" ref="AQ4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4" s="10"/>
      <c r="AS434" s="10"/>
      <c r="AT434" s="17" t="e">
        <f>tbl_MTG_Set[[#This Row],[Play Booster CardMarket Profit]]/tbl_MTG_Set[[#This Row],[Play Booster Cost]]</f>
        <v>#VALUE!</v>
      </c>
      <c r="AU434" s="10" t="e">
        <f>_xlfn.XLOOKUP(tbl_MTG_Set[[#This Row],[Collector Booster Box Product Id]], tbl_Product[Product Id], tbl_Product[Min Cost])</f>
        <v>#N/A</v>
      </c>
      <c r="AV434" s="10" t="e">
        <f>_xlfn.XLOOKUP(tbl_MTG_Set[[#This Row],[Collector Booster Box Product Id]], tbl_Product[Product Id], tbl_Product[Best Source])</f>
        <v>#N/A</v>
      </c>
      <c r="AW434" s="4" t="e">
        <f>_xlfn.XLOOKUP(tbl_MTG_Set[[#This Row],[Collector Booster Box Product Id]], tbl_Product[Product Id], tbl_Product[Pack Size])</f>
        <v>#N/A</v>
      </c>
      <c r="AX434" s="10" t="e">
        <f>(tbl_MTG_Set[[#This Row],[Collector Booster Box Cost]] + v_Item_Shipping_Cost_In) / tbl_MTG_Set[[#This Row],[Collector Booster Box Size]]</f>
        <v>#N/A</v>
      </c>
      <c r="AY434" s="10" t="str" cm="1">
        <f t="array" ref="AY4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4" s="10"/>
      <c r="BA4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4" s="17" t="e">
        <f>tbl_MTG_Set[[#This Row],[Collector Booster CardMarket Profit]]/tbl_MTG_Set[[#This Row],[Collector Booster Cost]]</f>
        <v>#N/A</v>
      </c>
      <c r="BC434" s="10"/>
      <c r="BF4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4" s="11" t="e">
        <f>tbl_MTG_Set[[#This Row],[Play Singles CardMarket Profit MTG Stocks]]/tbl_MTG_Set[[#This Row],[Play Booster Cost]]</f>
        <v>#VALUE!</v>
      </c>
      <c r="BI434" s="11" t="b">
        <f>tbl_MTG_Set[[#This Row],[Play Singles CardMarket Profit MTG Stocks]]&gt;0</f>
        <v>0</v>
      </c>
      <c r="BM434" s="10" t="e">
        <f>tbl_MTG_Set[[#This Row],[Play Booster Sell Price CardMarket]]*tbl_MTG_Set[[#This Row],[Play Booster Expected Market Value BotBox]]/tbl_MTG_Set[[#This Row],[Play Booster Sealed Market Value BotBox]]</f>
        <v>#VALUE!</v>
      </c>
      <c r="BN4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4" s="10" t="e">
        <f>tbl_MTG_Set[[#This Row],[Play Singles CardMarket Profit BotBox]]/tbl_MTG_Set[[#This Row],[Play Booster Cost]]</f>
        <v>#VALUE!</v>
      </c>
      <c r="BP434" s="10" t="b">
        <f>tbl_MTG_Set[[#This Row],[Play Singles CardMarket Profit BotBox]]&gt;0</f>
        <v>0</v>
      </c>
      <c r="BQ434" s="10"/>
      <c r="BR434" s="10"/>
      <c r="BS434" s="10"/>
      <c r="BT4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4" s="19" t="e">
        <f>tbl_MTG_Set[[#This Row],[Collector Singles CardMarket Profit MTG Stocks]]/tbl_MTG_Set[[#This Row],[Collector Booster Cost]]</f>
        <v>#N/A</v>
      </c>
      <c r="BW434" s="10" t="b">
        <f>tbl_MTG_Set[[#This Row],[Collector Singles CardMarket Profit MTG Stocks]]&gt;0</f>
        <v>0</v>
      </c>
      <c r="BX434" s="10"/>
      <c r="BY434" s="10"/>
      <c r="BZ4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4" s="10" t="e">
        <f>tbl_MTG_Set[[#This Row],[Collector Singles CardMarket Profit BotBox]]/tbl_MTG_Set[[#This Row],[Collector Booster Cost]]</f>
        <v>#N/A</v>
      </c>
      <c r="CC434" s="10" t="b">
        <f>tbl_MTG_Set[[#This Row],[Collector Singles CardMarket Profit BotBox]]&gt;0</f>
        <v>0</v>
      </c>
      <c r="CD4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5" spans="1:86" hidden="1">
      <c r="A435">
        <v>465</v>
      </c>
      <c r="B435" t="s">
        <v>608</v>
      </c>
      <c r="C435">
        <v>307</v>
      </c>
      <c r="D435" s="3">
        <v>43322</v>
      </c>
      <c r="F435" t="s">
        <v>174</v>
      </c>
      <c r="G435">
        <v>876</v>
      </c>
      <c r="H435">
        <f ca="1">MONTH(NOW())+12*YEAR(NOW())-MONTH(tbl_MTG_Set[[#This Row],[Released On]])-12*YEAR(tbl_MTG_Set[[#This Row],[Released On]])</f>
        <v>91</v>
      </c>
      <c r="I435" t="str">
        <f>_xlfn.XLOOKUP(tbl_MTG_Set[[#This Row],[Type Name]], tbl_MTG_Set_Type[Set Type], tbl_MTG_Set_Type[Index], "(Set Type not found)")</f>
        <v>(Set Type not found)</v>
      </c>
      <c r="J435" t="str">
        <f>_xlfn.XLOOKUP(tbl_MTG_Set[[#This Row],[Type Name]], tbl_MTG_Set_Type[Set Type], tbl_MTG_Set_Type[Buy Window Month Start], "(Set Type not found)")</f>
        <v>(Set Type not found)</v>
      </c>
      <c r="K435" s="3" t="e">
        <f>tbl_MTG_Set[[#This Row],[Released On]]+tbl_MTG_Set[[#This Row],[Buy Window Month Start]]*365.25/12</f>
        <v>#VALUE!</v>
      </c>
      <c r="L435" t="str">
        <f>_xlfn.XLOOKUP(tbl_MTG_Set[[#This Row],[Type Name]], tbl_MTG_Set_Type[Set Type], tbl_MTG_Set_Type[Buy Window Month End], "(Set Type not found)", 0, 1)</f>
        <v>(Set Type not found)</v>
      </c>
      <c r="M435" s="3" t="e">
        <f>tbl_MTG_Set[[#This Row],[Released On]]+tbl_MTG_Set[[#This Row],[Buy Window Month End]]*365.25/12</f>
        <v>#VALUE!</v>
      </c>
      <c r="N435" s="3" t="e">
        <f ca="1">AND(NOW()&gt;=tbl_MTG_Set[[#This Row],[Buy Window Start]], NOW()&lt;=tbl_MTG_Set[[#This Row],[Buy Window End]])</f>
        <v>#VALUE!</v>
      </c>
      <c r="O435" t="str">
        <f>_xlfn.XLOOKUP(tbl_MTG_Set[[#This Row],[Type Name]], tbl_MTG_Set_Type[Set Type], tbl_MTG_Set_Type[Heavy Printing Window Month Start], "(Set Type not found)", 0, 1)</f>
        <v>(Set Type not found)</v>
      </c>
      <c r="P435" s="3" t="e">
        <f>tbl_MTG_Set[[#This Row],[Released On]]+tbl_MTG_Set[[#This Row],[Heavy Printing Window Month Start]]*365.25/12</f>
        <v>#VALUE!</v>
      </c>
      <c r="Q435" t="str">
        <f>_xlfn.XLOOKUP(tbl_MTG_Set[[#This Row],[Type Name]], tbl_MTG_Set_Type[Set Type], tbl_MTG_Set_Type[Heavy Printing Window Month End], "(Set Type not found)", 0, 1)</f>
        <v>(Set Type not found)</v>
      </c>
      <c r="R435" s="3" t="e">
        <f>tbl_MTG_Set[[#This Row],[Released On]]+tbl_MTG_Set[[#This Row],[Heavy Printing Window Month End]]*365.25/12</f>
        <v>#VALUE!</v>
      </c>
      <c r="S435" s="3" t="e">
        <f ca="1">AND(NOW()&gt;=tbl_MTG_Set[[#This Row],[Heavy Printing Window Start]], NOW()&lt;=tbl_MTG_Set[[#This Row],[Heavy Printing Window End]])</f>
        <v>#VALUE!</v>
      </c>
      <c r="T435" t="str">
        <f>_xlfn.XLOOKUP(tbl_MTG_Set[[#This Row],[Type Name]], tbl_MTG_Set_Type[Set Type], tbl_MTG_Set_Type[Sell Window Month Start], "(Set Type not found)", 0, 1)</f>
        <v>(Set Type not found)</v>
      </c>
      <c r="U435" s="3" t="e">
        <f>tbl_MTG_Set[[#This Row],[Released On]]+tbl_MTG_Set[[#This Row],[Sell Window Month Start]]*365.25/12</f>
        <v>#VALUE!</v>
      </c>
      <c r="V435" t="str">
        <f>_xlfn.XLOOKUP(tbl_MTG_Set[[#This Row],[Type Name]], tbl_MTG_Set_Type[Set Type], tbl_MTG_Set_Type[Sell Window Month End], "(Set Type not found)", 0, 1)</f>
        <v>(Set Type not found)</v>
      </c>
      <c r="W435" s="3" t="e">
        <f>tbl_MTG_Set[[#This Row],[Released On]]+tbl_MTG_Set[[#This Row],[Sell Window Month End]]*365.25/12</f>
        <v>#VALUE!</v>
      </c>
      <c r="X435" s="3" t="e">
        <f ca="1">AND(NOW()&gt;=tbl_MTG_Set[[#This Row],[Sell Window Start]], NOW()&lt;=tbl_MTG_Set[[#This Row],[Sell Window End]])</f>
        <v>#VALUE!</v>
      </c>
      <c r="AG435" s="10"/>
      <c r="AH435" s="10"/>
      <c r="AM435" s="10" t="str" cm="1">
        <f t="array" ref="AM4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5" s="10" t="str" cm="1">
        <f t="array" ref="AN4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5" s="4" t="e">
        <f>_xlfn.XLOOKUP(tbl_MTG_Set[[#This Row],[Play Booster Box Product Id]], tbl_Product[Product Id], tbl_Product[Pack Size])</f>
        <v>#N/A</v>
      </c>
      <c r="AP435" s="10" t="e">
        <f>(tbl_MTG_Set[[#This Row],[Play Booster Box Cost]]+v_Item_Shipping_Cost_In)/tbl_MTG_Set[[#This Row],[Play Booster Box Size]]</f>
        <v>#VALUE!</v>
      </c>
      <c r="AQ435" s="10" t="str" cm="1">
        <f t="array" ref="AQ4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5" s="10"/>
      <c r="AS435" s="10"/>
      <c r="AT435" s="17" t="e">
        <f>tbl_MTG_Set[[#This Row],[Play Booster CardMarket Profit]]/tbl_MTG_Set[[#This Row],[Play Booster Cost]]</f>
        <v>#VALUE!</v>
      </c>
      <c r="AU435" s="10" t="e">
        <f>_xlfn.XLOOKUP(tbl_MTG_Set[[#This Row],[Collector Booster Box Product Id]], tbl_Product[Product Id], tbl_Product[Min Cost])</f>
        <v>#N/A</v>
      </c>
      <c r="AV435" s="10" t="e">
        <f>_xlfn.XLOOKUP(tbl_MTG_Set[[#This Row],[Collector Booster Box Product Id]], tbl_Product[Product Id], tbl_Product[Best Source])</f>
        <v>#N/A</v>
      </c>
      <c r="AW435" s="4" t="e">
        <f>_xlfn.XLOOKUP(tbl_MTG_Set[[#This Row],[Collector Booster Box Product Id]], tbl_Product[Product Id], tbl_Product[Pack Size])</f>
        <v>#N/A</v>
      </c>
      <c r="AX435" s="10" t="e">
        <f>(tbl_MTG_Set[[#This Row],[Collector Booster Box Cost]] + v_Item_Shipping_Cost_In) / tbl_MTG_Set[[#This Row],[Collector Booster Box Size]]</f>
        <v>#N/A</v>
      </c>
      <c r="AY435" s="10" t="str" cm="1">
        <f t="array" ref="AY4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5" s="10"/>
      <c r="BA4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5" s="17" t="e">
        <f>tbl_MTG_Set[[#This Row],[Collector Booster CardMarket Profit]]/tbl_MTG_Set[[#This Row],[Collector Booster Cost]]</f>
        <v>#N/A</v>
      </c>
      <c r="BC435" s="10"/>
      <c r="BF4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5" s="11" t="e">
        <f>tbl_MTG_Set[[#This Row],[Play Singles CardMarket Profit MTG Stocks]]/tbl_MTG_Set[[#This Row],[Play Booster Cost]]</f>
        <v>#VALUE!</v>
      </c>
      <c r="BI435" s="11" t="b">
        <f>tbl_MTG_Set[[#This Row],[Play Singles CardMarket Profit MTG Stocks]]&gt;0</f>
        <v>0</v>
      </c>
      <c r="BM435" s="10" t="e">
        <f>tbl_MTG_Set[[#This Row],[Play Booster Sell Price CardMarket]]*tbl_MTG_Set[[#This Row],[Play Booster Expected Market Value BotBox]]/tbl_MTG_Set[[#This Row],[Play Booster Sealed Market Value BotBox]]</f>
        <v>#VALUE!</v>
      </c>
      <c r="BN4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5" s="10" t="e">
        <f>tbl_MTG_Set[[#This Row],[Play Singles CardMarket Profit BotBox]]/tbl_MTG_Set[[#This Row],[Play Booster Cost]]</f>
        <v>#VALUE!</v>
      </c>
      <c r="BP435" s="10" t="b">
        <f>tbl_MTG_Set[[#This Row],[Play Singles CardMarket Profit BotBox]]&gt;0</f>
        <v>0</v>
      </c>
      <c r="BQ435" s="10"/>
      <c r="BR435" s="10"/>
      <c r="BS435" s="10"/>
      <c r="BT4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5" s="19" t="e">
        <f>tbl_MTG_Set[[#This Row],[Collector Singles CardMarket Profit MTG Stocks]]/tbl_MTG_Set[[#This Row],[Collector Booster Cost]]</f>
        <v>#N/A</v>
      </c>
      <c r="BW435" s="10" t="b">
        <f>tbl_MTG_Set[[#This Row],[Collector Singles CardMarket Profit MTG Stocks]]&gt;0</f>
        <v>0</v>
      </c>
      <c r="BX435" s="10"/>
      <c r="BY435" s="10"/>
      <c r="BZ4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5" s="10" t="e">
        <f>tbl_MTG_Set[[#This Row],[Collector Singles CardMarket Profit BotBox]]/tbl_MTG_Set[[#This Row],[Collector Booster Cost]]</f>
        <v>#N/A</v>
      </c>
      <c r="CC435" s="10" t="b">
        <f>tbl_MTG_Set[[#This Row],[Collector Singles CardMarket Profit BotBox]]&gt;0</f>
        <v>0</v>
      </c>
      <c r="CD4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6" spans="1:86" hidden="1">
      <c r="A436">
        <v>466</v>
      </c>
      <c r="B436" t="s">
        <v>609</v>
      </c>
      <c r="C436">
        <v>26</v>
      </c>
      <c r="D436" s="3">
        <v>43321</v>
      </c>
      <c r="F436" t="s">
        <v>174</v>
      </c>
      <c r="G436">
        <v>878</v>
      </c>
      <c r="H436">
        <f ca="1">MONTH(NOW())+12*YEAR(NOW())-MONTH(tbl_MTG_Set[[#This Row],[Released On]])-12*YEAR(tbl_MTG_Set[[#This Row],[Released On]])</f>
        <v>91</v>
      </c>
      <c r="I436" t="str">
        <f>_xlfn.XLOOKUP(tbl_MTG_Set[[#This Row],[Type Name]], tbl_MTG_Set_Type[Set Type], tbl_MTG_Set_Type[Index], "(Set Type not found)")</f>
        <v>(Set Type not found)</v>
      </c>
      <c r="J436" t="str">
        <f>_xlfn.XLOOKUP(tbl_MTG_Set[[#This Row],[Type Name]], tbl_MTG_Set_Type[Set Type], tbl_MTG_Set_Type[Buy Window Month Start], "(Set Type not found)")</f>
        <v>(Set Type not found)</v>
      </c>
      <c r="K436" s="3" t="e">
        <f>tbl_MTG_Set[[#This Row],[Released On]]+tbl_MTG_Set[[#This Row],[Buy Window Month Start]]*365.25/12</f>
        <v>#VALUE!</v>
      </c>
      <c r="L436" t="str">
        <f>_xlfn.XLOOKUP(tbl_MTG_Set[[#This Row],[Type Name]], tbl_MTG_Set_Type[Set Type], tbl_MTG_Set_Type[Buy Window Month End], "(Set Type not found)", 0, 1)</f>
        <v>(Set Type not found)</v>
      </c>
      <c r="M436" s="3" t="e">
        <f>tbl_MTG_Set[[#This Row],[Released On]]+tbl_MTG_Set[[#This Row],[Buy Window Month End]]*365.25/12</f>
        <v>#VALUE!</v>
      </c>
      <c r="N436" s="3" t="e">
        <f ca="1">AND(NOW()&gt;=tbl_MTG_Set[[#This Row],[Buy Window Start]], NOW()&lt;=tbl_MTG_Set[[#This Row],[Buy Window End]])</f>
        <v>#VALUE!</v>
      </c>
      <c r="O436" t="str">
        <f>_xlfn.XLOOKUP(tbl_MTG_Set[[#This Row],[Type Name]], tbl_MTG_Set_Type[Set Type], tbl_MTG_Set_Type[Heavy Printing Window Month Start], "(Set Type not found)", 0, 1)</f>
        <v>(Set Type not found)</v>
      </c>
      <c r="P436" s="3" t="e">
        <f>tbl_MTG_Set[[#This Row],[Released On]]+tbl_MTG_Set[[#This Row],[Heavy Printing Window Month Start]]*365.25/12</f>
        <v>#VALUE!</v>
      </c>
      <c r="Q436" t="str">
        <f>_xlfn.XLOOKUP(tbl_MTG_Set[[#This Row],[Type Name]], tbl_MTG_Set_Type[Set Type], tbl_MTG_Set_Type[Heavy Printing Window Month End], "(Set Type not found)", 0, 1)</f>
        <v>(Set Type not found)</v>
      </c>
      <c r="R436" s="3" t="e">
        <f>tbl_MTG_Set[[#This Row],[Released On]]+tbl_MTG_Set[[#This Row],[Heavy Printing Window Month End]]*365.25/12</f>
        <v>#VALUE!</v>
      </c>
      <c r="S436" s="3" t="e">
        <f ca="1">AND(NOW()&gt;=tbl_MTG_Set[[#This Row],[Heavy Printing Window Start]], NOW()&lt;=tbl_MTG_Set[[#This Row],[Heavy Printing Window End]])</f>
        <v>#VALUE!</v>
      </c>
      <c r="T436" t="str">
        <f>_xlfn.XLOOKUP(tbl_MTG_Set[[#This Row],[Type Name]], tbl_MTG_Set_Type[Set Type], tbl_MTG_Set_Type[Sell Window Month Start], "(Set Type not found)", 0, 1)</f>
        <v>(Set Type not found)</v>
      </c>
      <c r="U436" s="3" t="e">
        <f>tbl_MTG_Set[[#This Row],[Released On]]+tbl_MTG_Set[[#This Row],[Sell Window Month Start]]*365.25/12</f>
        <v>#VALUE!</v>
      </c>
      <c r="V436" t="str">
        <f>_xlfn.XLOOKUP(tbl_MTG_Set[[#This Row],[Type Name]], tbl_MTG_Set_Type[Set Type], tbl_MTG_Set_Type[Sell Window Month End], "(Set Type not found)", 0, 1)</f>
        <v>(Set Type not found)</v>
      </c>
      <c r="W436" s="3" t="e">
        <f>tbl_MTG_Set[[#This Row],[Released On]]+tbl_MTG_Set[[#This Row],[Sell Window Month End]]*365.25/12</f>
        <v>#VALUE!</v>
      </c>
      <c r="X436" s="3" t="e">
        <f ca="1">AND(NOW()&gt;=tbl_MTG_Set[[#This Row],[Sell Window Start]], NOW()&lt;=tbl_MTG_Set[[#This Row],[Sell Window End]])</f>
        <v>#VALUE!</v>
      </c>
      <c r="AG436" s="10"/>
      <c r="AH436" s="10"/>
      <c r="AM436" s="10" t="str" cm="1">
        <f t="array" ref="AM4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6" s="10" t="str" cm="1">
        <f t="array" ref="AN4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6" s="4" t="e">
        <f>_xlfn.XLOOKUP(tbl_MTG_Set[[#This Row],[Play Booster Box Product Id]], tbl_Product[Product Id], tbl_Product[Pack Size])</f>
        <v>#N/A</v>
      </c>
      <c r="AP436" s="10" t="e">
        <f>(tbl_MTG_Set[[#This Row],[Play Booster Box Cost]]+v_Item_Shipping_Cost_In)/tbl_MTG_Set[[#This Row],[Play Booster Box Size]]</f>
        <v>#VALUE!</v>
      </c>
      <c r="AQ436" s="10" t="str" cm="1">
        <f t="array" ref="AQ4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6" s="10"/>
      <c r="AS436" s="10"/>
      <c r="AT436" s="17" t="e">
        <f>tbl_MTG_Set[[#This Row],[Play Booster CardMarket Profit]]/tbl_MTG_Set[[#This Row],[Play Booster Cost]]</f>
        <v>#VALUE!</v>
      </c>
      <c r="AU436" s="10" t="e">
        <f>_xlfn.XLOOKUP(tbl_MTG_Set[[#This Row],[Collector Booster Box Product Id]], tbl_Product[Product Id], tbl_Product[Min Cost])</f>
        <v>#N/A</v>
      </c>
      <c r="AV436" s="10" t="e">
        <f>_xlfn.XLOOKUP(tbl_MTG_Set[[#This Row],[Collector Booster Box Product Id]], tbl_Product[Product Id], tbl_Product[Best Source])</f>
        <v>#N/A</v>
      </c>
      <c r="AW436" s="4" t="e">
        <f>_xlfn.XLOOKUP(tbl_MTG_Set[[#This Row],[Collector Booster Box Product Id]], tbl_Product[Product Id], tbl_Product[Pack Size])</f>
        <v>#N/A</v>
      </c>
      <c r="AX436" s="10" t="e">
        <f>(tbl_MTG_Set[[#This Row],[Collector Booster Box Cost]] + v_Item_Shipping_Cost_In) / tbl_MTG_Set[[#This Row],[Collector Booster Box Size]]</f>
        <v>#N/A</v>
      </c>
      <c r="AY436" s="10" t="str" cm="1">
        <f t="array" ref="AY4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6" s="10"/>
      <c r="BA4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6" s="17" t="e">
        <f>tbl_MTG_Set[[#This Row],[Collector Booster CardMarket Profit]]/tbl_MTG_Set[[#This Row],[Collector Booster Cost]]</f>
        <v>#N/A</v>
      </c>
      <c r="BC436" s="10"/>
      <c r="BF4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6" s="11" t="e">
        <f>tbl_MTG_Set[[#This Row],[Play Singles CardMarket Profit MTG Stocks]]/tbl_MTG_Set[[#This Row],[Play Booster Cost]]</f>
        <v>#VALUE!</v>
      </c>
      <c r="BI436" s="11" t="b">
        <f>tbl_MTG_Set[[#This Row],[Play Singles CardMarket Profit MTG Stocks]]&gt;0</f>
        <v>0</v>
      </c>
      <c r="BM436" s="10" t="e">
        <f>tbl_MTG_Set[[#This Row],[Play Booster Sell Price CardMarket]]*tbl_MTG_Set[[#This Row],[Play Booster Expected Market Value BotBox]]/tbl_MTG_Set[[#This Row],[Play Booster Sealed Market Value BotBox]]</f>
        <v>#VALUE!</v>
      </c>
      <c r="BN4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6" s="10" t="e">
        <f>tbl_MTG_Set[[#This Row],[Play Singles CardMarket Profit BotBox]]/tbl_MTG_Set[[#This Row],[Play Booster Cost]]</f>
        <v>#VALUE!</v>
      </c>
      <c r="BP436" s="10" t="b">
        <f>tbl_MTG_Set[[#This Row],[Play Singles CardMarket Profit BotBox]]&gt;0</f>
        <v>0</v>
      </c>
      <c r="BQ436" s="10"/>
      <c r="BR436" s="10"/>
      <c r="BS436" s="10"/>
      <c r="BT4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6" s="19" t="e">
        <f>tbl_MTG_Set[[#This Row],[Collector Singles CardMarket Profit MTG Stocks]]/tbl_MTG_Set[[#This Row],[Collector Booster Cost]]</f>
        <v>#N/A</v>
      </c>
      <c r="BW436" s="10" t="b">
        <f>tbl_MTG_Set[[#This Row],[Collector Singles CardMarket Profit MTG Stocks]]&gt;0</f>
        <v>0</v>
      </c>
      <c r="BX436" s="10"/>
      <c r="BY436" s="10"/>
      <c r="BZ4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6" s="10" t="e">
        <f>tbl_MTG_Set[[#This Row],[Collector Singles CardMarket Profit BotBox]]/tbl_MTG_Set[[#This Row],[Collector Booster Cost]]</f>
        <v>#N/A</v>
      </c>
      <c r="CC436" s="10" t="b">
        <f>tbl_MTG_Set[[#This Row],[Collector Singles CardMarket Profit BotBox]]&gt;0</f>
        <v>0</v>
      </c>
      <c r="CD4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7" spans="1:86" hidden="1">
      <c r="A437">
        <v>467</v>
      </c>
      <c r="B437" t="s">
        <v>610</v>
      </c>
      <c r="C437">
        <v>4</v>
      </c>
      <c r="D437" s="3">
        <v>43321</v>
      </c>
      <c r="F437" t="s">
        <v>174</v>
      </c>
      <c r="G437">
        <v>880</v>
      </c>
      <c r="H437">
        <f ca="1">MONTH(NOW())+12*YEAR(NOW())-MONTH(tbl_MTG_Set[[#This Row],[Released On]])-12*YEAR(tbl_MTG_Set[[#This Row],[Released On]])</f>
        <v>91</v>
      </c>
      <c r="I437" t="str">
        <f>_xlfn.XLOOKUP(tbl_MTG_Set[[#This Row],[Type Name]], tbl_MTG_Set_Type[Set Type], tbl_MTG_Set_Type[Index], "(Set Type not found)")</f>
        <v>(Set Type not found)</v>
      </c>
      <c r="J437" t="str">
        <f>_xlfn.XLOOKUP(tbl_MTG_Set[[#This Row],[Type Name]], tbl_MTG_Set_Type[Set Type], tbl_MTG_Set_Type[Buy Window Month Start], "(Set Type not found)")</f>
        <v>(Set Type not found)</v>
      </c>
      <c r="K437" s="3" t="e">
        <f>tbl_MTG_Set[[#This Row],[Released On]]+tbl_MTG_Set[[#This Row],[Buy Window Month Start]]*365.25/12</f>
        <v>#VALUE!</v>
      </c>
      <c r="L437" t="str">
        <f>_xlfn.XLOOKUP(tbl_MTG_Set[[#This Row],[Type Name]], tbl_MTG_Set_Type[Set Type], tbl_MTG_Set_Type[Buy Window Month End], "(Set Type not found)", 0, 1)</f>
        <v>(Set Type not found)</v>
      </c>
      <c r="M437" s="3" t="e">
        <f>tbl_MTG_Set[[#This Row],[Released On]]+tbl_MTG_Set[[#This Row],[Buy Window Month End]]*365.25/12</f>
        <v>#VALUE!</v>
      </c>
      <c r="N437" s="3" t="e">
        <f ca="1">AND(NOW()&gt;=tbl_MTG_Set[[#This Row],[Buy Window Start]], NOW()&lt;=tbl_MTG_Set[[#This Row],[Buy Window End]])</f>
        <v>#VALUE!</v>
      </c>
      <c r="O437" t="str">
        <f>_xlfn.XLOOKUP(tbl_MTG_Set[[#This Row],[Type Name]], tbl_MTG_Set_Type[Set Type], tbl_MTG_Set_Type[Heavy Printing Window Month Start], "(Set Type not found)", 0, 1)</f>
        <v>(Set Type not found)</v>
      </c>
      <c r="P437" s="3" t="e">
        <f>tbl_MTG_Set[[#This Row],[Released On]]+tbl_MTG_Set[[#This Row],[Heavy Printing Window Month Start]]*365.25/12</f>
        <v>#VALUE!</v>
      </c>
      <c r="Q437" t="str">
        <f>_xlfn.XLOOKUP(tbl_MTG_Set[[#This Row],[Type Name]], tbl_MTG_Set_Type[Set Type], tbl_MTG_Set_Type[Heavy Printing Window Month End], "(Set Type not found)", 0, 1)</f>
        <v>(Set Type not found)</v>
      </c>
      <c r="R437" s="3" t="e">
        <f>tbl_MTG_Set[[#This Row],[Released On]]+tbl_MTG_Set[[#This Row],[Heavy Printing Window Month End]]*365.25/12</f>
        <v>#VALUE!</v>
      </c>
      <c r="S437" s="3" t="e">
        <f ca="1">AND(NOW()&gt;=tbl_MTG_Set[[#This Row],[Heavy Printing Window Start]], NOW()&lt;=tbl_MTG_Set[[#This Row],[Heavy Printing Window End]])</f>
        <v>#VALUE!</v>
      </c>
      <c r="T437" t="str">
        <f>_xlfn.XLOOKUP(tbl_MTG_Set[[#This Row],[Type Name]], tbl_MTG_Set_Type[Set Type], tbl_MTG_Set_Type[Sell Window Month Start], "(Set Type not found)", 0, 1)</f>
        <v>(Set Type not found)</v>
      </c>
      <c r="U437" s="3" t="e">
        <f>tbl_MTG_Set[[#This Row],[Released On]]+tbl_MTG_Set[[#This Row],[Sell Window Month Start]]*365.25/12</f>
        <v>#VALUE!</v>
      </c>
      <c r="V437" t="str">
        <f>_xlfn.XLOOKUP(tbl_MTG_Set[[#This Row],[Type Name]], tbl_MTG_Set_Type[Set Type], tbl_MTG_Set_Type[Sell Window Month End], "(Set Type not found)", 0, 1)</f>
        <v>(Set Type not found)</v>
      </c>
      <c r="W437" s="3" t="e">
        <f>tbl_MTG_Set[[#This Row],[Released On]]+tbl_MTG_Set[[#This Row],[Sell Window Month End]]*365.25/12</f>
        <v>#VALUE!</v>
      </c>
      <c r="X437" s="3" t="e">
        <f ca="1">AND(NOW()&gt;=tbl_MTG_Set[[#This Row],[Sell Window Start]], NOW()&lt;=tbl_MTG_Set[[#This Row],[Sell Window End]])</f>
        <v>#VALUE!</v>
      </c>
      <c r="AG437" s="10"/>
      <c r="AH437" s="10"/>
      <c r="AM437" s="10" t="str" cm="1">
        <f t="array" ref="AM4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7" s="10" t="str" cm="1">
        <f t="array" ref="AN4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7" s="4" t="e">
        <f>_xlfn.XLOOKUP(tbl_MTG_Set[[#This Row],[Play Booster Box Product Id]], tbl_Product[Product Id], tbl_Product[Pack Size])</f>
        <v>#N/A</v>
      </c>
      <c r="AP437" s="10" t="e">
        <f>(tbl_MTG_Set[[#This Row],[Play Booster Box Cost]]+v_Item_Shipping_Cost_In)/tbl_MTG_Set[[#This Row],[Play Booster Box Size]]</f>
        <v>#VALUE!</v>
      </c>
      <c r="AQ437" s="10" t="str" cm="1">
        <f t="array" ref="AQ4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7" s="10"/>
      <c r="AS437" s="10"/>
      <c r="AT437" s="17" t="e">
        <f>tbl_MTG_Set[[#This Row],[Play Booster CardMarket Profit]]/tbl_MTG_Set[[#This Row],[Play Booster Cost]]</f>
        <v>#VALUE!</v>
      </c>
      <c r="AU437" s="10" t="e">
        <f>_xlfn.XLOOKUP(tbl_MTG_Set[[#This Row],[Collector Booster Box Product Id]], tbl_Product[Product Id], tbl_Product[Min Cost])</f>
        <v>#N/A</v>
      </c>
      <c r="AV437" s="10" t="e">
        <f>_xlfn.XLOOKUP(tbl_MTG_Set[[#This Row],[Collector Booster Box Product Id]], tbl_Product[Product Id], tbl_Product[Best Source])</f>
        <v>#N/A</v>
      </c>
      <c r="AW437" s="4" t="e">
        <f>_xlfn.XLOOKUP(tbl_MTG_Set[[#This Row],[Collector Booster Box Product Id]], tbl_Product[Product Id], tbl_Product[Pack Size])</f>
        <v>#N/A</v>
      </c>
      <c r="AX437" s="10" t="e">
        <f>(tbl_MTG_Set[[#This Row],[Collector Booster Box Cost]] + v_Item_Shipping_Cost_In) / tbl_MTG_Set[[#This Row],[Collector Booster Box Size]]</f>
        <v>#N/A</v>
      </c>
      <c r="AY437" s="10" t="str" cm="1">
        <f t="array" ref="AY4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7" s="10"/>
      <c r="BA4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7" s="17" t="e">
        <f>tbl_MTG_Set[[#This Row],[Collector Booster CardMarket Profit]]/tbl_MTG_Set[[#This Row],[Collector Booster Cost]]</f>
        <v>#N/A</v>
      </c>
      <c r="BC437" s="10"/>
      <c r="BF4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7" s="11" t="e">
        <f>tbl_MTG_Set[[#This Row],[Play Singles CardMarket Profit MTG Stocks]]/tbl_MTG_Set[[#This Row],[Play Booster Cost]]</f>
        <v>#VALUE!</v>
      </c>
      <c r="BI437" s="11" t="b">
        <f>tbl_MTG_Set[[#This Row],[Play Singles CardMarket Profit MTG Stocks]]&gt;0</f>
        <v>0</v>
      </c>
      <c r="BM437" s="10" t="e">
        <f>tbl_MTG_Set[[#This Row],[Play Booster Sell Price CardMarket]]*tbl_MTG_Set[[#This Row],[Play Booster Expected Market Value BotBox]]/tbl_MTG_Set[[#This Row],[Play Booster Sealed Market Value BotBox]]</f>
        <v>#VALUE!</v>
      </c>
      <c r="BN4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7" s="10" t="e">
        <f>tbl_MTG_Set[[#This Row],[Play Singles CardMarket Profit BotBox]]/tbl_MTG_Set[[#This Row],[Play Booster Cost]]</f>
        <v>#VALUE!</v>
      </c>
      <c r="BP437" s="10" t="b">
        <f>tbl_MTG_Set[[#This Row],[Play Singles CardMarket Profit BotBox]]&gt;0</f>
        <v>0</v>
      </c>
      <c r="BQ437" s="10"/>
      <c r="BR437" s="10"/>
      <c r="BS437" s="10"/>
      <c r="BT4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7" s="19" t="e">
        <f>tbl_MTG_Set[[#This Row],[Collector Singles CardMarket Profit MTG Stocks]]/tbl_MTG_Set[[#This Row],[Collector Booster Cost]]</f>
        <v>#N/A</v>
      </c>
      <c r="BW437" s="10" t="b">
        <f>tbl_MTG_Set[[#This Row],[Collector Singles CardMarket Profit MTG Stocks]]&gt;0</f>
        <v>0</v>
      </c>
      <c r="BX437" s="10"/>
      <c r="BY437" s="10"/>
      <c r="BZ4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7" s="10" t="e">
        <f>tbl_MTG_Set[[#This Row],[Collector Singles CardMarket Profit BotBox]]/tbl_MTG_Set[[#This Row],[Collector Booster Cost]]</f>
        <v>#N/A</v>
      </c>
      <c r="CC437" s="10" t="b">
        <f>tbl_MTG_Set[[#This Row],[Collector Singles CardMarket Profit BotBox]]&gt;0</f>
        <v>0</v>
      </c>
      <c r="CD4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8" spans="1:86" hidden="1">
      <c r="A438">
        <v>468</v>
      </c>
      <c r="B438" t="s">
        <v>611</v>
      </c>
      <c r="C438">
        <v>540</v>
      </c>
      <c r="D438" s="3">
        <v>43320</v>
      </c>
      <c r="F438">
        <v>0</v>
      </c>
      <c r="G438">
        <v>882</v>
      </c>
      <c r="H438">
        <f ca="1">MONTH(NOW())+12*YEAR(NOW())-MONTH(tbl_MTG_Set[[#This Row],[Released On]])-12*YEAR(tbl_MTG_Set[[#This Row],[Released On]])</f>
        <v>91</v>
      </c>
      <c r="I438" t="str">
        <f>_xlfn.XLOOKUP(tbl_MTG_Set[[#This Row],[Type Name]], tbl_MTG_Set_Type[Set Type], tbl_MTG_Set_Type[Index], "(Set Type not found)")</f>
        <v>(Set Type not found)</v>
      </c>
      <c r="J438" t="str">
        <f>_xlfn.XLOOKUP(tbl_MTG_Set[[#This Row],[Type Name]], tbl_MTG_Set_Type[Set Type], tbl_MTG_Set_Type[Buy Window Month Start], "(Set Type not found)")</f>
        <v>(Set Type not found)</v>
      </c>
      <c r="K438" s="3" t="e">
        <f>tbl_MTG_Set[[#This Row],[Released On]]+tbl_MTG_Set[[#This Row],[Buy Window Month Start]]*365.25/12</f>
        <v>#VALUE!</v>
      </c>
      <c r="L438" t="str">
        <f>_xlfn.XLOOKUP(tbl_MTG_Set[[#This Row],[Type Name]], tbl_MTG_Set_Type[Set Type], tbl_MTG_Set_Type[Buy Window Month End], "(Set Type not found)", 0, 1)</f>
        <v>(Set Type not found)</v>
      </c>
      <c r="M438" s="3" t="e">
        <f>tbl_MTG_Set[[#This Row],[Released On]]+tbl_MTG_Set[[#This Row],[Buy Window Month End]]*365.25/12</f>
        <v>#VALUE!</v>
      </c>
      <c r="N438" s="3" t="e">
        <f ca="1">AND(NOW()&gt;=tbl_MTG_Set[[#This Row],[Buy Window Start]], NOW()&lt;=tbl_MTG_Set[[#This Row],[Buy Window End]])</f>
        <v>#VALUE!</v>
      </c>
      <c r="O438" t="str">
        <f>_xlfn.XLOOKUP(tbl_MTG_Set[[#This Row],[Type Name]], tbl_MTG_Set_Type[Set Type], tbl_MTG_Set_Type[Heavy Printing Window Month Start], "(Set Type not found)", 0, 1)</f>
        <v>(Set Type not found)</v>
      </c>
      <c r="P438" s="3" t="e">
        <f>tbl_MTG_Set[[#This Row],[Released On]]+tbl_MTG_Set[[#This Row],[Heavy Printing Window Month Start]]*365.25/12</f>
        <v>#VALUE!</v>
      </c>
      <c r="Q438" t="str">
        <f>_xlfn.XLOOKUP(tbl_MTG_Set[[#This Row],[Type Name]], tbl_MTG_Set_Type[Set Type], tbl_MTG_Set_Type[Heavy Printing Window Month End], "(Set Type not found)", 0, 1)</f>
        <v>(Set Type not found)</v>
      </c>
      <c r="R438" s="3" t="e">
        <f>tbl_MTG_Set[[#This Row],[Released On]]+tbl_MTG_Set[[#This Row],[Heavy Printing Window Month End]]*365.25/12</f>
        <v>#VALUE!</v>
      </c>
      <c r="S438" s="3" t="e">
        <f ca="1">AND(NOW()&gt;=tbl_MTG_Set[[#This Row],[Heavy Printing Window Start]], NOW()&lt;=tbl_MTG_Set[[#This Row],[Heavy Printing Window End]])</f>
        <v>#VALUE!</v>
      </c>
      <c r="T438" t="str">
        <f>_xlfn.XLOOKUP(tbl_MTG_Set[[#This Row],[Type Name]], tbl_MTG_Set_Type[Set Type], tbl_MTG_Set_Type[Sell Window Month Start], "(Set Type not found)", 0, 1)</f>
        <v>(Set Type not found)</v>
      </c>
      <c r="U438" s="3" t="e">
        <f>tbl_MTG_Set[[#This Row],[Released On]]+tbl_MTG_Set[[#This Row],[Sell Window Month Start]]*365.25/12</f>
        <v>#VALUE!</v>
      </c>
      <c r="V438" t="str">
        <f>_xlfn.XLOOKUP(tbl_MTG_Set[[#This Row],[Type Name]], tbl_MTG_Set_Type[Set Type], tbl_MTG_Set_Type[Sell Window Month End], "(Set Type not found)", 0, 1)</f>
        <v>(Set Type not found)</v>
      </c>
      <c r="W438" s="3" t="e">
        <f>tbl_MTG_Set[[#This Row],[Released On]]+tbl_MTG_Set[[#This Row],[Sell Window Month End]]*365.25/12</f>
        <v>#VALUE!</v>
      </c>
      <c r="X438" s="3" t="e">
        <f ca="1">AND(NOW()&gt;=tbl_MTG_Set[[#This Row],[Sell Window Start]], NOW()&lt;=tbl_MTG_Set[[#This Row],[Sell Window End]])</f>
        <v>#VALUE!</v>
      </c>
      <c r="AG438" s="10"/>
      <c r="AH438" s="10"/>
      <c r="AM438" s="10" t="str" cm="1">
        <f t="array" ref="AM4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8" s="10" t="str" cm="1">
        <f t="array" ref="AN4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8" s="4" t="e">
        <f>_xlfn.XLOOKUP(tbl_MTG_Set[[#This Row],[Play Booster Box Product Id]], tbl_Product[Product Id], tbl_Product[Pack Size])</f>
        <v>#N/A</v>
      </c>
      <c r="AP438" s="10" t="e">
        <f>(tbl_MTG_Set[[#This Row],[Play Booster Box Cost]]+v_Item_Shipping_Cost_In)/tbl_MTG_Set[[#This Row],[Play Booster Box Size]]</f>
        <v>#VALUE!</v>
      </c>
      <c r="AQ438" s="10" t="str" cm="1">
        <f t="array" ref="AQ4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8" s="10"/>
      <c r="AS438" s="10"/>
      <c r="AT438" s="17" t="e">
        <f>tbl_MTG_Set[[#This Row],[Play Booster CardMarket Profit]]/tbl_MTG_Set[[#This Row],[Play Booster Cost]]</f>
        <v>#VALUE!</v>
      </c>
      <c r="AU438" s="10" t="e">
        <f>_xlfn.XLOOKUP(tbl_MTG_Set[[#This Row],[Collector Booster Box Product Id]], tbl_Product[Product Id], tbl_Product[Min Cost])</f>
        <v>#N/A</v>
      </c>
      <c r="AV438" s="10" t="e">
        <f>_xlfn.XLOOKUP(tbl_MTG_Set[[#This Row],[Collector Booster Box Product Id]], tbl_Product[Product Id], tbl_Product[Best Source])</f>
        <v>#N/A</v>
      </c>
      <c r="AW438" s="4" t="e">
        <f>_xlfn.XLOOKUP(tbl_MTG_Set[[#This Row],[Collector Booster Box Product Id]], tbl_Product[Product Id], tbl_Product[Pack Size])</f>
        <v>#N/A</v>
      </c>
      <c r="AX438" s="10" t="e">
        <f>(tbl_MTG_Set[[#This Row],[Collector Booster Box Cost]] + v_Item_Shipping_Cost_In) / tbl_MTG_Set[[#This Row],[Collector Booster Box Size]]</f>
        <v>#N/A</v>
      </c>
      <c r="AY438" s="10" t="str" cm="1">
        <f t="array" ref="AY4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8" s="10"/>
      <c r="BA4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8" s="17" t="e">
        <f>tbl_MTG_Set[[#This Row],[Collector Booster CardMarket Profit]]/tbl_MTG_Set[[#This Row],[Collector Booster Cost]]</f>
        <v>#N/A</v>
      </c>
      <c r="BC438" s="10"/>
      <c r="BF4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8" s="11" t="e">
        <f>tbl_MTG_Set[[#This Row],[Play Singles CardMarket Profit MTG Stocks]]/tbl_MTG_Set[[#This Row],[Play Booster Cost]]</f>
        <v>#VALUE!</v>
      </c>
      <c r="BI438" s="11" t="b">
        <f>tbl_MTG_Set[[#This Row],[Play Singles CardMarket Profit MTG Stocks]]&gt;0</f>
        <v>0</v>
      </c>
      <c r="BM438" s="10" t="e">
        <f>tbl_MTG_Set[[#This Row],[Play Booster Sell Price CardMarket]]*tbl_MTG_Set[[#This Row],[Play Booster Expected Market Value BotBox]]/tbl_MTG_Set[[#This Row],[Play Booster Sealed Market Value BotBox]]</f>
        <v>#VALUE!</v>
      </c>
      <c r="BN4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8" s="10" t="e">
        <f>tbl_MTG_Set[[#This Row],[Play Singles CardMarket Profit BotBox]]/tbl_MTG_Set[[#This Row],[Play Booster Cost]]</f>
        <v>#VALUE!</v>
      </c>
      <c r="BP438" s="10" t="b">
        <f>tbl_MTG_Set[[#This Row],[Play Singles CardMarket Profit BotBox]]&gt;0</f>
        <v>0</v>
      </c>
      <c r="BQ438" s="10"/>
      <c r="BR438" s="10"/>
      <c r="BS438" s="10"/>
      <c r="BT4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8" s="19" t="e">
        <f>tbl_MTG_Set[[#This Row],[Collector Singles CardMarket Profit MTG Stocks]]/tbl_MTG_Set[[#This Row],[Collector Booster Cost]]</f>
        <v>#N/A</v>
      </c>
      <c r="BW438" s="10" t="b">
        <f>tbl_MTG_Set[[#This Row],[Collector Singles CardMarket Profit MTG Stocks]]&gt;0</f>
        <v>0</v>
      </c>
      <c r="BX438" s="10"/>
      <c r="BY438" s="10"/>
      <c r="BZ4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8" s="10" t="e">
        <f>tbl_MTG_Set[[#This Row],[Collector Singles CardMarket Profit BotBox]]/tbl_MTG_Set[[#This Row],[Collector Booster Cost]]</f>
        <v>#N/A</v>
      </c>
      <c r="CC438" s="10" t="b">
        <f>tbl_MTG_Set[[#This Row],[Collector Singles CardMarket Profit BotBox]]&gt;0</f>
        <v>0</v>
      </c>
      <c r="CD4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39" spans="1:86" hidden="1">
      <c r="A439">
        <v>469</v>
      </c>
      <c r="B439" t="s">
        <v>612</v>
      </c>
      <c r="C439">
        <v>3</v>
      </c>
      <c r="D439" s="3">
        <v>43313</v>
      </c>
      <c r="F439" t="s">
        <v>174</v>
      </c>
      <c r="G439">
        <v>884</v>
      </c>
      <c r="H439">
        <f ca="1">MONTH(NOW())+12*YEAR(NOW())-MONTH(tbl_MTG_Set[[#This Row],[Released On]])-12*YEAR(tbl_MTG_Set[[#This Row],[Released On]])</f>
        <v>91</v>
      </c>
      <c r="I439" t="str">
        <f>_xlfn.XLOOKUP(tbl_MTG_Set[[#This Row],[Type Name]], tbl_MTG_Set_Type[Set Type], tbl_MTG_Set_Type[Index], "(Set Type not found)")</f>
        <v>(Set Type not found)</v>
      </c>
      <c r="J439" t="str">
        <f>_xlfn.XLOOKUP(tbl_MTG_Set[[#This Row],[Type Name]], tbl_MTG_Set_Type[Set Type], tbl_MTG_Set_Type[Buy Window Month Start], "(Set Type not found)")</f>
        <v>(Set Type not found)</v>
      </c>
      <c r="K439" s="3" t="e">
        <f>tbl_MTG_Set[[#This Row],[Released On]]+tbl_MTG_Set[[#This Row],[Buy Window Month Start]]*365.25/12</f>
        <v>#VALUE!</v>
      </c>
      <c r="L439" t="str">
        <f>_xlfn.XLOOKUP(tbl_MTG_Set[[#This Row],[Type Name]], tbl_MTG_Set_Type[Set Type], tbl_MTG_Set_Type[Buy Window Month End], "(Set Type not found)", 0, 1)</f>
        <v>(Set Type not found)</v>
      </c>
      <c r="M439" s="3" t="e">
        <f>tbl_MTG_Set[[#This Row],[Released On]]+tbl_MTG_Set[[#This Row],[Buy Window Month End]]*365.25/12</f>
        <v>#VALUE!</v>
      </c>
      <c r="N439" s="3" t="e">
        <f ca="1">AND(NOW()&gt;=tbl_MTG_Set[[#This Row],[Buy Window Start]], NOW()&lt;=tbl_MTG_Set[[#This Row],[Buy Window End]])</f>
        <v>#VALUE!</v>
      </c>
      <c r="O439" t="str">
        <f>_xlfn.XLOOKUP(tbl_MTG_Set[[#This Row],[Type Name]], tbl_MTG_Set_Type[Set Type], tbl_MTG_Set_Type[Heavy Printing Window Month Start], "(Set Type not found)", 0, 1)</f>
        <v>(Set Type not found)</v>
      </c>
      <c r="P439" s="3" t="e">
        <f>tbl_MTG_Set[[#This Row],[Released On]]+tbl_MTG_Set[[#This Row],[Heavy Printing Window Month Start]]*365.25/12</f>
        <v>#VALUE!</v>
      </c>
      <c r="Q439" t="str">
        <f>_xlfn.XLOOKUP(tbl_MTG_Set[[#This Row],[Type Name]], tbl_MTG_Set_Type[Set Type], tbl_MTG_Set_Type[Heavy Printing Window Month End], "(Set Type not found)", 0, 1)</f>
        <v>(Set Type not found)</v>
      </c>
      <c r="R439" s="3" t="e">
        <f>tbl_MTG_Set[[#This Row],[Released On]]+tbl_MTG_Set[[#This Row],[Heavy Printing Window Month End]]*365.25/12</f>
        <v>#VALUE!</v>
      </c>
      <c r="S439" s="3" t="e">
        <f ca="1">AND(NOW()&gt;=tbl_MTG_Set[[#This Row],[Heavy Printing Window Start]], NOW()&lt;=tbl_MTG_Set[[#This Row],[Heavy Printing Window End]])</f>
        <v>#VALUE!</v>
      </c>
      <c r="T439" t="str">
        <f>_xlfn.XLOOKUP(tbl_MTG_Set[[#This Row],[Type Name]], tbl_MTG_Set_Type[Set Type], tbl_MTG_Set_Type[Sell Window Month Start], "(Set Type not found)", 0, 1)</f>
        <v>(Set Type not found)</v>
      </c>
      <c r="U439" s="3" t="e">
        <f>tbl_MTG_Set[[#This Row],[Released On]]+tbl_MTG_Set[[#This Row],[Sell Window Month Start]]*365.25/12</f>
        <v>#VALUE!</v>
      </c>
      <c r="V439" t="str">
        <f>_xlfn.XLOOKUP(tbl_MTG_Set[[#This Row],[Type Name]], tbl_MTG_Set_Type[Set Type], tbl_MTG_Set_Type[Sell Window Month End], "(Set Type not found)", 0, 1)</f>
        <v>(Set Type not found)</v>
      </c>
      <c r="W439" s="3" t="e">
        <f>tbl_MTG_Set[[#This Row],[Released On]]+tbl_MTG_Set[[#This Row],[Sell Window Month End]]*365.25/12</f>
        <v>#VALUE!</v>
      </c>
      <c r="X439" s="3" t="e">
        <f ca="1">AND(NOW()&gt;=tbl_MTG_Set[[#This Row],[Sell Window Start]], NOW()&lt;=tbl_MTG_Set[[#This Row],[Sell Window End]])</f>
        <v>#VALUE!</v>
      </c>
      <c r="AG439" s="10"/>
      <c r="AH439" s="10"/>
      <c r="AM439" s="10" t="str" cm="1">
        <f t="array" ref="AM4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39" s="10" t="str" cm="1">
        <f t="array" ref="AN4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39" s="4" t="e">
        <f>_xlfn.XLOOKUP(tbl_MTG_Set[[#This Row],[Play Booster Box Product Id]], tbl_Product[Product Id], tbl_Product[Pack Size])</f>
        <v>#N/A</v>
      </c>
      <c r="AP439" s="10" t="e">
        <f>(tbl_MTG_Set[[#This Row],[Play Booster Box Cost]]+v_Item_Shipping_Cost_In)/tbl_MTG_Set[[#This Row],[Play Booster Box Size]]</f>
        <v>#VALUE!</v>
      </c>
      <c r="AQ439" s="10" t="str" cm="1">
        <f t="array" ref="AQ4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39" s="10"/>
      <c r="AS439" s="10"/>
      <c r="AT439" s="17" t="e">
        <f>tbl_MTG_Set[[#This Row],[Play Booster CardMarket Profit]]/tbl_MTG_Set[[#This Row],[Play Booster Cost]]</f>
        <v>#VALUE!</v>
      </c>
      <c r="AU439" s="10" t="e">
        <f>_xlfn.XLOOKUP(tbl_MTG_Set[[#This Row],[Collector Booster Box Product Id]], tbl_Product[Product Id], tbl_Product[Min Cost])</f>
        <v>#N/A</v>
      </c>
      <c r="AV439" s="10" t="e">
        <f>_xlfn.XLOOKUP(tbl_MTG_Set[[#This Row],[Collector Booster Box Product Id]], tbl_Product[Product Id], tbl_Product[Best Source])</f>
        <v>#N/A</v>
      </c>
      <c r="AW439" s="4" t="e">
        <f>_xlfn.XLOOKUP(tbl_MTG_Set[[#This Row],[Collector Booster Box Product Id]], tbl_Product[Product Id], tbl_Product[Pack Size])</f>
        <v>#N/A</v>
      </c>
      <c r="AX439" s="10" t="e">
        <f>(tbl_MTG_Set[[#This Row],[Collector Booster Box Cost]] + v_Item_Shipping_Cost_In) / tbl_MTG_Set[[#This Row],[Collector Booster Box Size]]</f>
        <v>#N/A</v>
      </c>
      <c r="AY439" s="10" t="str" cm="1">
        <f t="array" ref="AY4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39" s="10"/>
      <c r="BA4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39" s="17" t="e">
        <f>tbl_MTG_Set[[#This Row],[Collector Booster CardMarket Profit]]/tbl_MTG_Set[[#This Row],[Collector Booster Cost]]</f>
        <v>#N/A</v>
      </c>
      <c r="BC439" s="10"/>
      <c r="BF4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39" s="11" t="e">
        <f>tbl_MTG_Set[[#This Row],[Play Singles CardMarket Profit MTG Stocks]]/tbl_MTG_Set[[#This Row],[Play Booster Cost]]</f>
        <v>#VALUE!</v>
      </c>
      <c r="BI439" s="11" t="b">
        <f>tbl_MTG_Set[[#This Row],[Play Singles CardMarket Profit MTG Stocks]]&gt;0</f>
        <v>0</v>
      </c>
      <c r="BM439" s="10" t="e">
        <f>tbl_MTG_Set[[#This Row],[Play Booster Sell Price CardMarket]]*tbl_MTG_Set[[#This Row],[Play Booster Expected Market Value BotBox]]/tbl_MTG_Set[[#This Row],[Play Booster Sealed Market Value BotBox]]</f>
        <v>#VALUE!</v>
      </c>
      <c r="BN4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39" s="10" t="e">
        <f>tbl_MTG_Set[[#This Row],[Play Singles CardMarket Profit BotBox]]/tbl_MTG_Set[[#This Row],[Play Booster Cost]]</f>
        <v>#VALUE!</v>
      </c>
      <c r="BP439" s="10" t="b">
        <f>tbl_MTG_Set[[#This Row],[Play Singles CardMarket Profit BotBox]]&gt;0</f>
        <v>0</v>
      </c>
      <c r="BQ439" s="10"/>
      <c r="BR439" s="10"/>
      <c r="BS439" s="10"/>
      <c r="BT4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39" s="19" t="e">
        <f>tbl_MTG_Set[[#This Row],[Collector Singles CardMarket Profit MTG Stocks]]/tbl_MTG_Set[[#This Row],[Collector Booster Cost]]</f>
        <v>#N/A</v>
      </c>
      <c r="BW439" s="10" t="b">
        <f>tbl_MTG_Set[[#This Row],[Collector Singles CardMarket Profit MTG Stocks]]&gt;0</f>
        <v>0</v>
      </c>
      <c r="BX439" s="10"/>
      <c r="BY439" s="10"/>
      <c r="BZ4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39" s="10" t="e">
        <f>tbl_MTG_Set[[#This Row],[Collector Singles CardMarket Profit BotBox]]/tbl_MTG_Set[[#This Row],[Collector Booster Cost]]</f>
        <v>#N/A</v>
      </c>
      <c r="CC439" s="10" t="b">
        <f>tbl_MTG_Set[[#This Row],[Collector Singles CardMarket Profit BotBox]]&gt;0</f>
        <v>0</v>
      </c>
      <c r="CD4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0" spans="1:86" hidden="1">
      <c r="A440">
        <v>470</v>
      </c>
      <c r="B440" t="s">
        <v>613</v>
      </c>
      <c r="C440">
        <v>5</v>
      </c>
      <c r="D440" s="3">
        <v>43300</v>
      </c>
      <c r="F440" t="s">
        <v>174</v>
      </c>
      <c r="G440">
        <v>886</v>
      </c>
      <c r="H440">
        <f ca="1">MONTH(NOW())+12*YEAR(NOW())-MONTH(tbl_MTG_Set[[#This Row],[Released On]])-12*YEAR(tbl_MTG_Set[[#This Row],[Released On]])</f>
        <v>92</v>
      </c>
      <c r="I440" t="str">
        <f>_xlfn.XLOOKUP(tbl_MTG_Set[[#This Row],[Type Name]], tbl_MTG_Set_Type[Set Type], tbl_MTG_Set_Type[Index], "(Set Type not found)")</f>
        <v>(Set Type not found)</v>
      </c>
      <c r="J440" t="str">
        <f>_xlfn.XLOOKUP(tbl_MTG_Set[[#This Row],[Type Name]], tbl_MTG_Set_Type[Set Type], tbl_MTG_Set_Type[Buy Window Month Start], "(Set Type not found)")</f>
        <v>(Set Type not found)</v>
      </c>
      <c r="K440" s="3" t="e">
        <f>tbl_MTG_Set[[#This Row],[Released On]]+tbl_MTG_Set[[#This Row],[Buy Window Month Start]]*365.25/12</f>
        <v>#VALUE!</v>
      </c>
      <c r="L440" t="str">
        <f>_xlfn.XLOOKUP(tbl_MTG_Set[[#This Row],[Type Name]], tbl_MTG_Set_Type[Set Type], tbl_MTG_Set_Type[Buy Window Month End], "(Set Type not found)", 0, 1)</f>
        <v>(Set Type not found)</v>
      </c>
      <c r="M440" s="3" t="e">
        <f>tbl_MTG_Set[[#This Row],[Released On]]+tbl_MTG_Set[[#This Row],[Buy Window Month End]]*365.25/12</f>
        <v>#VALUE!</v>
      </c>
      <c r="N440" s="3" t="e">
        <f ca="1">AND(NOW()&gt;=tbl_MTG_Set[[#This Row],[Buy Window Start]], NOW()&lt;=tbl_MTG_Set[[#This Row],[Buy Window End]])</f>
        <v>#VALUE!</v>
      </c>
      <c r="O440" t="str">
        <f>_xlfn.XLOOKUP(tbl_MTG_Set[[#This Row],[Type Name]], tbl_MTG_Set_Type[Set Type], tbl_MTG_Set_Type[Heavy Printing Window Month Start], "(Set Type not found)", 0, 1)</f>
        <v>(Set Type not found)</v>
      </c>
      <c r="P440" s="3" t="e">
        <f>tbl_MTG_Set[[#This Row],[Released On]]+tbl_MTG_Set[[#This Row],[Heavy Printing Window Month Start]]*365.25/12</f>
        <v>#VALUE!</v>
      </c>
      <c r="Q440" t="str">
        <f>_xlfn.XLOOKUP(tbl_MTG_Set[[#This Row],[Type Name]], tbl_MTG_Set_Type[Set Type], tbl_MTG_Set_Type[Heavy Printing Window Month End], "(Set Type not found)", 0, 1)</f>
        <v>(Set Type not found)</v>
      </c>
      <c r="R440" s="3" t="e">
        <f>tbl_MTG_Set[[#This Row],[Released On]]+tbl_MTG_Set[[#This Row],[Heavy Printing Window Month End]]*365.25/12</f>
        <v>#VALUE!</v>
      </c>
      <c r="S440" s="3" t="e">
        <f ca="1">AND(NOW()&gt;=tbl_MTG_Set[[#This Row],[Heavy Printing Window Start]], NOW()&lt;=tbl_MTG_Set[[#This Row],[Heavy Printing Window End]])</f>
        <v>#VALUE!</v>
      </c>
      <c r="T440" t="str">
        <f>_xlfn.XLOOKUP(tbl_MTG_Set[[#This Row],[Type Name]], tbl_MTG_Set_Type[Set Type], tbl_MTG_Set_Type[Sell Window Month Start], "(Set Type not found)", 0, 1)</f>
        <v>(Set Type not found)</v>
      </c>
      <c r="U440" s="3" t="e">
        <f>tbl_MTG_Set[[#This Row],[Released On]]+tbl_MTG_Set[[#This Row],[Sell Window Month Start]]*365.25/12</f>
        <v>#VALUE!</v>
      </c>
      <c r="V440" t="str">
        <f>_xlfn.XLOOKUP(tbl_MTG_Set[[#This Row],[Type Name]], tbl_MTG_Set_Type[Set Type], tbl_MTG_Set_Type[Sell Window Month End], "(Set Type not found)", 0, 1)</f>
        <v>(Set Type not found)</v>
      </c>
      <c r="W440" s="3" t="e">
        <f>tbl_MTG_Set[[#This Row],[Released On]]+tbl_MTG_Set[[#This Row],[Sell Window Month End]]*365.25/12</f>
        <v>#VALUE!</v>
      </c>
      <c r="X440" s="3" t="e">
        <f ca="1">AND(NOW()&gt;=tbl_MTG_Set[[#This Row],[Sell Window Start]], NOW()&lt;=tbl_MTG_Set[[#This Row],[Sell Window End]])</f>
        <v>#VALUE!</v>
      </c>
      <c r="AG440" s="10"/>
      <c r="AH440" s="10"/>
      <c r="AM440" s="10" t="str" cm="1">
        <f t="array" ref="AM4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0" s="10" t="str" cm="1">
        <f t="array" ref="AN4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0" s="4" t="e">
        <f>_xlfn.XLOOKUP(tbl_MTG_Set[[#This Row],[Play Booster Box Product Id]], tbl_Product[Product Id], tbl_Product[Pack Size])</f>
        <v>#N/A</v>
      </c>
      <c r="AP440" s="10" t="e">
        <f>(tbl_MTG_Set[[#This Row],[Play Booster Box Cost]]+v_Item_Shipping_Cost_In)/tbl_MTG_Set[[#This Row],[Play Booster Box Size]]</f>
        <v>#VALUE!</v>
      </c>
      <c r="AQ440" s="10" t="str" cm="1">
        <f t="array" ref="AQ4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0" s="10"/>
      <c r="AS440" s="10"/>
      <c r="AT440" s="17" t="e">
        <f>tbl_MTG_Set[[#This Row],[Play Booster CardMarket Profit]]/tbl_MTG_Set[[#This Row],[Play Booster Cost]]</f>
        <v>#VALUE!</v>
      </c>
      <c r="AU440" s="10" t="e">
        <f>_xlfn.XLOOKUP(tbl_MTG_Set[[#This Row],[Collector Booster Box Product Id]], tbl_Product[Product Id], tbl_Product[Min Cost])</f>
        <v>#N/A</v>
      </c>
      <c r="AV440" s="10" t="e">
        <f>_xlfn.XLOOKUP(tbl_MTG_Set[[#This Row],[Collector Booster Box Product Id]], tbl_Product[Product Id], tbl_Product[Best Source])</f>
        <v>#N/A</v>
      </c>
      <c r="AW440" s="4" t="e">
        <f>_xlfn.XLOOKUP(tbl_MTG_Set[[#This Row],[Collector Booster Box Product Id]], tbl_Product[Product Id], tbl_Product[Pack Size])</f>
        <v>#N/A</v>
      </c>
      <c r="AX440" s="10" t="e">
        <f>(tbl_MTG_Set[[#This Row],[Collector Booster Box Cost]] + v_Item_Shipping_Cost_In) / tbl_MTG_Set[[#This Row],[Collector Booster Box Size]]</f>
        <v>#N/A</v>
      </c>
      <c r="AY440" s="10" t="str" cm="1">
        <f t="array" ref="AY4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0" s="10"/>
      <c r="BA4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0" s="17" t="e">
        <f>tbl_MTG_Set[[#This Row],[Collector Booster CardMarket Profit]]/tbl_MTG_Set[[#This Row],[Collector Booster Cost]]</f>
        <v>#N/A</v>
      </c>
      <c r="BC440" s="10"/>
      <c r="BF4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0" s="11" t="e">
        <f>tbl_MTG_Set[[#This Row],[Play Singles CardMarket Profit MTG Stocks]]/tbl_MTG_Set[[#This Row],[Play Booster Cost]]</f>
        <v>#VALUE!</v>
      </c>
      <c r="BI440" s="11" t="b">
        <f>tbl_MTG_Set[[#This Row],[Play Singles CardMarket Profit MTG Stocks]]&gt;0</f>
        <v>0</v>
      </c>
      <c r="BM440" s="10" t="e">
        <f>tbl_MTG_Set[[#This Row],[Play Booster Sell Price CardMarket]]*tbl_MTG_Set[[#This Row],[Play Booster Expected Market Value BotBox]]/tbl_MTG_Set[[#This Row],[Play Booster Sealed Market Value BotBox]]</f>
        <v>#VALUE!</v>
      </c>
      <c r="BN4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0" s="10" t="e">
        <f>tbl_MTG_Set[[#This Row],[Play Singles CardMarket Profit BotBox]]/tbl_MTG_Set[[#This Row],[Play Booster Cost]]</f>
        <v>#VALUE!</v>
      </c>
      <c r="BP440" s="10" t="b">
        <f>tbl_MTG_Set[[#This Row],[Play Singles CardMarket Profit BotBox]]&gt;0</f>
        <v>0</v>
      </c>
      <c r="BQ440" s="10"/>
      <c r="BR440" s="10"/>
      <c r="BS440" s="10"/>
      <c r="BT4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0" s="19" t="e">
        <f>tbl_MTG_Set[[#This Row],[Collector Singles CardMarket Profit MTG Stocks]]/tbl_MTG_Set[[#This Row],[Collector Booster Cost]]</f>
        <v>#N/A</v>
      </c>
      <c r="BW440" s="10" t="b">
        <f>tbl_MTG_Set[[#This Row],[Collector Singles CardMarket Profit MTG Stocks]]&gt;0</f>
        <v>0</v>
      </c>
      <c r="BX440" s="10"/>
      <c r="BY440" s="10"/>
      <c r="BZ4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0" s="10" t="e">
        <f>tbl_MTG_Set[[#This Row],[Collector Singles CardMarket Profit BotBox]]/tbl_MTG_Set[[#This Row],[Collector Booster Cost]]</f>
        <v>#N/A</v>
      </c>
      <c r="CC440" s="10" t="b">
        <f>tbl_MTG_Set[[#This Row],[Collector Singles CardMarket Profit BotBox]]&gt;0</f>
        <v>0</v>
      </c>
      <c r="CD4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1" spans="1:86" hidden="1">
      <c r="A441">
        <v>471</v>
      </c>
      <c r="B441" t="s">
        <v>614</v>
      </c>
      <c r="C441">
        <v>46</v>
      </c>
      <c r="D441" s="3">
        <v>43295</v>
      </c>
      <c r="F441" t="s">
        <v>174</v>
      </c>
      <c r="G441">
        <v>888</v>
      </c>
      <c r="H441">
        <f ca="1">MONTH(NOW())+12*YEAR(NOW())-MONTH(tbl_MTG_Set[[#This Row],[Released On]])-12*YEAR(tbl_MTG_Set[[#This Row],[Released On]])</f>
        <v>92</v>
      </c>
      <c r="I441" t="str">
        <f>_xlfn.XLOOKUP(tbl_MTG_Set[[#This Row],[Type Name]], tbl_MTG_Set_Type[Set Type], tbl_MTG_Set_Type[Index], "(Set Type not found)")</f>
        <v>(Set Type not found)</v>
      </c>
      <c r="J441" t="str">
        <f>_xlfn.XLOOKUP(tbl_MTG_Set[[#This Row],[Type Name]], tbl_MTG_Set_Type[Set Type], tbl_MTG_Set_Type[Buy Window Month Start], "(Set Type not found)")</f>
        <v>(Set Type not found)</v>
      </c>
      <c r="K441" s="3" t="e">
        <f>tbl_MTG_Set[[#This Row],[Released On]]+tbl_MTG_Set[[#This Row],[Buy Window Month Start]]*365.25/12</f>
        <v>#VALUE!</v>
      </c>
      <c r="L441" t="str">
        <f>_xlfn.XLOOKUP(tbl_MTG_Set[[#This Row],[Type Name]], tbl_MTG_Set_Type[Set Type], tbl_MTG_Set_Type[Buy Window Month End], "(Set Type not found)", 0, 1)</f>
        <v>(Set Type not found)</v>
      </c>
      <c r="M441" s="3" t="e">
        <f>tbl_MTG_Set[[#This Row],[Released On]]+tbl_MTG_Set[[#This Row],[Buy Window Month End]]*365.25/12</f>
        <v>#VALUE!</v>
      </c>
      <c r="N441" s="3" t="e">
        <f ca="1">AND(NOW()&gt;=tbl_MTG_Set[[#This Row],[Buy Window Start]], NOW()&lt;=tbl_MTG_Set[[#This Row],[Buy Window End]])</f>
        <v>#VALUE!</v>
      </c>
      <c r="O441" t="str">
        <f>_xlfn.XLOOKUP(tbl_MTG_Set[[#This Row],[Type Name]], tbl_MTG_Set_Type[Set Type], tbl_MTG_Set_Type[Heavy Printing Window Month Start], "(Set Type not found)", 0, 1)</f>
        <v>(Set Type not found)</v>
      </c>
      <c r="P441" s="3" t="e">
        <f>tbl_MTG_Set[[#This Row],[Released On]]+tbl_MTG_Set[[#This Row],[Heavy Printing Window Month Start]]*365.25/12</f>
        <v>#VALUE!</v>
      </c>
      <c r="Q441" t="str">
        <f>_xlfn.XLOOKUP(tbl_MTG_Set[[#This Row],[Type Name]], tbl_MTG_Set_Type[Set Type], tbl_MTG_Set_Type[Heavy Printing Window Month End], "(Set Type not found)", 0, 1)</f>
        <v>(Set Type not found)</v>
      </c>
      <c r="R441" s="3" t="e">
        <f>tbl_MTG_Set[[#This Row],[Released On]]+tbl_MTG_Set[[#This Row],[Heavy Printing Window Month End]]*365.25/12</f>
        <v>#VALUE!</v>
      </c>
      <c r="S441" s="3" t="e">
        <f ca="1">AND(NOW()&gt;=tbl_MTG_Set[[#This Row],[Heavy Printing Window Start]], NOW()&lt;=tbl_MTG_Set[[#This Row],[Heavy Printing Window End]])</f>
        <v>#VALUE!</v>
      </c>
      <c r="T441" t="str">
        <f>_xlfn.XLOOKUP(tbl_MTG_Set[[#This Row],[Type Name]], tbl_MTG_Set_Type[Set Type], tbl_MTG_Set_Type[Sell Window Month Start], "(Set Type not found)", 0, 1)</f>
        <v>(Set Type not found)</v>
      </c>
      <c r="U441" s="3" t="e">
        <f>tbl_MTG_Set[[#This Row],[Released On]]+tbl_MTG_Set[[#This Row],[Sell Window Month Start]]*365.25/12</f>
        <v>#VALUE!</v>
      </c>
      <c r="V441" t="str">
        <f>_xlfn.XLOOKUP(tbl_MTG_Set[[#This Row],[Type Name]], tbl_MTG_Set_Type[Set Type], tbl_MTG_Set_Type[Sell Window Month End], "(Set Type not found)", 0, 1)</f>
        <v>(Set Type not found)</v>
      </c>
      <c r="W441" s="3" t="e">
        <f>tbl_MTG_Set[[#This Row],[Released On]]+tbl_MTG_Set[[#This Row],[Sell Window Month End]]*365.25/12</f>
        <v>#VALUE!</v>
      </c>
      <c r="X441" s="3" t="e">
        <f ca="1">AND(NOW()&gt;=tbl_MTG_Set[[#This Row],[Sell Window Start]], NOW()&lt;=tbl_MTG_Set[[#This Row],[Sell Window End]])</f>
        <v>#VALUE!</v>
      </c>
      <c r="AG441" s="10"/>
      <c r="AH441" s="10"/>
      <c r="AM441" s="10" t="str" cm="1">
        <f t="array" ref="AM4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1" s="10" t="str" cm="1">
        <f t="array" ref="AN4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1" s="4" t="e">
        <f>_xlfn.XLOOKUP(tbl_MTG_Set[[#This Row],[Play Booster Box Product Id]], tbl_Product[Product Id], tbl_Product[Pack Size])</f>
        <v>#N/A</v>
      </c>
      <c r="AP441" s="10" t="e">
        <f>(tbl_MTG_Set[[#This Row],[Play Booster Box Cost]]+v_Item_Shipping_Cost_In)/tbl_MTG_Set[[#This Row],[Play Booster Box Size]]</f>
        <v>#VALUE!</v>
      </c>
      <c r="AQ441" s="10" t="str" cm="1">
        <f t="array" ref="AQ4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1" s="10"/>
      <c r="AS441" s="10"/>
      <c r="AT441" s="17" t="e">
        <f>tbl_MTG_Set[[#This Row],[Play Booster CardMarket Profit]]/tbl_MTG_Set[[#This Row],[Play Booster Cost]]</f>
        <v>#VALUE!</v>
      </c>
      <c r="AU441" s="10" t="e">
        <f>_xlfn.XLOOKUP(tbl_MTG_Set[[#This Row],[Collector Booster Box Product Id]], tbl_Product[Product Id], tbl_Product[Min Cost])</f>
        <v>#N/A</v>
      </c>
      <c r="AV441" s="10" t="e">
        <f>_xlfn.XLOOKUP(tbl_MTG_Set[[#This Row],[Collector Booster Box Product Id]], tbl_Product[Product Id], tbl_Product[Best Source])</f>
        <v>#N/A</v>
      </c>
      <c r="AW441" s="4" t="e">
        <f>_xlfn.XLOOKUP(tbl_MTG_Set[[#This Row],[Collector Booster Box Product Id]], tbl_Product[Product Id], tbl_Product[Pack Size])</f>
        <v>#N/A</v>
      </c>
      <c r="AX441" s="10" t="e">
        <f>(tbl_MTG_Set[[#This Row],[Collector Booster Box Cost]] + v_Item_Shipping_Cost_In) / tbl_MTG_Set[[#This Row],[Collector Booster Box Size]]</f>
        <v>#N/A</v>
      </c>
      <c r="AY441" s="10" t="str" cm="1">
        <f t="array" ref="AY4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1" s="10"/>
      <c r="BA4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1" s="17" t="e">
        <f>tbl_MTG_Set[[#This Row],[Collector Booster CardMarket Profit]]/tbl_MTG_Set[[#This Row],[Collector Booster Cost]]</f>
        <v>#N/A</v>
      </c>
      <c r="BC441" s="10"/>
      <c r="BF4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1" s="11" t="e">
        <f>tbl_MTG_Set[[#This Row],[Play Singles CardMarket Profit MTG Stocks]]/tbl_MTG_Set[[#This Row],[Play Booster Cost]]</f>
        <v>#VALUE!</v>
      </c>
      <c r="BI441" s="11" t="b">
        <f>tbl_MTG_Set[[#This Row],[Play Singles CardMarket Profit MTG Stocks]]&gt;0</f>
        <v>0</v>
      </c>
      <c r="BM441" s="10" t="e">
        <f>tbl_MTG_Set[[#This Row],[Play Booster Sell Price CardMarket]]*tbl_MTG_Set[[#This Row],[Play Booster Expected Market Value BotBox]]/tbl_MTG_Set[[#This Row],[Play Booster Sealed Market Value BotBox]]</f>
        <v>#VALUE!</v>
      </c>
      <c r="BN4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1" s="10" t="e">
        <f>tbl_MTG_Set[[#This Row],[Play Singles CardMarket Profit BotBox]]/tbl_MTG_Set[[#This Row],[Play Booster Cost]]</f>
        <v>#VALUE!</v>
      </c>
      <c r="BP441" s="10" t="b">
        <f>tbl_MTG_Set[[#This Row],[Play Singles CardMarket Profit BotBox]]&gt;0</f>
        <v>0</v>
      </c>
      <c r="BQ441" s="10"/>
      <c r="BR441" s="10"/>
      <c r="BS441" s="10"/>
      <c r="BT4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1" s="19" t="e">
        <f>tbl_MTG_Set[[#This Row],[Collector Singles CardMarket Profit MTG Stocks]]/tbl_MTG_Set[[#This Row],[Collector Booster Cost]]</f>
        <v>#N/A</v>
      </c>
      <c r="BW441" s="10" t="b">
        <f>tbl_MTG_Set[[#This Row],[Collector Singles CardMarket Profit MTG Stocks]]&gt;0</f>
        <v>0</v>
      </c>
      <c r="BX441" s="10"/>
      <c r="BY441" s="10"/>
      <c r="BZ4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1" s="10" t="e">
        <f>tbl_MTG_Set[[#This Row],[Collector Singles CardMarket Profit BotBox]]/tbl_MTG_Set[[#This Row],[Collector Booster Cost]]</f>
        <v>#N/A</v>
      </c>
      <c r="CC441" s="10" t="b">
        <f>tbl_MTG_Set[[#This Row],[Collector Singles CardMarket Profit BotBox]]&gt;0</f>
        <v>0</v>
      </c>
      <c r="CD4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2" spans="1:86" hidden="1">
      <c r="A442">
        <v>472</v>
      </c>
      <c r="B442" t="s">
        <v>615</v>
      </c>
      <c r="C442">
        <v>20</v>
      </c>
      <c r="D442" s="3">
        <v>43295</v>
      </c>
      <c r="F442" t="s">
        <v>174</v>
      </c>
      <c r="G442">
        <v>890</v>
      </c>
      <c r="H442">
        <f ca="1">MONTH(NOW())+12*YEAR(NOW())-MONTH(tbl_MTG_Set[[#This Row],[Released On]])-12*YEAR(tbl_MTG_Set[[#This Row],[Released On]])</f>
        <v>92</v>
      </c>
      <c r="I442" t="str">
        <f>_xlfn.XLOOKUP(tbl_MTG_Set[[#This Row],[Type Name]], tbl_MTG_Set_Type[Set Type], tbl_MTG_Set_Type[Index], "(Set Type not found)")</f>
        <v>(Set Type not found)</v>
      </c>
      <c r="J442" t="str">
        <f>_xlfn.XLOOKUP(tbl_MTG_Set[[#This Row],[Type Name]], tbl_MTG_Set_Type[Set Type], tbl_MTG_Set_Type[Buy Window Month Start], "(Set Type not found)")</f>
        <v>(Set Type not found)</v>
      </c>
      <c r="K442" s="3" t="e">
        <f>tbl_MTG_Set[[#This Row],[Released On]]+tbl_MTG_Set[[#This Row],[Buy Window Month Start]]*365.25/12</f>
        <v>#VALUE!</v>
      </c>
      <c r="L442" t="str">
        <f>_xlfn.XLOOKUP(tbl_MTG_Set[[#This Row],[Type Name]], tbl_MTG_Set_Type[Set Type], tbl_MTG_Set_Type[Buy Window Month End], "(Set Type not found)", 0, 1)</f>
        <v>(Set Type not found)</v>
      </c>
      <c r="M442" s="3" t="e">
        <f>tbl_MTG_Set[[#This Row],[Released On]]+tbl_MTG_Set[[#This Row],[Buy Window Month End]]*365.25/12</f>
        <v>#VALUE!</v>
      </c>
      <c r="N442" s="3" t="e">
        <f ca="1">AND(NOW()&gt;=tbl_MTG_Set[[#This Row],[Buy Window Start]], NOW()&lt;=tbl_MTG_Set[[#This Row],[Buy Window End]])</f>
        <v>#VALUE!</v>
      </c>
      <c r="O442" t="str">
        <f>_xlfn.XLOOKUP(tbl_MTG_Set[[#This Row],[Type Name]], tbl_MTG_Set_Type[Set Type], tbl_MTG_Set_Type[Heavy Printing Window Month Start], "(Set Type not found)", 0, 1)</f>
        <v>(Set Type not found)</v>
      </c>
      <c r="P442" s="3" t="e">
        <f>tbl_MTG_Set[[#This Row],[Released On]]+tbl_MTG_Set[[#This Row],[Heavy Printing Window Month Start]]*365.25/12</f>
        <v>#VALUE!</v>
      </c>
      <c r="Q442" t="str">
        <f>_xlfn.XLOOKUP(tbl_MTG_Set[[#This Row],[Type Name]], tbl_MTG_Set_Type[Set Type], tbl_MTG_Set_Type[Heavy Printing Window Month End], "(Set Type not found)", 0, 1)</f>
        <v>(Set Type not found)</v>
      </c>
      <c r="R442" s="3" t="e">
        <f>tbl_MTG_Set[[#This Row],[Released On]]+tbl_MTG_Set[[#This Row],[Heavy Printing Window Month End]]*365.25/12</f>
        <v>#VALUE!</v>
      </c>
      <c r="S442" s="3" t="e">
        <f ca="1">AND(NOW()&gt;=tbl_MTG_Set[[#This Row],[Heavy Printing Window Start]], NOW()&lt;=tbl_MTG_Set[[#This Row],[Heavy Printing Window End]])</f>
        <v>#VALUE!</v>
      </c>
      <c r="T442" t="str">
        <f>_xlfn.XLOOKUP(tbl_MTG_Set[[#This Row],[Type Name]], tbl_MTG_Set_Type[Set Type], tbl_MTG_Set_Type[Sell Window Month Start], "(Set Type not found)", 0, 1)</f>
        <v>(Set Type not found)</v>
      </c>
      <c r="U442" s="3" t="e">
        <f>tbl_MTG_Set[[#This Row],[Released On]]+tbl_MTG_Set[[#This Row],[Sell Window Month Start]]*365.25/12</f>
        <v>#VALUE!</v>
      </c>
      <c r="V442" t="str">
        <f>_xlfn.XLOOKUP(tbl_MTG_Set[[#This Row],[Type Name]], tbl_MTG_Set_Type[Set Type], tbl_MTG_Set_Type[Sell Window Month End], "(Set Type not found)", 0, 1)</f>
        <v>(Set Type not found)</v>
      </c>
      <c r="W442" s="3" t="e">
        <f>tbl_MTG_Set[[#This Row],[Released On]]+tbl_MTG_Set[[#This Row],[Sell Window Month End]]*365.25/12</f>
        <v>#VALUE!</v>
      </c>
      <c r="X442" s="3" t="e">
        <f ca="1">AND(NOW()&gt;=tbl_MTG_Set[[#This Row],[Sell Window Start]], NOW()&lt;=tbl_MTG_Set[[#This Row],[Sell Window End]])</f>
        <v>#VALUE!</v>
      </c>
      <c r="AG442" s="10"/>
      <c r="AH442" s="10"/>
      <c r="AM442" s="10" t="str" cm="1">
        <f t="array" ref="AM4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2" s="10" t="str" cm="1">
        <f t="array" ref="AN4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2" s="4" t="e">
        <f>_xlfn.XLOOKUP(tbl_MTG_Set[[#This Row],[Play Booster Box Product Id]], tbl_Product[Product Id], tbl_Product[Pack Size])</f>
        <v>#N/A</v>
      </c>
      <c r="AP442" s="10" t="e">
        <f>(tbl_MTG_Set[[#This Row],[Play Booster Box Cost]]+v_Item_Shipping_Cost_In)/tbl_MTG_Set[[#This Row],[Play Booster Box Size]]</f>
        <v>#VALUE!</v>
      </c>
      <c r="AQ442" s="10" t="str" cm="1">
        <f t="array" ref="AQ4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2" s="10"/>
      <c r="AS442" s="10"/>
      <c r="AT442" s="17" t="e">
        <f>tbl_MTG_Set[[#This Row],[Play Booster CardMarket Profit]]/tbl_MTG_Set[[#This Row],[Play Booster Cost]]</f>
        <v>#VALUE!</v>
      </c>
      <c r="AU442" s="10" t="e">
        <f>_xlfn.XLOOKUP(tbl_MTG_Set[[#This Row],[Collector Booster Box Product Id]], tbl_Product[Product Id], tbl_Product[Min Cost])</f>
        <v>#N/A</v>
      </c>
      <c r="AV442" s="10" t="e">
        <f>_xlfn.XLOOKUP(tbl_MTG_Set[[#This Row],[Collector Booster Box Product Id]], tbl_Product[Product Id], tbl_Product[Best Source])</f>
        <v>#N/A</v>
      </c>
      <c r="AW442" s="4" t="e">
        <f>_xlfn.XLOOKUP(tbl_MTG_Set[[#This Row],[Collector Booster Box Product Id]], tbl_Product[Product Id], tbl_Product[Pack Size])</f>
        <v>#N/A</v>
      </c>
      <c r="AX442" s="10" t="e">
        <f>(tbl_MTG_Set[[#This Row],[Collector Booster Box Cost]] + v_Item_Shipping_Cost_In) / tbl_MTG_Set[[#This Row],[Collector Booster Box Size]]</f>
        <v>#N/A</v>
      </c>
      <c r="AY442" s="10" t="str" cm="1">
        <f t="array" ref="AY4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2" s="10"/>
      <c r="BA4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2" s="17" t="e">
        <f>tbl_MTG_Set[[#This Row],[Collector Booster CardMarket Profit]]/tbl_MTG_Set[[#This Row],[Collector Booster Cost]]</f>
        <v>#N/A</v>
      </c>
      <c r="BC442" s="10"/>
      <c r="BF4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2" s="11" t="e">
        <f>tbl_MTG_Set[[#This Row],[Play Singles CardMarket Profit MTG Stocks]]/tbl_MTG_Set[[#This Row],[Play Booster Cost]]</f>
        <v>#VALUE!</v>
      </c>
      <c r="BI442" s="11" t="b">
        <f>tbl_MTG_Set[[#This Row],[Play Singles CardMarket Profit MTG Stocks]]&gt;0</f>
        <v>0</v>
      </c>
      <c r="BM442" s="10" t="e">
        <f>tbl_MTG_Set[[#This Row],[Play Booster Sell Price CardMarket]]*tbl_MTG_Set[[#This Row],[Play Booster Expected Market Value BotBox]]/tbl_MTG_Set[[#This Row],[Play Booster Sealed Market Value BotBox]]</f>
        <v>#VALUE!</v>
      </c>
      <c r="BN4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2" s="10" t="e">
        <f>tbl_MTG_Set[[#This Row],[Play Singles CardMarket Profit BotBox]]/tbl_MTG_Set[[#This Row],[Play Booster Cost]]</f>
        <v>#VALUE!</v>
      </c>
      <c r="BP442" s="10" t="b">
        <f>tbl_MTG_Set[[#This Row],[Play Singles CardMarket Profit BotBox]]&gt;0</f>
        <v>0</v>
      </c>
      <c r="BQ442" s="10"/>
      <c r="BR442" s="10"/>
      <c r="BS442" s="10"/>
      <c r="BT4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2" s="19" t="e">
        <f>tbl_MTG_Set[[#This Row],[Collector Singles CardMarket Profit MTG Stocks]]/tbl_MTG_Set[[#This Row],[Collector Booster Cost]]</f>
        <v>#N/A</v>
      </c>
      <c r="BW442" s="10" t="b">
        <f>tbl_MTG_Set[[#This Row],[Collector Singles CardMarket Profit MTG Stocks]]&gt;0</f>
        <v>0</v>
      </c>
      <c r="BX442" s="10"/>
      <c r="BY442" s="10"/>
      <c r="BZ4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2" s="10" t="e">
        <f>tbl_MTG_Set[[#This Row],[Collector Singles CardMarket Profit BotBox]]/tbl_MTG_Set[[#This Row],[Collector Booster Cost]]</f>
        <v>#N/A</v>
      </c>
      <c r="CC442" s="10" t="b">
        <f>tbl_MTG_Set[[#This Row],[Collector Singles CardMarket Profit BotBox]]&gt;0</f>
        <v>0</v>
      </c>
      <c r="CD4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3" spans="1:86" hidden="1">
      <c r="A443">
        <v>473</v>
      </c>
      <c r="B443" t="s">
        <v>616</v>
      </c>
      <c r="C443">
        <v>14</v>
      </c>
      <c r="D443" s="3">
        <v>43295</v>
      </c>
      <c r="F443" t="s">
        <v>174</v>
      </c>
      <c r="G443">
        <v>892</v>
      </c>
      <c r="H443">
        <f ca="1">MONTH(NOW())+12*YEAR(NOW())-MONTH(tbl_MTG_Set[[#This Row],[Released On]])-12*YEAR(tbl_MTG_Set[[#This Row],[Released On]])</f>
        <v>92</v>
      </c>
      <c r="I443" t="str">
        <f>_xlfn.XLOOKUP(tbl_MTG_Set[[#This Row],[Type Name]], tbl_MTG_Set_Type[Set Type], tbl_MTG_Set_Type[Index], "(Set Type not found)")</f>
        <v>(Set Type not found)</v>
      </c>
      <c r="J443" t="str">
        <f>_xlfn.XLOOKUP(tbl_MTG_Set[[#This Row],[Type Name]], tbl_MTG_Set_Type[Set Type], tbl_MTG_Set_Type[Buy Window Month Start], "(Set Type not found)")</f>
        <v>(Set Type not found)</v>
      </c>
      <c r="K443" s="3" t="e">
        <f>tbl_MTG_Set[[#This Row],[Released On]]+tbl_MTG_Set[[#This Row],[Buy Window Month Start]]*365.25/12</f>
        <v>#VALUE!</v>
      </c>
      <c r="L443" t="str">
        <f>_xlfn.XLOOKUP(tbl_MTG_Set[[#This Row],[Type Name]], tbl_MTG_Set_Type[Set Type], tbl_MTG_Set_Type[Buy Window Month End], "(Set Type not found)", 0, 1)</f>
        <v>(Set Type not found)</v>
      </c>
      <c r="M443" s="3" t="e">
        <f>tbl_MTG_Set[[#This Row],[Released On]]+tbl_MTG_Set[[#This Row],[Buy Window Month End]]*365.25/12</f>
        <v>#VALUE!</v>
      </c>
      <c r="N443" s="3" t="e">
        <f ca="1">AND(NOW()&gt;=tbl_MTG_Set[[#This Row],[Buy Window Start]], NOW()&lt;=tbl_MTG_Set[[#This Row],[Buy Window End]])</f>
        <v>#VALUE!</v>
      </c>
      <c r="O443" t="str">
        <f>_xlfn.XLOOKUP(tbl_MTG_Set[[#This Row],[Type Name]], tbl_MTG_Set_Type[Set Type], tbl_MTG_Set_Type[Heavy Printing Window Month Start], "(Set Type not found)", 0, 1)</f>
        <v>(Set Type not found)</v>
      </c>
      <c r="P443" s="3" t="e">
        <f>tbl_MTG_Set[[#This Row],[Released On]]+tbl_MTG_Set[[#This Row],[Heavy Printing Window Month Start]]*365.25/12</f>
        <v>#VALUE!</v>
      </c>
      <c r="Q443" t="str">
        <f>_xlfn.XLOOKUP(tbl_MTG_Set[[#This Row],[Type Name]], tbl_MTG_Set_Type[Set Type], tbl_MTG_Set_Type[Heavy Printing Window Month End], "(Set Type not found)", 0, 1)</f>
        <v>(Set Type not found)</v>
      </c>
      <c r="R443" s="3" t="e">
        <f>tbl_MTG_Set[[#This Row],[Released On]]+tbl_MTG_Set[[#This Row],[Heavy Printing Window Month End]]*365.25/12</f>
        <v>#VALUE!</v>
      </c>
      <c r="S443" s="3" t="e">
        <f ca="1">AND(NOW()&gt;=tbl_MTG_Set[[#This Row],[Heavy Printing Window Start]], NOW()&lt;=tbl_MTG_Set[[#This Row],[Heavy Printing Window End]])</f>
        <v>#VALUE!</v>
      </c>
      <c r="T443" t="str">
        <f>_xlfn.XLOOKUP(tbl_MTG_Set[[#This Row],[Type Name]], tbl_MTG_Set_Type[Set Type], tbl_MTG_Set_Type[Sell Window Month Start], "(Set Type not found)", 0, 1)</f>
        <v>(Set Type not found)</v>
      </c>
      <c r="U443" s="3" t="e">
        <f>tbl_MTG_Set[[#This Row],[Released On]]+tbl_MTG_Set[[#This Row],[Sell Window Month Start]]*365.25/12</f>
        <v>#VALUE!</v>
      </c>
      <c r="V443" t="str">
        <f>_xlfn.XLOOKUP(tbl_MTG_Set[[#This Row],[Type Name]], tbl_MTG_Set_Type[Set Type], tbl_MTG_Set_Type[Sell Window Month End], "(Set Type not found)", 0, 1)</f>
        <v>(Set Type not found)</v>
      </c>
      <c r="W443" s="3" t="e">
        <f>tbl_MTG_Set[[#This Row],[Released On]]+tbl_MTG_Set[[#This Row],[Sell Window Month End]]*365.25/12</f>
        <v>#VALUE!</v>
      </c>
      <c r="X443" s="3" t="e">
        <f ca="1">AND(NOW()&gt;=tbl_MTG_Set[[#This Row],[Sell Window Start]], NOW()&lt;=tbl_MTG_Set[[#This Row],[Sell Window End]])</f>
        <v>#VALUE!</v>
      </c>
      <c r="AG443" s="10"/>
      <c r="AH443" s="10"/>
      <c r="AM443" s="10" t="str" cm="1">
        <f t="array" ref="AM4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3" s="10" t="str" cm="1">
        <f t="array" ref="AN4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3" s="4" t="e">
        <f>_xlfn.XLOOKUP(tbl_MTG_Set[[#This Row],[Play Booster Box Product Id]], tbl_Product[Product Id], tbl_Product[Pack Size])</f>
        <v>#N/A</v>
      </c>
      <c r="AP443" s="10" t="e">
        <f>(tbl_MTG_Set[[#This Row],[Play Booster Box Cost]]+v_Item_Shipping_Cost_In)/tbl_MTG_Set[[#This Row],[Play Booster Box Size]]</f>
        <v>#VALUE!</v>
      </c>
      <c r="AQ443" s="10" t="str" cm="1">
        <f t="array" ref="AQ4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3" s="10"/>
      <c r="AS443" s="10"/>
      <c r="AT443" s="17" t="e">
        <f>tbl_MTG_Set[[#This Row],[Play Booster CardMarket Profit]]/tbl_MTG_Set[[#This Row],[Play Booster Cost]]</f>
        <v>#VALUE!</v>
      </c>
      <c r="AU443" s="10" t="e">
        <f>_xlfn.XLOOKUP(tbl_MTG_Set[[#This Row],[Collector Booster Box Product Id]], tbl_Product[Product Id], tbl_Product[Min Cost])</f>
        <v>#N/A</v>
      </c>
      <c r="AV443" s="10" t="e">
        <f>_xlfn.XLOOKUP(tbl_MTG_Set[[#This Row],[Collector Booster Box Product Id]], tbl_Product[Product Id], tbl_Product[Best Source])</f>
        <v>#N/A</v>
      </c>
      <c r="AW443" s="4" t="e">
        <f>_xlfn.XLOOKUP(tbl_MTG_Set[[#This Row],[Collector Booster Box Product Id]], tbl_Product[Product Id], tbl_Product[Pack Size])</f>
        <v>#N/A</v>
      </c>
      <c r="AX443" s="10" t="e">
        <f>(tbl_MTG_Set[[#This Row],[Collector Booster Box Cost]] + v_Item_Shipping_Cost_In) / tbl_MTG_Set[[#This Row],[Collector Booster Box Size]]</f>
        <v>#N/A</v>
      </c>
      <c r="AY443" s="10" t="str" cm="1">
        <f t="array" ref="AY4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3" s="10"/>
      <c r="BA4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3" s="17" t="e">
        <f>tbl_MTG_Set[[#This Row],[Collector Booster CardMarket Profit]]/tbl_MTG_Set[[#This Row],[Collector Booster Cost]]</f>
        <v>#N/A</v>
      </c>
      <c r="BC443" s="10"/>
      <c r="BF4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3" s="11" t="e">
        <f>tbl_MTG_Set[[#This Row],[Play Singles CardMarket Profit MTG Stocks]]/tbl_MTG_Set[[#This Row],[Play Booster Cost]]</f>
        <v>#VALUE!</v>
      </c>
      <c r="BI443" s="11" t="b">
        <f>tbl_MTG_Set[[#This Row],[Play Singles CardMarket Profit MTG Stocks]]&gt;0</f>
        <v>0</v>
      </c>
      <c r="BM443" s="10" t="e">
        <f>tbl_MTG_Set[[#This Row],[Play Booster Sell Price CardMarket]]*tbl_MTG_Set[[#This Row],[Play Booster Expected Market Value BotBox]]/tbl_MTG_Set[[#This Row],[Play Booster Sealed Market Value BotBox]]</f>
        <v>#VALUE!</v>
      </c>
      <c r="BN4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3" s="10" t="e">
        <f>tbl_MTG_Set[[#This Row],[Play Singles CardMarket Profit BotBox]]/tbl_MTG_Set[[#This Row],[Play Booster Cost]]</f>
        <v>#VALUE!</v>
      </c>
      <c r="BP443" s="10" t="b">
        <f>tbl_MTG_Set[[#This Row],[Play Singles CardMarket Profit BotBox]]&gt;0</f>
        <v>0</v>
      </c>
      <c r="BQ443" s="10"/>
      <c r="BR443" s="10"/>
      <c r="BS443" s="10"/>
      <c r="BT4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3" s="19" t="e">
        <f>tbl_MTG_Set[[#This Row],[Collector Singles CardMarket Profit MTG Stocks]]/tbl_MTG_Set[[#This Row],[Collector Booster Cost]]</f>
        <v>#N/A</v>
      </c>
      <c r="BW443" s="10" t="b">
        <f>tbl_MTG_Set[[#This Row],[Collector Singles CardMarket Profit MTG Stocks]]&gt;0</f>
        <v>0</v>
      </c>
      <c r="BX443" s="10"/>
      <c r="BY443" s="10"/>
      <c r="BZ4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3" s="10" t="e">
        <f>tbl_MTG_Set[[#This Row],[Collector Singles CardMarket Profit BotBox]]/tbl_MTG_Set[[#This Row],[Collector Booster Cost]]</f>
        <v>#N/A</v>
      </c>
      <c r="CC443" s="10" t="b">
        <f>tbl_MTG_Set[[#This Row],[Collector Singles CardMarket Profit BotBox]]&gt;0</f>
        <v>0</v>
      </c>
      <c r="CD4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4" spans="1:86" hidden="1">
      <c r="A444">
        <v>474</v>
      </c>
      <c r="B444" t="s">
        <v>617</v>
      </c>
      <c r="C444">
        <v>78</v>
      </c>
      <c r="D444" s="3">
        <v>43295</v>
      </c>
      <c r="F444" t="s">
        <v>174</v>
      </c>
      <c r="G444">
        <v>894</v>
      </c>
      <c r="H444">
        <f ca="1">MONTH(NOW())+12*YEAR(NOW())-MONTH(tbl_MTG_Set[[#This Row],[Released On]])-12*YEAR(tbl_MTG_Set[[#This Row],[Released On]])</f>
        <v>92</v>
      </c>
      <c r="I444" t="str">
        <f>_xlfn.XLOOKUP(tbl_MTG_Set[[#This Row],[Type Name]], tbl_MTG_Set_Type[Set Type], tbl_MTG_Set_Type[Index], "(Set Type not found)")</f>
        <v>(Set Type not found)</v>
      </c>
      <c r="J444" t="str">
        <f>_xlfn.XLOOKUP(tbl_MTG_Set[[#This Row],[Type Name]], tbl_MTG_Set_Type[Set Type], tbl_MTG_Set_Type[Buy Window Month Start], "(Set Type not found)")</f>
        <v>(Set Type not found)</v>
      </c>
      <c r="K444" s="3" t="e">
        <f>tbl_MTG_Set[[#This Row],[Released On]]+tbl_MTG_Set[[#This Row],[Buy Window Month Start]]*365.25/12</f>
        <v>#VALUE!</v>
      </c>
      <c r="L444" t="str">
        <f>_xlfn.XLOOKUP(tbl_MTG_Set[[#This Row],[Type Name]], tbl_MTG_Set_Type[Set Type], tbl_MTG_Set_Type[Buy Window Month End], "(Set Type not found)", 0, 1)</f>
        <v>(Set Type not found)</v>
      </c>
      <c r="M444" s="3" t="e">
        <f>tbl_MTG_Set[[#This Row],[Released On]]+tbl_MTG_Set[[#This Row],[Buy Window Month End]]*365.25/12</f>
        <v>#VALUE!</v>
      </c>
      <c r="N444" s="3" t="e">
        <f ca="1">AND(NOW()&gt;=tbl_MTG_Set[[#This Row],[Buy Window Start]], NOW()&lt;=tbl_MTG_Set[[#This Row],[Buy Window End]])</f>
        <v>#VALUE!</v>
      </c>
      <c r="O444" t="str">
        <f>_xlfn.XLOOKUP(tbl_MTG_Set[[#This Row],[Type Name]], tbl_MTG_Set_Type[Set Type], tbl_MTG_Set_Type[Heavy Printing Window Month Start], "(Set Type not found)", 0, 1)</f>
        <v>(Set Type not found)</v>
      </c>
      <c r="P444" s="3" t="e">
        <f>tbl_MTG_Set[[#This Row],[Released On]]+tbl_MTG_Set[[#This Row],[Heavy Printing Window Month Start]]*365.25/12</f>
        <v>#VALUE!</v>
      </c>
      <c r="Q444" t="str">
        <f>_xlfn.XLOOKUP(tbl_MTG_Set[[#This Row],[Type Name]], tbl_MTG_Set_Type[Set Type], tbl_MTG_Set_Type[Heavy Printing Window Month End], "(Set Type not found)", 0, 1)</f>
        <v>(Set Type not found)</v>
      </c>
      <c r="R444" s="3" t="e">
        <f>tbl_MTG_Set[[#This Row],[Released On]]+tbl_MTG_Set[[#This Row],[Heavy Printing Window Month End]]*365.25/12</f>
        <v>#VALUE!</v>
      </c>
      <c r="S444" s="3" t="e">
        <f ca="1">AND(NOW()&gt;=tbl_MTG_Set[[#This Row],[Heavy Printing Window Start]], NOW()&lt;=tbl_MTG_Set[[#This Row],[Heavy Printing Window End]])</f>
        <v>#VALUE!</v>
      </c>
      <c r="T444" t="str">
        <f>_xlfn.XLOOKUP(tbl_MTG_Set[[#This Row],[Type Name]], tbl_MTG_Set_Type[Set Type], tbl_MTG_Set_Type[Sell Window Month Start], "(Set Type not found)", 0, 1)</f>
        <v>(Set Type not found)</v>
      </c>
      <c r="U444" s="3" t="e">
        <f>tbl_MTG_Set[[#This Row],[Released On]]+tbl_MTG_Set[[#This Row],[Sell Window Month Start]]*365.25/12</f>
        <v>#VALUE!</v>
      </c>
      <c r="V444" t="str">
        <f>_xlfn.XLOOKUP(tbl_MTG_Set[[#This Row],[Type Name]], tbl_MTG_Set_Type[Set Type], tbl_MTG_Set_Type[Sell Window Month End], "(Set Type not found)", 0, 1)</f>
        <v>(Set Type not found)</v>
      </c>
      <c r="W444" s="3" t="e">
        <f>tbl_MTG_Set[[#This Row],[Released On]]+tbl_MTG_Set[[#This Row],[Sell Window Month End]]*365.25/12</f>
        <v>#VALUE!</v>
      </c>
      <c r="X444" s="3" t="e">
        <f ca="1">AND(NOW()&gt;=tbl_MTG_Set[[#This Row],[Sell Window Start]], NOW()&lt;=tbl_MTG_Set[[#This Row],[Sell Window End]])</f>
        <v>#VALUE!</v>
      </c>
      <c r="AG444" s="10"/>
      <c r="AH444" s="10"/>
      <c r="AM444" s="10" t="str" cm="1">
        <f t="array" ref="AM4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4" s="10" t="str" cm="1">
        <f t="array" ref="AN4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4" s="4" t="e">
        <f>_xlfn.XLOOKUP(tbl_MTG_Set[[#This Row],[Play Booster Box Product Id]], tbl_Product[Product Id], tbl_Product[Pack Size])</f>
        <v>#N/A</v>
      </c>
      <c r="AP444" s="10" t="e">
        <f>(tbl_MTG_Set[[#This Row],[Play Booster Box Cost]]+v_Item_Shipping_Cost_In)/tbl_MTG_Set[[#This Row],[Play Booster Box Size]]</f>
        <v>#VALUE!</v>
      </c>
      <c r="AQ444" s="10" t="str" cm="1">
        <f t="array" ref="AQ4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4" s="10"/>
      <c r="AS444" s="10"/>
      <c r="AT444" s="17" t="e">
        <f>tbl_MTG_Set[[#This Row],[Play Booster CardMarket Profit]]/tbl_MTG_Set[[#This Row],[Play Booster Cost]]</f>
        <v>#VALUE!</v>
      </c>
      <c r="AU444" s="10" t="e">
        <f>_xlfn.XLOOKUP(tbl_MTG_Set[[#This Row],[Collector Booster Box Product Id]], tbl_Product[Product Id], tbl_Product[Min Cost])</f>
        <v>#N/A</v>
      </c>
      <c r="AV444" s="10" t="e">
        <f>_xlfn.XLOOKUP(tbl_MTG_Set[[#This Row],[Collector Booster Box Product Id]], tbl_Product[Product Id], tbl_Product[Best Source])</f>
        <v>#N/A</v>
      </c>
      <c r="AW444" s="4" t="e">
        <f>_xlfn.XLOOKUP(tbl_MTG_Set[[#This Row],[Collector Booster Box Product Id]], tbl_Product[Product Id], tbl_Product[Pack Size])</f>
        <v>#N/A</v>
      </c>
      <c r="AX444" s="10" t="e">
        <f>(tbl_MTG_Set[[#This Row],[Collector Booster Box Cost]] + v_Item_Shipping_Cost_In) / tbl_MTG_Set[[#This Row],[Collector Booster Box Size]]</f>
        <v>#N/A</v>
      </c>
      <c r="AY444" s="10" t="str" cm="1">
        <f t="array" ref="AY4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4" s="10"/>
      <c r="BA4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4" s="17" t="e">
        <f>tbl_MTG_Set[[#This Row],[Collector Booster CardMarket Profit]]/tbl_MTG_Set[[#This Row],[Collector Booster Cost]]</f>
        <v>#N/A</v>
      </c>
      <c r="BC444" s="10"/>
      <c r="BF4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4" s="11" t="e">
        <f>tbl_MTG_Set[[#This Row],[Play Singles CardMarket Profit MTG Stocks]]/tbl_MTG_Set[[#This Row],[Play Booster Cost]]</f>
        <v>#VALUE!</v>
      </c>
      <c r="BI444" s="11" t="b">
        <f>tbl_MTG_Set[[#This Row],[Play Singles CardMarket Profit MTG Stocks]]&gt;0</f>
        <v>0</v>
      </c>
      <c r="BM444" s="10" t="e">
        <f>tbl_MTG_Set[[#This Row],[Play Booster Sell Price CardMarket]]*tbl_MTG_Set[[#This Row],[Play Booster Expected Market Value BotBox]]/tbl_MTG_Set[[#This Row],[Play Booster Sealed Market Value BotBox]]</f>
        <v>#VALUE!</v>
      </c>
      <c r="BN4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4" s="10" t="e">
        <f>tbl_MTG_Set[[#This Row],[Play Singles CardMarket Profit BotBox]]/tbl_MTG_Set[[#This Row],[Play Booster Cost]]</f>
        <v>#VALUE!</v>
      </c>
      <c r="BP444" s="10" t="b">
        <f>tbl_MTG_Set[[#This Row],[Play Singles CardMarket Profit BotBox]]&gt;0</f>
        <v>0</v>
      </c>
      <c r="BQ444" s="10"/>
      <c r="BR444" s="10"/>
      <c r="BS444" s="10"/>
      <c r="BT4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4" s="19" t="e">
        <f>tbl_MTG_Set[[#This Row],[Collector Singles CardMarket Profit MTG Stocks]]/tbl_MTG_Set[[#This Row],[Collector Booster Cost]]</f>
        <v>#N/A</v>
      </c>
      <c r="BW444" s="10" t="b">
        <f>tbl_MTG_Set[[#This Row],[Collector Singles CardMarket Profit MTG Stocks]]&gt;0</f>
        <v>0</v>
      </c>
      <c r="BX444" s="10"/>
      <c r="BY444" s="10"/>
      <c r="BZ4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4" s="10" t="e">
        <f>tbl_MTG_Set[[#This Row],[Collector Singles CardMarket Profit BotBox]]/tbl_MTG_Set[[#This Row],[Collector Booster Cost]]</f>
        <v>#N/A</v>
      </c>
      <c r="CC444" s="10" t="b">
        <f>tbl_MTG_Set[[#This Row],[Collector Singles CardMarket Profit BotBox]]&gt;0</f>
        <v>0</v>
      </c>
      <c r="CD4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5" spans="1:86" hidden="1">
      <c r="A445">
        <v>475</v>
      </c>
      <c r="B445" t="s">
        <v>618</v>
      </c>
      <c r="C445">
        <v>314</v>
      </c>
      <c r="D445" s="3">
        <v>43294</v>
      </c>
      <c r="F445" t="s">
        <v>174</v>
      </c>
      <c r="G445">
        <v>896</v>
      </c>
      <c r="H445">
        <f ca="1">MONTH(NOW())+12*YEAR(NOW())-MONTH(tbl_MTG_Set[[#This Row],[Released On]])-12*YEAR(tbl_MTG_Set[[#This Row],[Released On]])</f>
        <v>92</v>
      </c>
      <c r="I445" t="str">
        <f>_xlfn.XLOOKUP(tbl_MTG_Set[[#This Row],[Type Name]], tbl_MTG_Set_Type[Set Type], tbl_MTG_Set_Type[Index], "(Set Type not found)")</f>
        <v>(Set Type not found)</v>
      </c>
      <c r="J445" t="str">
        <f>_xlfn.XLOOKUP(tbl_MTG_Set[[#This Row],[Type Name]], tbl_MTG_Set_Type[Set Type], tbl_MTG_Set_Type[Buy Window Month Start], "(Set Type not found)")</f>
        <v>(Set Type not found)</v>
      </c>
      <c r="K445" s="3" t="e">
        <f>tbl_MTG_Set[[#This Row],[Released On]]+tbl_MTG_Set[[#This Row],[Buy Window Month Start]]*365.25/12</f>
        <v>#VALUE!</v>
      </c>
      <c r="L445" t="str">
        <f>_xlfn.XLOOKUP(tbl_MTG_Set[[#This Row],[Type Name]], tbl_MTG_Set_Type[Set Type], tbl_MTG_Set_Type[Buy Window Month End], "(Set Type not found)", 0, 1)</f>
        <v>(Set Type not found)</v>
      </c>
      <c r="M445" s="3" t="e">
        <f>tbl_MTG_Set[[#This Row],[Released On]]+tbl_MTG_Set[[#This Row],[Buy Window Month End]]*365.25/12</f>
        <v>#VALUE!</v>
      </c>
      <c r="N445" s="3" t="e">
        <f ca="1">AND(NOW()&gt;=tbl_MTG_Set[[#This Row],[Buy Window Start]], NOW()&lt;=tbl_MTG_Set[[#This Row],[Buy Window End]])</f>
        <v>#VALUE!</v>
      </c>
      <c r="O445" t="str">
        <f>_xlfn.XLOOKUP(tbl_MTG_Set[[#This Row],[Type Name]], tbl_MTG_Set_Type[Set Type], tbl_MTG_Set_Type[Heavy Printing Window Month Start], "(Set Type not found)", 0, 1)</f>
        <v>(Set Type not found)</v>
      </c>
      <c r="P445" s="3" t="e">
        <f>tbl_MTG_Set[[#This Row],[Released On]]+tbl_MTG_Set[[#This Row],[Heavy Printing Window Month Start]]*365.25/12</f>
        <v>#VALUE!</v>
      </c>
      <c r="Q445" t="str">
        <f>_xlfn.XLOOKUP(tbl_MTG_Set[[#This Row],[Type Name]], tbl_MTG_Set_Type[Set Type], tbl_MTG_Set_Type[Heavy Printing Window Month End], "(Set Type not found)", 0, 1)</f>
        <v>(Set Type not found)</v>
      </c>
      <c r="R445" s="3" t="e">
        <f>tbl_MTG_Set[[#This Row],[Released On]]+tbl_MTG_Set[[#This Row],[Heavy Printing Window Month End]]*365.25/12</f>
        <v>#VALUE!</v>
      </c>
      <c r="S445" s="3" t="e">
        <f ca="1">AND(NOW()&gt;=tbl_MTG_Set[[#This Row],[Heavy Printing Window Start]], NOW()&lt;=tbl_MTG_Set[[#This Row],[Heavy Printing Window End]])</f>
        <v>#VALUE!</v>
      </c>
      <c r="T445" t="str">
        <f>_xlfn.XLOOKUP(tbl_MTG_Set[[#This Row],[Type Name]], tbl_MTG_Set_Type[Set Type], tbl_MTG_Set_Type[Sell Window Month Start], "(Set Type not found)", 0, 1)</f>
        <v>(Set Type not found)</v>
      </c>
      <c r="U445" s="3" t="e">
        <f>tbl_MTG_Set[[#This Row],[Released On]]+tbl_MTG_Set[[#This Row],[Sell Window Month Start]]*365.25/12</f>
        <v>#VALUE!</v>
      </c>
      <c r="V445" t="str">
        <f>_xlfn.XLOOKUP(tbl_MTG_Set[[#This Row],[Type Name]], tbl_MTG_Set_Type[Set Type], tbl_MTG_Set_Type[Sell Window Month End], "(Set Type not found)", 0, 1)</f>
        <v>(Set Type not found)</v>
      </c>
      <c r="W445" s="3" t="e">
        <f>tbl_MTG_Set[[#This Row],[Released On]]+tbl_MTG_Set[[#This Row],[Sell Window Month End]]*365.25/12</f>
        <v>#VALUE!</v>
      </c>
      <c r="X445" s="3" t="e">
        <f ca="1">AND(NOW()&gt;=tbl_MTG_Set[[#This Row],[Sell Window Start]], NOW()&lt;=tbl_MTG_Set[[#This Row],[Sell Window End]])</f>
        <v>#VALUE!</v>
      </c>
      <c r="AG445" s="10"/>
      <c r="AH445" s="10"/>
      <c r="AM445" s="10" t="str" cm="1">
        <f t="array" ref="AM4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5" s="10" t="str" cm="1">
        <f t="array" ref="AN4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5" s="4" t="e">
        <f>_xlfn.XLOOKUP(tbl_MTG_Set[[#This Row],[Play Booster Box Product Id]], tbl_Product[Product Id], tbl_Product[Pack Size])</f>
        <v>#N/A</v>
      </c>
      <c r="AP445" s="10" t="e">
        <f>(tbl_MTG_Set[[#This Row],[Play Booster Box Cost]]+v_Item_Shipping_Cost_In)/tbl_MTG_Set[[#This Row],[Play Booster Box Size]]</f>
        <v>#VALUE!</v>
      </c>
      <c r="AQ445" s="10" t="str" cm="1">
        <f t="array" ref="AQ4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5" s="10"/>
      <c r="AS445" s="10"/>
      <c r="AT445" s="17" t="e">
        <f>tbl_MTG_Set[[#This Row],[Play Booster CardMarket Profit]]/tbl_MTG_Set[[#This Row],[Play Booster Cost]]</f>
        <v>#VALUE!</v>
      </c>
      <c r="AU445" s="10" t="e">
        <f>_xlfn.XLOOKUP(tbl_MTG_Set[[#This Row],[Collector Booster Box Product Id]], tbl_Product[Product Id], tbl_Product[Min Cost])</f>
        <v>#N/A</v>
      </c>
      <c r="AV445" s="10" t="e">
        <f>_xlfn.XLOOKUP(tbl_MTG_Set[[#This Row],[Collector Booster Box Product Id]], tbl_Product[Product Id], tbl_Product[Best Source])</f>
        <v>#N/A</v>
      </c>
      <c r="AW445" s="4" t="e">
        <f>_xlfn.XLOOKUP(tbl_MTG_Set[[#This Row],[Collector Booster Box Product Id]], tbl_Product[Product Id], tbl_Product[Pack Size])</f>
        <v>#N/A</v>
      </c>
      <c r="AX445" s="10" t="e">
        <f>(tbl_MTG_Set[[#This Row],[Collector Booster Box Cost]] + v_Item_Shipping_Cost_In) / tbl_MTG_Set[[#This Row],[Collector Booster Box Size]]</f>
        <v>#N/A</v>
      </c>
      <c r="AY445" s="10" t="str" cm="1">
        <f t="array" ref="AY4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5" s="10"/>
      <c r="BA4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5" s="17" t="e">
        <f>tbl_MTG_Set[[#This Row],[Collector Booster CardMarket Profit]]/tbl_MTG_Set[[#This Row],[Collector Booster Cost]]</f>
        <v>#N/A</v>
      </c>
      <c r="BC445" s="10"/>
      <c r="BF4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5" s="11" t="e">
        <f>tbl_MTG_Set[[#This Row],[Play Singles CardMarket Profit MTG Stocks]]/tbl_MTG_Set[[#This Row],[Play Booster Cost]]</f>
        <v>#VALUE!</v>
      </c>
      <c r="BI445" s="11" t="b">
        <f>tbl_MTG_Set[[#This Row],[Play Singles CardMarket Profit MTG Stocks]]&gt;0</f>
        <v>0</v>
      </c>
      <c r="BM445" s="10" t="e">
        <f>tbl_MTG_Set[[#This Row],[Play Booster Sell Price CardMarket]]*tbl_MTG_Set[[#This Row],[Play Booster Expected Market Value BotBox]]/tbl_MTG_Set[[#This Row],[Play Booster Sealed Market Value BotBox]]</f>
        <v>#VALUE!</v>
      </c>
      <c r="BN4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5" s="10" t="e">
        <f>tbl_MTG_Set[[#This Row],[Play Singles CardMarket Profit BotBox]]/tbl_MTG_Set[[#This Row],[Play Booster Cost]]</f>
        <v>#VALUE!</v>
      </c>
      <c r="BP445" s="10" t="b">
        <f>tbl_MTG_Set[[#This Row],[Play Singles CardMarket Profit BotBox]]&gt;0</f>
        <v>0</v>
      </c>
      <c r="BQ445" s="10"/>
      <c r="BR445" s="10"/>
      <c r="BS445" s="10"/>
      <c r="BT4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5" s="19" t="e">
        <f>tbl_MTG_Set[[#This Row],[Collector Singles CardMarket Profit MTG Stocks]]/tbl_MTG_Set[[#This Row],[Collector Booster Cost]]</f>
        <v>#N/A</v>
      </c>
      <c r="BW445" s="10" t="b">
        <f>tbl_MTG_Set[[#This Row],[Collector Singles CardMarket Profit MTG Stocks]]&gt;0</f>
        <v>0</v>
      </c>
      <c r="BX445" s="10"/>
      <c r="BY445" s="10"/>
      <c r="BZ4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5" s="10" t="e">
        <f>tbl_MTG_Set[[#This Row],[Collector Singles CardMarket Profit BotBox]]/tbl_MTG_Set[[#This Row],[Collector Booster Cost]]</f>
        <v>#N/A</v>
      </c>
      <c r="CC445" s="10" t="b">
        <f>tbl_MTG_Set[[#This Row],[Collector Singles CardMarket Profit BotBox]]&gt;0</f>
        <v>0</v>
      </c>
      <c r="CD4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6" spans="1:86" hidden="1">
      <c r="A446">
        <v>476</v>
      </c>
      <c r="B446" t="s">
        <v>619</v>
      </c>
      <c r="C446">
        <v>95</v>
      </c>
      <c r="D446" s="3">
        <v>43294</v>
      </c>
      <c r="F446" t="s">
        <v>174</v>
      </c>
      <c r="G446">
        <v>898</v>
      </c>
      <c r="H446">
        <f ca="1">MONTH(NOW())+12*YEAR(NOW())-MONTH(tbl_MTG_Set[[#This Row],[Released On]])-12*YEAR(tbl_MTG_Set[[#This Row],[Released On]])</f>
        <v>92</v>
      </c>
      <c r="I446" t="str">
        <f>_xlfn.XLOOKUP(tbl_MTG_Set[[#This Row],[Type Name]], tbl_MTG_Set_Type[Set Type], tbl_MTG_Set_Type[Index], "(Set Type not found)")</f>
        <v>(Set Type not found)</v>
      </c>
      <c r="J446" t="str">
        <f>_xlfn.XLOOKUP(tbl_MTG_Set[[#This Row],[Type Name]], tbl_MTG_Set_Type[Set Type], tbl_MTG_Set_Type[Buy Window Month Start], "(Set Type not found)")</f>
        <v>(Set Type not found)</v>
      </c>
      <c r="K446" s="3" t="e">
        <f>tbl_MTG_Set[[#This Row],[Released On]]+tbl_MTG_Set[[#This Row],[Buy Window Month Start]]*365.25/12</f>
        <v>#VALUE!</v>
      </c>
      <c r="L446" t="str">
        <f>_xlfn.XLOOKUP(tbl_MTG_Set[[#This Row],[Type Name]], tbl_MTG_Set_Type[Set Type], tbl_MTG_Set_Type[Buy Window Month End], "(Set Type not found)", 0, 1)</f>
        <v>(Set Type not found)</v>
      </c>
      <c r="M446" s="3" t="e">
        <f>tbl_MTG_Set[[#This Row],[Released On]]+tbl_MTG_Set[[#This Row],[Buy Window Month End]]*365.25/12</f>
        <v>#VALUE!</v>
      </c>
      <c r="N446" s="3" t="e">
        <f ca="1">AND(NOW()&gt;=tbl_MTG_Set[[#This Row],[Buy Window Start]], NOW()&lt;=tbl_MTG_Set[[#This Row],[Buy Window End]])</f>
        <v>#VALUE!</v>
      </c>
      <c r="O446" t="str">
        <f>_xlfn.XLOOKUP(tbl_MTG_Set[[#This Row],[Type Name]], tbl_MTG_Set_Type[Set Type], tbl_MTG_Set_Type[Heavy Printing Window Month Start], "(Set Type not found)", 0, 1)</f>
        <v>(Set Type not found)</v>
      </c>
      <c r="P446" s="3" t="e">
        <f>tbl_MTG_Set[[#This Row],[Released On]]+tbl_MTG_Set[[#This Row],[Heavy Printing Window Month Start]]*365.25/12</f>
        <v>#VALUE!</v>
      </c>
      <c r="Q446" t="str">
        <f>_xlfn.XLOOKUP(tbl_MTG_Set[[#This Row],[Type Name]], tbl_MTG_Set_Type[Set Type], tbl_MTG_Set_Type[Heavy Printing Window Month End], "(Set Type not found)", 0, 1)</f>
        <v>(Set Type not found)</v>
      </c>
      <c r="R446" s="3" t="e">
        <f>tbl_MTG_Set[[#This Row],[Released On]]+tbl_MTG_Set[[#This Row],[Heavy Printing Window Month End]]*365.25/12</f>
        <v>#VALUE!</v>
      </c>
      <c r="S446" s="3" t="e">
        <f ca="1">AND(NOW()&gt;=tbl_MTG_Set[[#This Row],[Heavy Printing Window Start]], NOW()&lt;=tbl_MTG_Set[[#This Row],[Heavy Printing Window End]])</f>
        <v>#VALUE!</v>
      </c>
      <c r="T446" t="str">
        <f>_xlfn.XLOOKUP(tbl_MTG_Set[[#This Row],[Type Name]], tbl_MTG_Set_Type[Set Type], tbl_MTG_Set_Type[Sell Window Month Start], "(Set Type not found)", 0, 1)</f>
        <v>(Set Type not found)</v>
      </c>
      <c r="U446" s="3" t="e">
        <f>tbl_MTG_Set[[#This Row],[Released On]]+tbl_MTG_Set[[#This Row],[Sell Window Month Start]]*365.25/12</f>
        <v>#VALUE!</v>
      </c>
      <c r="V446" t="str">
        <f>_xlfn.XLOOKUP(tbl_MTG_Set[[#This Row],[Type Name]], tbl_MTG_Set_Type[Set Type], tbl_MTG_Set_Type[Sell Window Month End], "(Set Type not found)", 0, 1)</f>
        <v>(Set Type not found)</v>
      </c>
      <c r="W446" s="3" t="e">
        <f>tbl_MTG_Set[[#This Row],[Released On]]+tbl_MTG_Set[[#This Row],[Sell Window Month End]]*365.25/12</f>
        <v>#VALUE!</v>
      </c>
      <c r="X446" s="3" t="e">
        <f ca="1">AND(NOW()&gt;=tbl_MTG_Set[[#This Row],[Sell Window Start]], NOW()&lt;=tbl_MTG_Set[[#This Row],[Sell Window End]])</f>
        <v>#VALUE!</v>
      </c>
      <c r="AG446" s="10"/>
      <c r="AH446" s="10"/>
      <c r="AM446" s="10" t="str" cm="1">
        <f t="array" ref="AM4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6" s="10" t="str" cm="1">
        <f t="array" ref="AN4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6" s="4" t="e">
        <f>_xlfn.XLOOKUP(tbl_MTG_Set[[#This Row],[Play Booster Box Product Id]], tbl_Product[Product Id], tbl_Product[Pack Size])</f>
        <v>#N/A</v>
      </c>
      <c r="AP446" s="10" t="e">
        <f>(tbl_MTG_Set[[#This Row],[Play Booster Box Cost]]+v_Item_Shipping_Cost_In)/tbl_MTG_Set[[#This Row],[Play Booster Box Size]]</f>
        <v>#VALUE!</v>
      </c>
      <c r="AQ446" s="10" t="str" cm="1">
        <f t="array" ref="AQ4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6" s="10"/>
      <c r="AS446" s="10"/>
      <c r="AT446" s="17" t="e">
        <f>tbl_MTG_Set[[#This Row],[Play Booster CardMarket Profit]]/tbl_MTG_Set[[#This Row],[Play Booster Cost]]</f>
        <v>#VALUE!</v>
      </c>
      <c r="AU446" s="10" t="e">
        <f>_xlfn.XLOOKUP(tbl_MTG_Set[[#This Row],[Collector Booster Box Product Id]], tbl_Product[Product Id], tbl_Product[Min Cost])</f>
        <v>#N/A</v>
      </c>
      <c r="AV446" s="10" t="e">
        <f>_xlfn.XLOOKUP(tbl_MTG_Set[[#This Row],[Collector Booster Box Product Id]], tbl_Product[Product Id], tbl_Product[Best Source])</f>
        <v>#N/A</v>
      </c>
      <c r="AW446" s="4" t="e">
        <f>_xlfn.XLOOKUP(tbl_MTG_Set[[#This Row],[Collector Booster Box Product Id]], tbl_Product[Product Id], tbl_Product[Pack Size])</f>
        <v>#N/A</v>
      </c>
      <c r="AX446" s="10" t="e">
        <f>(tbl_MTG_Set[[#This Row],[Collector Booster Box Cost]] + v_Item_Shipping_Cost_In) / tbl_MTG_Set[[#This Row],[Collector Booster Box Size]]</f>
        <v>#N/A</v>
      </c>
      <c r="AY446" s="10" t="str" cm="1">
        <f t="array" ref="AY4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6" s="10"/>
      <c r="BA4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6" s="17" t="e">
        <f>tbl_MTG_Set[[#This Row],[Collector Booster CardMarket Profit]]/tbl_MTG_Set[[#This Row],[Collector Booster Cost]]</f>
        <v>#N/A</v>
      </c>
      <c r="BC446" s="10"/>
      <c r="BF4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6" s="11" t="e">
        <f>tbl_MTG_Set[[#This Row],[Play Singles CardMarket Profit MTG Stocks]]/tbl_MTG_Set[[#This Row],[Play Booster Cost]]</f>
        <v>#VALUE!</v>
      </c>
      <c r="BI446" s="11" t="b">
        <f>tbl_MTG_Set[[#This Row],[Play Singles CardMarket Profit MTG Stocks]]&gt;0</f>
        <v>0</v>
      </c>
      <c r="BM446" s="10" t="e">
        <f>tbl_MTG_Set[[#This Row],[Play Booster Sell Price CardMarket]]*tbl_MTG_Set[[#This Row],[Play Booster Expected Market Value BotBox]]/tbl_MTG_Set[[#This Row],[Play Booster Sealed Market Value BotBox]]</f>
        <v>#VALUE!</v>
      </c>
      <c r="BN4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6" s="10" t="e">
        <f>tbl_MTG_Set[[#This Row],[Play Singles CardMarket Profit BotBox]]/tbl_MTG_Set[[#This Row],[Play Booster Cost]]</f>
        <v>#VALUE!</v>
      </c>
      <c r="BP446" s="10" t="b">
        <f>tbl_MTG_Set[[#This Row],[Play Singles CardMarket Profit BotBox]]&gt;0</f>
        <v>0</v>
      </c>
      <c r="BQ446" s="10"/>
      <c r="BR446" s="10"/>
      <c r="BS446" s="10"/>
      <c r="BT4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6" s="19" t="e">
        <f>tbl_MTG_Set[[#This Row],[Collector Singles CardMarket Profit MTG Stocks]]/tbl_MTG_Set[[#This Row],[Collector Booster Cost]]</f>
        <v>#N/A</v>
      </c>
      <c r="BW446" s="10" t="b">
        <f>tbl_MTG_Set[[#This Row],[Collector Singles CardMarket Profit MTG Stocks]]&gt;0</f>
        <v>0</v>
      </c>
      <c r="BX446" s="10"/>
      <c r="BY446" s="10"/>
      <c r="BZ4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6" s="10" t="e">
        <f>tbl_MTG_Set[[#This Row],[Collector Singles CardMarket Profit BotBox]]/tbl_MTG_Set[[#This Row],[Collector Booster Cost]]</f>
        <v>#N/A</v>
      </c>
      <c r="CC446" s="10" t="b">
        <f>tbl_MTG_Set[[#This Row],[Collector Singles CardMarket Profit BotBox]]&gt;0</f>
        <v>0</v>
      </c>
      <c r="CD4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7" spans="1:86" hidden="1">
      <c r="A447">
        <v>477</v>
      </c>
      <c r="B447" t="s">
        <v>620</v>
      </c>
      <c r="C447">
        <v>18</v>
      </c>
      <c r="D447" s="3">
        <v>43294</v>
      </c>
      <c r="F447" t="s">
        <v>174</v>
      </c>
      <c r="G447">
        <v>900</v>
      </c>
      <c r="H447">
        <f ca="1">MONTH(NOW())+12*YEAR(NOW())-MONTH(tbl_MTG_Set[[#This Row],[Released On]])-12*YEAR(tbl_MTG_Set[[#This Row],[Released On]])</f>
        <v>92</v>
      </c>
      <c r="I447" t="str">
        <f>_xlfn.XLOOKUP(tbl_MTG_Set[[#This Row],[Type Name]], tbl_MTG_Set_Type[Set Type], tbl_MTG_Set_Type[Index], "(Set Type not found)")</f>
        <v>(Set Type not found)</v>
      </c>
      <c r="J447" t="str">
        <f>_xlfn.XLOOKUP(tbl_MTG_Set[[#This Row],[Type Name]], tbl_MTG_Set_Type[Set Type], tbl_MTG_Set_Type[Buy Window Month Start], "(Set Type not found)")</f>
        <v>(Set Type not found)</v>
      </c>
      <c r="K447" s="3" t="e">
        <f>tbl_MTG_Set[[#This Row],[Released On]]+tbl_MTG_Set[[#This Row],[Buy Window Month Start]]*365.25/12</f>
        <v>#VALUE!</v>
      </c>
      <c r="L447" t="str">
        <f>_xlfn.XLOOKUP(tbl_MTG_Set[[#This Row],[Type Name]], tbl_MTG_Set_Type[Set Type], tbl_MTG_Set_Type[Buy Window Month End], "(Set Type not found)", 0, 1)</f>
        <v>(Set Type not found)</v>
      </c>
      <c r="M447" s="3" t="e">
        <f>tbl_MTG_Set[[#This Row],[Released On]]+tbl_MTG_Set[[#This Row],[Buy Window Month End]]*365.25/12</f>
        <v>#VALUE!</v>
      </c>
      <c r="N447" s="3" t="e">
        <f ca="1">AND(NOW()&gt;=tbl_MTG_Set[[#This Row],[Buy Window Start]], NOW()&lt;=tbl_MTG_Set[[#This Row],[Buy Window End]])</f>
        <v>#VALUE!</v>
      </c>
      <c r="O447" t="str">
        <f>_xlfn.XLOOKUP(tbl_MTG_Set[[#This Row],[Type Name]], tbl_MTG_Set_Type[Set Type], tbl_MTG_Set_Type[Heavy Printing Window Month Start], "(Set Type not found)", 0, 1)</f>
        <v>(Set Type not found)</v>
      </c>
      <c r="P447" s="3" t="e">
        <f>tbl_MTG_Set[[#This Row],[Released On]]+tbl_MTG_Set[[#This Row],[Heavy Printing Window Month Start]]*365.25/12</f>
        <v>#VALUE!</v>
      </c>
      <c r="Q447" t="str">
        <f>_xlfn.XLOOKUP(tbl_MTG_Set[[#This Row],[Type Name]], tbl_MTG_Set_Type[Set Type], tbl_MTG_Set_Type[Heavy Printing Window Month End], "(Set Type not found)", 0, 1)</f>
        <v>(Set Type not found)</v>
      </c>
      <c r="R447" s="3" t="e">
        <f>tbl_MTG_Set[[#This Row],[Released On]]+tbl_MTG_Set[[#This Row],[Heavy Printing Window Month End]]*365.25/12</f>
        <v>#VALUE!</v>
      </c>
      <c r="S447" s="3" t="e">
        <f ca="1">AND(NOW()&gt;=tbl_MTG_Set[[#This Row],[Heavy Printing Window Start]], NOW()&lt;=tbl_MTG_Set[[#This Row],[Heavy Printing Window End]])</f>
        <v>#VALUE!</v>
      </c>
      <c r="T447" t="str">
        <f>_xlfn.XLOOKUP(tbl_MTG_Set[[#This Row],[Type Name]], tbl_MTG_Set_Type[Set Type], tbl_MTG_Set_Type[Sell Window Month Start], "(Set Type not found)", 0, 1)</f>
        <v>(Set Type not found)</v>
      </c>
      <c r="U447" s="3" t="e">
        <f>tbl_MTG_Set[[#This Row],[Released On]]+tbl_MTG_Set[[#This Row],[Sell Window Month Start]]*365.25/12</f>
        <v>#VALUE!</v>
      </c>
      <c r="V447" t="str">
        <f>_xlfn.XLOOKUP(tbl_MTG_Set[[#This Row],[Type Name]], tbl_MTG_Set_Type[Set Type], tbl_MTG_Set_Type[Sell Window Month End], "(Set Type not found)", 0, 1)</f>
        <v>(Set Type not found)</v>
      </c>
      <c r="W447" s="3" t="e">
        <f>tbl_MTG_Set[[#This Row],[Released On]]+tbl_MTG_Set[[#This Row],[Sell Window Month End]]*365.25/12</f>
        <v>#VALUE!</v>
      </c>
      <c r="X447" s="3" t="e">
        <f ca="1">AND(NOW()&gt;=tbl_MTG_Set[[#This Row],[Sell Window Start]], NOW()&lt;=tbl_MTG_Set[[#This Row],[Sell Window End]])</f>
        <v>#VALUE!</v>
      </c>
      <c r="AG447" s="10"/>
      <c r="AH447" s="10"/>
      <c r="AM447" s="10" t="str" cm="1">
        <f t="array" ref="AM4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7" s="10" t="str" cm="1">
        <f t="array" ref="AN4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7" s="4" t="e">
        <f>_xlfn.XLOOKUP(tbl_MTG_Set[[#This Row],[Play Booster Box Product Id]], tbl_Product[Product Id], tbl_Product[Pack Size])</f>
        <v>#N/A</v>
      </c>
      <c r="AP447" s="10" t="e">
        <f>(tbl_MTG_Set[[#This Row],[Play Booster Box Cost]]+v_Item_Shipping_Cost_In)/tbl_MTG_Set[[#This Row],[Play Booster Box Size]]</f>
        <v>#VALUE!</v>
      </c>
      <c r="AQ447" s="10" t="str" cm="1">
        <f t="array" ref="AQ4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7" s="10"/>
      <c r="AS447" s="10"/>
      <c r="AT447" s="17" t="e">
        <f>tbl_MTG_Set[[#This Row],[Play Booster CardMarket Profit]]/tbl_MTG_Set[[#This Row],[Play Booster Cost]]</f>
        <v>#VALUE!</v>
      </c>
      <c r="AU447" s="10" t="e">
        <f>_xlfn.XLOOKUP(tbl_MTG_Set[[#This Row],[Collector Booster Box Product Id]], tbl_Product[Product Id], tbl_Product[Min Cost])</f>
        <v>#N/A</v>
      </c>
      <c r="AV447" s="10" t="e">
        <f>_xlfn.XLOOKUP(tbl_MTG_Set[[#This Row],[Collector Booster Box Product Id]], tbl_Product[Product Id], tbl_Product[Best Source])</f>
        <v>#N/A</v>
      </c>
      <c r="AW447" s="4" t="e">
        <f>_xlfn.XLOOKUP(tbl_MTG_Set[[#This Row],[Collector Booster Box Product Id]], tbl_Product[Product Id], tbl_Product[Pack Size])</f>
        <v>#N/A</v>
      </c>
      <c r="AX447" s="10" t="e">
        <f>(tbl_MTG_Set[[#This Row],[Collector Booster Box Cost]] + v_Item_Shipping_Cost_In) / tbl_MTG_Set[[#This Row],[Collector Booster Box Size]]</f>
        <v>#N/A</v>
      </c>
      <c r="AY447" s="10" t="str" cm="1">
        <f t="array" ref="AY4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7" s="10"/>
      <c r="BA4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7" s="17" t="e">
        <f>tbl_MTG_Set[[#This Row],[Collector Booster CardMarket Profit]]/tbl_MTG_Set[[#This Row],[Collector Booster Cost]]</f>
        <v>#N/A</v>
      </c>
      <c r="BC447" s="10"/>
      <c r="BF4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7" s="11" t="e">
        <f>tbl_MTG_Set[[#This Row],[Play Singles CardMarket Profit MTG Stocks]]/tbl_MTG_Set[[#This Row],[Play Booster Cost]]</f>
        <v>#VALUE!</v>
      </c>
      <c r="BI447" s="11" t="b">
        <f>tbl_MTG_Set[[#This Row],[Play Singles CardMarket Profit MTG Stocks]]&gt;0</f>
        <v>0</v>
      </c>
      <c r="BM447" s="10" t="e">
        <f>tbl_MTG_Set[[#This Row],[Play Booster Sell Price CardMarket]]*tbl_MTG_Set[[#This Row],[Play Booster Expected Market Value BotBox]]/tbl_MTG_Set[[#This Row],[Play Booster Sealed Market Value BotBox]]</f>
        <v>#VALUE!</v>
      </c>
      <c r="BN4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7" s="10" t="e">
        <f>tbl_MTG_Set[[#This Row],[Play Singles CardMarket Profit BotBox]]/tbl_MTG_Set[[#This Row],[Play Booster Cost]]</f>
        <v>#VALUE!</v>
      </c>
      <c r="BP447" s="10" t="b">
        <f>tbl_MTG_Set[[#This Row],[Play Singles CardMarket Profit BotBox]]&gt;0</f>
        <v>0</v>
      </c>
      <c r="BQ447" s="10"/>
      <c r="BR447" s="10"/>
      <c r="BS447" s="10"/>
      <c r="BT4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7" s="19" t="e">
        <f>tbl_MTG_Set[[#This Row],[Collector Singles CardMarket Profit MTG Stocks]]/tbl_MTG_Set[[#This Row],[Collector Booster Cost]]</f>
        <v>#N/A</v>
      </c>
      <c r="BW447" s="10" t="b">
        <f>tbl_MTG_Set[[#This Row],[Collector Singles CardMarket Profit MTG Stocks]]&gt;0</f>
        <v>0</v>
      </c>
      <c r="BX447" s="10"/>
      <c r="BY447" s="10"/>
      <c r="BZ4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7" s="10" t="e">
        <f>tbl_MTG_Set[[#This Row],[Collector Singles CardMarket Profit BotBox]]/tbl_MTG_Set[[#This Row],[Collector Booster Cost]]</f>
        <v>#N/A</v>
      </c>
      <c r="CC447" s="10" t="b">
        <f>tbl_MTG_Set[[#This Row],[Collector Singles CardMarket Profit BotBox]]&gt;0</f>
        <v>0</v>
      </c>
      <c r="CD4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8" spans="1:86" hidden="1">
      <c r="A448">
        <v>478</v>
      </c>
      <c r="B448" t="s">
        <v>621</v>
      </c>
      <c r="C448">
        <v>5</v>
      </c>
      <c r="D448" s="3">
        <v>43420</v>
      </c>
      <c r="F448" t="s">
        <v>174</v>
      </c>
      <c r="G448">
        <v>902</v>
      </c>
      <c r="H448">
        <f ca="1">MONTH(NOW())+12*YEAR(NOW())-MONTH(tbl_MTG_Set[[#This Row],[Released On]])-12*YEAR(tbl_MTG_Set[[#This Row],[Released On]])</f>
        <v>88</v>
      </c>
      <c r="I448" t="str">
        <f>_xlfn.XLOOKUP(tbl_MTG_Set[[#This Row],[Type Name]], tbl_MTG_Set_Type[Set Type], tbl_MTG_Set_Type[Index], "(Set Type not found)")</f>
        <v>(Set Type not found)</v>
      </c>
      <c r="J448" t="str">
        <f>_xlfn.XLOOKUP(tbl_MTG_Set[[#This Row],[Type Name]], tbl_MTG_Set_Type[Set Type], tbl_MTG_Set_Type[Buy Window Month Start], "(Set Type not found)")</f>
        <v>(Set Type not found)</v>
      </c>
      <c r="K448" s="3" t="e">
        <f>tbl_MTG_Set[[#This Row],[Released On]]+tbl_MTG_Set[[#This Row],[Buy Window Month Start]]*365.25/12</f>
        <v>#VALUE!</v>
      </c>
      <c r="L448" t="str">
        <f>_xlfn.XLOOKUP(tbl_MTG_Set[[#This Row],[Type Name]], tbl_MTG_Set_Type[Set Type], tbl_MTG_Set_Type[Buy Window Month End], "(Set Type not found)", 0, 1)</f>
        <v>(Set Type not found)</v>
      </c>
      <c r="M448" s="3" t="e">
        <f>tbl_MTG_Set[[#This Row],[Released On]]+tbl_MTG_Set[[#This Row],[Buy Window Month End]]*365.25/12</f>
        <v>#VALUE!</v>
      </c>
      <c r="N448" s="3" t="e">
        <f ca="1">AND(NOW()&gt;=tbl_MTG_Set[[#This Row],[Buy Window Start]], NOW()&lt;=tbl_MTG_Set[[#This Row],[Buy Window End]])</f>
        <v>#VALUE!</v>
      </c>
      <c r="O448" t="str">
        <f>_xlfn.XLOOKUP(tbl_MTG_Set[[#This Row],[Type Name]], tbl_MTG_Set_Type[Set Type], tbl_MTG_Set_Type[Heavy Printing Window Month Start], "(Set Type not found)", 0, 1)</f>
        <v>(Set Type not found)</v>
      </c>
      <c r="P448" s="3" t="e">
        <f>tbl_MTG_Set[[#This Row],[Released On]]+tbl_MTG_Set[[#This Row],[Heavy Printing Window Month Start]]*365.25/12</f>
        <v>#VALUE!</v>
      </c>
      <c r="Q448" t="str">
        <f>_xlfn.XLOOKUP(tbl_MTG_Set[[#This Row],[Type Name]], tbl_MTG_Set_Type[Set Type], tbl_MTG_Set_Type[Heavy Printing Window Month End], "(Set Type not found)", 0, 1)</f>
        <v>(Set Type not found)</v>
      </c>
      <c r="R448" s="3" t="e">
        <f>tbl_MTG_Set[[#This Row],[Released On]]+tbl_MTG_Set[[#This Row],[Heavy Printing Window Month End]]*365.25/12</f>
        <v>#VALUE!</v>
      </c>
      <c r="S448" s="3" t="e">
        <f ca="1">AND(NOW()&gt;=tbl_MTG_Set[[#This Row],[Heavy Printing Window Start]], NOW()&lt;=tbl_MTG_Set[[#This Row],[Heavy Printing Window End]])</f>
        <v>#VALUE!</v>
      </c>
      <c r="T448" t="str">
        <f>_xlfn.XLOOKUP(tbl_MTG_Set[[#This Row],[Type Name]], tbl_MTG_Set_Type[Set Type], tbl_MTG_Set_Type[Sell Window Month Start], "(Set Type not found)", 0, 1)</f>
        <v>(Set Type not found)</v>
      </c>
      <c r="U448" s="3" t="e">
        <f>tbl_MTG_Set[[#This Row],[Released On]]+tbl_MTG_Set[[#This Row],[Sell Window Month Start]]*365.25/12</f>
        <v>#VALUE!</v>
      </c>
      <c r="V448" t="str">
        <f>_xlfn.XLOOKUP(tbl_MTG_Set[[#This Row],[Type Name]], tbl_MTG_Set_Type[Set Type], tbl_MTG_Set_Type[Sell Window Month End], "(Set Type not found)", 0, 1)</f>
        <v>(Set Type not found)</v>
      </c>
      <c r="W448" s="3" t="e">
        <f>tbl_MTG_Set[[#This Row],[Released On]]+tbl_MTG_Set[[#This Row],[Sell Window Month End]]*365.25/12</f>
        <v>#VALUE!</v>
      </c>
      <c r="X448" s="3" t="e">
        <f ca="1">AND(NOW()&gt;=tbl_MTG_Set[[#This Row],[Sell Window Start]], NOW()&lt;=tbl_MTG_Set[[#This Row],[Sell Window End]])</f>
        <v>#VALUE!</v>
      </c>
      <c r="AG448" s="10"/>
      <c r="AH448" s="10"/>
      <c r="AM448" s="10" t="str" cm="1">
        <f t="array" ref="AM4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8" s="10" t="str" cm="1">
        <f t="array" ref="AN4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8" s="4" t="e">
        <f>_xlfn.XLOOKUP(tbl_MTG_Set[[#This Row],[Play Booster Box Product Id]], tbl_Product[Product Id], tbl_Product[Pack Size])</f>
        <v>#N/A</v>
      </c>
      <c r="AP448" s="10" t="e">
        <f>(tbl_MTG_Set[[#This Row],[Play Booster Box Cost]]+v_Item_Shipping_Cost_In)/tbl_MTG_Set[[#This Row],[Play Booster Box Size]]</f>
        <v>#VALUE!</v>
      </c>
      <c r="AQ448" s="10" t="str" cm="1">
        <f t="array" ref="AQ4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8" s="10"/>
      <c r="AS448" s="10"/>
      <c r="AT448" s="17" t="e">
        <f>tbl_MTG_Set[[#This Row],[Play Booster CardMarket Profit]]/tbl_MTG_Set[[#This Row],[Play Booster Cost]]</f>
        <v>#VALUE!</v>
      </c>
      <c r="AU448" s="10" t="e">
        <f>_xlfn.XLOOKUP(tbl_MTG_Set[[#This Row],[Collector Booster Box Product Id]], tbl_Product[Product Id], tbl_Product[Min Cost])</f>
        <v>#N/A</v>
      </c>
      <c r="AV448" s="10" t="e">
        <f>_xlfn.XLOOKUP(tbl_MTG_Set[[#This Row],[Collector Booster Box Product Id]], tbl_Product[Product Id], tbl_Product[Best Source])</f>
        <v>#N/A</v>
      </c>
      <c r="AW448" s="4" t="e">
        <f>_xlfn.XLOOKUP(tbl_MTG_Set[[#This Row],[Collector Booster Box Product Id]], tbl_Product[Product Id], tbl_Product[Pack Size])</f>
        <v>#N/A</v>
      </c>
      <c r="AX448" s="10" t="e">
        <f>(tbl_MTG_Set[[#This Row],[Collector Booster Box Cost]] + v_Item_Shipping_Cost_In) / tbl_MTG_Set[[#This Row],[Collector Booster Box Size]]</f>
        <v>#N/A</v>
      </c>
      <c r="AY448" s="10" t="str" cm="1">
        <f t="array" ref="AY4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8" s="10"/>
      <c r="BA4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8" s="17" t="e">
        <f>tbl_MTG_Set[[#This Row],[Collector Booster CardMarket Profit]]/tbl_MTG_Set[[#This Row],[Collector Booster Cost]]</f>
        <v>#N/A</v>
      </c>
      <c r="BC448" s="10"/>
      <c r="BF4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8" s="11" t="e">
        <f>tbl_MTG_Set[[#This Row],[Play Singles CardMarket Profit MTG Stocks]]/tbl_MTG_Set[[#This Row],[Play Booster Cost]]</f>
        <v>#VALUE!</v>
      </c>
      <c r="BI448" s="11" t="b">
        <f>tbl_MTG_Set[[#This Row],[Play Singles CardMarket Profit MTG Stocks]]&gt;0</f>
        <v>0</v>
      </c>
      <c r="BM448" s="10" t="e">
        <f>tbl_MTG_Set[[#This Row],[Play Booster Sell Price CardMarket]]*tbl_MTG_Set[[#This Row],[Play Booster Expected Market Value BotBox]]/tbl_MTG_Set[[#This Row],[Play Booster Sealed Market Value BotBox]]</f>
        <v>#VALUE!</v>
      </c>
      <c r="BN4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8" s="10" t="e">
        <f>tbl_MTG_Set[[#This Row],[Play Singles CardMarket Profit BotBox]]/tbl_MTG_Set[[#This Row],[Play Booster Cost]]</f>
        <v>#VALUE!</v>
      </c>
      <c r="BP448" s="10" t="b">
        <f>tbl_MTG_Set[[#This Row],[Play Singles CardMarket Profit BotBox]]&gt;0</f>
        <v>0</v>
      </c>
      <c r="BQ448" s="10"/>
      <c r="BR448" s="10"/>
      <c r="BS448" s="10"/>
      <c r="BT4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8" s="19" t="e">
        <f>tbl_MTG_Set[[#This Row],[Collector Singles CardMarket Profit MTG Stocks]]/tbl_MTG_Set[[#This Row],[Collector Booster Cost]]</f>
        <v>#N/A</v>
      </c>
      <c r="BW448" s="10" t="b">
        <f>tbl_MTG_Set[[#This Row],[Collector Singles CardMarket Profit MTG Stocks]]&gt;0</f>
        <v>0</v>
      </c>
      <c r="BX448" s="10"/>
      <c r="BY448" s="10"/>
      <c r="BZ4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8" s="10" t="e">
        <f>tbl_MTG_Set[[#This Row],[Collector Singles CardMarket Profit BotBox]]/tbl_MTG_Set[[#This Row],[Collector Booster Cost]]</f>
        <v>#N/A</v>
      </c>
      <c r="CC448" s="10" t="b">
        <f>tbl_MTG_Set[[#This Row],[Collector Singles CardMarket Profit BotBox]]&gt;0</f>
        <v>0</v>
      </c>
      <c r="CD4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49" spans="1:86" hidden="1">
      <c r="A449">
        <v>479</v>
      </c>
      <c r="B449" t="s">
        <v>622</v>
      </c>
      <c r="C449">
        <v>5</v>
      </c>
      <c r="D449" s="3">
        <v>43294</v>
      </c>
      <c r="F449" t="s">
        <v>174</v>
      </c>
      <c r="G449">
        <v>904</v>
      </c>
      <c r="H449">
        <f ca="1">MONTH(NOW())+12*YEAR(NOW())-MONTH(tbl_MTG_Set[[#This Row],[Released On]])-12*YEAR(tbl_MTG_Set[[#This Row],[Released On]])</f>
        <v>92</v>
      </c>
      <c r="I449" t="str">
        <f>_xlfn.XLOOKUP(tbl_MTG_Set[[#This Row],[Type Name]], tbl_MTG_Set_Type[Set Type], tbl_MTG_Set_Type[Index], "(Set Type not found)")</f>
        <v>(Set Type not found)</v>
      </c>
      <c r="J449" t="str">
        <f>_xlfn.XLOOKUP(tbl_MTG_Set[[#This Row],[Type Name]], tbl_MTG_Set_Type[Set Type], tbl_MTG_Set_Type[Buy Window Month Start], "(Set Type not found)")</f>
        <v>(Set Type not found)</v>
      </c>
      <c r="K449" s="3" t="e">
        <f>tbl_MTG_Set[[#This Row],[Released On]]+tbl_MTG_Set[[#This Row],[Buy Window Month Start]]*365.25/12</f>
        <v>#VALUE!</v>
      </c>
      <c r="L449" t="str">
        <f>_xlfn.XLOOKUP(tbl_MTG_Set[[#This Row],[Type Name]], tbl_MTG_Set_Type[Set Type], tbl_MTG_Set_Type[Buy Window Month End], "(Set Type not found)", 0, 1)</f>
        <v>(Set Type not found)</v>
      </c>
      <c r="M449" s="3" t="e">
        <f>tbl_MTG_Set[[#This Row],[Released On]]+tbl_MTG_Set[[#This Row],[Buy Window Month End]]*365.25/12</f>
        <v>#VALUE!</v>
      </c>
      <c r="N449" s="3" t="e">
        <f ca="1">AND(NOW()&gt;=tbl_MTG_Set[[#This Row],[Buy Window Start]], NOW()&lt;=tbl_MTG_Set[[#This Row],[Buy Window End]])</f>
        <v>#VALUE!</v>
      </c>
      <c r="O449" t="str">
        <f>_xlfn.XLOOKUP(tbl_MTG_Set[[#This Row],[Type Name]], tbl_MTG_Set_Type[Set Type], tbl_MTG_Set_Type[Heavy Printing Window Month Start], "(Set Type not found)", 0, 1)</f>
        <v>(Set Type not found)</v>
      </c>
      <c r="P449" s="3" t="e">
        <f>tbl_MTG_Set[[#This Row],[Released On]]+tbl_MTG_Set[[#This Row],[Heavy Printing Window Month Start]]*365.25/12</f>
        <v>#VALUE!</v>
      </c>
      <c r="Q449" t="str">
        <f>_xlfn.XLOOKUP(tbl_MTG_Set[[#This Row],[Type Name]], tbl_MTG_Set_Type[Set Type], tbl_MTG_Set_Type[Heavy Printing Window Month End], "(Set Type not found)", 0, 1)</f>
        <v>(Set Type not found)</v>
      </c>
      <c r="R449" s="3" t="e">
        <f>tbl_MTG_Set[[#This Row],[Released On]]+tbl_MTG_Set[[#This Row],[Heavy Printing Window Month End]]*365.25/12</f>
        <v>#VALUE!</v>
      </c>
      <c r="S449" s="3" t="e">
        <f ca="1">AND(NOW()&gt;=tbl_MTG_Set[[#This Row],[Heavy Printing Window Start]], NOW()&lt;=tbl_MTG_Set[[#This Row],[Heavy Printing Window End]])</f>
        <v>#VALUE!</v>
      </c>
      <c r="T449" t="str">
        <f>_xlfn.XLOOKUP(tbl_MTG_Set[[#This Row],[Type Name]], tbl_MTG_Set_Type[Set Type], tbl_MTG_Set_Type[Sell Window Month Start], "(Set Type not found)", 0, 1)</f>
        <v>(Set Type not found)</v>
      </c>
      <c r="U449" s="3" t="e">
        <f>tbl_MTG_Set[[#This Row],[Released On]]+tbl_MTG_Set[[#This Row],[Sell Window Month Start]]*365.25/12</f>
        <v>#VALUE!</v>
      </c>
      <c r="V449" t="str">
        <f>_xlfn.XLOOKUP(tbl_MTG_Set[[#This Row],[Type Name]], tbl_MTG_Set_Type[Set Type], tbl_MTG_Set_Type[Sell Window Month End], "(Set Type not found)", 0, 1)</f>
        <v>(Set Type not found)</v>
      </c>
      <c r="W449" s="3" t="e">
        <f>tbl_MTG_Set[[#This Row],[Released On]]+tbl_MTG_Set[[#This Row],[Sell Window Month End]]*365.25/12</f>
        <v>#VALUE!</v>
      </c>
      <c r="X449" s="3" t="e">
        <f ca="1">AND(NOW()&gt;=tbl_MTG_Set[[#This Row],[Sell Window Start]], NOW()&lt;=tbl_MTG_Set[[#This Row],[Sell Window End]])</f>
        <v>#VALUE!</v>
      </c>
      <c r="AG449" s="10"/>
      <c r="AH449" s="10"/>
      <c r="AM449" s="10" t="str" cm="1">
        <f t="array" ref="AM4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49" s="10" t="str" cm="1">
        <f t="array" ref="AN4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49" s="4" t="e">
        <f>_xlfn.XLOOKUP(tbl_MTG_Set[[#This Row],[Play Booster Box Product Id]], tbl_Product[Product Id], tbl_Product[Pack Size])</f>
        <v>#N/A</v>
      </c>
      <c r="AP449" s="10" t="e">
        <f>(tbl_MTG_Set[[#This Row],[Play Booster Box Cost]]+v_Item_Shipping_Cost_In)/tbl_MTG_Set[[#This Row],[Play Booster Box Size]]</f>
        <v>#VALUE!</v>
      </c>
      <c r="AQ449" s="10" t="str" cm="1">
        <f t="array" ref="AQ4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49" s="10"/>
      <c r="AS449" s="10"/>
      <c r="AT449" s="17" t="e">
        <f>tbl_MTG_Set[[#This Row],[Play Booster CardMarket Profit]]/tbl_MTG_Set[[#This Row],[Play Booster Cost]]</f>
        <v>#VALUE!</v>
      </c>
      <c r="AU449" s="10" t="e">
        <f>_xlfn.XLOOKUP(tbl_MTG_Set[[#This Row],[Collector Booster Box Product Id]], tbl_Product[Product Id], tbl_Product[Min Cost])</f>
        <v>#N/A</v>
      </c>
      <c r="AV449" s="10" t="e">
        <f>_xlfn.XLOOKUP(tbl_MTG_Set[[#This Row],[Collector Booster Box Product Id]], tbl_Product[Product Id], tbl_Product[Best Source])</f>
        <v>#N/A</v>
      </c>
      <c r="AW449" s="4" t="e">
        <f>_xlfn.XLOOKUP(tbl_MTG_Set[[#This Row],[Collector Booster Box Product Id]], tbl_Product[Product Id], tbl_Product[Pack Size])</f>
        <v>#N/A</v>
      </c>
      <c r="AX449" s="10" t="e">
        <f>(tbl_MTG_Set[[#This Row],[Collector Booster Box Cost]] + v_Item_Shipping_Cost_In) / tbl_MTG_Set[[#This Row],[Collector Booster Box Size]]</f>
        <v>#N/A</v>
      </c>
      <c r="AY449" s="10" t="str" cm="1">
        <f t="array" ref="AY4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49" s="10"/>
      <c r="BA4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49" s="17" t="e">
        <f>tbl_MTG_Set[[#This Row],[Collector Booster CardMarket Profit]]/tbl_MTG_Set[[#This Row],[Collector Booster Cost]]</f>
        <v>#N/A</v>
      </c>
      <c r="BC449" s="10"/>
      <c r="BF4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49" s="11" t="e">
        <f>tbl_MTG_Set[[#This Row],[Play Singles CardMarket Profit MTG Stocks]]/tbl_MTG_Set[[#This Row],[Play Booster Cost]]</f>
        <v>#VALUE!</v>
      </c>
      <c r="BI449" s="11" t="b">
        <f>tbl_MTG_Set[[#This Row],[Play Singles CardMarket Profit MTG Stocks]]&gt;0</f>
        <v>0</v>
      </c>
      <c r="BM449" s="10" t="e">
        <f>tbl_MTG_Set[[#This Row],[Play Booster Sell Price CardMarket]]*tbl_MTG_Set[[#This Row],[Play Booster Expected Market Value BotBox]]/tbl_MTG_Set[[#This Row],[Play Booster Sealed Market Value BotBox]]</f>
        <v>#VALUE!</v>
      </c>
      <c r="BN4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49" s="10" t="e">
        <f>tbl_MTG_Set[[#This Row],[Play Singles CardMarket Profit BotBox]]/tbl_MTG_Set[[#This Row],[Play Booster Cost]]</f>
        <v>#VALUE!</v>
      </c>
      <c r="BP449" s="10" t="b">
        <f>tbl_MTG_Set[[#This Row],[Play Singles CardMarket Profit BotBox]]&gt;0</f>
        <v>0</v>
      </c>
      <c r="BQ449" s="10"/>
      <c r="BR449" s="10"/>
      <c r="BS449" s="10"/>
      <c r="BT4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49" s="19" t="e">
        <f>tbl_MTG_Set[[#This Row],[Collector Singles CardMarket Profit MTG Stocks]]/tbl_MTG_Set[[#This Row],[Collector Booster Cost]]</f>
        <v>#N/A</v>
      </c>
      <c r="BW449" s="10" t="b">
        <f>tbl_MTG_Set[[#This Row],[Collector Singles CardMarket Profit MTG Stocks]]&gt;0</f>
        <v>0</v>
      </c>
      <c r="BX449" s="10"/>
      <c r="BY449" s="10"/>
      <c r="BZ4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49" s="10" t="e">
        <f>tbl_MTG_Set[[#This Row],[Collector Singles CardMarket Profit BotBox]]/tbl_MTG_Set[[#This Row],[Collector Booster Cost]]</f>
        <v>#N/A</v>
      </c>
      <c r="CC449" s="10" t="b">
        <f>tbl_MTG_Set[[#This Row],[Collector Singles CardMarket Profit BotBox]]&gt;0</f>
        <v>0</v>
      </c>
      <c r="CD4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0" spans="1:86" hidden="1">
      <c r="A450">
        <v>480</v>
      </c>
      <c r="B450" t="s">
        <v>623</v>
      </c>
      <c r="C450">
        <v>41</v>
      </c>
      <c r="D450" s="3">
        <v>43273</v>
      </c>
      <c r="F450" t="s">
        <v>174</v>
      </c>
      <c r="G450">
        <v>906</v>
      </c>
      <c r="H450">
        <f ca="1">MONTH(NOW())+12*YEAR(NOW())-MONTH(tbl_MTG_Set[[#This Row],[Released On]])-12*YEAR(tbl_MTG_Set[[#This Row],[Released On]])</f>
        <v>93</v>
      </c>
      <c r="I450" t="str">
        <f>_xlfn.XLOOKUP(tbl_MTG_Set[[#This Row],[Type Name]], tbl_MTG_Set_Type[Set Type], tbl_MTG_Set_Type[Index], "(Set Type not found)")</f>
        <v>(Set Type not found)</v>
      </c>
      <c r="J450" t="str">
        <f>_xlfn.XLOOKUP(tbl_MTG_Set[[#This Row],[Type Name]], tbl_MTG_Set_Type[Set Type], tbl_MTG_Set_Type[Buy Window Month Start], "(Set Type not found)")</f>
        <v>(Set Type not found)</v>
      </c>
      <c r="K450" s="3" t="e">
        <f>tbl_MTG_Set[[#This Row],[Released On]]+tbl_MTG_Set[[#This Row],[Buy Window Month Start]]*365.25/12</f>
        <v>#VALUE!</v>
      </c>
      <c r="L450" t="str">
        <f>_xlfn.XLOOKUP(tbl_MTG_Set[[#This Row],[Type Name]], tbl_MTG_Set_Type[Set Type], tbl_MTG_Set_Type[Buy Window Month End], "(Set Type not found)", 0, 1)</f>
        <v>(Set Type not found)</v>
      </c>
      <c r="M450" s="3" t="e">
        <f>tbl_MTG_Set[[#This Row],[Released On]]+tbl_MTG_Set[[#This Row],[Buy Window Month End]]*365.25/12</f>
        <v>#VALUE!</v>
      </c>
      <c r="N450" s="3" t="e">
        <f ca="1">AND(NOW()&gt;=tbl_MTG_Set[[#This Row],[Buy Window Start]], NOW()&lt;=tbl_MTG_Set[[#This Row],[Buy Window End]])</f>
        <v>#VALUE!</v>
      </c>
      <c r="O450" t="str">
        <f>_xlfn.XLOOKUP(tbl_MTG_Set[[#This Row],[Type Name]], tbl_MTG_Set_Type[Set Type], tbl_MTG_Set_Type[Heavy Printing Window Month Start], "(Set Type not found)", 0, 1)</f>
        <v>(Set Type not found)</v>
      </c>
      <c r="P450" s="3" t="e">
        <f>tbl_MTG_Set[[#This Row],[Released On]]+tbl_MTG_Set[[#This Row],[Heavy Printing Window Month Start]]*365.25/12</f>
        <v>#VALUE!</v>
      </c>
      <c r="Q450" t="str">
        <f>_xlfn.XLOOKUP(tbl_MTG_Set[[#This Row],[Type Name]], tbl_MTG_Set_Type[Set Type], tbl_MTG_Set_Type[Heavy Printing Window Month End], "(Set Type not found)", 0, 1)</f>
        <v>(Set Type not found)</v>
      </c>
      <c r="R450" s="3" t="e">
        <f>tbl_MTG_Set[[#This Row],[Released On]]+tbl_MTG_Set[[#This Row],[Heavy Printing Window Month End]]*365.25/12</f>
        <v>#VALUE!</v>
      </c>
      <c r="S450" s="3" t="e">
        <f ca="1">AND(NOW()&gt;=tbl_MTG_Set[[#This Row],[Heavy Printing Window Start]], NOW()&lt;=tbl_MTG_Set[[#This Row],[Heavy Printing Window End]])</f>
        <v>#VALUE!</v>
      </c>
      <c r="T450" t="str">
        <f>_xlfn.XLOOKUP(tbl_MTG_Set[[#This Row],[Type Name]], tbl_MTG_Set_Type[Set Type], tbl_MTG_Set_Type[Sell Window Month Start], "(Set Type not found)", 0, 1)</f>
        <v>(Set Type not found)</v>
      </c>
      <c r="U450" s="3" t="e">
        <f>tbl_MTG_Set[[#This Row],[Released On]]+tbl_MTG_Set[[#This Row],[Sell Window Month Start]]*365.25/12</f>
        <v>#VALUE!</v>
      </c>
      <c r="V450" t="str">
        <f>_xlfn.XLOOKUP(tbl_MTG_Set[[#This Row],[Type Name]], tbl_MTG_Set_Type[Set Type], tbl_MTG_Set_Type[Sell Window Month End], "(Set Type not found)", 0, 1)</f>
        <v>(Set Type not found)</v>
      </c>
      <c r="W450" s="3" t="e">
        <f>tbl_MTG_Set[[#This Row],[Released On]]+tbl_MTG_Set[[#This Row],[Sell Window Month End]]*365.25/12</f>
        <v>#VALUE!</v>
      </c>
      <c r="X450" s="3" t="e">
        <f ca="1">AND(NOW()&gt;=tbl_MTG_Set[[#This Row],[Sell Window Start]], NOW()&lt;=tbl_MTG_Set[[#This Row],[Sell Window End]])</f>
        <v>#VALUE!</v>
      </c>
      <c r="AG450" s="10"/>
      <c r="AH450" s="10"/>
      <c r="AM450" s="10" t="str" cm="1">
        <f t="array" ref="AM4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0" s="10" t="str" cm="1">
        <f t="array" ref="AN4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0" s="4" t="e">
        <f>_xlfn.XLOOKUP(tbl_MTG_Set[[#This Row],[Play Booster Box Product Id]], tbl_Product[Product Id], tbl_Product[Pack Size])</f>
        <v>#N/A</v>
      </c>
      <c r="AP450" s="10" t="e">
        <f>(tbl_MTG_Set[[#This Row],[Play Booster Box Cost]]+v_Item_Shipping_Cost_In)/tbl_MTG_Set[[#This Row],[Play Booster Box Size]]</f>
        <v>#VALUE!</v>
      </c>
      <c r="AQ450" s="10" t="str" cm="1">
        <f t="array" ref="AQ4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0" s="10"/>
      <c r="AS450" s="10"/>
      <c r="AT450" s="17" t="e">
        <f>tbl_MTG_Set[[#This Row],[Play Booster CardMarket Profit]]/tbl_MTG_Set[[#This Row],[Play Booster Cost]]</f>
        <v>#VALUE!</v>
      </c>
      <c r="AU450" s="10" t="e">
        <f>_xlfn.XLOOKUP(tbl_MTG_Set[[#This Row],[Collector Booster Box Product Id]], tbl_Product[Product Id], tbl_Product[Min Cost])</f>
        <v>#N/A</v>
      </c>
      <c r="AV450" s="10" t="e">
        <f>_xlfn.XLOOKUP(tbl_MTG_Set[[#This Row],[Collector Booster Box Product Id]], tbl_Product[Product Id], tbl_Product[Best Source])</f>
        <v>#N/A</v>
      </c>
      <c r="AW450" s="4" t="e">
        <f>_xlfn.XLOOKUP(tbl_MTG_Set[[#This Row],[Collector Booster Box Product Id]], tbl_Product[Product Id], tbl_Product[Pack Size])</f>
        <v>#N/A</v>
      </c>
      <c r="AX450" s="10" t="e">
        <f>(tbl_MTG_Set[[#This Row],[Collector Booster Box Cost]] + v_Item_Shipping_Cost_In) / tbl_MTG_Set[[#This Row],[Collector Booster Box Size]]</f>
        <v>#N/A</v>
      </c>
      <c r="AY450" s="10" t="str" cm="1">
        <f t="array" ref="AY4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0" s="10"/>
      <c r="BA4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0" s="17" t="e">
        <f>tbl_MTG_Set[[#This Row],[Collector Booster CardMarket Profit]]/tbl_MTG_Set[[#This Row],[Collector Booster Cost]]</f>
        <v>#N/A</v>
      </c>
      <c r="BC450" s="10"/>
      <c r="BF4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0" s="11" t="e">
        <f>tbl_MTG_Set[[#This Row],[Play Singles CardMarket Profit MTG Stocks]]/tbl_MTG_Set[[#This Row],[Play Booster Cost]]</f>
        <v>#VALUE!</v>
      </c>
      <c r="BI450" s="11" t="b">
        <f>tbl_MTG_Set[[#This Row],[Play Singles CardMarket Profit MTG Stocks]]&gt;0</f>
        <v>0</v>
      </c>
      <c r="BM450" s="10" t="e">
        <f>tbl_MTG_Set[[#This Row],[Play Booster Sell Price CardMarket]]*tbl_MTG_Set[[#This Row],[Play Booster Expected Market Value BotBox]]/tbl_MTG_Set[[#This Row],[Play Booster Sealed Market Value BotBox]]</f>
        <v>#VALUE!</v>
      </c>
      <c r="BN4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0" s="10" t="e">
        <f>tbl_MTG_Set[[#This Row],[Play Singles CardMarket Profit BotBox]]/tbl_MTG_Set[[#This Row],[Play Booster Cost]]</f>
        <v>#VALUE!</v>
      </c>
      <c r="BP450" s="10" t="b">
        <f>tbl_MTG_Set[[#This Row],[Play Singles CardMarket Profit BotBox]]&gt;0</f>
        <v>0</v>
      </c>
      <c r="BQ450" s="10"/>
      <c r="BR450" s="10"/>
      <c r="BS450" s="10"/>
      <c r="BT4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0" s="19" t="e">
        <f>tbl_MTG_Set[[#This Row],[Collector Singles CardMarket Profit MTG Stocks]]/tbl_MTG_Set[[#This Row],[Collector Booster Cost]]</f>
        <v>#N/A</v>
      </c>
      <c r="BW450" s="10" t="b">
        <f>tbl_MTG_Set[[#This Row],[Collector Singles CardMarket Profit MTG Stocks]]&gt;0</f>
        <v>0</v>
      </c>
      <c r="BX450" s="10"/>
      <c r="BY450" s="10"/>
      <c r="BZ4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0" s="10" t="e">
        <f>tbl_MTG_Set[[#This Row],[Collector Singles CardMarket Profit BotBox]]/tbl_MTG_Set[[#This Row],[Collector Booster Cost]]</f>
        <v>#N/A</v>
      </c>
      <c r="CC450" s="10" t="b">
        <f>tbl_MTG_Set[[#This Row],[Collector Singles CardMarket Profit BotBox]]&gt;0</f>
        <v>0</v>
      </c>
      <c r="CD4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1" spans="1:86" hidden="1">
      <c r="A451">
        <v>481</v>
      </c>
      <c r="B451" t="s">
        <v>624</v>
      </c>
      <c r="C451">
        <v>8</v>
      </c>
      <c r="D451" s="3">
        <v>43266</v>
      </c>
      <c r="F451" t="s">
        <v>174</v>
      </c>
      <c r="G451">
        <v>908</v>
      </c>
      <c r="H451">
        <f ca="1">MONTH(NOW())+12*YEAR(NOW())-MONTH(tbl_MTG_Set[[#This Row],[Released On]])-12*YEAR(tbl_MTG_Set[[#This Row],[Released On]])</f>
        <v>93</v>
      </c>
      <c r="I451" t="str">
        <f>_xlfn.XLOOKUP(tbl_MTG_Set[[#This Row],[Type Name]], tbl_MTG_Set_Type[Set Type], tbl_MTG_Set_Type[Index], "(Set Type not found)")</f>
        <v>(Set Type not found)</v>
      </c>
      <c r="J451" t="str">
        <f>_xlfn.XLOOKUP(tbl_MTG_Set[[#This Row],[Type Name]], tbl_MTG_Set_Type[Set Type], tbl_MTG_Set_Type[Buy Window Month Start], "(Set Type not found)")</f>
        <v>(Set Type not found)</v>
      </c>
      <c r="K451" s="3" t="e">
        <f>tbl_MTG_Set[[#This Row],[Released On]]+tbl_MTG_Set[[#This Row],[Buy Window Month Start]]*365.25/12</f>
        <v>#VALUE!</v>
      </c>
      <c r="L451" t="str">
        <f>_xlfn.XLOOKUP(tbl_MTG_Set[[#This Row],[Type Name]], tbl_MTG_Set_Type[Set Type], tbl_MTG_Set_Type[Buy Window Month End], "(Set Type not found)", 0, 1)</f>
        <v>(Set Type not found)</v>
      </c>
      <c r="M451" s="3" t="e">
        <f>tbl_MTG_Set[[#This Row],[Released On]]+tbl_MTG_Set[[#This Row],[Buy Window Month End]]*365.25/12</f>
        <v>#VALUE!</v>
      </c>
      <c r="N451" s="3" t="e">
        <f ca="1">AND(NOW()&gt;=tbl_MTG_Set[[#This Row],[Buy Window Start]], NOW()&lt;=tbl_MTG_Set[[#This Row],[Buy Window End]])</f>
        <v>#VALUE!</v>
      </c>
      <c r="O451" t="str">
        <f>_xlfn.XLOOKUP(tbl_MTG_Set[[#This Row],[Type Name]], tbl_MTG_Set_Type[Set Type], tbl_MTG_Set_Type[Heavy Printing Window Month Start], "(Set Type not found)", 0, 1)</f>
        <v>(Set Type not found)</v>
      </c>
      <c r="P451" s="3" t="e">
        <f>tbl_MTG_Set[[#This Row],[Released On]]+tbl_MTG_Set[[#This Row],[Heavy Printing Window Month Start]]*365.25/12</f>
        <v>#VALUE!</v>
      </c>
      <c r="Q451" t="str">
        <f>_xlfn.XLOOKUP(tbl_MTG_Set[[#This Row],[Type Name]], tbl_MTG_Set_Type[Set Type], tbl_MTG_Set_Type[Heavy Printing Window Month End], "(Set Type not found)", 0, 1)</f>
        <v>(Set Type not found)</v>
      </c>
      <c r="R451" s="3" t="e">
        <f>tbl_MTG_Set[[#This Row],[Released On]]+tbl_MTG_Set[[#This Row],[Heavy Printing Window Month End]]*365.25/12</f>
        <v>#VALUE!</v>
      </c>
      <c r="S451" s="3" t="e">
        <f ca="1">AND(NOW()&gt;=tbl_MTG_Set[[#This Row],[Heavy Printing Window Start]], NOW()&lt;=tbl_MTG_Set[[#This Row],[Heavy Printing Window End]])</f>
        <v>#VALUE!</v>
      </c>
      <c r="T451" t="str">
        <f>_xlfn.XLOOKUP(tbl_MTG_Set[[#This Row],[Type Name]], tbl_MTG_Set_Type[Set Type], tbl_MTG_Set_Type[Sell Window Month Start], "(Set Type not found)", 0, 1)</f>
        <v>(Set Type not found)</v>
      </c>
      <c r="U451" s="3" t="e">
        <f>tbl_MTG_Set[[#This Row],[Released On]]+tbl_MTG_Set[[#This Row],[Sell Window Month Start]]*365.25/12</f>
        <v>#VALUE!</v>
      </c>
      <c r="V451" t="str">
        <f>_xlfn.XLOOKUP(tbl_MTG_Set[[#This Row],[Type Name]], tbl_MTG_Set_Type[Set Type], tbl_MTG_Set_Type[Sell Window Month End], "(Set Type not found)", 0, 1)</f>
        <v>(Set Type not found)</v>
      </c>
      <c r="W451" s="3" t="e">
        <f>tbl_MTG_Set[[#This Row],[Released On]]+tbl_MTG_Set[[#This Row],[Sell Window Month End]]*365.25/12</f>
        <v>#VALUE!</v>
      </c>
      <c r="X451" s="3" t="e">
        <f ca="1">AND(NOW()&gt;=tbl_MTG_Set[[#This Row],[Sell Window Start]], NOW()&lt;=tbl_MTG_Set[[#This Row],[Sell Window End]])</f>
        <v>#VALUE!</v>
      </c>
      <c r="AG451" s="10"/>
      <c r="AH451" s="10"/>
      <c r="AM451" s="10" t="str" cm="1">
        <f t="array" ref="AM4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1" s="10" t="str" cm="1">
        <f t="array" ref="AN4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1" s="4" t="e">
        <f>_xlfn.XLOOKUP(tbl_MTG_Set[[#This Row],[Play Booster Box Product Id]], tbl_Product[Product Id], tbl_Product[Pack Size])</f>
        <v>#N/A</v>
      </c>
      <c r="AP451" s="10" t="e">
        <f>(tbl_MTG_Set[[#This Row],[Play Booster Box Cost]]+v_Item_Shipping_Cost_In)/tbl_MTG_Set[[#This Row],[Play Booster Box Size]]</f>
        <v>#VALUE!</v>
      </c>
      <c r="AQ451" s="10" t="str" cm="1">
        <f t="array" ref="AQ4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1" s="10"/>
      <c r="AS451" s="10"/>
      <c r="AT451" s="17" t="e">
        <f>tbl_MTG_Set[[#This Row],[Play Booster CardMarket Profit]]/tbl_MTG_Set[[#This Row],[Play Booster Cost]]</f>
        <v>#VALUE!</v>
      </c>
      <c r="AU451" s="10" t="e">
        <f>_xlfn.XLOOKUP(tbl_MTG_Set[[#This Row],[Collector Booster Box Product Id]], tbl_Product[Product Id], tbl_Product[Min Cost])</f>
        <v>#N/A</v>
      </c>
      <c r="AV451" s="10" t="e">
        <f>_xlfn.XLOOKUP(tbl_MTG_Set[[#This Row],[Collector Booster Box Product Id]], tbl_Product[Product Id], tbl_Product[Best Source])</f>
        <v>#N/A</v>
      </c>
      <c r="AW451" s="4" t="e">
        <f>_xlfn.XLOOKUP(tbl_MTG_Set[[#This Row],[Collector Booster Box Product Id]], tbl_Product[Product Id], tbl_Product[Pack Size])</f>
        <v>#N/A</v>
      </c>
      <c r="AX451" s="10" t="e">
        <f>(tbl_MTG_Set[[#This Row],[Collector Booster Box Cost]] + v_Item_Shipping_Cost_In) / tbl_MTG_Set[[#This Row],[Collector Booster Box Size]]</f>
        <v>#N/A</v>
      </c>
      <c r="AY451" s="10" t="str" cm="1">
        <f t="array" ref="AY4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1" s="10"/>
      <c r="BA4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1" s="17" t="e">
        <f>tbl_MTG_Set[[#This Row],[Collector Booster CardMarket Profit]]/tbl_MTG_Set[[#This Row],[Collector Booster Cost]]</f>
        <v>#N/A</v>
      </c>
      <c r="BC451" s="10"/>
      <c r="BF4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1" s="11" t="e">
        <f>tbl_MTG_Set[[#This Row],[Play Singles CardMarket Profit MTG Stocks]]/tbl_MTG_Set[[#This Row],[Play Booster Cost]]</f>
        <v>#VALUE!</v>
      </c>
      <c r="BI451" s="11" t="b">
        <f>tbl_MTG_Set[[#This Row],[Play Singles CardMarket Profit MTG Stocks]]&gt;0</f>
        <v>0</v>
      </c>
      <c r="BM451" s="10" t="e">
        <f>tbl_MTG_Set[[#This Row],[Play Booster Sell Price CardMarket]]*tbl_MTG_Set[[#This Row],[Play Booster Expected Market Value BotBox]]/tbl_MTG_Set[[#This Row],[Play Booster Sealed Market Value BotBox]]</f>
        <v>#VALUE!</v>
      </c>
      <c r="BN4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1" s="10" t="e">
        <f>tbl_MTG_Set[[#This Row],[Play Singles CardMarket Profit BotBox]]/tbl_MTG_Set[[#This Row],[Play Booster Cost]]</f>
        <v>#VALUE!</v>
      </c>
      <c r="BP451" s="10" t="b">
        <f>tbl_MTG_Set[[#This Row],[Play Singles CardMarket Profit BotBox]]&gt;0</f>
        <v>0</v>
      </c>
      <c r="BQ451" s="10"/>
      <c r="BR451" s="10"/>
      <c r="BS451" s="10"/>
      <c r="BT4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1" s="19" t="e">
        <f>tbl_MTG_Set[[#This Row],[Collector Singles CardMarket Profit MTG Stocks]]/tbl_MTG_Set[[#This Row],[Collector Booster Cost]]</f>
        <v>#N/A</v>
      </c>
      <c r="BW451" s="10" t="b">
        <f>tbl_MTG_Set[[#This Row],[Collector Singles CardMarket Profit MTG Stocks]]&gt;0</f>
        <v>0</v>
      </c>
      <c r="BX451" s="10"/>
      <c r="BY451" s="10"/>
      <c r="BZ4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1" s="10" t="e">
        <f>tbl_MTG_Set[[#This Row],[Collector Singles CardMarket Profit BotBox]]/tbl_MTG_Set[[#This Row],[Collector Booster Cost]]</f>
        <v>#N/A</v>
      </c>
      <c r="CC451" s="10" t="b">
        <f>tbl_MTG_Set[[#This Row],[Collector Singles CardMarket Profit BotBox]]&gt;0</f>
        <v>0</v>
      </c>
      <c r="CD4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2" spans="1:86" hidden="1">
      <c r="A452">
        <v>482</v>
      </c>
      <c r="B452" t="s">
        <v>625</v>
      </c>
      <c r="C452">
        <v>540</v>
      </c>
      <c r="D452" s="3">
        <v>43264</v>
      </c>
      <c r="F452">
        <v>0</v>
      </c>
      <c r="G452">
        <v>910</v>
      </c>
      <c r="H452">
        <f ca="1">MONTH(NOW())+12*YEAR(NOW())-MONTH(tbl_MTG_Set[[#This Row],[Released On]])-12*YEAR(tbl_MTG_Set[[#This Row],[Released On]])</f>
        <v>93</v>
      </c>
      <c r="I452" t="str">
        <f>_xlfn.XLOOKUP(tbl_MTG_Set[[#This Row],[Type Name]], tbl_MTG_Set_Type[Set Type], tbl_MTG_Set_Type[Index], "(Set Type not found)")</f>
        <v>(Set Type not found)</v>
      </c>
      <c r="J452" t="str">
        <f>_xlfn.XLOOKUP(tbl_MTG_Set[[#This Row],[Type Name]], tbl_MTG_Set_Type[Set Type], tbl_MTG_Set_Type[Buy Window Month Start], "(Set Type not found)")</f>
        <v>(Set Type not found)</v>
      </c>
      <c r="K452" s="3" t="e">
        <f>tbl_MTG_Set[[#This Row],[Released On]]+tbl_MTG_Set[[#This Row],[Buy Window Month Start]]*365.25/12</f>
        <v>#VALUE!</v>
      </c>
      <c r="L452" t="str">
        <f>_xlfn.XLOOKUP(tbl_MTG_Set[[#This Row],[Type Name]], tbl_MTG_Set_Type[Set Type], tbl_MTG_Set_Type[Buy Window Month End], "(Set Type not found)", 0, 1)</f>
        <v>(Set Type not found)</v>
      </c>
      <c r="M452" s="3" t="e">
        <f>tbl_MTG_Set[[#This Row],[Released On]]+tbl_MTG_Set[[#This Row],[Buy Window Month End]]*365.25/12</f>
        <v>#VALUE!</v>
      </c>
      <c r="N452" s="3" t="e">
        <f ca="1">AND(NOW()&gt;=tbl_MTG_Set[[#This Row],[Buy Window Start]], NOW()&lt;=tbl_MTG_Set[[#This Row],[Buy Window End]])</f>
        <v>#VALUE!</v>
      </c>
      <c r="O452" t="str">
        <f>_xlfn.XLOOKUP(tbl_MTG_Set[[#This Row],[Type Name]], tbl_MTG_Set_Type[Set Type], tbl_MTG_Set_Type[Heavy Printing Window Month Start], "(Set Type not found)", 0, 1)</f>
        <v>(Set Type not found)</v>
      </c>
      <c r="P452" s="3" t="e">
        <f>tbl_MTG_Set[[#This Row],[Released On]]+tbl_MTG_Set[[#This Row],[Heavy Printing Window Month Start]]*365.25/12</f>
        <v>#VALUE!</v>
      </c>
      <c r="Q452" t="str">
        <f>_xlfn.XLOOKUP(tbl_MTG_Set[[#This Row],[Type Name]], tbl_MTG_Set_Type[Set Type], tbl_MTG_Set_Type[Heavy Printing Window Month End], "(Set Type not found)", 0, 1)</f>
        <v>(Set Type not found)</v>
      </c>
      <c r="R452" s="3" t="e">
        <f>tbl_MTG_Set[[#This Row],[Released On]]+tbl_MTG_Set[[#This Row],[Heavy Printing Window Month End]]*365.25/12</f>
        <v>#VALUE!</v>
      </c>
      <c r="S452" s="3" t="e">
        <f ca="1">AND(NOW()&gt;=tbl_MTG_Set[[#This Row],[Heavy Printing Window Start]], NOW()&lt;=tbl_MTG_Set[[#This Row],[Heavy Printing Window End]])</f>
        <v>#VALUE!</v>
      </c>
      <c r="T452" t="str">
        <f>_xlfn.XLOOKUP(tbl_MTG_Set[[#This Row],[Type Name]], tbl_MTG_Set_Type[Set Type], tbl_MTG_Set_Type[Sell Window Month Start], "(Set Type not found)", 0, 1)</f>
        <v>(Set Type not found)</v>
      </c>
      <c r="U452" s="3" t="e">
        <f>tbl_MTG_Set[[#This Row],[Released On]]+tbl_MTG_Set[[#This Row],[Sell Window Month Start]]*365.25/12</f>
        <v>#VALUE!</v>
      </c>
      <c r="V452" t="str">
        <f>_xlfn.XLOOKUP(tbl_MTG_Set[[#This Row],[Type Name]], tbl_MTG_Set_Type[Set Type], tbl_MTG_Set_Type[Sell Window Month End], "(Set Type not found)", 0, 1)</f>
        <v>(Set Type not found)</v>
      </c>
      <c r="W452" s="3" t="e">
        <f>tbl_MTG_Set[[#This Row],[Released On]]+tbl_MTG_Set[[#This Row],[Sell Window Month End]]*365.25/12</f>
        <v>#VALUE!</v>
      </c>
      <c r="X452" s="3" t="e">
        <f ca="1">AND(NOW()&gt;=tbl_MTG_Set[[#This Row],[Sell Window Start]], NOW()&lt;=tbl_MTG_Set[[#This Row],[Sell Window End]])</f>
        <v>#VALUE!</v>
      </c>
      <c r="AG452" s="10"/>
      <c r="AH452" s="10"/>
      <c r="AM452" s="10" t="str" cm="1">
        <f t="array" ref="AM4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2" s="10" t="str" cm="1">
        <f t="array" ref="AN4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2" s="4" t="e">
        <f>_xlfn.XLOOKUP(tbl_MTG_Set[[#This Row],[Play Booster Box Product Id]], tbl_Product[Product Id], tbl_Product[Pack Size])</f>
        <v>#N/A</v>
      </c>
      <c r="AP452" s="10" t="e">
        <f>(tbl_MTG_Set[[#This Row],[Play Booster Box Cost]]+v_Item_Shipping_Cost_In)/tbl_MTG_Set[[#This Row],[Play Booster Box Size]]</f>
        <v>#VALUE!</v>
      </c>
      <c r="AQ452" s="10" t="str" cm="1">
        <f t="array" ref="AQ4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2" s="10"/>
      <c r="AS452" s="10"/>
      <c r="AT452" s="17" t="e">
        <f>tbl_MTG_Set[[#This Row],[Play Booster CardMarket Profit]]/tbl_MTG_Set[[#This Row],[Play Booster Cost]]</f>
        <v>#VALUE!</v>
      </c>
      <c r="AU452" s="10" t="e">
        <f>_xlfn.XLOOKUP(tbl_MTG_Set[[#This Row],[Collector Booster Box Product Id]], tbl_Product[Product Id], tbl_Product[Min Cost])</f>
        <v>#N/A</v>
      </c>
      <c r="AV452" s="10" t="e">
        <f>_xlfn.XLOOKUP(tbl_MTG_Set[[#This Row],[Collector Booster Box Product Id]], tbl_Product[Product Id], tbl_Product[Best Source])</f>
        <v>#N/A</v>
      </c>
      <c r="AW452" s="4" t="e">
        <f>_xlfn.XLOOKUP(tbl_MTG_Set[[#This Row],[Collector Booster Box Product Id]], tbl_Product[Product Id], tbl_Product[Pack Size])</f>
        <v>#N/A</v>
      </c>
      <c r="AX452" s="10" t="e">
        <f>(tbl_MTG_Set[[#This Row],[Collector Booster Box Cost]] + v_Item_Shipping_Cost_In) / tbl_MTG_Set[[#This Row],[Collector Booster Box Size]]</f>
        <v>#N/A</v>
      </c>
      <c r="AY452" s="10" t="str" cm="1">
        <f t="array" ref="AY4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2" s="10"/>
      <c r="BA4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2" s="17" t="e">
        <f>tbl_MTG_Set[[#This Row],[Collector Booster CardMarket Profit]]/tbl_MTG_Set[[#This Row],[Collector Booster Cost]]</f>
        <v>#N/A</v>
      </c>
      <c r="BC452" s="10"/>
      <c r="BF4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2" s="11" t="e">
        <f>tbl_MTG_Set[[#This Row],[Play Singles CardMarket Profit MTG Stocks]]/tbl_MTG_Set[[#This Row],[Play Booster Cost]]</f>
        <v>#VALUE!</v>
      </c>
      <c r="BI452" s="11" t="b">
        <f>tbl_MTG_Set[[#This Row],[Play Singles CardMarket Profit MTG Stocks]]&gt;0</f>
        <v>0</v>
      </c>
      <c r="BM452" s="10" t="e">
        <f>tbl_MTG_Set[[#This Row],[Play Booster Sell Price CardMarket]]*tbl_MTG_Set[[#This Row],[Play Booster Expected Market Value BotBox]]/tbl_MTG_Set[[#This Row],[Play Booster Sealed Market Value BotBox]]</f>
        <v>#VALUE!</v>
      </c>
      <c r="BN4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2" s="10" t="e">
        <f>tbl_MTG_Set[[#This Row],[Play Singles CardMarket Profit BotBox]]/tbl_MTG_Set[[#This Row],[Play Booster Cost]]</f>
        <v>#VALUE!</v>
      </c>
      <c r="BP452" s="10" t="b">
        <f>tbl_MTG_Set[[#This Row],[Play Singles CardMarket Profit BotBox]]&gt;0</f>
        <v>0</v>
      </c>
      <c r="BQ452" s="10"/>
      <c r="BR452" s="10"/>
      <c r="BS452" s="10"/>
      <c r="BT4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2" s="19" t="e">
        <f>tbl_MTG_Set[[#This Row],[Collector Singles CardMarket Profit MTG Stocks]]/tbl_MTG_Set[[#This Row],[Collector Booster Cost]]</f>
        <v>#N/A</v>
      </c>
      <c r="BW452" s="10" t="b">
        <f>tbl_MTG_Set[[#This Row],[Collector Singles CardMarket Profit MTG Stocks]]&gt;0</f>
        <v>0</v>
      </c>
      <c r="BX452" s="10"/>
      <c r="BY452" s="10"/>
      <c r="BZ4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2" s="10" t="e">
        <f>tbl_MTG_Set[[#This Row],[Collector Singles CardMarket Profit BotBox]]/tbl_MTG_Set[[#This Row],[Collector Booster Cost]]</f>
        <v>#N/A</v>
      </c>
      <c r="CC452" s="10" t="b">
        <f>tbl_MTG_Set[[#This Row],[Collector Singles CardMarket Profit BotBox]]&gt;0</f>
        <v>0</v>
      </c>
      <c r="CD4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3" spans="1:86" hidden="1">
      <c r="A453">
        <v>483</v>
      </c>
      <c r="B453" t="s">
        <v>626</v>
      </c>
      <c r="C453">
        <v>312</v>
      </c>
      <c r="D453" s="3">
        <v>43259</v>
      </c>
      <c r="F453" t="s">
        <v>174</v>
      </c>
      <c r="G453">
        <v>912</v>
      </c>
      <c r="H453">
        <f ca="1">MONTH(NOW())+12*YEAR(NOW())-MONTH(tbl_MTG_Set[[#This Row],[Released On]])-12*YEAR(tbl_MTG_Set[[#This Row],[Released On]])</f>
        <v>93</v>
      </c>
      <c r="I453" t="str">
        <f>_xlfn.XLOOKUP(tbl_MTG_Set[[#This Row],[Type Name]], tbl_MTG_Set_Type[Set Type], tbl_MTG_Set_Type[Index], "(Set Type not found)")</f>
        <v>(Set Type not found)</v>
      </c>
      <c r="J453" t="str">
        <f>_xlfn.XLOOKUP(tbl_MTG_Set[[#This Row],[Type Name]], tbl_MTG_Set_Type[Set Type], tbl_MTG_Set_Type[Buy Window Month Start], "(Set Type not found)")</f>
        <v>(Set Type not found)</v>
      </c>
      <c r="K453" s="3" t="e">
        <f>tbl_MTG_Set[[#This Row],[Released On]]+tbl_MTG_Set[[#This Row],[Buy Window Month Start]]*365.25/12</f>
        <v>#VALUE!</v>
      </c>
      <c r="L453" t="str">
        <f>_xlfn.XLOOKUP(tbl_MTG_Set[[#This Row],[Type Name]], tbl_MTG_Set_Type[Set Type], tbl_MTG_Set_Type[Buy Window Month End], "(Set Type not found)", 0, 1)</f>
        <v>(Set Type not found)</v>
      </c>
      <c r="M453" s="3" t="e">
        <f>tbl_MTG_Set[[#This Row],[Released On]]+tbl_MTG_Set[[#This Row],[Buy Window Month End]]*365.25/12</f>
        <v>#VALUE!</v>
      </c>
      <c r="N453" s="3" t="e">
        <f ca="1">AND(NOW()&gt;=tbl_MTG_Set[[#This Row],[Buy Window Start]], NOW()&lt;=tbl_MTG_Set[[#This Row],[Buy Window End]])</f>
        <v>#VALUE!</v>
      </c>
      <c r="O453" t="str">
        <f>_xlfn.XLOOKUP(tbl_MTG_Set[[#This Row],[Type Name]], tbl_MTG_Set_Type[Set Type], tbl_MTG_Set_Type[Heavy Printing Window Month Start], "(Set Type not found)", 0, 1)</f>
        <v>(Set Type not found)</v>
      </c>
      <c r="P453" s="3" t="e">
        <f>tbl_MTG_Set[[#This Row],[Released On]]+tbl_MTG_Set[[#This Row],[Heavy Printing Window Month Start]]*365.25/12</f>
        <v>#VALUE!</v>
      </c>
      <c r="Q453" t="str">
        <f>_xlfn.XLOOKUP(tbl_MTG_Set[[#This Row],[Type Name]], tbl_MTG_Set_Type[Set Type], tbl_MTG_Set_Type[Heavy Printing Window Month End], "(Set Type not found)", 0, 1)</f>
        <v>(Set Type not found)</v>
      </c>
      <c r="R453" s="3" t="e">
        <f>tbl_MTG_Set[[#This Row],[Released On]]+tbl_MTG_Set[[#This Row],[Heavy Printing Window Month End]]*365.25/12</f>
        <v>#VALUE!</v>
      </c>
      <c r="S453" s="3" t="e">
        <f ca="1">AND(NOW()&gt;=tbl_MTG_Set[[#This Row],[Heavy Printing Window Start]], NOW()&lt;=tbl_MTG_Set[[#This Row],[Heavy Printing Window End]])</f>
        <v>#VALUE!</v>
      </c>
      <c r="T453" t="str">
        <f>_xlfn.XLOOKUP(tbl_MTG_Set[[#This Row],[Type Name]], tbl_MTG_Set_Type[Set Type], tbl_MTG_Set_Type[Sell Window Month Start], "(Set Type not found)", 0, 1)</f>
        <v>(Set Type not found)</v>
      </c>
      <c r="U453" s="3" t="e">
        <f>tbl_MTG_Set[[#This Row],[Released On]]+tbl_MTG_Set[[#This Row],[Sell Window Month Start]]*365.25/12</f>
        <v>#VALUE!</v>
      </c>
      <c r="V453" t="str">
        <f>_xlfn.XLOOKUP(tbl_MTG_Set[[#This Row],[Type Name]], tbl_MTG_Set_Type[Set Type], tbl_MTG_Set_Type[Sell Window Month End], "(Set Type not found)", 0, 1)</f>
        <v>(Set Type not found)</v>
      </c>
      <c r="W453" s="3" t="e">
        <f>tbl_MTG_Set[[#This Row],[Released On]]+tbl_MTG_Set[[#This Row],[Sell Window Month End]]*365.25/12</f>
        <v>#VALUE!</v>
      </c>
      <c r="X453" s="3" t="e">
        <f ca="1">AND(NOW()&gt;=tbl_MTG_Set[[#This Row],[Sell Window Start]], NOW()&lt;=tbl_MTG_Set[[#This Row],[Sell Window End]])</f>
        <v>#VALUE!</v>
      </c>
      <c r="AG453" s="10"/>
      <c r="AH453" s="10"/>
      <c r="AM453" s="10" t="str" cm="1">
        <f t="array" ref="AM4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3" s="10" t="str" cm="1">
        <f t="array" ref="AN4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3" s="4" t="e">
        <f>_xlfn.XLOOKUP(tbl_MTG_Set[[#This Row],[Play Booster Box Product Id]], tbl_Product[Product Id], tbl_Product[Pack Size])</f>
        <v>#N/A</v>
      </c>
      <c r="AP453" s="10" t="e">
        <f>(tbl_MTG_Set[[#This Row],[Play Booster Box Cost]]+v_Item_Shipping_Cost_In)/tbl_MTG_Set[[#This Row],[Play Booster Box Size]]</f>
        <v>#VALUE!</v>
      </c>
      <c r="AQ453" s="10" t="str" cm="1">
        <f t="array" ref="AQ4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3" s="10"/>
      <c r="AS453" s="10"/>
      <c r="AT453" s="17" t="e">
        <f>tbl_MTG_Set[[#This Row],[Play Booster CardMarket Profit]]/tbl_MTG_Set[[#This Row],[Play Booster Cost]]</f>
        <v>#VALUE!</v>
      </c>
      <c r="AU453" s="10" t="e">
        <f>_xlfn.XLOOKUP(tbl_MTG_Set[[#This Row],[Collector Booster Box Product Id]], tbl_Product[Product Id], tbl_Product[Min Cost])</f>
        <v>#N/A</v>
      </c>
      <c r="AV453" s="10" t="e">
        <f>_xlfn.XLOOKUP(tbl_MTG_Set[[#This Row],[Collector Booster Box Product Id]], tbl_Product[Product Id], tbl_Product[Best Source])</f>
        <v>#N/A</v>
      </c>
      <c r="AW453" s="4" t="e">
        <f>_xlfn.XLOOKUP(tbl_MTG_Set[[#This Row],[Collector Booster Box Product Id]], tbl_Product[Product Id], tbl_Product[Pack Size])</f>
        <v>#N/A</v>
      </c>
      <c r="AX453" s="10" t="e">
        <f>(tbl_MTG_Set[[#This Row],[Collector Booster Box Cost]] + v_Item_Shipping_Cost_In) / tbl_MTG_Set[[#This Row],[Collector Booster Box Size]]</f>
        <v>#N/A</v>
      </c>
      <c r="AY453" s="10" t="str" cm="1">
        <f t="array" ref="AY4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3" s="10"/>
      <c r="BA4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3" s="17" t="e">
        <f>tbl_MTG_Set[[#This Row],[Collector Booster CardMarket Profit]]/tbl_MTG_Set[[#This Row],[Collector Booster Cost]]</f>
        <v>#N/A</v>
      </c>
      <c r="BC453" s="10"/>
      <c r="BF4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3" s="11" t="e">
        <f>tbl_MTG_Set[[#This Row],[Play Singles CardMarket Profit MTG Stocks]]/tbl_MTG_Set[[#This Row],[Play Booster Cost]]</f>
        <v>#VALUE!</v>
      </c>
      <c r="BI453" s="11" t="b">
        <f>tbl_MTG_Set[[#This Row],[Play Singles CardMarket Profit MTG Stocks]]&gt;0</f>
        <v>0</v>
      </c>
      <c r="BM453" s="10" t="e">
        <f>tbl_MTG_Set[[#This Row],[Play Booster Sell Price CardMarket]]*tbl_MTG_Set[[#This Row],[Play Booster Expected Market Value BotBox]]/tbl_MTG_Set[[#This Row],[Play Booster Sealed Market Value BotBox]]</f>
        <v>#VALUE!</v>
      </c>
      <c r="BN4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3" s="10" t="e">
        <f>tbl_MTG_Set[[#This Row],[Play Singles CardMarket Profit BotBox]]/tbl_MTG_Set[[#This Row],[Play Booster Cost]]</f>
        <v>#VALUE!</v>
      </c>
      <c r="BP453" s="10" t="b">
        <f>tbl_MTG_Set[[#This Row],[Play Singles CardMarket Profit BotBox]]&gt;0</f>
        <v>0</v>
      </c>
      <c r="BQ453" s="10"/>
      <c r="BR453" s="10"/>
      <c r="BS453" s="10"/>
      <c r="BT4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3" s="19" t="e">
        <f>tbl_MTG_Set[[#This Row],[Collector Singles CardMarket Profit MTG Stocks]]/tbl_MTG_Set[[#This Row],[Collector Booster Cost]]</f>
        <v>#N/A</v>
      </c>
      <c r="BW453" s="10" t="b">
        <f>tbl_MTG_Set[[#This Row],[Collector Singles CardMarket Profit MTG Stocks]]&gt;0</f>
        <v>0</v>
      </c>
      <c r="BX453" s="10"/>
      <c r="BY453" s="10"/>
      <c r="BZ4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3" s="10" t="e">
        <f>tbl_MTG_Set[[#This Row],[Collector Singles CardMarket Profit BotBox]]/tbl_MTG_Set[[#This Row],[Collector Booster Cost]]</f>
        <v>#N/A</v>
      </c>
      <c r="CC453" s="10" t="b">
        <f>tbl_MTG_Set[[#This Row],[Collector Singles CardMarket Profit BotBox]]&gt;0</f>
        <v>0</v>
      </c>
      <c r="CD4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4" spans="1:86" hidden="1">
      <c r="A454">
        <v>484</v>
      </c>
      <c r="B454" t="s">
        <v>627</v>
      </c>
      <c r="C454">
        <v>19</v>
      </c>
      <c r="D454" s="3">
        <v>43259</v>
      </c>
      <c r="F454" t="s">
        <v>174</v>
      </c>
      <c r="G454">
        <v>914</v>
      </c>
      <c r="H454">
        <f ca="1">MONTH(NOW())+12*YEAR(NOW())-MONTH(tbl_MTG_Set[[#This Row],[Released On]])-12*YEAR(tbl_MTG_Set[[#This Row],[Released On]])</f>
        <v>93</v>
      </c>
      <c r="I454" t="str">
        <f>_xlfn.XLOOKUP(tbl_MTG_Set[[#This Row],[Type Name]], tbl_MTG_Set_Type[Set Type], tbl_MTG_Set_Type[Index], "(Set Type not found)")</f>
        <v>(Set Type not found)</v>
      </c>
      <c r="J454" t="str">
        <f>_xlfn.XLOOKUP(tbl_MTG_Set[[#This Row],[Type Name]], tbl_MTG_Set_Type[Set Type], tbl_MTG_Set_Type[Buy Window Month Start], "(Set Type not found)")</f>
        <v>(Set Type not found)</v>
      </c>
      <c r="K454" s="3" t="e">
        <f>tbl_MTG_Set[[#This Row],[Released On]]+tbl_MTG_Set[[#This Row],[Buy Window Month Start]]*365.25/12</f>
        <v>#VALUE!</v>
      </c>
      <c r="L454" t="str">
        <f>_xlfn.XLOOKUP(tbl_MTG_Set[[#This Row],[Type Name]], tbl_MTG_Set_Type[Set Type], tbl_MTG_Set_Type[Buy Window Month End], "(Set Type not found)", 0, 1)</f>
        <v>(Set Type not found)</v>
      </c>
      <c r="M454" s="3" t="e">
        <f>tbl_MTG_Set[[#This Row],[Released On]]+tbl_MTG_Set[[#This Row],[Buy Window Month End]]*365.25/12</f>
        <v>#VALUE!</v>
      </c>
      <c r="N454" s="3" t="e">
        <f ca="1">AND(NOW()&gt;=tbl_MTG_Set[[#This Row],[Buy Window Start]], NOW()&lt;=tbl_MTG_Set[[#This Row],[Buy Window End]])</f>
        <v>#VALUE!</v>
      </c>
      <c r="O454" t="str">
        <f>_xlfn.XLOOKUP(tbl_MTG_Set[[#This Row],[Type Name]], tbl_MTG_Set_Type[Set Type], tbl_MTG_Set_Type[Heavy Printing Window Month Start], "(Set Type not found)", 0, 1)</f>
        <v>(Set Type not found)</v>
      </c>
      <c r="P454" s="3" t="e">
        <f>tbl_MTG_Set[[#This Row],[Released On]]+tbl_MTG_Set[[#This Row],[Heavy Printing Window Month Start]]*365.25/12</f>
        <v>#VALUE!</v>
      </c>
      <c r="Q454" t="str">
        <f>_xlfn.XLOOKUP(tbl_MTG_Set[[#This Row],[Type Name]], tbl_MTG_Set_Type[Set Type], tbl_MTG_Set_Type[Heavy Printing Window Month End], "(Set Type not found)", 0, 1)</f>
        <v>(Set Type not found)</v>
      </c>
      <c r="R454" s="3" t="e">
        <f>tbl_MTG_Set[[#This Row],[Released On]]+tbl_MTG_Set[[#This Row],[Heavy Printing Window Month End]]*365.25/12</f>
        <v>#VALUE!</v>
      </c>
      <c r="S454" s="3" t="e">
        <f ca="1">AND(NOW()&gt;=tbl_MTG_Set[[#This Row],[Heavy Printing Window Start]], NOW()&lt;=tbl_MTG_Set[[#This Row],[Heavy Printing Window End]])</f>
        <v>#VALUE!</v>
      </c>
      <c r="T454" t="str">
        <f>_xlfn.XLOOKUP(tbl_MTG_Set[[#This Row],[Type Name]], tbl_MTG_Set_Type[Set Type], tbl_MTG_Set_Type[Sell Window Month Start], "(Set Type not found)", 0, 1)</f>
        <v>(Set Type not found)</v>
      </c>
      <c r="U454" s="3" t="e">
        <f>tbl_MTG_Set[[#This Row],[Released On]]+tbl_MTG_Set[[#This Row],[Sell Window Month Start]]*365.25/12</f>
        <v>#VALUE!</v>
      </c>
      <c r="V454" t="str">
        <f>_xlfn.XLOOKUP(tbl_MTG_Set[[#This Row],[Type Name]], tbl_MTG_Set_Type[Set Type], tbl_MTG_Set_Type[Sell Window Month End], "(Set Type not found)", 0, 1)</f>
        <v>(Set Type not found)</v>
      </c>
      <c r="W454" s="3" t="e">
        <f>tbl_MTG_Set[[#This Row],[Released On]]+tbl_MTG_Set[[#This Row],[Sell Window Month End]]*365.25/12</f>
        <v>#VALUE!</v>
      </c>
      <c r="X454" s="3" t="e">
        <f ca="1">AND(NOW()&gt;=tbl_MTG_Set[[#This Row],[Sell Window Start]], NOW()&lt;=tbl_MTG_Set[[#This Row],[Sell Window End]])</f>
        <v>#VALUE!</v>
      </c>
      <c r="AG454" s="10"/>
      <c r="AH454" s="10"/>
      <c r="AM454" s="10" t="str" cm="1">
        <f t="array" ref="AM4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4" s="10" t="str" cm="1">
        <f t="array" ref="AN4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4" s="4" t="e">
        <f>_xlfn.XLOOKUP(tbl_MTG_Set[[#This Row],[Play Booster Box Product Id]], tbl_Product[Product Id], tbl_Product[Pack Size])</f>
        <v>#N/A</v>
      </c>
      <c r="AP454" s="10" t="e">
        <f>(tbl_MTG_Set[[#This Row],[Play Booster Box Cost]]+v_Item_Shipping_Cost_In)/tbl_MTG_Set[[#This Row],[Play Booster Box Size]]</f>
        <v>#VALUE!</v>
      </c>
      <c r="AQ454" s="10" t="str" cm="1">
        <f t="array" ref="AQ4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4" s="10"/>
      <c r="AS454" s="10"/>
      <c r="AT454" s="17" t="e">
        <f>tbl_MTG_Set[[#This Row],[Play Booster CardMarket Profit]]/tbl_MTG_Set[[#This Row],[Play Booster Cost]]</f>
        <v>#VALUE!</v>
      </c>
      <c r="AU454" s="10" t="e">
        <f>_xlfn.XLOOKUP(tbl_MTG_Set[[#This Row],[Collector Booster Box Product Id]], tbl_Product[Product Id], tbl_Product[Min Cost])</f>
        <v>#N/A</v>
      </c>
      <c r="AV454" s="10" t="e">
        <f>_xlfn.XLOOKUP(tbl_MTG_Set[[#This Row],[Collector Booster Box Product Id]], tbl_Product[Product Id], tbl_Product[Best Source])</f>
        <v>#N/A</v>
      </c>
      <c r="AW454" s="4" t="e">
        <f>_xlfn.XLOOKUP(tbl_MTG_Set[[#This Row],[Collector Booster Box Product Id]], tbl_Product[Product Id], tbl_Product[Pack Size])</f>
        <v>#N/A</v>
      </c>
      <c r="AX454" s="10" t="e">
        <f>(tbl_MTG_Set[[#This Row],[Collector Booster Box Cost]] + v_Item_Shipping_Cost_In) / tbl_MTG_Set[[#This Row],[Collector Booster Box Size]]</f>
        <v>#N/A</v>
      </c>
      <c r="AY454" s="10" t="str" cm="1">
        <f t="array" ref="AY4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4" s="10"/>
      <c r="BA4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4" s="17" t="e">
        <f>tbl_MTG_Set[[#This Row],[Collector Booster CardMarket Profit]]/tbl_MTG_Set[[#This Row],[Collector Booster Cost]]</f>
        <v>#N/A</v>
      </c>
      <c r="BC454" s="10"/>
      <c r="BF4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4" s="11" t="e">
        <f>tbl_MTG_Set[[#This Row],[Play Singles CardMarket Profit MTG Stocks]]/tbl_MTG_Set[[#This Row],[Play Booster Cost]]</f>
        <v>#VALUE!</v>
      </c>
      <c r="BI454" s="11" t="b">
        <f>tbl_MTG_Set[[#This Row],[Play Singles CardMarket Profit MTG Stocks]]&gt;0</f>
        <v>0</v>
      </c>
      <c r="BM454" s="10" t="e">
        <f>tbl_MTG_Set[[#This Row],[Play Booster Sell Price CardMarket]]*tbl_MTG_Set[[#This Row],[Play Booster Expected Market Value BotBox]]/tbl_MTG_Set[[#This Row],[Play Booster Sealed Market Value BotBox]]</f>
        <v>#VALUE!</v>
      </c>
      <c r="BN4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4" s="10" t="e">
        <f>tbl_MTG_Set[[#This Row],[Play Singles CardMarket Profit BotBox]]/tbl_MTG_Set[[#This Row],[Play Booster Cost]]</f>
        <v>#VALUE!</v>
      </c>
      <c r="BP454" s="10" t="b">
        <f>tbl_MTG_Set[[#This Row],[Play Singles CardMarket Profit BotBox]]&gt;0</f>
        <v>0</v>
      </c>
      <c r="BQ454" s="10"/>
      <c r="BR454" s="10"/>
      <c r="BS454" s="10"/>
      <c r="BT4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4" s="19" t="e">
        <f>tbl_MTG_Set[[#This Row],[Collector Singles CardMarket Profit MTG Stocks]]/tbl_MTG_Set[[#This Row],[Collector Booster Cost]]</f>
        <v>#N/A</v>
      </c>
      <c r="BW454" s="10" t="b">
        <f>tbl_MTG_Set[[#This Row],[Collector Singles CardMarket Profit MTG Stocks]]&gt;0</f>
        <v>0</v>
      </c>
      <c r="BX454" s="10"/>
      <c r="BY454" s="10"/>
      <c r="BZ4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4" s="10" t="e">
        <f>tbl_MTG_Set[[#This Row],[Collector Singles CardMarket Profit BotBox]]/tbl_MTG_Set[[#This Row],[Collector Booster Cost]]</f>
        <v>#N/A</v>
      </c>
      <c r="CC454" s="10" t="b">
        <f>tbl_MTG_Set[[#This Row],[Collector Singles CardMarket Profit BotBox]]&gt;0</f>
        <v>0</v>
      </c>
      <c r="CD4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5" spans="1:86" hidden="1">
      <c r="A455">
        <v>485</v>
      </c>
      <c r="B455" t="s">
        <v>628</v>
      </c>
      <c r="C455">
        <v>256</v>
      </c>
      <c r="D455" s="3">
        <v>43259</v>
      </c>
      <c r="F455" t="s">
        <v>174</v>
      </c>
      <c r="G455">
        <v>916</v>
      </c>
      <c r="H455">
        <f ca="1">MONTH(NOW())+12*YEAR(NOW())-MONTH(tbl_MTG_Set[[#This Row],[Released On]])-12*YEAR(tbl_MTG_Set[[#This Row],[Released On]])</f>
        <v>93</v>
      </c>
      <c r="I455" t="str">
        <f>_xlfn.XLOOKUP(tbl_MTG_Set[[#This Row],[Type Name]], tbl_MTG_Set_Type[Set Type], tbl_MTG_Set_Type[Index], "(Set Type not found)")</f>
        <v>(Set Type not found)</v>
      </c>
      <c r="J455" t="str">
        <f>_xlfn.XLOOKUP(tbl_MTG_Set[[#This Row],[Type Name]], tbl_MTG_Set_Type[Set Type], tbl_MTG_Set_Type[Buy Window Month Start], "(Set Type not found)")</f>
        <v>(Set Type not found)</v>
      </c>
      <c r="K455" s="3" t="e">
        <f>tbl_MTG_Set[[#This Row],[Released On]]+tbl_MTG_Set[[#This Row],[Buy Window Month Start]]*365.25/12</f>
        <v>#VALUE!</v>
      </c>
      <c r="L455" t="str">
        <f>_xlfn.XLOOKUP(tbl_MTG_Set[[#This Row],[Type Name]], tbl_MTG_Set_Type[Set Type], tbl_MTG_Set_Type[Buy Window Month End], "(Set Type not found)", 0, 1)</f>
        <v>(Set Type not found)</v>
      </c>
      <c r="M455" s="3" t="e">
        <f>tbl_MTG_Set[[#This Row],[Released On]]+tbl_MTG_Set[[#This Row],[Buy Window Month End]]*365.25/12</f>
        <v>#VALUE!</v>
      </c>
      <c r="N455" s="3" t="e">
        <f ca="1">AND(NOW()&gt;=tbl_MTG_Set[[#This Row],[Buy Window Start]], NOW()&lt;=tbl_MTG_Set[[#This Row],[Buy Window End]])</f>
        <v>#VALUE!</v>
      </c>
      <c r="O455" t="str">
        <f>_xlfn.XLOOKUP(tbl_MTG_Set[[#This Row],[Type Name]], tbl_MTG_Set_Type[Set Type], tbl_MTG_Set_Type[Heavy Printing Window Month Start], "(Set Type not found)", 0, 1)</f>
        <v>(Set Type not found)</v>
      </c>
      <c r="P455" s="3" t="e">
        <f>tbl_MTG_Set[[#This Row],[Released On]]+tbl_MTG_Set[[#This Row],[Heavy Printing Window Month Start]]*365.25/12</f>
        <v>#VALUE!</v>
      </c>
      <c r="Q455" t="str">
        <f>_xlfn.XLOOKUP(tbl_MTG_Set[[#This Row],[Type Name]], tbl_MTG_Set_Type[Set Type], tbl_MTG_Set_Type[Heavy Printing Window Month End], "(Set Type not found)", 0, 1)</f>
        <v>(Set Type not found)</v>
      </c>
      <c r="R455" s="3" t="e">
        <f>tbl_MTG_Set[[#This Row],[Released On]]+tbl_MTG_Set[[#This Row],[Heavy Printing Window Month End]]*365.25/12</f>
        <v>#VALUE!</v>
      </c>
      <c r="S455" s="3" t="e">
        <f ca="1">AND(NOW()&gt;=tbl_MTG_Set[[#This Row],[Heavy Printing Window Start]], NOW()&lt;=tbl_MTG_Set[[#This Row],[Heavy Printing Window End]])</f>
        <v>#VALUE!</v>
      </c>
      <c r="T455" t="str">
        <f>_xlfn.XLOOKUP(tbl_MTG_Set[[#This Row],[Type Name]], tbl_MTG_Set_Type[Set Type], tbl_MTG_Set_Type[Sell Window Month Start], "(Set Type not found)", 0, 1)</f>
        <v>(Set Type not found)</v>
      </c>
      <c r="U455" s="3" t="e">
        <f>tbl_MTG_Set[[#This Row],[Released On]]+tbl_MTG_Set[[#This Row],[Sell Window Month Start]]*365.25/12</f>
        <v>#VALUE!</v>
      </c>
      <c r="V455" t="str">
        <f>_xlfn.XLOOKUP(tbl_MTG_Set[[#This Row],[Type Name]], tbl_MTG_Set_Type[Set Type], tbl_MTG_Set_Type[Sell Window Month End], "(Set Type not found)", 0, 1)</f>
        <v>(Set Type not found)</v>
      </c>
      <c r="W455" s="3" t="e">
        <f>tbl_MTG_Set[[#This Row],[Released On]]+tbl_MTG_Set[[#This Row],[Sell Window Month End]]*365.25/12</f>
        <v>#VALUE!</v>
      </c>
      <c r="X455" s="3" t="e">
        <f ca="1">AND(NOW()&gt;=tbl_MTG_Set[[#This Row],[Sell Window Start]], NOW()&lt;=tbl_MTG_Set[[#This Row],[Sell Window End]])</f>
        <v>#VALUE!</v>
      </c>
      <c r="AG455" s="10"/>
      <c r="AH455" s="10"/>
      <c r="AM455" s="10" t="str" cm="1">
        <f t="array" ref="AM4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5" s="10" t="str" cm="1">
        <f t="array" ref="AN4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5" s="4" t="e">
        <f>_xlfn.XLOOKUP(tbl_MTG_Set[[#This Row],[Play Booster Box Product Id]], tbl_Product[Product Id], tbl_Product[Pack Size])</f>
        <v>#N/A</v>
      </c>
      <c r="AP455" s="10" t="e">
        <f>(tbl_MTG_Set[[#This Row],[Play Booster Box Cost]]+v_Item_Shipping_Cost_In)/tbl_MTG_Set[[#This Row],[Play Booster Box Size]]</f>
        <v>#VALUE!</v>
      </c>
      <c r="AQ455" s="10" t="str" cm="1">
        <f t="array" ref="AQ4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5" s="10"/>
      <c r="AS455" s="10"/>
      <c r="AT455" s="17" t="e">
        <f>tbl_MTG_Set[[#This Row],[Play Booster CardMarket Profit]]/tbl_MTG_Set[[#This Row],[Play Booster Cost]]</f>
        <v>#VALUE!</v>
      </c>
      <c r="AU455" s="10" t="e">
        <f>_xlfn.XLOOKUP(tbl_MTG_Set[[#This Row],[Collector Booster Box Product Id]], tbl_Product[Product Id], tbl_Product[Min Cost])</f>
        <v>#N/A</v>
      </c>
      <c r="AV455" s="10" t="e">
        <f>_xlfn.XLOOKUP(tbl_MTG_Set[[#This Row],[Collector Booster Box Product Id]], tbl_Product[Product Id], tbl_Product[Best Source])</f>
        <v>#N/A</v>
      </c>
      <c r="AW455" s="4" t="e">
        <f>_xlfn.XLOOKUP(tbl_MTG_Set[[#This Row],[Collector Booster Box Product Id]], tbl_Product[Product Id], tbl_Product[Pack Size])</f>
        <v>#N/A</v>
      </c>
      <c r="AX455" s="10" t="e">
        <f>(tbl_MTG_Set[[#This Row],[Collector Booster Box Cost]] + v_Item_Shipping_Cost_In) / tbl_MTG_Set[[#This Row],[Collector Booster Box Size]]</f>
        <v>#N/A</v>
      </c>
      <c r="AY455" s="10" t="str" cm="1">
        <f t="array" ref="AY4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5" s="10"/>
      <c r="BA4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5" s="17" t="e">
        <f>tbl_MTG_Set[[#This Row],[Collector Booster CardMarket Profit]]/tbl_MTG_Set[[#This Row],[Collector Booster Cost]]</f>
        <v>#N/A</v>
      </c>
      <c r="BC455" s="10"/>
      <c r="BF4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5" s="11" t="e">
        <f>tbl_MTG_Set[[#This Row],[Play Singles CardMarket Profit MTG Stocks]]/tbl_MTG_Set[[#This Row],[Play Booster Cost]]</f>
        <v>#VALUE!</v>
      </c>
      <c r="BI455" s="11" t="b">
        <f>tbl_MTG_Set[[#This Row],[Play Singles CardMarket Profit MTG Stocks]]&gt;0</f>
        <v>0</v>
      </c>
      <c r="BM455" s="10" t="e">
        <f>tbl_MTG_Set[[#This Row],[Play Booster Sell Price CardMarket]]*tbl_MTG_Set[[#This Row],[Play Booster Expected Market Value BotBox]]/tbl_MTG_Set[[#This Row],[Play Booster Sealed Market Value BotBox]]</f>
        <v>#VALUE!</v>
      </c>
      <c r="BN4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5" s="10" t="e">
        <f>tbl_MTG_Set[[#This Row],[Play Singles CardMarket Profit BotBox]]/tbl_MTG_Set[[#This Row],[Play Booster Cost]]</f>
        <v>#VALUE!</v>
      </c>
      <c r="BP455" s="10" t="b">
        <f>tbl_MTG_Set[[#This Row],[Play Singles CardMarket Profit BotBox]]&gt;0</f>
        <v>0</v>
      </c>
      <c r="BQ455" s="10"/>
      <c r="BR455" s="10"/>
      <c r="BS455" s="10"/>
      <c r="BT4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5" s="19" t="e">
        <f>tbl_MTG_Set[[#This Row],[Collector Singles CardMarket Profit MTG Stocks]]/tbl_MTG_Set[[#This Row],[Collector Booster Cost]]</f>
        <v>#N/A</v>
      </c>
      <c r="BW455" s="10" t="b">
        <f>tbl_MTG_Set[[#This Row],[Collector Singles CardMarket Profit MTG Stocks]]&gt;0</f>
        <v>0</v>
      </c>
      <c r="BX455" s="10"/>
      <c r="BY455" s="10"/>
      <c r="BZ4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5" s="10" t="e">
        <f>tbl_MTG_Set[[#This Row],[Collector Singles CardMarket Profit BotBox]]/tbl_MTG_Set[[#This Row],[Collector Booster Cost]]</f>
        <v>#N/A</v>
      </c>
      <c r="CC455" s="10" t="b">
        <f>tbl_MTG_Set[[#This Row],[Collector Singles CardMarket Profit BotBox]]&gt;0</f>
        <v>0</v>
      </c>
      <c r="CD4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6" spans="1:86" hidden="1">
      <c r="A456">
        <v>486</v>
      </c>
      <c r="B456" t="s">
        <v>629</v>
      </c>
      <c r="C456">
        <v>22</v>
      </c>
      <c r="D456" s="3">
        <v>43259</v>
      </c>
      <c r="F456" t="s">
        <v>174</v>
      </c>
      <c r="G456">
        <v>918</v>
      </c>
      <c r="H456">
        <f ca="1">MONTH(NOW())+12*YEAR(NOW())-MONTH(tbl_MTG_Set[[#This Row],[Released On]])-12*YEAR(tbl_MTG_Set[[#This Row],[Released On]])</f>
        <v>93</v>
      </c>
      <c r="I456" t="str">
        <f>_xlfn.XLOOKUP(tbl_MTG_Set[[#This Row],[Type Name]], tbl_MTG_Set_Type[Set Type], tbl_MTG_Set_Type[Index], "(Set Type not found)")</f>
        <v>(Set Type not found)</v>
      </c>
      <c r="J456" t="str">
        <f>_xlfn.XLOOKUP(tbl_MTG_Set[[#This Row],[Type Name]], tbl_MTG_Set_Type[Set Type], tbl_MTG_Set_Type[Buy Window Month Start], "(Set Type not found)")</f>
        <v>(Set Type not found)</v>
      </c>
      <c r="K456" s="3" t="e">
        <f>tbl_MTG_Set[[#This Row],[Released On]]+tbl_MTG_Set[[#This Row],[Buy Window Month Start]]*365.25/12</f>
        <v>#VALUE!</v>
      </c>
      <c r="L456" t="str">
        <f>_xlfn.XLOOKUP(tbl_MTG_Set[[#This Row],[Type Name]], tbl_MTG_Set_Type[Set Type], tbl_MTG_Set_Type[Buy Window Month End], "(Set Type not found)", 0, 1)</f>
        <v>(Set Type not found)</v>
      </c>
      <c r="M456" s="3" t="e">
        <f>tbl_MTG_Set[[#This Row],[Released On]]+tbl_MTG_Set[[#This Row],[Buy Window Month End]]*365.25/12</f>
        <v>#VALUE!</v>
      </c>
      <c r="N456" s="3" t="e">
        <f ca="1">AND(NOW()&gt;=tbl_MTG_Set[[#This Row],[Buy Window Start]], NOW()&lt;=tbl_MTG_Set[[#This Row],[Buy Window End]])</f>
        <v>#VALUE!</v>
      </c>
      <c r="O456" t="str">
        <f>_xlfn.XLOOKUP(tbl_MTG_Set[[#This Row],[Type Name]], tbl_MTG_Set_Type[Set Type], tbl_MTG_Set_Type[Heavy Printing Window Month Start], "(Set Type not found)", 0, 1)</f>
        <v>(Set Type not found)</v>
      </c>
      <c r="P456" s="3" t="e">
        <f>tbl_MTG_Set[[#This Row],[Released On]]+tbl_MTG_Set[[#This Row],[Heavy Printing Window Month Start]]*365.25/12</f>
        <v>#VALUE!</v>
      </c>
      <c r="Q456" t="str">
        <f>_xlfn.XLOOKUP(tbl_MTG_Set[[#This Row],[Type Name]], tbl_MTG_Set_Type[Set Type], tbl_MTG_Set_Type[Heavy Printing Window Month End], "(Set Type not found)", 0, 1)</f>
        <v>(Set Type not found)</v>
      </c>
      <c r="R456" s="3" t="e">
        <f>tbl_MTG_Set[[#This Row],[Released On]]+tbl_MTG_Set[[#This Row],[Heavy Printing Window Month End]]*365.25/12</f>
        <v>#VALUE!</v>
      </c>
      <c r="S456" s="3" t="e">
        <f ca="1">AND(NOW()&gt;=tbl_MTG_Set[[#This Row],[Heavy Printing Window Start]], NOW()&lt;=tbl_MTG_Set[[#This Row],[Heavy Printing Window End]])</f>
        <v>#VALUE!</v>
      </c>
      <c r="T456" t="str">
        <f>_xlfn.XLOOKUP(tbl_MTG_Set[[#This Row],[Type Name]], tbl_MTG_Set_Type[Set Type], tbl_MTG_Set_Type[Sell Window Month Start], "(Set Type not found)", 0, 1)</f>
        <v>(Set Type not found)</v>
      </c>
      <c r="U456" s="3" t="e">
        <f>tbl_MTG_Set[[#This Row],[Released On]]+tbl_MTG_Set[[#This Row],[Sell Window Month Start]]*365.25/12</f>
        <v>#VALUE!</v>
      </c>
      <c r="V456" t="str">
        <f>_xlfn.XLOOKUP(tbl_MTG_Set[[#This Row],[Type Name]], tbl_MTG_Set_Type[Set Type], tbl_MTG_Set_Type[Sell Window Month End], "(Set Type not found)", 0, 1)</f>
        <v>(Set Type not found)</v>
      </c>
      <c r="W456" s="3" t="e">
        <f>tbl_MTG_Set[[#This Row],[Released On]]+tbl_MTG_Set[[#This Row],[Sell Window Month End]]*365.25/12</f>
        <v>#VALUE!</v>
      </c>
      <c r="X456" s="3" t="e">
        <f ca="1">AND(NOW()&gt;=tbl_MTG_Set[[#This Row],[Sell Window Start]], NOW()&lt;=tbl_MTG_Set[[#This Row],[Sell Window End]])</f>
        <v>#VALUE!</v>
      </c>
      <c r="AG456" s="10"/>
      <c r="AH456" s="10"/>
      <c r="AM456" s="10" t="str" cm="1">
        <f t="array" ref="AM4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6" s="10" t="str" cm="1">
        <f t="array" ref="AN4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6" s="4" t="e">
        <f>_xlfn.XLOOKUP(tbl_MTG_Set[[#This Row],[Play Booster Box Product Id]], tbl_Product[Product Id], tbl_Product[Pack Size])</f>
        <v>#N/A</v>
      </c>
      <c r="AP456" s="10" t="e">
        <f>(tbl_MTG_Set[[#This Row],[Play Booster Box Cost]]+v_Item_Shipping_Cost_In)/tbl_MTG_Set[[#This Row],[Play Booster Box Size]]</f>
        <v>#VALUE!</v>
      </c>
      <c r="AQ456" s="10" t="str" cm="1">
        <f t="array" ref="AQ4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6" s="10"/>
      <c r="AS456" s="10"/>
      <c r="AT456" s="17" t="e">
        <f>tbl_MTG_Set[[#This Row],[Play Booster CardMarket Profit]]/tbl_MTG_Set[[#This Row],[Play Booster Cost]]</f>
        <v>#VALUE!</v>
      </c>
      <c r="AU456" s="10" t="e">
        <f>_xlfn.XLOOKUP(tbl_MTG_Set[[#This Row],[Collector Booster Box Product Id]], tbl_Product[Product Id], tbl_Product[Min Cost])</f>
        <v>#N/A</v>
      </c>
      <c r="AV456" s="10" t="e">
        <f>_xlfn.XLOOKUP(tbl_MTG_Set[[#This Row],[Collector Booster Box Product Id]], tbl_Product[Product Id], tbl_Product[Best Source])</f>
        <v>#N/A</v>
      </c>
      <c r="AW456" s="4" t="e">
        <f>_xlfn.XLOOKUP(tbl_MTG_Set[[#This Row],[Collector Booster Box Product Id]], tbl_Product[Product Id], tbl_Product[Pack Size])</f>
        <v>#N/A</v>
      </c>
      <c r="AX456" s="10" t="e">
        <f>(tbl_MTG_Set[[#This Row],[Collector Booster Box Cost]] + v_Item_Shipping_Cost_In) / tbl_MTG_Set[[#This Row],[Collector Booster Box Size]]</f>
        <v>#N/A</v>
      </c>
      <c r="AY456" s="10" t="str" cm="1">
        <f t="array" ref="AY4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6" s="10"/>
      <c r="BA4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6" s="17" t="e">
        <f>tbl_MTG_Set[[#This Row],[Collector Booster CardMarket Profit]]/tbl_MTG_Set[[#This Row],[Collector Booster Cost]]</f>
        <v>#N/A</v>
      </c>
      <c r="BC456" s="10"/>
      <c r="BF4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6" s="11" t="e">
        <f>tbl_MTG_Set[[#This Row],[Play Singles CardMarket Profit MTG Stocks]]/tbl_MTG_Set[[#This Row],[Play Booster Cost]]</f>
        <v>#VALUE!</v>
      </c>
      <c r="BI456" s="11" t="b">
        <f>tbl_MTG_Set[[#This Row],[Play Singles CardMarket Profit MTG Stocks]]&gt;0</f>
        <v>0</v>
      </c>
      <c r="BM456" s="10" t="e">
        <f>tbl_MTG_Set[[#This Row],[Play Booster Sell Price CardMarket]]*tbl_MTG_Set[[#This Row],[Play Booster Expected Market Value BotBox]]/tbl_MTG_Set[[#This Row],[Play Booster Sealed Market Value BotBox]]</f>
        <v>#VALUE!</v>
      </c>
      <c r="BN4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6" s="10" t="e">
        <f>tbl_MTG_Set[[#This Row],[Play Singles CardMarket Profit BotBox]]/tbl_MTG_Set[[#This Row],[Play Booster Cost]]</f>
        <v>#VALUE!</v>
      </c>
      <c r="BP456" s="10" t="b">
        <f>tbl_MTG_Set[[#This Row],[Play Singles CardMarket Profit BotBox]]&gt;0</f>
        <v>0</v>
      </c>
      <c r="BQ456" s="10"/>
      <c r="BR456" s="10"/>
      <c r="BS456" s="10"/>
      <c r="BT4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6" s="19" t="e">
        <f>tbl_MTG_Set[[#This Row],[Collector Singles CardMarket Profit MTG Stocks]]/tbl_MTG_Set[[#This Row],[Collector Booster Cost]]</f>
        <v>#N/A</v>
      </c>
      <c r="BW456" s="10" t="b">
        <f>tbl_MTG_Set[[#This Row],[Collector Singles CardMarket Profit MTG Stocks]]&gt;0</f>
        <v>0</v>
      </c>
      <c r="BX456" s="10"/>
      <c r="BY456" s="10"/>
      <c r="BZ4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6" s="10" t="e">
        <f>tbl_MTG_Set[[#This Row],[Collector Singles CardMarket Profit BotBox]]/tbl_MTG_Set[[#This Row],[Collector Booster Cost]]</f>
        <v>#N/A</v>
      </c>
      <c r="CC456" s="10" t="b">
        <f>tbl_MTG_Set[[#This Row],[Collector Singles CardMarket Profit BotBox]]&gt;0</f>
        <v>0</v>
      </c>
      <c r="CD4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7" spans="1:86" hidden="1">
      <c r="A457">
        <v>487</v>
      </c>
      <c r="B457" t="s">
        <v>630</v>
      </c>
      <c r="C457">
        <v>8</v>
      </c>
      <c r="D457" s="3">
        <v>43259</v>
      </c>
      <c r="F457" t="s">
        <v>174</v>
      </c>
      <c r="G457">
        <v>920</v>
      </c>
      <c r="H457">
        <f ca="1">MONTH(NOW())+12*YEAR(NOW())-MONTH(tbl_MTG_Set[[#This Row],[Released On]])-12*YEAR(tbl_MTG_Set[[#This Row],[Released On]])</f>
        <v>93</v>
      </c>
      <c r="I457" t="str">
        <f>_xlfn.XLOOKUP(tbl_MTG_Set[[#This Row],[Type Name]], tbl_MTG_Set_Type[Set Type], tbl_MTG_Set_Type[Index], "(Set Type not found)")</f>
        <v>(Set Type not found)</v>
      </c>
      <c r="J457" t="str">
        <f>_xlfn.XLOOKUP(tbl_MTG_Set[[#This Row],[Type Name]], tbl_MTG_Set_Type[Set Type], tbl_MTG_Set_Type[Buy Window Month Start], "(Set Type not found)")</f>
        <v>(Set Type not found)</v>
      </c>
      <c r="K457" s="3" t="e">
        <f>tbl_MTG_Set[[#This Row],[Released On]]+tbl_MTG_Set[[#This Row],[Buy Window Month Start]]*365.25/12</f>
        <v>#VALUE!</v>
      </c>
      <c r="L457" t="str">
        <f>_xlfn.XLOOKUP(tbl_MTG_Set[[#This Row],[Type Name]], tbl_MTG_Set_Type[Set Type], tbl_MTG_Set_Type[Buy Window Month End], "(Set Type not found)", 0, 1)</f>
        <v>(Set Type not found)</v>
      </c>
      <c r="M457" s="3" t="e">
        <f>tbl_MTG_Set[[#This Row],[Released On]]+tbl_MTG_Set[[#This Row],[Buy Window Month End]]*365.25/12</f>
        <v>#VALUE!</v>
      </c>
      <c r="N457" s="3" t="e">
        <f ca="1">AND(NOW()&gt;=tbl_MTG_Set[[#This Row],[Buy Window Start]], NOW()&lt;=tbl_MTG_Set[[#This Row],[Buy Window End]])</f>
        <v>#VALUE!</v>
      </c>
      <c r="O457" t="str">
        <f>_xlfn.XLOOKUP(tbl_MTG_Set[[#This Row],[Type Name]], tbl_MTG_Set_Type[Set Type], tbl_MTG_Set_Type[Heavy Printing Window Month Start], "(Set Type not found)", 0, 1)</f>
        <v>(Set Type not found)</v>
      </c>
      <c r="P457" s="3" t="e">
        <f>tbl_MTG_Set[[#This Row],[Released On]]+tbl_MTG_Set[[#This Row],[Heavy Printing Window Month Start]]*365.25/12</f>
        <v>#VALUE!</v>
      </c>
      <c r="Q457" t="str">
        <f>_xlfn.XLOOKUP(tbl_MTG_Set[[#This Row],[Type Name]], tbl_MTG_Set_Type[Set Type], tbl_MTG_Set_Type[Heavy Printing Window Month End], "(Set Type not found)", 0, 1)</f>
        <v>(Set Type not found)</v>
      </c>
      <c r="R457" s="3" t="e">
        <f>tbl_MTG_Set[[#This Row],[Released On]]+tbl_MTG_Set[[#This Row],[Heavy Printing Window Month End]]*365.25/12</f>
        <v>#VALUE!</v>
      </c>
      <c r="S457" s="3" t="e">
        <f ca="1">AND(NOW()&gt;=tbl_MTG_Set[[#This Row],[Heavy Printing Window Start]], NOW()&lt;=tbl_MTG_Set[[#This Row],[Heavy Printing Window End]])</f>
        <v>#VALUE!</v>
      </c>
      <c r="T457" t="str">
        <f>_xlfn.XLOOKUP(tbl_MTG_Set[[#This Row],[Type Name]], tbl_MTG_Set_Type[Set Type], tbl_MTG_Set_Type[Sell Window Month Start], "(Set Type not found)", 0, 1)</f>
        <v>(Set Type not found)</v>
      </c>
      <c r="U457" s="3" t="e">
        <f>tbl_MTG_Set[[#This Row],[Released On]]+tbl_MTG_Set[[#This Row],[Sell Window Month Start]]*365.25/12</f>
        <v>#VALUE!</v>
      </c>
      <c r="V457" t="str">
        <f>_xlfn.XLOOKUP(tbl_MTG_Set[[#This Row],[Type Name]], tbl_MTG_Set_Type[Set Type], tbl_MTG_Set_Type[Sell Window Month End], "(Set Type not found)", 0, 1)</f>
        <v>(Set Type not found)</v>
      </c>
      <c r="W457" s="3" t="e">
        <f>tbl_MTG_Set[[#This Row],[Released On]]+tbl_MTG_Set[[#This Row],[Sell Window Month End]]*365.25/12</f>
        <v>#VALUE!</v>
      </c>
      <c r="X457" s="3" t="e">
        <f ca="1">AND(NOW()&gt;=tbl_MTG_Set[[#This Row],[Sell Window Start]], NOW()&lt;=tbl_MTG_Set[[#This Row],[Sell Window End]])</f>
        <v>#VALUE!</v>
      </c>
      <c r="AG457" s="10"/>
      <c r="AH457" s="10"/>
      <c r="AM457" s="10" t="str" cm="1">
        <f t="array" ref="AM4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7" s="10" t="str" cm="1">
        <f t="array" ref="AN4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7" s="4" t="e">
        <f>_xlfn.XLOOKUP(tbl_MTG_Set[[#This Row],[Play Booster Box Product Id]], tbl_Product[Product Id], tbl_Product[Pack Size])</f>
        <v>#N/A</v>
      </c>
      <c r="AP457" s="10" t="e">
        <f>(tbl_MTG_Set[[#This Row],[Play Booster Box Cost]]+v_Item_Shipping_Cost_In)/tbl_MTG_Set[[#This Row],[Play Booster Box Size]]</f>
        <v>#VALUE!</v>
      </c>
      <c r="AQ457" s="10" t="str" cm="1">
        <f t="array" ref="AQ4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7" s="10"/>
      <c r="AS457" s="10"/>
      <c r="AT457" s="17" t="e">
        <f>tbl_MTG_Set[[#This Row],[Play Booster CardMarket Profit]]/tbl_MTG_Set[[#This Row],[Play Booster Cost]]</f>
        <v>#VALUE!</v>
      </c>
      <c r="AU457" s="10" t="e">
        <f>_xlfn.XLOOKUP(tbl_MTG_Set[[#This Row],[Collector Booster Box Product Id]], tbl_Product[Product Id], tbl_Product[Min Cost])</f>
        <v>#N/A</v>
      </c>
      <c r="AV457" s="10" t="e">
        <f>_xlfn.XLOOKUP(tbl_MTG_Set[[#This Row],[Collector Booster Box Product Id]], tbl_Product[Product Id], tbl_Product[Best Source])</f>
        <v>#N/A</v>
      </c>
      <c r="AW457" s="4" t="e">
        <f>_xlfn.XLOOKUP(tbl_MTG_Set[[#This Row],[Collector Booster Box Product Id]], tbl_Product[Product Id], tbl_Product[Pack Size])</f>
        <v>#N/A</v>
      </c>
      <c r="AX457" s="10" t="e">
        <f>(tbl_MTG_Set[[#This Row],[Collector Booster Box Cost]] + v_Item_Shipping_Cost_In) / tbl_MTG_Set[[#This Row],[Collector Booster Box Size]]</f>
        <v>#N/A</v>
      </c>
      <c r="AY457" s="10" t="str" cm="1">
        <f t="array" ref="AY4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7" s="10"/>
      <c r="BA4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7" s="17" t="e">
        <f>tbl_MTG_Set[[#This Row],[Collector Booster CardMarket Profit]]/tbl_MTG_Set[[#This Row],[Collector Booster Cost]]</f>
        <v>#N/A</v>
      </c>
      <c r="BC457" s="10"/>
      <c r="BF4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7" s="11" t="e">
        <f>tbl_MTG_Set[[#This Row],[Play Singles CardMarket Profit MTG Stocks]]/tbl_MTG_Set[[#This Row],[Play Booster Cost]]</f>
        <v>#VALUE!</v>
      </c>
      <c r="BI457" s="11" t="b">
        <f>tbl_MTG_Set[[#This Row],[Play Singles CardMarket Profit MTG Stocks]]&gt;0</f>
        <v>0</v>
      </c>
      <c r="BM457" s="10" t="e">
        <f>tbl_MTG_Set[[#This Row],[Play Booster Sell Price CardMarket]]*tbl_MTG_Set[[#This Row],[Play Booster Expected Market Value BotBox]]/tbl_MTG_Set[[#This Row],[Play Booster Sealed Market Value BotBox]]</f>
        <v>#VALUE!</v>
      </c>
      <c r="BN4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7" s="10" t="e">
        <f>tbl_MTG_Set[[#This Row],[Play Singles CardMarket Profit BotBox]]/tbl_MTG_Set[[#This Row],[Play Booster Cost]]</f>
        <v>#VALUE!</v>
      </c>
      <c r="BP457" s="10" t="b">
        <f>tbl_MTG_Set[[#This Row],[Play Singles CardMarket Profit BotBox]]&gt;0</f>
        <v>0</v>
      </c>
      <c r="BQ457" s="10"/>
      <c r="BR457" s="10"/>
      <c r="BS457" s="10"/>
      <c r="BT4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7" s="19" t="e">
        <f>tbl_MTG_Set[[#This Row],[Collector Singles CardMarket Profit MTG Stocks]]/tbl_MTG_Set[[#This Row],[Collector Booster Cost]]</f>
        <v>#N/A</v>
      </c>
      <c r="BW457" s="10" t="b">
        <f>tbl_MTG_Set[[#This Row],[Collector Singles CardMarket Profit MTG Stocks]]&gt;0</f>
        <v>0</v>
      </c>
      <c r="BX457" s="10"/>
      <c r="BY457" s="10"/>
      <c r="BZ4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7" s="10" t="e">
        <f>tbl_MTG_Set[[#This Row],[Collector Singles CardMarket Profit BotBox]]/tbl_MTG_Set[[#This Row],[Collector Booster Cost]]</f>
        <v>#N/A</v>
      </c>
      <c r="CC457" s="10" t="b">
        <f>tbl_MTG_Set[[#This Row],[Collector Singles CardMarket Profit BotBox]]&gt;0</f>
        <v>0</v>
      </c>
      <c r="CD4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8" spans="1:86" hidden="1">
      <c r="A458">
        <v>488</v>
      </c>
      <c r="B458" t="s">
        <v>631</v>
      </c>
      <c r="C458">
        <v>600</v>
      </c>
      <c r="D458" s="3">
        <v>43243</v>
      </c>
      <c r="F458">
        <v>0</v>
      </c>
      <c r="G458">
        <v>922</v>
      </c>
      <c r="H458">
        <f ca="1">MONTH(NOW())+12*YEAR(NOW())-MONTH(tbl_MTG_Set[[#This Row],[Released On]])-12*YEAR(tbl_MTG_Set[[#This Row],[Released On]])</f>
        <v>94</v>
      </c>
      <c r="I458" t="str">
        <f>_xlfn.XLOOKUP(tbl_MTG_Set[[#This Row],[Type Name]], tbl_MTG_Set_Type[Set Type], tbl_MTG_Set_Type[Index], "(Set Type not found)")</f>
        <v>(Set Type not found)</v>
      </c>
      <c r="J458" t="str">
        <f>_xlfn.XLOOKUP(tbl_MTG_Set[[#This Row],[Type Name]], tbl_MTG_Set_Type[Set Type], tbl_MTG_Set_Type[Buy Window Month Start], "(Set Type not found)")</f>
        <v>(Set Type not found)</v>
      </c>
      <c r="K458" s="3" t="e">
        <f>tbl_MTG_Set[[#This Row],[Released On]]+tbl_MTG_Set[[#This Row],[Buy Window Month Start]]*365.25/12</f>
        <v>#VALUE!</v>
      </c>
      <c r="L458" t="str">
        <f>_xlfn.XLOOKUP(tbl_MTG_Set[[#This Row],[Type Name]], tbl_MTG_Set_Type[Set Type], tbl_MTG_Set_Type[Buy Window Month End], "(Set Type not found)", 0, 1)</f>
        <v>(Set Type not found)</v>
      </c>
      <c r="M458" s="3" t="e">
        <f>tbl_MTG_Set[[#This Row],[Released On]]+tbl_MTG_Set[[#This Row],[Buy Window Month End]]*365.25/12</f>
        <v>#VALUE!</v>
      </c>
      <c r="N458" s="3" t="e">
        <f ca="1">AND(NOW()&gt;=tbl_MTG_Set[[#This Row],[Buy Window Start]], NOW()&lt;=tbl_MTG_Set[[#This Row],[Buy Window End]])</f>
        <v>#VALUE!</v>
      </c>
      <c r="O458" t="str">
        <f>_xlfn.XLOOKUP(tbl_MTG_Set[[#This Row],[Type Name]], tbl_MTG_Set_Type[Set Type], tbl_MTG_Set_Type[Heavy Printing Window Month Start], "(Set Type not found)", 0, 1)</f>
        <v>(Set Type not found)</v>
      </c>
      <c r="P458" s="3" t="e">
        <f>tbl_MTG_Set[[#This Row],[Released On]]+tbl_MTG_Set[[#This Row],[Heavy Printing Window Month Start]]*365.25/12</f>
        <v>#VALUE!</v>
      </c>
      <c r="Q458" t="str">
        <f>_xlfn.XLOOKUP(tbl_MTG_Set[[#This Row],[Type Name]], tbl_MTG_Set_Type[Set Type], tbl_MTG_Set_Type[Heavy Printing Window Month End], "(Set Type not found)", 0, 1)</f>
        <v>(Set Type not found)</v>
      </c>
      <c r="R458" s="3" t="e">
        <f>tbl_MTG_Set[[#This Row],[Released On]]+tbl_MTG_Set[[#This Row],[Heavy Printing Window Month End]]*365.25/12</f>
        <v>#VALUE!</v>
      </c>
      <c r="S458" s="3" t="e">
        <f ca="1">AND(NOW()&gt;=tbl_MTG_Set[[#This Row],[Heavy Printing Window Start]], NOW()&lt;=tbl_MTG_Set[[#This Row],[Heavy Printing Window End]])</f>
        <v>#VALUE!</v>
      </c>
      <c r="T458" t="str">
        <f>_xlfn.XLOOKUP(tbl_MTG_Set[[#This Row],[Type Name]], tbl_MTG_Set_Type[Set Type], tbl_MTG_Set_Type[Sell Window Month Start], "(Set Type not found)", 0, 1)</f>
        <v>(Set Type not found)</v>
      </c>
      <c r="U458" s="3" t="e">
        <f>tbl_MTG_Set[[#This Row],[Released On]]+tbl_MTG_Set[[#This Row],[Sell Window Month Start]]*365.25/12</f>
        <v>#VALUE!</v>
      </c>
      <c r="V458" t="str">
        <f>_xlfn.XLOOKUP(tbl_MTG_Set[[#This Row],[Type Name]], tbl_MTG_Set_Type[Set Type], tbl_MTG_Set_Type[Sell Window Month End], "(Set Type not found)", 0, 1)</f>
        <v>(Set Type not found)</v>
      </c>
      <c r="W458" s="3" t="e">
        <f>tbl_MTG_Set[[#This Row],[Released On]]+tbl_MTG_Set[[#This Row],[Sell Window Month End]]*365.25/12</f>
        <v>#VALUE!</v>
      </c>
      <c r="X458" s="3" t="e">
        <f ca="1">AND(NOW()&gt;=tbl_MTG_Set[[#This Row],[Sell Window Start]], NOW()&lt;=tbl_MTG_Set[[#This Row],[Sell Window End]])</f>
        <v>#VALUE!</v>
      </c>
      <c r="AG458" s="10"/>
      <c r="AH458" s="10"/>
      <c r="AM458" s="10" t="str" cm="1">
        <f t="array" ref="AM4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8" s="10" t="str" cm="1">
        <f t="array" ref="AN4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8" s="4" t="e">
        <f>_xlfn.XLOOKUP(tbl_MTG_Set[[#This Row],[Play Booster Box Product Id]], tbl_Product[Product Id], tbl_Product[Pack Size])</f>
        <v>#N/A</v>
      </c>
      <c r="AP458" s="10" t="e">
        <f>(tbl_MTG_Set[[#This Row],[Play Booster Box Cost]]+v_Item_Shipping_Cost_In)/tbl_MTG_Set[[#This Row],[Play Booster Box Size]]</f>
        <v>#VALUE!</v>
      </c>
      <c r="AQ458" s="10" t="str" cm="1">
        <f t="array" ref="AQ4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8" s="10"/>
      <c r="AS458" s="10"/>
      <c r="AT458" s="17" t="e">
        <f>tbl_MTG_Set[[#This Row],[Play Booster CardMarket Profit]]/tbl_MTG_Set[[#This Row],[Play Booster Cost]]</f>
        <v>#VALUE!</v>
      </c>
      <c r="AU458" s="10" t="e">
        <f>_xlfn.XLOOKUP(tbl_MTG_Set[[#This Row],[Collector Booster Box Product Id]], tbl_Product[Product Id], tbl_Product[Min Cost])</f>
        <v>#N/A</v>
      </c>
      <c r="AV458" s="10" t="e">
        <f>_xlfn.XLOOKUP(tbl_MTG_Set[[#This Row],[Collector Booster Box Product Id]], tbl_Product[Product Id], tbl_Product[Best Source])</f>
        <v>#N/A</v>
      </c>
      <c r="AW458" s="4" t="e">
        <f>_xlfn.XLOOKUP(tbl_MTG_Set[[#This Row],[Collector Booster Box Product Id]], tbl_Product[Product Id], tbl_Product[Pack Size])</f>
        <v>#N/A</v>
      </c>
      <c r="AX458" s="10" t="e">
        <f>(tbl_MTG_Set[[#This Row],[Collector Booster Box Cost]] + v_Item_Shipping_Cost_In) / tbl_MTG_Set[[#This Row],[Collector Booster Box Size]]</f>
        <v>#N/A</v>
      </c>
      <c r="AY458" s="10" t="str" cm="1">
        <f t="array" ref="AY4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8" s="10"/>
      <c r="BA4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8" s="17" t="e">
        <f>tbl_MTG_Set[[#This Row],[Collector Booster CardMarket Profit]]/tbl_MTG_Set[[#This Row],[Collector Booster Cost]]</f>
        <v>#N/A</v>
      </c>
      <c r="BC458" s="10"/>
      <c r="BF4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8" s="11" t="e">
        <f>tbl_MTG_Set[[#This Row],[Play Singles CardMarket Profit MTG Stocks]]/tbl_MTG_Set[[#This Row],[Play Booster Cost]]</f>
        <v>#VALUE!</v>
      </c>
      <c r="BI458" s="11" t="b">
        <f>tbl_MTG_Set[[#This Row],[Play Singles CardMarket Profit MTG Stocks]]&gt;0</f>
        <v>0</v>
      </c>
      <c r="BM458" s="10" t="e">
        <f>tbl_MTG_Set[[#This Row],[Play Booster Sell Price CardMarket]]*tbl_MTG_Set[[#This Row],[Play Booster Expected Market Value BotBox]]/tbl_MTG_Set[[#This Row],[Play Booster Sealed Market Value BotBox]]</f>
        <v>#VALUE!</v>
      </c>
      <c r="BN4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8" s="10" t="e">
        <f>tbl_MTG_Set[[#This Row],[Play Singles CardMarket Profit BotBox]]/tbl_MTG_Set[[#This Row],[Play Booster Cost]]</f>
        <v>#VALUE!</v>
      </c>
      <c r="BP458" s="10" t="b">
        <f>tbl_MTG_Set[[#This Row],[Play Singles CardMarket Profit BotBox]]&gt;0</f>
        <v>0</v>
      </c>
      <c r="BQ458" s="10"/>
      <c r="BR458" s="10"/>
      <c r="BS458" s="10"/>
      <c r="BT4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8" s="19" t="e">
        <f>tbl_MTG_Set[[#This Row],[Collector Singles CardMarket Profit MTG Stocks]]/tbl_MTG_Set[[#This Row],[Collector Booster Cost]]</f>
        <v>#N/A</v>
      </c>
      <c r="BW458" s="10" t="b">
        <f>tbl_MTG_Set[[#This Row],[Collector Singles CardMarket Profit MTG Stocks]]&gt;0</f>
        <v>0</v>
      </c>
      <c r="BX458" s="10"/>
      <c r="BY458" s="10"/>
      <c r="BZ4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8" s="10" t="e">
        <f>tbl_MTG_Set[[#This Row],[Collector Singles CardMarket Profit BotBox]]/tbl_MTG_Set[[#This Row],[Collector Booster Cost]]</f>
        <v>#N/A</v>
      </c>
      <c r="CC458" s="10" t="b">
        <f>tbl_MTG_Set[[#This Row],[Collector Singles CardMarket Profit BotBox]]&gt;0</f>
        <v>0</v>
      </c>
      <c r="CD4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59" spans="1:86" hidden="1">
      <c r="A459">
        <v>490</v>
      </c>
      <c r="B459" t="s">
        <v>632</v>
      </c>
      <c r="C459">
        <v>118</v>
      </c>
      <c r="D459" s="3">
        <v>43217</v>
      </c>
      <c r="F459" t="s">
        <v>174</v>
      </c>
      <c r="G459">
        <v>926</v>
      </c>
      <c r="H459">
        <f ca="1">MONTH(NOW())+12*YEAR(NOW())-MONTH(tbl_MTG_Set[[#This Row],[Released On]])-12*YEAR(tbl_MTG_Set[[#This Row],[Released On]])</f>
        <v>95</v>
      </c>
      <c r="I459" t="str">
        <f>_xlfn.XLOOKUP(tbl_MTG_Set[[#This Row],[Type Name]], tbl_MTG_Set_Type[Set Type], tbl_MTG_Set_Type[Index], "(Set Type not found)")</f>
        <v>(Set Type not found)</v>
      </c>
      <c r="J459" t="str">
        <f>_xlfn.XLOOKUP(tbl_MTG_Set[[#This Row],[Type Name]], tbl_MTG_Set_Type[Set Type], tbl_MTG_Set_Type[Buy Window Month Start], "(Set Type not found)")</f>
        <v>(Set Type not found)</v>
      </c>
      <c r="K459" s="3" t="e">
        <f>tbl_MTG_Set[[#This Row],[Released On]]+tbl_MTG_Set[[#This Row],[Buy Window Month Start]]*365.25/12</f>
        <v>#VALUE!</v>
      </c>
      <c r="L459" t="str">
        <f>_xlfn.XLOOKUP(tbl_MTG_Set[[#This Row],[Type Name]], tbl_MTG_Set_Type[Set Type], tbl_MTG_Set_Type[Buy Window Month End], "(Set Type not found)", 0, 1)</f>
        <v>(Set Type not found)</v>
      </c>
      <c r="M459" s="3" t="e">
        <f>tbl_MTG_Set[[#This Row],[Released On]]+tbl_MTG_Set[[#This Row],[Buy Window Month End]]*365.25/12</f>
        <v>#VALUE!</v>
      </c>
      <c r="N459" s="3" t="e">
        <f ca="1">AND(NOW()&gt;=tbl_MTG_Set[[#This Row],[Buy Window Start]], NOW()&lt;=tbl_MTG_Set[[#This Row],[Buy Window End]])</f>
        <v>#VALUE!</v>
      </c>
      <c r="O459" t="str">
        <f>_xlfn.XLOOKUP(tbl_MTG_Set[[#This Row],[Type Name]], tbl_MTG_Set_Type[Set Type], tbl_MTG_Set_Type[Heavy Printing Window Month Start], "(Set Type not found)", 0, 1)</f>
        <v>(Set Type not found)</v>
      </c>
      <c r="P459" s="3" t="e">
        <f>tbl_MTG_Set[[#This Row],[Released On]]+tbl_MTG_Set[[#This Row],[Heavy Printing Window Month Start]]*365.25/12</f>
        <v>#VALUE!</v>
      </c>
      <c r="Q459" t="str">
        <f>_xlfn.XLOOKUP(tbl_MTG_Set[[#This Row],[Type Name]], tbl_MTG_Set_Type[Set Type], tbl_MTG_Set_Type[Heavy Printing Window Month End], "(Set Type not found)", 0, 1)</f>
        <v>(Set Type not found)</v>
      </c>
      <c r="R459" s="3" t="e">
        <f>tbl_MTG_Set[[#This Row],[Released On]]+tbl_MTG_Set[[#This Row],[Heavy Printing Window Month End]]*365.25/12</f>
        <v>#VALUE!</v>
      </c>
      <c r="S459" s="3" t="e">
        <f ca="1">AND(NOW()&gt;=tbl_MTG_Set[[#This Row],[Heavy Printing Window Start]], NOW()&lt;=tbl_MTG_Set[[#This Row],[Heavy Printing Window End]])</f>
        <v>#VALUE!</v>
      </c>
      <c r="T459" t="str">
        <f>_xlfn.XLOOKUP(tbl_MTG_Set[[#This Row],[Type Name]], tbl_MTG_Set_Type[Set Type], tbl_MTG_Set_Type[Sell Window Month Start], "(Set Type not found)", 0, 1)</f>
        <v>(Set Type not found)</v>
      </c>
      <c r="U459" s="3" t="e">
        <f>tbl_MTG_Set[[#This Row],[Released On]]+tbl_MTG_Set[[#This Row],[Sell Window Month Start]]*365.25/12</f>
        <v>#VALUE!</v>
      </c>
      <c r="V459" t="str">
        <f>_xlfn.XLOOKUP(tbl_MTG_Set[[#This Row],[Type Name]], tbl_MTG_Set_Type[Set Type], tbl_MTG_Set_Type[Sell Window Month End], "(Set Type not found)", 0, 1)</f>
        <v>(Set Type not found)</v>
      </c>
      <c r="W459" s="3" t="e">
        <f>tbl_MTG_Set[[#This Row],[Released On]]+tbl_MTG_Set[[#This Row],[Sell Window Month End]]*365.25/12</f>
        <v>#VALUE!</v>
      </c>
      <c r="X459" s="3" t="e">
        <f ca="1">AND(NOW()&gt;=tbl_MTG_Set[[#This Row],[Sell Window Start]], NOW()&lt;=tbl_MTG_Set[[#This Row],[Sell Window End]])</f>
        <v>#VALUE!</v>
      </c>
      <c r="AG459" s="10"/>
      <c r="AH459" s="10"/>
      <c r="AM459" s="10" t="str" cm="1">
        <f t="array" ref="AM4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59" s="10" t="str" cm="1">
        <f t="array" ref="AN4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59" s="4" t="e">
        <f>_xlfn.XLOOKUP(tbl_MTG_Set[[#This Row],[Play Booster Box Product Id]], tbl_Product[Product Id], tbl_Product[Pack Size])</f>
        <v>#N/A</v>
      </c>
      <c r="AP459" s="10" t="e">
        <f>(tbl_MTG_Set[[#This Row],[Play Booster Box Cost]]+v_Item_Shipping_Cost_In)/tbl_MTG_Set[[#This Row],[Play Booster Box Size]]</f>
        <v>#VALUE!</v>
      </c>
      <c r="AQ459" s="10" t="str" cm="1">
        <f t="array" ref="AQ4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59" s="10"/>
      <c r="AS459" s="10"/>
      <c r="AT459" s="17" t="e">
        <f>tbl_MTG_Set[[#This Row],[Play Booster CardMarket Profit]]/tbl_MTG_Set[[#This Row],[Play Booster Cost]]</f>
        <v>#VALUE!</v>
      </c>
      <c r="AU459" s="10" t="e">
        <f>_xlfn.XLOOKUP(tbl_MTG_Set[[#This Row],[Collector Booster Box Product Id]], tbl_Product[Product Id], tbl_Product[Min Cost])</f>
        <v>#N/A</v>
      </c>
      <c r="AV459" s="10" t="e">
        <f>_xlfn.XLOOKUP(tbl_MTG_Set[[#This Row],[Collector Booster Box Product Id]], tbl_Product[Product Id], tbl_Product[Best Source])</f>
        <v>#N/A</v>
      </c>
      <c r="AW459" s="4" t="e">
        <f>_xlfn.XLOOKUP(tbl_MTG_Set[[#This Row],[Collector Booster Box Product Id]], tbl_Product[Product Id], tbl_Product[Pack Size])</f>
        <v>#N/A</v>
      </c>
      <c r="AX459" s="10" t="e">
        <f>(tbl_MTG_Set[[#This Row],[Collector Booster Box Cost]] + v_Item_Shipping_Cost_In) / tbl_MTG_Set[[#This Row],[Collector Booster Box Size]]</f>
        <v>#N/A</v>
      </c>
      <c r="AY459" s="10" t="str" cm="1">
        <f t="array" ref="AY4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59" s="10"/>
      <c r="BA4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59" s="17" t="e">
        <f>tbl_MTG_Set[[#This Row],[Collector Booster CardMarket Profit]]/tbl_MTG_Set[[#This Row],[Collector Booster Cost]]</f>
        <v>#N/A</v>
      </c>
      <c r="BC459" s="10"/>
      <c r="BF4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59" s="11" t="e">
        <f>tbl_MTG_Set[[#This Row],[Play Singles CardMarket Profit MTG Stocks]]/tbl_MTG_Set[[#This Row],[Play Booster Cost]]</f>
        <v>#VALUE!</v>
      </c>
      <c r="BI459" s="11" t="b">
        <f>tbl_MTG_Set[[#This Row],[Play Singles CardMarket Profit MTG Stocks]]&gt;0</f>
        <v>0</v>
      </c>
      <c r="BM459" s="10" t="e">
        <f>tbl_MTG_Set[[#This Row],[Play Booster Sell Price CardMarket]]*tbl_MTG_Set[[#This Row],[Play Booster Expected Market Value BotBox]]/tbl_MTG_Set[[#This Row],[Play Booster Sealed Market Value BotBox]]</f>
        <v>#VALUE!</v>
      </c>
      <c r="BN4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59" s="10" t="e">
        <f>tbl_MTG_Set[[#This Row],[Play Singles CardMarket Profit BotBox]]/tbl_MTG_Set[[#This Row],[Play Booster Cost]]</f>
        <v>#VALUE!</v>
      </c>
      <c r="BP459" s="10" t="b">
        <f>tbl_MTG_Set[[#This Row],[Play Singles CardMarket Profit BotBox]]&gt;0</f>
        <v>0</v>
      </c>
      <c r="BQ459" s="10"/>
      <c r="BR459" s="10"/>
      <c r="BS459" s="10"/>
      <c r="BT4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59" s="19" t="e">
        <f>tbl_MTG_Set[[#This Row],[Collector Singles CardMarket Profit MTG Stocks]]/tbl_MTG_Set[[#This Row],[Collector Booster Cost]]</f>
        <v>#N/A</v>
      </c>
      <c r="BW459" s="10" t="b">
        <f>tbl_MTG_Set[[#This Row],[Collector Singles CardMarket Profit MTG Stocks]]&gt;0</f>
        <v>0</v>
      </c>
      <c r="BX459" s="10"/>
      <c r="BY459" s="10"/>
      <c r="BZ4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59" s="10" t="e">
        <f>tbl_MTG_Set[[#This Row],[Collector Singles CardMarket Profit BotBox]]/tbl_MTG_Set[[#This Row],[Collector Booster Cost]]</f>
        <v>#N/A</v>
      </c>
      <c r="CC459" s="10" t="b">
        <f>tbl_MTG_Set[[#This Row],[Collector Singles CardMarket Profit BotBox]]&gt;0</f>
        <v>0</v>
      </c>
      <c r="CD4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0" spans="1:86" hidden="1">
      <c r="A460">
        <v>491</v>
      </c>
      <c r="B460" t="s">
        <v>633</v>
      </c>
      <c r="C460">
        <v>16</v>
      </c>
      <c r="D460" s="3">
        <v>43217</v>
      </c>
      <c r="F460" t="s">
        <v>174</v>
      </c>
      <c r="G460">
        <v>928</v>
      </c>
      <c r="H460">
        <f ca="1">MONTH(NOW())+12*YEAR(NOW())-MONTH(tbl_MTG_Set[[#This Row],[Released On]])-12*YEAR(tbl_MTG_Set[[#This Row],[Released On]])</f>
        <v>95</v>
      </c>
      <c r="I460" t="str">
        <f>_xlfn.XLOOKUP(tbl_MTG_Set[[#This Row],[Type Name]], tbl_MTG_Set_Type[Set Type], tbl_MTG_Set_Type[Index], "(Set Type not found)")</f>
        <v>(Set Type not found)</v>
      </c>
      <c r="J460" t="str">
        <f>_xlfn.XLOOKUP(tbl_MTG_Set[[#This Row],[Type Name]], tbl_MTG_Set_Type[Set Type], tbl_MTG_Set_Type[Buy Window Month Start], "(Set Type not found)")</f>
        <v>(Set Type not found)</v>
      </c>
      <c r="K460" s="3" t="e">
        <f>tbl_MTG_Set[[#This Row],[Released On]]+tbl_MTG_Set[[#This Row],[Buy Window Month Start]]*365.25/12</f>
        <v>#VALUE!</v>
      </c>
      <c r="L460" t="str">
        <f>_xlfn.XLOOKUP(tbl_MTG_Set[[#This Row],[Type Name]], tbl_MTG_Set_Type[Set Type], tbl_MTG_Set_Type[Buy Window Month End], "(Set Type not found)", 0, 1)</f>
        <v>(Set Type not found)</v>
      </c>
      <c r="M460" s="3" t="e">
        <f>tbl_MTG_Set[[#This Row],[Released On]]+tbl_MTG_Set[[#This Row],[Buy Window Month End]]*365.25/12</f>
        <v>#VALUE!</v>
      </c>
      <c r="N460" s="3" t="e">
        <f ca="1">AND(NOW()&gt;=tbl_MTG_Set[[#This Row],[Buy Window Start]], NOW()&lt;=tbl_MTG_Set[[#This Row],[Buy Window End]])</f>
        <v>#VALUE!</v>
      </c>
      <c r="O460" t="str">
        <f>_xlfn.XLOOKUP(tbl_MTG_Set[[#This Row],[Type Name]], tbl_MTG_Set_Type[Set Type], tbl_MTG_Set_Type[Heavy Printing Window Month Start], "(Set Type not found)", 0, 1)</f>
        <v>(Set Type not found)</v>
      </c>
      <c r="P460" s="3" t="e">
        <f>tbl_MTG_Set[[#This Row],[Released On]]+tbl_MTG_Set[[#This Row],[Heavy Printing Window Month Start]]*365.25/12</f>
        <v>#VALUE!</v>
      </c>
      <c r="Q460" t="str">
        <f>_xlfn.XLOOKUP(tbl_MTG_Set[[#This Row],[Type Name]], tbl_MTG_Set_Type[Set Type], tbl_MTG_Set_Type[Heavy Printing Window Month End], "(Set Type not found)", 0, 1)</f>
        <v>(Set Type not found)</v>
      </c>
      <c r="R460" s="3" t="e">
        <f>tbl_MTG_Set[[#This Row],[Released On]]+tbl_MTG_Set[[#This Row],[Heavy Printing Window Month End]]*365.25/12</f>
        <v>#VALUE!</v>
      </c>
      <c r="S460" s="3" t="e">
        <f ca="1">AND(NOW()&gt;=tbl_MTG_Set[[#This Row],[Heavy Printing Window Start]], NOW()&lt;=tbl_MTG_Set[[#This Row],[Heavy Printing Window End]])</f>
        <v>#VALUE!</v>
      </c>
      <c r="T460" t="str">
        <f>_xlfn.XLOOKUP(tbl_MTG_Set[[#This Row],[Type Name]], tbl_MTG_Set_Type[Set Type], tbl_MTG_Set_Type[Sell Window Month Start], "(Set Type not found)", 0, 1)</f>
        <v>(Set Type not found)</v>
      </c>
      <c r="U460" s="3" t="e">
        <f>tbl_MTG_Set[[#This Row],[Released On]]+tbl_MTG_Set[[#This Row],[Sell Window Month Start]]*365.25/12</f>
        <v>#VALUE!</v>
      </c>
      <c r="V460" t="str">
        <f>_xlfn.XLOOKUP(tbl_MTG_Set[[#This Row],[Type Name]], tbl_MTG_Set_Type[Set Type], tbl_MTG_Set_Type[Sell Window Month End], "(Set Type not found)", 0, 1)</f>
        <v>(Set Type not found)</v>
      </c>
      <c r="W460" s="3" t="e">
        <f>tbl_MTG_Set[[#This Row],[Released On]]+tbl_MTG_Set[[#This Row],[Sell Window Month End]]*365.25/12</f>
        <v>#VALUE!</v>
      </c>
      <c r="X460" s="3" t="e">
        <f ca="1">AND(NOW()&gt;=tbl_MTG_Set[[#This Row],[Sell Window Start]], NOW()&lt;=tbl_MTG_Set[[#This Row],[Sell Window End]])</f>
        <v>#VALUE!</v>
      </c>
      <c r="AG460" s="10"/>
      <c r="AH460" s="10"/>
      <c r="AM460" s="10" t="str" cm="1">
        <f t="array" ref="AM4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0" s="10" t="str" cm="1">
        <f t="array" ref="AN4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0" s="4" t="e">
        <f>_xlfn.XLOOKUP(tbl_MTG_Set[[#This Row],[Play Booster Box Product Id]], tbl_Product[Product Id], tbl_Product[Pack Size])</f>
        <v>#N/A</v>
      </c>
      <c r="AP460" s="10" t="e">
        <f>(tbl_MTG_Set[[#This Row],[Play Booster Box Cost]]+v_Item_Shipping_Cost_In)/tbl_MTG_Set[[#This Row],[Play Booster Box Size]]</f>
        <v>#VALUE!</v>
      </c>
      <c r="AQ460" s="10" t="str" cm="1">
        <f t="array" ref="AQ4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0" s="10"/>
      <c r="AS460" s="10"/>
      <c r="AT460" s="17" t="e">
        <f>tbl_MTG_Set[[#This Row],[Play Booster CardMarket Profit]]/tbl_MTG_Set[[#This Row],[Play Booster Cost]]</f>
        <v>#VALUE!</v>
      </c>
      <c r="AU460" s="10" t="e">
        <f>_xlfn.XLOOKUP(tbl_MTG_Set[[#This Row],[Collector Booster Box Product Id]], tbl_Product[Product Id], tbl_Product[Min Cost])</f>
        <v>#N/A</v>
      </c>
      <c r="AV460" s="10" t="e">
        <f>_xlfn.XLOOKUP(tbl_MTG_Set[[#This Row],[Collector Booster Box Product Id]], tbl_Product[Product Id], tbl_Product[Best Source])</f>
        <v>#N/A</v>
      </c>
      <c r="AW460" s="4" t="e">
        <f>_xlfn.XLOOKUP(tbl_MTG_Set[[#This Row],[Collector Booster Box Product Id]], tbl_Product[Product Id], tbl_Product[Pack Size])</f>
        <v>#N/A</v>
      </c>
      <c r="AX460" s="10" t="e">
        <f>(tbl_MTG_Set[[#This Row],[Collector Booster Box Cost]] + v_Item_Shipping_Cost_In) / tbl_MTG_Set[[#This Row],[Collector Booster Box Size]]</f>
        <v>#N/A</v>
      </c>
      <c r="AY460" s="10" t="str" cm="1">
        <f t="array" ref="AY4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0" s="10"/>
      <c r="BA4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0" s="17" t="e">
        <f>tbl_MTG_Set[[#This Row],[Collector Booster CardMarket Profit]]/tbl_MTG_Set[[#This Row],[Collector Booster Cost]]</f>
        <v>#N/A</v>
      </c>
      <c r="BC460" s="10"/>
      <c r="BF4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0" s="11" t="e">
        <f>tbl_MTG_Set[[#This Row],[Play Singles CardMarket Profit MTG Stocks]]/tbl_MTG_Set[[#This Row],[Play Booster Cost]]</f>
        <v>#VALUE!</v>
      </c>
      <c r="BI460" s="11" t="b">
        <f>tbl_MTG_Set[[#This Row],[Play Singles CardMarket Profit MTG Stocks]]&gt;0</f>
        <v>0</v>
      </c>
      <c r="BM460" s="10" t="e">
        <f>tbl_MTG_Set[[#This Row],[Play Booster Sell Price CardMarket]]*tbl_MTG_Set[[#This Row],[Play Booster Expected Market Value BotBox]]/tbl_MTG_Set[[#This Row],[Play Booster Sealed Market Value BotBox]]</f>
        <v>#VALUE!</v>
      </c>
      <c r="BN4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0" s="10" t="e">
        <f>tbl_MTG_Set[[#This Row],[Play Singles CardMarket Profit BotBox]]/tbl_MTG_Set[[#This Row],[Play Booster Cost]]</f>
        <v>#VALUE!</v>
      </c>
      <c r="BP460" s="10" t="b">
        <f>tbl_MTG_Set[[#This Row],[Play Singles CardMarket Profit BotBox]]&gt;0</f>
        <v>0</v>
      </c>
      <c r="BQ460" s="10"/>
      <c r="BR460" s="10"/>
      <c r="BS460" s="10"/>
      <c r="BT4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0" s="19" t="e">
        <f>tbl_MTG_Set[[#This Row],[Collector Singles CardMarket Profit MTG Stocks]]/tbl_MTG_Set[[#This Row],[Collector Booster Cost]]</f>
        <v>#N/A</v>
      </c>
      <c r="BW460" s="10" t="b">
        <f>tbl_MTG_Set[[#This Row],[Collector Singles CardMarket Profit MTG Stocks]]&gt;0</f>
        <v>0</v>
      </c>
      <c r="BX460" s="10"/>
      <c r="BY460" s="10"/>
      <c r="BZ4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0" s="10" t="e">
        <f>tbl_MTG_Set[[#This Row],[Collector Singles CardMarket Profit BotBox]]/tbl_MTG_Set[[#This Row],[Collector Booster Cost]]</f>
        <v>#N/A</v>
      </c>
      <c r="CC460" s="10" t="b">
        <f>tbl_MTG_Set[[#This Row],[Collector Singles CardMarket Profit BotBox]]&gt;0</f>
        <v>0</v>
      </c>
      <c r="CD4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1" spans="1:86" hidden="1">
      <c r="A461">
        <v>492</v>
      </c>
      <c r="B461" t="s">
        <v>634</v>
      </c>
      <c r="C461">
        <v>76</v>
      </c>
      <c r="D461" s="3">
        <v>43196</v>
      </c>
      <c r="F461" t="s">
        <v>174</v>
      </c>
      <c r="G461">
        <v>930</v>
      </c>
      <c r="H461">
        <f ca="1">MONTH(NOW())+12*YEAR(NOW())-MONTH(tbl_MTG_Set[[#This Row],[Released On]])-12*YEAR(tbl_MTG_Set[[#This Row],[Released On]])</f>
        <v>95</v>
      </c>
      <c r="I461" t="str">
        <f>_xlfn.XLOOKUP(tbl_MTG_Set[[#This Row],[Type Name]], tbl_MTG_Set_Type[Set Type], tbl_MTG_Set_Type[Index], "(Set Type not found)")</f>
        <v>(Set Type not found)</v>
      </c>
      <c r="J461" t="str">
        <f>_xlfn.XLOOKUP(tbl_MTG_Set[[#This Row],[Type Name]], tbl_MTG_Set_Type[Set Type], tbl_MTG_Set_Type[Buy Window Month Start], "(Set Type not found)")</f>
        <v>(Set Type not found)</v>
      </c>
      <c r="K461" s="3" t="e">
        <f>tbl_MTG_Set[[#This Row],[Released On]]+tbl_MTG_Set[[#This Row],[Buy Window Month Start]]*365.25/12</f>
        <v>#VALUE!</v>
      </c>
      <c r="L461" t="str">
        <f>_xlfn.XLOOKUP(tbl_MTG_Set[[#This Row],[Type Name]], tbl_MTG_Set_Type[Set Type], tbl_MTG_Set_Type[Buy Window Month End], "(Set Type not found)", 0, 1)</f>
        <v>(Set Type not found)</v>
      </c>
      <c r="M461" s="3" t="e">
        <f>tbl_MTG_Set[[#This Row],[Released On]]+tbl_MTG_Set[[#This Row],[Buy Window Month End]]*365.25/12</f>
        <v>#VALUE!</v>
      </c>
      <c r="N461" s="3" t="e">
        <f ca="1">AND(NOW()&gt;=tbl_MTG_Set[[#This Row],[Buy Window Start]], NOW()&lt;=tbl_MTG_Set[[#This Row],[Buy Window End]])</f>
        <v>#VALUE!</v>
      </c>
      <c r="O461" t="str">
        <f>_xlfn.XLOOKUP(tbl_MTG_Set[[#This Row],[Type Name]], tbl_MTG_Set_Type[Set Type], tbl_MTG_Set_Type[Heavy Printing Window Month Start], "(Set Type not found)", 0, 1)</f>
        <v>(Set Type not found)</v>
      </c>
      <c r="P461" s="3" t="e">
        <f>tbl_MTG_Set[[#This Row],[Released On]]+tbl_MTG_Set[[#This Row],[Heavy Printing Window Month Start]]*365.25/12</f>
        <v>#VALUE!</v>
      </c>
      <c r="Q461" t="str">
        <f>_xlfn.XLOOKUP(tbl_MTG_Set[[#This Row],[Type Name]], tbl_MTG_Set_Type[Set Type], tbl_MTG_Set_Type[Heavy Printing Window Month End], "(Set Type not found)", 0, 1)</f>
        <v>(Set Type not found)</v>
      </c>
      <c r="R461" s="3" t="e">
        <f>tbl_MTG_Set[[#This Row],[Released On]]+tbl_MTG_Set[[#This Row],[Heavy Printing Window Month End]]*365.25/12</f>
        <v>#VALUE!</v>
      </c>
      <c r="S461" s="3" t="e">
        <f ca="1">AND(NOW()&gt;=tbl_MTG_Set[[#This Row],[Heavy Printing Window Start]], NOW()&lt;=tbl_MTG_Set[[#This Row],[Heavy Printing Window End]])</f>
        <v>#VALUE!</v>
      </c>
      <c r="T461" t="str">
        <f>_xlfn.XLOOKUP(tbl_MTG_Set[[#This Row],[Type Name]], tbl_MTG_Set_Type[Set Type], tbl_MTG_Set_Type[Sell Window Month Start], "(Set Type not found)", 0, 1)</f>
        <v>(Set Type not found)</v>
      </c>
      <c r="U461" s="3" t="e">
        <f>tbl_MTG_Set[[#This Row],[Released On]]+tbl_MTG_Set[[#This Row],[Sell Window Month Start]]*365.25/12</f>
        <v>#VALUE!</v>
      </c>
      <c r="V461" t="str">
        <f>_xlfn.XLOOKUP(tbl_MTG_Set[[#This Row],[Type Name]], tbl_MTG_Set_Type[Set Type], tbl_MTG_Set_Type[Sell Window Month End], "(Set Type not found)", 0, 1)</f>
        <v>(Set Type not found)</v>
      </c>
      <c r="W461" s="3" t="e">
        <f>tbl_MTG_Set[[#This Row],[Released On]]+tbl_MTG_Set[[#This Row],[Sell Window Month End]]*365.25/12</f>
        <v>#VALUE!</v>
      </c>
      <c r="X461" s="3" t="e">
        <f ca="1">AND(NOW()&gt;=tbl_MTG_Set[[#This Row],[Sell Window Start]], NOW()&lt;=tbl_MTG_Set[[#This Row],[Sell Window End]])</f>
        <v>#VALUE!</v>
      </c>
      <c r="AG461" s="10"/>
      <c r="AH461" s="10"/>
      <c r="AM461" s="10" t="str" cm="1">
        <f t="array" ref="AM4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1" s="10" t="str" cm="1">
        <f t="array" ref="AN4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1" s="4" t="e">
        <f>_xlfn.XLOOKUP(tbl_MTG_Set[[#This Row],[Play Booster Box Product Id]], tbl_Product[Product Id], tbl_Product[Pack Size])</f>
        <v>#N/A</v>
      </c>
      <c r="AP461" s="10" t="e">
        <f>(tbl_MTG_Set[[#This Row],[Play Booster Box Cost]]+v_Item_Shipping_Cost_In)/tbl_MTG_Set[[#This Row],[Play Booster Box Size]]</f>
        <v>#VALUE!</v>
      </c>
      <c r="AQ461" s="10" t="str" cm="1">
        <f t="array" ref="AQ4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1" s="10"/>
      <c r="AS461" s="10"/>
      <c r="AT461" s="17" t="e">
        <f>tbl_MTG_Set[[#This Row],[Play Booster CardMarket Profit]]/tbl_MTG_Set[[#This Row],[Play Booster Cost]]</f>
        <v>#VALUE!</v>
      </c>
      <c r="AU461" s="10" t="e">
        <f>_xlfn.XLOOKUP(tbl_MTG_Set[[#This Row],[Collector Booster Box Product Id]], tbl_Product[Product Id], tbl_Product[Min Cost])</f>
        <v>#N/A</v>
      </c>
      <c r="AV461" s="10" t="e">
        <f>_xlfn.XLOOKUP(tbl_MTG_Set[[#This Row],[Collector Booster Box Product Id]], tbl_Product[Product Id], tbl_Product[Best Source])</f>
        <v>#N/A</v>
      </c>
      <c r="AW461" s="4" t="e">
        <f>_xlfn.XLOOKUP(tbl_MTG_Set[[#This Row],[Collector Booster Box Product Id]], tbl_Product[Product Id], tbl_Product[Pack Size])</f>
        <v>#N/A</v>
      </c>
      <c r="AX461" s="10" t="e">
        <f>(tbl_MTG_Set[[#This Row],[Collector Booster Box Cost]] + v_Item_Shipping_Cost_In) / tbl_MTG_Set[[#This Row],[Collector Booster Box Size]]</f>
        <v>#N/A</v>
      </c>
      <c r="AY461" s="10" t="str" cm="1">
        <f t="array" ref="AY4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1" s="10"/>
      <c r="BA4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1" s="17" t="e">
        <f>tbl_MTG_Set[[#This Row],[Collector Booster CardMarket Profit]]/tbl_MTG_Set[[#This Row],[Collector Booster Cost]]</f>
        <v>#N/A</v>
      </c>
      <c r="BC461" s="10"/>
      <c r="BF4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1" s="11" t="e">
        <f>tbl_MTG_Set[[#This Row],[Play Singles CardMarket Profit MTG Stocks]]/tbl_MTG_Set[[#This Row],[Play Booster Cost]]</f>
        <v>#VALUE!</v>
      </c>
      <c r="BI461" s="11" t="b">
        <f>tbl_MTG_Set[[#This Row],[Play Singles CardMarket Profit MTG Stocks]]&gt;0</f>
        <v>0</v>
      </c>
      <c r="BM461" s="10" t="e">
        <f>tbl_MTG_Set[[#This Row],[Play Booster Sell Price CardMarket]]*tbl_MTG_Set[[#This Row],[Play Booster Expected Market Value BotBox]]/tbl_MTG_Set[[#This Row],[Play Booster Sealed Market Value BotBox]]</f>
        <v>#VALUE!</v>
      </c>
      <c r="BN4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1" s="10" t="e">
        <f>tbl_MTG_Set[[#This Row],[Play Singles CardMarket Profit BotBox]]/tbl_MTG_Set[[#This Row],[Play Booster Cost]]</f>
        <v>#VALUE!</v>
      </c>
      <c r="BP461" s="10" t="b">
        <f>tbl_MTG_Set[[#This Row],[Play Singles CardMarket Profit BotBox]]&gt;0</f>
        <v>0</v>
      </c>
      <c r="BQ461" s="10"/>
      <c r="BR461" s="10"/>
      <c r="BS461" s="10"/>
      <c r="BT4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1" s="19" t="e">
        <f>tbl_MTG_Set[[#This Row],[Collector Singles CardMarket Profit MTG Stocks]]/tbl_MTG_Set[[#This Row],[Collector Booster Cost]]</f>
        <v>#N/A</v>
      </c>
      <c r="BW461" s="10" t="b">
        <f>tbl_MTG_Set[[#This Row],[Collector Singles CardMarket Profit MTG Stocks]]&gt;0</f>
        <v>0</v>
      </c>
      <c r="BX461" s="10"/>
      <c r="BY461" s="10"/>
      <c r="BZ4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1" s="10" t="e">
        <f>tbl_MTG_Set[[#This Row],[Collector Singles CardMarket Profit BotBox]]/tbl_MTG_Set[[#This Row],[Collector Booster Cost]]</f>
        <v>#N/A</v>
      </c>
      <c r="CC461" s="10" t="b">
        <f>tbl_MTG_Set[[#This Row],[Collector Singles CardMarket Profit BotBox]]&gt;0</f>
        <v>0</v>
      </c>
      <c r="CD4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2" spans="1:86" hidden="1">
      <c r="A462">
        <v>493</v>
      </c>
      <c r="B462" t="s">
        <v>635</v>
      </c>
      <c r="C462">
        <v>4</v>
      </c>
      <c r="D462" s="3">
        <v>43196</v>
      </c>
      <c r="F462" t="s">
        <v>174</v>
      </c>
      <c r="G462">
        <v>932</v>
      </c>
      <c r="H462">
        <f ca="1">MONTH(NOW())+12*YEAR(NOW())-MONTH(tbl_MTG_Set[[#This Row],[Released On]])-12*YEAR(tbl_MTG_Set[[#This Row],[Released On]])</f>
        <v>95</v>
      </c>
      <c r="I462" t="str">
        <f>_xlfn.XLOOKUP(tbl_MTG_Set[[#This Row],[Type Name]], tbl_MTG_Set_Type[Set Type], tbl_MTG_Set_Type[Index], "(Set Type not found)")</f>
        <v>(Set Type not found)</v>
      </c>
      <c r="J462" t="str">
        <f>_xlfn.XLOOKUP(tbl_MTG_Set[[#This Row],[Type Name]], tbl_MTG_Set_Type[Set Type], tbl_MTG_Set_Type[Buy Window Month Start], "(Set Type not found)")</f>
        <v>(Set Type not found)</v>
      </c>
      <c r="K462" s="3" t="e">
        <f>tbl_MTG_Set[[#This Row],[Released On]]+tbl_MTG_Set[[#This Row],[Buy Window Month Start]]*365.25/12</f>
        <v>#VALUE!</v>
      </c>
      <c r="L462" t="str">
        <f>_xlfn.XLOOKUP(tbl_MTG_Set[[#This Row],[Type Name]], tbl_MTG_Set_Type[Set Type], tbl_MTG_Set_Type[Buy Window Month End], "(Set Type not found)", 0, 1)</f>
        <v>(Set Type not found)</v>
      </c>
      <c r="M462" s="3" t="e">
        <f>tbl_MTG_Set[[#This Row],[Released On]]+tbl_MTG_Set[[#This Row],[Buy Window Month End]]*365.25/12</f>
        <v>#VALUE!</v>
      </c>
      <c r="N462" s="3" t="e">
        <f ca="1">AND(NOW()&gt;=tbl_MTG_Set[[#This Row],[Buy Window Start]], NOW()&lt;=tbl_MTG_Set[[#This Row],[Buy Window End]])</f>
        <v>#VALUE!</v>
      </c>
      <c r="O462" t="str">
        <f>_xlfn.XLOOKUP(tbl_MTG_Set[[#This Row],[Type Name]], tbl_MTG_Set_Type[Set Type], tbl_MTG_Set_Type[Heavy Printing Window Month Start], "(Set Type not found)", 0, 1)</f>
        <v>(Set Type not found)</v>
      </c>
      <c r="P462" s="3" t="e">
        <f>tbl_MTG_Set[[#This Row],[Released On]]+tbl_MTG_Set[[#This Row],[Heavy Printing Window Month Start]]*365.25/12</f>
        <v>#VALUE!</v>
      </c>
      <c r="Q462" t="str">
        <f>_xlfn.XLOOKUP(tbl_MTG_Set[[#This Row],[Type Name]], tbl_MTG_Set_Type[Set Type], tbl_MTG_Set_Type[Heavy Printing Window Month End], "(Set Type not found)", 0, 1)</f>
        <v>(Set Type not found)</v>
      </c>
      <c r="R462" s="3" t="e">
        <f>tbl_MTG_Set[[#This Row],[Released On]]+tbl_MTG_Set[[#This Row],[Heavy Printing Window Month End]]*365.25/12</f>
        <v>#VALUE!</v>
      </c>
      <c r="S462" s="3" t="e">
        <f ca="1">AND(NOW()&gt;=tbl_MTG_Set[[#This Row],[Heavy Printing Window Start]], NOW()&lt;=tbl_MTG_Set[[#This Row],[Heavy Printing Window End]])</f>
        <v>#VALUE!</v>
      </c>
      <c r="T462" t="str">
        <f>_xlfn.XLOOKUP(tbl_MTG_Set[[#This Row],[Type Name]], tbl_MTG_Set_Type[Set Type], tbl_MTG_Set_Type[Sell Window Month Start], "(Set Type not found)", 0, 1)</f>
        <v>(Set Type not found)</v>
      </c>
      <c r="U462" s="3" t="e">
        <f>tbl_MTG_Set[[#This Row],[Released On]]+tbl_MTG_Set[[#This Row],[Sell Window Month Start]]*365.25/12</f>
        <v>#VALUE!</v>
      </c>
      <c r="V462" t="str">
        <f>_xlfn.XLOOKUP(tbl_MTG_Set[[#This Row],[Type Name]], tbl_MTG_Set_Type[Set Type], tbl_MTG_Set_Type[Sell Window Month End], "(Set Type not found)", 0, 1)</f>
        <v>(Set Type not found)</v>
      </c>
      <c r="W462" s="3" t="e">
        <f>tbl_MTG_Set[[#This Row],[Released On]]+tbl_MTG_Set[[#This Row],[Sell Window Month End]]*365.25/12</f>
        <v>#VALUE!</v>
      </c>
      <c r="X462" s="3" t="e">
        <f ca="1">AND(NOW()&gt;=tbl_MTG_Set[[#This Row],[Sell Window Start]], NOW()&lt;=tbl_MTG_Set[[#This Row],[Sell Window End]])</f>
        <v>#VALUE!</v>
      </c>
      <c r="AG462" s="10"/>
      <c r="AH462" s="10"/>
      <c r="AM462" s="10" t="str" cm="1">
        <f t="array" ref="AM4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2" s="10" t="str" cm="1">
        <f t="array" ref="AN4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2" s="4" t="e">
        <f>_xlfn.XLOOKUP(tbl_MTG_Set[[#This Row],[Play Booster Box Product Id]], tbl_Product[Product Id], tbl_Product[Pack Size])</f>
        <v>#N/A</v>
      </c>
      <c r="AP462" s="10" t="e">
        <f>(tbl_MTG_Set[[#This Row],[Play Booster Box Cost]]+v_Item_Shipping_Cost_In)/tbl_MTG_Set[[#This Row],[Play Booster Box Size]]</f>
        <v>#VALUE!</v>
      </c>
      <c r="AQ462" s="10" t="str" cm="1">
        <f t="array" ref="AQ4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2" s="10"/>
      <c r="AS462" s="10"/>
      <c r="AT462" s="17" t="e">
        <f>tbl_MTG_Set[[#This Row],[Play Booster CardMarket Profit]]/tbl_MTG_Set[[#This Row],[Play Booster Cost]]</f>
        <v>#VALUE!</v>
      </c>
      <c r="AU462" s="10" t="e">
        <f>_xlfn.XLOOKUP(tbl_MTG_Set[[#This Row],[Collector Booster Box Product Id]], tbl_Product[Product Id], tbl_Product[Min Cost])</f>
        <v>#N/A</v>
      </c>
      <c r="AV462" s="10" t="e">
        <f>_xlfn.XLOOKUP(tbl_MTG_Set[[#This Row],[Collector Booster Box Product Id]], tbl_Product[Product Id], tbl_Product[Best Source])</f>
        <v>#N/A</v>
      </c>
      <c r="AW462" s="4" t="e">
        <f>_xlfn.XLOOKUP(tbl_MTG_Set[[#This Row],[Collector Booster Box Product Id]], tbl_Product[Product Id], tbl_Product[Pack Size])</f>
        <v>#N/A</v>
      </c>
      <c r="AX462" s="10" t="e">
        <f>(tbl_MTG_Set[[#This Row],[Collector Booster Box Cost]] + v_Item_Shipping_Cost_In) / tbl_MTG_Set[[#This Row],[Collector Booster Box Size]]</f>
        <v>#N/A</v>
      </c>
      <c r="AY462" s="10" t="str" cm="1">
        <f t="array" ref="AY4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2" s="10"/>
      <c r="BA4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2" s="17" t="e">
        <f>tbl_MTG_Set[[#This Row],[Collector Booster CardMarket Profit]]/tbl_MTG_Set[[#This Row],[Collector Booster Cost]]</f>
        <v>#N/A</v>
      </c>
      <c r="BC462" s="10"/>
      <c r="BF4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2" s="11" t="e">
        <f>tbl_MTG_Set[[#This Row],[Play Singles CardMarket Profit MTG Stocks]]/tbl_MTG_Set[[#This Row],[Play Booster Cost]]</f>
        <v>#VALUE!</v>
      </c>
      <c r="BI462" s="11" t="b">
        <f>tbl_MTG_Set[[#This Row],[Play Singles CardMarket Profit MTG Stocks]]&gt;0</f>
        <v>0</v>
      </c>
      <c r="BM462" s="10" t="e">
        <f>tbl_MTG_Set[[#This Row],[Play Booster Sell Price CardMarket]]*tbl_MTG_Set[[#This Row],[Play Booster Expected Market Value BotBox]]/tbl_MTG_Set[[#This Row],[Play Booster Sealed Market Value BotBox]]</f>
        <v>#VALUE!</v>
      </c>
      <c r="BN4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2" s="10" t="e">
        <f>tbl_MTG_Set[[#This Row],[Play Singles CardMarket Profit BotBox]]/tbl_MTG_Set[[#This Row],[Play Booster Cost]]</f>
        <v>#VALUE!</v>
      </c>
      <c r="BP462" s="10" t="b">
        <f>tbl_MTG_Set[[#This Row],[Play Singles CardMarket Profit BotBox]]&gt;0</f>
        <v>0</v>
      </c>
      <c r="BQ462" s="10"/>
      <c r="BR462" s="10"/>
      <c r="BS462" s="10"/>
      <c r="BT4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2" s="19" t="e">
        <f>tbl_MTG_Set[[#This Row],[Collector Singles CardMarket Profit MTG Stocks]]/tbl_MTG_Set[[#This Row],[Collector Booster Cost]]</f>
        <v>#N/A</v>
      </c>
      <c r="BW462" s="10" t="b">
        <f>tbl_MTG_Set[[#This Row],[Collector Singles CardMarket Profit MTG Stocks]]&gt;0</f>
        <v>0</v>
      </c>
      <c r="BX462" s="10"/>
      <c r="BY462" s="10"/>
      <c r="BZ4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2" s="10" t="e">
        <f>tbl_MTG_Set[[#This Row],[Collector Singles CardMarket Profit BotBox]]/tbl_MTG_Set[[#This Row],[Collector Booster Cost]]</f>
        <v>#N/A</v>
      </c>
      <c r="CC462" s="10" t="b">
        <f>tbl_MTG_Set[[#This Row],[Collector Singles CardMarket Profit BotBox]]&gt;0</f>
        <v>0</v>
      </c>
      <c r="CD4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3" spans="1:86" hidden="1">
      <c r="A463">
        <v>494</v>
      </c>
      <c r="B463" t="s">
        <v>636</v>
      </c>
      <c r="C463">
        <v>249</v>
      </c>
      <c r="D463" s="3">
        <v>43175</v>
      </c>
      <c r="F463" t="s">
        <v>174</v>
      </c>
      <c r="G463">
        <v>934</v>
      </c>
      <c r="H463">
        <f ca="1">MONTH(NOW())+12*YEAR(NOW())-MONTH(tbl_MTG_Set[[#This Row],[Released On]])-12*YEAR(tbl_MTG_Set[[#This Row],[Released On]])</f>
        <v>96</v>
      </c>
      <c r="I463" t="str">
        <f>_xlfn.XLOOKUP(tbl_MTG_Set[[#This Row],[Type Name]], tbl_MTG_Set_Type[Set Type], tbl_MTG_Set_Type[Index], "(Set Type not found)")</f>
        <v>(Set Type not found)</v>
      </c>
      <c r="J463" t="str">
        <f>_xlfn.XLOOKUP(tbl_MTG_Set[[#This Row],[Type Name]], tbl_MTG_Set_Type[Set Type], tbl_MTG_Set_Type[Buy Window Month Start], "(Set Type not found)")</f>
        <v>(Set Type not found)</v>
      </c>
      <c r="K463" s="3" t="e">
        <f>tbl_MTG_Set[[#This Row],[Released On]]+tbl_MTG_Set[[#This Row],[Buy Window Month Start]]*365.25/12</f>
        <v>#VALUE!</v>
      </c>
      <c r="L463" t="str">
        <f>_xlfn.XLOOKUP(tbl_MTG_Set[[#This Row],[Type Name]], tbl_MTG_Set_Type[Set Type], tbl_MTG_Set_Type[Buy Window Month End], "(Set Type not found)", 0, 1)</f>
        <v>(Set Type not found)</v>
      </c>
      <c r="M463" s="3" t="e">
        <f>tbl_MTG_Set[[#This Row],[Released On]]+tbl_MTG_Set[[#This Row],[Buy Window Month End]]*365.25/12</f>
        <v>#VALUE!</v>
      </c>
      <c r="N463" s="3" t="e">
        <f ca="1">AND(NOW()&gt;=tbl_MTG_Set[[#This Row],[Buy Window Start]], NOW()&lt;=tbl_MTG_Set[[#This Row],[Buy Window End]])</f>
        <v>#VALUE!</v>
      </c>
      <c r="O463" t="str">
        <f>_xlfn.XLOOKUP(tbl_MTG_Set[[#This Row],[Type Name]], tbl_MTG_Set_Type[Set Type], tbl_MTG_Set_Type[Heavy Printing Window Month Start], "(Set Type not found)", 0, 1)</f>
        <v>(Set Type not found)</v>
      </c>
      <c r="P463" s="3" t="e">
        <f>tbl_MTG_Set[[#This Row],[Released On]]+tbl_MTG_Set[[#This Row],[Heavy Printing Window Month Start]]*365.25/12</f>
        <v>#VALUE!</v>
      </c>
      <c r="Q463" t="str">
        <f>_xlfn.XLOOKUP(tbl_MTG_Set[[#This Row],[Type Name]], tbl_MTG_Set_Type[Set Type], tbl_MTG_Set_Type[Heavy Printing Window Month End], "(Set Type not found)", 0, 1)</f>
        <v>(Set Type not found)</v>
      </c>
      <c r="R463" s="3" t="e">
        <f>tbl_MTG_Set[[#This Row],[Released On]]+tbl_MTG_Set[[#This Row],[Heavy Printing Window Month End]]*365.25/12</f>
        <v>#VALUE!</v>
      </c>
      <c r="S463" s="3" t="e">
        <f ca="1">AND(NOW()&gt;=tbl_MTG_Set[[#This Row],[Heavy Printing Window Start]], NOW()&lt;=tbl_MTG_Set[[#This Row],[Heavy Printing Window End]])</f>
        <v>#VALUE!</v>
      </c>
      <c r="T463" t="str">
        <f>_xlfn.XLOOKUP(tbl_MTG_Set[[#This Row],[Type Name]], tbl_MTG_Set_Type[Set Type], tbl_MTG_Set_Type[Sell Window Month Start], "(Set Type not found)", 0, 1)</f>
        <v>(Set Type not found)</v>
      </c>
      <c r="U463" s="3" t="e">
        <f>tbl_MTG_Set[[#This Row],[Released On]]+tbl_MTG_Set[[#This Row],[Sell Window Month Start]]*365.25/12</f>
        <v>#VALUE!</v>
      </c>
      <c r="V463" t="str">
        <f>_xlfn.XLOOKUP(tbl_MTG_Set[[#This Row],[Type Name]], tbl_MTG_Set_Type[Set Type], tbl_MTG_Set_Type[Sell Window Month End], "(Set Type not found)", 0, 1)</f>
        <v>(Set Type not found)</v>
      </c>
      <c r="W463" s="3" t="e">
        <f>tbl_MTG_Set[[#This Row],[Released On]]+tbl_MTG_Set[[#This Row],[Sell Window Month End]]*365.25/12</f>
        <v>#VALUE!</v>
      </c>
      <c r="X463" s="3" t="e">
        <f ca="1">AND(NOW()&gt;=tbl_MTG_Set[[#This Row],[Sell Window Start]], NOW()&lt;=tbl_MTG_Set[[#This Row],[Sell Window End]])</f>
        <v>#VALUE!</v>
      </c>
      <c r="AG463" s="10"/>
      <c r="AH463" s="10"/>
      <c r="AM463" s="10" t="str" cm="1">
        <f t="array" ref="AM4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3" s="10" t="str" cm="1">
        <f t="array" ref="AN4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3" s="4" t="e">
        <f>_xlfn.XLOOKUP(tbl_MTG_Set[[#This Row],[Play Booster Box Product Id]], tbl_Product[Product Id], tbl_Product[Pack Size])</f>
        <v>#N/A</v>
      </c>
      <c r="AP463" s="10" t="e">
        <f>(tbl_MTG_Set[[#This Row],[Play Booster Box Cost]]+v_Item_Shipping_Cost_In)/tbl_MTG_Set[[#This Row],[Play Booster Box Size]]</f>
        <v>#VALUE!</v>
      </c>
      <c r="AQ463" s="10" t="str" cm="1">
        <f t="array" ref="AQ4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3" s="10"/>
      <c r="AS463" s="10"/>
      <c r="AT463" s="17" t="e">
        <f>tbl_MTG_Set[[#This Row],[Play Booster CardMarket Profit]]/tbl_MTG_Set[[#This Row],[Play Booster Cost]]</f>
        <v>#VALUE!</v>
      </c>
      <c r="AU463" s="10" t="e">
        <f>_xlfn.XLOOKUP(tbl_MTG_Set[[#This Row],[Collector Booster Box Product Id]], tbl_Product[Product Id], tbl_Product[Min Cost])</f>
        <v>#N/A</v>
      </c>
      <c r="AV463" s="10" t="e">
        <f>_xlfn.XLOOKUP(tbl_MTG_Set[[#This Row],[Collector Booster Box Product Id]], tbl_Product[Product Id], tbl_Product[Best Source])</f>
        <v>#N/A</v>
      </c>
      <c r="AW463" s="4" t="e">
        <f>_xlfn.XLOOKUP(tbl_MTG_Set[[#This Row],[Collector Booster Box Product Id]], tbl_Product[Product Id], tbl_Product[Pack Size])</f>
        <v>#N/A</v>
      </c>
      <c r="AX463" s="10" t="e">
        <f>(tbl_MTG_Set[[#This Row],[Collector Booster Box Cost]] + v_Item_Shipping_Cost_In) / tbl_MTG_Set[[#This Row],[Collector Booster Box Size]]</f>
        <v>#N/A</v>
      </c>
      <c r="AY463" s="10" t="str" cm="1">
        <f t="array" ref="AY4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3" s="10"/>
      <c r="BA4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3" s="17" t="e">
        <f>tbl_MTG_Set[[#This Row],[Collector Booster CardMarket Profit]]/tbl_MTG_Set[[#This Row],[Collector Booster Cost]]</f>
        <v>#N/A</v>
      </c>
      <c r="BC463" s="10"/>
      <c r="BF4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3" s="11" t="e">
        <f>tbl_MTG_Set[[#This Row],[Play Singles CardMarket Profit MTG Stocks]]/tbl_MTG_Set[[#This Row],[Play Booster Cost]]</f>
        <v>#VALUE!</v>
      </c>
      <c r="BI463" s="11" t="b">
        <f>tbl_MTG_Set[[#This Row],[Play Singles CardMarket Profit MTG Stocks]]&gt;0</f>
        <v>0</v>
      </c>
      <c r="BM463" s="10" t="e">
        <f>tbl_MTG_Set[[#This Row],[Play Booster Sell Price CardMarket]]*tbl_MTG_Set[[#This Row],[Play Booster Expected Market Value BotBox]]/tbl_MTG_Set[[#This Row],[Play Booster Sealed Market Value BotBox]]</f>
        <v>#VALUE!</v>
      </c>
      <c r="BN4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3" s="10" t="e">
        <f>tbl_MTG_Set[[#This Row],[Play Singles CardMarket Profit BotBox]]/tbl_MTG_Set[[#This Row],[Play Booster Cost]]</f>
        <v>#VALUE!</v>
      </c>
      <c r="BP463" s="10" t="b">
        <f>tbl_MTG_Set[[#This Row],[Play Singles CardMarket Profit BotBox]]&gt;0</f>
        <v>0</v>
      </c>
      <c r="BQ463" s="10"/>
      <c r="BR463" s="10"/>
      <c r="BS463" s="10"/>
      <c r="BT4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3" s="19" t="e">
        <f>tbl_MTG_Set[[#This Row],[Collector Singles CardMarket Profit MTG Stocks]]/tbl_MTG_Set[[#This Row],[Collector Booster Cost]]</f>
        <v>#N/A</v>
      </c>
      <c r="BW463" s="10" t="b">
        <f>tbl_MTG_Set[[#This Row],[Collector Singles CardMarket Profit MTG Stocks]]&gt;0</f>
        <v>0</v>
      </c>
      <c r="BX463" s="10"/>
      <c r="BY463" s="10"/>
      <c r="BZ4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3" s="10" t="e">
        <f>tbl_MTG_Set[[#This Row],[Collector Singles CardMarket Profit BotBox]]/tbl_MTG_Set[[#This Row],[Collector Booster Cost]]</f>
        <v>#N/A</v>
      </c>
      <c r="CC463" s="10" t="b">
        <f>tbl_MTG_Set[[#This Row],[Collector Singles CardMarket Profit BotBox]]&gt;0</f>
        <v>0</v>
      </c>
      <c r="CD4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4" spans="1:86" hidden="1">
      <c r="A464">
        <v>495</v>
      </c>
      <c r="B464" t="s">
        <v>637</v>
      </c>
      <c r="C464">
        <v>16</v>
      </c>
      <c r="D464" s="3">
        <v>43175</v>
      </c>
      <c r="F464" t="s">
        <v>174</v>
      </c>
      <c r="G464">
        <v>936</v>
      </c>
      <c r="H464">
        <f ca="1">MONTH(NOW())+12*YEAR(NOW())-MONTH(tbl_MTG_Set[[#This Row],[Released On]])-12*YEAR(tbl_MTG_Set[[#This Row],[Released On]])</f>
        <v>96</v>
      </c>
      <c r="I464" t="str">
        <f>_xlfn.XLOOKUP(tbl_MTG_Set[[#This Row],[Type Name]], tbl_MTG_Set_Type[Set Type], tbl_MTG_Set_Type[Index], "(Set Type not found)")</f>
        <v>(Set Type not found)</v>
      </c>
      <c r="J464" t="str">
        <f>_xlfn.XLOOKUP(tbl_MTG_Set[[#This Row],[Type Name]], tbl_MTG_Set_Type[Set Type], tbl_MTG_Set_Type[Buy Window Month Start], "(Set Type not found)")</f>
        <v>(Set Type not found)</v>
      </c>
      <c r="K464" s="3" t="e">
        <f>tbl_MTG_Set[[#This Row],[Released On]]+tbl_MTG_Set[[#This Row],[Buy Window Month Start]]*365.25/12</f>
        <v>#VALUE!</v>
      </c>
      <c r="L464" t="str">
        <f>_xlfn.XLOOKUP(tbl_MTG_Set[[#This Row],[Type Name]], tbl_MTG_Set_Type[Set Type], tbl_MTG_Set_Type[Buy Window Month End], "(Set Type not found)", 0, 1)</f>
        <v>(Set Type not found)</v>
      </c>
      <c r="M464" s="3" t="e">
        <f>tbl_MTG_Set[[#This Row],[Released On]]+tbl_MTG_Set[[#This Row],[Buy Window Month End]]*365.25/12</f>
        <v>#VALUE!</v>
      </c>
      <c r="N464" s="3" t="e">
        <f ca="1">AND(NOW()&gt;=tbl_MTG_Set[[#This Row],[Buy Window Start]], NOW()&lt;=tbl_MTG_Set[[#This Row],[Buy Window End]])</f>
        <v>#VALUE!</v>
      </c>
      <c r="O464" t="str">
        <f>_xlfn.XLOOKUP(tbl_MTG_Set[[#This Row],[Type Name]], tbl_MTG_Set_Type[Set Type], tbl_MTG_Set_Type[Heavy Printing Window Month Start], "(Set Type not found)", 0, 1)</f>
        <v>(Set Type not found)</v>
      </c>
      <c r="P464" s="3" t="e">
        <f>tbl_MTG_Set[[#This Row],[Released On]]+tbl_MTG_Set[[#This Row],[Heavy Printing Window Month Start]]*365.25/12</f>
        <v>#VALUE!</v>
      </c>
      <c r="Q464" t="str">
        <f>_xlfn.XLOOKUP(tbl_MTG_Set[[#This Row],[Type Name]], tbl_MTG_Set_Type[Set Type], tbl_MTG_Set_Type[Heavy Printing Window Month End], "(Set Type not found)", 0, 1)</f>
        <v>(Set Type not found)</v>
      </c>
      <c r="R464" s="3" t="e">
        <f>tbl_MTG_Set[[#This Row],[Released On]]+tbl_MTG_Set[[#This Row],[Heavy Printing Window Month End]]*365.25/12</f>
        <v>#VALUE!</v>
      </c>
      <c r="S464" s="3" t="e">
        <f ca="1">AND(NOW()&gt;=tbl_MTG_Set[[#This Row],[Heavy Printing Window Start]], NOW()&lt;=tbl_MTG_Set[[#This Row],[Heavy Printing Window End]])</f>
        <v>#VALUE!</v>
      </c>
      <c r="T464" t="str">
        <f>_xlfn.XLOOKUP(tbl_MTG_Set[[#This Row],[Type Name]], tbl_MTG_Set_Type[Set Type], tbl_MTG_Set_Type[Sell Window Month Start], "(Set Type not found)", 0, 1)</f>
        <v>(Set Type not found)</v>
      </c>
      <c r="U464" s="3" t="e">
        <f>tbl_MTG_Set[[#This Row],[Released On]]+tbl_MTG_Set[[#This Row],[Sell Window Month Start]]*365.25/12</f>
        <v>#VALUE!</v>
      </c>
      <c r="V464" t="str">
        <f>_xlfn.XLOOKUP(tbl_MTG_Set[[#This Row],[Type Name]], tbl_MTG_Set_Type[Set Type], tbl_MTG_Set_Type[Sell Window Month End], "(Set Type not found)", 0, 1)</f>
        <v>(Set Type not found)</v>
      </c>
      <c r="W464" s="3" t="e">
        <f>tbl_MTG_Set[[#This Row],[Released On]]+tbl_MTG_Set[[#This Row],[Sell Window Month End]]*365.25/12</f>
        <v>#VALUE!</v>
      </c>
      <c r="X464" s="3" t="e">
        <f ca="1">AND(NOW()&gt;=tbl_MTG_Set[[#This Row],[Sell Window Start]], NOW()&lt;=tbl_MTG_Set[[#This Row],[Sell Window End]])</f>
        <v>#VALUE!</v>
      </c>
      <c r="AG464" s="10"/>
      <c r="AH464" s="10"/>
      <c r="AM464" s="10" t="str" cm="1">
        <f t="array" ref="AM4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4" s="10" t="str" cm="1">
        <f t="array" ref="AN4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4" s="4" t="e">
        <f>_xlfn.XLOOKUP(tbl_MTG_Set[[#This Row],[Play Booster Box Product Id]], tbl_Product[Product Id], tbl_Product[Pack Size])</f>
        <v>#N/A</v>
      </c>
      <c r="AP464" s="10" t="e">
        <f>(tbl_MTG_Set[[#This Row],[Play Booster Box Cost]]+v_Item_Shipping_Cost_In)/tbl_MTG_Set[[#This Row],[Play Booster Box Size]]</f>
        <v>#VALUE!</v>
      </c>
      <c r="AQ464" s="10" t="str" cm="1">
        <f t="array" ref="AQ4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4" s="10"/>
      <c r="AS464" s="10"/>
      <c r="AT464" s="17" t="e">
        <f>tbl_MTG_Set[[#This Row],[Play Booster CardMarket Profit]]/tbl_MTG_Set[[#This Row],[Play Booster Cost]]</f>
        <v>#VALUE!</v>
      </c>
      <c r="AU464" s="10" t="e">
        <f>_xlfn.XLOOKUP(tbl_MTG_Set[[#This Row],[Collector Booster Box Product Id]], tbl_Product[Product Id], tbl_Product[Min Cost])</f>
        <v>#N/A</v>
      </c>
      <c r="AV464" s="10" t="e">
        <f>_xlfn.XLOOKUP(tbl_MTG_Set[[#This Row],[Collector Booster Box Product Id]], tbl_Product[Product Id], tbl_Product[Best Source])</f>
        <v>#N/A</v>
      </c>
      <c r="AW464" s="4" t="e">
        <f>_xlfn.XLOOKUP(tbl_MTG_Set[[#This Row],[Collector Booster Box Product Id]], tbl_Product[Product Id], tbl_Product[Pack Size])</f>
        <v>#N/A</v>
      </c>
      <c r="AX464" s="10" t="e">
        <f>(tbl_MTG_Set[[#This Row],[Collector Booster Box Cost]] + v_Item_Shipping_Cost_In) / tbl_MTG_Set[[#This Row],[Collector Booster Box Size]]</f>
        <v>#N/A</v>
      </c>
      <c r="AY464" s="10" t="str" cm="1">
        <f t="array" ref="AY4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4" s="10"/>
      <c r="BA4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4" s="17" t="e">
        <f>tbl_MTG_Set[[#This Row],[Collector Booster CardMarket Profit]]/tbl_MTG_Set[[#This Row],[Collector Booster Cost]]</f>
        <v>#N/A</v>
      </c>
      <c r="BC464" s="10"/>
      <c r="BF4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4" s="11" t="e">
        <f>tbl_MTG_Set[[#This Row],[Play Singles CardMarket Profit MTG Stocks]]/tbl_MTG_Set[[#This Row],[Play Booster Cost]]</f>
        <v>#VALUE!</v>
      </c>
      <c r="BI464" s="11" t="b">
        <f>tbl_MTG_Set[[#This Row],[Play Singles CardMarket Profit MTG Stocks]]&gt;0</f>
        <v>0</v>
      </c>
      <c r="BM464" s="10" t="e">
        <f>tbl_MTG_Set[[#This Row],[Play Booster Sell Price CardMarket]]*tbl_MTG_Set[[#This Row],[Play Booster Expected Market Value BotBox]]/tbl_MTG_Set[[#This Row],[Play Booster Sealed Market Value BotBox]]</f>
        <v>#VALUE!</v>
      </c>
      <c r="BN4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4" s="10" t="e">
        <f>tbl_MTG_Set[[#This Row],[Play Singles CardMarket Profit BotBox]]/tbl_MTG_Set[[#This Row],[Play Booster Cost]]</f>
        <v>#VALUE!</v>
      </c>
      <c r="BP464" s="10" t="b">
        <f>tbl_MTG_Set[[#This Row],[Play Singles CardMarket Profit BotBox]]&gt;0</f>
        <v>0</v>
      </c>
      <c r="BQ464" s="10"/>
      <c r="BR464" s="10"/>
      <c r="BS464" s="10"/>
      <c r="BT4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4" s="19" t="e">
        <f>tbl_MTG_Set[[#This Row],[Collector Singles CardMarket Profit MTG Stocks]]/tbl_MTG_Set[[#This Row],[Collector Booster Cost]]</f>
        <v>#N/A</v>
      </c>
      <c r="BW464" s="10" t="b">
        <f>tbl_MTG_Set[[#This Row],[Collector Singles CardMarket Profit MTG Stocks]]&gt;0</f>
        <v>0</v>
      </c>
      <c r="BX464" s="10"/>
      <c r="BY464" s="10"/>
      <c r="BZ4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4" s="10" t="e">
        <f>tbl_MTG_Set[[#This Row],[Collector Singles CardMarket Profit BotBox]]/tbl_MTG_Set[[#This Row],[Collector Booster Cost]]</f>
        <v>#N/A</v>
      </c>
      <c r="CC464" s="10" t="b">
        <f>tbl_MTG_Set[[#This Row],[Collector Singles CardMarket Profit BotBox]]&gt;0</f>
        <v>0</v>
      </c>
      <c r="CD4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5" spans="1:86" hidden="1">
      <c r="A465">
        <v>496</v>
      </c>
      <c r="B465" t="s">
        <v>638</v>
      </c>
      <c r="C465">
        <v>1</v>
      </c>
      <c r="D465" s="3">
        <v>43147</v>
      </c>
      <c r="F465" t="s">
        <v>174</v>
      </c>
      <c r="G465">
        <v>938</v>
      </c>
      <c r="H465">
        <f ca="1">MONTH(NOW())+12*YEAR(NOW())-MONTH(tbl_MTG_Set[[#This Row],[Released On]])-12*YEAR(tbl_MTG_Set[[#This Row],[Released On]])</f>
        <v>97</v>
      </c>
      <c r="I465" t="str">
        <f>_xlfn.XLOOKUP(tbl_MTG_Set[[#This Row],[Type Name]], tbl_MTG_Set_Type[Set Type], tbl_MTG_Set_Type[Index], "(Set Type not found)")</f>
        <v>(Set Type not found)</v>
      </c>
      <c r="J465" t="str">
        <f>_xlfn.XLOOKUP(tbl_MTG_Set[[#This Row],[Type Name]], tbl_MTG_Set_Type[Set Type], tbl_MTG_Set_Type[Buy Window Month Start], "(Set Type not found)")</f>
        <v>(Set Type not found)</v>
      </c>
      <c r="K465" s="3" t="e">
        <f>tbl_MTG_Set[[#This Row],[Released On]]+tbl_MTG_Set[[#This Row],[Buy Window Month Start]]*365.25/12</f>
        <v>#VALUE!</v>
      </c>
      <c r="L465" t="str">
        <f>_xlfn.XLOOKUP(tbl_MTG_Set[[#This Row],[Type Name]], tbl_MTG_Set_Type[Set Type], tbl_MTG_Set_Type[Buy Window Month End], "(Set Type not found)", 0, 1)</f>
        <v>(Set Type not found)</v>
      </c>
      <c r="M465" s="3" t="e">
        <f>tbl_MTG_Set[[#This Row],[Released On]]+tbl_MTG_Set[[#This Row],[Buy Window Month End]]*365.25/12</f>
        <v>#VALUE!</v>
      </c>
      <c r="N465" s="3" t="e">
        <f ca="1">AND(NOW()&gt;=tbl_MTG_Set[[#This Row],[Buy Window Start]], NOW()&lt;=tbl_MTG_Set[[#This Row],[Buy Window End]])</f>
        <v>#VALUE!</v>
      </c>
      <c r="O465" t="str">
        <f>_xlfn.XLOOKUP(tbl_MTG_Set[[#This Row],[Type Name]], tbl_MTG_Set_Type[Set Type], tbl_MTG_Set_Type[Heavy Printing Window Month Start], "(Set Type not found)", 0, 1)</f>
        <v>(Set Type not found)</v>
      </c>
      <c r="P465" s="3" t="e">
        <f>tbl_MTG_Set[[#This Row],[Released On]]+tbl_MTG_Set[[#This Row],[Heavy Printing Window Month Start]]*365.25/12</f>
        <v>#VALUE!</v>
      </c>
      <c r="Q465" t="str">
        <f>_xlfn.XLOOKUP(tbl_MTG_Set[[#This Row],[Type Name]], tbl_MTG_Set_Type[Set Type], tbl_MTG_Set_Type[Heavy Printing Window Month End], "(Set Type not found)", 0, 1)</f>
        <v>(Set Type not found)</v>
      </c>
      <c r="R465" s="3" t="e">
        <f>tbl_MTG_Set[[#This Row],[Released On]]+tbl_MTG_Set[[#This Row],[Heavy Printing Window Month End]]*365.25/12</f>
        <v>#VALUE!</v>
      </c>
      <c r="S465" s="3" t="e">
        <f ca="1">AND(NOW()&gt;=tbl_MTG_Set[[#This Row],[Heavy Printing Window Start]], NOW()&lt;=tbl_MTG_Set[[#This Row],[Heavy Printing Window End]])</f>
        <v>#VALUE!</v>
      </c>
      <c r="T465" t="str">
        <f>_xlfn.XLOOKUP(tbl_MTG_Set[[#This Row],[Type Name]], tbl_MTG_Set_Type[Set Type], tbl_MTG_Set_Type[Sell Window Month Start], "(Set Type not found)", 0, 1)</f>
        <v>(Set Type not found)</v>
      </c>
      <c r="U465" s="3" t="e">
        <f>tbl_MTG_Set[[#This Row],[Released On]]+tbl_MTG_Set[[#This Row],[Sell Window Month Start]]*365.25/12</f>
        <v>#VALUE!</v>
      </c>
      <c r="V465" t="str">
        <f>_xlfn.XLOOKUP(tbl_MTG_Set[[#This Row],[Type Name]], tbl_MTG_Set_Type[Set Type], tbl_MTG_Set_Type[Sell Window Month End], "(Set Type not found)", 0, 1)</f>
        <v>(Set Type not found)</v>
      </c>
      <c r="W465" s="3" t="e">
        <f>tbl_MTG_Set[[#This Row],[Released On]]+tbl_MTG_Set[[#This Row],[Sell Window Month End]]*365.25/12</f>
        <v>#VALUE!</v>
      </c>
      <c r="X465" s="3" t="e">
        <f ca="1">AND(NOW()&gt;=tbl_MTG_Set[[#This Row],[Sell Window Start]], NOW()&lt;=tbl_MTG_Set[[#This Row],[Sell Window End]])</f>
        <v>#VALUE!</v>
      </c>
      <c r="AG465" s="10"/>
      <c r="AH465" s="10"/>
      <c r="AM465" s="10" t="str" cm="1">
        <f t="array" ref="AM4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5" s="10" t="str" cm="1">
        <f t="array" ref="AN4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5" s="4" t="e">
        <f>_xlfn.XLOOKUP(tbl_MTG_Set[[#This Row],[Play Booster Box Product Id]], tbl_Product[Product Id], tbl_Product[Pack Size])</f>
        <v>#N/A</v>
      </c>
      <c r="AP465" s="10" t="e">
        <f>(tbl_MTG_Set[[#This Row],[Play Booster Box Cost]]+v_Item_Shipping_Cost_In)/tbl_MTG_Set[[#This Row],[Play Booster Box Size]]</f>
        <v>#VALUE!</v>
      </c>
      <c r="AQ465" s="10" t="str" cm="1">
        <f t="array" ref="AQ4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5" s="10"/>
      <c r="AS465" s="10"/>
      <c r="AT465" s="17" t="e">
        <f>tbl_MTG_Set[[#This Row],[Play Booster CardMarket Profit]]/tbl_MTG_Set[[#This Row],[Play Booster Cost]]</f>
        <v>#VALUE!</v>
      </c>
      <c r="AU465" s="10" t="e">
        <f>_xlfn.XLOOKUP(tbl_MTG_Set[[#This Row],[Collector Booster Box Product Id]], tbl_Product[Product Id], tbl_Product[Min Cost])</f>
        <v>#N/A</v>
      </c>
      <c r="AV465" s="10" t="e">
        <f>_xlfn.XLOOKUP(tbl_MTG_Set[[#This Row],[Collector Booster Box Product Id]], tbl_Product[Product Id], tbl_Product[Best Source])</f>
        <v>#N/A</v>
      </c>
      <c r="AW465" s="4" t="e">
        <f>_xlfn.XLOOKUP(tbl_MTG_Set[[#This Row],[Collector Booster Box Product Id]], tbl_Product[Product Id], tbl_Product[Pack Size])</f>
        <v>#N/A</v>
      </c>
      <c r="AX465" s="10" t="e">
        <f>(tbl_MTG_Set[[#This Row],[Collector Booster Box Cost]] + v_Item_Shipping_Cost_In) / tbl_MTG_Set[[#This Row],[Collector Booster Box Size]]</f>
        <v>#N/A</v>
      </c>
      <c r="AY465" s="10" t="str" cm="1">
        <f t="array" ref="AY4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5" s="10"/>
      <c r="BA4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5" s="17" t="e">
        <f>tbl_MTG_Set[[#This Row],[Collector Booster CardMarket Profit]]/tbl_MTG_Set[[#This Row],[Collector Booster Cost]]</f>
        <v>#N/A</v>
      </c>
      <c r="BC465" s="10"/>
      <c r="BF4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5" s="11" t="e">
        <f>tbl_MTG_Set[[#This Row],[Play Singles CardMarket Profit MTG Stocks]]/tbl_MTG_Set[[#This Row],[Play Booster Cost]]</f>
        <v>#VALUE!</v>
      </c>
      <c r="BI465" s="11" t="b">
        <f>tbl_MTG_Set[[#This Row],[Play Singles CardMarket Profit MTG Stocks]]&gt;0</f>
        <v>0</v>
      </c>
      <c r="BM465" s="10" t="e">
        <f>tbl_MTG_Set[[#This Row],[Play Booster Sell Price CardMarket]]*tbl_MTG_Set[[#This Row],[Play Booster Expected Market Value BotBox]]/tbl_MTG_Set[[#This Row],[Play Booster Sealed Market Value BotBox]]</f>
        <v>#VALUE!</v>
      </c>
      <c r="BN4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5" s="10" t="e">
        <f>tbl_MTG_Set[[#This Row],[Play Singles CardMarket Profit BotBox]]/tbl_MTG_Set[[#This Row],[Play Booster Cost]]</f>
        <v>#VALUE!</v>
      </c>
      <c r="BP465" s="10" t="b">
        <f>tbl_MTG_Set[[#This Row],[Play Singles CardMarket Profit BotBox]]&gt;0</f>
        <v>0</v>
      </c>
      <c r="BQ465" s="10"/>
      <c r="BR465" s="10"/>
      <c r="BS465" s="10"/>
      <c r="BT4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5" s="19" t="e">
        <f>tbl_MTG_Set[[#This Row],[Collector Singles CardMarket Profit MTG Stocks]]/tbl_MTG_Set[[#This Row],[Collector Booster Cost]]</f>
        <v>#N/A</v>
      </c>
      <c r="BW465" s="10" t="b">
        <f>tbl_MTG_Set[[#This Row],[Collector Singles CardMarket Profit MTG Stocks]]&gt;0</f>
        <v>0</v>
      </c>
      <c r="BX465" s="10"/>
      <c r="BY465" s="10"/>
      <c r="BZ4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5" s="10" t="e">
        <f>tbl_MTG_Set[[#This Row],[Collector Singles CardMarket Profit BotBox]]/tbl_MTG_Set[[#This Row],[Collector Booster Cost]]</f>
        <v>#N/A</v>
      </c>
      <c r="CC465" s="10" t="b">
        <f>tbl_MTG_Set[[#This Row],[Collector Singles CardMarket Profit BotBox]]&gt;0</f>
        <v>0</v>
      </c>
      <c r="CD4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6" spans="1:86" hidden="1">
      <c r="A466">
        <v>497</v>
      </c>
      <c r="B466" t="s">
        <v>639</v>
      </c>
      <c r="C466">
        <v>1</v>
      </c>
      <c r="D466" s="3">
        <v>43125</v>
      </c>
      <c r="F466" t="s">
        <v>174</v>
      </c>
      <c r="G466">
        <v>940</v>
      </c>
      <c r="H466">
        <f ca="1">MONTH(NOW())+12*YEAR(NOW())-MONTH(tbl_MTG_Set[[#This Row],[Released On]])-12*YEAR(tbl_MTG_Set[[#This Row],[Released On]])</f>
        <v>98</v>
      </c>
      <c r="I466" t="str">
        <f>_xlfn.XLOOKUP(tbl_MTG_Set[[#This Row],[Type Name]], tbl_MTG_Set_Type[Set Type], tbl_MTG_Set_Type[Index], "(Set Type not found)")</f>
        <v>(Set Type not found)</v>
      </c>
      <c r="J466" t="str">
        <f>_xlfn.XLOOKUP(tbl_MTG_Set[[#This Row],[Type Name]], tbl_MTG_Set_Type[Set Type], tbl_MTG_Set_Type[Buy Window Month Start], "(Set Type not found)")</f>
        <v>(Set Type not found)</v>
      </c>
      <c r="K466" s="3" t="e">
        <f>tbl_MTG_Set[[#This Row],[Released On]]+tbl_MTG_Set[[#This Row],[Buy Window Month Start]]*365.25/12</f>
        <v>#VALUE!</v>
      </c>
      <c r="L466" t="str">
        <f>_xlfn.XLOOKUP(tbl_MTG_Set[[#This Row],[Type Name]], tbl_MTG_Set_Type[Set Type], tbl_MTG_Set_Type[Buy Window Month End], "(Set Type not found)", 0, 1)</f>
        <v>(Set Type not found)</v>
      </c>
      <c r="M466" s="3" t="e">
        <f>tbl_MTG_Set[[#This Row],[Released On]]+tbl_MTG_Set[[#This Row],[Buy Window Month End]]*365.25/12</f>
        <v>#VALUE!</v>
      </c>
      <c r="N466" s="3" t="e">
        <f ca="1">AND(NOW()&gt;=tbl_MTG_Set[[#This Row],[Buy Window Start]], NOW()&lt;=tbl_MTG_Set[[#This Row],[Buy Window End]])</f>
        <v>#VALUE!</v>
      </c>
      <c r="O466" t="str">
        <f>_xlfn.XLOOKUP(tbl_MTG_Set[[#This Row],[Type Name]], tbl_MTG_Set_Type[Set Type], tbl_MTG_Set_Type[Heavy Printing Window Month Start], "(Set Type not found)", 0, 1)</f>
        <v>(Set Type not found)</v>
      </c>
      <c r="P466" s="3" t="e">
        <f>tbl_MTG_Set[[#This Row],[Released On]]+tbl_MTG_Set[[#This Row],[Heavy Printing Window Month Start]]*365.25/12</f>
        <v>#VALUE!</v>
      </c>
      <c r="Q466" t="str">
        <f>_xlfn.XLOOKUP(tbl_MTG_Set[[#This Row],[Type Name]], tbl_MTG_Set_Type[Set Type], tbl_MTG_Set_Type[Heavy Printing Window Month End], "(Set Type not found)", 0, 1)</f>
        <v>(Set Type not found)</v>
      </c>
      <c r="R466" s="3" t="e">
        <f>tbl_MTG_Set[[#This Row],[Released On]]+tbl_MTG_Set[[#This Row],[Heavy Printing Window Month End]]*365.25/12</f>
        <v>#VALUE!</v>
      </c>
      <c r="S466" s="3" t="e">
        <f ca="1">AND(NOW()&gt;=tbl_MTG_Set[[#This Row],[Heavy Printing Window Start]], NOW()&lt;=tbl_MTG_Set[[#This Row],[Heavy Printing Window End]])</f>
        <v>#VALUE!</v>
      </c>
      <c r="T466" t="str">
        <f>_xlfn.XLOOKUP(tbl_MTG_Set[[#This Row],[Type Name]], tbl_MTG_Set_Type[Set Type], tbl_MTG_Set_Type[Sell Window Month Start], "(Set Type not found)", 0, 1)</f>
        <v>(Set Type not found)</v>
      </c>
      <c r="U466" s="3" t="e">
        <f>tbl_MTG_Set[[#This Row],[Released On]]+tbl_MTG_Set[[#This Row],[Sell Window Month Start]]*365.25/12</f>
        <v>#VALUE!</v>
      </c>
      <c r="V466" t="str">
        <f>_xlfn.XLOOKUP(tbl_MTG_Set[[#This Row],[Type Name]], tbl_MTG_Set_Type[Set Type], tbl_MTG_Set_Type[Sell Window Month End], "(Set Type not found)", 0, 1)</f>
        <v>(Set Type not found)</v>
      </c>
      <c r="W466" s="3" t="e">
        <f>tbl_MTG_Set[[#This Row],[Released On]]+tbl_MTG_Set[[#This Row],[Sell Window Month End]]*365.25/12</f>
        <v>#VALUE!</v>
      </c>
      <c r="X466" s="3" t="e">
        <f ca="1">AND(NOW()&gt;=tbl_MTG_Set[[#This Row],[Sell Window Start]], NOW()&lt;=tbl_MTG_Set[[#This Row],[Sell Window End]])</f>
        <v>#VALUE!</v>
      </c>
      <c r="AG466" s="10"/>
      <c r="AH466" s="10"/>
      <c r="AM466" s="10" t="str" cm="1">
        <f t="array" ref="AM4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6" s="10" t="str" cm="1">
        <f t="array" ref="AN4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6" s="4" t="e">
        <f>_xlfn.XLOOKUP(tbl_MTG_Set[[#This Row],[Play Booster Box Product Id]], tbl_Product[Product Id], tbl_Product[Pack Size])</f>
        <v>#N/A</v>
      </c>
      <c r="AP466" s="10" t="e">
        <f>(tbl_MTG_Set[[#This Row],[Play Booster Box Cost]]+v_Item_Shipping_Cost_In)/tbl_MTG_Set[[#This Row],[Play Booster Box Size]]</f>
        <v>#VALUE!</v>
      </c>
      <c r="AQ466" s="10" t="str" cm="1">
        <f t="array" ref="AQ4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6" s="10"/>
      <c r="AS466" s="10"/>
      <c r="AT466" s="17" t="e">
        <f>tbl_MTG_Set[[#This Row],[Play Booster CardMarket Profit]]/tbl_MTG_Set[[#This Row],[Play Booster Cost]]</f>
        <v>#VALUE!</v>
      </c>
      <c r="AU466" s="10" t="e">
        <f>_xlfn.XLOOKUP(tbl_MTG_Set[[#This Row],[Collector Booster Box Product Id]], tbl_Product[Product Id], tbl_Product[Min Cost])</f>
        <v>#N/A</v>
      </c>
      <c r="AV466" s="10" t="e">
        <f>_xlfn.XLOOKUP(tbl_MTG_Set[[#This Row],[Collector Booster Box Product Id]], tbl_Product[Product Id], tbl_Product[Best Source])</f>
        <v>#N/A</v>
      </c>
      <c r="AW466" s="4" t="e">
        <f>_xlfn.XLOOKUP(tbl_MTG_Set[[#This Row],[Collector Booster Box Product Id]], tbl_Product[Product Id], tbl_Product[Pack Size])</f>
        <v>#N/A</v>
      </c>
      <c r="AX466" s="10" t="e">
        <f>(tbl_MTG_Set[[#This Row],[Collector Booster Box Cost]] + v_Item_Shipping_Cost_In) / tbl_MTG_Set[[#This Row],[Collector Booster Box Size]]</f>
        <v>#N/A</v>
      </c>
      <c r="AY466" s="10" t="str" cm="1">
        <f t="array" ref="AY4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6" s="10"/>
      <c r="BA4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6" s="17" t="e">
        <f>tbl_MTG_Set[[#This Row],[Collector Booster CardMarket Profit]]/tbl_MTG_Set[[#This Row],[Collector Booster Cost]]</f>
        <v>#N/A</v>
      </c>
      <c r="BC466" s="10"/>
      <c r="BF4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6" s="11" t="e">
        <f>tbl_MTG_Set[[#This Row],[Play Singles CardMarket Profit MTG Stocks]]/tbl_MTG_Set[[#This Row],[Play Booster Cost]]</f>
        <v>#VALUE!</v>
      </c>
      <c r="BI466" s="11" t="b">
        <f>tbl_MTG_Set[[#This Row],[Play Singles CardMarket Profit MTG Stocks]]&gt;0</f>
        <v>0</v>
      </c>
      <c r="BM466" s="10" t="e">
        <f>tbl_MTG_Set[[#This Row],[Play Booster Sell Price CardMarket]]*tbl_MTG_Set[[#This Row],[Play Booster Expected Market Value BotBox]]/tbl_MTG_Set[[#This Row],[Play Booster Sealed Market Value BotBox]]</f>
        <v>#VALUE!</v>
      </c>
      <c r="BN4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6" s="10" t="e">
        <f>tbl_MTG_Set[[#This Row],[Play Singles CardMarket Profit BotBox]]/tbl_MTG_Set[[#This Row],[Play Booster Cost]]</f>
        <v>#VALUE!</v>
      </c>
      <c r="BP466" s="10" t="b">
        <f>tbl_MTG_Set[[#This Row],[Play Singles CardMarket Profit BotBox]]&gt;0</f>
        <v>0</v>
      </c>
      <c r="BQ466" s="10"/>
      <c r="BR466" s="10"/>
      <c r="BS466" s="10"/>
      <c r="BT4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6" s="19" t="e">
        <f>tbl_MTG_Set[[#This Row],[Collector Singles CardMarket Profit MTG Stocks]]/tbl_MTG_Set[[#This Row],[Collector Booster Cost]]</f>
        <v>#N/A</v>
      </c>
      <c r="BW466" s="10" t="b">
        <f>tbl_MTG_Set[[#This Row],[Collector Singles CardMarket Profit MTG Stocks]]&gt;0</f>
        <v>0</v>
      </c>
      <c r="BX466" s="10"/>
      <c r="BY466" s="10"/>
      <c r="BZ4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6" s="10" t="e">
        <f>tbl_MTG_Set[[#This Row],[Collector Singles CardMarket Profit BotBox]]/tbl_MTG_Set[[#This Row],[Collector Booster Cost]]</f>
        <v>#N/A</v>
      </c>
      <c r="CC466" s="10" t="b">
        <f>tbl_MTG_Set[[#This Row],[Collector Singles CardMarket Profit BotBox]]&gt;0</f>
        <v>0</v>
      </c>
      <c r="CD4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7" spans="1:86" hidden="1">
      <c r="A467">
        <v>498</v>
      </c>
      <c r="B467" t="s">
        <v>640</v>
      </c>
      <c r="C467">
        <v>205</v>
      </c>
      <c r="D467" s="3">
        <v>43119</v>
      </c>
      <c r="E467" t="s">
        <v>59</v>
      </c>
      <c r="F467" t="s">
        <v>174</v>
      </c>
      <c r="G467">
        <v>942</v>
      </c>
      <c r="H467">
        <f ca="1">MONTH(NOW())+12*YEAR(NOW())-MONTH(tbl_MTG_Set[[#This Row],[Released On]])-12*YEAR(tbl_MTG_Set[[#This Row],[Released On]])</f>
        <v>98</v>
      </c>
      <c r="I467">
        <f>_xlfn.XLOOKUP(tbl_MTG_Set[[#This Row],[Type Name]], tbl_MTG_Set_Type[Set Type], tbl_MTG_Set_Type[Index], "(Set Type not found)")</f>
        <v>1</v>
      </c>
      <c r="J467">
        <f>_xlfn.XLOOKUP(tbl_MTG_Set[[#This Row],[Type Name]], tbl_MTG_Set_Type[Set Type], tbl_MTG_Set_Type[Buy Window Month Start], "(Set Type not found)")</f>
        <v>18</v>
      </c>
      <c r="K467" s="3">
        <f>tbl_MTG_Set[[#This Row],[Released On]]+tbl_MTG_Set[[#This Row],[Buy Window Month Start]]*365.25/12</f>
        <v>43666.875</v>
      </c>
      <c r="L467">
        <f>_xlfn.XLOOKUP(tbl_MTG_Set[[#This Row],[Type Name]], tbl_MTG_Set_Type[Set Type], tbl_MTG_Set_Type[Buy Window Month End], "(Set Type not found)", 0, 1)</f>
        <v>24</v>
      </c>
      <c r="M467" s="3">
        <f>tbl_MTG_Set[[#This Row],[Released On]]+tbl_MTG_Set[[#This Row],[Buy Window Month End]]*365.25/12</f>
        <v>43849.5</v>
      </c>
      <c r="N467" s="3" t="b">
        <f ca="1">AND(NOW()&gt;=tbl_MTG_Set[[#This Row],[Buy Window Start]], NOW()&lt;=tbl_MTG_Set[[#This Row],[Buy Window End]])</f>
        <v>0</v>
      </c>
      <c r="O467">
        <f>_xlfn.XLOOKUP(tbl_MTG_Set[[#This Row],[Type Name]], tbl_MTG_Set_Type[Set Type], tbl_MTG_Set_Type[Heavy Printing Window Month Start], "(Set Type not found)", 0, 1)</f>
        <v>1</v>
      </c>
      <c r="P467" s="3">
        <f>tbl_MTG_Set[[#This Row],[Released On]]+tbl_MTG_Set[[#This Row],[Heavy Printing Window Month Start]]*365.25/12</f>
        <v>43149.4375</v>
      </c>
      <c r="Q467">
        <f>_xlfn.XLOOKUP(tbl_MTG_Set[[#This Row],[Type Name]], tbl_MTG_Set_Type[Set Type], tbl_MTG_Set_Type[Heavy Printing Window Month End], "(Set Type not found)", 0, 1)</f>
        <v>18</v>
      </c>
      <c r="R467" s="3">
        <f>tbl_MTG_Set[[#This Row],[Released On]]+tbl_MTG_Set[[#This Row],[Heavy Printing Window Month End]]*365.25/12</f>
        <v>43666.875</v>
      </c>
      <c r="S467" s="3" t="b">
        <f ca="1">AND(NOW()&gt;=tbl_MTG_Set[[#This Row],[Heavy Printing Window Start]], NOW()&lt;=tbl_MTG_Set[[#This Row],[Heavy Printing Window End]])</f>
        <v>0</v>
      </c>
      <c r="T467">
        <f>_xlfn.XLOOKUP(tbl_MTG_Set[[#This Row],[Type Name]], tbl_MTG_Set_Type[Set Type], tbl_MTG_Set_Type[Sell Window Month Start], "(Set Type not found)", 0, 1)</f>
        <v>36</v>
      </c>
      <c r="U467" s="3">
        <f>tbl_MTG_Set[[#This Row],[Released On]]+tbl_MTG_Set[[#This Row],[Sell Window Month Start]]*365.25/12</f>
        <v>44214.75</v>
      </c>
      <c r="V467">
        <f>_xlfn.XLOOKUP(tbl_MTG_Set[[#This Row],[Type Name]], tbl_MTG_Set_Type[Set Type], tbl_MTG_Set_Type[Sell Window Month End], "(Set Type not found)", 0, 1)</f>
        <v>48</v>
      </c>
      <c r="W467" s="3">
        <f>tbl_MTG_Set[[#This Row],[Released On]]+tbl_MTG_Set[[#This Row],[Sell Window Month End]]*365.25/12</f>
        <v>44580</v>
      </c>
      <c r="X467" s="3" t="b">
        <f ca="1">AND(NOW()&gt;=tbl_MTG_Set[[#This Row],[Sell Window Start]], NOW()&lt;=tbl_MTG_Set[[#This Row],[Sell Window End]])</f>
        <v>0</v>
      </c>
      <c r="AG467" s="10"/>
      <c r="AH467" s="10"/>
      <c r="AM467" s="10" t="str" cm="1">
        <f t="array" ref="AM4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7" s="10" t="str" cm="1">
        <f t="array" ref="AN4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7" s="4" t="e">
        <f>_xlfn.XLOOKUP(tbl_MTG_Set[[#This Row],[Play Booster Box Product Id]], tbl_Product[Product Id], tbl_Product[Pack Size])</f>
        <v>#N/A</v>
      </c>
      <c r="AP467" s="10" t="e">
        <f>(tbl_MTG_Set[[#This Row],[Play Booster Box Cost]]+v_Item_Shipping_Cost_In)/tbl_MTG_Set[[#This Row],[Play Booster Box Size]]</f>
        <v>#VALUE!</v>
      </c>
      <c r="AQ467" s="10" t="str" cm="1">
        <f t="array" ref="AQ4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7" s="10"/>
      <c r="AS467" s="10"/>
      <c r="AT467" s="17" t="e">
        <f>tbl_MTG_Set[[#This Row],[Play Booster CardMarket Profit]]/tbl_MTG_Set[[#This Row],[Play Booster Cost]]</f>
        <v>#VALUE!</v>
      </c>
      <c r="AU467" s="10" t="e">
        <f>_xlfn.XLOOKUP(tbl_MTG_Set[[#This Row],[Collector Booster Box Product Id]], tbl_Product[Product Id], tbl_Product[Min Cost])</f>
        <v>#N/A</v>
      </c>
      <c r="AV467" s="10" t="e">
        <f>_xlfn.XLOOKUP(tbl_MTG_Set[[#This Row],[Collector Booster Box Product Id]], tbl_Product[Product Id], tbl_Product[Best Source])</f>
        <v>#N/A</v>
      </c>
      <c r="AW467" s="4" t="e">
        <f>_xlfn.XLOOKUP(tbl_MTG_Set[[#This Row],[Collector Booster Box Product Id]], tbl_Product[Product Id], tbl_Product[Pack Size])</f>
        <v>#N/A</v>
      </c>
      <c r="AX467" s="10" t="e">
        <f>(tbl_MTG_Set[[#This Row],[Collector Booster Box Cost]] + v_Item_Shipping_Cost_In) / tbl_MTG_Set[[#This Row],[Collector Booster Box Size]]</f>
        <v>#N/A</v>
      </c>
      <c r="AY467" s="10" t="str" cm="1">
        <f t="array" ref="AY4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7" s="10"/>
      <c r="BA4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7" s="17" t="e">
        <f>tbl_MTG_Set[[#This Row],[Collector Booster CardMarket Profit]]/tbl_MTG_Set[[#This Row],[Collector Booster Cost]]</f>
        <v>#N/A</v>
      </c>
      <c r="BC467" s="10"/>
      <c r="BF4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7" s="11" t="e">
        <f>tbl_MTG_Set[[#This Row],[Play Singles CardMarket Profit MTG Stocks]]/tbl_MTG_Set[[#This Row],[Play Booster Cost]]</f>
        <v>#VALUE!</v>
      </c>
      <c r="BI467" s="11" t="b">
        <f>tbl_MTG_Set[[#This Row],[Play Singles CardMarket Profit MTG Stocks]]&gt;0</f>
        <v>0</v>
      </c>
      <c r="BM467" s="10" t="e">
        <f>tbl_MTG_Set[[#This Row],[Play Booster Sell Price CardMarket]]*tbl_MTG_Set[[#This Row],[Play Booster Expected Market Value BotBox]]/tbl_MTG_Set[[#This Row],[Play Booster Sealed Market Value BotBox]]</f>
        <v>#VALUE!</v>
      </c>
      <c r="BN4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7" s="10" t="e">
        <f>tbl_MTG_Set[[#This Row],[Play Singles CardMarket Profit BotBox]]/tbl_MTG_Set[[#This Row],[Play Booster Cost]]</f>
        <v>#VALUE!</v>
      </c>
      <c r="BP467" s="10" t="b">
        <f>tbl_MTG_Set[[#This Row],[Play Singles CardMarket Profit BotBox]]&gt;0</f>
        <v>0</v>
      </c>
      <c r="BQ467" s="10"/>
      <c r="BR467" s="10"/>
      <c r="BS467" s="10"/>
      <c r="BT4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7" s="19" t="e">
        <f>tbl_MTG_Set[[#This Row],[Collector Singles CardMarket Profit MTG Stocks]]/tbl_MTG_Set[[#This Row],[Collector Booster Cost]]</f>
        <v>#N/A</v>
      </c>
      <c r="BW467" s="10" t="b">
        <f>tbl_MTG_Set[[#This Row],[Collector Singles CardMarket Profit MTG Stocks]]&gt;0</f>
        <v>0</v>
      </c>
      <c r="BX467" s="10"/>
      <c r="BY467" s="10"/>
      <c r="BZ4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7" s="10" t="e">
        <f>tbl_MTG_Set[[#This Row],[Collector Singles CardMarket Profit BotBox]]/tbl_MTG_Set[[#This Row],[Collector Booster Cost]]</f>
        <v>#N/A</v>
      </c>
      <c r="CC467" s="10" t="b">
        <f>tbl_MTG_Set[[#This Row],[Collector Singles CardMarket Profit BotBox]]&gt;0</f>
        <v>0</v>
      </c>
      <c r="CD4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8" spans="1:86" hidden="1">
      <c r="A468">
        <v>499</v>
      </c>
      <c r="B468" t="s">
        <v>641</v>
      </c>
      <c r="C468">
        <v>98</v>
      </c>
      <c r="D468" s="3">
        <v>43119</v>
      </c>
      <c r="E468" t="s">
        <v>59</v>
      </c>
      <c r="F468" t="s">
        <v>174</v>
      </c>
      <c r="G468">
        <v>944</v>
      </c>
      <c r="H468">
        <f ca="1">MONTH(NOW())+12*YEAR(NOW())-MONTH(tbl_MTG_Set[[#This Row],[Released On]])-12*YEAR(tbl_MTG_Set[[#This Row],[Released On]])</f>
        <v>98</v>
      </c>
      <c r="I468">
        <f>_xlfn.XLOOKUP(tbl_MTG_Set[[#This Row],[Type Name]], tbl_MTG_Set_Type[Set Type], tbl_MTG_Set_Type[Index], "(Set Type not found)")</f>
        <v>1</v>
      </c>
      <c r="J468">
        <f>_xlfn.XLOOKUP(tbl_MTG_Set[[#This Row],[Type Name]], tbl_MTG_Set_Type[Set Type], tbl_MTG_Set_Type[Buy Window Month Start], "(Set Type not found)")</f>
        <v>18</v>
      </c>
      <c r="K468" s="3">
        <f>tbl_MTG_Set[[#This Row],[Released On]]+tbl_MTG_Set[[#This Row],[Buy Window Month Start]]*365.25/12</f>
        <v>43666.875</v>
      </c>
      <c r="L468">
        <f>_xlfn.XLOOKUP(tbl_MTG_Set[[#This Row],[Type Name]], tbl_MTG_Set_Type[Set Type], tbl_MTG_Set_Type[Buy Window Month End], "(Set Type not found)", 0, 1)</f>
        <v>24</v>
      </c>
      <c r="M468" s="3">
        <f>tbl_MTG_Set[[#This Row],[Released On]]+tbl_MTG_Set[[#This Row],[Buy Window Month End]]*365.25/12</f>
        <v>43849.5</v>
      </c>
      <c r="N468" s="3" t="b">
        <f ca="1">AND(NOW()&gt;=tbl_MTG_Set[[#This Row],[Buy Window Start]], NOW()&lt;=tbl_MTG_Set[[#This Row],[Buy Window End]])</f>
        <v>0</v>
      </c>
      <c r="O468">
        <f>_xlfn.XLOOKUP(tbl_MTG_Set[[#This Row],[Type Name]], tbl_MTG_Set_Type[Set Type], tbl_MTG_Set_Type[Heavy Printing Window Month Start], "(Set Type not found)", 0, 1)</f>
        <v>1</v>
      </c>
      <c r="P468" s="3">
        <f>tbl_MTG_Set[[#This Row],[Released On]]+tbl_MTG_Set[[#This Row],[Heavy Printing Window Month Start]]*365.25/12</f>
        <v>43149.4375</v>
      </c>
      <c r="Q468">
        <f>_xlfn.XLOOKUP(tbl_MTG_Set[[#This Row],[Type Name]], tbl_MTG_Set_Type[Set Type], tbl_MTG_Set_Type[Heavy Printing Window Month End], "(Set Type not found)", 0, 1)</f>
        <v>18</v>
      </c>
      <c r="R468" s="3">
        <f>tbl_MTG_Set[[#This Row],[Released On]]+tbl_MTG_Set[[#This Row],[Heavy Printing Window Month End]]*365.25/12</f>
        <v>43666.875</v>
      </c>
      <c r="S468" s="3" t="b">
        <f ca="1">AND(NOW()&gt;=tbl_MTG_Set[[#This Row],[Heavy Printing Window Start]], NOW()&lt;=tbl_MTG_Set[[#This Row],[Heavy Printing Window End]])</f>
        <v>0</v>
      </c>
      <c r="T468">
        <f>_xlfn.XLOOKUP(tbl_MTG_Set[[#This Row],[Type Name]], tbl_MTG_Set_Type[Set Type], tbl_MTG_Set_Type[Sell Window Month Start], "(Set Type not found)", 0, 1)</f>
        <v>36</v>
      </c>
      <c r="U468" s="3">
        <f>tbl_MTG_Set[[#This Row],[Released On]]+tbl_MTG_Set[[#This Row],[Sell Window Month Start]]*365.25/12</f>
        <v>44214.75</v>
      </c>
      <c r="V468">
        <f>_xlfn.XLOOKUP(tbl_MTG_Set[[#This Row],[Type Name]], tbl_MTG_Set_Type[Set Type], tbl_MTG_Set_Type[Sell Window Month End], "(Set Type not found)", 0, 1)</f>
        <v>48</v>
      </c>
      <c r="W468" s="3">
        <f>tbl_MTG_Set[[#This Row],[Released On]]+tbl_MTG_Set[[#This Row],[Sell Window Month End]]*365.25/12</f>
        <v>44580</v>
      </c>
      <c r="X468" s="3" t="b">
        <f ca="1">AND(NOW()&gt;=tbl_MTG_Set[[#This Row],[Sell Window Start]], NOW()&lt;=tbl_MTG_Set[[#This Row],[Sell Window End]])</f>
        <v>0</v>
      </c>
      <c r="AG468" s="10"/>
      <c r="AH468" s="10"/>
      <c r="AM468" s="10" t="str" cm="1">
        <f t="array" ref="AM4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8" s="10" t="str" cm="1">
        <f t="array" ref="AN4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8" s="4" t="e">
        <f>_xlfn.XLOOKUP(tbl_MTG_Set[[#This Row],[Play Booster Box Product Id]], tbl_Product[Product Id], tbl_Product[Pack Size])</f>
        <v>#N/A</v>
      </c>
      <c r="AP468" s="10" t="e">
        <f>(tbl_MTG_Set[[#This Row],[Play Booster Box Cost]]+v_Item_Shipping_Cost_In)/tbl_MTG_Set[[#This Row],[Play Booster Box Size]]</f>
        <v>#VALUE!</v>
      </c>
      <c r="AQ468" s="10" t="str" cm="1">
        <f t="array" ref="AQ4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8" s="10"/>
      <c r="AS468" s="10"/>
      <c r="AT468" s="17" t="e">
        <f>tbl_MTG_Set[[#This Row],[Play Booster CardMarket Profit]]/tbl_MTG_Set[[#This Row],[Play Booster Cost]]</f>
        <v>#VALUE!</v>
      </c>
      <c r="AU468" s="10" t="e">
        <f>_xlfn.XLOOKUP(tbl_MTG_Set[[#This Row],[Collector Booster Box Product Id]], tbl_Product[Product Id], tbl_Product[Min Cost])</f>
        <v>#N/A</v>
      </c>
      <c r="AV468" s="10" t="e">
        <f>_xlfn.XLOOKUP(tbl_MTG_Set[[#This Row],[Collector Booster Box Product Id]], tbl_Product[Product Id], tbl_Product[Best Source])</f>
        <v>#N/A</v>
      </c>
      <c r="AW468" s="4" t="e">
        <f>_xlfn.XLOOKUP(tbl_MTG_Set[[#This Row],[Collector Booster Box Product Id]], tbl_Product[Product Id], tbl_Product[Pack Size])</f>
        <v>#N/A</v>
      </c>
      <c r="AX468" s="10" t="e">
        <f>(tbl_MTG_Set[[#This Row],[Collector Booster Box Cost]] + v_Item_Shipping_Cost_In) / tbl_MTG_Set[[#This Row],[Collector Booster Box Size]]</f>
        <v>#N/A</v>
      </c>
      <c r="AY468" s="10" t="str" cm="1">
        <f t="array" ref="AY4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8" s="10"/>
      <c r="BA4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8" s="17" t="e">
        <f>tbl_MTG_Set[[#This Row],[Collector Booster CardMarket Profit]]/tbl_MTG_Set[[#This Row],[Collector Booster Cost]]</f>
        <v>#N/A</v>
      </c>
      <c r="BC468" s="10"/>
      <c r="BF4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8" s="11" t="e">
        <f>tbl_MTG_Set[[#This Row],[Play Singles CardMarket Profit MTG Stocks]]/tbl_MTG_Set[[#This Row],[Play Booster Cost]]</f>
        <v>#VALUE!</v>
      </c>
      <c r="BI468" s="11" t="b">
        <f>tbl_MTG_Set[[#This Row],[Play Singles CardMarket Profit MTG Stocks]]&gt;0</f>
        <v>0</v>
      </c>
      <c r="BM468" s="10" t="e">
        <f>tbl_MTG_Set[[#This Row],[Play Booster Sell Price CardMarket]]*tbl_MTG_Set[[#This Row],[Play Booster Expected Market Value BotBox]]/tbl_MTG_Set[[#This Row],[Play Booster Sealed Market Value BotBox]]</f>
        <v>#VALUE!</v>
      </c>
      <c r="BN4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8" s="10" t="e">
        <f>tbl_MTG_Set[[#This Row],[Play Singles CardMarket Profit BotBox]]/tbl_MTG_Set[[#This Row],[Play Booster Cost]]</f>
        <v>#VALUE!</v>
      </c>
      <c r="BP468" s="10" t="b">
        <f>tbl_MTG_Set[[#This Row],[Play Singles CardMarket Profit BotBox]]&gt;0</f>
        <v>0</v>
      </c>
      <c r="BQ468" s="10"/>
      <c r="BR468" s="10"/>
      <c r="BS468" s="10"/>
      <c r="BT4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8" s="19" t="e">
        <f>tbl_MTG_Set[[#This Row],[Collector Singles CardMarket Profit MTG Stocks]]/tbl_MTG_Set[[#This Row],[Collector Booster Cost]]</f>
        <v>#N/A</v>
      </c>
      <c r="BW468" s="10" t="b">
        <f>tbl_MTG_Set[[#This Row],[Collector Singles CardMarket Profit MTG Stocks]]&gt;0</f>
        <v>0</v>
      </c>
      <c r="BX468" s="10"/>
      <c r="BY468" s="10"/>
      <c r="BZ4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8" s="10" t="e">
        <f>tbl_MTG_Set[[#This Row],[Collector Singles CardMarket Profit BotBox]]/tbl_MTG_Set[[#This Row],[Collector Booster Cost]]</f>
        <v>#N/A</v>
      </c>
      <c r="CC468" s="10" t="b">
        <f>tbl_MTG_Set[[#This Row],[Collector Singles CardMarket Profit BotBox]]&gt;0</f>
        <v>0</v>
      </c>
      <c r="CD4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69" spans="1:86" hidden="1">
      <c r="A469">
        <v>500</v>
      </c>
      <c r="B469" t="s">
        <v>642</v>
      </c>
      <c r="C469">
        <v>7</v>
      </c>
      <c r="D469" s="3">
        <v>43119</v>
      </c>
      <c r="E469" t="s">
        <v>59</v>
      </c>
      <c r="F469" t="s">
        <v>174</v>
      </c>
      <c r="G469">
        <v>946</v>
      </c>
      <c r="H469">
        <f ca="1">MONTH(NOW())+12*YEAR(NOW())-MONTH(tbl_MTG_Set[[#This Row],[Released On]])-12*YEAR(tbl_MTG_Set[[#This Row],[Released On]])</f>
        <v>98</v>
      </c>
      <c r="I469">
        <f>_xlfn.XLOOKUP(tbl_MTG_Set[[#This Row],[Type Name]], tbl_MTG_Set_Type[Set Type], tbl_MTG_Set_Type[Index], "(Set Type not found)")</f>
        <v>1</v>
      </c>
      <c r="J469">
        <f>_xlfn.XLOOKUP(tbl_MTG_Set[[#This Row],[Type Name]], tbl_MTG_Set_Type[Set Type], tbl_MTG_Set_Type[Buy Window Month Start], "(Set Type not found)")</f>
        <v>18</v>
      </c>
      <c r="K469" s="3">
        <f>tbl_MTG_Set[[#This Row],[Released On]]+tbl_MTG_Set[[#This Row],[Buy Window Month Start]]*365.25/12</f>
        <v>43666.875</v>
      </c>
      <c r="L469">
        <f>_xlfn.XLOOKUP(tbl_MTG_Set[[#This Row],[Type Name]], tbl_MTG_Set_Type[Set Type], tbl_MTG_Set_Type[Buy Window Month End], "(Set Type not found)", 0, 1)</f>
        <v>24</v>
      </c>
      <c r="M469" s="3">
        <f>tbl_MTG_Set[[#This Row],[Released On]]+tbl_MTG_Set[[#This Row],[Buy Window Month End]]*365.25/12</f>
        <v>43849.5</v>
      </c>
      <c r="N469" s="3" t="b">
        <f ca="1">AND(NOW()&gt;=tbl_MTG_Set[[#This Row],[Buy Window Start]], NOW()&lt;=tbl_MTG_Set[[#This Row],[Buy Window End]])</f>
        <v>0</v>
      </c>
      <c r="O469">
        <f>_xlfn.XLOOKUP(tbl_MTG_Set[[#This Row],[Type Name]], tbl_MTG_Set_Type[Set Type], tbl_MTG_Set_Type[Heavy Printing Window Month Start], "(Set Type not found)", 0, 1)</f>
        <v>1</v>
      </c>
      <c r="P469" s="3">
        <f>tbl_MTG_Set[[#This Row],[Released On]]+tbl_MTG_Set[[#This Row],[Heavy Printing Window Month Start]]*365.25/12</f>
        <v>43149.4375</v>
      </c>
      <c r="Q469">
        <f>_xlfn.XLOOKUP(tbl_MTG_Set[[#This Row],[Type Name]], tbl_MTG_Set_Type[Set Type], tbl_MTG_Set_Type[Heavy Printing Window Month End], "(Set Type not found)", 0, 1)</f>
        <v>18</v>
      </c>
      <c r="R469" s="3">
        <f>tbl_MTG_Set[[#This Row],[Released On]]+tbl_MTG_Set[[#This Row],[Heavy Printing Window Month End]]*365.25/12</f>
        <v>43666.875</v>
      </c>
      <c r="S469" s="3" t="b">
        <f ca="1">AND(NOW()&gt;=tbl_MTG_Set[[#This Row],[Heavy Printing Window Start]], NOW()&lt;=tbl_MTG_Set[[#This Row],[Heavy Printing Window End]])</f>
        <v>0</v>
      </c>
      <c r="T469">
        <f>_xlfn.XLOOKUP(tbl_MTG_Set[[#This Row],[Type Name]], tbl_MTG_Set_Type[Set Type], tbl_MTG_Set_Type[Sell Window Month Start], "(Set Type not found)", 0, 1)</f>
        <v>36</v>
      </c>
      <c r="U469" s="3">
        <f>tbl_MTG_Set[[#This Row],[Released On]]+tbl_MTG_Set[[#This Row],[Sell Window Month Start]]*365.25/12</f>
        <v>44214.75</v>
      </c>
      <c r="V469">
        <f>_xlfn.XLOOKUP(tbl_MTG_Set[[#This Row],[Type Name]], tbl_MTG_Set_Type[Set Type], tbl_MTG_Set_Type[Sell Window Month End], "(Set Type not found)", 0, 1)</f>
        <v>48</v>
      </c>
      <c r="W469" s="3">
        <f>tbl_MTG_Set[[#This Row],[Released On]]+tbl_MTG_Set[[#This Row],[Sell Window Month End]]*365.25/12</f>
        <v>44580</v>
      </c>
      <c r="X469" s="3" t="b">
        <f ca="1">AND(NOW()&gt;=tbl_MTG_Set[[#This Row],[Sell Window Start]], NOW()&lt;=tbl_MTG_Set[[#This Row],[Sell Window End]])</f>
        <v>0</v>
      </c>
      <c r="AG469" s="10"/>
      <c r="AH469" s="10"/>
      <c r="AM469" s="10" t="str" cm="1">
        <f t="array" ref="AM4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69" s="10" t="str" cm="1">
        <f t="array" ref="AN4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69" s="4" t="e">
        <f>_xlfn.XLOOKUP(tbl_MTG_Set[[#This Row],[Play Booster Box Product Id]], tbl_Product[Product Id], tbl_Product[Pack Size])</f>
        <v>#N/A</v>
      </c>
      <c r="AP469" s="10" t="e">
        <f>(tbl_MTG_Set[[#This Row],[Play Booster Box Cost]]+v_Item_Shipping_Cost_In)/tbl_MTG_Set[[#This Row],[Play Booster Box Size]]</f>
        <v>#VALUE!</v>
      </c>
      <c r="AQ469" s="10" t="str" cm="1">
        <f t="array" ref="AQ4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69" s="10"/>
      <c r="AS469" s="10"/>
      <c r="AT469" s="17" t="e">
        <f>tbl_MTG_Set[[#This Row],[Play Booster CardMarket Profit]]/tbl_MTG_Set[[#This Row],[Play Booster Cost]]</f>
        <v>#VALUE!</v>
      </c>
      <c r="AU469" s="10" t="e">
        <f>_xlfn.XLOOKUP(tbl_MTG_Set[[#This Row],[Collector Booster Box Product Id]], tbl_Product[Product Id], tbl_Product[Min Cost])</f>
        <v>#N/A</v>
      </c>
      <c r="AV469" s="10" t="e">
        <f>_xlfn.XLOOKUP(tbl_MTG_Set[[#This Row],[Collector Booster Box Product Id]], tbl_Product[Product Id], tbl_Product[Best Source])</f>
        <v>#N/A</v>
      </c>
      <c r="AW469" s="4" t="e">
        <f>_xlfn.XLOOKUP(tbl_MTG_Set[[#This Row],[Collector Booster Box Product Id]], tbl_Product[Product Id], tbl_Product[Pack Size])</f>
        <v>#N/A</v>
      </c>
      <c r="AX469" s="10" t="e">
        <f>(tbl_MTG_Set[[#This Row],[Collector Booster Box Cost]] + v_Item_Shipping_Cost_In) / tbl_MTG_Set[[#This Row],[Collector Booster Box Size]]</f>
        <v>#N/A</v>
      </c>
      <c r="AY469" s="10" t="str" cm="1">
        <f t="array" ref="AY4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69" s="10"/>
      <c r="BA4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69" s="17" t="e">
        <f>tbl_MTG_Set[[#This Row],[Collector Booster CardMarket Profit]]/tbl_MTG_Set[[#This Row],[Collector Booster Cost]]</f>
        <v>#N/A</v>
      </c>
      <c r="BC469" s="10"/>
      <c r="BF4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69" s="11" t="e">
        <f>tbl_MTG_Set[[#This Row],[Play Singles CardMarket Profit MTG Stocks]]/tbl_MTG_Set[[#This Row],[Play Booster Cost]]</f>
        <v>#VALUE!</v>
      </c>
      <c r="BI469" s="11" t="b">
        <f>tbl_MTG_Set[[#This Row],[Play Singles CardMarket Profit MTG Stocks]]&gt;0</f>
        <v>0</v>
      </c>
      <c r="BM469" s="10" t="e">
        <f>tbl_MTG_Set[[#This Row],[Play Booster Sell Price CardMarket]]*tbl_MTG_Set[[#This Row],[Play Booster Expected Market Value BotBox]]/tbl_MTG_Set[[#This Row],[Play Booster Sealed Market Value BotBox]]</f>
        <v>#VALUE!</v>
      </c>
      <c r="BN4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69" s="10" t="e">
        <f>tbl_MTG_Set[[#This Row],[Play Singles CardMarket Profit BotBox]]/tbl_MTG_Set[[#This Row],[Play Booster Cost]]</f>
        <v>#VALUE!</v>
      </c>
      <c r="BP469" s="10" t="b">
        <f>tbl_MTG_Set[[#This Row],[Play Singles CardMarket Profit BotBox]]&gt;0</f>
        <v>0</v>
      </c>
      <c r="BQ469" s="10"/>
      <c r="BR469" s="10"/>
      <c r="BS469" s="10"/>
      <c r="BT4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69" s="19" t="e">
        <f>tbl_MTG_Set[[#This Row],[Collector Singles CardMarket Profit MTG Stocks]]/tbl_MTG_Set[[#This Row],[Collector Booster Cost]]</f>
        <v>#N/A</v>
      </c>
      <c r="BW469" s="10" t="b">
        <f>tbl_MTG_Set[[#This Row],[Collector Singles CardMarket Profit MTG Stocks]]&gt;0</f>
        <v>0</v>
      </c>
      <c r="BX469" s="10"/>
      <c r="BY469" s="10"/>
      <c r="BZ4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69" s="10" t="e">
        <f>tbl_MTG_Set[[#This Row],[Collector Singles CardMarket Profit BotBox]]/tbl_MTG_Set[[#This Row],[Collector Booster Cost]]</f>
        <v>#N/A</v>
      </c>
      <c r="CC469" s="10" t="b">
        <f>tbl_MTG_Set[[#This Row],[Collector Singles CardMarket Profit BotBox]]&gt;0</f>
        <v>0</v>
      </c>
      <c r="CD4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0" spans="1:86" hidden="1">
      <c r="A470">
        <v>501</v>
      </c>
      <c r="B470" t="s">
        <v>643</v>
      </c>
      <c r="C470">
        <v>8</v>
      </c>
      <c r="D470" s="3">
        <v>43101</v>
      </c>
      <c r="F470" t="s">
        <v>174</v>
      </c>
      <c r="G470">
        <v>948</v>
      </c>
      <c r="H470">
        <f ca="1">MONTH(NOW())+12*YEAR(NOW())-MONTH(tbl_MTG_Set[[#This Row],[Released On]])-12*YEAR(tbl_MTG_Set[[#This Row],[Released On]])</f>
        <v>98</v>
      </c>
      <c r="I470" t="str">
        <f>_xlfn.XLOOKUP(tbl_MTG_Set[[#This Row],[Type Name]], tbl_MTG_Set_Type[Set Type], tbl_MTG_Set_Type[Index], "(Set Type not found)")</f>
        <v>(Set Type not found)</v>
      </c>
      <c r="J470" t="str">
        <f>_xlfn.XLOOKUP(tbl_MTG_Set[[#This Row],[Type Name]], tbl_MTG_Set_Type[Set Type], tbl_MTG_Set_Type[Buy Window Month Start], "(Set Type not found)")</f>
        <v>(Set Type not found)</v>
      </c>
      <c r="K470" s="3" t="e">
        <f>tbl_MTG_Set[[#This Row],[Released On]]+tbl_MTG_Set[[#This Row],[Buy Window Month Start]]*365.25/12</f>
        <v>#VALUE!</v>
      </c>
      <c r="L470" t="str">
        <f>_xlfn.XLOOKUP(tbl_MTG_Set[[#This Row],[Type Name]], tbl_MTG_Set_Type[Set Type], tbl_MTG_Set_Type[Buy Window Month End], "(Set Type not found)", 0, 1)</f>
        <v>(Set Type not found)</v>
      </c>
      <c r="M470" s="3" t="e">
        <f>tbl_MTG_Set[[#This Row],[Released On]]+tbl_MTG_Set[[#This Row],[Buy Window Month End]]*365.25/12</f>
        <v>#VALUE!</v>
      </c>
      <c r="N470" s="3" t="e">
        <f ca="1">AND(NOW()&gt;=tbl_MTG_Set[[#This Row],[Buy Window Start]], NOW()&lt;=tbl_MTG_Set[[#This Row],[Buy Window End]])</f>
        <v>#VALUE!</v>
      </c>
      <c r="O470" t="str">
        <f>_xlfn.XLOOKUP(tbl_MTG_Set[[#This Row],[Type Name]], tbl_MTG_Set_Type[Set Type], tbl_MTG_Set_Type[Heavy Printing Window Month Start], "(Set Type not found)", 0, 1)</f>
        <v>(Set Type not found)</v>
      </c>
      <c r="P470" s="3" t="e">
        <f>tbl_MTG_Set[[#This Row],[Released On]]+tbl_MTG_Set[[#This Row],[Heavy Printing Window Month Start]]*365.25/12</f>
        <v>#VALUE!</v>
      </c>
      <c r="Q470" t="str">
        <f>_xlfn.XLOOKUP(tbl_MTG_Set[[#This Row],[Type Name]], tbl_MTG_Set_Type[Set Type], tbl_MTG_Set_Type[Heavy Printing Window Month End], "(Set Type not found)", 0, 1)</f>
        <v>(Set Type not found)</v>
      </c>
      <c r="R470" s="3" t="e">
        <f>tbl_MTG_Set[[#This Row],[Released On]]+tbl_MTG_Set[[#This Row],[Heavy Printing Window Month End]]*365.25/12</f>
        <v>#VALUE!</v>
      </c>
      <c r="S470" s="3" t="e">
        <f ca="1">AND(NOW()&gt;=tbl_MTG_Set[[#This Row],[Heavy Printing Window Start]], NOW()&lt;=tbl_MTG_Set[[#This Row],[Heavy Printing Window End]])</f>
        <v>#VALUE!</v>
      </c>
      <c r="T470" t="str">
        <f>_xlfn.XLOOKUP(tbl_MTG_Set[[#This Row],[Type Name]], tbl_MTG_Set_Type[Set Type], tbl_MTG_Set_Type[Sell Window Month Start], "(Set Type not found)", 0, 1)</f>
        <v>(Set Type not found)</v>
      </c>
      <c r="U470" s="3" t="e">
        <f>tbl_MTG_Set[[#This Row],[Released On]]+tbl_MTG_Set[[#This Row],[Sell Window Month Start]]*365.25/12</f>
        <v>#VALUE!</v>
      </c>
      <c r="V470" t="str">
        <f>_xlfn.XLOOKUP(tbl_MTG_Set[[#This Row],[Type Name]], tbl_MTG_Set_Type[Set Type], tbl_MTG_Set_Type[Sell Window Month End], "(Set Type not found)", 0, 1)</f>
        <v>(Set Type not found)</v>
      </c>
      <c r="W470" s="3" t="e">
        <f>tbl_MTG_Set[[#This Row],[Released On]]+tbl_MTG_Set[[#This Row],[Sell Window Month End]]*365.25/12</f>
        <v>#VALUE!</v>
      </c>
      <c r="X470" s="3" t="e">
        <f ca="1">AND(NOW()&gt;=tbl_MTG_Set[[#This Row],[Sell Window Start]], NOW()&lt;=tbl_MTG_Set[[#This Row],[Sell Window End]])</f>
        <v>#VALUE!</v>
      </c>
      <c r="AG470" s="10"/>
      <c r="AH470" s="10"/>
      <c r="AM470" s="10" t="str" cm="1">
        <f t="array" ref="AM4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0" s="10" t="str" cm="1">
        <f t="array" ref="AN4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0" s="4" t="e">
        <f>_xlfn.XLOOKUP(tbl_MTG_Set[[#This Row],[Play Booster Box Product Id]], tbl_Product[Product Id], tbl_Product[Pack Size])</f>
        <v>#N/A</v>
      </c>
      <c r="AP470" s="10" t="e">
        <f>(tbl_MTG_Set[[#This Row],[Play Booster Box Cost]]+v_Item_Shipping_Cost_In)/tbl_MTG_Set[[#This Row],[Play Booster Box Size]]</f>
        <v>#VALUE!</v>
      </c>
      <c r="AQ470" s="10" t="str" cm="1">
        <f t="array" ref="AQ4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0" s="10"/>
      <c r="AS470" s="10"/>
      <c r="AT470" s="17" t="e">
        <f>tbl_MTG_Set[[#This Row],[Play Booster CardMarket Profit]]/tbl_MTG_Set[[#This Row],[Play Booster Cost]]</f>
        <v>#VALUE!</v>
      </c>
      <c r="AU470" s="10" t="e">
        <f>_xlfn.XLOOKUP(tbl_MTG_Set[[#This Row],[Collector Booster Box Product Id]], tbl_Product[Product Id], tbl_Product[Min Cost])</f>
        <v>#N/A</v>
      </c>
      <c r="AV470" s="10" t="e">
        <f>_xlfn.XLOOKUP(tbl_MTG_Set[[#This Row],[Collector Booster Box Product Id]], tbl_Product[Product Id], tbl_Product[Best Source])</f>
        <v>#N/A</v>
      </c>
      <c r="AW470" s="4" t="e">
        <f>_xlfn.XLOOKUP(tbl_MTG_Set[[#This Row],[Collector Booster Box Product Id]], tbl_Product[Product Id], tbl_Product[Pack Size])</f>
        <v>#N/A</v>
      </c>
      <c r="AX470" s="10" t="e">
        <f>(tbl_MTG_Set[[#This Row],[Collector Booster Box Cost]] + v_Item_Shipping_Cost_In) / tbl_MTG_Set[[#This Row],[Collector Booster Box Size]]</f>
        <v>#N/A</v>
      </c>
      <c r="AY470" s="10" t="str" cm="1">
        <f t="array" ref="AY4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0" s="10"/>
      <c r="BA4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0" s="17" t="e">
        <f>tbl_MTG_Set[[#This Row],[Collector Booster CardMarket Profit]]/tbl_MTG_Set[[#This Row],[Collector Booster Cost]]</f>
        <v>#N/A</v>
      </c>
      <c r="BC470" s="10"/>
      <c r="BF4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0" s="11" t="e">
        <f>tbl_MTG_Set[[#This Row],[Play Singles CardMarket Profit MTG Stocks]]/tbl_MTG_Set[[#This Row],[Play Booster Cost]]</f>
        <v>#VALUE!</v>
      </c>
      <c r="BI470" s="11" t="b">
        <f>tbl_MTG_Set[[#This Row],[Play Singles CardMarket Profit MTG Stocks]]&gt;0</f>
        <v>0</v>
      </c>
      <c r="BM470" s="10" t="e">
        <f>tbl_MTG_Set[[#This Row],[Play Booster Sell Price CardMarket]]*tbl_MTG_Set[[#This Row],[Play Booster Expected Market Value BotBox]]/tbl_MTG_Set[[#This Row],[Play Booster Sealed Market Value BotBox]]</f>
        <v>#VALUE!</v>
      </c>
      <c r="BN4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0" s="10" t="e">
        <f>tbl_MTG_Set[[#This Row],[Play Singles CardMarket Profit BotBox]]/tbl_MTG_Set[[#This Row],[Play Booster Cost]]</f>
        <v>#VALUE!</v>
      </c>
      <c r="BP470" s="10" t="b">
        <f>tbl_MTG_Set[[#This Row],[Play Singles CardMarket Profit BotBox]]&gt;0</f>
        <v>0</v>
      </c>
      <c r="BQ470" s="10"/>
      <c r="BR470" s="10"/>
      <c r="BS470" s="10"/>
      <c r="BT4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0" s="19" t="e">
        <f>tbl_MTG_Set[[#This Row],[Collector Singles CardMarket Profit MTG Stocks]]/tbl_MTG_Set[[#This Row],[Collector Booster Cost]]</f>
        <v>#N/A</v>
      </c>
      <c r="BW470" s="10" t="b">
        <f>tbl_MTG_Set[[#This Row],[Collector Singles CardMarket Profit MTG Stocks]]&gt;0</f>
        <v>0</v>
      </c>
      <c r="BX470" s="10"/>
      <c r="BY470" s="10"/>
      <c r="BZ4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0" s="10" t="e">
        <f>tbl_MTG_Set[[#This Row],[Collector Singles CardMarket Profit BotBox]]/tbl_MTG_Set[[#This Row],[Collector Booster Cost]]</f>
        <v>#N/A</v>
      </c>
      <c r="CC470" s="10" t="b">
        <f>tbl_MTG_Set[[#This Row],[Collector Singles CardMarket Profit BotBox]]&gt;0</f>
        <v>0</v>
      </c>
      <c r="CD4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1" spans="1:86" hidden="1">
      <c r="A471">
        <v>502</v>
      </c>
      <c r="B471" t="s">
        <v>644</v>
      </c>
      <c r="C471">
        <v>3</v>
      </c>
      <c r="D471" s="3">
        <v>43096</v>
      </c>
      <c r="F471" t="s">
        <v>174</v>
      </c>
      <c r="G471">
        <v>950</v>
      </c>
      <c r="H471">
        <f ca="1">MONTH(NOW())+12*YEAR(NOW())-MONTH(tbl_MTG_Set[[#This Row],[Released On]])-12*YEAR(tbl_MTG_Set[[#This Row],[Released On]])</f>
        <v>99</v>
      </c>
      <c r="I471" t="str">
        <f>_xlfn.XLOOKUP(tbl_MTG_Set[[#This Row],[Type Name]], tbl_MTG_Set_Type[Set Type], tbl_MTG_Set_Type[Index], "(Set Type not found)")</f>
        <v>(Set Type not found)</v>
      </c>
      <c r="J471" t="str">
        <f>_xlfn.XLOOKUP(tbl_MTG_Set[[#This Row],[Type Name]], tbl_MTG_Set_Type[Set Type], tbl_MTG_Set_Type[Buy Window Month Start], "(Set Type not found)")</f>
        <v>(Set Type not found)</v>
      </c>
      <c r="K471" s="3" t="e">
        <f>tbl_MTG_Set[[#This Row],[Released On]]+tbl_MTG_Set[[#This Row],[Buy Window Month Start]]*365.25/12</f>
        <v>#VALUE!</v>
      </c>
      <c r="L471" t="str">
        <f>_xlfn.XLOOKUP(tbl_MTG_Set[[#This Row],[Type Name]], tbl_MTG_Set_Type[Set Type], tbl_MTG_Set_Type[Buy Window Month End], "(Set Type not found)", 0, 1)</f>
        <v>(Set Type not found)</v>
      </c>
      <c r="M471" s="3" t="e">
        <f>tbl_MTG_Set[[#This Row],[Released On]]+tbl_MTG_Set[[#This Row],[Buy Window Month End]]*365.25/12</f>
        <v>#VALUE!</v>
      </c>
      <c r="N471" s="3" t="e">
        <f ca="1">AND(NOW()&gt;=tbl_MTG_Set[[#This Row],[Buy Window Start]], NOW()&lt;=tbl_MTG_Set[[#This Row],[Buy Window End]])</f>
        <v>#VALUE!</v>
      </c>
      <c r="O471" t="str">
        <f>_xlfn.XLOOKUP(tbl_MTG_Set[[#This Row],[Type Name]], tbl_MTG_Set_Type[Set Type], tbl_MTG_Set_Type[Heavy Printing Window Month Start], "(Set Type not found)", 0, 1)</f>
        <v>(Set Type not found)</v>
      </c>
      <c r="P471" s="3" t="e">
        <f>tbl_MTG_Set[[#This Row],[Released On]]+tbl_MTG_Set[[#This Row],[Heavy Printing Window Month Start]]*365.25/12</f>
        <v>#VALUE!</v>
      </c>
      <c r="Q471" t="str">
        <f>_xlfn.XLOOKUP(tbl_MTG_Set[[#This Row],[Type Name]], tbl_MTG_Set_Type[Set Type], tbl_MTG_Set_Type[Heavy Printing Window Month End], "(Set Type not found)", 0, 1)</f>
        <v>(Set Type not found)</v>
      </c>
      <c r="R471" s="3" t="e">
        <f>tbl_MTG_Set[[#This Row],[Released On]]+tbl_MTG_Set[[#This Row],[Heavy Printing Window Month End]]*365.25/12</f>
        <v>#VALUE!</v>
      </c>
      <c r="S471" s="3" t="e">
        <f ca="1">AND(NOW()&gt;=tbl_MTG_Set[[#This Row],[Heavy Printing Window Start]], NOW()&lt;=tbl_MTG_Set[[#This Row],[Heavy Printing Window End]])</f>
        <v>#VALUE!</v>
      </c>
      <c r="T471" t="str">
        <f>_xlfn.XLOOKUP(tbl_MTG_Set[[#This Row],[Type Name]], tbl_MTG_Set_Type[Set Type], tbl_MTG_Set_Type[Sell Window Month Start], "(Set Type not found)", 0, 1)</f>
        <v>(Set Type not found)</v>
      </c>
      <c r="U471" s="3" t="e">
        <f>tbl_MTG_Set[[#This Row],[Released On]]+tbl_MTG_Set[[#This Row],[Sell Window Month Start]]*365.25/12</f>
        <v>#VALUE!</v>
      </c>
      <c r="V471" t="str">
        <f>_xlfn.XLOOKUP(tbl_MTG_Set[[#This Row],[Type Name]], tbl_MTG_Set_Type[Set Type], tbl_MTG_Set_Type[Sell Window Month End], "(Set Type not found)", 0, 1)</f>
        <v>(Set Type not found)</v>
      </c>
      <c r="W471" s="3" t="e">
        <f>tbl_MTG_Set[[#This Row],[Released On]]+tbl_MTG_Set[[#This Row],[Sell Window Month End]]*365.25/12</f>
        <v>#VALUE!</v>
      </c>
      <c r="X471" s="3" t="e">
        <f ca="1">AND(NOW()&gt;=tbl_MTG_Set[[#This Row],[Sell Window Start]], NOW()&lt;=tbl_MTG_Set[[#This Row],[Sell Window End]])</f>
        <v>#VALUE!</v>
      </c>
      <c r="AG471" s="10"/>
      <c r="AH471" s="10"/>
      <c r="AM471" s="10" t="str" cm="1">
        <f t="array" ref="AM4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1" s="10" t="str" cm="1">
        <f t="array" ref="AN4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1" s="4" t="e">
        <f>_xlfn.XLOOKUP(tbl_MTG_Set[[#This Row],[Play Booster Box Product Id]], tbl_Product[Product Id], tbl_Product[Pack Size])</f>
        <v>#N/A</v>
      </c>
      <c r="AP471" s="10" t="e">
        <f>(tbl_MTG_Set[[#This Row],[Play Booster Box Cost]]+v_Item_Shipping_Cost_In)/tbl_MTG_Set[[#This Row],[Play Booster Box Size]]</f>
        <v>#VALUE!</v>
      </c>
      <c r="AQ471" s="10" t="str" cm="1">
        <f t="array" ref="AQ4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1" s="10"/>
      <c r="AS471" s="10"/>
      <c r="AT471" s="17" t="e">
        <f>tbl_MTG_Set[[#This Row],[Play Booster CardMarket Profit]]/tbl_MTG_Set[[#This Row],[Play Booster Cost]]</f>
        <v>#VALUE!</v>
      </c>
      <c r="AU471" s="10" t="e">
        <f>_xlfn.XLOOKUP(tbl_MTG_Set[[#This Row],[Collector Booster Box Product Id]], tbl_Product[Product Id], tbl_Product[Min Cost])</f>
        <v>#N/A</v>
      </c>
      <c r="AV471" s="10" t="e">
        <f>_xlfn.XLOOKUP(tbl_MTG_Set[[#This Row],[Collector Booster Box Product Id]], tbl_Product[Product Id], tbl_Product[Best Source])</f>
        <v>#N/A</v>
      </c>
      <c r="AW471" s="4" t="e">
        <f>_xlfn.XLOOKUP(tbl_MTG_Set[[#This Row],[Collector Booster Box Product Id]], tbl_Product[Product Id], tbl_Product[Pack Size])</f>
        <v>#N/A</v>
      </c>
      <c r="AX471" s="10" t="e">
        <f>(tbl_MTG_Set[[#This Row],[Collector Booster Box Cost]] + v_Item_Shipping_Cost_In) / tbl_MTG_Set[[#This Row],[Collector Booster Box Size]]</f>
        <v>#N/A</v>
      </c>
      <c r="AY471" s="10" t="str" cm="1">
        <f t="array" ref="AY4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1" s="10"/>
      <c r="BA4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1" s="17" t="e">
        <f>tbl_MTG_Set[[#This Row],[Collector Booster CardMarket Profit]]/tbl_MTG_Set[[#This Row],[Collector Booster Cost]]</f>
        <v>#N/A</v>
      </c>
      <c r="BC471" s="10"/>
      <c r="BF4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1" s="11" t="e">
        <f>tbl_MTG_Set[[#This Row],[Play Singles CardMarket Profit MTG Stocks]]/tbl_MTG_Set[[#This Row],[Play Booster Cost]]</f>
        <v>#VALUE!</v>
      </c>
      <c r="BI471" s="11" t="b">
        <f>tbl_MTG_Set[[#This Row],[Play Singles CardMarket Profit MTG Stocks]]&gt;0</f>
        <v>0</v>
      </c>
      <c r="BM471" s="10" t="e">
        <f>tbl_MTG_Set[[#This Row],[Play Booster Sell Price CardMarket]]*tbl_MTG_Set[[#This Row],[Play Booster Expected Market Value BotBox]]/tbl_MTG_Set[[#This Row],[Play Booster Sealed Market Value BotBox]]</f>
        <v>#VALUE!</v>
      </c>
      <c r="BN4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1" s="10" t="e">
        <f>tbl_MTG_Set[[#This Row],[Play Singles CardMarket Profit BotBox]]/tbl_MTG_Set[[#This Row],[Play Booster Cost]]</f>
        <v>#VALUE!</v>
      </c>
      <c r="BP471" s="10" t="b">
        <f>tbl_MTG_Set[[#This Row],[Play Singles CardMarket Profit BotBox]]&gt;0</f>
        <v>0</v>
      </c>
      <c r="BQ471" s="10"/>
      <c r="BR471" s="10"/>
      <c r="BS471" s="10"/>
      <c r="BT4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1" s="19" t="e">
        <f>tbl_MTG_Set[[#This Row],[Collector Singles CardMarket Profit MTG Stocks]]/tbl_MTG_Set[[#This Row],[Collector Booster Cost]]</f>
        <v>#N/A</v>
      </c>
      <c r="BW471" s="10" t="b">
        <f>tbl_MTG_Set[[#This Row],[Collector Singles CardMarket Profit MTG Stocks]]&gt;0</f>
        <v>0</v>
      </c>
      <c r="BX471" s="10"/>
      <c r="BY471" s="10"/>
      <c r="BZ4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1" s="10" t="e">
        <f>tbl_MTG_Set[[#This Row],[Collector Singles CardMarket Profit BotBox]]/tbl_MTG_Set[[#This Row],[Collector Booster Cost]]</f>
        <v>#N/A</v>
      </c>
      <c r="CC471" s="10" t="b">
        <f>tbl_MTG_Set[[#This Row],[Collector Singles CardMarket Profit BotBox]]&gt;0</f>
        <v>0</v>
      </c>
      <c r="CD4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2" spans="1:86" hidden="1">
      <c r="A472">
        <v>503</v>
      </c>
      <c r="B472" t="s">
        <v>645</v>
      </c>
      <c r="C472">
        <v>268</v>
      </c>
      <c r="D472" s="3">
        <v>43077</v>
      </c>
      <c r="F472" t="s">
        <v>174</v>
      </c>
      <c r="G472">
        <v>952</v>
      </c>
      <c r="H472">
        <f ca="1">MONTH(NOW())+12*YEAR(NOW())-MONTH(tbl_MTG_Set[[#This Row],[Released On]])-12*YEAR(tbl_MTG_Set[[#This Row],[Released On]])</f>
        <v>99</v>
      </c>
      <c r="I472" t="str">
        <f>_xlfn.XLOOKUP(tbl_MTG_Set[[#This Row],[Type Name]], tbl_MTG_Set_Type[Set Type], tbl_MTG_Set_Type[Index], "(Set Type not found)")</f>
        <v>(Set Type not found)</v>
      </c>
      <c r="J472" t="str">
        <f>_xlfn.XLOOKUP(tbl_MTG_Set[[#This Row],[Type Name]], tbl_MTG_Set_Type[Set Type], tbl_MTG_Set_Type[Buy Window Month Start], "(Set Type not found)")</f>
        <v>(Set Type not found)</v>
      </c>
      <c r="K472" s="3" t="e">
        <f>tbl_MTG_Set[[#This Row],[Released On]]+tbl_MTG_Set[[#This Row],[Buy Window Month Start]]*365.25/12</f>
        <v>#VALUE!</v>
      </c>
      <c r="L472" t="str">
        <f>_xlfn.XLOOKUP(tbl_MTG_Set[[#This Row],[Type Name]], tbl_MTG_Set_Type[Set Type], tbl_MTG_Set_Type[Buy Window Month End], "(Set Type not found)", 0, 1)</f>
        <v>(Set Type not found)</v>
      </c>
      <c r="M472" s="3" t="e">
        <f>tbl_MTG_Set[[#This Row],[Released On]]+tbl_MTG_Set[[#This Row],[Buy Window Month End]]*365.25/12</f>
        <v>#VALUE!</v>
      </c>
      <c r="N472" s="3" t="e">
        <f ca="1">AND(NOW()&gt;=tbl_MTG_Set[[#This Row],[Buy Window Start]], NOW()&lt;=tbl_MTG_Set[[#This Row],[Buy Window End]])</f>
        <v>#VALUE!</v>
      </c>
      <c r="O472" t="str">
        <f>_xlfn.XLOOKUP(tbl_MTG_Set[[#This Row],[Type Name]], tbl_MTG_Set_Type[Set Type], tbl_MTG_Set_Type[Heavy Printing Window Month Start], "(Set Type not found)", 0, 1)</f>
        <v>(Set Type not found)</v>
      </c>
      <c r="P472" s="3" t="e">
        <f>tbl_MTG_Set[[#This Row],[Released On]]+tbl_MTG_Set[[#This Row],[Heavy Printing Window Month Start]]*365.25/12</f>
        <v>#VALUE!</v>
      </c>
      <c r="Q472" t="str">
        <f>_xlfn.XLOOKUP(tbl_MTG_Set[[#This Row],[Type Name]], tbl_MTG_Set_Type[Set Type], tbl_MTG_Set_Type[Heavy Printing Window Month End], "(Set Type not found)", 0, 1)</f>
        <v>(Set Type not found)</v>
      </c>
      <c r="R472" s="3" t="e">
        <f>tbl_MTG_Set[[#This Row],[Released On]]+tbl_MTG_Set[[#This Row],[Heavy Printing Window Month End]]*365.25/12</f>
        <v>#VALUE!</v>
      </c>
      <c r="S472" s="3" t="e">
        <f ca="1">AND(NOW()&gt;=tbl_MTG_Set[[#This Row],[Heavy Printing Window Start]], NOW()&lt;=tbl_MTG_Set[[#This Row],[Heavy Printing Window End]])</f>
        <v>#VALUE!</v>
      </c>
      <c r="T472" t="str">
        <f>_xlfn.XLOOKUP(tbl_MTG_Set[[#This Row],[Type Name]], tbl_MTG_Set_Type[Set Type], tbl_MTG_Set_Type[Sell Window Month Start], "(Set Type not found)", 0, 1)</f>
        <v>(Set Type not found)</v>
      </c>
      <c r="U472" s="3" t="e">
        <f>tbl_MTG_Set[[#This Row],[Released On]]+tbl_MTG_Set[[#This Row],[Sell Window Month Start]]*365.25/12</f>
        <v>#VALUE!</v>
      </c>
      <c r="V472" t="str">
        <f>_xlfn.XLOOKUP(tbl_MTG_Set[[#This Row],[Type Name]], tbl_MTG_Set_Type[Set Type], tbl_MTG_Set_Type[Sell Window Month End], "(Set Type not found)", 0, 1)</f>
        <v>(Set Type not found)</v>
      </c>
      <c r="W472" s="3" t="e">
        <f>tbl_MTG_Set[[#This Row],[Released On]]+tbl_MTG_Set[[#This Row],[Sell Window Month End]]*365.25/12</f>
        <v>#VALUE!</v>
      </c>
      <c r="X472" s="3" t="e">
        <f ca="1">AND(NOW()&gt;=tbl_MTG_Set[[#This Row],[Sell Window Start]], NOW()&lt;=tbl_MTG_Set[[#This Row],[Sell Window End]])</f>
        <v>#VALUE!</v>
      </c>
      <c r="AG472" s="10"/>
      <c r="AH472" s="10"/>
      <c r="AM472" s="10" t="str" cm="1">
        <f t="array" ref="AM4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2" s="10" t="str" cm="1">
        <f t="array" ref="AN4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2" s="4" t="e">
        <f>_xlfn.XLOOKUP(tbl_MTG_Set[[#This Row],[Play Booster Box Product Id]], tbl_Product[Product Id], tbl_Product[Pack Size])</f>
        <v>#N/A</v>
      </c>
      <c r="AP472" s="10" t="e">
        <f>(tbl_MTG_Set[[#This Row],[Play Booster Box Cost]]+v_Item_Shipping_Cost_In)/tbl_MTG_Set[[#This Row],[Play Booster Box Size]]</f>
        <v>#VALUE!</v>
      </c>
      <c r="AQ472" s="10" t="str" cm="1">
        <f t="array" ref="AQ4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2" s="10"/>
      <c r="AS472" s="10"/>
      <c r="AT472" s="17" t="e">
        <f>tbl_MTG_Set[[#This Row],[Play Booster CardMarket Profit]]/tbl_MTG_Set[[#This Row],[Play Booster Cost]]</f>
        <v>#VALUE!</v>
      </c>
      <c r="AU472" s="10" t="e">
        <f>_xlfn.XLOOKUP(tbl_MTG_Set[[#This Row],[Collector Booster Box Product Id]], tbl_Product[Product Id], tbl_Product[Min Cost])</f>
        <v>#N/A</v>
      </c>
      <c r="AV472" s="10" t="e">
        <f>_xlfn.XLOOKUP(tbl_MTG_Set[[#This Row],[Collector Booster Box Product Id]], tbl_Product[Product Id], tbl_Product[Best Source])</f>
        <v>#N/A</v>
      </c>
      <c r="AW472" s="4" t="e">
        <f>_xlfn.XLOOKUP(tbl_MTG_Set[[#This Row],[Collector Booster Box Product Id]], tbl_Product[Product Id], tbl_Product[Pack Size])</f>
        <v>#N/A</v>
      </c>
      <c r="AX472" s="10" t="e">
        <f>(tbl_MTG_Set[[#This Row],[Collector Booster Box Cost]] + v_Item_Shipping_Cost_In) / tbl_MTG_Set[[#This Row],[Collector Booster Box Size]]</f>
        <v>#N/A</v>
      </c>
      <c r="AY472" s="10" t="str" cm="1">
        <f t="array" ref="AY4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2" s="10"/>
      <c r="BA4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2" s="17" t="e">
        <f>tbl_MTG_Set[[#This Row],[Collector Booster CardMarket Profit]]/tbl_MTG_Set[[#This Row],[Collector Booster Cost]]</f>
        <v>#N/A</v>
      </c>
      <c r="BC472" s="10"/>
      <c r="BF4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2" s="11" t="e">
        <f>tbl_MTG_Set[[#This Row],[Play Singles CardMarket Profit MTG Stocks]]/tbl_MTG_Set[[#This Row],[Play Booster Cost]]</f>
        <v>#VALUE!</v>
      </c>
      <c r="BI472" s="11" t="b">
        <f>tbl_MTG_Set[[#This Row],[Play Singles CardMarket Profit MTG Stocks]]&gt;0</f>
        <v>0</v>
      </c>
      <c r="BM472" s="10" t="e">
        <f>tbl_MTG_Set[[#This Row],[Play Booster Sell Price CardMarket]]*tbl_MTG_Set[[#This Row],[Play Booster Expected Market Value BotBox]]/tbl_MTG_Set[[#This Row],[Play Booster Sealed Market Value BotBox]]</f>
        <v>#VALUE!</v>
      </c>
      <c r="BN4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2" s="10" t="e">
        <f>tbl_MTG_Set[[#This Row],[Play Singles CardMarket Profit BotBox]]/tbl_MTG_Set[[#This Row],[Play Booster Cost]]</f>
        <v>#VALUE!</v>
      </c>
      <c r="BP472" s="10" t="b">
        <f>tbl_MTG_Set[[#This Row],[Play Singles CardMarket Profit BotBox]]&gt;0</f>
        <v>0</v>
      </c>
      <c r="BQ472" s="10"/>
      <c r="BR472" s="10"/>
      <c r="BS472" s="10"/>
      <c r="BT4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2" s="19" t="e">
        <f>tbl_MTG_Set[[#This Row],[Collector Singles CardMarket Profit MTG Stocks]]/tbl_MTG_Set[[#This Row],[Collector Booster Cost]]</f>
        <v>#N/A</v>
      </c>
      <c r="BW472" s="10" t="b">
        <f>tbl_MTG_Set[[#This Row],[Collector Singles CardMarket Profit MTG Stocks]]&gt;0</f>
        <v>0</v>
      </c>
      <c r="BX472" s="10"/>
      <c r="BY472" s="10"/>
      <c r="BZ4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2" s="10" t="e">
        <f>tbl_MTG_Set[[#This Row],[Collector Singles CardMarket Profit BotBox]]/tbl_MTG_Set[[#This Row],[Collector Booster Cost]]</f>
        <v>#N/A</v>
      </c>
      <c r="CC472" s="10" t="b">
        <f>tbl_MTG_Set[[#This Row],[Collector Singles CardMarket Profit BotBox]]&gt;0</f>
        <v>0</v>
      </c>
      <c r="CD4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3" spans="1:86" hidden="1">
      <c r="A473">
        <v>504</v>
      </c>
      <c r="B473" t="s">
        <v>646</v>
      </c>
      <c r="C473">
        <v>1</v>
      </c>
      <c r="D473" s="3">
        <v>43077</v>
      </c>
      <c r="F473" t="s">
        <v>174</v>
      </c>
      <c r="G473">
        <v>954</v>
      </c>
      <c r="H473">
        <f ca="1">MONTH(NOW())+12*YEAR(NOW())-MONTH(tbl_MTG_Set[[#This Row],[Released On]])-12*YEAR(tbl_MTG_Set[[#This Row],[Released On]])</f>
        <v>99</v>
      </c>
      <c r="I473" t="str">
        <f>_xlfn.XLOOKUP(tbl_MTG_Set[[#This Row],[Type Name]], tbl_MTG_Set_Type[Set Type], tbl_MTG_Set_Type[Index], "(Set Type not found)")</f>
        <v>(Set Type not found)</v>
      </c>
      <c r="J473" t="str">
        <f>_xlfn.XLOOKUP(tbl_MTG_Set[[#This Row],[Type Name]], tbl_MTG_Set_Type[Set Type], tbl_MTG_Set_Type[Buy Window Month Start], "(Set Type not found)")</f>
        <v>(Set Type not found)</v>
      </c>
      <c r="K473" s="3" t="e">
        <f>tbl_MTG_Set[[#This Row],[Released On]]+tbl_MTG_Set[[#This Row],[Buy Window Month Start]]*365.25/12</f>
        <v>#VALUE!</v>
      </c>
      <c r="L473" t="str">
        <f>_xlfn.XLOOKUP(tbl_MTG_Set[[#This Row],[Type Name]], tbl_MTG_Set_Type[Set Type], tbl_MTG_Set_Type[Buy Window Month End], "(Set Type not found)", 0, 1)</f>
        <v>(Set Type not found)</v>
      </c>
      <c r="M473" s="3" t="e">
        <f>tbl_MTG_Set[[#This Row],[Released On]]+tbl_MTG_Set[[#This Row],[Buy Window Month End]]*365.25/12</f>
        <v>#VALUE!</v>
      </c>
      <c r="N473" s="3" t="e">
        <f ca="1">AND(NOW()&gt;=tbl_MTG_Set[[#This Row],[Buy Window Start]], NOW()&lt;=tbl_MTG_Set[[#This Row],[Buy Window End]])</f>
        <v>#VALUE!</v>
      </c>
      <c r="O473" t="str">
        <f>_xlfn.XLOOKUP(tbl_MTG_Set[[#This Row],[Type Name]], tbl_MTG_Set_Type[Set Type], tbl_MTG_Set_Type[Heavy Printing Window Month Start], "(Set Type not found)", 0, 1)</f>
        <v>(Set Type not found)</v>
      </c>
      <c r="P473" s="3" t="e">
        <f>tbl_MTG_Set[[#This Row],[Released On]]+tbl_MTG_Set[[#This Row],[Heavy Printing Window Month Start]]*365.25/12</f>
        <v>#VALUE!</v>
      </c>
      <c r="Q473" t="str">
        <f>_xlfn.XLOOKUP(tbl_MTG_Set[[#This Row],[Type Name]], tbl_MTG_Set_Type[Set Type], tbl_MTG_Set_Type[Heavy Printing Window Month End], "(Set Type not found)", 0, 1)</f>
        <v>(Set Type not found)</v>
      </c>
      <c r="R473" s="3" t="e">
        <f>tbl_MTG_Set[[#This Row],[Released On]]+tbl_MTG_Set[[#This Row],[Heavy Printing Window Month End]]*365.25/12</f>
        <v>#VALUE!</v>
      </c>
      <c r="S473" s="3" t="e">
        <f ca="1">AND(NOW()&gt;=tbl_MTG_Set[[#This Row],[Heavy Printing Window Start]], NOW()&lt;=tbl_MTG_Set[[#This Row],[Heavy Printing Window End]])</f>
        <v>#VALUE!</v>
      </c>
      <c r="T473" t="str">
        <f>_xlfn.XLOOKUP(tbl_MTG_Set[[#This Row],[Type Name]], tbl_MTG_Set_Type[Set Type], tbl_MTG_Set_Type[Sell Window Month Start], "(Set Type not found)", 0, 1)</f>
        <v>(Set Type not found)</v>
      </c>
      <c r="U473" s="3" t="e">
        <f>tbl_MTG_Set[[#This Row],[Released On]]+tbl_MTG_Set[[#This Row],[Sell Window Month Start]]*365.25/12</f>
        <v>#VALUE!</v>
      </c>
      <c r="V473" t="str">
        <f>_xlfn.XLOOKUP(tbl_MTG_Set[[#This Row],[Type Name]], tbl_MTG_Set_Type[Set Type], tbl_MTG_Set_Type[Sell Window Month End], "(Set Type not found)", 0, 1)</f>
        <v>(Set Type not found)</v>
      </c>
      <c r="W473" s="3" t="e">
        <f>tbl_MTG_Set[[#This Row],[Released On]]+tbl_MTG_Set[[#This Row],[Sell Window Month End]]*365.25/12</f>
        <v>#VALUE!</v>
      </c>
      <c r="X473" s="3" t="e">
        <f ca="1">AND(NOW()&gt;=tbl_MTG_Set[[#This Row],[Sell Window Start]], NOW()&lt;=tbl_MTG_Set[[#This Row],[Sell Window End]])</f>
        <v>#VALUE!</v>
      </c>
      <c r="AG473" s="10"/>
      <c r="AH473" s="10"/>
      <c r="AM473" s="10" t="str" cm="1">
        <f t="array" ref="AM4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3" s="10" t="str" cm="1">
        <f t="array" ref="AN4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3" s="4" t="e">
        <f>_xlfn.XLOOKUP(tbl_MTG_Set[[#This Row],[Play Booster Box Product Id]], tbl_Product[Product Id], tbl_Product[Pack Size])</f>
        <v>#N/A</v>
      </c>
      <c r="AP473" s="10" t="e">
        <f>(tbl_MTG_Set[[#This Row],[Play Booster Box Cost]]+v_Item_Shipping_Cost_In)/tbl_MTG_Set[[#This Row],[Play Booster Box Size]]</f>
        <v>#VALUE!</v>
      </c>
      <c r="AQ473" s="10" t="str" cm="1">
        <f t="array" ref="AQ4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3" s="10"/>
      <c r="AS473" s="10"/>
      <c r="AT473" s="17" t="e">
        <f>tbl_MTG_Set[[#This Row],[Play Booster CardMarket Profit]]/tbl_MTG_Set[[#This Row],[Play Booster Cost]]</f>
        <v>#VALUE!</v>
      </c>
      <c r="AU473" s="10" t="e">
        <f>_xlfn.XLOOKUP(tbl_MTG_Set[[#This Row],[Collector Booster Box Product Id]], tbl_Product[Product Id], tbl_Product[Min Cost])</f>
        <v>#N/A</v>
      </c>
      <c r="AV473" s="10" t="e">
        <f>_xlfn.XLOOKUP(tbl_MTG_Set[[#This Row],[Collector Booster Box Product Id]], tbl_Product[Product Id], tbl_Product[Best Source])</f>
        <v>#N/A</v>
      </c>
      <c r="AW473" s="4" t="e">
        <f>_xlfn.XLOOKUP(tbl_MTG_Set[[#This Row],[Collector Booster Box Product Id]], tbl_Product[Product Id], tbl_Product[Pack Size])</f>
        <v>#N/A</v>
      </c>
      <c r="AX473" s="10" t="e">
        <f>(tbl_MTG_Set[[#This Row],[Collector Booster Box Cost]] + v_Item_Shipping_Cost_In) / tbl_MTG_Set[[#This Row],[Collector Booster Box Size]]</f>
        <v>#N/A</v>
      </c>
      <c r="AY473" s="10" t="str" cm="1">
        <f t="array" ref="AY4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3" s="10"/>
      <c r="BA4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3" s="17" t="e">
        <f>tbl_MTG_Set[[#This Row],[Collector Booster CardMarket Profit]]/tbl_MTG_Set[[#This Row],[Collector Booster Cost]]</f>
        <v>#N/A</v>
      </c>
      <c r="BC473" s="10"/>
      <c r="BF4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3" s="11" t="e">
        <f>tbl_MTG_Set[[#This Row],[Play Singles CardMarket Profit MTG Stocks]]/tbl_MTG_Set[[#This Row],[Play Booster Cost]]</f>
        <v>#VALUE!</v>
      </c>
      <c r="BI473" s="11" t="b">
        <f>tbl_MTG_Set[[#This Row],[Play Singles CardMarket Profit MTG Stocks]]&gt;0</f>
        <v>0</v>
      </c>
      <c r="BM473" s="10" t="e">
        <f>tbl_MTG_Set[[#This Row],[Play Booster Sell Price CardMarket]]*tbl_MTG_Set[[#This Row],[Play Booster Expected Market Value BotBox]]/tbl_MTG_Set[[#This Row],[Play Booster Sealed Market Value BotBox]]</f>
        <v>#VALUE!</v>
      </c>
      <c r="BN4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3" s="10" t="e">
        <f>tbl_MTG_Set[[#This Row],[Play Singles CardMarket Profit BotBox]]/tbl_MTG_Set[[#This Row],[Play Booster Cost]]</f>
        <v>#VALUE!</v>
      </c>
      <c r="BP473" s="10" t="b">
        <f>tbl_MTG_Set[[#This Row],[Play Singles CardMarket Profit BotBox]]&gt;0</f>
        <v>0</v>
      </c>
      <c r="BQ473" s="10"/>
      <c r="BR473" s="10"/>
      <c r="BS473" s="10"/>
      <c r="BT4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3" s="19" t="e">
        <f>tbl_MTG_Set[[#This Row],[Collector Singles CardMarket Profit MTG Stocks]]/tbl_MTG_Set[[#This Row],[Collector Booster Cost]]</f>
        <v>#N/A</v>
      </c>
      <c r="BW473" s="10" t="b">
        <f>tbl_MTG_Set[[#This Row],[Collector Singles CardMarket Profit MTG Stocks]]&gt;0</f>
        <v>0</v>
      </c>
      <c r="BX473" s="10"/>
      <c r="BY473" s="10"/>
      <c r="BZ4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3" s="10" t="e">
        <f>tbl_MTG_Set[[#This Row],[Collector Singles CardMarket Profit BotBox]]/tbl_MTG_Set[[#This Row],[Collector Booster Cost]]</f>
        <v>#N/A</v>
      </c>
      <c r="CC473" s="10" t="b">
        <f>tbl_MTG_Set[[#This Row],[Collector Singles CardMarket Profit BotBox]]&gt;0</f>
        <v>0</v>
      </c>
      <c r="CD4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4" spans="1:86" hidden="1">
      <c r="A474">
        <v>505</v>
      </c>
      <c r="B474" t="s">
        <v>647</v>
      </c>
      <c r="C474">
        <v>20</v>
      </c>
      <c r="D474" s="3">
        <v>43077</v>
      </c>
      <c r="F474" t="s">
        <v>174</v>
      </c>
      <c r="G474">
        <v>956</v>
      </c>
      <c r="H474">
        <f ca="1">MONTH(NOW())+12*YEAR(NOW())-MONTH(tbl_MTG_Set[[#This Row],[Released On]])-12*YEAR(tbl_MTG_Set[[#This Row],[Released On]])</f>
        <v>99</v>
      </c>
      <c r="I474" t="str">
        <f>_xlfn.XLOOKUP(tbl_MTG_Set[[#This Row],[Type Name]], tbl_MTG_Set_Type[Set Type], tbl_MTG_Set_Type[Index], "(Set Type not found)")</f>
        <v>(Set Type not found)</v>
      </c>
      <c r="J474" t="str">
        <f>_xlfn.XLOOKUP(tbl_MTG_Set[[#This Row],[Type Name]], tbl_MTG_Set_Type[Set Type], tbl_MTG_Set_Type[Buy Window Month Start], "(Set Type not found)")</f>
        <v>(Set Type not found)</v>
      </c>
      <c r="K474" s="3" t="e">
        <f>tbl_MTG_Set[[#This Row],[Released On]]+tbl_MTG_Set[[#This Row],[Buy Window Month Start]]*365.25/12</f>
        <v>#VALUE!</v>
      </c>
      <c r="L474" t="str">
        <f>_xlfn.XLOOKUP(tbl_MTG_Set[[#This Row],[Type Name]], tbl_MTG_Set_Type[Set Type], tbl_MTG_Set_Type[Buy Window Month End], "(Set Type not found)", 0, 1)</f>
        <v>(Set Type not found)</v>
      </c>
      <c r="M474" s="3" t="e">
        <f>tbl_MTG_Set[[#This Row],[Released On]]+tbl_MTG_Set[[#This Row],[Buy Window Month End]]*365.25/12</f>
        <v>#VALUE!</v>
      </c>
      <c r="N474" s="3" t="e">
        <f ca="1">AND(NOW()&gt;=tbl_MTG_Set[[#This Row],[Buy Window Start]], NOW()&lt;=tbl_MTG_Set[[#This Row],[Buy Window End]])</f>
        <v>#VALUE!</v>
      </c>
      <c r="O474" t="str">
        <f>_xlfn.XLOOKUP(tbl_MTG_Set[[#This Row],[Type Name]], tbl_MTG_Set_Type[Set Type], tbl_MTG_Set_Type[Heavy Printing Window Month Start], "(Set Type not found)", 0, 1)</f>
        <v>(Set Type not found)</v>
      </c>
      <c r="P474" s="3" t="e">
        <f>tbl_MTG_Set[[#This Row],[Released On]]+tbl_MTG_Set[[#This Row],[Heavy Printing Window Month Start]]*365.25/12</f>
        <v>#VALUE!</v>
      </c>
      <c r="Q474" t="str">
        <f>_xlfn.XLOOKUP(tbl_MTG_Set[[#This Row],[Type Name]], tbl_MTG_Set_Type[Set Type], tbl_MTG_Set_Type[Heavy Printing Window Month End], "(Set Type not found)", 0, 1)</f>
        <v>(Set Type not found)</v>
      </c>
      <c r="R474" s="3" t="e">
        <f>tbl_MTG_Set[[#This Row],[Released On]]+tbl_MTG_Set[[#This Row],[Heavy Printing Window Month End]]*365.25/12</f>
        <v>#VALUE!</v>
      </c>
      <c r="S474" s="3" t="e">
        <f ca="1">AND(NOW()&gt;=tbl_MTG_Set[[#This Row],[Heavy Printing Window Start]], NOW()&lt;=tbl_MTG_Set[[#This Row],[Heavy Printing Window End]])</f>
        <v>#VALUE!</v>
      </c>
      <c r="T474" t="str">
        <f>_xlfn.XLOOKUP(tbl_MTG_Set[[#This Row],[Type Name]], tbl_MTG_Set_Type[Set Type], tbl_MTG_Set_Type[Sell Window Month Start], "(Set Type not found)", 0, 1)</f>
        <v>(Set Type not found)</v>
      </c>
      <c r="U474" s="3" t="e">
        <f>tbl_MTG_Set[[#This Row],[Released On]]+tbl_MTG_Set[[#This Row],[Sell Window Month Start]]*365.25/12</f>
        <v>#VALUE!</v>
      </c>
      <c r="V474" t="str">
        <f>_xlfn.XLOOKUP(tbl_MTG_Set[[#This Row],[Type Name]], tbl_MTG_Set_Type[Set Type], tbl_MTG_Set_Type[Sell Window Month End], "(Set Type not found)", 0, 1)</f>
        <v>(Set Type not found)</v>
      </c>
      <c r="W474" s="3" t="e">
        <f>tbl_MTG_Set[[#This Row],[Released On]]+tbl_MTG_Set[[#This Row],[Sell Window Month End]]*365.25/12</f>
        <v>#VALUE!</v>
      </c>
      <c r="X474" s="3" t="e">
        <f ca="1">AND(NOW()&gt;=tbl_MTG_Set[[#This Row],[Sell Window Start]], NOW()&lt;=tbl_MTG_Set[[#This Row],[Sell Window End]])</f>
        <v>#VALUE!</v>
      </c>
      <c r="AG474" s="10"/>
      <c r="AH474" s="10"/>
      <c r="AM474" s="10" t="str" cm="1">
        <f t="array" ref="AM4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4" s="10" t="str" cm="1">
        <f t="array" ref="AN4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4" s="4" t="e">
        <f>_xlfn.XLOOKUP(tbl_MTG_Set[[#This Row],[Play Booster Box Product Id]], tbl_Product[Product Id], tbl_Product[Pack Size])</f>
        <v>#N/A</v>
      </c>
      <c r="AP474" s="10" t="e">
        <f>(tbl_MTG_Set[[#This Row],[Play Booster Box Cost]]+v_Item_Shipping_Cost_In)/tbl_MTG_Set[[#This Row],[Play Booster Box Size]]</f>
        <v>#VALUE!</v>
      </c>
      <c r="AQ474" s="10" t="str" cm="1">
        <f t="array" ref="AQ4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4" s="10"/>
      <c r="AS474" s="10"/>
      <c r="AT474" s="17" t="e">
        <f>tbl_MTG_Set[[#This Row],[Play Booster CardMarket Profit]]/tbl_MTG_Set[[#This Row],[Play Booster Cost]]</f>
        <v>#VALUE!</v>
      </c>
      <c r="AU474" s="10" t="e">
        <f>_xlfn.XLOOKUP(tbl_MTG_Set[[#This Row],[Collector Booster Box Product Id]], tbl_Product[Product Id], tbl_Product[Min Cost])</f>
        <v>#N/A</v>
      </c>
      <c r="AV474" s="10" t="e">
        <f>_xlfn.XLOOKUP(tbl_MTG_Set[[#This Row],[Collector Booster Box Product Id]], tbl_Product[Product Id], tbl_Product[Best Source])</f>
        <v>#N/A</v>
      </c>
      <c r="AW474" s="4" t="e">
        <f>_xlfn.XLOOKUP(tbl_MTG_Set[[#This Row],[Collector Booster Box Product Id]], tbl_Product[Product Id], tbl_Product[Pack Size])</f>
        <v>#N/A</v>
      </c>
      <c r="AX474" s="10" t="e">
        <f>(tbl_MTG_Set[[#This Row],[Collector Booster Box Cost]] + v_Item_Shipping_Cost_In) / tbl_MTG_Set[[#This Row],[Collector Booster Box Size]]</f>
        <v>#N/A</v>
      </c>
      <c r="AY474" s="10" t="str" cm="1">
        <f t="array" ref="AY4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4" s="10"/>
      <c r="BA4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4" s="17" t="e">
        <f>tbl_MTG_Set[[#This Row],[Collector Booster CardMarket Profit]]/tbl_MTG_Set[[#This Row],[Collector Booster Cost]]</f>
        <v>#N/A</v>
      </c>
      <c r="BC474" s="10"/>
      <c r="BF4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4" s="11" t="e">
        <f>tbl_MTG_Set[[#This Row],[Play Singles CardMarket Profit MTG Stocks]]/tbl_MTG_Set[[#This Row],[Play Booster Cost]]</f>
        <v>#VALUE!</v>
      </c>
      <c r="BI474" s="11" t="b">
        <f>tbl_MTG_Set[[#This Row],[Play Singles CardMarket Profit MTG Stocks]]&gt;0</f>
        <v>0</v>
      </c>
      <c r="BM474" s="10" t="e">
        <f>tbl_MTG_Set[[#This Row],[Play Booster Sell Price CardMarket]]*tbl_MTG_Set[[#This Row],[Play Booster Expected Market Value BotBox]]/tbl_MTG_Set[[#This Row],[Play Booster Sealed Market Value BotBox]]</f>
        <v>#VALUE!</v>
      </c>
      <c r="BN4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4" s="10" t="e">
        <f>tbl_MTG_Set[[#This Row],[Play Singles CardMarket Profit BotBox]]/tbl_MTG_Set[[#This Row],[Play Booster Cost]]</f>
        <v>#VALUE!</v>
      </c>
      <c r="BP474" s="10" t="b">
        <f>tbl_MTG_Set[[#This Row],[Play Singles CardMarket Profit BotBox]]&gt;0</f>
        <v>0</v>
      </c>
      <c r="BQ474" s="10"/>
      <c r="BR474" s="10"/>
      <c r="BS474" s="10"/>
      <c r="BT4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4" s="19" t="e">
        <f>tbl_MTG_Set[[#This Row],[Collector Singles CardMarket Profit MTG Stocks]]/tbl_MTG_Set[[#This Row],[Collector Booster Cost]]</f>
        <v>#N/A</v>
      </c>
      <c r="BW474" s="10" t="b">
        <f>tbl_MTG_Set[[#This Row],[Collector Singles CardMarket Profit MTG Stocks]]&gt;0</f>
        <v>0</v>
      </c>
      <c r="BX474" s="10"/>
      <c r="BY474" s="10"/>
      <c r="BZ4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4" s="10" t="e">
        <f>tbl_MTG_Set[[#This Row],[Collector Singles CardMarket Profit BotBox]]/tbl_MTG_Set[[#This Row],[Collector Booster Cost]]</f>
        <v>#N/A</v>
      </c>
      <c r="CC474" s="10" t="b">
        <f>tbl_MTG_Set[[#This Row],[Collector Singles CardMarket Profit BotBox]]&gt;0</f>
        <v>0</v>
      </c>
      <c r="CD4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5" spans="1:86" hidden="1">
      <c r="A475">
        <v>506</v>
      </c>
      <c r="B475" t="s">
        <v>648</v>
      </c>
      <c r="C475">
        <v>16</v>
      </c>
      <c r="D475" s="3">
        <v>43063</v>
      </c>
      <c r="F475" t="s">
        <v>174</v>
      </c>
      <c r="G475">
        <v>958</v>
      </c>
      <c r="H475">
        <f ca="1">MONTH(NOW())+12*YEAR(NOW())-MONTH(tbl_MTG_Set[[#This Row],[Released On]])-12*YEAR(tbl_MTG_Set[[#This Row],[Released On]])</f>
        <v>100</v>
      </c>
      <c r="I475" t="str">
        <f>_xlfn.XLOOKUP(tbl_MTG_Set[[#This Row],[Type Name]], tbl_MTG_Set_Type[Set Type], tbl_MTG_Set_Type[Index], "(Set Type not found)")</f>
        <v>(Set Type not found)</v>
      </c>
      <c r="J475" t="str">
        <f>_xlfn.XLOOKUP(tbl_MTG_Set[[#This Row],[Type Name]], tbl_MTG_Set_Type[Set Type], tbl_MTG_Set_Type[Buy Window Month Start], "(Set Type not found)")</f>
        <v>(Set Type not found)</v>
      </c>
      <c r="K475" s="3" t="e">
        <f>tbl_MTG_Set[[#This Row],[Released On]]+tbl_MTG_Set[[#This Row],[Buy Window Month Start]]*365.25/12</f>
        <v>#VALUE!</v>
      </c>
      <c r="L475" t="str">
        <f>_xlfn.XLOOKUP(tbl_MTG_Set[[#This Row],[Type Name]], tbl_MTG_Set_Type[Set Type], tbl_MTG_Set_Type[Buy Window Month End], "(Set Type not found)", 0, 1)</f>
        <v>(Set Type not found)</v>
      </c>
      <c r="M475" s="3" t="e">
        <f>tbl_MTG_Set[[#This Row],[Released On]]+tbl_MTG_Set[[#This Row],[Buy Window Month End]]*365.25/12</f>
        <v>#VALUE!</v>
      </c>
      <c r="N475" s="3" t="e">
        <f ca="1">AND(NOW()&gt;=tbl_MTG_Set[[#This Row],[Buy Window Start]], NOW()&lt;=tbl_MTG_Set[[#This Row],[Buy Window End]])</f>
        <v>#VALUE!</v>
      </c>
      <c r="O475" t="str">
        <f>_xlfn.XLOOKUP(tbl_MTG_Set[[#This Row],[Type Name]], tbl_MTG_Set_Type[Set Type], tbl_MTG_Set_Type[Heavy Printing Window Month Start], "(Set Type not found)", 0, 1)</f>
        <v>(Set Type not found)</v>
      </c>
      <c r="P475" s="3" t="e">
        <f>tbl_MTG_Set[[#This Row],[Released On]]+tbl_MTG_Set[[#This Row],[Heavy Printing Window Month Start]]*365.25/12</f>
        <v>#VALUE!</v>
      </c>
      <c r="Q475" t="str">
        <f>_xlfn.XLOOKUP(tbl_MTG_Set[[#This Row],[Type Name]], tbl_MTG_Set_Type[Set Type], tbl_MTG_Set_Type[Heavy Printing Window Month End], "(Set Type not found)", 0, 1)</f>
        <v>(Set Type not found)</v>
      </c>
      <c r="R475" s="3" t="e">
        <f>tbl_MTG_Set[[#This Row],[Released On]]+tbl_MTG_Set[[#This Row],[Heavy Printing Window Month End]]*365.25/12</f>
        <v>#VALUE!</v>
      </c>
      <c r="S475" s="3" t="e">
        <f ca="1">AND(NOW()&gt;=tbl_MTG_Set[[#This Row],[Heavy Printing Window Start]], NOW()&lt;=tbl_MTG_Set[[#This Row],[Heavy Printing Window End]])</f>
        <v>#VALUE!</v>
      </c>
      <c r="T475" t="str">
        <f>_xlfn.XLOOKUP(tbl_MTG_Set[[#This Row],[Type Name]], tbl_MTG_Set_Type[Set Type], tbl_MTG_Set_Type[Sell Window Month Start], "(Set Type not found)", 0, 1)</f>
        <v>(Set Type not found)</v>
      </c>
      <c r="U475" s="3" t="e">
        <f>tbl_MTG_Set[[#This Row],[Released On]]+tbl_MTG_Set[[#This Row],[Sell Window Month Start]]*365.25/12</f>
        <v>#VALUE!</v>
      </c>
      <c r="V475" t="str">
        <f>_xlfn.XLOOKUP(tbl_MTG_Set[[#This Row],[Type Name]], tbl_MTG_Set_Type[Set Type], tbl_MTG_Set_Type[Sell Window Month End], "(Set Type not found)", 0, 1)</f>
        <v>(Set Type not found)</v>
      </c>
      <c r="W475" s="3" t="e">
        <f>tbl_MTG_Set[[#This Row],[Released On]]+tbl_MTG_Set[[#This Row],[Sell Window Month End]]*365.25/12</f>
        <v>#VALUE!</v>
      </c>
      <c r="X475" s="3" t="e">
        <f ca="1">AND(NOW()&gt;=tbl_MTG_Set[[#This Row],[Sell Window Start]], NOW()&lt;=tbl_MTG_Set[[#This Row],[Sell Window End]])</f>
        <v>#VALUE!</v>
      </c>
      <c r="AG475" s="10"/>
      <c r="AH475" s="10"/>
      <c r="AM475" s="10" t="str" cm="1">
        <f t="array" ref="AM4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5" s="10" t="str" cm="1">
        <f t="array" ref="AN4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5" s="4" t="e">
        <f>_xlfn.XLOOKUP(tbl_MTG_Set[[#This Row],[Play Booster Box Product Id]], tbl_Product[Product Id], tbl_Product[Pack Size])</f>
        <v>#N/A</v>
      </c>
      <c r="AP475" s="10" t="e">
        <f>(tbl_MTG_Set[[#This Row],[Play Booster Box Cost]]+v_Item_Shipping_Cost_In)/tbl_MTG_Set[[#This Row],[Play Booster Box Size]]</f>
        <v>#VALUE!</v>
      </c>
      <c r="AQ475" s="10" t="str" cm="1">
        <f t="array" ref="AQ4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5" s="10"/>
      <c r="AS475" s="10"/>
      <c r="AT475" s="17" t="e">
        <f>tbl_MTG_Set[[#This Row],[Play Booster CardMarket Profit]]/tbl_MTG_Set[[#This Row],[Play Booster Cost]]</f>
        <v>#VALUE!</v>
      </c>
      <c r="AU475" s="10" t="e">
        <f>_xlfn.XLOOKUP(tbl_MTG_Set[[#This Row],[Collector Booster Box Product Id]], tbl_Product[Product Id], tbl_Product[Min Cost])</f>
        <v>#N/A</v>
      </c>
      <c r="AV475" s="10" t="e">
        <f>_xlfn.XLOOKUP(tbl_MTG_Set[[#This Row],[Collector Booster Box Product Id]], tbl_Product[Product Id], tbl_Product[Best Source])</f>
        <v>#N/A</v>
      </c>
      <c r="AW475" s="4" t="e">
        <f>_xlfn.XLOOKUP(tbl_MTG_Set[[#This Row],[Collector Booster Box Product Id]], tbl_Product[Product Id], tbl_Product[Pack Size])</f>
        <v>#N/A</v>
      </c>
      <c r="AX475" s="10" t="e">
        <f>(tbl_MTG_Set[[#This Row],[Collector Booster Box Cost]] + v_Item_Shipping_Cost_In) / tbl_MTG_Set[[#This Row],[Collector Booster Box Size]]</f>
        <v>#N/A</v>
      </c>
      <c r="AY475" s="10" t="str" cm="1">
        <f t="array" ref="AY4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5" s="10"/>
      <c r="BA4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5" s="17" t="e">
        <f>tbl_MTG_Set[[#This Row],[Collector Booster CardMarket Profit]]/tbl_MTG_Set[[#This Row],[Collector Booster Cost]]</f>
        <v>#N/A</v>
      </c>
      <c r="BC475" s="10"/>
      <c r="BF4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5" s="11" t="e">
        <f>tbl_MTG_Set[[#This Row],[Play Singles CardMarket Profit MTG Stocks]]/tbl_MTG_Set[[#This Row],[Play Booster Cost]]</f>
        <v>#VALUE!</v>
      </c>
      <c r="BI475" s="11" t="b">
        <f>tbl_MTG_Set[[#This Row],[Play Singles CardMarket Profit MTG Stocks]]&gt;0</f>
        <v>0</v>
      </c>
      <c r="BM475" s="10" t="e">
        <f>tbl_MTG_Set[[#This Row],[Play Booster Sell Price CardMarket]]*tbl_MTG_Set[[#This Row],[Play Booster Expected Market Value BotBox]]/tbl_MTG_Set[[#This Row],[Play Booster Sealed Market Value BotBox]]</f>
        <v>#VALUE!</v>
      </c>
      <c r="BN4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5" s="10" t="e">
        <f>tbl_MTG_Set[[#This Row],[Play Singles CardMarket Profit BotBox]]/tbl_MTG_Set[[#This Row],[Play Booster Cost]]</f>
        <v>#VALUE!</v>
      </c>
      <c r="BP475" s="10" t="b">
        <f>tbl_MTG_Set[[#This Row],[Play Singles CardMarket Profit BotBox]]&gt;0</f>
        <v>0</v>
      </c>
      <c r="BQ475" s="10"/>
      <c r="BR475" s="10"/>
      <c r="BS475" s="10"/>
      <c r="BT4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5" s="19" t="e">
        <f>tbl_MTG_Set[[#This Row],[Collector Singles CardMarket Profit MTG Stocks]]/tbl_MTG_Set[[#This Row],[Collector Booster Cost]]</f>
        <v>#N/A</v>
      </c>
      <c r="BW475" s="10" t="b">
        <f>tbl_MTG_Set[[#This Row],[Collector Singles CardMarket Profit MTG Stocks]]&gt;0</f>
        <v>0</v>
      </c>
      <c r="BX475" s="10"/>
      <c r="BY475" s="10"/>
      <c r="BZ4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5" s="10" t="e">
        <f>tbl_MTG_Set[[#This Row],[Collector Singles CardMarket Profit BotBox]]/tbl_MTG_Set[[#This Row],[Collector Booster Cost]]</f>
        <v>#N/A</v>
      </c>
      <c r="CC475" s="10" t="b">
        <f>tbl_MTG_Set[[#This Row],[Collector Singles CardMarket Profit BotBox]]&gt;0</f>
        <v>0</v>
      </c>
      <c r="CD4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6" spans="1:86" hidden="1">
      <c r="A476">
        <v>507</v>
      </c>
      <c r="B476" t="s">
        <v>649</v>
      </c>
      <c r="C476">
        <v>48</v>
      </c>
      <c r="D476" s="3">
        <v>43063</v>
      </c>
      <c r="F476" t="s">
        <v>174</v>
      </c>
      <c r="G476">
        <v>960</v>
      </c>
      <c r="H476">
        <f ca="1">MONTH(NOW())+12*YEAR(NOW())-MONTH(tbl_MTG_Set[[#This Row],[Released On]])-12*YEAR(tbl_MTG_Set[[#This Row],[Released On]])</f>
        <v>100</v>
      </c>
      <c r="I476" t="str">
        <f>_xlfn.XLOOKUP(tbl_MTG_Set[[#This Row],[Type Name]], tbl_MTG_Set_Type[Set Type], tbl_MTG_Set_Type[Index], "(Set Type not found)")</f>
        <v>(Set Type not found)</v>
      </c>
      <c r="J476" t="str">
        <f>_xlfn.XLOOKUP(tbl_MTG_Set[[#This Row],[Type Name]], tbl_MTG_Set_Type[Set Type], tbl_MTG_Set_Type[Buy Window Month Start], "(Set Type not found)")</f>
        <v>(Set Type not found)</v>
      </c>
      <c r="K476" s="3" t="e">
        <f>tbl_MTG_Set[[#This Row],[Released On]]+tbl_MTG_Set[[#This Row],[Buy Window Month Start]]*365.25/12</f>
        <v>#VALUE!</v>
      </c>
      <c r="L476" t="str">
        <f>_xlfn.XLOOKUP(tbl_MTG_Set[[#This Row],[Type Name]], tbl_MTG_Set_Type[Set Type], tbl_MTG_Set_Type[Buy Window Month End], "(Set Type not found)", 0, 1)</f>
        <v>(Set Type not found)</v>
      </c>
      <c r="M476" s="3" t="e">
        <f>tbl_MTG_Set[[#This Row],[Released On]]+tbl_MTG_Set[[#This Row],[Buy Window Month End]]*365.25/12</f>
        <v>#VALUE!</v>
      </c>
      <c r="N476" s="3" t="e">
        <f ca="1">AND(NOW()&gt;=tbl_MTG_Set[[#This Row],[Buy Window Start]], NOW()&lt;=tbl_MTG_Set[[#This Row],[Buy Window End]])</f>
        <v>#VALUE!</v>
      </c>
      <c r="O476" t="str">
        <f>_xlfn.XLOOKUP(tbl_MTG_Set[[#This Row],[Type Name]], tbl_MTG_Set_Type[Set Type], tbl_MTG_Set_Type[Heavy Printing Window Month Start], "(Set Type not found)", 0, 1)</f>
        <v>(Set Type not found)</v>
      </c>
      <c r="P476" s="3" t="e">
        <f>tbl_MTG_Set[[#This Row],[Released On]]+tbl_MTG_Set[[#This Row],[Heavy Printing Window Month Start]]*365.25/12</f>
        <v>#VALUE!</v>
      </c>
      <c r="Q476" t="str">
        <f>_xlfn.XLOOKUP(tbl_MTG_Set[[#This Row],[Type Name]], tbl_MTG_Set_Type[Set Type], tbl_MTG_Set_Type[Heavy Printing Window Month End], "(Set Type not found)", 0, 1)</f>
        <v>(Set Type not found)</v>
      </c>
      <c r="R476" s="3" t="e">
        <f>tbl_MTG_Set[[#This Row],[Released On]]+tbl_MTG_Set[[#This Row],[Heavy Printing Window Month End]]*365.25/12</f>
        <v>#VALUE!</v>
      </c>
      <c r="S476" s="3" t="e">
        <f ca="1">AND(NOW()&gt;=tbl_MTG_Set[[#This Row],[Heavy Printing Window Start]], NOW()&lt;=tbl_MTG_Set[[#This Row],[Heavy Printing Window End]])</f>
        <v>#VALUE!</v>
      </c>
      <c r="T476" t="str">
        <f>_xlfn.XLOOKUP(tbl_MTG_Set[[#This Row],[Type Name]], tbl_MTG_Set_Type[Set Type], tbl_MTG_Set_Type[Sell Window Month Start], "(Set Type not found)", 0, 1)</f>
        <v>(Set Type not found)</v>
      </c>
      <c r="U476" s="3" t="e">
        <f>tbl_MTG_Set[[#This Row],[Released On]]+tbl_MTG_Set[[#This Row],[Sell Window Month Start]]*365.25/12</f>
        <v>#VALUE!</v>
      </c>
      <c r="V476" t="str">
        <f>_xlfn.XLOOKUP(tbl_MTG_Set[[#This Row],[Type Name]], tbl_MTG_Set_Type[Set Type], tbl_MTG_Set_Type[Sell Window Month End], "(Set Type not found)", 0, 1)</f>
        <v>(Set Type not found)</v>
      </c>
      <c r="W476" s="3" t="e">
        <f>tbl_MTG_Set[[#This Row],[Released On]]+tbl_MTG_Set[[#This Row],[Sell Window Month End]]*365.25/12</f>
        <v>#VALUE!</v>
      </c>
      <c r="X476" s="3" t="e">
        <f ca="1">AND(NOW()&gt;=tbl_MTG_Set[[#This Row],[Sell Window Start]], NOW()&lt;=tbl_MTG_Set[[#This Row],[Sell Window End]])</f>
        <v>#VALUE!</v>
      </c>
      <c r="AG476" s="10"/>
      <c r="AH476" s="10"/>
      <c r="AM476" s="10" t="str" cm="1">
        <f t="array" ref="AM4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6" s="10" t="str" cm="1">
        <f t="array" ref="AN4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6" s="4" t="e">
        <f>_xlfn.XLOOKUP(tbl_MTG_Set[[#This Row],[Play Booster Box Product Id]], tbl_Product[Product Id], tbl_Product[Pack Size])</f>
        <v>#N/A</v>
      </c>
      <c r="AP476" s="10" t="e">
        <f>(tbl_MTG_Set[[#This Row],[Play Booster Box Cost]]+v_Item_Shipping_Cost_In)/tbl_MTG_Set[[#This Row],[Play Booster Box Size]]</f>
        <v>#VALUE!</v>
      </c>
      <c r="AQ476" s="10" t="str" cm="1">
        <f t="array" ref="AQ4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6" s="10"/>
      <c r="AS476" s="10"/>
      <c r="AT476" s="17" t="e">
        <f>tbl_MTG_Set[[#This Row],[Play Booster CardMarket Profit]]/tbl_MTG_Set[[#This Row],[Play Booster Cost]]</f>
        <v>#VALUE!</v>
      </c>
      <c r="AU476" s="10" t="e">
        <f>_xlfn.XLOOKUP(tbl_MTG_Set[[#This Row],[Collector Booster Box Product Id]], tbl_Product[Product Id], tbl_Product[Min Cost])</f>
        <v>#N/A</v>
      </c>
      <c r="AV476" s="10" t="e">
        <f>_xlfn.XLOOKUP(tbl_MTG_Set[[#This Row],[Collector Booster Box Product Id]], tbl_Product[Product Id], tbl_Product[Best Source])</f>
        <v>#N/A</v>
      </c>
      <c r="AW476" s="4" t="e">
        <f>_xlfn.XLOOKUP(tbl_MTG_Set[[#This Row],[Collector Booster Box Product Id]], tbl_Product[Product Id], tbl_Product[Pack Size])</f>
        <v>#N/A</v>
      </c>
      <c r="AX476" s="10" t="e">
        <f>(tbl_MTG_Set[[#This Row],[Collector Booster Box Cost]] + v_Item_Shipping_Cost_In) / tbl_MTG_Set[[#This Row],[Collector Booster Box Size]]</f>
        <v>#N/A</v>
      </c>
      <c r="AY476" s="10" t="str" cm="1">
        <f t="array" ref="AY4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6" s="10"/>
      <c r="BA4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6" s="17" t="e">
        <f>tbl_MTG_Set[[#This Row],[Collector Booster CardMarket Profit]]/tbl_MTG_Set[[#This Row],[Collector Booster Cost]]</f>
        <v>#N/A</v>
      </c>
      <c r="BC476" s="10"/>
      <c r="BF4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6" s="11" t="e">
        <f>tbl_MTG_Set[[#This Row],[Play Singles CardMarket Profit MTG Stocks]]/tbl_MTG_Set[[#This Row],[Play Booster Cost]]</f>
        <v>#VALUE!</v>
      </c>
      <c r="BI476" s="11" t="b">
        <f>tbl_MTG_Set[[#This Row],[Play Singles CardMarket Profit MTG Stocks]]&gt;0</f>
        <v>0</v>
      </c>
      <c r="BM476" s="10" t="e">
        <f>tbl_MTG_Set[[#This Row],[Play Booster Sell Price CardMarket]]*tbl_MTG_Set[[#This Row],[Play Booster Expected Market Value BotBox]]/tbl_MTG_Set[[#This Row],[Play Booster Sealed Market Value BotBox]]</f>
        <v>#VALUE!</v>
      </c>
      <c r="BN4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6" s="10" t="e">
        <f>tbl_MTG_Set[[#This Row],[Play Singles CardMarket Profit BotBox]]/tbl_MTG_Set[[#This Row],[Play Booster Cost]]</f>
        <v>#VALUE!</v>
      </c>
      <c r="BP476" s="10" t="b">
        <f>tbl_MTG_Set[[#This Row],[Play Singles CardMarket Profit BotBox]]&gt;0</f>
        <v>0</v>
      </c>
      <c r="BQ476" s="10"/>
      <c r="BR476" s="10"/>
      <c r="BS476" s="10"/>
      <c r="BT4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6" s="19" t="e">
        <f>tbl_MTG_Set[[#This Row],[Collector Singles CardMarket Profit MTG Stocks]]/tbl_MTG_Set[[#This Row],[Collector Booster Cost]]</f>
        <v>#N/A</v>
      </c>
      <c r="BW476" s="10" t="b">
        <f>tbl_MTG_Set[[#This Row],[Collector Singles CardMarket Profit MTG Stocks]]&gt;0</f>
        <v>0</v>
      </c>
      <c r="BX476" s="10"/>
      <c r="BY476" s="10"/>
      <c r="BZ4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6" s="10" t="e">
        <f>tbl_MTG_Set[[#This Row],[Collector Singles CardMarket Profit BotBox]]/tbl_MTG_Set[[#This Row],[Collector Booster Cost]]</f>
        <v>#N/A</v>
      </c>
      <c r="CC476" s="10" t="b">
        <f>tbl_MTG_Set[[#This Row],[Collector Singles CardMarket Profit BotBox]]&gt;0</f>
        <v>0</v>
      </c>
      <c r="CD4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7" spans="1:86" hidden="1">
      <c r="A477">
        <v>508</v>
      </c>
      <c r="B477" t="s">
        <v>650</v>
      </c>
      <c r="C477">
        <v>249</v>
      </c>
      <c r="D477" s="3">
        <v>43056</v>
      </c>
      <c r="F477" t="s">
        <v>174</v>
      </c>
      <c r="G477">
        <v>962</v>
      </c>
      <c r="H477">
        <f ca="1">MONTH(NOW())+12*YEAR(NOW())-MONTH(tbl_MTG_Set[[#This Row],[Released On]])-12*YEAR(tbl_MTG_Set[[#This Row],[Released On]])</f>
        <v>100</v>
      </c>
      <c r="I477" t="str">
        <f>_xlfn.XLOOKUP(tbl_MTG_Set[[#This Row],[Type Name]], tbl_MTG_Set_Type[Set Type], tbl_MTG_Set_Type[Index], "(Set Type not found)")</f>
        <v>(Set Type not found)</v>
      </c>
      <c r="J477" t="str">
        <f>_xlfn.XLOOKUP(tbl_MTG_Set[[#This Row],[Type Name]], tbl_MTG_Set_Type[Set Type], tbl_MTG_Set_Type[Buy Window Month Start], "(Set Type not found)")</f>
        <v>(Set Type not found)</v>
      </c>
      <c r="K477" s="3" t="e">
        <f>tbl_MTG_Set[[#This Row],[Released On]]+tbl_MTG_Set[[#This Row],[Buy Window Month Start]]*365.25/12</f>
        <v>#VALUE!</v>
      </c>
      <c r="L477" t="str">
        <f>_xlfn.XLOOKUP(tbl_MTG_Set[[#This Row],[Type Name]], tbl_MTG_Set_Type[Set Type], tbl_MTG_Set_Type[Buy Window Month End], "(Set Type not found)", 0, 1)</f>
        <v>(Set Type not found)</v>
      </c>
      <c r="M477" s="3" t="e">
        <f>tbl_MTG_Set[[#This Row],[Released On]]+tbl_MTG_Set[[#This Row],[Buy Window Month End]]*365.25/12</f>
        <v>#VALUE!</v>
      </c>
      <c r="N477" s="3" t="e">
        <f ca="1">AND(NOW()&gt;=tbl_MTG_Set[[#This Row],[Buy Window Start]], NOW()&lt;=tbl_MTG_Set[[#This Row],[Buy Window End]])</f>
        <v>#VALUE!</v>
      </c>
      <c r="O477" t="str">
        <f>_xlfn.XLOOKUP(tbl_MTG_Set[[#This Row],[Type Name]], tbl_MTG_Set_Type[Set Type], tbl_MTG_Set_Type[Heavy Printing Window Month Start], "(Set Type not found)", 0, 1)</f>
        <v>(Set Type not found)</v>
      </c>
      <c r="P477" s="3" t="e">
        <f>tbl_MTG_Set[[#This Row],[Released On]]+tbl_MTG_Set[[#This Row],[Heavy Printing Window Month Start]]*365.25/12</f>
        <v>#VALUE!</v>
      </c>
      <c r="Q477" t="str">
        <f>_xlfn.XLOOKUP(tbl_MTG_Set[[#This Row],[Type Name]], tbl_MTG_Set_Type[Set Type], tbl_MTG_Set_Type[Heavy Printing Window Month End], "(Set Type not found)", 0, 1)</f>
        <v>(Set Type not found)</v>
      </c>
      <c r="R477" s="3" t="e">
        <f>tbl_MTG_Set[[#This Row],[Released On]]+tbl_MTG_Set[[#This Row],[Heavy Printing Window Month End]]*365.25/12</f>
        <v>#VALUE!</v>
      </c>
      <c r="S477" s="3" t="e">
        <f ca="1">AND(NOW()&gt;=tbl_MTG_Set[[#This Row],[Heavy Printing Window Start]], NOW()&lt;=tbl_MTG_Set[[#This Row],[Heavy Printing Window End]])</f>
        <v>#VALUE!</v>
      </c>
      <c r="T477" t="str">
        <f>_xlfn.XLOOKUP(tbl_MTG_Set[[#This Row],[Type Name]], tbl_MTG_Set_Type[Set Type], tbl_MTG_Set_Type[Sell Window Month Start], "(Set Type not found)", 0, 1)</f>
        <v>(Set Type not found)</v>
      </c>
      <c r="U477" s="3" t="e">
        <f>tbl_MTG_Set[[#This Row],[Released On]]+tbl_MTG_Set[[#This Row],[Sell Window Month Start]]*365.25/12</f>
        <v>#VALUE!</v>
      </c>
      <c r="V477" t="str">
        <f>_xlfn.XLOOKUP(tbl_MTG_Set[[#This Row],[Type Name]], tbl_MTG_Set_Type[Set Type], tbl_MTG_Set_Type[Sell Window Month End], "(Set Type not found)", 0, 1)</f>
        <v>(Set Type not found)</v>
      </c>
      <c r="W477" s="3" t="e">
        <f>tbl_MTG_Set[[#This Row],[Released On]]+tbl_MTG_Set[[#This Row],[Sell Window Month End]]*365.25/12</f>
        <v>#VALUE!</v>
      </c>
      <c r="X477" s="3" t="e">
        <f ca="1">AND(NOW()&gt;=tbl_MTG_Set[[#This Row],[Sell Window Start]], NOW()&lt;=tbl_MTG_Set[[#This Row],[Sell Window End]])</f>
        <v>#VALUE!</v>
      </c>
      <c r="AG477" s="10"/>
      <c r="AH477" s="10"/>
      <c r="AM477" s="10" t="str" cm="1">
        <f t="array" ref="AM4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7" s="10" t="str" cm="1">
        <f t="array" ref="AN4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7" s="4" t="e">
        <f>_xlfn.XLOOKUP(tbl_MTG_Set[[#This Row],[Play Booster Box Product Id]], tbl_Product[Product Id], tbl_Product[Pack Size])</f>
        <v>#N/A</v>
      </c>
      <c r="AP477" s="10" t="e">
        <f>(tbl_MTG_Set[[#This Row],[Play Booster Box Cost]]+v_Item_Shipping_Cost_In)/tbl_MTG_Set[[#This Row],[Play Booster Box Size]]</f>
        <v>#VALUE!</v>
      </c>
      <c r="AQ477" s="10" t="str" cm="1">
        <f t="array" ref="AQ4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7" s="10"/>
      <c r="AS477" s="10"/>
      <c r="AT477" s="17" t="e">
        <f>tbl_MTG_Set[[#This Row],[Play Booster CardMarket Profit]]/tbl_MTG_Set[[#This Row],[Play Booster Cost]]</f>
        <v>#VALUE!</v>
      </c>
      <c r="AU477" s="10" t="e">
        <f>_xlfn.XLOOKUP(tbl_MTG_Set[[#This Row],[Collector Booster Box Product Id]], tbl_Product[Product Id], tbl_Product[Min Cost])</f>
        <v>#N/A</v>
      </c>
      <c r="AV477" s="10" t="e">
        <f>_xlfn.XLOOKUP(tbl_MTG_Set[[#This Row],[Collector Booster Box Product Id]], tbl_Product[Product Id], tbl_Product[Best Source])</f>
        <v>#N/A</v>
      </c>
      <c r="AW477" s="4" t="e">
        <f>_xlfn.XLOOKUP(tbl_MTG_Set[[#This Row],[Collector Booster Box Product Id]], tbl_Product[Product Id], tbl_Product[Pack Size])</f>
        <v>#N/A</v>
      </c>
      <c r="AX477" s="10" t="e">
        <f>(tbl_MTG_Set[[#This Row],[Collector Booster Box Cost]] + v_Item_Shipping_Cost_In) / tbl_MTG_Set[[#This Row],[Collector Booster Box Size]]</f>
        <v>#N/A</v>
      </c>
      <c r="AY477" s="10" t="str" cm="1">
        <f t="array" ref="AY4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7" s="10"/>
      <c r="BA4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7" s="17" t="e">
        <f>tbl_MTG_Set[[#This Row],[Collector Booster CardMarket Profit]]/tbl_MTG_Set[[#This Row],[Collector Booster Cost]]</f>
        <v>#N/A</v>
      </c>
      <c r="BC477" s="10"/>
      <c r="BF4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7" s="11" t="e">
        <f>tbl_MTG_Set[[#This Row],[Play Singles CardMarket Profit MTG Stocks]]/tbl_MTG_Set[[#This Row],[Play Booster Cost]]</f>
        <v>#VALUE!</v>
      </c>
      <c r="BI477" s="11" t="b">
        <f>tbl_MTG_Set[[#This Row],[Play Singles CardMarket Profit MTG Stocks]]&gt;0</f>
        <v>0</v>
      </c>
      <c r="BM477" s="10" t="e">
        <f>tbl_MTG_Set[[#This Row],[Play Booster Sell Price CardMarket]]*tbl_MTG_Set[[#This Row],[Play Booster Expected Market Value BotBox]]/tbl_MTG_Set[[#This Row],[Play Booster Sealed Market Value BotBox]]</f>
        <v>#VALUE!</v>
      </c>
      <c r="BN4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7" s="10" t="e">
        <f>tbl_MTG_Set[[#This Row],[Play Singles CardMarket Profit BotBox]]/tbl_MTG_Set[[#This Row],[Play Booster Cost]]</f>
        <v>#VALUE!</v>
      </c>
      <c r="BP477" s="10" t="b">
        <f>tbl_MTG_Set[[#This Row],[Play Singles CardMarket Profit BotBox]]&gt;0</f>
        <v>0</v>
      </c>
      <c r="BQ477" s="10"/>
      <c r="BR477" s="10"/>
      <c r="BS477" s="10"/>
      <c r="BT4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7" s="19" t="e">
        <f>tbl_MTG_Set[[#This Row],[Collector Singles CardMarket Profit MTG Stocks]]/tbl_MTG_Set[[#This Row],[Collector Booster Cost]]</f>
        <v>#N/A</v>
      </c>
      <c r="BW477" s="10" t="b">
        <f>tbl_MTG_Set[[#This Row],[Collector Singles CardMarket Profit MTG Stocks]]&gt;0</f>
        <v>0</v>
      </c>
      <c r="BX477" s="10"/>
      <c r="BY477" s="10"/>
      <c r="BZ4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7" s="10" t="e">
        <f>tbl_MTG_Set[[#This Row],[Collector Singles CardMarket Profit BotBox]]/tbl_MTG_Set[[#This Row],[Collector Booster Cost]]</f>
        <v>#N/A</v>
      </c>
      <c r="CC477" s="10" t="b">
        <f>tbl_MTG_Set[[#This Row],[Collector Singles CardMarket Profit BotBox]]&gt;0</f>
        <v>0</v>
      </c>
      <c r="CD4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8" spans="1:86" hidden="1">
      <c r="A478">
        <v>509</v>
      </c>
      <c r="B478" t="s">
        <v>651</v>
      </c>
      <c r="C478">
        <v>7</v>
      </c>
      <c r="D478" s="3">
        <v>43068</v>
      </c>
      <c r="F478" t="s">
        <v>174</v>
      </c>
      <c r="G478">
        <v>964</v>
      </c>
      <c r="H478">
        <f ca="1">MONTH(NOW())+12*YEAR(NOW())-MONTH(tbl_MTG_Set[[#This Row],[Released On]])-12*YEAR(tbl_MTG_Set[[#This Row],[Released On]])</f>
        <v>100</v>
      </c>
      <c r="I478" t="str">
        <f>_xlfn.XLOOKUP(tbl_MTG_Set[[#This Row],[Type Name]], tbl_MTG_Set_Type[Set Type], tbl_MTG_Set_Type[Index], "(Set Type not found)")</f>
        <v>(Set Type not found)</v>
      </c>
      <c r="J478" t="str">
        <f>_xlfn.XLOOKUP(tbl_MTG_Set[[#This Row],[Type Name]], tbl_MTG_Set_Type[Set Type], tbl_MTG_Set_Type[Buy Window Month Start], "(Set Type not found)")</f>
        <v>(Set Type not found)</v>
      </c>
      <c r="K478" s="3" t="e">
        <f>tbl_MTG_Set[[#This Row],[Released On]]+tbl_MTG_Set[[#This Row],[Buy Window Month Start]]*365.25/12</f>
        <v>#VALUE!</v>
      </c>
      <c r="L478" t="str">
        <f>_xlfn.XLOOKUP(tbl_MTG_Set[[#This Row],[Type Name]], tbl_MTG_Set_Type[Set Type], tbl_MTG_Set_Type[Buy Window Month End], "(Set Type not found)", 0, 1)</f>
        <v>(Set Type not found)</v>
      </c>
      <c r="M478" s="3" t="e">
        <f>tbl_MTG_Set[[#This Row],[Released On]]+tbl_MTG_Set[[#This Row],[Buy Window Month End]]*365.25/12</f>
        <v>#VALUE!</v>
      </c>
      <c r="N478" s="3" t="e">
        <f ca="1">AND(NOW()&gt;=tbl_MTG_Set[[#This Row],[Buy Window Start]], NOW()&lt;=tbl_MTG_Set[[#This Row],[Buy Window End]])</f>
        <v>#VALUE!</v>
      </c>
      <c r="O478" t="str">
        <f>_xlfn.XLOOKUP(tbl_MTG_Set[[#This Row],[Type Name]], tbl_MTG_Set_Type[Set Type], tbl_MTG_Set_Type[Heavy Printing Window Month Start], "(Set Type not found)", 0, 1)</f>
        <v>(Set Type not found)</v>
      </c>
      <c r="P478" s="3" t="e">
        <f>tbl_MTG_Set[[#This Row],[Released On]]+tbl_MTG_Set[[#This Row],[Heavy Printing Window Month Start]]*365.25/12</f>
        <v>#VALUE!</v>
      </c>
      <c r="Q478" t="str">
        <f>_xlfn.XLOOKUP(tbl_MTG_Set[[#This Row],[Type Name]], tbl_MTG_Set_Type[Set Type], tbl_MTG_Set_Type[Heavy Printing Window Month End], "(Set Type not found)", 0, 1)</f>
        <v>(Set Type not found)</v>
      </c>
      <c r="R478" s="3" t="e">
        <f>tbl_MTG_Set[[#This Row],[Released On]]+tbl_MTG_Set[[#This Row],[Heavy Printing Window Month End]]*365.25/12</f>
        <v>#VALUE!</v>
      </c>
      <c r="S478" s="3" t="e">
        <f ca="1">AND(NOW()&gt;=tbl_MTG_Set[[#This Row],[Heavy Printing Window Start]], NOW()&lt;=tbl_MTG_Set[[#This Row],[Heavy Printing Window End]])</f>
        <v>#VALUE!</v>
      </c>
      <c r="T478" t="str">
        <f>_xlfn.XLOOKUP(tbl_MTG_Set[[#This Row],[Type Name]], tbl_MTG_Set_Type[Set Type], tbl_MTG_Set_Type[Sell Window Month Start], "(Set Type not found)", 0, 1)</f>
        <v>(Set Type not found)</v>
      </c>
      <c r="U478" s="3" t="e">
        <f>tbl_MTG_Set[[#This Row],[Released On]]+tbl_MTG_Set[[#This Row],[Sell Window Month Start]]*365.25/12</f>
        <v>#VALUE!</v>
      </c>
      <c r="V478" t="str">
        <f>_xlfn.XLOOKUP(tbl_MTG_Set[[#This Row],[Type Name]], tbl_MTG_Set_Type[Set Type], tbl_MTG_Set_Type[Sell Window Month End], "(Set Type not found)", 0, 1)</f>
        <v>(Set Type not found)</v>
      </c>
      <c r="W478" s="3" t="e">
        <f>tbl_MTG_Set[[#This Row],[Released On]]+tbl_MTG_Set[[#This Row],[Sell Window Month End]]*365.25/12</f>
        <v>#VALUE!</v>
      </c>
      <c r="X478" s="3" t="e">
        <f ca="1">AND(NOW()&gt;=tbl_MTG_Set[[#This Row],[Sell Window Start]], NOW()&lt;=tbl_MTG_Set[[#This Row],[Sell Window End]])</f>
        <v>#VALUE!</v>
      </c>
      <c r="AG478" s="10"/>
      <c r="AH478" s="10"/>
      <c r="AM478" s="10" t="str" cm="1">
        <f t="array" ref="AM4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8" s="10" t="str" cm="1">
        <f t="array" ref="AN4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8" s="4" t="e">
        <f>_xlfn.XLOOKUP(tbl_MTG_Set[[#This Row],[Play Booster Box Product Id]], tbl_Product[Product Id], tbl_Product[Pack Size])</f>
        <v>#N/A</v>
      </c>
      <c r="AP478" s="10" t="e">
        <f>(tbl_MTG_Set[[#This Row],[Play Booster Box Cost]]+v_Item_Shipping_Cost_In)/tbl_MTG_Set[[#This Row],[Play Booster Box Size]]</f>
        <v>#VALUE!</v>
      </c>
      <c r="AQ478" s="10" t="str" cm="1">
        <f t="array" ref="AQ4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8" s="10"/>
      <c r="AS478" s="10"/>
      <c r="AT478" s="17" t="e">
        <f>tbl_MTG_Set[[#This Row],[Play Booster CardMarket Profit]]/tbl_MTG_Set[[#This Row],[Play Booster Cost]]</f>
        <v>#VALUE!</v>
      </c>
      <c r="AU478" s="10" t="e">
        <f>_xlfn.XLOOKUP(tbl_MTG_Set[[#This Row],[Collector Booster Box Product Id]], tbl_Product[Product Id], tbl_Product[Min Cost])</f>
        <v>#N/A</v>
      </c>
      <c r="AV478" s="10" t="e">
        <f>_xlfn.XLOOKUP(tbl_MTG_Set[[#This Row],[Collector Booster Box Product Id]], tbl_Product[Product Id], tbl_Product[Best Source])</f>
        <v>#N/A</v>
      </c>
      <c r="AW478" s="4" t="e">
        <f>_xlfn.XLOOKUP(tbl_MTG_Set[[#This Row],[Collector Booster Box Product Id]], tbl_Product[Product Id], tbl_Product[Pack Size])</f>
        <v>#N/A</v>
      </c>
      <c r="AX478" s="10" t="e">
        <f>(tbl_MTG_Set[[#This Row],[Collector Booster Box Cost]] + v_Item_Shipping_Cost_In) / tbl_MTG_Set[[#This Row],[Collector Booster Box Size]]</f>
        <v>#N/A</v>
      </c>
      <c r="AY478" s="10" t="str" cm="1">
        <f t="array" ref="AY4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8" s="10"/>
      <c r="BA4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8" s="17" t="e">
        <f>tbl_MTG_Set[[#This Row],[Collector Booster CardMarket Profit]]/tbl_MTG_Set[[#This Row],[Collector Booster Cost]]</f>
        <v>#N/A</v>
      </c>
      <c r="BC478" s="10"/>
      <c r="BF4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8" s="11" t="e">
        <f>tbl_MTG_Set[[#This Row],[Play Singles CardMarket Profit MTG Stocks]]/tbl_MTG_Set[[#This Row],[Play Booster Cost]]</f>
        <v>#VALUE!</v>
      </c>
      <c r="BI478" s="11" t="b">
        <f>tbl_MTG_Set[[#This Row],[Play Singles CardMarket Profit MTG Stocks]]&gt;0</f>
        <v>0</v>
      </c>
      <c r="BM478" s="10" t="e">
        <f>tbl_MTG_Set[[#This Row],[Play Booster Sell Price CardMarket]]*tbl_MTG_Set[[#This Row],[Play Booster Expected Market Value BotBox]]/tbl_MTG_Set[[#This Row],[Play Booster Sealed Market Value BotBox]]</f>
        <v>#VALUE!</v>
      </c>
      <c r="BN4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8" s="10" t="e">
        <f>tbl_MTG_Set[[#This Row],[Play Singles CardMarket Profit BotBox]]/tbl_MTG_Set[[#This Row],[Play Booster Cost]]</f>
        <v>#VALUE!</v>
      </c>
      <c r="BP478" s="10" t="b">
        <f>tbl_MTG_Set[[#This Row],[Play Singles CardMarket Profit BotBox]]&gt;0</f>
        <v>0</v>
      </c>
      <c r="BQ478" s="10"/>
      <c r="BR478" s="10"/>
      <c r="BS478" s="10"/>
      <c r="BT4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8" s="19" t="e">
        <f>tbl_MTG_Set[[#This Row],[Collector Singles CardMarket Profit MTG Stocks]]/tbl_MTG_Set[[#This Row],[Collector Booster Cost]]</f>
        <v>#N/A</v>
      </c>
      <c r="BW478" s="10" t="b">
        <f>tbl_MTG_Set[[#This Row],[Collector Singles CardMarket Profit MTG Stocks]]&gt;0</f>
        <v>0</v>
      </c>
      <c r="BX478" s="10"/>
      <c r="BY478" s="10"/>
      <c r="BZ4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8" s="10" t="e">
        <f>tbl_MTG_Set[[#This Row],[Collector Singles CardMarket Profit BotBox]]/tbl_MTG_Set[[#This Row],[Collector Booster Cost]]</f>
        <v>#N/A</v>
      </c>
      <c r="CC478" s="10" t="b">
        <f>tbl_MTG_Set[[#This Row],[Collector Singles CardMarket Profit BotBox]]&gt;0</f>
        <v>0</v>
      </c>
      <c r="CD4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79" spans="1:86" hidden="1">
      <c r="A479">
        <v>510</v>
      </c>
      <c r="B479" t="s">
        <v>652</v>
      </c>
      <c r="C479">
        <v>63</v>
      </c>
      <c r="D479" s="3">
        <v>43032</v>
      </c>
      <c r="F479" t="s">
        <v>174</v>
      </c>
      <c r="G479">
        <v>966</v>
      </c>
      <c r="H479">
        <f ca="1">MONTH(NOW())+12*YEAR(NOW())-MONTH(tbl_MTG_Set[[#This Row],[Released On]])-12*YEAR(tbl_MTG_Set[[#This Row],[Released On]])</f>
        <v>101</v>
      </c>
      <c r="I479" t="str">
        <f>_xlfn.XLOOKUP(tbl_MTG_Set[[#This Row],[Type Name]], tbl_MTG_Set_Type[Set Type], tbl_MTG_Set_Type[Index], "(Set Type not found)")</f>
        <v>(Set Type not found)</v>
      </c>
      <c r="J479" t="str">
        <f>_xlfn.XLOOKUP(tbl_MTG_Set[[#This Row],[Type Name]], tbl_MTG_Set_Type[Set Type], tbl_MTG_Set_Type[Buy Window Month Start], "(Set Type not found)")</f>
        <v>(Set Type not found)</v>
      </c>
      <c r="K479" s="3" t="e">
        <f>tbl_MTG_Set[[#This Row],[Released On]]+tbl_MTG_Set[[#This Row],[Buy Window Month Start]]*365.25/12</f>
        <v>#VALUE!</v>
      </c>
      <c r="L479" t="str">
        <f>_xlfn.XLOOKUP(tbl_MTG_Set[[#This Row],[Type Name]], tbl_MTG_Set_Type[Set Type], tbl_MTG_Set_Type[Buy Window Month End], "(Set Type not found)", 0, 1)</f>
        <v>(Set Type not found)</v>
      </c>
      <c r="M479" s="3" t="e">
        <f>tbl_MTG_Set[[#This Row],[Released On]]+tbl_MTG_Set[[#This Row],[Buy Window Month End]]*365.25/12</f>
        <v>#VALUE!</v>
      </c>
      <c r="N479" s="3" t="e">
        <f ca="1">AND(NOW()&gt;=tbl_MTG_Set[[#This Row],[Buy Window Start]], NOW()&lt;=tbl_MTG_Set[[#This Row],[Buy Window End]])</f>
        <v>#VALUE!</v>
      </c>
      <c r="O479" t="str">
        <f>_xlfn.XLOOKUP(tbl_MTG_Set[[#This Row],[Type Name]], tbl_MTG_Set_Type[Set Type], tbl_MTG_Set_Type[Heavy Printing Window Month Start], "(Set Type not found)", 0, 1)</f>
        <v>(Set Type not found)</v>
      </c>
      <c r="P479" s="3" t="e">
        <f>tbl_MTG_Set[[#This Row],[Released On]]+tbl_MTG_Set[[#This Row],[Heavy Printing Window Month Start]]*365.25/12</f>
        <v>#VALUE!</v>
      </c>
      <c r="Q479" t="str">
        <f>_xlfn.XLOOKUP(tbl_MTG_Set[[#This Row],[Type Name]], tbl_MTG_Set_Type[Set Type], tbl_MTG_Set_Type[Heavy Printing Window Month End], "(Set Type not found)", 0, 1)</f>
        <v>(Set Type not found)</v>
      </c>
      <c r="R479" s="3" t="e">
        <f>tbl_MTG_Set[[#This Row],[Released On]]+tbl_MTG_Set[[#This Row],[Heavy Printing Window Month End]]*365.25/12</f>
        <v>#VALUE!</v>
      </c>
      <c r="S479" s="3" t="e">
        <f ca="1">AND(NOW()&gt;=tbl_MTG_Set[[#This Row],[Heavy Printing Window Start]], NOW()&lt;=tbl_MTG_Set[[#This Row],[Heavy Printing Window End]])</f>
        <v>#VALUE!</v>
      </c>
      <c r="T479" t="str">
        <f>_xlfn.XLOOKUP(tbl_MTG_Set[[#This Row],[Type Name]], tbl_MTG_Set_Type[Set Type], tbl_MTG_Set_Type[Sell Window Month Start], "(Set Type not found)", 0, 1)</f>
        <v>(Set Type not found)</v>
      </c>
      <c r="U479" s="3" t="e">
        <f>tbl_MTG_Set[[#This Row],[Released On]]+tbl_MTG_Set[[#This Row],[Sell Window Month Start]]*365.25/12</f>
        <v>#VALUE!</v>
      </c>
      <c r="V479" t="str">
        <f>_xlfn.XLOOKUP(tbl_MTG_Set[[#This Row],[Type Name]], tbl_MTG_Set_Type[Set Type], tbl_MTG_Set_Type[Sell Window Month End], "(Set Type not found)", 0, 1)</f>
        <v>(Set Type not found)</v>
      </c>
      <c r="W479" s="3" t="e">
        <f>tbl_MTG_Set[[#This Row],[Released On]]+tbl_MTG_Set[[#This Row],[Sell Window Month End]]*365.25/12</f>
        <v>#VALUE!</v>
      </c>
      <c r="X479" s="3" t="e">
        <f ca="1">AND(NOW()&gt;=tbl_MTG_Set[[#This Row],[Sell Window Start]], NOW()&lt;=tbl_MTG_Set[[#This Row],[Sell Window End]])</f>
        <v>#VALUE!</v>
      </c>
      <c r="AG479" s="10"/>
      <c r="AH479" s="10"/>
      <c r="AM479" s="10" t="str" cm="1">
        <f t="array" ref="AM4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79" s="10" t="str" cm="1">
        <f t="array" ref="AN4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79" s="4" t="e">
        <f>_xlfn.XLOOKUP(tbl_MTG_Set[[#This Row],[Play Booster Box Product Id]], tbl_Product[Product Id], tbl_Product[Pack Size])</f>
        <v>#N/A</v>
      </c>
      <c r="AP479" s="10" t="e">
        <f>(tbl_MTG_Set[[#This Row],[Play Booster Box Cost]]+v_Item_Shipping_Cost_In)/tbl_MTG_Set[[#This Row],[Play Booster Box Size]]</f>
        <v>#VALUE!</v>
      </c>
      <c r="AQ479" s="10" t="str" cm="1">
        <f t="array" ref="AQ4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79" s="10"/>
      <c r="AS479" s="10"/>
      <c r="AT479" s="17" t="e">
        <f>tbl_MTG_Set[[#This Row],[Play Booster CardMarket Profit]]/tbl_MTG_Set[[#This Row],[Play Booster Cost]]</f>
        <v>#VALUE!</v>
      </c>
      <c r="AU479" s="10" t="e">
        <f>_xlfn.XLOOKUP(tbl_MTG_Set[[#This Row],[Collector Booster Box Product Id]], tbl_Product[Product Id], tbl_Product[Min Cost])</f>
        <v>#N/A</v>
      </c>
      <c r="AV479" s="10" t="e">
        <f>_xlfn.XLOOKUP(tbl_MTG_Set[[#This Row],[Collector Booster Box Product Id]], tbl_Product[Product Id], tbl_Product[Best Source])</f>
        <v>#N/A</v>
      </c>
      <c r="AW479" s="4" t="e">
        <f>_xlfn.XLOOKUP(tbl_MTG_Set[[#This Row],[Collector Booster Box Product Id]], tbl_Product[Product Id], tbl_Product[Pack Size])</f>
        <v>#N/A</v>
      </c>
      <c r="AX479" s="10" t="e">
        <f>(tbl_MTG_Set[[#This Row],[Collector Booster Box Cost]] + v_Item_Shipping_Cost_In) / tbl_MTG_Set[[#This Row],[Collector Booster Box Size]]</f>
        <v>#N/A</v>
      </c>
      <c r="AY479" s="10" t="str" cm="1">
        <f t="array" ref="AY4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79" s="10"/>
      <c r="BA4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79" s="17" t="e">
        <f>tbl_MTG_Set[[#This Row],[Collector Booster CardMarket Profit]]/tbl_MTG_Set[[#This Row],[Collector Booster Cost]]</f>
        <v>#N/A</v>
      </c>
      <c r="BC479" s="10"/>
      <c r="BF4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79" s="11" t="e">
        <f>tbl_MTG_Set[[#This Row],[Play Singles CardMarket Profit MTG Stocks]]/tbl_MTG_Set[[#This Row],[Play Booster Cost]]</f>
        <v>#VALUE!</v>
      </c>
      <c r="BI479" s="11" t="b">
        <f>tbl_MTG_Set[[#This Row],[Play Singles CardMarket Profit MTG Stocks]]&gt;0</f>
        <v>0</v>
      </c>
      <c r="BM479" s="10" t="e">
        <f>tbl_MTG_Set[[#This Row],[Play Booster Sell Price CardMarket]]*tbl_MTG_Set[[#This Row],[Play Booster Expected Market Value BotBox]]/tbl_MTG_Set[[#This Row],[Play Booster Sealed Market Value BotBox]]</f>
        <v>#VALUE!</v>
      </c>
      <c r="BN4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79" s="10" t="e">
        <f>tbl_MTG_Set[[#This Row],[Play Singles CardMarket Profit BotBox]]/tbl_MTG_Set[[#This Row],[Play Booster Cost]]</f>
        <v>#VALUE!</v>
      </c>
      <c r="BP479" s="10" t="b">
        <f>tbl_MTG_Set[[#This Row],[Play Singles CardMarket Profit BotBox]]&gt;0</f>
        <v>0</v>
      </c>
      <c r="BQ479" s="10"/>
      <c r="BR479" s="10"/>
      <c r="BS479" s="10"/>
      <c r="BT4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79" s="19" t="e">
        <f>tbl_MTG_Set[[#This Row],[Collector Singles CardMarket Profit MTG Stocks]]/tbl_MTG_Set[[#This Row],[Collector Booster Cost]]</f>
        <v>#N/A</v>
      </c>
      <c r="BW479" s="10" t="b">
        <f>tbl_MTG_Set[[#This Row],[Collector Singles CardMarket Profit MTG Stocks]]&gt;0</f>
        <v>0</v>
      </c>
      <c r="BX479" s="10"/>
      <c r="BY479" s="10"/>
      <c r="BZ4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79" s="10" t="e">
        <f>tbl_MTG_Set[[#This Row],[Collector Singles CardMarket Profit BotBox]]/tbl_MTG_Set[[#This Row],[Collector Booster Cost]]</f>
        <v>#N/A</v>
      </c>
      <c r="CC479" s="10" t="b">
        <f>tbl_MTG_Set[[#This Row],[Collector Singles CardMarket Profit BotBox]]&gt;0</f>
        <v>0</v>
      </c>
      <c r="CD4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0" spans="1:86" hidden="1">
      <c r="A480">
        <v>511</v>
      </c>
      <c r="B480" t="s">
        <v>653</v>
      </c>
      <c r="C480">
        <v>3</v>
      </c>
      <c r="D480" s="3">
        <v>43032</v>
      </c>
      <c r="F480" t="s">
        <v>174</v>
      </c>
      <c r="G480">
        <v>968</v>
      </c>
      <c r="H480">
        <f ca="1">MONTH(NOW())+12*YEAR(NOW())-MONTH(tbl_MTG_Set[[#This Row],[Released On]])-12*YEAR(tbl_MTG_Set[[#This Row],[Released On]])</f>
        <v>101</v>
      </c>
      <c r="I480" t="str">
        <f>_xlfn.XLOOKUP(tbl_MTG_Set[[#This Row],[Type Name]], tbl_MTG_Set_Type[Set Type], tbl_MTG_Set_Type[Index], "(Set Type not found)")</f>
        <v>(Set Type not found)</v>
      </c>
      <c r="J480" t="str">
        <f>_xlfn.XLOOKUP(tbl_MTG_Set[[#This Row],[Type Name]], tbl_MTG_Set_Type[Set Type], tbl_MTG_Set_Type[Buy Window Month Start], "(Set Type not found)")</f>
        <v>(Set Type not found)</v>
      </c>
      <c r="K480" s="3" t="e">
        <f>tbl_MTG_Set[[#This Row],[Released On]]+tbl_MTG_Set[[#This Row],[Buy Window Month Start]]*365.25/12</f>
        <v>#VALUE!</v>
      </c>
      <c r="L480" t="str">
        <f>_xlfn.XLOOKUP(tbl_MTG_Set[[#This Row],[Type Name]], tbl_MTG_Set_Type[Set Type], tbl_MTG_Set_Type[Buy Window Month End], "(Set Type not found)", 0, 1)</f>
        <v>(Set Type not found)</v>
      </c>
      <c r="M480" s="3" t="e">
        <f>tbl_MTG_Set[[#This Row],[Released On]]+tbl_MTG_Set[[#This Row],[Buy Window Month End]]*365.25/12</f>
        <v>#VALUE!</v>
      </c>
      <c r="N480" s="3" t="e">
        <f ca="1">AND(NOW()&gt;=tbl_MTG_Set[[#This Row],[Buy Window Start]], NOW()&lt;=tbl_MTG_Set[[#This Row],[Buy Window End]])</f>
        <v>#VALUE!</v>
      </c>
      <c r="O480" t="str">
        <f>_xlfn.XLOOKUP(tbl_MTG_Set[[#This Row],[Type Name]], tbl_MTG_Set_Type[Set Type], tbl_MTG_Set_Type[Heavy Printing Window Month Start], "(Set Type not found)", 0, 1)</f>
        <v>(Set Type not found)</v>
      </c>
      <c r="P480" s="3" t="e">
        <f>tbl_MTG_Set[[#This Row],[Released On]]+tbl_MTG_Set[[#This Row],[Heavy Printing Window Month Start]]*365.25/12</f>
        <v>#VALUE!</v>
      </c>
      <c r="Q480" t="str">
        <f>_xlfn.XLOOKUP(tbl_MTG_Set[[#This Row],[Type Name]], tbl_MTG_Set_Type[Set Type], tbl_MTG_Set_Type[Heavy Printing Window Month End], "(Set Type not found)", 0, 1)</f>
        <v>(Set Type not found)</v>
      </c>
      <c r="R480" s="3" t="e">
        <f>tbl_MTG_Set[[#This Row],[Released On]]+tbl_MTG_Set[[#This Row],[Heavy Printing Window Month End]]*365.25/12</f>
        <v>#VALUE!</v>
      </c>
      <c r="S480" s="3" t="e">
        <f ca="1">AND(NOW()&gt;=tbl_MTG_Set[[#This Row],[Heavy Printing Window Start]], NOW()&lt;=tbl_MTG_Set[[#This Row],[Heavy Printing Window End]])</f>
        <v>#VALUE!</v>
      </c>
      <c r="T480" t="str">
        <f>_xlfn.XLOOKUP(tbl_MTG_Set[[#This Row],[Type Name]], tbl_MTG_Set_Type[Set Type], tbl_MTG_Set_Type[Sell Window Month Start], "(Set Type not found)", 0, 1)</f>
        <v>(Set Type not found)</v>
      </c>
      <c r="U480" s="3" t="e">
        <f>tbl_MTG_Set[[#This Row],[Released On]]+tbl_MTG_Set[[#This Row],[Sell Window Month Start]]*365.25/12</f>
        <v>#VALUE!</v>
      </c>
      <c r="V480" t="str">
        <f>_xlfn.XLOOKUP(tbl_MTG_Set[[#This Row],[Type Name]], tbl_MTG_Set_Type[Set Type], tbl_MTG_Set_Type[Sell Window Month End], "(Set Type not found)", 0, 1)</f>
        <v>(Set Type not found)</v>
      </c>
      <c r="W480" s="3" t="e">
        <f>tbl_MTG_Set[[#This Row],[Released On]]+tbl_MTG_Set[[#This Row],[Sell Window Month End]]*365.25/12</f>
        <v>#VALUE!</v>
      </c>
      <c r="X480" s="3" t="e">
        <f ca="1">AND(NOW()&gt;=tbl_MTG_Set[[#This Row],[Sell Window Start]], NOW()&lt;=tbl_MTG_Set[[#This Row],[Sell Window End]])</f>
        <v>#VALUE!</v>
      </c>
      <c r="AG480" s="10"/>
      <c r="AH480" s="10"/>
      <c r="AM480" s="10" t="str" cm="1">
        <f t="array" ref="AM4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0" s="10" t="str" cm="1">
        <f t="array" ref="AN4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0" s="4" t="e">
        <f>_xlfn.XLOOKUP(tbl_MTG_Set[[#This Row],[Play Booster Box Product Id]], tbl_Product[Product Id], tbl_Product[Pack Size])</f>
        <v>#N/A</v>
      </c>
      <c r="AP480" s="10" t="e">
        <f>(tbl_MTG_Set[[#This Row],[Play Booster Box Cost]]+v_Item_Shipping_Cost_In)/tbl_MTG_Set[[#This Row],[Play Booster Box Size]]</f>
        <v>#VALUE!</v>
      </c>
      <c r="AQ480" s="10" t="str" cm="1">
        <f t="array" ref="AQ4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0" s="10"/>
      <c r="AS480" s="10"/>
      <c r="AT480" s="17" t="e">
        <f>tbl_MTG_Set[[#This Row],[Play Booster CardMarket Profit]]/tbl_MTG_Set[[#This Row],[Play Booster Cost]]</f>
        <v>#VALUE!</v>
      </c>
      <c r="AU480" s="10" t="e">
        <f>_xlfn.XLOOKUP(tbl_MTG_Set[[#This Row],[Collector Booster Box Product Id]], tbl_Product[Product Id], tbl_Product[Min Cost])</f>
        <v>#N/A</v>
      </c>
      <c r="AV480" s="10" t="e">
        <f>_xlfn.XLOOKUP(tbl_MTG_Set[[#This Row],[Collector Booster Box Product Id]], tbl_Product[Product Id], tbl_Product[Best Source])</f>
        <v>#N/A</v>
      </c>
      <c r="AW480" s="4" t="e">
        <f>_xlfn.XLOOKUP(tbl_MTG_Set[[#This Row],[Collector Booster Box Product Id]], tbl_Product[Product Id], tbl_Product[Pack Size])</f>
        <v>#N/A</v>
      </c>
      <c r="AX480" s="10" t="e">
        <f>(tbl_MTG_Set[[#This Row],[Collector Booster Box Cost]] + v_Item_Shipping_Cost_In) / tbl_MTG_Set[[#This Row],[Collector Booster Box Size]]</f>
        <v>#N/A</v>
      </c>
      <c r="AY480" s="10" t="str" cm="1">
        <f t="array" ref="AY4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0" s="10"/>
      <c r="BA4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0" s="17" t="e">
        <f>tbl_MTG_Set[[#This Row],[Collector Booster CardMarket Profit]]/tbl_MTG_Set[[#This Row],[Collector Booster Cost]]</f>
        <v>#N/A</v>
      </c>
      <c r="BC480" s="10"/>
      <c r="BF4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0" s="11" t="e">
        <f>tbl_MTG_Set[[#This Row],[Play Singles CardMarket Profit MTG Stocks]]/tbl_MTG_Set[[#This Row],[Play Booster Cost]]</f>
        <v>#VALUE!</v>
      </c>
      <c r="BI480" s="11" t="b">
        <f>tbl_MTG_Set[[#This Row],[Play Singles CardMarket Profit MTG Stocks]]&gt;0</f>
        <v>0</v>
      </c>
      <c r="BM480" s="10" t="e">
        <f>tbl_MTG_Set[[#This Row],[Play Booster Sell Price CardMarket]]*tbl_MTG_Set[[#This Row],[Play Booster Expected Market Value BotBox]]/tbl_MTG_Set[[#This Row],[Play Booster Sealed Market Value BotBox]]</f>
        <v>#VALUE!</v>
      </c>
      <c r="BN4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0" s="10" t="e">
        <f>tbl_MTG_Set[[#This Row],[Play Singles CardMarket Profit BotBox]]/tbl_MTG_Set[[#This Row],[Play Booster Cost]]</f>
        <v>#VALUE!</v>
      </c>
      <c r="BP480" s="10" t="b">
        <f>tbl_MTG_Set[[#This Row],[Play Singles CardMarket Profit BotBox]]&gt;0</f>
        <v>0</v>
      </c>
      <c r="BQ480" s="10"/>
      <c r="BR480" s="10"/>
      <c r="BS480" s="10"/>
      <c r="BT4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0" s="19" t="e">
        <f>tbl_MTG_Set[[#This Row],[Collector Singles CardMarket Profit MTG Stocks]]/tbl_MTG_Set[[#This Row],[Collector Booster Cost]]</f>
        <v>#N/A</v>
      </c>
      <c r="BW480" s="10" t="b">
        <f>tbl_MTG_Set[[#This Row],[Collector Singles CardMarket Profit MTG Stocks]]&gt;0</f>
        <v>0</v>
      </c>
      <c r="BX480" s="10"/>
      <c r="BY480" s="10"/>
      <c r="BZ4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0" s="10" t="e">
        <f>tbl_MTG_Set[[#This Row],[Collector Singles CardMarket Profit BotBox]]/tbl_MTG_Set[[#This Row],[Collector Booster Cost]]</f>
        <v>#N/A</v>
      </c>
      <c r="CC480" s="10" t="b">
        <f>tbl_MTG_Set[[#This Row],[Collector Singles CardMarket Profit BotBox]]&gt;0</f>
        <v>0</v>
      </c>
      <c r="CD4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1" spans="1:86" hidden="1">
      <c r="A481">
        <v>512</v>
      </c>
      <c r="B481" t="s">
        <v>654</v>
      </c>
      <c r="C481">
        <v>5</v>
      </c>
      <c r="D481" s="3">
        <v>43028</v>
      </c>
      <c r="F481" t="s">
        <v>174</v>
      </c>
      <c r="G481">
        <v>970</v>
      </c>
      <c r="H481">
        <f ca="1">MONTH(NOW())+12*YEAR(NOW())-MONTH(tbl_MTG_Set[[#This Row],[Released On]])-12*YEAR(tbl_MTG_Set[[#This Row],[Released On]])</f>
        <v>101</v>
      </c>
      <c r="I481" t="str">
        <f>_xlfn.XLOOKUP(tbl_MTG_Set[[#This Row],[Type Name]], tbl_MTG_Set_Type[Set Type], tbl_MTG_Set_Type[Index], "(Set Type not found)")</f>
        <v>(Set Type not found)</v>
      </c>
      <c r="J481" t="str">
        <f>_xlfn.XLOOKUP(tbl_MTG_Set[[#This Row],[Type Name]], tbl_MTG_Set_Type[Set Type], tbl_MTG_Set_Type[Buy Window Month Start], "(Set Type not found)")</f>
        <v>(Set Type not found)</v>
      </c>
      <c r="K481" s="3" t="e">
        <f>tbl_MTG_Set[[#This Row],[Released On]]+tbl_MTG_Set[[#This Row],[Buy Window Month Start]]*365.25/12</f>
        <v>#VALUE!</v>
      </c>
      <c r="L481" t="str">
        <f>_xlfn.XLOOKUP(tbl_MTG_Set[[#This Row],[Type Name]], tbl_MTG_Set_Type[Set Type], tbl_MTG_Set_Type[Buy Window Month End], "(Set Type not found)", 0, 1)</f>
        <v>(Set Type not found)</v>
      </c>
      <c r="M481" s="3" t="e">
        <f>tbl_MTG_Set[[#This Row],[Released On]]+tbl_MTG_Set[[#This Row],[Buy Window Month End]]*365.25/12</f>
        <v>#VALUE!</v>
      </c>
      <c r="N481" s="3" t="e">
        <f ca="1">AND(NOW()&gt;=tbl_MTG_Set[[#This Row],[Buy Window Start]], NOW()&lt;=tbl_MTG_Set[[#This Row],[Buy Window End]])</f>
        <v>#VALUE!</v>
      </c>
      <c r="O481" t="str">
        <f>_xlfn.XLOOKUP(tbl_MTG_Set[[#This Row],[Type Name]], tbl_MTG_Set_Type[Set Type], tbl_MTG_Set_Type[Heavy Printing Window Month Start], "(Set Type not found)", 0, 1)</f>
        <v>(Set Type not found)</v>
      </c>
      <c r="P481" s="3" t="e">
        <f>tbl_MTG_Set[[#This Row],[Released On]]+tbl_MTG_Set[[#This Row],[Heavy Printing Window Month Start]]*365.25/12</f>
        <v>#VALUE!</v>
      </c>
      <c r="Q481" t="str">
        <f>_xlfn.XLOOKUP(tbl_MTG_Set[[#This Row],[Type Name]], tbl_MTG_Set_Type[Set Type], tbl_MTG_Set_Type[Heavy Printing Window Month End], "(Set Type not found)", 0, 1)</f>
        <v>(Set Type not found)</v>
      </c>
      <c r="R481" s="3" t="e">
        <f>tbl_MTG_Set[[#This Row],[Released On]]+tbl_MTG_Set[[#This Row],[Heavy Printing Window Month End]]*365.25/12</f>
        <v>#VALUE!</v>
      </c>
      <c r="S481" s="3" t="e">
        <f ca="1">AND(NOW()&gt;=tbl_MTG_Set[[#This Row],[Heavy Printing Window Start]], NOW()&lt;=tbl_MTG_Set[[#This Row],[Heavy Printing Window End]])</f>
        <v>#VALUE!</v>
      </c>
      <c r="T481" t="str">
        <f>_xlfn.XLOOKUP(tbl_MTG_Set[[#This Row],[Type Name]], tbl_MTG_Set_Type[Set Type], tbl_MTG_Set_Type[Sell Window Month Start], "(Set Type not found)", 0, 1)</f>
        <v>(Set Type not found)</v>
      </c>
      <c r="U481" s="3" t="e">
        <f>tbl_MTG_Set[[#This Row],[Released On]]+tbl_MTG_Set[[#This Row],[Sell Window Month Start]]*365.25/12</f>
        <v>#VALUE!</v>
      </c>
      <c r="V481" t="str">
        <f>_xlfn.XLOOKUP(tbl_MTG_Set[[#This Row],[Type Name]], tbl_MTG_Set_Type[Set Type], tbl_MTG_Set_Type[Sell Window Month End], "(Set Type not found)", 0, 1)</f>
        <v>(Set Type not found)</v>
      </c>
      <c r="W481" s="3" t="e">
        <f>tbl_MTG_Set[[#This Row],[Released On]]+tbl_MTG_Set[[#This Row],[Sell Window Month End]]*365.25/12</f>
        <v>#VALUE!</v>
      </c>
      <c r="X481" s="3" t="e">
        <f ca="1">AND(NOW()&gt;=tbl_MTG_Set[[#This Row],[Sell Window Start]], NOW()&lt;=tbl_MTG_Set[[#This Row],[Sell Window End]])</f>
        <v>#VALUE!</v>
      </c>
      <c r="AG481" s="10"/>
      <c r="AH481" s="10"/>
      <c r="AM481" s="10" t="str" cm="1">
        <f t="array" ref="AM4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1" s="10" t="str" cm="1">
        <f t="array" ref="AN4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1" s="4" t="e">
        <f>_xlfn.XLOOKUP(tbl_MTG_Set[[#This Row],[Play Booster Box Product Id]], tbl_Product[Product Id], tbl_Product[Pack Size])</f>
        <v>#N/A</v>
      </c>
      <c r="AP481" s="10" t="e">
        <f>(tbl_MTG_Set[[#This Row],[Play Booster Box Cost]]+v_Item_Shipping_Cost_In)/tbl_MTG_Set[[#This Row],[Play Booster Box Size]]</f>
        <v>#VALUE!</v>
      </c>
      <c r="AQ481" s="10" t="str" cm="1">
        <f t="array" ref="AQ4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1" s="10"/>
      <c r="AS481" s="10"/>
      <c r="AT481" s="17" t="e">
        <f>tbl_MTG_Set[[#This Row],[Play Booster CardMarket Profit]]/tbl_MTG_Set[[#This Row],[Play Booster Cost]]</f>
        <v>#VALUE!</v>
      </c>
      <c r="AU481" s="10" t="e">
        <f>_xlfn.XLOOKUP(tbl_MTG_Set[[#This Row],[Collector Booster Box Product Id]], tbl_Product[Product Id], tbl_Product[Min Cost])</f>
        <v>#N/A</v>
      </c>
      <c r="AV481" s="10" t="e">
        <f>_xlfn.XLOOKUP(tbl_MTG_Set[[#This Row],[Collector Booster Box Product Id]], tbl_Product[Product Id], tbl_Product[Best Source])</f>
        <v>#N/A</v>
      </c>
      <c r="AW481" s="4" t="e">
        <f>_xlfn.XLOOKUP(tbl_MTG_Set[[#This Row],[Collector Booster Box Product Id]], tbl_Product[Product Id], tbl_Product[Pack Size])</f>
        <v>#N/A</v>
      </c>
      <c r="AX481" s="10" t="e">
        <f>(tbl_MTG_Set[[#This Row],[Collector Booster Box Cost]] + v_Item_Shipping_Cost_In) / tbl_MTG_Set[[#This Row],[Collector Booster Box Size]]</f>
        <v>#N/A</v>
      </c>
      <c r="AY481" s="10" t="str" cm="1">
        <f t="array" ref="AY4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1" s="10"/>
      <c r="BA4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1" s="17" t="e">
        <f>tbl_MTG_Set[[#This Row],[Collector Booster CardMarket Profit]]/tbl_MTG_Set[[#This Row],[Collector Booster Cost]]</f>
        <v>#N/A</v>
      </c>
      <c r="BC481" s="10"/>
      <c r="BF4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1" s="11" t="e">
        <f>tbl_MTG_Set[[#This Row],[Play Singles CardMarket Profit MTG Stocks]]/tbl_MTG_Set[[#This Row],[Play Booster Cost]]</f>
        <v>#VALUE!</v>
      </c>
      <c r="BI481" s="11" t="b">
        <f>tbl_MTG_Set[[#This Row],[Play Singles CardMarket Profit MTG Stocks]]&gt;0</f>
        <v>0</v>
      </c>
      <c r="BM481" s="10" t="e">
        <f>tbl_MTG_Set[[#This Row],[Play Booster Sell Price CardMarket]]*tbl_MTG_Set[[#This Row],[Play Booster Expected Market Value BotBox]]/tbl_MTG_Set[[#This Row],[Play Booster Sealed Market Value BotBox]]</f>
        <v>#VALUE!</v>
      </c>
      <c r="BN4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1" s="10" t="e">
        <f>tbl_MTG_Set[[#This Row],[Play Singles CardMarket Profit BotBox]]/tbl_MTG_Set[[#This Row],[Play Booster Cost]]</f>
        <v>#VALUE!</v>
      </c>
      <c r="BP481" s="10" t="b">
        <f>tbl_MTG_Set[[#This Row],[Play Singles CardMarket Profit BotBox]]&gt;0</f>
        <v>0</v>
      </c>
      <c r="BQ481" s="10"/>
      <c r="BR481" s="10"/>
      <c r="BS481" s="10"/>
      <c r="BT4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1" s="19" t="e">
        <f>tbl_MTG_Set[[#This Row],[Collector Singles CardMarket Profit MTG Stocks]]/tbl_MTG_Set[[#This Row],[Collector Booster Cost]]</f>
        <v>#N/A</v>
      </c>
      <c r="BW481" s="10" t="b">
        <f>tbl_MTG_Set[[#This Row],[Collector Singles CardMarket Profit MTG Stocks]]&gt;0</f>
        <v>0</v>
      </c>
      <c r="BX481" s="10"/>
      <c r="BY481" s="10"/>
      <c r="BZ4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1" s="10" t="e">
        <f>tbl_MTG_Set[[#This Row],[Collector Singles CardMarket Profit BotBox]]/tbl_MTG_Set[[#This Row],[Collector Booster Cost]]</f>
        <v>#N/A</v>
      </c>
      <c r="CC481" s="10" t="b">
        <f>tbl_MTG_Set[[#This Row],[Collector Singles CardMarket Profit BotBox]]&gt;0</f>
        <v>0</v>
      </c>
      <c r="CD4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2" spans="1:86" hidden="1">
      <c r="A482">
        <v>513</v>
      </c>
      <c r="B482" t="s">
        <v>655</v>
      </c>
      <c r="C482">
        <v>289</v>
      </c>
      <c r="D482" s="3">
        <v>43007</v>
      </c>
      <c r="E482" t="s">
        <v>59</v>
      </c>
      <c r="F482" t="s">
        <v>174</v>
      </c>
      <c r="G482">
        <v>972</v>
      </c>
      <c r="H482">
        <f ca="1">MONTH(NOW())+12*YEAR(NOW())-MONTH(tbl_MTG_Set[[#This Row],[Released On]])-12*YEAR(tbl_MTG_Set[[#This Row],[Released On]])</f>
        <v>102</v>
      </c>
      <c r="I482">
        <f>_xlfn.XLOOKUP(tbl_MTG_Set[[#This Row],[Type Name]], tbl_MTG_Set_Type[Set Type], tbl_MTG_Set_Type[Index], "(Set Type not found)")</f>
        <v>1</v>
      </c>
      <c r="J482">
        <f>_xlfn.XLOOKUP(tbl_MTG_Set[[#This Row],[Type Name]], tbl_MTG_Set_Type[Set Type], tbl_MTG_Set_Type[Buy Window Month Start], "(Set Type not found)")</f>
        <v>18</v>
      </c>
      <c r="K482" s="3">
        <f>tbl_MTG_Set[[#This Row],[Released On]]+tbl_MTG_Set[[#This Row],[Buy Window Month Start]]*365.25/12</f>
        <v>43554.875</v>
      </c>
      <c r="L482">
        <f>_xlfn.XLOOKUP(tbl_MTG_Set[[#This Row],[Type Name]], tbl_MTG_Set_Type[Set Type], tbl_MTG_Set_Type[Buy Window Month End], "(Set Type not found)", 0, 1)</f>
        <v>24</v>
      </c>
      <c r="M482" s="3">
        <f>tbl_MTG_Set[[#This Row],[Released On]]+tbl_MTG_Set[[#This Row],[Buy Window Month End]]*365.25/12</f>
        <v>43737.5</v>
      </c>
      <c r="N482" s="3" t="b">
        <f ca="1">AND(NOW()&gt;=tbl_MTG_Set[[#This Row],[Buy Window Start]], NOW()&lt;=tbl_MTG_Set[[#This Row],[Buy Window End]])</f>
        <v>0</v>
      </c>
      <c r="O482">
        <f>_xlfn.XLOOKUP(tbl_MTG_Set[[#This Row],[Type Name]], tbl_MTG_Set_Type[Set Type], tbl_MTG_Set_Type[Heavy Printing Window Month Start], "(Set Type not found)", 0, 1)</f>
        <v>1</v>
      </c>
      <c r="P482" s="3">
        <f>tbl_MTG_Set[[#This Row],[Released On]]+tbl_MTG_Set[[#This Row],[Heavy Printing Window Month Start]]*365.25/12</f>
        <v>43037.4375</v>
      </c>
      <c r="Q482">
        <f>_xlfn.XLOOKUP(tbl_MTG_Set[[#This Row],[Type Name]], tbl_MTG_Set_Type[Set Type], tbl_MTG_Set_Type[Heavy Printing Window Month End], "(Set Type not found)", 0, 1)</f>
        <v>18</v>
      </c>
      <c r="R482" s="3">
        <f>tbl_MTG_Set[[#This Row],[Released On]]+tbl_MTG_Set[[#This Row],[Heavy Printing Window Month End]]*365.25/12</f>
        <v>43554.875</v>
      </c>
      <c r="S482" s="3" t="b">
        <f ca="1">AND(NOW()&gt;=tbl_MTG_Set[[#This Row],[Heavy Printing Window Start]], NOW()&lt;=tbl_MTG_Set[[#This Row],[Heavy Printing Window End]])</f>
        <v>0</v>
      </c>
      <c r="T482">
        <f>_xlfn.XLOOKUP(tbl_MTG_Set[[#This Row],[Type Name]], tbl_MTG_Set_Type[Set Type], tbl_MTG_Set_Type[Sell Window Month Start], "(Set Type not found)", 0, 1)</f>
        <v>36</v>
      </c>
      <c r="U482" s="3">
        <f>tbl_MTG_Set[[#This Row],[Released On]]+tbl_MTG_Set[[#This Row],[Sell Window Month Start]]*365.25/12</f>
        <v>44102.75</v>
      </c>
      <c r="V482">
        <f>_xlfn.XLOOKUP(tbl_MTG_Set[[#This Row],[Type Name]], tbl_MTG_Set_Type[Set Type], tbl_MTG_Set_Type[Sell Window Month End], "(Set Type not found)", 0, 1)</f>
        <v>48</v>
      </c>
      <c r="W482" s="3">
        <f>tbl_MTG_Set[[#This Row],[Released On]]+tbl_MTG_Set[[#This Row],[Sell Window Month End]]*365.25/12</f>
        <v>44468</v>
      </c>
      <c r="X482" s="3" t="b">
        <f ca="1">AND(NOW()&gt;=tbl_MTG_Set[[#This Row],[Sell Window Start]], NOW()&lt;=tbl_MTG_Set[[#This Row],[Sell Window End]])</f>
        <v>0</v>
      </c>
      <c r="AG482" s="10"/>
      <c r="AH482" s="10"/>
      <c r="AM482" s="10" t="str" cm="1">
        <f t="array" ref="AM4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2" s="10" t="str" cm="1">
        <f t="array" ref="AN4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2" s="4" t="e">
        <f>_xlfn.XLOOKUP(tbl_MTG_Set[[#This Row],[Play Booster Box Product Id]], tbl_Product[Product Id], tbl_Product[Pack Size])</f>
        <v>#N/A</v>
      </c>
      <c r="AP482" s="10" t="e">
        <f>(tbl_MTG_Set[[#This Row],[Play Booster Box Cost]]+v_Item_Shipping_Cost_In)/tbl_MTG_Set[[#This Row],[Play Booster Box Size]]</f>
        <v>#VALUE!</v>
      </c>
      <c r="AQ482" s="10" t="str" cm="1">
        <f t="array" ref="AQ4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2" s="10"/>
      <c r="AS482" s="10"/>
      <c r="AT482" s="17" t="e">
        <f>tbl_MTG_Set[[#This Row],[Play Booster CardMarket Profit]]/tbl_MTG_Set[[#This Row],[Play Booster Cost]]</f>
        <v>#VALUE!</v>
      </c>
      <c r="AU482" s="10" t="e">
        <f>_xlfn.XLOOKUP(tbl_MTG_Set[[#This Row],[Collector Booster Box Product Id]], tbl_Product[Product Id], tbl_Product[Min Cost])</f>
        <v>#N/A</v>
      </c>
      <c r="AV482" s="10" t="e">
        <f>_xlfn.XLOOKUP(tbl_MTG_Set[[#This Row],[Collector Booster Box Product Id]], tbl_Product[Product Id], tbl_Product[Best Source])</f>
        <v>#N/A</v>
      </c>
      <c r="AW482" s="4" t="e">
        <f>_xlfn.XLOOKUP(tbl_MTG_Set[[#This Row],[Collector Booster Box Product Id]], tbl_Product[Product Id], tbl_Product[Pack Size])</f>
        <v>#N/A</v>
      </c>
      <c r="AX482" s="10" t="e">
        <f>(tbl_MTG_Set[[#This Row],[Collector Booster Box Cost]] + v_Item_Shipping_Cost_In) / tbl_MTG_Set[[#This Row],[Collector Booster Box Size]]</f>
        <v>#N/A</v>
      </c>
      <c r="AY482" s="10" t="str" cm="1">
        <f t="array" ref="AY4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2" s="10"/>
      <c r="BA4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2" s="17" t="e">
        <f>tbl_MTG_Set[[#This Row],[Collector Booster CardMarket Profit]]/tbl_MTG_Set[[#This Row],[Collector Booster Cost]]</f>
        <v>#N/A</v>
      </c>
      <c r="BC482" s="10"/>
      <c r="BF4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2" s="11" t="e">
        <f>tbl_MTG_Set[[#This Row],[Play Singles CardMarket Profit MTG Stocks]]/tbl_MTG_Set[[#This Row],[Play Booster Cost]]</f>
        <v>#VALUE!</v>
      </c>
      <c r="BI482" s="11" t="b">
        <f>tbl_MTG_Set[[#This Row],[Play Singles CardMarket Profit MTG Stocks]]&gt;0</f>
        <v>0</v>
      </c>
      <c r="BM482" s="10" t="e">
        <f>tbl_MTG_Set[[#This Row],[Play Booster Sell Price CardMarket]]*tbl_MTG_Set[[#This Row],[Play Booster Expected Market Value BotBox]]/tbl_MTG_Set[[#This Row],[Play Booster Sealed Market Value BotBox]]</f>
        <v>#VALUE!</v>
      </c>
      <c r="BN4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2" s="10" t="e">
        <f>tbl_MTG_Set[[#This Row],[Play Singles CardMarket Profit BotBox]]/tbl_MTG_Set[[#This Row],[Play Booster Cost]]</f>
        <v>#VALUE!</v>
      </c>
      <c r="BP482" s="10" t="b">
        <f>tbl_MTG_Set[[#This Row],[Play Singles CardMarket Profit BotBox]]&gt;0</f>
        <v>0</v>
      </c>
      <c r="BQ482" s="10"/>
      <c r="BR482" s="10"/>
      <c r="BS482" s="10"/>
      <c r="BT4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2" s="19" t="e">
        <f>tbl_MTG_Set[[#This Row],[Collector Singles CardMarket Profit MTG Stocks]]/tbl_MTG_Set[[#This Row],[Collector Booster Cost]]</f>
        <v>#N/A</v>
      </c>
      <c r="BW482" s="10" t="b">
        <f>tbl_MTG_Set[[#This Row],[Collector Singles CardMarket Profit MTG Stocks]]&gt;0</f>
        <v>0</v>
      </c>
      <c r="BX482" s="10"/>
      <c r="BY482" s="10"/>
      <c r="BZ4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2" s="10" t="e">
        <f>tbl_MTG_Set[[#This Row],[Collector Singles CardMarket Profit BotBox]]/tbl_MTG_Set[[#This Row],[Collector Booster Cost]]</f>
        <v>#N/A</v>
      </c>
      <c r="CC482" s="10" t="b">
        <f>tbl_MTG_Set[[#This Row],[Collector Singles CardMarket Profit BotBox]]&gt;0</f>
        <v>0</v>
      </c>
      <c r="CD4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3" spans="1:86" hidden="1">
      <c r="A483">
        <v>514</v>
      </c>
      <c r="B483" t="s">
        <v>656</v>
      </c>
      <c r="C483">
        <v>120</v>
      </c>
      <c r="D483" s="3">
        <v>43007</v>
      </c>
      <c r="E483" t="s">
        <v>59</v>
      </c>
      <c r="F483" t="s">
        <v>174</v>
      </c>
      <c r="G483">
        <v>974</v>
      </c>
      <c r="H483">
        <f ca="1">MONTH(NOW())+12*YEAR(NOW())-MONTH(tbl_MTG_Set[[#This Row],[Released On]])-12*YEAR(tbl_MTG_Set[[#This Row],[Released On]])</f>
        <v>102</v>
      </c>
      <c r="I483">
        <f>_xlfn.XLOOKUP(tbl_MTG_Set[[#This Row],[Type Name]], tbl_MTG_Set_Type[Set Type], tbl_MTG_Set_Type[Index], "(Set Type not found)")</f>
        <v>1</v>
      </c>
      <c r="J483">
        <f>_xlfn.XLOOKUP(tbl_MTG_Set[[#This Row],[Type Name]], tbl_MTG_Set_Type[Set Type], tbl_MTG_Set_Type[Buy Window Month Start], "(Set Type not found)")</f>
        <v>18</v>
      </c>
      <c r="K483" s="3">
        <f>tbl_MTG_Set[[#This Row],[Released On]]+tbl_MTG_Set[[#This Row],[Buy Window Month Start]]*365.25/12</f>
        <v>43554.875</v>
      </c>
      <c r="L483">
        <f>_xlfn.XLOOKUP(tbl_MTG_Set[[#This Row],[Type Name]], tbl_MTG_Set_Type[Set Type], tbl_MTG_Set_Type[Buy Window Month End], "(Set Type not found)", 0, 1)</f>
        <v>24</v>
      </c>
      <c r="M483" s="3">
        <f>tbl_MTG_Set[[#This Row],[Released On]]+tbl_MTG_Set[[#This Row],[Buy Window Month End]]*365.25/12</f>
        <v>43737.5</v>
      </c>
      <c r="N483" s="3" t="b">
        <f ca="1">AND(NOW()&gt;=tbl_MTG_Set[[#This Row],[Buy Window Start]], NOW()&lt;=tbl_MTG_Set[[#This Row],[Buy Window End]])</f>
        <v>0</v>
      </c>
      <c r="O483">
        <f>_xlfn.XLOOKUP(tbl_MTG_Set[[#This Row],[Type Name]], tbl_MTG_Set_Type[Set Type], tbl_MTG_Set_Type[Heavy Printing Window Month Start], "(Set Type not found)", 0, 1)</f>
        <v>1</v>
      </c>
      <c r="P483" s="3">
        <f>tbl_MTG_Set[[#This Row],[Released On]]+tbl_MTG_Set[[#This Row],[Heavy Printing Window Month Start]]*365.25/12</f>
        <v>43037.4375</v>
      </c>
      <c r="Q483">
        <f>_xlfn.XLOOKUP(tbl_MTG_Set[[#This Row],[Type Name]], tbl_MTG_Set_Type[Set Type], tbl_MTG_Set_Type[Heavy Printing Window Month End], "(Set Type not found)", 0, 1)</f>
        <v>18</v>
      </c>
      <c r="R483" s="3">
        <f>tbl_MTG_Set[[#This Row],[Released On]]+tbl_MTG_Set[[#This Row],[Heavy Printing Window Month End]]*365.25/12</f>
        <v>43554.875</v>
      </c>
      <c r="S483" s="3" t="b">
        <f ca="1">AND(NOW()&gt;=tbl_MTG_Set[[#This Row],[Heavy Printing Window Start]], NOW()&lt;=tbl_MTG_Set[[#This Row],[Heavy Printing Window End]])</f>
        <v>0</v>
      </c>
      <c r="T483">
        <f>_xlfn.XLOOKUP(tbl_MTG_Set[[#This Row],[Type Name]], tbl_MTG_Set_Type[Set Type], tbl_MTG_Set_Type[Sell Window Month Start], "(Set Type not found)", 0, 1)</f>
        <v>36</v>
      </c>
      <c r="U483" s="3">
        <f>tbl_MTG_Set[[#This Row],[Released On]]+tbl_MTG_Set[[#This Row],[Sell Window Month Start]]*365.25/12</f>
        <v>44102.75</v>
      </c>
      <c r="V483">
        <f>_xlfn.XLOOKUP(tbl_MTG_Set[[#This Row],[Type Name]], tbl_MTG_Set_Type[Set Type], tbl_MTG_Set_Type[Sell Window Month End], "(Set Type not found)", 0, 1)</f>
        <v>48</v>
      </c>
      <c r="W483" s="3">
        <f>tbl_MTG_Set[[#This Row],[Released On]]+tbl_MTG_Set[[#This Row],[Sell Window Month End]]*365.25/12</f>
        <v>44468</v>
      </c>
      <c r="X483" s="3" t="b">
        <f ca="1">AND(NOW()&gt;=tbl_MTG_Set[[#This Row],[Sell Window Start]], NOW()&lt;=tbl_MTG_Set[[#This Row],[Sell Window End]])</f>
        <v>0</v>
      </c>
      <c r="AG483" s="10"/>
      <c r="AH483" s="10"/>
      <c r="AM483" s="10" t="str" cm="1">
        <f t="array" ref="AM4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3" s="10" t="str" cm="1">
        <f t="array" ref="AN4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3" s="4" t="e">
        <f>_xlfn.XLOOKUP(tbl_MTG_Set[[#This Row],[Play Booster Box Product Id]], tbl_Product[Product Id], tbl_Product[Pack Size])</f>
        <v>#N/A</v>
      </c>
      <c r="AP483" s="10" t="e">
        <f>(tbl_MTG_Set[[#This Row],[Play Booster Box Cost]]+v_Item_Shipping_Cost_In)/tbl_MTG_Set[[#This Row],[Play Booster Box Size]]</f>
        <v>#VALUE!</v>
      </c>
      <c r="AQ483" s="10" t="str" cm="1">
        <f t="array" ref="AQ4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3" s="10"/>
      <c r="AS483" s="10"/>
      <c r="AT483" s="17" t="e">
        <f>tbl_MTG_Set[[#This Row],[Play Booster CardMarket Profit]]/tbl_MTG_Set[[#This Row],[Play Booster Cost]]</f>
        <v>#VALUE!</v>
      </c>
      <c r="AU483" s="10" t="e">
        <f>_xlfn.XLOOKUP(tbl_MTG_Set[[#This Row],[Collector Booster Box Product Id]], tbl_Product[Product Id], tbl_Product[Min Cost])</f>
        <v>#N/A</v>
      </c>
      <c r="AV483" s="10" t="e">
        <f>_xlfn.XLOOKUP(tbl_MTG_Set[[#This Row],[Collector Booster Box Product Id]], tbl_Product[Product Id], tbl_Product[Best Source])</f>
        <v>#N/A</v>
      </c>
      <c r="AW483" s="4" t="e">
        <f>_xlfn.XLOOKUP(tbl_MTG_Set[[#This Row],[Collector Booster Box Product Id]], tbl_Product[Product Id], tbl_Product[Pack Size])</f>
        <v>#N/A</v>
      </c>
      <c r="AX483" s="10" t="e">
        <f>(tbl_MTG_Set[[#This Row],[Collector Booster Box Cost]] + v_Item_Shipping_Cost_In) / tbl_MTG_Set[[#This Row],[Collector Booster Box Size]]</f>
        <v>#N/A</v>
      </c>
      <c r="AY483" s="10" t="str" cm="1">
        <f t="array" ref="AY4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3" s="10"/>
      <c r="BA4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3" s="17" t="e">
        <f>tbl_MTG_Set[[#This Row],[Collector Booster CardMarket Profit]]/tbl_MTG_Set[[#This Row],[Collector Booster Cost]]</f>
        <v>#N/A</v>
      </c>
      <c r="BC483" s="10"/>
      <c r="BF4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3" s="11" t="e">
        <f>tbl_MTG_Set[[#This Row],[Play Singles CardMarket Profit MTG Stocks]]/tbl_MTG_Set[[#This Row],[Play Booster Cost]]</f>
        <v>#VALUE!</v>
      </c>
      <c r="BI483" s="11" t="b">
        <f>tbl_MTG_Set[[#This Row],[Play Singles CardMarket Profit MTG Stocks]]&gt;0</f>
        <v>0</v>
      </c>
      <c r="BM483" s="10" t="e">
        <f>tbl_MTG_Set[[#This Row],[Play Booster Sell Price CardMarket]]*tbl_MTG_Set[[#This Row],[Play Booster Expected Market Value BotBox]]/tbl_MTG_Set[[#This Row],[Play Booster Sealed Market Value BotBox]]</f>
        <v>#VALUE!</v>
      </c>
      <c r="BN4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3" s="10" t="e">
        <f>tbl_MTG_Set[[#This Row],[Play Singles CardMarket Profit BotBox]]/tbl_MTG_Set[[#This Row],[Play Booster Cost]]</f>
        <v>#VALUE!</v>
      </c>
      <c r="BP483" s="10" t="b">
        <f>tbl_MTG_Set[[#This Row],[Play Singles CardMarket Profit BotBox]]&gt;0</f>
        <v>0</v>
      </c>
      <c r="BQ483" s="10"/>
      <c r="BR483" s="10"/>
      <c r="BS483" s="10"/>
      <c r="BT4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3" s="19" t="e">
        <f>tbl_MTG_Set[[#This Row],[Collector Singles CardMarket Profit MTG Stocks]]/tbl_MTG_Set[[#This Row],[Collector Booster Cost]]</f>
        <v>#N/A</v>
      </c>
      <c r="BW483" s="10" t="b">
        <f>tbl_MTG_Set[[#This Row],[Collector Singles CardMarket Profit MTG Stocks]]&gt;0</f>
        <v>0</v>
      </c>
      <c r="BX483" s="10"/>
      <c r="BY483" s="10"/>
      <c r="BZ4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3" s="10" t="e">
        <f>tbl_MTG_Set[[#This Row],[Collector Singles CardMarket Profit BotBox]]/tbl_MTG_Set[[#This Row],[Collector Booster Cost]]</f>
        <v>#N/A</v>
      </c>
      <c r="CC483" s="10" t="b">
        <f>tbl_MTG_Set[[#This Row],[Collector Singles CardMarket Profit BotBox]]&gt;0</f>
        <v>0</v>
      </c>
      <c r="CD4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4" spans="1:86" hidden="1">
      <c r="A484">
        <v>515</v>
      </c>
      <c r="B484" t="s">
        <v>657</v>
      </c>
      <c r="C484">
        <v>11</v>
      </c>
      <c r="D484" s="3">
        <v>43007</v>
      </c>
      <c r="E484" t="s">
        <v>59</v>
      </c>
      <c r="F484" t="s">
        <v>174</v>
      </c>
      <c r="G484">
        <v>976</v>
      </c>
      <c r="H484">
        <f ca="1">MONTH(NOW())+12*YEAR(NOW())-MONTH(tbl_MTG_Set[[#This Row],[Released On]])-12*YEAR(tbl_MTG_Set[[#This Row],[Released On]])</f>
        <v>102</v>
      </c>
      <c r="I484">
        <f>_xlfn.XLOOKUP(tbl_MTG_Set[[#This Row],[Type Name]], tbl_MTG_Set_Type[Set Type], tbl_MTG_Set_Type[Index], "(Set Type not found)")</f>
        <v>1</v>
      </c>
      <c r="J484">
        <f>_xlfn.XLOOKUP(tbl_MTG_Set[[#This Row],[Type Name]], tbl_MTG_Set_Type[Set Type], tbl_MTG_Set_Type[Buy Window Month Start], "(Set Type not found)")</f>
        <v>18</v>
      </c>
      <c r="K484" s="3">
        <f>tbl_MTG_Set[[#This Row],[Released On]]+tbl_MTG_Set[[#This Row],[Buy Window Month Start]]*365.25/12</f>
        <v>43554.875</v>
      </c>
      <c r="L484">
        <f>_xlfn.XLOOKUP(tbl_MTG_Set[[#This Row],[Type Name]], tbl_MTG_Set_Type[Set Type], tbl_MTG_Set_Type[Buy Window Month End], "(Set Type not found)", 0, 1)</f>
        <v>24</v>
      </c>
      <c r="M484" s="3">
        <f>tbl_MTG_Set[[#This Row],[Released On]]+tbl_MTG_Set[[#This Row],[Buy Window Month End]]*365.25/12</f>
        <v>43737.5</v>
      </c>
      <c r="N484" s="3" t="b">
        <f ca="1">AND(NOW()&gt;=tbl_MTG_Set[[#This Row],[Buy Window Start]], NOW()&lt;=tbl_MTG_Set[[#This Row],[Buy Window End]])</f>
        <v>0</v>
      </c>
      <c r="O484">
        <f>_xlfn.XLOOKUP(tbl_MTG_Set[[#This Row],[Type Name]], tbl_MTG_Set_Type[Set Type], tbl_MTG_Set_Type[Heavy Printing Window Month Start], "(Set Type not found)", 0, 1)</f>
        <v>1</v>
      </c>
      <c r="P484" s="3">
        <f>tbl_MTG_Set[[#This Row],[Released On]]+tbl_MTG_Set[[#This Row],[Heavy Printing Window Month Start]]*365.25/12</f>
        <v>43037.4375</v>
      </c>
      <c r="Q484">
        <f>_xlfn.XLOOKUP(tbl_MTG_Set[[#This Row],[Type Name]], tbl_MTG_Set_Type[Set Type], tbl_MTG_Set_Type[Heavy Printing Window Month End], "(Set Type not found)", 0, 1)</f>
        <v>18</v>
      </c>
      <c r="R484" s="3">
        <f>tbl_MTG_Set[[#This Row],[Released On]]+tbl_MTG_Set[[#This Row],[Heavy Printing Window Month End]]*365.25/12</f>
        <v>43554.875</v>
      </c>
      <c r="S484" s="3" t="b">
        <f ca="1">AND(NOW()&gt;=tbl_MTG_Set[[#This Row],[Heavy Printing Window Start]], NOW()&lt;=tbl_MTG_Set[[#This Row],[Heavy Printing Window End]])</f>
        <v>0</v>
      </c>
      <c r="T484">
        <f>_xlfn.XLOOKUP(tbl_MTG_Set[[#This Row],[Type Name]], tbl_MTG_Set_Type[Set Type], tbl_MTG_Set_Type[Sell Window Month Start], "(Set Type not found)", 0, 1)</f>
        <v>36</v>
      </c>
      <c r="U484" s="3">
        <f>tbl_MTG_Set[[#This Row],[Released On]]+tbl_MTG_Set[[#This Row],[Sell Window Month Start]]*365.25/12</f>
        <v>44102.75</v>
      </c>
      <c r="V484">
        <f>_xlfn.XLOOKUP(tbl_MTG_Set[[#This Row],[Type Name]], tbl_MTG_Set_Type[Set Type], tbl_MTG_Set_Type[Sell Window Month End], "(Set Type not found)", 0, 1)</f>
        <v>48</v>
      </c>
      <c r="W484" s="3">
        <f>tbl_MTG_Set[[#This Row],[Released On]]+tbl_MTG_Set[[#This Row],[Sell Window Month End]]*365.25/12</f>
        <v>44468</v>
      </c>
      <c r="X484" s="3" t="b">
        <f ca="1">AND(NOW()&gt;=tbl_MTG_Set[[#This Row],[Sell Window Start]], NOW()&lt;=tbl_MTG_Set[[#This Row],[Sell Window End]])</f>
        <v>0</v>
      </c>
      <c r="AG484" s="10"/>
      <c r="AH484" s="10"/>
      <c r="AM484" s="10" t="str" cm="1">
        <f t="array" ref="AM4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4" s="10" t="str" cm="1">
        <f t="array" ref="AN4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4" s="4" t="e">
        <f>_xlfn.XLOOKUP(tbl_MTG_Set[[#This Row],[Play Booster Box Product Id]], tbl_Product[Product Id], tbl_Product[Pack Size])</f>
        <v>#N/A</v>
      </c>
      <c r="AP484" s="10" t="e">
        <f>(tbl_MTG_Set[[#This Row],[Play Booster Box Cost]]+v_Item_Shipping_Cost_In)/tbl_MTG_Set[[#This Row],[Play Booster Box Size]]</f>
        <v>#VALUE!</v>
      </c>
      <c r="AQ484" s="10" t="str" cm="1">
        <f t="array" ref="AQ4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4" s="10"/>
      <c r="AS484" s="10"/>
      <c r="AT484" s="17" t="e">
        <f>tbl_MTG_Set[[#This Row],[Play Booster CardMarket Profit]]/tbl_MTG_Set[[#This Row],[Play Booster Cost]]</f>
        <v>#VALUE!</v>
      </c>
      <c r="AU484" s="10" t="e">
        <f>_xlfn.XLOOKUP(tbl_MTG_Set[[#This Row],[Collector Booster Box Product Id]], tbl_Product[Product Id], tbl_Product[Min Cost])</f>
        <v>#N/A</v>
      </c>
      <c r="AV484" s="10" t="e">
        <f>_xlfn.XLOOKUP(tbl_MTG_Set[[#This Row],[Collector Booster Box Product Id]], tbl_Product[Product Id], tbl_Product[Best Source])</f>
        <v>#N/A</v>
      </c>
      <c r="AW484" s="4" t="e">
        <f>_xlfn.XLOOKUP(tbl_MTG_Set[[#This Row],[Collector Booster Box Product Id]], tbl_Product[Product Id], tbl_Product[Pack Size])</f>
        <v>#N/A</v>
      </c>
      <c r="AX484" s="10" t="e">
        <f>(tbl_MTG_Set[[#This Row],[Collector Booster Box Cost]] + v_Item_Shipping_Cost_In) / tbl_MTG_Set[[#This Row],[Collector Booster Box Size]]</f>
        <v>#N/A</v>
      </c>
      <c r="AY484" s="10" t="str" cm="1">
        <f t="array" ref="AY4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4" s="10"/>
      <c r="BA4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4" s="17" t="e">
        <f>tbl_MTG_Set[[#This Row],[Collector Booster CardMarket Profit]]/tbl_MTG_Set[[#This Row],[Collector Booster Cost]]</f>
        <v>#N/A</v>
      </c>
      <c r="BC484" s="10"/>
      <c r="BF4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4" s="11" t="e">
        <f>tbl_MTG_Set[[#This Row],[Play Singles CardMarket Profit MTG Stocks]]/tbl_MTG_Set[[#This Row],[Play Booster Cost]]</f>
        <v>#VALUE!</v>
      </c>
      <c r="BI484" s="11" t="b">
        <f>tbl_MTG_Set[[#This Row],[Play Singles CardMarket Profit MTG Stocks]]&gt;0</f>
        <v>0</v>
      </c>
      <c r="BM484" s="10" t="e">
        <f>tbl_MTG_Set[[#This Row],[Play Booster Sell Price CardMarket]]*tbl_MTG_Set[[#This Row],[Play Booster Expected Market Value BotBox]]/tbl_MTG_Set[[#This Row],[Play Booster Sealed Market Value BotBox]]</f>
        <v>#VALUE!</v>
      </c>
      <c r="BN4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4" s="10" t="e">
        <f>tbl_MTG_Set[[#This Row],[Play Singles CardMarket Profit BotBox]]/tbl_MTG_Set[[#This Row],[Play Booster Cost]]</f>
        <v>#VALUE!</v>
      </c>
      <c r="BP484" s="10" t="b">
        <f>tbl_MTG_Set[[#This Row],[Play Singles CardMarket Profit BotBox]]&gt;0</f>
        <v>0</v>
      </c>
      <c r="BQ484" s="10"/>
      <c r="BR484" s="10"/>
      <c r="BS484" s="10"/>
      <c r="BT4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4" s="19" t="e">
        <f>tbl_MTG_Set[[#This Row],[Collector Singles CardMarket Profit MTG Stocks]]/tbl_MTG_Set[[#This Row],[Collector Booster Cost]]</f>
        <v>#N/A</v>
      </c>
      <c r="BW484" s="10" t="b">
        <f>tbl_MTG_Set[[#This Row],[Collector Singles CardMarket Profit MTG Stocks]]&gt;0</f>
        <v>0</v>
      </c>
      <c r="BX484" s="10"/>
      <c r="BY484" s="10"/>
      <c r="BZ4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4" s="10" t="e">
        <f>tbl_MTG_Set[[#This Row],[Collector Singles CardMarket Profit BotBox]]/tbl_MTG_Set[[#This Row],[Collector Booster Cost]]</f>
        <v>#N/A</v>
      </c>
      <c r="CC484" s="10" t="b">
        <f>tbl_MTG_Set[[#This Row],[Collector Singles CardMarket Profit BotBox]]&gt;0</f>
        <v>0</v>
      </c>
      <c r="CD4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5" spans="1:86" hidden="1">
      <c r="A485">
        <v>516</v>
      </c>
      <c r="B485" t="s">
        <v>658</v>
      </c>
      <c r="C485">
        <v>10</v>
      </c>
      <c r="D485" s="3">
        <v>43063</v>
      </c>
      <c r="F485" t="s">
        <v>174</v>
      </c>
      <c r="G485">
        <v>978</v>
      </c>
      <c r="H485">
        <f ca="1">MONTH(NOW())+12*YEAR(NOW())-MONTH(tbl_MTG_Set[[#This Row],[Released On]])-12*YEAR(tbl_MTG_Set[[#This Row],[Released On]])</f>
        <v>100</v>
      </c>
      <c r="I485" t="str">
        <f>_xlfn.XLOOKUP(tbl_MTG_Set[[#This Row],[Type Name]], tbl_MTG_Set_Type[Set Type], tbl_MTG_Set_Type[Index], "(Set Type not found)")</f>
        <v>(Set Type not found)</v>
      </c>
      <c r="J485" t="str">
        <f>_xlfn.XLOOKUP(tbl_MTG_Set[[#This Row],[Type Name]], tbl_MTG_Set_Type[Set Type], tbl_MTG_Set_Type[Buy Window Month Start], "(Set Type not found)")</f>
        <v>(Set Type not found)</v>
      </c>
      <c r="K485" s="3" t="e">
        <f>tbl_MTG_Set[[#This Row],[Released On]]+tbl_MTG_Set[[#This Row],[Buy Window Month Start]]*365.25/12</f>
        <v>#VALUE!</v>
      </c>
      <c r="L485" t="str">
        <f>_xlfn.XLOOKUP(tbl_MTG_Set[[#This Row],[Type Name]], tbl_MTG_Set_Type[Set Type], tbl_MTG_Set_Type[Buy Window Month End], "(Set Type not found)", 0, 1)</f>
        <v>(Set Type not found)</v>
      </c>
      <c r="M485" s="3" t="e">
        <f>tbl_MTG_Set[[#This Row],[Released On]]+tbl_MTG_Set[[#This Row],[Buy Window Month End]]*365.25/12</f>
        <v>#VALUE!</v>
      </c>
      <c r="N485" s="3" t="e">
        <f ca="1">AND(NOW()&gt;=tbl_MTG_Set[[#This Row],[Buy Window Start]], NOW()&lt;=tbl_MTG_Set[[#This Row],[Buy Window End]])</f>
        <v>#VALUE!</v>
      </c>
      <c r="O485" t="str">
        <f>_xlfn.XLOOKUP(tbl_MTG_Set[[#This Row],[Type Name]], tbl_MTG_Set_Type[Set Type], tbl_MTG_Set_Type[Heavy Printing Window Month Start], "(Set Type not found)", 0, 1)</f>
        <v>(Set Type not found)</v>
      </c>
      <c r="P485" s="3" t="e">
        <f>tbl_MTG_Set[[#This Row],[Released On]]+tbl_MTG_Set[[#This Row],[Heavy Printing Window Month Start]]*365.25/12</f>
        <v>#VALUE!</v>
      </c>
      <c r="Q485" t="str">
        <f>_xlfn.XLOOKUP(tbl_MTG_Set[[#This Row],[Type Name]], tbl_MTG_Set_Type[Set Type], tbl_MTG_Set_Type[Heavy Printing Window Month End], "(Set Type not found)", 0, 1)</f>
        <v>(Set Type not found)</v>
      </c>
      <c r="R485" s="3" t="e">
        <f>tbl_MTG_Set[[#This Row],[Released On]]+tbl_MTG_Set[[#This Row],[Heavy Printing Window Month End]]*365.25/12</f>
        <v>#VALUE!</v>
      </c>
      <c r="S485" s="3" t="e">
        <f ca="1">AND(NOW()&gt;=tbl_MTG_Set[[#This Row],[Heavy Printing Window Start]], NOW()&lt;=tbl_MTG_Set[[#This Row],[Heavy Printing Window End]])</f>
        <v>#VALUE!</v>
      </c>
      <c r="T485" t="str">
        <f>_xlfn.XLOOKUP(tbl_MTG_Set[[#This Row],[Type Name]], tbl_MTG_Set_Type[Set Type], tbl_MTG_Set_Type[Sell Window Month Start], "(Set Type not found)", 0, 1)</f>
        <v>(Set Type not found)</v>
      </c>
      <c r="U485" s="3" t="e">
        <f>tbl_MTG_Set[[#This Row],[Released On]]+tbl_MTG_Set[[#This Row],[Sell Window Month Start]]*365.25/12</f>
        <v>#VALUE!</v>
      </c>
      <c r="V485" t="str">
        <f>_xlfn.XLOOKUP(tbl_MTG_Set[[#This Row],[Type Name]], tbl_MTG_Set_Type[Set Type], tbl_MTG_Set_Type[Sell Window Month End], "(Set Type not found)", 0, 1)</f>
        <v>(Set Type not found)</v>
      </c>
      <c r="W485" s="3" t="e">
        <f>tbl_MTG_Set[[#This Row],[Released On]]+tbl_MTG_Set[[#This Row],[Sell Window Month End]]*365.25/12</f>
        <v>#VALUE!</v>
      </c>
      <c r="X485" s="3" t="e">
        <f ca="1">AND(NOW()&gt;=tbl_MTG_Set[[#This Row],[Sell Window Start]], NOW()&lt;=tbl_MTG_Set[[#This Row],[Sell Window End]])</f>
        <v>#VALUE!</v>
      </c>
      <c r="AG485" s="10"/>
      <c r="AH485" s="10"/>
      <c r="AM485" s="10" t="str" cm="1">
        <f t="array" ref="AM4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5" s="10" t="str" cm="1">
        <f t="array" ref="AN4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5" s="4" t="e">
        <f>_xlfn.XLOOKUP(tbl_MTG_Set[[#This Row],[Play Booster Box Product Id]], tbl_Product[Product Id], tbl_Product[Pack Size])</f>
        <v>#N/A</v>
      </c>
      <c r="AP485" s="10" t="e">
        <f>(tbl_MTG_Set[[#This Row],[Play Booster Box Cost]]+v_Item_Shipping_Cost_In)/tbl_MTG_Set[[#This Row],[Play Booster Box Size]]</f>
        <v>#VALUE!</v>
      </c>
      <c r="AQ485" s="10" t="str" cm="1">
        <f t="array" ref="AQ4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5" s="10"/>
      <c r="AS485" s="10"/>
      <c r="AT485" s="17" t="e">
        <f>tbl_MTG_Set[[#This Row],[Play Booster CardMarket Profit]]/tbl_MTG_Set[[#This Row],[Play Booster Cost]]</f>
        <v>#VALUE!</v>
      </c>
      <c r="AU485" s="10" t="e">
        <f>_xlfn.XLOOKUP(tbl_MTG_Set[[#This Row],[Collector Booster Box Product Id]], tbl_Product[Product Id], tbl_Product[Min Cost])</f>
        <v>#N/A</v>
      </c>
      <c r="AV485" s="10" t="e">
        <f>_xlfn.XLOOKUP(tbl_MTG_Set[[#This Row],[Collector Booster Box Product Id]], tbl_Product[Product Id], tbl_Product[Best Source])</f>
        <v>#N/A</v>
      </c>
      <c r="AW485" s="4" t="e">
        <f>_xlfn.XLOOKUP(tbl_MTG_Set[[#This Row],[Collector Booster Box Product Id]], tbl_Product[Product Id], tbl_Product[Pack Size])</f>
        <v>#N/A</v>
      </c>
      <c r="AX485" s="10" t="e">
        <f>(tbl_MTG_Set[[#This Row],[Collector Booster Box Cost]] + v_Item_Shipping_Cost_In) / tbl_MTG_Set[[#This Row],[Collector Booster Box Size]]</f>
        <v>#N/A</v>
      </c>
      <c r="AY485" s="10" t="str" cm="1">
        <f t="array" ref="AY4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5" s="10"/>
      <c r="BA4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5" s="17" t="e">
        <f>tbl_MTG_Set[[#This Row],[Collector Booster CardMarket Profit]]/tbl_MTG_Set[[#This Row],[Collector Booster Cost]]</f>
        <v>#N/A</v>
      </c>
      <c r="BC485" s="10"/>
      <c r="BF4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5" s="11" t="e">
        <f>tbl_MTG_Set[[#This Row],[Play Singles CardMarket Profit MTG Stocks]]/tbl_MTG_Set[[#This Row],[Play Booster Cost]]</f>
        <v>#VALUE!</v>
      </c>
      <c r="BI485" s="11" t="b">
        <f>tbl_MTG_Set[[#This Row],[Play Singles CardMarket Profit MTG Stocks]]&gt;0</f>
        <v>0</v>
      </c>
      <c r="BM485" s="10" t="e">
        <f>tbl_MTG_Set[[#This Row],[Play Booster Sell Price CardMarket]]*tbl_MTG_Set[[#This Row],[Play Booster Expected Market Value BotBox]]/tbl_MTG_Set[[#This Row],[Play Booster Sealed Market Value BotBox]]</f>
        <v>#VALUE!</v>
      </c>
      <c r="BN4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5" s="10" t="e">
        <f>tbl_MTG_Set[[#This Row],[Play Singles CardMarket Profit BotBox]]/tbl_MTG_Set[[#This Row],[Play Booster Cost]]</f>
        <v>#VALUE!</v>
      </c>
      <c r="BP485" s="10" t="b">
        <f>tbl_MTG_Set[[#This Row],[Play Singles CardMarket Profit BotBox]]&gt;0</f>
        <v>0</v>
      </c>
      <c r="BQ485" s="10"/>
      <c r="BR485" s="10"/>
      <c r="BS485" s="10"/>
      <c r="BT4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5" s="19" t="e">
        <f>tbl_MTG_Set[[#This Row],[Collector Singles CardMarket Profit MTG Stocks]]/tbl_MTG_Set[[#This Row],[Collector Booster Cost]]</f>
        <v>#N/A</v>
      </c>
      <c r="BW485" s="10" t="b">
        <f>tbl_MTG_Set[[#This Row],[Collector Singles CardMarket Profit MTG Stocks]]&gt;0</f>
        <v>0</v>
      </c>
      <c r="BX485" s="10"/>
      <c r="BY485" s="10"/>
      <c r="BZ4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5" s="10" t="e">
        <f>tbl_MTG_Set[[#This Row],[Collector Singles CardMarket Profit BotBox]]/tbl_MTG_Set[[#This Row],[Collector Booster Cost]]</f>
        <v>#N/A</v>
      </c>
      <c r="CC485" s="10" t="b">
        <f>tbl_MTG_Set[[#This Row],[Collector Singles CardMarket Profit BotBox]]&gt;0</f>
        <v>0</v>
      </c>
      <c r="CD4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6" spans="1:86" hidden="1">
      <c r="A486">
        <v>517</v>
      </c>
      <c r="B486" t="s">
        <v>659</v>
      </c>
      <c r="C486">
        <v>5</v>
      </c>
      <c r="D486" s="3">
        <v>43007</v>
      </c>
      <c r="F486" t="s">
        <v>174</v>
      </c>
      <c r="G486">
        <v>980</v>
      </c>
      <c r="H486">
        <f ca="1">MONTH(NOW())+12*YEAR(NOW())-MONTH(tbl_MTG_Set[[#This Row],[Released On]])-12*YEAR(tbl_MTG_Set[[#This Row],[Released On]])</f>
        <v>102</v>
      </c>
      <c r="I486" t="str">
        <f>_xlfn.XLOOKUP(tbl_MTG_Set[[#This Row],[Type Name]], tbl_MTG_Set_Type[Set Type], tbl_MTG_Set_Type[Index], "(Set Type not found)")</f>
        <v>(Set Type not found)</v>
      </c>
      <c r="J486" t="str">
        <f>_xlfn.XLOOKUP(tbl_MTG_Set[[#This Row],[Type Name]], tbl_MTG_Set_Type[Set Type], tbl_MTG_Set_Type[Buy Window Month Start], "(Set Type not found)")</f>
        <v>(Set Type not found)</v>
      </c>
      <c r="K486" s="3" t="e">
        <f>tbl_MTG_Set[[#This Row],[Released On]]+tbl_MTG_Set[[#This Row],[Buy Window Month Start]]*365.25/12</f>
        <v>#VALUE!</v>
      </c>
      <c r="L486" t="str">
        <f>_xlfn.XLOOKUP(tbl_MTG_Set[[#This Row],[Type Name]], tbl_MTG_Set_Type[Set Type], tbl_MTG_Set_Type[Buy Window Month End], "(Set Type not found)", 0, 1)</f>
        <v>(Set Type not found)</v>
      </c>
      <c r="M486" s="3" t="e">
        <f>tbl_MTG_Set[[#This Row],[Released On]]+tbl_MTG_Set[[#This Row],[Buy Window Month End]]*365.25/12</f>
        <v>#VALUE!</v>
      </c>
      <c r="N486" s="3" t="e">
        <f ca="1">AND(NOW()&gt;=tbl_MTG_Set[[#This Row],[Buy Window Start]], NOW()&lt;=tbl_MTG_Set[[#This Row],[Buy Window End]])</f>
        <v>#VALUE!</v>
      </c>
      <c r="O486" t="str">
        <f>_xlfn.XLOOKUP(tbl_MTG_Set[[#This Row],[Type Name]], tbl_MTG_Set_Type[Set Type], tbl_MTG_Set_Type[Heavy Printing Window Month Start], "(Set Type not found)", 0, 1)</f>
        <v>(Set Type not found)</v>
      </c>
      <c r="P486" s="3" t="e">
        <f>tbl_MTG_Set[[#This Row],[Released On]]+tbl_MTG_Set[[#This Row],[Heavy Printing Window Month Start]]*365.25/12</f>
        <v>#VALUE!</v>
      </c>
      <c r="Q486" t="str">
        <f>_xlfn.XLOOKUP(tbl_MTG_Set[[#This Row],[Type Name]], tbl_MTG_Set_Type[Set Type], tbl_MTG_Set_Type[Heavy Printing Window Month End], "(Set Type not found)", 0, 1)</f>
        <v>(Set Type not found)</v>
      </c>
      <c r="R486" s="3" t="e">
        <f>tbl_MTG_Set[[#This Row],[Released On]]+tbl_MTG_Set[[#This Row],[Heavy Printing Window Month End]]*365.25/12</f>
        <v>#VALUE!</v>
      </c>
      <c r="S486" s="3" t="e">
        <f ca="1">AND(NOW()&gt;=tbl_MTG_Set[[#This Row],[Heavy Printing Window Start]], NOW()&lt;=tbl_MTG_Set[[#This Row],[Heavy Printing Window End]])</f>
        <v>#VALUE!</v>
      </c>
      <c r="T486" t="str">
        <f>_xlfn.XLOOKUP(tbl_MTG_Set[[#This Row],[Type Name]], tbl_MTG_Set_Type[Set Type], tbl_MTG_Set_Type[Sell Window Month Start], "(Set Type not found)", 0, 1)</f>
        <v>(Set Type not found)</v>
      </c>
      <c r="U486" s="3" t="e">
        <f>tbl_MTG_Set[[#This Row],[Released On]]+tbl_MTG_Set[[#This Row],[Sell Window Month Start]]*365.25/12</f>
        <v>#VALUE!</v>
      </c>
      <c r="V486" t="str">
        <f>_xlfn.XLOOKUP(tbl_MTG_Set[[#This Row],[Type Name]], tbl_MTG_Set_Type[Set Type], tbl_MTG_Set_Type[Sell Window Month End], "(Set Type not found)", 0, 1)</f>
        <v>(Set Type not found)</v>
      </c>
      <c r="W486" s="3" t="e">
        <f>tbl_MTG_Set[[#This Row],[Released On]]+tbl_MTG_Set[[#This Row],[Sell Window Month End]]*365.25/12</f>
        <v>#VALUE!</v>
      </c>
      <c r="X486" s="3" t="e">
        <f ca="1">AND(NOW()&gt;=tbl_MTG_Set[[#This Row],[Sell Window Start]], NOW()&lt;=tbl_MTG_Set[[#This Row],[Sell Window End]])</f>
        <v>#VALUE!</v>
      </c>
      <c r="AG486" s="10"/>
      <c r="AH486" s="10"/>
      <c r="AM486" s="10" t="str" cm="1">
        <f t="array" ref="AM4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6" s="10" t="str" cm="1">
        <f t="array" ref="AN4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6" s="4" t="e">
        <f>_xlfn.XLOOKUP(tbl_MTG_Set[[#This Row],[Play Booster Box Product Id]], tbl_Product[Product Id], tbl_Product[Pack Size])</f>
        <v>#N/A</v>
      </c>
      <c r="AP486" s="10" t="e">
        <f>(tbl_MTG_Set[[#This Row],[Play Booster Box Cost]]+v_Item_Shipping_Cost_In)/tbl_MTG_Set[[#This Row],[Play Booster Box Size]]</f>
        <v>#VALUE!</v>
      </c>
      <c r="AQ486" s="10" t="str" cm="1">
        <f t="array" ref="AQ4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6" s="10"/>
      <c r="AS486" s="10"/>
      <c r="AT486" s="17" t="e">
        <f>tbl_MTG_Set[[#This Row],[Play Booster CardMarket Profit]]/tbl_MTG_Set[[#This Row],[Play Booster Cost]]</f>
        <v>#VALUE!</v>
      </c>
      <c r="AU486" s="10" t="e">
        <f>_xlfn.XLOOKUP(tbl_MTG_Set[[#This Row],[Collector Booster Box Product Id]], tbl_Product[Product Id], tbl_Product[Min Cost])</f>
        <v>#N/A</v>
      </c>
      <c r="AV486" s="10" t="e">
        <f>_xlfn.XLOOKUP(tbl_MTG_Set[[#This Row],[Collector Booster Box Product Id]], tbl_Product[Product Id], tbl_Product[Best Source])</f>
        <v>#N/A</v>
      </c>
      <c r="AW486" s="4" t="e">
        <f>_xlfn.XLOOKUP(tbl_MTG_Set[[#This Row],[Collector Booster Box Product Id]], tbl_Product[Product Id], tbl_Product[Pack Size])</f>
        <v>#N/A</v>
      </c>
      <c r="AX486" s="10" t="e">
        <f>(tbl_MTG_Set[[#This Row],[Collector Booster Box Cost]] + v_Item_Shipping_Cost_In) / tbl_MTG_Set[[#This Row],[Collector Booster Box Size]]</f>
        <v>#N/A</v>
      </c>
      <c r="AY486" s="10" t="str" cm="1">
        <f t="array" ref="AY4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6" s="10"/>
      <c r="BA4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6" s="17" t="e">
        <f>tbl_MTG_Set[[#This Row],[Collector Booster CardMarket Profit]]/tbl_MTG_Set[[#This Row],[Collector Booster Cost]]</f>
        <v>#N/A</v>
      </c>
      <c r="BC486" s="10"/>
      <c r="BF4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6" s="11" t="e">
        <f>tbl_MTG_Set[[#This Row],[Play Singles CardMarket Profit MTG Stocks]]/tbl_MTG_Set[[#This Row],[Play Booster Cost]]</f>
        <v>#VALUE!</v>
      </c>
      <c r="BI486" s="11" t="b">
        <f>tbl_MTG_Set[[#This Row],[Play Singles CardMarket Profit MTG Stocks]]&gt;0</f>
        <v>0</v>
      </c>
      <c r="BM486" s="10" t="e">
        <f>tbl_MTG_Set[[#This Row],[Play Booster Sell Price CardMarket]]*tbl_MTG_Set[[#This Row],[Play Booster Expected Market Value BotBox]]/tbl_MTG_Set[[#This Row],[Play Booster Sealed Market Value BotBox]]</f>
        <v>#VALUE!</v>
      </c>
      <c r="BN4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6" s="10" t="e">
        <f>tbl_MTG_Set[[#This Row],[Play Singles CardMarket Profit BotBox]]/tbl_MTG_Set[[#This Row],[Play Booster Cost]]</f>
        <v>#VALUE!</v>
      </c>
      <c r="BP486" s="10" t="b">
        <f>tbl_MTG_Set[[#This Row],[Play Singles CardMarket Profit BotBox]]&gt;0</f>
        <v>0</v>
      </c>
      <c r="BQ486" s="10"/>
      <c r="BR486" s="10"/>
      <c r="BS486" s="10"/>
      <c r="BT4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6" s="19" t="e">
        <f>tbl_MTG_Set[[#This Row],[Collector Singles CardMarket Profit MTG Stocks]]/tbl_MTG_Set[[#This Row],[Collector Booster Cost]]</f>
        <v>#N/A</v>
      </c>
      <c r="BW486" s="10" t="b">
        <f>tbl_MTG_Set[[#This Row],[Collector Singles CardMarket Profit MTG Stocks]]&gt;0</f>
        <v>0</v>
      </c>
      <c r="BX486" s="10"/>
      <c r="BY486" s="10"/>
      <c r="BZ4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6" s="10" t="e">
        <f>tbl_MTG_Set[[#This Row],[Collector Singles CardMarket Profit BotBox]]/tbl_MTG_Set[[#This Row],[Collector Booster Cost]]</f>
        <v>#N/A</v>
      </c>
      <c r="CC486" s="10" t="b">
        <f>tbl_MTG_Set[[#This Row],[Collector Singles CardMarket Profit BotBox]]&gt;0</f>
        <v>0</v>
      </c>
      <c r="CD4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7" spans="1:86" hidden="1">
      <c r="A487">
        <v>518</v>
      </c>
      <c r="B487" t="s">
        <v>660</v>
      </c>
      <c r="C487">
        <v>4</v>
      </c>
      <c r="D487" s="3">
        <v>42998</v>
      </c>
      <c r="F487" t="s">
        <v>174</v>
      </c>
      <c r="G487">
        <v>982</v>
      </c>
      <c r="H487">
        <f ca="1">MONTH(NOW())+12*YEAR(NOW())-MONTH(tbl_MTG_Set[[#This Row],[Released On]])-12*YEAR(tbl_MTG_Set[[#This Row],[Released On]])</f>
        <v>102</v>
      </c>
      <c r="I487" t="str">
        <f>_xlfn.XLOOKUP(tbl_MTG_Set[[#This Row],[Type Name]], tbl_MTG_Set_Type[Set Type], tbl_MTG_Set_Type[Index], "(Set Type not found)")</f>
        <v>(Set Type not found)</v>
      </c>
      <c r="J487" t="str">
        <f>_xlfn.XLOOKUP(tbl_MTG_Set[[#This Row],[Type Name]], tbl_MTG_Set_Type[Set Type], tbl_MTG_Set_Type[Buy Window Month Start], "(Set Type not found)")</f>
        <v>(Set Type not found)</v>
      </c>
      <c r="K487" s="3" t="e">
        <f>tbl_MTG_Set[[#This Row],[Released On]]+tbl_MTG_Set[[#This Row],[Buy Window Month Start]]*365.25/12</f>
        <v>#VALUE!</v>
      </c>
      <c r="L487" t="str">
        <f>_xlfn.XLOOKUP(tbl_MTG_Set[[#This Row],[Type Name]], tbl_MTG_Set_Type[Set Type], tbl_MTG_Set_Type[Buy Window Month End], "(Set Type not found)", 0, 1)</f>
        <v>(Set Type not found)</v>
      </c>
      <c r="M487" s="3" t="e">
        <f>tbl_MTG_Set[[#This Row],[Released On]]+tbl_MTG_Set[[#This Row],[Buy Window Month End]]*365.25/12</f>
        <v>#VALUE!</v>
      </c>
      <c r="N487" s="3" t="e">
        <f ca="1">AND(NOW()&gt;=tbl_MTG_Set[[#This Row],[Buy Window Start]], NOW()&lt;=tbl_MTG_Set[[#This Row],[Buy Window End]])</f>
        <v>#VALUE!</v>
      </c>
      <c r="O487" t="str">
        <f>_xlfn.XLOOKUP(tbl_MTG_Set[[#This Row],[Type Name]], tbl_MTG_Set_Type[Set Type], tbl_MTG_Set_Type[Heavy Printing Window Month Start], "(Set Type not found)", 0, 1)</f>
        <v>(Set Type not found)</v>
      </c>
      <c r="P487" s="3" t="e">
        <f>tbl_MTG_Set[[#This Row],[Released On]]+tbl_MTG_Set[[#This Row],[Heavy Printing Window Month Start]]*365.25/12</f>
        <v>#VALUE!</v>
      </c>
      <c r="Q487" t="str">
        <f>_xlfn.XLOOKUP(tbl_MTG_Set[[#This Row],[Type Name]], tbl_MTG_Set_Type[Set Type], tbl_MTG_Set_Type[Heavy Printing Window Month End], "(Set Type not found)", 0, 1)</f>
        <v>(Set Type not found)</v>
      </c>
      <c r="R487" s="3" t="e">
        <f>tbl_MTG_Set[[#This Row],[Released On]]+tbl_MTG_Set[[#This Row],[Heavy Printing Window Month End]]*365.25/12</f>
        <v>#VALUE!</v>
      </c>
      <c r="S487" s="3" t="e">
        <f ca="1">AND(NOW()&gt;=tbl_MTG_Set[[#This Row],[Heavy Printing Window Start]], NOW()&lt;=tbl_MTG_Set[[#This Row],[Heavy Printing Window End]])</f>
        <v>#VALUE!</v>
      </c>
      <c r="T487" t="str">
        <f>_xlfn.XLOOKUP(tbl_MTG_Set[[#This Row],[Type Name]], tbl_MTG_Set_Type[Set Type], tbl_MTG_Set_Type[Sell Window Month Start], "(Set Type not found)", 0, 1)</f>
        <v>(Set Type not found)</v>
      </c>
      <c r="U487" s="3" t="e">
        <f>tbl_MTG_Set[[#This Row],[Released On]]+tbl_MTG_Set[[#This Row],[Sell Window Month Start]]*365.25/12</f>
        <v>#VALUE!</v>
      </c>
      <c r="V487" t="str">
        <f>_xlfn.XLOOKUP(tbl_MTG_Set[[#This Row],[Type Name]], tbl_MTG_Set_Type[Set Type], tbl_MTG_Set_Type[Sell Window Month End], "(Set Type not found)", 0, 1)</f>
        <v>(Set Type not found)</v>
      </c>
      <c r="W487" s="3" t="e">
        <f>tbl_MTG_Set[[#This Row],[Released On]]+tbl_MTG_Set[[#This Row],[Sell Window Month End]]*365.25/12</f>
        <v>#VALUE!</v>
      </c>
      <c r="X487" s="3" t="e">
        <f ca="1">AND(NOW()&gt;=tbl_MTG_Set[[#This Row],[Sell Window Start]], NOW()&lt;=tbl_MTG_Set[[#This Row],[Sell Window End]])</f>
        <v>#VALUE!</v>
      </c>
      <c r="AG487" s="10"/>
      <c r="AH487" s="10"/>
      <c r="AM487" s="10" t="str" cm="1">
        <f t="array" ref="AM4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7" s="10" t="str" cm="1">
        <f t="array" ref="AN4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7" s="4" t="e">
        <f>_xlfn.XLOOKUP(tbl_MTG_Set[[#This Row],[Play Booster Box Product Id]], tbl_Product[Product Id], tbl_Product[Pack Size])</f>
        <v>#N/A</v>
      </c>
      <c r="AP487" s="10" t="e">
        <f>(tbl_MTG_Set[[#This Row],[Play Booster Box Cost]]+v_Item_Shipping_Cost_In)/tbl_MTG_Set[[#This Row],[Play Booster Box Size]]</f>
        <v>#VALUE!</v>
      </c>
      <c r="AQ487" s="10" t="str" cm="1">
        <f t="array" ref="AQ4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7" s="10"/>
      <c r="AS487" s="10"/>
      <c r="AT487" s="17" t="e">
        <f>tbl_MTG_Set[[#This Row],[Play Booster CardMarket Profit]]/tbl_MTG_Set[[#This Row],[Play Booster Cost]]</f>
        <v>#VALUE!</v>
      </c>
      <c r="AU487" s="10" t="e">
        <f>_xlfn.XLOOKUP(tbl_MTG_Set[[#This Row],[Collector Booster Box Product Id]], tbl_Product[Product Id], tbl_Product[Min Cost])</f>
        <v>#N/A</v>
      </c>
      <c r="AV487" s="10" t="e">
        <f>_xlfn.XLOOKUP(tbl_MTG_Set[[#This Row],[Collector Booster Box Product Id]], tbl_Product[Product Id], tbl_Product[Best Source])</f>
        <v>#N/A</v>
      </c>
      <c r="AW487" s="4" t="e">
        <f>_xlfn.XLOOKUP(tbl_MTG_Set[[#This Row],[Collector Booster Box Product Id]], tbl_Product[Product Id], tbl_Product[Pack Size])</f>
        <v>#N/A</v>
      </c>
      <c r="AX487" s="10" t="e">
        <f>(tbl_MTG_Set[[#This Row],[Collector Booster Box Cost]] + v_Item_Shipping_Cost_In) / tbl_MTG_Set[[#This Row],[Collector Booster Box Size]]</f>
        <v>#N/A</v>
      </c>
      <c r="AY487" s="10" t="str" cm="1">
        <f t="array" ref="AY4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7" s="10"/>
      <c r="BA4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7" s="17" t="e">
        <f>tbl_MTG_Set[[#This Row],[Collector Booster CardMarket Profit]]/tbl_MTG_Set[[#This Row],[Collector Booster Cost]]</f>
        <v>#N/A</v>
      </c>
      <c r="BC487" s="10"/>
      <c r="BF4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7" s="11" t="e">
        <f>tbl_MTG_Set[[#This Row],[Play Singles CardMarket Profit MTG Stocks]]/tbl_MTG_Set[[#This Row],[Play Booster Cost]]</f>
        <v>#VALUE!</v>
      </c>
      <c r="BI487" s="11" t="b">
        <f>tbl_MTG_Set[[#This Row],[Play Singles CardMarket Profit MTG Stocks]]&gt;0</f>
        <v>0</v>
      </c>
      <c r="BM487" s="10" t="e">
        <f>tbl_MTG_Set[[#This Row],[Play Booster Sell Price CardMarket]]*tbl_MTG_Set[[#This Row],[Play Booster Expected Market Value BotBox]]/tbl_MTG_Set[[#This Row],[Play Booster Sealed Market Value BotBox]]</f>
        <v>#VALUE!</v>
      </c>
      <c r="BN4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7" s="10" t="e">
        <f>tbl_MTG_Set[[#This Row],[Play Singles CardMarket Profit BotBox]]/tbl_MTG_Set[[#This Row],[Play Booster Cost]]</f>
        <v>#VALUE!</v>
      </c>
      <c r="BP487" s="10" t="b">
        <f>tbl_MTG_Set[[#This Row],[Play Singles CardMarket Profit BotBox]]&gt;0</f>
        <v>0</v>
      </c>
      <c r="BQ487" s="10"/>
      <c r="BR487" s="10"/>
      <c r="BS487" s="10"/>
      <c r="BT4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7" s="19" t="e">
        <f>tbl_MTG_Set[[#This Row],[Collector Singles CardMarket Profit MTG Stocks]]/tbl_MTG_Set[[#This Row],[Collector Booster Cost]]</f>
        <v>#N/A</v>
      </c>
      <c r="BW487" s="10" t="b">
        <f>tbl_MTG_Set[[#This Row],[Collector Singles CardMarket Profit MTG Stocks]]&gt;0</f>
        <v>0</v>
      </c>
      <c r="BX487" s="10"/>
      <c r="BY487" s="10"/>
      <c r="BZ4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7" s="10" t="e">
        <f>tbl_MTG_Set[[#This Row],[Collector Singles CardMarket Profit BotBox]]/tbl_MTG_Set[[#This Row],[Collector Booster Cost]]</f>
        <v>#N/A</v>
      </c>
      <c r="CC487" s="10" t="b">
        <f>tbl_MTG_Set[[#This Row],[Collector Singles CardMarket Profit BotBox]]&gt;0</f>
        <v>0</v>
      </c>
      <c r="CD4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8" spans="1:86" hidden="1">
      <c r="A488">
        <v>519</v>
      </c>
      <c r="B488" t="s">
        <v>661</v>
      </c>
      <c r="C488">
        <v>3</v>
      </c>
      <c r="D488" s="3">
        <v>42998</v>
      </c>
      <c r="F488" t="s">
        <v>174</v>
      </c>
      <c r="G488">
        <v>984</v>
      </c>
      <c r="H488">
        <f ca="1">MONTH(NOW())+12*YEAR(NOW())-MONTH(tbl_MTG_Set[[#This Row],[Released On]])-12*YEAR(tbl_MTG_Set[[#This Row],[Released On]])</f>
        <v>102</v>
      </c>
      <c r="I488" t="str">
        <f>_xlfn.XLOOKUP(tbl_MTG_Set[[#This Row],[Type Name]], tbl_MTG_Set_Type[Set Type], tbl_MTG_Set_Type[Index], "(Set Type not found)")</f>
        <v>(Set Type not found)</v>
      </c>
      <c r="J488" t="str">
        <f>_xlfn.XLOOKUP(tbl_MTG_Set[[#This Row],[Type Name]], tbl_MTG_Set_Type[Set Type], tbl_MTG_Set_Type[Buy Window Month Start], "(Set Type not found)")</f>
        <v>(Set Type not found)</v>
      </c>
      <c r="K488" s="3" t="e">
        <f>tbl_MTG_Set[[#This Row],[Released On]]+tbl_MTG_Set[[#This Row],[Buy Window Month Start]]*365.25/12</f>
        <v>#VALUE!</v>
      </c>
      <c r="L488" t="str">
        <f>_xlfn.XLOOKUP(tbl_MTG_Set[[#This Row],[Type Name]], tbl_MTG_Set_Type[Set Type], tbl_MTG_Set_Type[Buy Window Month End], "(Set Type not found)", 0, 1)</f>
        <v>(Set Type not found)</v>
      </c>
      <c r="M488" s="3" t="e">
        <f>tbl_MTG_Set[[#This Row],[Released On]]+tbl_MTG_Set[[#This Row],[Buy Window Month End]]*365.25/12</f>
        <v>#VALUE!</v>
      </c>
      <c r="N488" s="3" t="e">
        <f ca="1">AND(NOW()&gt;=tbl_MTG_Set[[#This Row],[Buy Window Start]], NOW()&lt;=tbl_MTG_Set[[#This Row],[Buy Window End]])</f>
        <v>#VALUE!</v>
      </c>
      <c r="O488" t="str">
        <f>_xlfn.XLOOKUP(tbl_MTG_Set[[#This Row],[Type Name]], tbl_MTG_Set_Type[Set Type], tbl_MTG_Set_Type[Heavy Printing Window Month Start], "(Set Type not found)", 0, 1)</f>
        <v>(Set Type not found)</v>
      </c>
      <c r="P488" s="3" t="e">
        <f>tbl_MTG_Set[[#This Row],[Released On]]+tbl_MTG_Set[[#This Row],[Heavy Printing Window Month Start]]*365.25/12</f>
        <v>#VALUE!</v>
      </c>
      <c r="Q488" t="str">
        <f>_xlfn.XLOOKUP(tbl_MTG_Set[[#This Row],[Type Name]], tbl_MTG_Set_Type[Set Type], tbl_MTG_Set_Type[Heavy Printing Window Month End], "(Set Type not found)", 0, 1)</f>
        <v>(Set Type not found)</v>
      </c>
      <c r="R488" s="3" t="e">
        <f>tbl_MTG_Set[[#This Row],[Released On]]+tbl_MTG_Set[[#This Row],[Heavy Printing Window Month End]]*365.25/12</f>
        <v>#VALUE!</v>
      </c>
      <c r="S488" s="3" t="e">
        <f ca="1">AND(NOW()&gt;=tbl_MTG_Set[[#This Row],[Heavy Printing Window Start]], NOW()&lt;=tbl_MTG_Set[[#This Row],[Heavy Printing Window End]])</f>
        <v>#VALUE!</v>
      </c>
      <c r="T488" t="str">
        <f>_xlfn.XLOOKUP(tbl_MTG_Set[[#This Row],[Type Name]], tbl_MTG_Set_Type[Set Type], tbl_MTG_Set_Type[Sell Window Month Start], "(Set Type not found)", 0, 1)</f>
        <v>(Set Type not found)</v>
      </c>
      <c r="U488" s="3" t="e">
        <f>tbl_MTG_Set[[#This Row],[Released On]]+tbl_MTG_Set[[#This Row],[Sell Window Month Start]]*365.25/12</f>
        <v>#VALUE!</v>
      </c>
      <c r="V488" t="str">
        <f>_xlfn.XLOOKUP(tbl_MTG_Set[[#This Row],[Type Name]], tbl_MTG_Set_Type[Set Type], tbl_MTG_Set_Type[Sell Window Month End], "(Set Type not found)", 0, 1)</f>
        <v>(Set Type not found)</v>
      </c>
      <c r="W488" s="3" t="e">
        <f>tbl_MTG_Set[[#This Row],[Released On]]+tbl_MTG_Set[[#This Row],[Sell Window Month End]]*365.25/12</f>
        <v>#VALUE!</v>
      </c>
      <c r="X488" s="3" t="e">
        <f ca="1">AND(NOW()&gt;=tbl_MTG_Set[[#This Row],[Sell Window Start]], NOW()&lt;=tbl_MTG_Set[[#This Row],[Sell Window End]])</f>
        <v>#VALUE!</v>
      </c>
      <c r="AG488" s="10"/>
      <c r="AH488" s="10"/>
      <c r="AM488" s="10" t="str" cm="1">
        <f t="array" ref="AM4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8" s="10" t="str" cm="1">
        <f t="array" ref="AN4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8" s="4" t="e">
        <f>_xlfn.XLOOKUP(tbl_MTG_Set[[#This Row],[Play Booster Box Product Id]], tbl_Product[Product Id], tbl_Product[Pack Size])</f>
        <v>#N/A</v>
      </c>
      <c r="AP488" s="10" t="e">
        <f>(tbl_MTG_Set[[#This Row],[Play Booster Box Cost]]+v_Item_Shipping_Cost_In)/tbl_MTG_Set[[#This Row],[Play Booster Box Size]]</f>
        <v>#VALUE!</v>
      </c>
      <c r="AQ488" s="10" t="str" cm="1">
        <f t="array" ref="AQ4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8" s="10"/>
      <c r="AS488" s="10"/>
      <c r="AT488" s="17" t="e">
        <f>tbl_MTG_Set[[#This Row],[Play Booster CardMarket Profit]]/tbl_MTG_Set[[#This Row],[Play Booster Cost]]</f>
        <v>#VALUE!</v>
      </c>
      <c r="AU488" s="10" t="e">
        <f>_xlfn.XLOOKUP(tbl_MTG_Set[[#This Row],[Collector Booster Box Product Id]], tbl_Product[Product Id], tbl_Product[Min Cost])</f>
        <v>#N/A</v>
      </c>
      <c r="AV488" s="10" t="e">
        <f>_xlfn.XLOOKUP(tbl_MTG_Set[[#This Row],[Collector Booster Box Product Id]], tbl_Product[Product Id], tbl_Product[Best Source])</f>
        <v>#N/A</v>
      </c>
      <c r="AW488" s="4" t="e">
        <f>_xlfn.XLOOKUP(tbl_MTG_Set[[#This Row],[Collector Booster Box Product Id]], tbl_Product[Product Id], tbl_Product[Pack Size])</f>
        <v>#N/A</v>
      </c>
      <c r="AX488" s="10" t="e">
        <f>(tbl_MTG_Set[[#This Row],[Collector Booster Box Cost]] + v_Item_Shipping_Cost_In) / tbl_MTG_Set[[#This Row],[Collector Booster Box Size]]</f>
        <v>#N/A</v>
      </c>
      <c r="AY488" s="10" t="str" cm="1">
        <f t="array" ref="AY4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8" s="10"/>
      <c r="BA4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8" s="17" t="e">
        <f>tbl_MTG_Set[[#This Row],[Collector Booster CardMarket Profit]]/tbl_MTG_Set[[#This Row],[Collector Booster Cost]]</f>
        <v>#N/A</v>
      </c>
      <c r="BC488" s="10"/>
      <c r="BF4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8" s="11" t="e">
        <f>tbl_MTG_Set[[#This Row],[Play Singles CardMarket Profit MTG Stocks]]/tbl_MTG_Set[[#This Row],[Play Booster Cost]]</f>
        <v>#VALUE!</v>
      </c>
      <c r="BI488" s="11" t="b">
        <f>tbl_MTG_Set[[#This Row],[Play Singles CardMarket Profit MTG Stocks]]&gt;0</f>
        <v>0</v>
      </c>
      <c r="BM488" s="10" t="e">
        <f>tbl_MTG_Set[[#This Row],[Play Booster Sell Price CardMarket]]*tbl_MTG_Set[[#This Row],[Play Booster Expected Market Value BotBox]]/tbl_MTG_Set[[#This Row],[Play Booster Sealed Market Value BotBox]]</f>
        <v>#VALUE!</v>
      </c>
      <c r="BN4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8" s="10" t="e">
        <f>tbl_MTG_Set[[#This Row],[Play Singles CardMarket Profit BotBox]]/tbl_MTG_Set[[#This Row],[Play Booster Cost]]</f>
        <v>#VALUE!</v>
      </c>
      <c r="BP488" s="10" t="b">
        <f>tbl_MTG_Set[[#This Row],[Play Singles CardMarket Profit BotBox]]&gt;0</f>
        <v>0</v>
      </c>
      <c r="BQ488" s="10"/>
      <c r="BR488" s="10"/>
      <c r="BS488" s="10"/>
      <c r="BT4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8" s="19" t="e">
        <f>tbl_MTG_Set[[#This Row],[Collector Singles CardMarket Profit MTG Stocks]]/tbl_MTG_Set[[#This Row],[Collector Booster Cost]]</f>
        <v>#N/A</v>
      </c>
      <c r="BW488" s="10" t="b">
        <f>tbl_MTG_Set[[#This Row],[Collector Singles CardMarket Profit MTG Stocks]]&gt;0</f>
        <v>0</v>
      </c>
      <c r="BX488" s="10"/>
      <c r="BY488" s="10"/>
      <c r="BZ4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8" s="10" t="e">
        <f>tbl_MTG_Set[[#This Row],[Collector Singles CardMarket Profit BotBox]]/tbl_MTG_Set[[#This Row],[Collector Booster Cost]]</f>
        <v>#N/A</v>
      </c>
      <c r="CC488" s="10" t="b">
        <f>tbl_MTG_Set[[#This Row],[Collector Singles CardMarket Profit BotBox]]&gt;0</f>
        <v>0</v>
      </c>
      <c r="CD4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89" spans="1:86" hidden="1">
      <c r="A489">
        <v>520</v>
      </c>
      <c r="B489" t="s">
        <v>662</v>
      </c>
      <c r="C489">
        <v>540</v>
      </c>
      <c r="D489" s="3">
        <v>42984</v>
      </c>
      <c r="F489">
        <v>0</v>
      </c>
      <c r="G489">
        <v>986</v>
      </c>
      <c r="H489">
        <f ca="1">MONTH(NOW())+12*YEAR(NOW())-MONTH(tbl_MTG_Set[[#This Row],[Released On]])-12*YEAR(tbl_MTG_Set[[#This Row],[Released On]])</f>
        <v>102</v>
      </c>
      <c r="I489" t="str">
        <f>_xlfn.XLOOKUP(tbl_MTG_Set[[#This Row],[Type Name]], tbl_MTG_Set_Type[Set Type], tbl_MTG_Set_Type[Index], "(Set Type not found)")</f>
        <v>(Set Type not found)</v>
      </c>
      <c r="J489" t="str">
        <f>_xlfn.XLOOKUP(tbl_MTG_Set[[#This Row],[Type Name]], tbl_MTG_Set_Type[Set Type], tbl_MTG_Set_Type[Buy Window Month Start], "(Set Type not found)")</f>
        <v>(Set Type not found)</v>
      </c>
      <c r="K489" s="3" t="e">
        <f>tbl_MTG_Set[[#This Row],[Released On]]+tbl_MTG_Set[[#This Row],[Buy Window Month Start]]*365.25/12</f>
        <v>#VALUE!</v>
      </c>
      <c r="L489" t="str">
        <f>_xlfn.XLOOKUP(tbl_MTG_Set[[#This Row],[Type Name]], tbl_MTG_Set_Type[Set Type], tbl_MTG_Set_Type[Buy Window Month End], "(Set Type not found)", 0, 1)</f>
        <v>(Set Type not found)</v>
      </c>
      <c r="M489" s="3" t="e">
        <f>tbl_MTG_Set[[#This Row],[Released On]]+tbl_MTG_Set[[#This Row],[Buy Window Month End]]*365.25/12</f>
        <v>#VALUE!</v>
      </c>
      <c r="N489" s="3" t="e">
        <f ca="1">AND(NOW()&gt;=tbl_MTG_Set[[#This Row],[Buy Window Start]], NOW()&lt;=tbl_MTG_Set[[#This Row],[Buy Window End]])</f>
        <v>#VALUE!</v>
      </c>
      <c r="O489" t="str">
        <f>_xlfn.XLOOKUP(tbl_MTG_Set[[#This Row],[Type Name]], tbl_MTG_Set_Type[Set Type], tbl_MTG_Set_Type[Heavy Printing Window Month Start], "(Set Type not found)", 0, 1)</f>
        <v>(Set Type not found)</v>
      </c>
      <c r="P489" s="3" t="e">
        <f>tbl_MTG_Set[[#This Row],[Released On]]+tbl_MTG_Set[[#This Row],[Heavy Printing Window Month Start]]*365.25/12</f>
        <v>#VALUE!</v>
      </c>
      <c r="Q489" t="str">
        <f>_xlfn.XLOOKUP(tbl_MTG_Set[[#This Row],[Type Name]], tbl_MTG_Set_Type[Set Type], tbl_MTG_Set_Type[Heavy Printing Window Month End], "(Set Type not found)", 0, 1)</f>
        <v>(Set Type not found)</v>
      </c>
      <c r="R489" s="3" t="e">
        <f>tbl_MTG_Set[[#This Row],[Released On]]+tbl_MTG_Set[[#This Row],[Heavy Printing Window Month End]]*365.25/12</f>
        <v>#VALUE!</v>
      </c>
      <c r="S489" s="3" t="e">
        <f ca="1">AND(NOW()&gt;=tbl_MTG_Set[[#This Row],[Heavy Printing Window Start]], NOW()&lt;=tbl_MTG_Set[[#This Row],[Heavy Printing Window End]])</f>
        <v>#VALUE!</v>
      </c>
      <c r="T489" t="str">
        <f>_xlfn.XLOOKUP(tbl_MTG_Set[[#This Row],[Type Name]], tbl_MTG_Set_Type[Set Type], tbl_MTG_Set_Type[Sell Window Month Start], "(Set Type not found)", 0, 1)</f>
        <v>(Set Type not found)</v>
      </c>
      <c r="U489" s="3" t="e">
        <f>tbl_MTG_Set[[#This Row],[Released On]]+tbl_MTG_Set[[#This Row],[Sell Window Month Start]]*365.25/12</f>
        <v>#VALUE!</v>
      </c>
      <c r="V489" t="str">
        <f>_xlfn.XLOOKUP(tbl_MTG_Set[[#This Row],[Type Name]], tbl_MTG_Set_Type[Set Type], tbl_MTG_Set_Type[Sell Window Month End], "(Set Type not found)", 0, 1)</f>
        <v>(Set Type not found)</v>
      </c>
      <c r="W489" s="3" t="e">
        <f>tbl_MTG_Set[[#This Row],[Released On]]+tbl_MTG_Set[[#This Row],[Sell Window Month End]]*365.25/12</f>
        <v>#VALUE!</v>
      </c>
      <c r="X489" s="3" t="e">
        <f ca="1">AND(NOW()&gt;=tbl_MTG_Set[[#This Row],[Sell Window Start]], NOW()&lt;=tbl_MTG_Set[[#This Row],[Sell Window End]])</f>
        <v>#VALUE!</v>
      </c>
      <c r="AG489" s="10"/>
      <c r="AH489" s="10"/>
      <c r="AM489" s="10" t="str" cm="1">
        <f t="array" ref="AM4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89" s="10" t="str" cm="1">
        <f t="array" ref="AN4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89" s="4" t="e">
        <f>_xlfn.XLOOKUP(tbl_MTG_Set[[#This Row],[Play Booster Box Product Id]], tbl_Product[Product Id], tbl_Product[Pack Size])</f>
        <v>#N/A</v>
      </c>
      <c r="AP489" s="10" t="e">
        <f>(tbl_MTG_Set[[#This Row],[Play Booster Box Cost]]+v_Item_Shipping_Cost_In)/tbl_MTG_Set[[#This Row],[Play Booster Box Size]]</f>
        <v>#VALUE!</v>
      </c>
      <c r="AQ489" s="10" t="str" cm="1">
        <f t="array" ref="AQ4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89" s="10"/>
      <c r="AS489" s="10"/>
      <c r="AT489" s="17" t="e">
        <f>tbl_MTG_Set[[#This Row],[Play Booster CardMarket Profit]]/tbl_MTG_Set[[#This Row],[Play Booster Cost]]</f>
        <v>#VALUE!</v>
      </c>
      <c r="AU489" s="10" t="e">
        <f>_xlfn.XLOOKUP(tbl_MTG_Set[[#This Row],[Collector Booster Box Product Id]], tbl_Product[Product Id], tbl_Product[Min Cost])</f>
        <v>#N/A</v>
      </c>
      <c r="AV489" s="10" t="e">
        <f>_xlfn.XLOOKUP(tbl_MTG_Set[[#This Row],[Collector Booster Box Product Id]], tbl_Product[Product Id], tbl_Product[Best Source])</f>
        <v>#N/A</v>
      </c>
      <c r="AW489" s="4" t="e">
        <f>_xlfn.XLOOKUP(tbl_MTG_Set[[#This Row],[Collector Booster Box Product Id]], tbl_Product[Product Id], tbl_Product[Pack Size])</f>
        <v>#N/A</v>
      </c>
      <c r="AX489" s="10" t="e">
        <f>(tbl_MTG_Set[[#This Row],[Collector Booster Box Cost]] + v_Item_Shipping_Cost_In) / tbl_MTG_Set[[#This Row],[Collector Booster Box Size]]</f>
        <v>#N/A</v>
      </c>
      <c r="AY489" s="10" t="str" cm="1">
        <f t="array" ref="AY4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89" s="10"/>
      <c r="BA4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89" s="17" t="e">
        <f>tbl_MTG_Set[[#This Row],[Collector Booster CardMarket Profit]]/tbl_MTG_Set[[#This Row],[Collector Booster Cost]]</f>
        <v>#N/A</v>
      </c>
      <c r="BC489" s="10"/>
      <c r="BF4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89" s="11" t="e">
        <f>tbl_MTG_Set[[#This Row],[Play Singles CardMarket Profit MTG Stocks]]/tbl_MTG_Set[[#This Row],[Play Booster Cost]]</f>
        <v>#VALUE!</v>
      </c>
      <c r="BI489" s="11" t="b">
        <f>tbl_MTG_Set[[#This Row],[Play Singles CardMarket Profit MTG Stocks]]&gt;0</f>
        <v>0</v>
      </c>
      <c r="BM489" s="10" t="e">
        <f>tbl_MTG_Set[[#This Row],[Play Booster Sell Price CardMarket]]*tbl_MTG_Set[[#This Row],[Play Booster Expected Market Value BotBox]]/tbl_MTG_Set[[#This Row],[Play Booster Sealed Market Value BotBox]]</f>
        <v>#VALUE!</v>
      </c>
      <c r="BN4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89" s="10" t="e">
        <f>tbl_MTG_Set[[#This Row],[Play Singles CardMarket Profit BotBox]]/tbl_MTG_Set[[#This Row],[Play Booster Cost]]</f>
        <v>#VALUE!</v>
      </c>
      <c r="BP489" s="10" t="b">
        <f>tbl_MTG_Set[[#This Row],[Play Singles CardMarket Profit BotBox]]&gt;0</f>
        <v>0</v>
      </c>
      <c r="BQ489" s="10"/>
      <c r="BR489" s="10"/>
      <c r="BS489" s="10"/>
      <c r="BT4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89" s="19" t="e">
        <f>tbl_MTG_Set[[#This Row],[Collector Singles CardMarket Profit MTG Stocks]]/tbl_MTG_Set[[#This Row],[Collector Booster Cost]]</f>
        <v>#N/A</v>
      </c>
      <c r="BW489" s="10" t="b">
        <f>tbl_MTG_Set[[#This Row],[Collector Singles CardMarket Profit MTG Stocks]]&gt;0</f>
        <v>0</v>
      </c>
      <c r="BX489" s="10"/>
      <c r="BY489" s="10"/>
      <c r="BZ4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89" s="10" t="e">
        <f>tbl_MTG_Set[[#This Row],[Collector Singles CardMarket Profit BotBox]]/tbl_MTG_Set[[#This Row],[Collector Booster Cost]]</f>
        <v>#N/A</v>
      </c>
      <c r="CC489" s="10" t="b">
        <f>tbl_MTG_Set[[#This Row],[Collector Singles CardMarket Profit BotBox]]&gt;0</f>
        <v>0</v>
      </c>
      <c r="CD4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0" spans="1:86" hidden="1">
      <c r="A490">
        <v>521</v>
      </c>
      <c r="B490" t="s">
        <v>663</v>
      </c>
      <c r="C490">
        <v>309</v>
      </c>
      <c r="D490" s="3">
        <v>42972</v>
      </c>
      <c r="F490" t="s">
        <v>174</v>
      </c>
      <c r="G490">
        <v>988</v>
      </c>
      <c r="H490">
        <f ca="1">MONTH(NOW())+12*YEAR(NOW())-MONTH(tbl_MTG_Set[[#This Row],[Released On]])-12*YEAR(tbl_MTG_Set[[#This Row],[Released On]])</f>
        <v>103</v>
      </c>
      <c r="I490" t="str">
        <f>_xlfn.XLOOKUP(tbl_MTG_Set[[#This Row],[Type Name]], tbl_MTG_Set_Type[Set Type], tbl_MTG_Set_Type[Index], "(Set Type not found)")</f>
        <v>(Set Type not found)</v>
      </c>
      <c r="J490" t="str">
        <f>_xlfn.XLOOKUP(tbl_MTG_Set[[#This Row],[Type Name]], tbl_MTG_Set_Type[Set Type], tbl_MTG_Set_Type[Buy Window Month Start], "(Set Type not found)")</f>
        <v>(Set Type not found)</v>
      </c>
      <c r="K490" s="3" t="e">
        <f>tbl_MTG_Set[[#This Row],[Released On]]+tbl_MTG_Set[[#This Row],[Buy Window Month Start]]*365.25/12</f>
        <v>#VALUE!</v>
      </c>
      <c r="L490" t="str">
        <f>_xlfn.XLOOKUP(tbl_MTG_Set[[#This Row],[Type Name]], tbl_MTG_Set_Type[Set Type], tbl_MTG_Set_Type[Buy Window Month End], "(Set Type not found)", 0, 1)</f>
        <v>(Set Type not found)</v>
      </c>
      <c r="M490" s="3" t="e">
        <f>tbl_MTG_Set[[#This Row],[Released On]]+tbl_MTG_Set[[#This Row],[Buy Window Month End]]*365.25/12</f>
        <v>#VALUE!</v>
      </c>
      <c r="N490" s="3" t="e">
        <f ca="1">AND(NOW()&gt;=tbl_MTG_Set[[#This Row],[Buy Window Start]], NOW()&lt;=tbl_MTG_Set[[#This Row],[Buy Window End]])</f>
        <v>#VALUE!</v>
      </c>
      <c r="O490" t="str">
        <f>_xlfn.XLOOKUP(tbl_MTG_Set[[#This Row],[Type Name]], tbl_MTG_Set_Type[Set Type], tbl_MTG_Set_Type[Heavy Printing Window Month Start], "(Set Type not found)", 0, 1)</f>
        <v>(Set Type not found)</v>
      </c>
      <c r="P490" s="3" t="e">
        <f>tbl_MTG_Set[[#This Row],[Released On]]+tbl_MTG_Set[[#This Row],[Heavy Printing Window Month Start]]*365.25/12</f>
        <v>#VALUE!</v>
      </c>
      <c r="Q490" t="str">
        <f>_xlfn.XLOOKUP(tbl_MTG_Set[[#This Row],[Type Name]], tbl_MTG_Set_Type[Set Type], tbl_MTG_Set_Type[Heavy Printing Window Month End], "(Set Type not found)", 0, 1)</f>
        <v>(Set Type not found)</v>
      </c>
      <c r="R490" s="3" t="e">
        <f>tbl_MTG_Set[[#This Row],[Released On]]+tbl_MTG_Set[[#This Row],[Heavy Printing Window Month End]]*365.25/12</f>
        <v>#VALUE!</v>
      </c>
      <c r="S490" s="3" t="e">
        <f ca="1">AND(NOW()&gt;=tbl_MTG_Set[[#This Row],[Heavy Printing Window Start]], NOW()&lt;=tbl_MTG_Set[[#This Row],[Heavy Printing Window End]])</f>
        <v>#VALUE!</v>
      </c>
      <c r="T490" t="str">
        <f>_xlfn.XLOOKUP(tbl_MTG_Set[[#This Row],[Type Name]], tbl_MTG_Set_Type[Set Type], tbl_MTG_Set_Type[Sell Window Month Start], "(Set Type not found)", 0, 1)</f>
        <v>(Set Type not found)</v>
      </c>
      <c r="U490" s="3" t="e">
        <f>tbl_MTG_Set[[#This Row],[Released On]]+tbl_MTG_Set[[#This Row],[Sell Window Month Start]]*365.25/12</f>
        <v>#VALUE!</v>
      </c>
      <c r="V490" t="str">
        <f>_xlfn.XLOOKUP(tbl_MTG_Set[[#This Row],[Type Name]], tbl_MTG_Set_Type[Set Type], tbl_MTG_Set_Type[Sell Window Month End], "(Set Type not found)", 0, 1)</f>
        <v>(Set Type not found)</v>
      </c>
      <c r="W490" s="3" t="e">
        <f>tbl_MTG_Set[[#This Row],[Released On]]+tbl_MTG_Set[[#This Row],[Sell Window Month End]]*365.25/12</f>
        <v>#VALUE!</v>
      </c>
      <c r="X490" s="3" t="e">
        <f ca="1">AND(NOW()&gt;=tbl_MTG_Set[[#This Row],[Sell Window Start]], NOW()&lt;=tbl_MTG_Set[[#This Row],[Sell Window End]])</f>
        <v>#VALUE!</v>
      </c>
      <c r="AG490" s="10"/>
      <c r="AH490" s="10"/>
      <c r="AM490" s="10" t="str" cm="1">
        <f t="array" ref="AM4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0" s="10" t="str" cm="1">
        <f t="array" ref="AN4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0" s="4" t="e">
        <f>_xlfn.XLOOKUP(tbl_MTG_Set[[#This Row],[Play Booster Box Product Id]], tbl_Product[Product Id], tbl_Product[Pack Size])</f>
        <v>#N/A</v>
      </c>
      <c r="AP490" s="10" t="e">
        <f>(tbl_MTG_Set[[#This Row],[Play Booster Box Cost]]+v_Item_Shipping_Cost_In)/tbl_MTG_Set[[#This Row],[Play Booster Box Size]]</f>
        <v>#VALUE!</v>
      </c>
      <c r="AQ490" s="10" t="str" cm="1">
        <f t="array" ref="AQ4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0" s="10"/>
      <c r="AS490" s="10"/>
      <c r="AT490" s="17" t="e">
        <f>tbl_MTG_Set[[#This Row],[Play Booster CardMarket Profit]]/tbl_MTG_Set[[#This Row],[Play Booster Cost]]</f>
        <v>#VALUE!</v>
      </c>
      <c r="AU490" s="10" t="e">
        <f>_xlfn.XLOOKUP(tbl_MTG_Set[[#This Row],[Collector Booster Box Product Id]], tbl_Product[Product Id], tbl_Product[Min Cost])</f>
        <v>#N/A</v>
      </c>
      <c r="AV490" s="10" t="e">
        <f>_xlfn.XLOOKUP(tbl_MTG_Set[[#This Row],[Collector Booster Box Product Id]], tbl_Product[Product Id], tbl_Product[Best Source])</f>
        <v>#N/A</v>
      </c>
      <c r="AW490" s="4" t="e">
        <f>_xlfn.XLOOKUP(tbl_MTG_Set[[#This Row],[Collector Booster Box Product Id]], tbl_Product[Product Id], tbl_Product[Pack Size])</f>
        <v>#N/A</v>
      </c>
      <c r="AX490" s="10" t="e">
        <f>(tbl_MTG_Set[[#This Row],[Collector Booster Box Cost]] + v_Item_Shipping_Cost_In) / tbl_MTG_Set[[#This Row],[Collector Booster Box Size]]</f>
        <v>#N/A</v>
      </c>
      <c r="AY490" s="10" t="str" cm="1">
        <f t="array" ref="AY4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0" s="10"/>
      <c r="BA4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0" s="17" t="e">
        <f>tbl_MTG_Set[[#This Row],[Collector Booster CardMarket Profit]]/tbl_MTG_Set[[#This Row],[Collector Booster Cost]]</f>
        <v>#N/A</v>
      </c>
      <c r="BC490" s="10"/>
      <c r="BF4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0" s="11" t="e">
        <f>tbl_MTG_Set[[#This Row],[Play Singles CardMarket Profit MTG Stocks]]/tbl_MTG_Set[[#This Row],[Play Booster Cost]]</f>
        <v>#VALUE!</v>
      </c>
      <c r="BI490" s="11" t="b">
        <f>tbl_MTG_Set[[#This Row],[Play Singles CardMarket Profit MTG Stocks]]&gt;0</f>
        <v>0</v>
      </c>
      <c r="BM490" s="10" t="e">
        <f>tbl_MTG_Set[[#This Row],[Play Booster Sell Price CardMarket]]*tbl_MTG_Set[[#This Row],[Play Booster Expected Market Value BotBox]]/tbl_MTG_Set[[#This Row],[Play Booster Sealed Market Value BotBox]]</f>
        <v>#VALUE!</v>
      </c>
      <c r="BN4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0" s="10" t="e">
        <f>tbl_MTG_Set[[#This Row],[Play Singles CardMarket Profit BotBox]]/tbl_MTG_Set[[#This Row],[Play Booster Cost]]</f>
        <v>#VALUE!</v>
      </c>
      <c r="BP490" s="10" t="b">
        <f>tbl_MTG_Set[[#This Row],[Play Singles CardMarket Profit BotBox]]&gt;0</f>
        <v>0</v>
      </c>
      <c r="BQ490" s="10"/>
      <c r="BR490" s="10"/>
      <c r="BS490" s="10"/>
      <c r="BT4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0" s="19" t="e">
        <f>tbl_MTG_Set[[#This Row],[Collector Singles CardMarket Profit MTG Stocks]]/tbl_MTG_Set[[#This Row],[Collector Booster Cost]]</f>
        <v>#N/A</v>
      </c>
      <c r="BW490" s="10" t="b">
        <f>tbl_MTG_Set[[#This Row],[Collector Singles CardMarket Profit MTG Stocks]]&gt;0</f>
        <v>0</v>
      </c>
      <c r="BX490" s="10"/>
      <c r="BY490" s="10"/>
      <c r="BZ4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0" s="10" t="e">
        <f>tbl_MTG_Set[[#This Row],[Collector Singles CardMarket Profit BotBox]]/tbl_MTG_Set[[#This Row],[Collector Booster Cost]]</f>
        <v>#N/A</v>
      </c>
      <c r="CC490" s="10" t="b">
        <f>tbl_MTG_Set[[#This Row],[Collector Singles CardMarket Profit BotBox]]&gt;0</f>
        <v>0</v>
      </c>
      <c r="CD4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1" spans="1:86" hidden="1">
      <c r="A491">
        <v>522</v>
      </c>
      <c r="B491" t="s">
        <v>664</v>
      </c>
      <c r="C491">
        <v>11</v>
      </c>
      <c r="D491" s="3">
        <v>42972</v>
      </c>
      <c r="F491" t="s">
        <v>174</v>
      </c>
      <c r="G491">
        <v>990</v>
      </c>
      <c r="H491">
        <f ca="1">MONTH(NOW())+12*YEAR(NOW())-MONTH(tbl_MTG_Set[[#This Row],[Released On]])-12*YEAR(tbl_MTG_Set[[#This Row],[Released On]])</f>
        <v>103</v>
      </c>
      <c r="I491" t="str">
        <f>_xlfn.XLOOKUP(tbl_MTG_Set[[#This Row],[Type Name]], tbl_MTG_Set_Type[Set Type], tbl_MTG_Set_Type[Index], "(Set Type not found)")</f>
        <v>(Set Type not found)</v>
      </c>
      <c r="J491" t="str">
        <f>_xlfn.XLOOKUP(tbl_MTG_Set[[#This Row],[Type Name]], tbl_MTG_Set_Type[Set Type], tbl_MTG_Set_Type[Buy Window Month Start], "(Set Type not found)")</f>
        <v>(Set Type not found)</v>
      </c>
      <c r="K491" s="3" t="e">
        <f>tbl_MTG_Set[[#This Row],[Released On]]+tbl_MTG_Set[[#This Row],[Buy Window Month Start]]*365.25/12</f>
        <v>#VALUE!</v>
      </c>
      <c r="L491" t="str">
        <f>_xlfn.XLOOKUP(tbl_MTG_Set[[#This Row],[Type Name]], tbl_MTG_Set_Type[Set Type], tbl_MTG_Set_Type[Buy Window Month End], "(Set Type not found)", 0, 1)</f>
        <v>(Set Type not found)</v>
      </c>
      <c r="M491" s="3" t="e">
        <f>tbl_MTG_Set[[#This Row],[Released On]]+tbl_MTG_Set[[#This Row],[Buy Window Month End]]*365.25/12</f>
        <v>#VALUE!</v>
      </c>
      <c r="N491" s="3" t="e">
        <f ca="1">AND(NOW()&gt;=tbl_MTG_Set[[#This Row],[Buy Window Start]], NOW()&lt;=tbl_MTG_Set[[#This Row],[Buy Window End]])</f>
        <v>#VALUE!</v>
      </c>
      <c r="O491" t="str">
        <f>_xlfn.XLOOKUP(tbl_MTG_Set[[#This Row],[Type Name]], tbl_MTG_Set_Type[Set Type], tbl_MTG_Set_Type[Heavy Printing Window Month Start], "(Set Type not found)", 0, 1)</f>
        <v>(Set Type not found)</v>
      </c>
      <c r="P491" s="3" t="e">
        <f>tbl_MTG_Set[[#This Row],[Released On]]+tbl_MTG_Set[[#This Row],[Heavy Printing Window Month Start]]*365.25/12</f>
        <v>#VALUE!</v>
      </c>
      <c r="Q491" t="str">
        <f>_xlfn.XLOOKUP(tbl_MTG_Set[[#This Row],[Type Name]], tbl_MTG_Set_Type[Set Type], tbl_MTG_Set_Type[Heavy Printing Window Month End], "(Set Type not found)", 0, 1)</f>
        <v>(Set Type not found)</v>
      </c>
      <c r="R491" s="3" t="e">
        <f>tbl_MTG_Set[[#This Row],[Released On]]+tbl_MTG_Set[[#This Row],[Heavy Printing Window Month End]]*365.25/12</f>
        <v>#VALUE!</v>
      </c>
      <c r="S491" s="3" t="e">
        <f ca="1">AND(NOW()&gt;=tbl_MTG_Set[[#This Row],[Heavy Printing Window Start]], NOW()&lt;=tbl_MTG_Set[[#This Row],[Heavy Printing Window End]])</f>
        <v>#VALUE!</v>
      </c>
      <c r="T491" t="str">
        <f>_xlfn.XLOOKUP(tbl_MTG_Set[[#This Row],[Type Name]], tbl_MTG_Set_Type[Set Type], tbl_MTG_Set_Type[Sell Window Month Start], "(Set Type not found)", 0, 1)</f>
        <v>(Set Type not found)</v>
      </c>
      <c r="U491" s="3" t="e">
        <f>tbl_MTG_Set[[#This Row],[Released On]]+tbl_MTG_Set[[#This Row],[Sell Window Month Start]]*365.25/12</f>
        <v>#VALUE!</v>
      </c>
      <c r="V491" t="str">
        <f>_xlfn.XLOOKUP(tbl_MTG_Set[[#This Row],[Type Name]], tbl_MTG_Set_Type[Set Type], tbl_MTG_Set_Type[Sell Window Month End], "(Set Type not found)", 0, 1)</f>
        <v>(Set Type not found)</v>
      </c>
      <c r="W491" s="3" t="e">
        <f>tbl_MTG_Set[[#This Row],[Released On]]+tbl_MTG_Set[[#This Row],[Sell Window Month End]]*365.25/12</f>
        <v>#VALUE!</v>
      </c>
      <c r="X491" s="3" t="e">
        <f ca="1">AND(NOW()&gt;=tbl_MTG_Set[[#This Row],[Sell Window Start]], NOW()&lt;=tbl_MTG_Set[[#This Row],[Sell Window End]])</f>
        <v>#VALUE!</v>
      </c>
      <c r="AG491" s="10"/>
      <c r="AH491" s="10"/>
      <c r="AM491" s="10" t="str" cm="1">
        <f t="array" ref="AM4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1" s="10" t="str" cm="1">
        <f t="array" ref="AN4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1" s="4" t="e">
        <f>_xlfn.XLOOKUP(tbl_MTG_Set[[#This Row],[Play Booster Box Product Id]], tbl_Product[Product Id], tbl_Product[Pack Size])</f>
        <v>#N/A</v>
      </c>
      <c r="AP491" s="10" t="e">
        <f>(tbl_MTG_Set[[#This Row],[Play Booster Box Cost]]+v_Item_Shipping_Cost_In)/tbl_MTG_Set[[#This Row],[Play Booster Box Size]]</f>
        <v>#VALUE!</v>
      </c>
      <c r="AQ491" s="10" t="str" cm="1">
        <f t="array" ref="AQ4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1" s="10"/>
      <c r="AS491" s="10"/>
      <c r="AT491" s="17" t="e">
        <f>tbl_MTG_Set[[#This Row],[Play Booster CardMarket Profit]]/tbl_MTG_Set[[#This Row],[Play Booster Cost]]</f>
        <v>#VALUE!</v>
      </c>
      <c r="AU491" s="10" t="e">
        <f>_xlfn.XLOOKUP(tbl_MTG_Set[[#This Row],[Collector Booster Box Product Id]], tbl_Product[Product Id], tbl_Product[Min Cost])</f>
        <v>#N/A</v>
      </c>
      <c r="AV491" s="10" t="e">
        <f>_xlfn.XLOOKUP(tbl_MTG_Set[[#This Row],[Collector Booster Box Product Id]], tbl_Product[Product Id], tbl_Product[Best Source])</f>
        <v>#N/A</v>
      </c>
      <c r="AW491" s="4" t="e">
        <f>_xlfn.XLOOKUP(tbl_MTG_Set[[#This Row],[Collector Booster Box Product Id]], tbl_Product[Product Id], tbl_Product[Pack Size])</f>
        <v>#N/A</v>
      </c>
      <c r="AX491" s="10" t="e">
        <f>(tbl_MTG_Set[[#This Row],[Collector Booster Box Cost]] + v_Item_Shipping_Cost_In) / tbl_MTG_Set[[#This Row],[Collector Booster Box Size]]</f>
        <v>#N/A</v>
      </c>
      <c r="AY491" s="10" t="str" cm="1">
        <f t="array" ref="AY4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1" s="10"/>
      <c r="BA4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1" s="17" t="e">
        <f>tbl_MTG_Set[[#This Row],[Collector Booster CardMarket Profit]]/tbl_MTG_Set[[#This Row],[Collector Booster Cost]]</f>
        <v>#N/A</v>
      </c>
      <c r="BC491" s="10"/>
      <c r="BF4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1" s="11" t="e">
        <f>tbl_MTG_Set[[#This Row],[Play Singles CardMarket Profit MTG Stocks]]/tbl_MTG_Set[[#This Row],[Play Booster Cost]]</f>
        <v>#VALUE!</v>
      </c>
      <c r="BI491" s="11" t="b">
        <f>tbl_MTG_Set[[#This Row],[Play Singles CardMarket Profit MTG Stocks]]&gt;0</f>
        <v>0</v>
      </c>
      <c r="BM491" s="10" t="e">
        <f>tbl_MTG_Set[[#This Row],[Play Booster Sell Price CardMarket]]*tbl_MTG_Set[[#This Row],[Play Booster Expected Market Value BotBox]]/tbl_MTG_Set[[#This Row],[Play Booster Sealed Market Value BotBox]]</f>
        <v>#VALUE!</v>
      </c>
      <c r="BN4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1" s="10" t="e">
        <f>tbl_MTG_Set[[#This Row],[Play Singles CardMarket Profit BotBox]]/tbl_MTG_Set[[#This Row],[Play Booster Cost]]</f>
        <v>#VALUE!</v>
      </c>
      <c r="BP491" s="10" t="b">
        <f>tbl_MTG_Set[[#This Row],[Play Singles CardMarket Profit BotBox]]&gt;0</f>
        <v>0</v>
      </c>
      <c r="BQ491" s="10"/>
      <c r="BR491" s="10"/>
      <c r="BS491" s="10"/>
      <c r="BT4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1" s="19" t="e">
        <f>tbl_MTG_Set[[#This Row],[Collector Singles CardMarket Profit MTG Stocks]]/tbl_MTG_Set[[#This Row],[Collector Booster Cost]]</f>
        <v>#N/A</v>
      </c>
      <c r="BW491" s="10" t="b">
        <f>tbl_MTG_Set[[#This Row],[Collector Singles CardMarket Profit MTG Stocks]]&gt;0</f>
        <v>0</v>
      </c>
      <c r="BX491" s="10"/>
      <c r="BY491" s="10"/>
      <c r="BZ4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1" s="10" t="e">
        <f>tbl_MTG_Set[[#This Row],[Collector Singles CardMarket Profit BotBox]]/tbl_MTG_Set[[#This Row],[Collector Booster Cost]]</f>
        <v>#N/A</v>
      </c>
      <c r="CC491" s="10" t="b">
        <f>tbl_MTG_Set[[#This Row],[Collector Singles CardMarket Profit BotBox]]&gt;0</f>
        <v>0</v>
      </c>
      <c r="CD4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2" spans="1:86" hidden="1">
      <c r="A492">
        <v>523</v>
      </c>
      <c r="B492" t="s">
        <v>665</v>
      </c>
      <c r="C492">
        <v>4</v>
      </c>
      <c r="D492" s="3">
        <v>42972</v>
      </c>
      <c r="F492" t="s">
        <v>174</v>
      </c>
      <c r="G492">
        <v>992</v>
      </c>
      <c r="H492">
        <f ca="1">MONTH(NOW())+12*YEAR(NOW())-MONTH(tbl_MTG_Set[[#This Row],[Released On]])-12*YEAR(tbl_MTG_Set[[#This Row],[Released On]])</f>
        <v>103</v>
      </c>
      <c r="I492" t="str">
        <f>_xlfn.XLOOKUP(tbl_MTG_Set[[#This Row],[Type Name]], tbl_MTG_Set_Type[Set Type], tbl_MTG_Set_Type[Index], "(Set Type not found)")</f>
        <v>(Set Type not found)</v>
      </c>
      <c r="J492" t="str">
        <f>_xlfn.XLOOKUP(tbl_MTG_Set[[#This Row],[Type Name]], tbl_MTG_Set_Type[Set Type], tbl_MTG_Set_Type[Buy Window Month Start], "(Set Type not found)")</f>
        <v>(Set Type not found)</v>
      </c>
      <c r="K492" s="3" t="e">
        <f>tbl_MTG_Set[[#This Row],[Released On]]+tbl_MTG_Set[[#This Row],[Buy Window Month Start]]*365.25/12</f>
        <v>#VALUE!</v>
      </c>
      <c r="L492" t="str">
        <f>_xlfn.XLOOKUP(tbl_MTG_Set[[#This Row],[Type Name]], tbl_MTG_Set_Type[Set Type], tbl_MTG_Set_Type[Buy Window Month End], "(Set Type not found)", 0, 1)</f>
        <v>(Set Type not found)</v>
      </c>
      <c r="M492" s="3" t="e">
        <f>tbl_MTG_Set[[#This Row],[Released On]]+tbl_MTG_Set[[#This Row],[Buy Window Month End]]*365.25/12</f>
        <v>#VALUE!</v>
      </c>
      <c r="N492" s="3" t="e">
        <f ca="1">AND(NOW()&gt;=tbl_MTG_Set[[#This Row],[Buy Window Start]], NOW()&lt;=tbl_MTG_Set[[#This Row],[Buy Window End]])</f>
        <v>#VALUE!</v>
      </c>
      <c r="O492" t="str">
        <f>_xlfn.XLOOKUP(tbl_MTG_Set[[#This Row],[Type Name]], tbl_MTG_Set_Type[Set Type], tbl_MTG_Set_Type[Heavy Printing Window Month Start], "(Set Type not found)", 0, 1)</f>
        <v>(Set Type not found)</v>
      </c>
      <c r="P492" s="3" t="e">
        <f>tbl_MTG_Set[[#This Row],[Released On]]+tbl_MTG_Set[[#This Row],[Heavy Printing Window Month Start]]*365.25/12</f>
        <v>#VALUE!</v>
      </c>
      <c r="Q492" t="str">
        <f>_xlfn.XLOOKUP(tbl_MTG_Set[[#This Row],[Type Name]], tbl_MTG_Set_Type[Set Type], tbl_MTG_Set_Type[Heavy Printing Window Month End], "(Set Type not found)", 0, 1)</f>
        <v>(Set Type not found)</v>
      </c>
      <c r="R492" s="3" t="e">
        <f>tbl_MTG_Set[[#This Row],[Released On]]+tbl_MTG_Set[[#This Row],[Heavy Printing Window Month End]]*365.25/12</f>
        <v>#VALUE!</v>
      </c>
      <c r="S492" s="3" t="e">
        <f ca="1">AND(NOW()&gt;=tbl_MTG_Set[[#This Row],[Heavy Printing Window Start]], NOW()&lt;=tbl_MTG_Set[[#This Row],[Heavy Printing Window End]])</f>
        <v>#VALUE!</v>
      </c>
      <c r="T492" t="str">
        <f>_xlfn.XLOOKUP(tbl_MTG_Set[[#This Row],[Type Name]], tbl_MTG_Set_Type[Set Type], tbl_MTG_Set_Type[Sell Window Month Start], "(Set Type not found)", 0, 1)</f>
        <v>(Set Type not found)</v>
      </c>
      <c r="U492" s="3" t="e">
        <f>tbl_MTG_Set[[#This Row],[Released On]]+tbl_MTG_Set[[#This Row],[Sell Window Month Start]]*365.25/12</f>
        <v>#VALUE!</v>
      </c>
      <c r="V492" t="str">
        <f>_xlfn.XLOOKUP(tbl_MTG_Set[[#This Row],[Type Name]], tbl_MTG_Set_Type[Set Type], tbl_MTG_Set_Type[Sell Window Month End], "(Set Type not found)", 0, 1)</f>
        <v>(Set Type not found)</v>
      </c>
      <c r="W492" s="3" t="e">
        <f>tbl_MTG_Set[[#This Row],[Released On]]+tbl_MTG_Set[[#This Row],[Sell Window Month End]]*365.25/12</f>
        <v>#VALUE!</v>
      </c>
      <c r="X492" s="3" t="e">
        <f ca="1">AND(NOW()&gt;=tbl_MTG_Set[[#This Row],[Sell Window Start]], NOW()&lt;=tbl_MTG_Set[[#This Row],[Sell Window End]])</f>
        <v>#VALUE!</v>
      </c>
      <c r="AG492" s="10"/>
      <c r="AH492" s="10"/>
      <c r="AM492" s="10" t="str" cm="1">
        <f t="array" ref="AM4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2" s="10" t="str" cm="1">
        <f t="array" ref="AN4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2" s="4" t="e">
        <f>_xlfn.XLOOKUP(tbl_MTG_Set[[#This Row],[Play Booster Box Product Id]], tbl_Product[Product Id], tbl_Product[Pack Size])</f>
        <v>#N/A</v>
      </c>
      <c r="AP492" s="10" t="e">
        <f>(tbl_MTG_Set[[#This Row],[Play Booster Box Cost]]+v_Item_Shipping_Cost_In)/tbl_MTG_Set[[#This Row],[Play Booster Box Size]]</f>
        <v>#VALUE!</v>
      </c>
      <c r="AQ492" s="10" t="str" cm="1">
        <f t="array" ref="AQ4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2" s="10"/>
      <c r="AS492" s="10"/>
      <c r="AT492" s="17" t="e">
        <f>tbl_MTG_Set[[#This Row],[Play Booster CardMarket Profit]]/tbl_MTG_Set[[#This Row],[Play Booster Cost]]</f>
        <v>#VALUE!</v>
      </c>
      <c r="AU492" s="10" t="e">
        <f>_xlfn.XLOOKUP(tbl_MTG_Set[[#This Row],[Collector Booster Box Product Id]], tbl_Product[Product Id], tbl_Product[Min Cost])</f>
        <v>#N/A</v>
      </c>
      <c r="AV492" s="10" t="e">
        <f>_xlfn.XLOOKUP(tbl_MTG_Set[[#This Row],[Collector Booster Box Product Id]], tbl_Product[Product Id], tbl_Product[Best Source])</f>
        <v>#N/A</v>
      </c>
      <c r="AW492" s="4" t="e">
        <f>_xlfn.XLOOKUP(tbl_MTG_Set[[#This Row],[Collector Booster Box Product Id]], tbl_Product[Product Id], tbl_Product[Pack Size])</f>
        <v>#N/A</v>
      </c>
      <c r="AX492" s="10" t="e">
        <f>(tbl_MTG_Set[[#This Row],[Collector Booster Box Cost]] + v_Item_Shipping_Cost_In) / tbl_MTG_Set[[#This Row],[Collector Booster Box Size]]</f>
        <v>#N/A</v>
      </c>
      <c r="AY492" s="10" t="str" cm="1">
        <f t="array" ref="AY4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2" s="10"/>
      <c r="BA4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2" s="17" t="e">
        <f>tbl_MTG_Set[[#This Row],[Collector Booster CardMarket Profit]]/tbl_MTG_Set[[#This Row],[Collector Booster Cost]]</f>
        <v>#N/A</v>
      </c>
      <c r="BC492" s="10"/>
      <c r="BF4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2" s="11" t="e">
        <f>tbl_MTG_Set[[#This Row],[Play Singles CardMarket Profit MTG Stocks]]/tbl_MTG_Set[[#This Row],[Play Booster Cost]]</f>
        <v>#VALUE!</v>
      </c>
      <c r="BI492" s="11" t="b">
        <f>tbl_MTG_Set[[#This Row],[Play Singles CardMarket Profit MTG Stocks]]&gt;0</f>
        <v>0</v>
      </c>
      <c r="BM492" s="10" t="e">
        <f>tbl_MTG_Set[[#This Row],[Play Booster Sell Price CardMarket]]*tbl_MTG_Set[[#This Row],[Play Booster Expected Market Value BotBox]]/tbl_MTG_Set[[#This Row],[Play Booster Sealed Market Value BotBox]]</f>
        <v>#VALUE!</v>
      </c>
      <c r="BN4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2" s="10" t="e">
        <f>tbl_MTG_Set[[#This Row],[Play Singles CardMarket Profit BotBox]]/tbl_MTG_Set[[#This Row],[Play Booster Cost]]</f>
        <v>#VALUE!</v>
      </c>
      <c r="BP492" s="10" t="b">
        <f>tbl_MTG_Set[[#This Row],[Play Singles CardMarket Profit BotBox]]&gt;0</f>
        <v>0</v>
      </c>
      <c r="BQ492" s="10"/>
      <c r="BR492" s="10"/>
      <c r="BS492" s="10"/>
      <c r="BT4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2" s="19" t="e">
        <f>tbl_MTG_Set[[#This Row],[Collector Singles CardMarket Profit MTG Stocks]]/tbl_MTG_Set[[#This Row],[Collector Booster Cost]]</f>
        <v>#N/A</v>
      </c>
      <c r="BW492" s="10" t="b">
        <f>tbl_MTG_Set[[#This Row],[Collector Singles CardMarket Profit MTG Stocks]]&gt;0</f>
        <v>0</v>
      </c>
      <c r="BX492" s="10"/>
      <c r="BY492" s="10"/>
      <c r="BZ4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2" s="10" t="e">
        <f>tbl_MTG_Set[[#This Row],[Collector Singles CardMarket Profit BotBox]]/tbl_MTG_Set[[#This Row],[Collector Booster Cost]]</f>
        <v>#N/A</v>
      </c>
      <c r="CC492" s="10" t="b">
        <f>tbl_MTG_Set[[#This Row],[Collector Singles CardMarket Profit BotBox]]&gt;0</f>
        <v>0</v>
      </c>
      <c r="CD4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3" spans="1:86" hidden="1">
      <c r="A493">
        <v>524</v>
      </c>
      <c r="B493" t="s">
        <v>666</v>
      </c>
      <c r="C493">
        <v>6</v>
      </c>
      <c r="D493" s="3">
        <v>42936</v>
      </c>
      <c r="F493" t="s">
        <v>174</v>
      </c>
      <c r="G493">
        <v>994</v>
      </c>
      <c r="H493">
        <f ca="1">MONTH(NOW())+12*YEAR(NOW())-MONTH(tbl_MTG_Set[[#This Row],[Released On]])-12*YEAR(tbl_MTG_Set[[#This Row],[Released On]])</f>
        <v>104</v>
      </c>
      <c r="I493" t="str">
        <f>_xlfn.XLOOKUP(tbl_MTG_Set[[#This Row],[Type Name]], tbl_MTG_Set_Type[Set Type], tbl_MTG_Set_Type[Index], "(Set Type not found)")</f>
        <v>(Set Type not found)</v>
      </c>
      <c r="J493" t="str">
        <f>_xlfn.XLOOKUP(tbl_MTG_Set[[#This Row],[Type Name]], tbl_MTG_Set_Type[Set Type], tbl_MTG_Set_Type[Buy Window Month Start], "(Set Type not found)")</f>
        <v>(Set Type not found)</v>
      </c>
      <c r="K493" s="3" t="e">
        <f>tbl_MTG_Set[[#This Row],[Released On]]+tbl_MTG_Set[[#This Row],[Buy Window Month Start]]*365.25/12</f>
        <v>#VALUE!</v>
      </c>
      <c r="L493" t="str">
        <f>_xlfn.XLOOKUP(tbl_MTG_Set[[#This Row],[Type Name]], tbl_MTG_Set_Type[Set Type], tbl_MTG_Set_Type[Buy Window Month End], "(Set Type not found)", 0, 1)</f>
        <v>(Set Type not found)</v>
      </c>
      <c r="M493" s="3" t="e">
        <f>tbl_MTG_Set[[#This Row],[Released On]]+tbl_MTG_Set[[#This Row],[Buy Window Month End]]*365.25/12</f>
        <v>#VALUE!</v>
      </c>
      <c r="N493" s="3" t="e">
        <f ca="1">AND(NOW()&gt;=tbl_MTG_Set[[#This Row],[Buy Window Start]], NOW()&lt;=tbl_MTG_Set[[#This Row],[Buy Window End]])</f>
        <v>#VALUE!</v>
      </c>
      <c r="O493" t="str">
        <f>_xlfn.XLOOKUP(tbl_MTG_Set[[#This Row],[Type Name]], tbl_MTG_Set_Type[Set Type], tbl_MTG_Set_Type[Heavy Printing Window Month Start], "(Set Type not found)", 0, 1)</f>
        <v>(Set Type not found)</v>
      </c>
      <c r="P493" s="3" t="e">
        <f>tbl_MTG_Set[[#This Row],[Released On]]+tbl_MTG_Set[[#This Row],[Heavy Printing Window Month Start]]*365.25/12</f>
        <v>#VALUE!</v>
      </c>
      <c r="Q493" t="str">
        <f>_xlfn.XLOOKUP(tbl_MTG_Set[[#This Row],[Type Name]], tbl_MTG_Set_Type[Set Type], tbl_MTG_Set_Type[Heavy Printing Window Month End], "(Set Type not found)", 0, 1)</f>
        <v>(Set Type not found)</v>
      </c>
      <c r="R493" s="3" t="e">
        <f>tbl_MTG_Set[[#This Row],[Released On]]+tbl_MTG_Set[[#This Row],[Heavy Printing Window Month End]]*365.25/12</f>
        <v>#VALUE!</v>
      </c>
      <c r="S493" s="3" t="e">
        <f ca="1">AND(NOW()&gt;=tbl_MTG_Set[[#This Row],[Heavy Printing Window Start]], NOW()&lt;=tbl_MTG_Set[[#This Row],[Heavy Printing Window End]])</f>
        <v>#VALUE!</v>
      </c>
      <c r="T493" t="str">
        <f>_xlfn.XLOOKUP(tbl_MTG_Set[[#This Row],[Type Name]], tbl_MTG_Set_Type[Set Type], tbl_MTG_Set_Type[Sell Window Month Start], "(Set Type not found)", 0, 1)</f>
        <v>(Set Type not found)</v>
      </c>
      <c r="U493" s="3" t="e">
        <f>tbl_MTG_Set[[#This Row],[Released On]]+tbl_MTG_Set[[#This Row],[Sell Window Month Start]]*365.25/12</f>
        <v>#VALUE!</v>
      </c>
      <c r="V493" t="str">
        <f>_xlfn.XLOOKUP(tbl_MTG_Set[[#This Row],[Type Name]], tbl_MTG_Set_Type[Set Type], tbl_MTG_Set_Type[Sell Window Month End], "(Set Type not found)", 0, 1)</f>
        <v>(Set Type not found)</v>
      </c>
      <c r="W493" s="3" t="e">
        <f>tbl_MTG_Set[[#This Row],[Released On]]+tbl_MTG_Set[[#This Row],[Sell Window Month End]]*365.25/12</f>
        <v>#VALUE!</v>
      </c>
      <c r="X493" s="3" t="e">
        <f ca="1">AND(NOW()&gt;=tbl_MTG_Set[[#This Row],[Sell Window Start]], NOW()&lt;=tbl_MTG_Set[[#This Row],[Sell Window End]])</f>
        <v>#VALUE!</v>
      </c>
      <c r="AG493" s="10"/>
      <c r="AH493" s="10"/>
      <c r="AM493" s="10" t="str" cm="1">
        <f t="array" ref="AM4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3" s="10" t="str" cm="1">
        <f t="array" ref="AN4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3" s="4" t="e">
        <f>_xlfn.XLOOKUP(tbl_MTG_Set[[#This Row],[Play Booster Box Product Id]], tbl_Product[Product Id], tbl_Product[Pack Size])</f>
        <v>#N/A</v>
      </c>
      <c r="AP493" s="10" t="e">
        <f>(tbl_MTG_Set[[#This Row],[Play Booster Box Cost]]+v_Item_Shipping_Cost_In)/tbl_MTG_Set[[#This Row],[Play Booster Box Size]]</f>
        <v>#VALUE!</v>
      </c>
      <c r="AQ493" s="10" t="str" cm="1">
        <f t="array" ref="AQ4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3" s="10"/>
      <c r="AS493" s="10"/>
      <c r="AT493" s="17" t="e">
        <f>tbl_MTG_Set[[#This Row],[Play Booster CardMarket Profit]]/tbl_MTG_Set[[#This Row],[Play Booster Cost]]</f>
        <v>#VALUE!</v>
      </c>
      <c r="AU493" s="10" t="e">
        <f>_xlfn.XLOOKUP(tbl_MTG_Set[[#This Row],[Collector Booster Box Product Id]], tbl_Product[Product Id], tbl_Product[Min Cost])</f>
        <v>#N/A</v>
      </c>
      <c r="AV493" s="10" t="e">
        <f>_xlfn.XLOOKUP(tbl_MTG_Set[[#This Row],[Collector Booster Box Product Id]], tbl_Product[Product Id], tbl_Product[Best Source])</f>
        <v>#N/A</v>
      </c>
      <c r="AW493" s="4" t="e">
        <f>_xlfn.XLOOKUP(tbl_MTG_Set[[#This Row],[Collector Booster Box Product Id]], tbl_Product[Product Id], tbl_Product[Pack Size])</f>
        <v>#N/A</v>
      </c>
      <c r="AX493" s="10" t="e">
        <f>(tbl_MTG_Set[[#This Row],[Collector Booster Box Cost]] + v_Item_Shipping_Cost_In) / tbl_MTG_Set[[#This Row],[Collector Booster Box Size]]</f>
        <v>#N/A</v>
      </c>
      <c r="AY493" s="10" t="str" cm="1">
        <f t="array" ref="AY4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3" s="10"/>
      <c r="BA4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3" s="17" t="e">
        <f>tbl_MTG_Set[[#This Row],[Collector Booster CardMarket Profit]]/tbl_MTG_Set[[#This Row],[Collector Booster Cost]]</f>
        <v>#N/A</v>
      </c>
      <c r="BC493" s="10"/>
      <c r="BF4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3" s="11" t="e">
        <f>tbl_MTG_Set[[#This Row],[Play Singles CardMarket Profit MTG Stocks]]/tbl_MTG_Set[[#This Row],[Play Booster Cost]]</f>
        <v>#VALUE!</v>
      </c>
      <c r="BI493" s="11" t="b">
        <f>tbl_MTG_Set[[#This Row],[Play Singles CardMarket Profit MTG Stocks]]&gt;0</f>
        <v>0</v>
      </c>
      <c r="BM493" s="10" t="e">
        <f>tbl_MTG_Set[[#This Row],[Play Booster Sell Price CardMarket]]*tbl_MTG_Set[[#This Row],[Play Booster Expected Market Value BotBox]]/tbl_MTG_Set[[#This Row],[Play Booster Sealed Market Value BotBox]]</f>
        <v>#VALUE!</v>
      </c>
      <c r="BN4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3" s="10" t="e">
        <f>tbl_MTG_Set[[#This Row],[Play Singles CardMarket Profit BotBox]]/tbl_MTG_Set[[#This Row],[Play Booster Cost]]</f>
        <v>#VALUE!</v>
      </c>
      <c r="BP493" s="10" t="b">
        <f>tbl_MTG_Set[[#This Row],[Play Singles CardMarket Profit BotBox]]&gt;0</f>
        <v>0</v>
      </c>
      <c r="BQ493" s="10"/>
      <c r="BR493" s="10"/>
      <c r="BS493" s="10"/>
      <c r="BT4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3" s="19" t="e">
        <f>tbl_MTG_Set[[#This Row],[Collector Singles CardMarket Profit MTG Stocks]]/tbl_MTG_Set[[#This Row],[Collector Booster Cost]]</f>
        <v>#N/A</v>
      </c>
      <c r="BW493" s="10" t="b">
        <f>tbl_MTG_Set[[#This Row],[Collector Singles CardMarket Profit MTG Stocks]]&gt;0</f>
        <v>0</v>
      </c>
      <c r="BX493" s="10"/>
      <c r="BY493" s="10"/>
      <c r="BZ4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3" s="10" t="e">
        <f>tbl_MTG_Set[[#This Row],[Collector Singles CardMarket Profit BotBox]]/tbl_MTG_Set[[#This Row],[Collector Booster Cost]]</f>
        <v>#N/A</v>
      </c>
      <c r="CC493" s="10" t="b">
        <f>tbl_MTG_Set[[#This Row],[Collector Singles CardMarket Profit BotBox]]&gt;0</f>
        <v>0</v>
      </c>
      <c r="CD4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4" spans="1:86" hidden="1">
      <c r="A494">
        <v>525</v>
      </c>
      <c r="B494" t="s">
        <v>667</v>
      </c>
      <c r="C494">
        <v>209</v>
      </c>
      <c r="D494" s="3">
        <v>42930</v>
      </c>
      <c r="F494" t="s">
        <v>174</v>
      </c>
      <c r="G494">
        <v>996</v>
      </c>
      <c r="H494">
        <f ca="1">MONTH(NOW())+12*YEAR(NOW())-MONTH(tbl_MTG_Set[[#This Row],[Released On]])-12*YEAR(tbl_MTG_Set[[#This Row],[Released On]])</f>
        <v>104</v>
      </c>
      <c r="I494" t="str">
        <f>_xlfn.XLOOKUP(tbl_MTG_Set[[#This Row],[Type Name]], tbl_MTG_Set_Type[Set Type], tbl_MTG_Set_Type[Index], "(Set Type not found)")</f>
        <v>(Set Type not found)</v>
      </c>
      <c r="J494" t="str">
        <f>_xlfn.XLOOKUP(tbl_MTG_Set[[#This Row],[Type Name]], tbl_MTG_Set_Type[Set Type], tbl_MTG_Set_Type[Buy Window Month Start], "(Set Type not found)")</f>
        <v>(Set Type not found)</v>
      </c>
      <c r="K494" s="3" t="e">
        <f>tbl_MTG_Set[[#This Row],[Released On]]+tbl_MTG_Set[[#This Row],[Buy Window Month Start]]*365.25/12</f>
        <v>#VALUE!</v>
      </c>
      <c r="L494" t="str">
        <f>_xlfn.XLOOKUP(tbl_MTG_Set[[#This Row],[Type Name]], tbl_MTG_Set_Type[Set Type], tbl_MTG_Set_Type[Buy Window Month End], "(Set Type not found)", 0, 1)</f>
        <v>(Set Type not found)</v>
      </c>
      <c r="M494" s="3" t="e">
        <f>tbl_MTG_Set[[#This Row],[Released On]]+tbl_MTG_Set[[#This Row],[Buy Window Month End]]*365.25/12</f>
        <v>#VALUE!</v>
      </c>
      <c r="N494" s="3" t="e">
        <f ca="1">AND(NOW()&gt;=tbl_MTG_Set[[#This Row],[Buy Window Start]], NOW()&lt;=tbl_MTG_Set[[#This Row],[Buy Window End]])</f>
        <v>#VALUE!</v>
      </c>
      <c r="O494" t="str">
        <f>_xlfn.XLOOKUP(tbl_MTG_Set[[#This Row],[Type Name]], tbl_MTG_Set_Type[Set Type], tbl_MTG_Set_Type[Heavy Printing Window Month Start], "(Set Type not found)", 0, 1)</f>
        <v>(Set Type not found)</v>
      </c>
      <c r="P494" s="3" t="e">
        <f>tbl_MTG_Set[[#This Row],[Released On]]+tbl_MTG_Set[[#This Row],[Heavy Printing Window Month Start]]*365.25/12</f>
        <v>#VALUE!</v>
      </c>
      <c r="Q494" t="str">
        <f>_xlfn.XLOOKUP(tbl_MTG_Set[[#This Row],[Type Name]], tbl_MTG_Set_Type[Set Type], tbl_MTG_Set_Type[Heavy Printing Window Month End], "(Set Type not found)", 0, 1)</f>
        <v>(Set Type not found)</v>
      </c>
      <c r="R494" s="3" t="e">
        <f>tbl_MTG_Set[[#This Row],[Released On]]+tbl_MTG_Set[[#This Row],[Heavy Printing Window Month End]]*365.25/12</f>
        <v>#VALUE!</v>
      </c>
      <c r="S494" s="3" t="e">
        <f ca="1">AND(NOW()&gt;=tbl_MTG_Set[[#This Row],[Heavy Printing Window Start]], NOW()&lt;=tbl_MTG_Set[[#This Row],[Heavy Printing Window End]])</f>
        <v>#VALUE!</v>
      </c>
      <c r="T494" t="str">
        <f>_xlfn.XLOOKUP(tbl_MTG_Set[[#This Row],[Type Name]], tbl_MTG_Set_Type[Set Type], tbl_MTG_Set_Type[Sell Window Month Start], "(Set Type not found)", 0, 1)</f>
        <v>(Set Type not found)</v>
      </c>
      <c r="U494" s="3" t="e">
        <f>tbl_MTG_Set[[#This Row],[Released On]]+tbl_MTG_Set[[#This Row],[Sell Window Month Start]]*365.25/12</f>
        <v>#VALUE!</v>
      </c>
      <c r="V494" t="str">
        <f>_xlfn.XLOOKUP(tbl_MTG_Set[[#This Row],[Type Name]], tbl_MTG_Set_Type[Set Type], tbl_MTG_Set_Type[Sell Window Month End], "(Set Type not found)", 0, 1)</f>
        <v>(Set Type not found)</v>
      </c>
      <c r="W494" s="3" t="e">
        <f>tbl_MTG_Set[[#This Row],[Released On]]+tbl_MTG_Set[[#This Row],[Sell Window Month End]]*365.25/12</f>
        <v>#VALUE!</v>
      </c>
      <c r="X494" s="3" t="e">
        <f ca="1">AND(NOW()&gt;=tbl_MTG_Set[[#This Row],[Sell Window Start]], NOW()&lt;=tbl_MTG_Set[[#This Row],[Sell Window End]])</f>
        <v>#VALUE!</v>
      </c>
      <c r="AG494" s="10"/>
      <c r="AH494" s="10"/>
      <c r="AM494" s="10" t="str" cm="1">
        <f t="array" ref="AM4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4" s="10" t="str" cm="1">
        <f t="array" ref="AN4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4" s="4" t="e">
        <f>_xlfn.XLOOKUP(tbl_MTG_Set[[#This Row],[Play Booster Box Product Id]], tbl_Product[Product Id], tbl_Product[Pack Size])</f>
        <v>#N/A</v>
      </c>
      <c r="AP494" s="10" t="e">
        <f>(tbl_MTG_Set[[#This Row],[Play Booster Box Cost]]+v_Item_Shipping_Cost_In)/tbl_MTG_Set[[#This Row],[Play Booster Box Size]]</f>
        <v>#VALUE!</v>
      </c>
      <c r="AQ494" s="10" t="str" cm="1">
        <f t="array" ref="AQ4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4" s="10"/>
      <c r="AS494" s="10"/>
      <c r="AT494" s="17" t="e">
        <f>tbl_MTG_Set[[#This Row],[Play Booster CardMarket Profit]]/tbl_MTG_Set[[#This Row],[Play Booster Cost]]</f>
        <v>#VALUE!</v>
      </c>
      <c r="AU494" s="10" t="e">
        <f>_xlfn.XLOOKUP(tbl_MTG_Set[[#This Row],[Collector Booster Box Product Id]], tbl_Product[Product Id], tbl_Product[Min Cost])</f>
        <v>#N/A</v>
      </c>
      <c r="AV494" s="10" t="e">
        <f>_xlfn.XLOOKUP(tbl_MTG_Set[[#This Row],[Collector Booster Box Product Id]], tbl_Product[Product Id], tbl_Product[Best Source])</f>
        <v>#N/A</v>
      </c>
      <c r="AW494" s="4" t="e">
        <f>_xlfn.XLOOKUP(tbl_MTG_Set[[#This Row],[Collector Booster Box Product Id]], tbl_Product[Product Id], tbl_Product[Pack Size])</f>
        <v>#N/A</v>
      </c>
      <c r="AX494" s="10" t="e">
        <f>(tbl_MTG_Set[[#This Row],[Collector Booster Box Cost]] + v_Item_Shipping_Cost_In) / tbl_MTG_Set[[#This Row],[Collector Booster Box Size]]</f>
        <v>#N/A</v>
      </c>
      <c r="AY494" s="10" t="str" cm="1">
        <f t="array" ref="AY4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4" s="10"/>
      <c r="BA4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4" s="17" t="e">
        <f>tbl_MTG_Set[[#This Row],[Collector Booster CardMarket Profit]]/tbl_MTG_Set[[#This Row],[Collector Booster Cost]]</f>
        <v>#N/A</v>
      </c>
      <c r="BC494" s="10"/>
      <c r="BF4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4" s="11" t="e">
        <f>tbl_MTG_Set[[#This Row],[Play Singles CardMarket Profit MTG Stocks]]/tbl_MTG_Set[[#This Row],[Play Booster Cost]]</f>
        <v>#VALUE!</v>
      </c>
      <c r="BI494" s="11" t="b">
        <f>tbl_MTG_Set[[#This Row],[Play Singles CardMarket Profit MTG Stocks]]&gt;0</f>
        <v>0</v>
      </c>
      <c r="BM494" s="10" t="e">
        <f>tbl_MTG_Set[[#This Row],[Play Booster Sell Price CardMarket]]*tbl_MTG_Set[[#This Row],[Play Booster Expected Market Value BotBox]]/tbl_MTG_Set[[#This Row],[Play Booster Sealed Market Value BotBox]]</f>
        <v>#VALUE!</v>
      </c>
      <c r="BN4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4" s="10" t="e">
        <f>tbl_MTG_Set[[#This Row],[Play Singles CardMarket Profit BotBox]]/tbl_MTG_Set[[#This Row],[Play Booster Cost]]</f>
        <v>#VALUE!</v>
      </c>
      <c r="BP494" s="10" t="b">
        <f>tbl_MTG_Set[[#This Row],[Play Singles CardMarket Profit BotBox]]&gt;0</f>
        <v>0</v>
      </c>
      <c r="BQ494" s="10"/>
      <c r="BR494" s="10"/>
      <c r="BS494" s="10"/>
      <c r="BT4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4" s="19" t="e">
        <f>tbl_MTG_Set[[#This Row],[Collector Singles CardMarket Profit MTG Stocks]]/tbl_MTG_Set[[#This Row],[Collector Booster Cost]]</f>
        <v>#N/A</v>
      </c>
      <c r="BW494" s="10" t="b">
        <f>tbl_MTG_Set[[#This Row],[Collector Singles CardMarket Profit MTG Stocks]]&gt;0</f>
        <v>0</v>
      </c>
      <c r="BX494" s="10"/>
      <c r="BY494" s="10"/>
      <c r="BZ4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4" s="10" t="e">
        <f>tbl_MTG_Set[[#This Row],[Collector Singles CardMarket Profit BotBox]]/tbl_MTG_Set[[#This Row],[Collector Booster Cost]]</f>
        <v>#N/A</v>
      </c>
      <c r="CC494" s="10" t="b">
        <f>tbl_MTG_Set[[#This Row],[Collector Singles CardMarket Profit BotBox]]&gt;0</f>
        <v>0</v>
      </c>
      <c r="CD4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5" spans="1:86" hidden="1">
      <c r="A495">
        <v>526</v>
      </c>
      <c r="B495" t="s">
        <v>668</v>
      </c>
      <c r="C495">
        <v>62</v>
      </c>
      <c r="D495" s="3">
        <v>42930</v>
      </c>
      <c r="F495" t="s">
        <v>174</v>
      </c>
      <c r="G495">
        <v>998</v>
      </c>
      <c r="H495">
        <f ca="1">MONTH(NOW())+12*YEAR(NOW())-MONTH(tbl_MTG_Set[[#This Row],[Released On]])-12*YEAR(tbl_MTG_Set[[#This Row],[Released On]])</f>
        <v>104</v>
      </c>
      <c r="I495" t="str">
        <f>_xlfn.XLOOKUP(tbl_MTG_Set[[#This Row],[Type Name]], tbl_MTG_Set_Type[Set Type], tbl_MTG_Set_Type[Index], "(Set Type not found)")</f>
        <v>(Set Type not found)</v>
      </c>
      <c r="J495" t="str">
        <f>_xlfn.XLOOKUP(tbl_MTG_Set[[#This Row],[Type Name]], tbl_MTG_Set_Type[Set Type], tbl_MTG_Set_Type[Buy Window Month Start], "(Set Type not found)")</f>
        <v>(Set Type not found)</v>
      </c>
      <c r="K495" s="3" t="e">
        <f>tbl_MTG_Set[[#This Row],[Released On]]+tbl_MTG_Set[[#This Row],[Buy Window Month Start]]*365.25/12</f>
        <v>#VALUE!</v>
      </c>
      <c r="L495" t="str">
        <f>_xlfn.XLOOKUP(tbl_MTG_Set[[#This Row],[Type Name]], tbl_MTG_Set_Type[Set Type], tbl_MTG_Set_Type[Buy Window Month End], "(Set Type not found)", 0, 1)</f>
        <v>(Set Type not found)</v>
      </c>
      <c r="M495" s="3" t="e">
        <f>tbl_MTG_Set[[#This Row],[Released On]]+tbl_MTG_Set[[#This Row],[Buy Window Month End]]*365.25/12</f>
        <v>#VALUE!</v>
      </c>
      <c r="N495" s="3" t="e">
        <f ca="1">AND(NOW()&gt;=tbl_MTG_Set[[#This Row],[Buy Window Start]], NOW()&lt;=tbl_MTG_Set[[#This Row],[Buy Window End]])</f>
        <v>#VALUE!</v>
      </c>
      <c r="O495" t="str">
        <f>_xlfn.XLOOKUP(tbl_MTG_Set[[#This Row],[Type Name]], tbl_MTG_Set_Type[Set Type], tbl_MTG_Set_Type[Heavy Printing Window Month Start], "(Set Type not found)", 0, 1)</f>
        <v>(Set Type not found)</v>
      </c>
      <c r="P495" s="3" t="e">
        <f>tbl_MTG_Set[[#This Row],[Released On]]+tbl_MTG_Set[[#This Row],[Heavy Printing Window Month Start]]*365.25/12</f>
        <v>#VALUE!</v>
      </c>
      <c r="Q495" t="str">
        <f>_xlfn.XLOOKUP(tbl_MTG_Set[[#This Row],[Type Name]], tbl_MTG_Set_Type[Set Type], tbl_MTG_Set_Type[Heavy Printing Window Month End], "(Set Type not found)", 0, 1)</f>
        <v>(Set Type not found)</v>
      </c>
      <c r="R495" s="3" t="e">
        <f>tbl_MTG_Set[[#This Row],[Released On]]+tbl_MTG_Set[[#This Row],[Heavy Printing Window Month End]]*365.25/12</f>
        <v>#VALUE!</v>
      </c>
      <c r="S495" s="3" t="e">
        <f ca="1">AND(NOW()&gt;=tbl_MTG_Set[[#This Row],[Heavy Printing Window Start]], NOW()&lt;=tbl_MTG_Set[[#This Row],[Heavy Printing Window End]])</f>
        <v>#VALUE!</v>
      </c>
      <c r="T495" t="str">
        <f>_xlfn.XLOOKUP(tbl_MTG_Set[[#This Row],[Type Name]], tbl_MTG_Set_Type[Set Type], tbl_MTG_Set_Type[Sell Window Month Start], "(Set Type not found)", 0, 1)</f>
        <v>(Set Type not found)</v>
      </c>
      <c r="U495" s="3" t="e">
        <f>tbl_MTG_Set[[#This Row],[Released On]]+tbl_MTG_Set[[#This Row],[Sell Window Month Start]]*365.25/12</f>
        <v>#VALUE!</v>
      </c>
      <c r="V495" t="str">
        <f>_xlfn.XLOOKUP(tbl_MTG_Set[[#This Row],[Type Name]], tbl_MTG_Set_Type[Set Type], tbl_MTG_Set_Type[Sell Window Month End], "(Set Type not found)", 0, 1)</f>
        <v>(Set Type not found)</v>
      </c>
      <c r="W495" s="3" t="e">
        <f>tbl_MTG_Set[[#This Row],[Released On]]+tbl_MTG_Set[[#This Row],[Sell Window Month End]]*365.25/12</f>
        <v>#VALUE!</v>
      </c>
      <c r="X495" s="3" t="e">
        <f ca="1">AND(NOW()&gt;=tbl_MTG_Set[[#This Row],[Sell Window Start]], NOW()&lt;=tbl_MTG_Set[[#This Row],[Sell Window End]])</f>
        <v>#VALUE!</v>
      </c>
      <c r="AG495" s="10"/>
      <c r="AH495" s="10"/>
      <c r="AM495" s="10" t="str" cm="1">
        <f t="array" ref="AM4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5" s="10" t="str" cm="1">
        <f t="array" ref="AN4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5" s="4" t="e">
        <f>_xlfn.XLOOKUP(tbl_MTG_Set[[#This Row],[Play Booster Box Product Id]], tbl_Product[Product Id], tbl_Product[Pack Size])</f>
        <v>#N/A</v>
      </c>
      <c r="AP495" s="10" t="e">
        <f>(tbl_MTG_Set[[#This Row],[Play Booster Box Cost]]+v_Item_Shipping_Cost_In)/tbl_MTG_Set[[#This Row],[Play Booster Box Size]]</f>
        <v>#VALUE!</v>
      </c>
      <c r="AQ495" s="10" t="str" cm="1">
        <f t="array" ref="AQ4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5" s="10"/>
      <c r="AS495" s="10"/>
      <c r="AT495" s="17" t="e">
        <f>tbl_MTG_Set[[#This Row],[Play Booster CardMarket Profit]]/tbl_MTG_Set[[#This Row],[Play Booster Cost]]</f>
        <v>#VALUE!</v>
      </c>
      <c r="AU495" s="10" t="e">
        <f>_xlfn.XLOOKUP(tbl_MTG_Set[[#This Row],[Collector Booster Box Product Id]], tbl_Product[Product Id], tbl_Product[Min Cost])</f>
        <v>#N/A</v>
      </c>
      <c r="AV495" s="10" t="e">
        <f>_xlfn.XLOOKUP(tbl_MTG_Set[[#This Row],[Collector Booster Box Product Id]], tbl_Product[Product Id], tbl_Product[Best Source])</f>
        <v>#N/A</v>
      </c>
      <c r="AW495" s="4" t="e">
        <f>_xlfn.XLOOKUP(tbl_MTG_Set[[#This Row],[Collector Booster Box Product Id]], tbl_Product[Product Id], tbl_Product[Pack Size])</f>
        <v>#N/A</v>
      </c>
      <c r="AX495" s="10" t="e">
        <f>(tbl_MTG_Set[[#This Row],[Collector Booster Box Cost]] + v_Item_Shipping_Cost_In) / tbl_MTG_Set[[#This Row],[Collector Booster Box Size]]</f>
        <v>#N/A</v>
      </c>
      <c r="AY495" s="10" t="str" cm="1">
        <f t="array" ref="AY4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5" s="10"/>
      <c r="BA4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5" s="17" t="e">
        <f>tbl_MTG_Set[[#This Row],[Collector Booster CardMarket Profit]]/tbl_MTG_Set[[#This Row],[Collector Booster Cost]]</f>
        <v>#N/A</v>
      </c>
      <c r="BC495" s="10"/>
      <c r="BF4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5" s="11" t="e">
        <f>tbl_MTG_Set[[#This Row],[Play Singles CardMarket Profit MTG Stocks]]/tbl_MTG_Set[[#This Row],[Play Booster Cost]]</f>
        <v>#VALUE!</v>
      </c>
      <c r="BI495" s="11" t="b">
        <f>tbl_MTG_Set[[#This Row],[Play Singles CardMarket Profit MTG Stocks]]&gt;0</f>
        <v>0</v>
      </c>
      <c r="BM495" s="10" t="e">
        <f>tbl_MTG_Set[[#This Row],[Play Booster Sell Price CardMarket]]*tbl_MTG_Set[[#This Row],[Play Booster Expected Market Value BotBox]]/tbl_MTG_Set[[#This Row],[Play Booster Sealed Market Value BotBox]]</f>
        <v>#VALUE!</v>
      </c>
      <c r="BN4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5" s="10" t="e">
        <f>tbl_MTG_Set[[#This Row],[Play Singles CardMarket Profit BotBox]]/tbl_MTG_Set[[#This Row],[Play Booster Cost]]</f>
        <v>#VALUE!</v>
      </c>
      <c r="BP495" s="10" t="b">
        <f>tbl_MTG_Set[[#This Row],[Play Singles CardMarket Profit BotBox]]&gt;0</f>
        <v>0</v>
      </c>
      <c r="BQ495" s="10"/>
      <c r="BR495" s="10"/>
      <c r="BS495" s="10"/>
      <c r="BT4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5" s="19" t="e">
        <f>tbl_MTG_Set[[#This Row],[Collector Singles CardMarket Profit MTG Stocks]]/tbl_MTG_Set[[#This Row],[Collector Booster Cost]]</f>
        <v>#N/A</v>
      </c>
      <c r="BW495" s="10" t="b">
        <f>tbl_MTG_Set[[#This Row],[Collector Singles CardMarket Profit MTG Stocks]]&gt;0</f>
        <v>0</v>
      </c>
      <c r="BX495" s="10"/>
      <c r="BY495" s="10"/>
      <c r="BZ4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5" s="10" t="e">
        <f>tbl_MTG_Set[[#This Row],[Collector Singles CardMarket Profit BotBox]]/tbl_MTG_Set[[#This Row],[Collector Booster Cost]]</f>
        <v>#N/A</v>
      </c>
      <c r="CC495" s="10" t="b">
        <f>tbl_MTG_Set[[#This Row],[Collector Singles CardMarket Profit BotBox]]&gt;0</f>
        <v>0</v>
      </c>
      <c r="CD4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6" spans="1:86" hidden="1">
      <c r="A496">
        <v>527</v>
      </c>
      <c r="B496" t="s">
        <v>669</v>
      </c>
      <c r="C496">
        <v>13</v>
      </c>
      <c r="D496" s="3">
        <v>42930</v>
      </c>
      <c r="F496" t="s">
        <v>174</v>
      </c>
      <c r="G496">
        <v>1000</v>
      </c>
      <c r="H496">
        <f ca="1">MONTH(NOW())+12*YEAR(NOW())-MONTH(tbl_MTG_Set[[#This Row],[Released On]])-12*YEAR(tbl_MTG_Set[[#This Row],[Released On]])</f>
        <v>104</v>
      </c>
      <c r="I496" t="str">
        <f>_xlfn.XLOOKUP(tbl_MTG_Set[[#This Row],[Type Name]], tbl_MTG_Set_Type[Set Type], tbl_MTG_Set_Type[Index], "(Set Type not found)")</f>
        <v>(Set Type not found)</v>
      </c>
      <c r="J496" t="str">
        <f>_xlfn.XLOOKUP(tbl_MTG_Set[[#This Row],[Type Name]], tbl_MTG_Set_Type[Set Type], tbl_MTG_Set_Type[Buy Window Month Start], "(Set Type not found)")</f>
        <v>(Set Type not found)</v>
      </c>
      <c r="K496" s="3" t="e">
        <f>tbl_MTG_Set[[#This Row],[Released On]]+tbl_MTG_Set[[#This Row],[Buy Window Month Start]]*365.25/12</f>
        <v>#VALUE!</v>
      </c>
      <c r="L496" t="str">
        <f>_xlfn.XLOOKUP(tbl_MTG_Set[[#This Row],[Type Name]], tbl_MTG_Set_Type[Set Type], tbl_MTG_Set_Type[Buy Window Month End], "(Set Type not found)", 0, 1)</f>
        <v>(Set Type not found)</v>
      </c>
      <c r="M496" s="3" t="e">
        <f>tbl_MTG_Set[[#This Row],[Released On]]+tbl_MTG_Set[[#This Row],[Buy Window Month End]]*365.25/12</f>
        <v>#VALUE!</v>
      </c>
      <c r="N496" s="3" t="e">
        <f ca="1">AND(NOW()&gt;=tbl_MTG_Set[[#This Row],[Buy Window Start]], NOW()&lt;=tbl_MTG_Set[[#This Row],[Buy Window End]])</f>
        <v>#VALUE!</v>
      </c>
      <c r="O496" t="str">
        <f>_xlfn.XLOOKUP(tbl_MTG_Set[[#This Row],[Type Name]], tbl_MTG_Set_Type[Set Type], tbl_MTG_Set_Type[Heavy Printing Window Month Start], "(Set Type not found)", 0, 1)</f>
        <v>(Set Type not found)</v>
      </c>
      <c r="P496" s="3" t="e">
        <f>tbl_MTG_Set[[#This Row],[Released On]]+tbl_MTG_Set[[#This Row],[Heavy Printing Window Month Start]]*365.25/12</f>
        <v>#VALUE!</v>
      </c>
      <c r="Q496" t="str">
        <f>_xlfn.XLOOKUP(tbl_MTG_Set[[#This Row],[Type Name]], tbl_MTG_Set_Type[Set Type], tbl_MTG_Set_Type[Heavy Printing Window Month End], "(Set Type not found)", 0, 1)</f>
        <v>(Set Type not found)</v>
      </c>
      <c r="R496" s="3" t="e">
        <f>tbl_MTG_Set[[#This Row],[Released On]]+tbl_MTG_Set[[#This Row],[Heavy Printing Window Month End]]*365.25/12</f>
        <v>#VALUE!</v>
      </c>
      <c r="S496" s="3" t="e">
        <f ca="1">AND(NOW()&gt;=tbl_MTG_Set[[#This Row],[Heavy Printing Window Start]], NOW()&lt;=tbl_MTG_Set[[#This Row],[Heavy Printing Window End]])</f>
        <v>#VALUE!</v>
      </c>
      <c r="T496" t="str">
        <f>_xlfn.XLOOKUP(tbl_MTG_Set[[#This Row],[Type Name]], tbl_MTG_Set_Type[Set Type], tbl_MTG_Set_Type[Sell Window Month Start], "(Set Type not found)", 0, 1)</f>
        <v>(Set Type not found)</v>
      </c>
      <c r="U496" s="3" t="e">
        <f>tbl_MTG_Set[[#This Row],[Released On]]+tbl_MTG_Set[[#This Row],[Sell Window Month Start]]*365.25/12</f>
        <v>#VALUE!</v>
      </c>
      <c r="V496" t="str">
        <f>_xlfn.XLOOKUP(tbl_MTG_Set[[#This Row],[Type Name]], tbl_MTG_Set_Type[Set Type], tbl_MTG_Set_Type[Sell Window Month End], "(Set Type not found)", 0, 1)</f>
        <v>(Set Type not found)</v>
      </c>
      <c r="W496" s="3" t="e">
        <f>tbl_MTG_Set[[#This Row],[Released On]]+tbl_MTG_Set[[#This Row],[Sell Window Month End]]*365.25/12</f>
        <v>#VALUE!</v>
      </c>
      <c r="X496" s="3" t="e">
        <f ca="1">AND(NOW()&gt;=tbl_MTG_Set[[#This Row],[Sell Window Start]], NOW()&lt;=tbl_MTG_Set[[#This Row],[Sell Window End]])</f>
        <v>#VALUE!</v>
      </c>
      <c r="AG496" s="10"/>
      <c r="AH496" s="10"/>
      <c r="AM496" s="10" t="str" cm="1">
        <f t="array" ref="AM4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6" s="10" t="str" cm="1">
        <f t="array" ref="AN4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6" s="4" t="e">
        <f>_xlfn.XLOOKUP(tbl_MTG_Set[[#This Row],[Play Booster Box Product Id]], tbl_Product[Product Id], tbl_Product[Pack Size])</f>
        <v>#N/A</v>
      </c>
      <c r="AP496" s="10" t="e">
        <f>(tbl_MTG_Set[[#This Row],[Play Booster Box Cost]]+v_Item_Shipping_Cost_In)/tbl_MTG_Set[[#This Row],[Play Booster Box Size]]</f>
        <v>#VALUE!</v>
      </c>
      <c r="AQ496" s="10" t="str" cm="1">
        <f t="array" ref="AQ4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6" s="10"/>
      <c r="AS496" s="10"/>
      <c r="AT496" s="17" t="e">
        <f>tbl_MTG_Set[[#This Row],[Play Booster CardMarket Profit]]/tbl_MTG_Set[[#This Row],[Play Booster Cost]]</f>
        <v>#VALUE!</v>
      </c>
      <c r="AU496" s="10" t="e">
        <f>_xlfn.XLOOKUP(tbl_MTG_Set[[#This Row],[Collector Booster Box Product Id]], tbl_Product[Product Id], tbl_Product[Min Cost])</f>
        <v>#N/A</v>
      </c>
      <c r="AV496" s="10" t="e">
        <f>_xlfn.XLOOKUP(tbl_MTG_Set[[#This Row],[Collector Booster Box Product Id]], tbl_Product[Product Id], tbl_Product[Best Source])</f>
        <v>#N/A</v>
      </c>
      <c r="AW496" s="4" t="e">
        <f>_xlfn.XLOOKUP(tbl_MTG_Set[[#This Row],[Collector Booster Box Product Id]], tbl_Product[Product Id], tbl_Product[Pack Size])</f>
        <v>#N/A</v>
      </c>
      <c r="AX496" s="10" t="e">
        <f>(tbl_MTG_Set[[#This Row],[Collector Booster Box Cost]] + v_Item_Shipping_Cost_In) / tbl_MTG_Set[[#This Row],[Collector Booster Box Size]]</f>
        <v>#N/A</v>
      </c>
      <c r="AY496" s="10" t="str" cm="1">
        <f t="array" ref="AY4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6" s="10"/>
      <c r="BA4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6" s="17" t="e">
        <f>tbl_MTG_Set[[#This Row],[Collector Booster CardMarket Profit]]/tbl_MTG_Set[[#This Row],[Collector Booster Cost]]</f>
        <v>#N/A</v>
      </c>
      <c r="BC496" s="10"/>
      <c r="BF4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6" s="11" t="e">
        <f>tbl_MTG_Set[[#This Row],[Play Singles CardMarket Profit MTG Stocks]]/tbl_MTG_Set[[#This Row],[Play Booster Cost]]</f>
        <v>#VALUE!</v>
      </c>
      <c r="BI496" s="11" t="b">
        <f>tbl_MTG_Set[[#This Row],[Play Singles CardMarket Profit MTG Stocks]]&gt;0</f>
        <v>0</v>
      </c>
      <c r="BM496" s="10" t="e">
        <f>tbl_MTG_Set[[#This Row],[Play Booster Sell Price CardMarket]]*tbl_MTG_Set[[#This Row],[Play Booster Expected Market Value BotBox]]/tbl_MTG_Set[[#This Row],[Play Booster Sealed Market Value BotBox]]</f>
        <v>#VALUE!</v>
      </c>
      <c r="BN4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6" s="10" t="e">
        <f>tbl_MTG_Set[[#This Row],[Play Singles CardMarket Profit BotBox]]/tbl_MTG_Set[[#This Row],[Play Booster Cost]]</f>
        <v>#VALUE!</v>
      </c>
      <c r="BP496" s="10" t="b">
        <f>tbl_MTG_Set[[#This Row],[Play Singles CardMarket Profit BotBox]]&gt;0</f>
        <v>0</v>
      </c>
      <c r="BQ496" s="10"/>
      <c r="BR496" s="10"/>
      <c r="BS496" s="10"/>
      <c r="BT4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6" s="19" t="e">
        <f>tbl_MTG_Set[[#This Row],[Collector Singles CardMarket Profit MTG Stocks]]/tbl_MTG_Set[[#This Row],[Collector Booster Cost]]</f>
        <v>#N/A</v>
      </c>
      <c r="BW496" s="10" t="b">
        <f>tbl_MTG_Set[[#This Row],[Collector Singles CardMarket Profit MTG Stocks]]&gt;0</f>
        <v>0</v>
      </c>
      <c r="BX496" s="10"/>
      <c r="BY496" s="10"/>
      <c r="BZ4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6" s="10" t="e">
        <f>tbl_MTG_Set[[#This Row],[Collector Singles CardMarket Profit BotBox]]/tbl_MTG_Set[[#This Row],[Collector Booster Cost]]</f>
        <v>#N/A</v>
      </c>
      <c r="CC496" s="10" t="b">
        <f>tbl_MTG_Set[[#This Row],[Collector Singles CardMarket Profit BotBox]]&gt;0</f>
        <v>0</v>
      </c>
      <c r="CD4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7" spans="1:86" hidden="1">
      <c r="A497">
        <v>528</v>
      </c>
      <c r="B497" t="s">
        <v>670</v>
      </c>
      <c r="C497">
        <v>106</v>
      </c>
      <c r="D497" s="3">
        <v>42902</v>
      </c>
      <c r="F497" t="s">
        <v>174</v>
      </c>
      <c r="G497">
        <v>1002</v>
      </c>
      <c r="H497">
        <f ca="1">MONTH(NOW())+12*YEAR(NOW())-MONTH(tbl_MTG_Set[[#This Row],[Released On]])-12*YEAR(tbl_MTG_Set[[#This Row],[Released On]])</f>
        <v>105</v>
      </c>
      <c r="I497" t="str">
        <f>_xlfn.XLOOKUP(tbl_MTG_Set[[#This Row],[Type Name]], tbl_MTG_Set_Type[Set Type], tbl_MTG_Set_Type[Index], "(Set Type not found)")</f>
        <v>(Set Type not found)</v>
      </c>
      <c r="J497" t="str">
        <f>_xlfn.XLOOKUP(tbl_MTG_Set[[#This Row],[Type Name]], tbl_MTG_Set_Type[Set Type], tbl_MTG_Set_Type[Buy Window Month Start], "(Set Type not found)")</f>
        <v>(Set Type not found)</v>
      </c>
      <c r="K497" s="3" t="e">
        <f>tbl_MTG_Set[[#This Row],[Released On]]+tbl_MTG_Set[[#This Row],[Buy Window Month Start]]*365.25/12</f>
        <v>#VALUE!</v>
      </c>
      <c r="L497" t="str">
        <f>_xlfn.XLOOKUP(tbl_MTG_Set[[#This Row],[Type Name]], tbl_MTG_Set_Type[Set Type], tbl_MTG_Set_Type[Buy Window Month End], "(Set Type not found)", 0, 1)</f>
        <v>(Set Type not found)</v>
      </c>
      <c r="M497" s="3" t="e">
        <f>tbl_MTG_Set[[#This Row],[Released On]]+tbl_MTG_Set[[#This Row],[Buy Window Month End]]*365.25/12</f>
        <v>#VALUE!</v>
      </c>
      <c r="N497" s="3" t="e">
        <f ca="1">AND(NOW()&gt;=tbl_MTG_Set[[#This Row],[Buy Window Start]], NOW()&lt;=tbl_MTG_Set[[#This Row],[Buy Window End]])</f>
        <v>#VALUE!</v>
      </c>
      <c r="O497" t="str">
        <f>_xlfn.XLOOKUP(tbl_MTG_Set[[#This Row],[Type Name]], tbl_MTG_Set_Type[Set Type], tbl_MTG_Set_Type[Heavy Printing Window Month Start], "(Set Type not found)", 0, 1)</f>
        <v>(Set Type not found)</v>
      </c>
      <c r="P497" s="3" t="e">
        <f>tbl_MTG_Set[[#This Row],[Released On]]+tbl_MTG_Set[[#This Row],[Heavy Printing Window Month Start]]*365.25/12</f>
        <v>#VALUE!</v>
      </c>
      <c r="Q497" t="str">
        <f>_xlfn.XLOOKUP(tbl_MTG_Set[[#This Row],[Type Name]], tbl_MTG_Set_Type[Set Type], tbl_MTG_Set_Type[Heavy Printing Window Month End], "(Set Type not found)", 0, 1)</f>
        <v>(Set Type not found)</v>
      </c>
      <c r="R497" s="3" t="e">
        <f>tbl_MTG_Set[[#This Row],[Released On]]+tbl_MTG_Set[[#This Row],[Heavy Printing Window Month End]]*365.25/12</f>
        <v>#VALUE!</v>
      </c>
      <c r="S497" s="3" t="e">
        <f ca="1">AND(NOW()&gt;=tbl_MTG_Set[[#This Row],[Heavy Printing Window Start]], NOW()&lt;=tbl_MTG_Set[[#This Row],[Heavy Printing Window End]])</f>
        <v>#VALUE!</v>
      </c>
      <c r="T497" t="str">
        <f>_xlfn.XLOOKUP(tbl_MTG_Set[[#This Row],[Type Name]], tbl_MTG_Set_Type[Set Type], tbl_MTG_Set_Type[Sell Window Month Start], "(Set Type not found)", 0, 1)</f>
        <v>(Set Type not found)</v>
      </c>
      <c r="U497" s="3" t="e">
        <f>tbl_MTG_Set[[#This Row],[Released On]]+tbl_MTG_Set[[#This Row],[Sell Window Month Start]]*365.25/12</f>
        <v>#VALUE!</v>
      </c>
      <c r="V497" t="str">
        <f>_xlfn.XLOOKUP(tbl_MTG_Set[[#This Row],[Type Name]], tbl_MTG_Set_Type[Set Type], tbl_MTG_Set_Type[Sell Window Month End], "(Set Type not found)", 0, 1)</f>
        <v>(Set Type not found)</v>
      </c>
      <c r="W497" s="3" t="e">
        <f>tbl_MTG_Set[[#This Row],[Released On]]+tbl_MTG_Set[[#This Row],[Sell Window Month End]]*365.25/12</f>
        <v>#VALUE!</v>
      </c>
      <c r="X497" s="3" t="e">
        <f ca="1">AND(NOW()&gt;=tbl_MTG_Set[[#This Row],[Sell Window Start]], NOW()&lt;=tbl_MTG_Set[[#This Row],[Sell Window End]])</f>
        <v>#VALUE!</v>
      </c>
      <c r="AG497" s="10"/>
      <c r="AH497" s="10"/>
      <c r="AM497" s="10" t="str" cm="1">
        <f t="array" ref="AM4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7" s="10" t="str" cm="1">
        <f t="array" ref="AN4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7" s="4" t="e">
        <f>_xlfn.XLOOKUP(tbl_MTG_Set[[#This Row],[Play Booster Box Product Id]], tbl_Product[Product Id], tbl_Product[Pack Size])</f>
        <v>#N/A</v>
      </c>
      <c r="AP497" s="10" t="e">
        <f>(tbl_MTG_Set[[#This Row],[Play Booster Box Cost]]+v_Item_Shipping_Cost_In)/tbl_MTG_Set[[#This Row],[Play Booster Box Size]]</f>
        <v>#VALUE!</v>
      </c>
      <c r="AQ497" s="10" t="str" cm="1">
        <f t="array" ref="AQ4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7" s="10"/>
      <c r="AS497" s="10"/>
      <c r="AT497" s="17" t="e">
        <f>tbl_MTG_Set[[#This Row],[Play Booster CardMarket Profit]]/tbl_MTG_Set[[#This Row],[Play Booster Cost]]</f>
        <v>#VALUE!</v>
      </c>
      <c r="AU497" s="10" t="e">
        <f>_xlfn.XLOOKUP(tbl_MTG_Set[[#This Row],[Collector Booster Box Product Id]], tbl_Product[Product Id], tbl_Product[Min Cost])</f>
        <v>#N/A</v>
      </c>
      <c r="AV497" s="10" t="e">
        <f>_xlfn.XLOOKUP(tbl_MTG_Set[[#This Row],[Collector Booster Box Product Id]], tbl_Product[Product Id], tbl_Product[Best Source])</f>
        <v>#N/A</v>
      </c>
      <c r="AW497" s="4" t="e">
        <f>_xlfn.XLOOKUP(tbl_MTG_Set[[#This Row],[Collector Booster Box Product Id]], tbl_Product[Product Id], tbl_Product[Pack Size])</f>
        <v>#N/A</v>
      </c>
      <c r="AX497" s="10" t="e">
        <f>(tbl_MTG_Set[[#This Row],[Collector Booster Box Cost]] + v_Item_Shipping_Cost_In) / tbl_MTG_Set[[#This Row],[Collector Booster Box Size]]</f>
        <v>#N/A</v>
      </c>
      <c r="AY497" s="10" t="str" cm="1">
        <f t="array" ref="AY4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7" s="10"/>
      <c r="BA4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7" s="17" t="e">
        <f>tbl_MTG_Set[[#This Row],[Collector Booster CardMarket Profit]]/tbl_MTG_Set[[#This Row],[Collector Booster Cost]]</f>
        <v>#N/A</v>
      </c>
      <c r="BC497" s="10"/>
      <c r="BF4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7" s="11" t="e">
        <f>tbl_MTG_Set[[#This Row],[Play Singles CardMarket Profit MTG Stocks]]/tbl_MTG_Set[[#This Row],[Play Booster Cost]]</f>
        <v>#VALUE!</v>
      </c>
      <c r="BI497" s="11" t="b">
        <f>tbl_MTG_Set[[#This Row],[Play Singles CardMarket Profit MTG Stocks]]&gt;0</f>
        <v>0</v>
      </c>
      <c r="BM497" s="10" t="e">
        <f>tbl_MTG_Set[[#This Row],[Play Booster Sell Price CardMarket]]*tbl_MTG_Set[[#This Row],[Play Booster Expected Market Value BotBox]]/tbl_MTG_Set[[#This Row],[Play Booster Sealed Market Value BotBox]]</f>
        <v>#VALUE!</v>
      </c>
      <c r="BN4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7" s="10" t="e">
        <f>tbl_MTG_Set[[#This Row],[Play Singles CardMarket Profit BotBox]]/tbl_MTG_Set[[#This Row],[Play Booster Cost]]</f>
        <v>#VALUE!</v>
      </c>
      <c r="BP497" s="10" t="b">
        <f>tbl_MTG_Set[[#This Row],[Play Singles CardMarket Profit BotBox]]&gt;0</f>
        <v>0</v>
      </c>
      <c r="BQ497" s="10"/>
      <c r="BR497" s="10"/>
      <c r="BS497" s="10"/>
      <c r="BT4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7" s="19" t="e">
        <f>tbl_MTG_Set[[#This Row],[Collector Singles CardMarket Profit MTG Stocks]]/tbl_MTG_Set[[#This Row],[Collector Booster Cost]]</f>
        <v>#N/A</v>
      </c>
      <c r="BW497" s="10" t="b">
        <f>tbl_MTG_Set[[#This Row],[Collector Singles CardMarket Profit MTG Stocks]]&gt;0</f>
        <v>0</v>
      </c>
      <c r="BX497" s="10"/>
      <c r="BY497" s="10"/>
      <c r="BZ4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7" s="10" t="e">
        <f>tbl_MTG_Set[[#This Row],[Collector Singles CardMarket Profit BotBox]]/tbl_MTG_Set[[#This Row],[Collector Booster Cost]]</f>
        <v>#N/A</v>
      </c>
      <c r="CC497" s="10" t="b">
        <f>tbl_MTG_Set[[#This Row],[Collector Singles CardMarket Profit BotBox]]&gt;0</f>
        <v>0</v>
      </c>
      <c r="CD4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8" spans="1:86" hidden="1">
      <c r="A498">
        <v>529</v>
      </c>
      <c r="B498" t="s">
        <v>671</v>
      </c>
      <c r="C498">
        <v>5</v>
      </c>
      <c r="D498" s="3">
        <v>42986</v>
      </c>
      <c r="F498" t="s">
        <v>174</v>
      </c>
      <c r="G498">
        <v>1004</v>
      </c>
      <c r="H498">
        <f ca="1">MONTH(NOW())+12*YEAR(NOW())-MONTH(tbl_MTG_Set[[#This Row],[Released On]])-12*YEAR(tbl_MTG_Set[[#This Row],[Released On]])</f>
        <v>102</v>
      </c>
      <c r="I498" t="str">
        <f>_xlfn.XLOOKUP(tbl_MTG_Set[[#This Row],[Type Name]], tbl_MTG_Set_Type[Set Type], tbl_MTG_Set_Type[Index], "(Set Type not found)")</f>
        <v>(Set Type not found)</v>
      </c>
      <c r="J498" t="str">
        <f>_xlfn.XLOOKUP(tbl_MTG_Set[[#This Row],[Type Name]], tbl_MTG_Set_Type[Set Type], tbl_MTG_Set_Type[Buy Window Month Start], "(Set Type not found)")</f>
        <v>(Set Type not found)</v>
      </c>
      <c r="K498" s="3" t="e">
        <f>tbl_MTG_Set[[#This Row],[Released On]]+tbl_MTG_Set[[#This Row],[Buy Window Month Start]]*365.25/12</f>
        <v>#VALUE!</v>
      </c>
      <c r="L498" t="str">
        <f>_xlfn.XLOOKUP(tbl_MTG_Set[[#This Row],[Type Name]], tbl_MTG_Set_Type[Set Type], tbl_MTG_Set_Type[Buy Window Month End], "(Set Type not found)", 0, 1)</f>
        <v>(Set Type not found)</v>
      </c>
      <c r="M498" s="3" t="e">
        <f>tbl_MTG_Set[[#This Row],[Released On]]+tbl_MTG_Set[[#This Row],[Buy Window Month End]]*365.25/12</f>
        <v>#VALUE!</v>
      </c>
      <c r="N498" s="3" t="e">
        <f ca="1">AND(NOW()&gt;=tbl_MTG_Set[[#This Row],[Buy Window Start]], NOW()&lt;=tbl_MTG_Set[[#This Row],[Buy Window End]])</f>
        <v>#VALUE!</v>
      </c>
      <c r="O498" t="str">
        <f>_xlfn.XLOOKUP(tbl_MTG_Set[[#This Row],[Type Name]], tbl_MTG_Set_Type[Set Type], tbl_MTG_Set_Type[Heavy Printing Window Month Start], "(Set Type not found)", 0, 1)</f>
        <v>(Set Type not found)</v>
      </c>
      <c r="P498" s="3" t="e">
        <f>tbl_MTG_Set[[#This Row],[Released On]]+tbl_MTG_Set[[#This Row],[Heavy Printing Window Month Start]]*365.25/12</f>
        <v>#VALUE!</v>
      </c>
      <c r="Q498" t="str">
        <f>_xlfn.XLOOKUP(tbl_MTG_Set[[#This Row],[Type Name]], tbl_MTG_Set_Type[Set Type], tbl_MTG_Set_Type[Heavy Printing Window Month End], "(Set Type not found)", 0, 1)</f>
        <v>(Set Type not found)</v>
      </c>
      <c r="R498" s="3" t="e">
        <f>tbl_MTG_Set[[#This Row],[Released On]]+tbl_MTG_Set[[#This Row],[Heavy Printing Window Month End]]*365.25/12</f>
        <v>#VALUE!</v>
      </c>
      <c r="S498" s="3" t="e">
        <f ca="1">AND(NOW()&gt;=tbl_MTG_Set[[#This Row],[Heavy Printing Window Start]], NOW()&lt;=tbl_MTG_Set[[#This Row],[Heavy Printing Window End]])</f>
        <v>#VALUE!</v>
      </c>
      <c r="T498" t="str">
        <f>_xlfn.XLOOKUP(tbl_MTG_Set[[#This Row],[Type Name]], tbl_MTG_Set_Type[Set Type], tbl_MTG_Set_Type[Sell Window Month Start], "(Set Type not found)", 0, 1)</f>
        <v>(Set Type not found)</v>
      </c>
      <c r="U498" s="3" t="e">
        <f>tbl_MTG_Set[[#This Row],[Released On]]+tbl_MTG_Set[[#This Row],[Sell Window Month Start]]*365.25/12</f>
        <v>#VALUE!</v>
      </c>
      <c r="V498" t="str">
        <f>_xlfn.XLOOKUP(tbl_MTG_Set[[#This Row],[Type Name]], tbl_MTG_Set_Type[Set Type], tbl_MTG_Set_Type[Sell Window Month End], "(Set Type not found)", 0, 1)</f>
        <v>(Set Type not found)</v>
      </c>
      <c r="W498" s="3" t="e">
        <f>tbl_MTG_Set[[#This Row],[Released On]]+tbl_MTG_Set[[#This Row],[Sell Window Month End]]*365.25/12</f>
        <v>#VALUE!</v>
      </c>
      <c r="X498" s="3" t="e">
        <f ca="1">AND(NOW()&gt;=tbl_MTG_Set[[#This Row],[Sell Window Start]], NOW()&lt;=tbl_MTG_Set[[#This Row],[Sell Window End]])</f>
        <v>#VALUE!</v>
      </c>
      <c r="AG498" s="10"/>
      <c r="AH498" s="10"/>
      <c r="AM498" s="10" t="str" cm="1">
        <f t="array" ref="AM4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8" s="10" t="str" cm="1">
        <f t="array" ref="AN4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8" s="4" t="e">
        <f>_xlfn.XLOOKUP(tbl_MTG_Set[[#This Row],[Play Booster Box Product Id]], tbl_Product[Product Id], tbl_Product[Pack Size])</f>
        <v>#N/A</v>
      </c>
      <c r="AP498" s="10" t="e">
        <f>(tbl_MTG_Set[[#This Row],[Play Booster Box Cost]]+v_Item_Shipping_Cost_In)/tbl_MTG_Set[[#This Row],[Play Booster Box Size]]</f>
        <v>#VALUE!</v>
      </c>
      <c r="AQ498" s="10" t="str" cm="1">
        <f t="array" ref="AQ4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8" s="10"/>
      <c r="AS498" s="10"/>
      <c r="AT498" s="17" t="e">
        <f>tbl_MTG_Set[[#This Row],[Play Booster CardMarket Profit]]/tbl_MTG_Set[[#This Row],[Play Booster Cost]]</f>
        <v>#VALUE!</v>
      </c>
      <c r="AU498" s="10" t="e">
        <f>_xlfn.XLOOKUP(tbl_MTG_Set[[#This Row],[Collector Booster Box Product Id]], tbl_Product[Product Id], tbl_Product[Min Cost])</f>
        <v>#N/A</v>
      </c>
      <c r="AV498" s="10" t="e">
        <f>_xlfn.XLOOKUP(tbl_MTG_Set[[#This Row],[Collector Booster Box Product Id]], tbl_Product[Product Id], tbl_Product[Best Source])</f>
        <v>#N/A</v>
      </c>
      <c r="AW498" s="4" t="e">
        <f>_xlfn.XLOOKUP(tbl_MTG_Set[[#This Row],[Collector Booster Box Product Id]], tbl_Product[Product Id], tbl_Product[Pack Size])</f>
        <v>#N/A</v>
      </c>
      <c r="AX498" s="10" t="e">
        <f>(tbl_MTG_Set[[#This Row],[Collector Booster Box Cost]] + v_Item_Shipping_Cost_In) / tbl_MTG_Set[[#This Row],[Collector Booster Box Size]]</f>
        <v>#N/A</v>
      </c>
      <c r="AY498" s="10" t="str" cm="1">
        <f t="array" ref="AY4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8" s="10"/>
      <c r="BA4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8" s="17" t="e">
        <f>tbl_MTG_Set[[#This Row],[Collector Booster CardMarket Profit]]/tbl_MTG_Set[[#This Row],[Collector Booster Cost]]</f>
        <v>#N/A</v>
      </c>
      <c r="BC498" s="10"/>
      <c r="BF4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8" s="11" t="e">
        <f>tbl_MTG_Set[[#This Row],[Play Singles CardMarket Profit MTG Stocks]]/tbl_MTG_Set[[#This Row],[Play Booster Cost]]</f>
        <v>#VALUE!</v>
      </c>
      <c r="BI498" s="11" t="b">
        <f>tbl_MTG_Set[[#This Row],[Play Singles CardMarket Profit MTG Stocks]]&gt;0</f>
        <v>0</v>
      </c>
      <c r="BM498" s="10" t="e">
        <f>tbl_MTG_Set[[#This Row],[Play Booster Sell Price CardMarket]]*tbl_MTG_Set[[#This Row],[Play Booster Expected Market Value BotBox]]/tbl_MTG_Set[[#This Row],[Play Booster Sealed Market Value BotBox]]</f>
        <v>#VALUE!</v>
      </c>
      <c r="BN4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8" s="10" t="e">
        <f>tbl_MTG_Set[[#This Row],[Play Singles CardMarket Profit BotBox]]/tbl_MTG_Set[[#This Row],[Play Booster Cost]]</f>
        <v>#VALUE!</v>
      </c>
      <c r="BP498" s="10" t="b">
        <f>tbl_MTG_Set[[#This Row],[Play Singles CardMarket Profit BotBox]]&gt;0</f>
        <v>0</v>
      </c>
      <c r="BQ498" s="10"/>
      <c r="BR498" s="10"/>
      <c r="BS498" s="10"/>
      <c r="BT4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8" s="19" t="e">
        <f>tbl_MTG_Set[[#This Row],[Collector Singles CardMarket Profit MTG Stocks]]/tbl_MTG_Set[[#This Row],[Collector Booster Cost]]</f>
        <v>#N/A</v>
      </c>
      <c r="BW498" s="10" t="b">
        <f>tbl_MTG_Set[[#This Row],[Collector Singles CardMarket Profit MTG Stocks]]&gt;0</f>
        <v>0</v>
      </c>
      <c r="BX498" s="10"/>
      <c r="BY498" s="10"/>
      <c r="BZ4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8" s="10" t="e">
        <f>tbl_MTG_Set[[#This Row],[Collector Singles CardMarket Profit BotBox]]/tbl_MTG_Set[[#This Row],[Collector Booster Cost]]</f>
        <v>#N/A</v>
      </c>
      <c r="CC498" s="10" t="b">
        <f>tbl_MTG_Set[[#This Row],[Collector Singles CardMarket Profit BotBox]]&gt;0</f>
        <v>0</v>
      </c>
      <c r="CD4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499" spans="1:86" hidden="1">
      <c r="A499">
        <v>530</v>
      </c>
      <c r="B499" t="s">
        <v>672</v>
      </c>
      <c r="C499">
        <v>20</v>
      </c>
      <c r="D499" s="3">
        <v>42902</v>
      </c>
      <c r="F499" t="s">
        <v>174</v>
      </c>
      <c r="G499">
        <v>1006</v>
      </c>
      <c r="H499">
        <f ca="1">MONTH(NOW())+12*YEAR(NOW())-MONTH(tbl_MTG_Set[[#This Row],[Released On]])-12*YEAR(tbl_MTG_Set[[#This Row],[Released On]])</f>
        <v>105</v>
      </c>
      <c r="I499" t="str">
        <f>_xlfn.XLOOKUP(tbl_MTG_Set[[#This Row],[Type Name]], tbl_MTG_Set_Type[Set Type], tbl_MTG_Set_Type[Index], "(Set Type not found)")</f>
        <v>(Set Type not found)</v>
      </c>
      <c r="J499" t="str">
        <f>_xlfn.XLOOKUP(tbl_MTG_Set[[#This Row],[Type Name]], tbl_MTG_Set_Type[Set Type], tbl_MTG_Set_Type[Buy Window Month Start], "(Set Type not found)")</f>
        <v>(Set Type not found)</v>
      </c>
      <c r="K499" s="3" t="e">
        <f>tbl_MTG_Set[[#This Row],[Released On]]+tbl_MTG_Set[[#This Row],[Buy Window Month Start]]*365.25/12</f>
        <v>#VALUE!</v>
      </c>
      <c r="L499" t="str">
        <f>_xlfn.XLOOKUP(tbl_MTG_Set[[#This Row],[Type Name]], tbl_MTG_Set_Type[Set Type], tbl_MTG_Set_Type[Buy Window Month End], "(Set Type not found)", 0, 1)</f>
        <v>(Set Type not found)</v>
      </c>
      <c r="M499" s="3" t="e">
        <f>tbl_MTG_Set[[#This Row],[Released On]]+tbl_MTG_Set[[#This Row],[Buy Window Month End]]*365.25/12</f>
        <v>#VALUE!</v>
      </c>
      <c r="N499" s="3" t="e">
        <f ca="1">AND(NOW()&gt;=tbl_MTG_Set[[#This Row],[Buy Window Start]], NOW()&lt;=tbl_MTG_Set[[#This Row],[Buy Window End]])</f>
        <v>#VALUE!</v>
      </c>
      <c r="O499" t="str">
        <f>_xlfn.XLOOKUP(tbl_MTG_Set[[#This Row],[Type Name]], tbl_MTG_Set_Type[Set Type], tbl_MTG_Set_Type[Heavy Printing Window Month Start], "(Set Type not found)", 0, 1)</f>
        <v>(Set Type not found)</v>
      </c>
      <c r="P499" s="3" t="e">
        <f>tbl_MTG_Set[[#This Row],[Released On]]+tbl_MTG_Set[[#This Row],[Heavy Printing Window Month Start]]*365.25/12</f>
        <v>#VALUE!</v>
      </c>
      <c r="Q499" t="str">
        <f>_xlfn.XLOOKUP(tbl_MTG_Set[[#This Row],[Type Name]], tbl_MTG_Set_Type[Set Type], tbl_MTG_Set_Type[Heavy Printing Window Month End], "(Set Type not found)", 0, 1)</f>
        <v>(Set Type not found)</v>
      </c>
      <c r="R499" s="3" t="e">
        <f>tbl_MTG_Set[[#This Row],[Released On]]+tbl_MTG_Set[[#This Row],[Heavy Printing Window Month End]]*365.25/12</f>
        <v>#VALUE!</v>
      </c>
      <c r="S499" s="3" t="e">
        <f ca="1">AND(NOW()&gt;=tbl_MTG_Set[[#This Row],[Heavy Printing Window Start]], NOW()&lt;=tbl_MTG_Set[[#This Row],[Heavy Printing Window End]])</f>
        <v>#VALUE!</v>
      </c>
      <c r="T499" t="str">
        <f>_xlfn.XLOOKUP(tbl_MTG_Set[[#This Row],[Type Name]], tbl_MTG_Set_Type[Set Type], tbl_MTG_Set_Type[Sell Window Month Start], "(Set Type not found)", 0, 1)</f>
        <v>(Set Type not found)</v>
      </c>
      <c r="U499" s="3" t="e">
        <f>tbl_MTG_Set[[#This Row],[Released On]]+tbl_MTG_Set[[#This Row],[Sell Window Month Start]]*365.25/12</f>
        <v>#VALUE!</v>
      </c>
      <c r="V499" t="str">
        <f>_xlfn.XLOOKUP(tbl_MTG_Set[[#This Row],[Type Name]], tbl_MTG_Set_Type[Set Type], tbl_MTG_Set_Type[Sell Window Month End], "(Set Type not found)", 0, 1)</f>
        <v>(Set Type not found)</v>
      </c>
      <c r="W499" s="3" t="e">
        <f>tbl_MTG_Set[[#This Row],[Released On]]+tbl_MTG_Set[[#This Row],[Sell Window Month End]]*365.25/12</f>
        <v>#VALUE!</v>
      </c>
      <c r="X499" s="3" t="e">
        <f ca="1">AND(NOW()&gt;=tbl_MTG_Set[[#This Row],[Sell Window Start]], NOW()&lt;=tbl_MTG_Set[[#This Row],[Sell Window End]])</f>
        <v>#VALUE!</v>
      </c>
      <c r="AG499" s="10"/>
      <c r="AH499" s="10"/>
      <c r="AM499" s="10" t="str" cm="1">
        <f t="array" ref="AM4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499" s="10" t="str" cm="1">
        <f t="array" ref="AN4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499" s="4" t="e">
        <f>_xlfn.XLOOKUP(tbl_MTG_Set[[#This Row],[Play Booster Box Product Id]], tbl_Product[Product Id], tbl_Product[Pack Size])</f>
        <v>#N/A</v>
      </c>
      <c r="AP499" s="10" t="e">
        <f>(tbl_MTG_Set[[#This Row],[Play Booster Box Cost]]+v_Item_Shipping_Cost_In)/tbl_MTG_Set[[#This Row],[Play Booster Box Size]]</f>
        <v>#VALUE!</v>
      </c>
      <c r="AQ499" s="10" t="str" cm="1">
        <f t="array" ref="AQ4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499" s="10"/>
      <c r="AS499" s="10"/>
      <c r="AT499" s="17" t="e">
        <f>tbl_MTG_Set[[#This Row],[Play Booster CardMarket Profit]]/tbl_MTG_Set[[#This Row],[Play Booster Cost]]</f>
        <v>#VALUE!</v>
      </c>
      <c r="AU499" s="10" t="e">
        <f>_xlfn.XLOOKUP(tbl_MTG_Set[[#This Row],[Collector Booster Box Product Id]], tbl_Product[Product Id], tbl_Product[Min Cost])</f>
        <v>#N/A</v>
      </c>
      <c r="AV499" s="10" t="e">
        <f>_xlfn.XLOOKUP(tbl_MTG_Set[[#This Row],[Collector Booster Box Product Id]], tbl_Product[Product Id], tbl_Product[Best Source])</f>
        <v>#N/A</v>
      </c>
      <c r="AW499" s="4" t="e">
        <f>_xlfn.XLOOKUP(tbl_MTG_Set[[#This Row],[Collector Booster Box Product Id]], tbl_Product[Product Id], tbl_Product[Pack Size])</f>
        <v>#N/A</v>
      </c>
      <c r="AX499" s="10" t="e">
        <f>(tbl_MTG_Set[[#This Row],[Collector Booster Box Cost]] + v_Item_Shipping_Cost_In) / tbl_MTG_Set[[#This Row],[Collector Booster Box Size]]</f>
        <v>#N/A</v>
      </c>
      <c r="AY499" s="10" t="str" cm="1">
        <f t="array" ref="AY4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499" s="10"/>
      <c r="BA4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499" s="17" t="e">
        <f>tbl_MTG_Set[[#This Row],[Collector Booster CardMarket Profit]]/tbl_MTG_Set[[#This Row],[Collector Booster Cost]]</f>
        <v>#N/A</v>
      </c>
      <c r="BC499" s="10"/>
      <c r="BF4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4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499" s="11" t="e">
        <f>tbl_MTG_Set[[#This Row],[Play Singles CardMarket Profit MTG Stocks]]/tbl_MTG_Set[[#This Row],[Play Booster Cost]]</f>
        <v>#VALUE!</v>
      </c>
      <c r="BI499" s="11" t="b">
        <f>tbl_MTG_Set[[#This Row],[Play Singles CardMarket Profit MTG Stocks]]&gt;0</f>
        <v>0</v>
      </c>
      <c r="BM499" s="10" t="e">
        <f>tbl_MTG_Set[[#This Row],[Play Booster Sell Price CardMarket]]*tbl_MTG_Set[[#This Row],[Play Booster Expected Market Value BotBox]]/tbl_MTG_Set[[#This Row],[Play Booster Sealed Market Value BotBox]]</f>
        <v>#VALUE!</v>
      </c>
      <c r="BN4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499" s="10" t="e">
        <f>tbl_MTG_Set[[#This Row],[Play Singles CardMarket Profit BotBox]]/tbl_MTG_Set[[#This Row],[Play Booster Cost]]</f>
        <v>#VALUE!</v>
      </c>
      <c r="BP499" s="10" t="b">
        <f>tbl_MTG_Set[[#This Row],[Play Singles CardMarket Profit BotBox]]&gt;0</f>
        <v>0</v>
      </c>
      <c r="BQ499" s="10"/>
      <c r="BR499" s="10"/>
      <c r="BS499" s="10"/>
      <c r="BT4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4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499" s="19" t="e">
        <f>tbl_MTG_Set[[#This Row],[Collector Singles CardMarket Profit MTG Stocks]]/tbl_MTG_Set[[#This Row],[Collector Booster Cost]]</f>
        <v>#N/A</v>
      </c>
      <c r="BW499" s="10" t="b">
        <f>tbl_MTG_Set[[#This Row],[Collector Singles CardMarket Profit MTG Stocks]]&gt;0</f>
        <v>0</v>
      </c>
      <c r="BX499" s="10"/>
      <c r="BY499" s="10"/>
      <c r="BZ4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4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499" s="10" t="e">
        <f>tbl_MTG_Set[[#This Row],[Collector Singles CardMarket Profit BotBox]]/tbl_MTG_Set[[#This Row],[Collector Booster Cost]]</f>
        <v>#N/A</v>
      </c>
      <c r="CC499" s="10" t="b">
        <f>tbl_MTG_Set[[#This Row],[Collector Singles CardMarket Profit BotBox]]&gt;0</f>
        <v>0</v>
      </c>
      <c r="CD4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4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4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4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4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0" spans="1:86" hidden="1">
      <c r="A500">
        <v>531</v>
      </c>
      <c r="B500" t="s">
        <v>673</v>
      </c>
      <c r="C500">
        <v>320</v>
      </c>
      <c r="D500" s="3">
        <v>42895</v>
      </c>
      <c r="F500" t="s">
        <v>174</v>
      </c>
      <c r="G500">
        <v>1008</v>
      </c>
      <c r="H500">
        <f ca="1">MONTH(NOW())+12*YEAR(NOW())-MONTH(tbl_MTG_Set[[#This Row],[Released On]])-12*YEAR(tbl_MTG_Set[[#This Row],[Released On]])</f>
        <v>105</v>
      </c>
      <c r="I500" t="str">
        <f>_xlfn.XLOOKUP(tbl_MTG_Set[[#This Row],[Type Name]], tbl_MTG_Set_Type[Set Type], tbl_MTG_Set_Type[Index], "(Set Type not found)")</f>
        <v>(Set Type not found)</v>
      </c>
      <c r="J500" t="str">
        <f>_xlfn.XLOOKUP(tbl_MTG_Set[[#This Row],[Type Name]], tbl_MTG_Set_Type[Set Type], tbl_MTG_Set_Type[Buy Window Month Start], "(Set Type not found)")</f>
        <v>(Set Type not found)</v>
      </c>
      <c r="K500" s="3" t="e">
        <f>tbl_MTG_Set[[#This Row],[Released On]]+tbl_MTG_Set[[#This Row],[Buy Window Month Start]]*365.25/12</f>
        <v>#VALUE!</v>
      </c>
      <c r="L500" t="str">
        <f>_xlfn.XLOOKUP(tbl_MTG_Set[[#This Row],[Type Name]], tbl_MTG_Set_Type[Set Type], tbl_MTG_Set_Type[Buy Window Month End], "(Set Type not found)", 0, 1)</f>
        <v>(Set Type not found)</v>
      </c>
      <c r="M500" s="3" t="e">
        <f>tbl_MTG_Set[[#This Row],[Released On]]+tbl_MTG_Set[[#This Row],[Buy Window Month End]]*365.25/12</f>
        <v>#VALUE!</v>
      </c>
      <c r="N500" s="3" t="e">
        <f ca="1">AND(NOW()&gt;=tbl_MTG_Set[[#This Row],[Buy Window Start]], NOW()&lt;=tbl_MTG_Set[[#This Row],[Buy Window End]])</f>
        <v>#VALUE!</v>
      </c>
      <c r="O500" t="str">
        <f>_xlfn.XLOOKUP(tbl_MTG_Set[[#This Row],[Type Name]], tbl_MTG_Set_Type[Set Type], tbl_MTG_Set_Type[Heavy Printing Window Month Start], "(Set Type not found)", 0, 1)</f>
        <v>(Set Type not found)</v>
      </c>
      <c r="P500" s="3" t="e">
        <f>tbl_MTG_Set[[#This Row],[Released On]]+tbl_MTG_Set[[#This Row],[Heavy Printing Window Month Start]]*365.25/12</f>
        <v>#VALUE!</v>
      </c>
      <c r="Q500" t="str">
        <f>_xlfn.XLOOKUP(tbl_MTG_Set[[#This Row],[Type Name]], tbl_MTG_Set_Type[Set Type], tbl_MTG_Set_Type[Heavy Printing Window Month End], "(Set Type not found)", 0, 1)</f>
        <v>(Set Type not found)</v>
      </c>
      <c r="R500" s="3" t="e">
        <f>tbl_MTG_Set[[#This Row],[Released On]]+tbl_MTG_Set[[#This Row],[Heavy Printing Window Month End]]*365.25/12</f>
        <v>#VALUE!</v>
      </c>
      <c r="S500" s="3" t="e">
        <f ca="1">AND(NOW()&gt;=tbl_MTG_Set[[#This Row],[Heavy Printing Window Start]], NOW()&lt;=tbl_MTG_Set[[#This Row],[Heavy Printing Window End]])</f>
        <v>#VALUE!</v>
      </c>
      <c r="T500" t="str">
        <f>_xlfn.XLOOKUP(tbl_MTG_Set[[#This Row],[Type Name]], tbl_MTG_Set_Type[Set Type], tbl_MTG_Set_Type[Sell Window Month Start], "(Set Type not found)", 0, 1)</f>
        <v>(Set Type not found)</v>
      </c>
      <c r="U500" s="3" t="e">
        <f>tbl_MTG_Set[[#This Row],[Released On]]+tbl_MTG_Set[[#This Row],[Sell Window Month Start]]*365.25/12</f>
        <v>#VALUE!</v>
      </c>
      <c r="V500" t="str">
        <f>_xlfn.XLOOKUP(tbl_MTG_Set[[#This Row],[Type Name]], tbl_MTG_Set_Type[Set Type], tbl_MTG_Set_Type[Sell Window Month End], "(Set Type not found)", 0, 1)</f>
        <v>(Set Type not found)</v>
      </c>
      <c r="W500" s="3" t="e">
        <f>tbl_MTG_Set[[#This Row],[Released On]]+tbl_MTG_Set[[#This Row],[Sell Window Month End]]*365.25/12</f>
        <v>#VALUE!</v>
      </c>
      <c r="X500" s="3" t="e">
        <f ca="1">AND(NOW()&gt;=tbl_MTG_Set[[#This Row],[Sell Window Start]], NOW()&lt;=tbl_MTG_Set[[#This Row],[Sell Window End]])</f>
        <v>#VALUE!</v>
      </c>
      <c r="AG500" s="10"/>
      <c r="AH500" s="10"/>
      <c r="AM500" s="10" t="str" cm="1">
        <f t="array" ref="AM5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0" s="10" t="str" cm="1">
        <f t="array" ref="AN5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0" s="4" t="e">
        <f>_xlfn.XLOOKUP(tbl_MTG_Set[[#This Row],[Play Booster Box Product Id]], tbl_Product[Product Id], tbl_Product[Pack Size])</f>
        <v>#N/A</v>
      </c>
      <c r="AP500" s="10" t="e">
        <f>(tbl_MTG_Set[[#This Row],[Play Booster Box Cost]]+v_Item_Shipping_Cost_In)/tbl_MTG_Set[[#This Row],[Play Booster Box Size]]</f>
        <v>#VALUE!</v>
      </c>
      <c r="AQ500" s="10" t="str" cm="1">
        <f t="array" ref="AQ5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0" s="10"/>
      <c r="AS500" s="10"/>
      <c r="AT500" s="17" t="e">
        <f>tbl_MTG_Set[[#This Row],[Play Booster CardMarket Profit]]/tbl_MTG_Set[[#This Row],[Play Booster Cost]]</f>
        <v>#VALUE!</v>
      </c>
      <c r="AU500" s="10" t="e">
        <f>_xlfn.XLOOKUP(tbl_MTG_Set[[#This Row],[Collector Booster Box Product Id]], tbl_Product[Product Id], tbl_Product[Min Cost])</f>
        <v>#N/A</v>
      </c>
      <c r="AV500" s="10" t="e">
        <f>_xlfn.XLOOKUP(tbl_MTG_Set[[#This Row],[Collector Booster Box Product Id]], tbl_Product[Product Id], tbl_Product[Best Source])</f>
        <v>#N/A</v>
      </c>
      <c r="AW500" s="4" t="e">
        <f>_xlfn.XLOOKUP(tbl_MTG_Set[[#This Row],[Collector Booster Box Product Id]], tbl_Product[Product Id], tbl_Product[Pack Size])</f>
        <v>#N/A</v>
      </c>
      <c r="AX500" s="10" t="e">
        <f>(tbl_MTG_Set[[#This Row],[Collector Booster Box Cost]] + v_Item_Shipping_Cost_In) / tbl_MTG_Set[[#This Row],[Collector Booster Box Size]]</f>
        <v>#N/A</v>
      </c>
      <c r="AY500" s="10" t="str" cm="1">
        <f t="array" ref="AY5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0" s="10"/>
      <c r="BA5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0" s="17" t="e">
        <f>tbl_MTG_Set[[#This Row],[Collector Booster CardMarket Profit]]/tbl_MTG_Set[[#This Row],[Collector Booster Cost]]</f>
        <v>#N/A</v>
      </c>
      <c r="BC500" s="10"/>
      <c r="BF5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0" s="11" t="e">
        <f>tbl_MTG_Set[[#This Row],[Play Singles CardMarket Profit MTG Stocks]]/tbl_MTG_Set[[#This Row],[Play Booster Cost]]</f>
        <v>#VALUE!</v>
      </c>
      <c r="BI500" s="11" t="b">
        <f>tbl_MTG_Set[[#This Row],[Play Singles CardMarket Profit MTG Stocks]]&gt;0</f>
        <v>0</v>
      </c>
      <c r="BM500" s="10" t="e">
        <f>tbl_MTG_Set[[#This Row],[Play Booster Sell Price CardMarket]]*tbl_MTG_Set[[#This Row],[Play Booster Expected Market Value BotBox]]/tbl_MTG_Set[[#This Row],[Play Booster Sealed Market Value BotBox]]</f>
        <v>#VALUE!</v>
      </c>
      <c r="BN5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0" s="10" t="e">
        <f>tbl_MTG_Set[[#This Row],[Play Singles CardMarket Profit BotBox]]/tbl_MTG_Set[[#This Row],[Play Booster Cost]]</f>
        <v>#VALUE!</v>
      </c>
      <c r="BP500" s="10" t="b">
        <f>tbl_MTG_Set[[#This Row],[Play Singles CardMarket Profit BotBox]]&gt;0</f>
        <v>0</v>
      </c>
      <c r="BQ500" s="10"/>
      <c r="BR500" s="10"/>
      <c r="BS500" s="10"/>
      <c r="BT5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0" s="19" t="e">
        <f>tbl_MTG_Set[[#This Row],[Collector Singles CardMarket Profit MTG Stocks]]/tbl_MTG_Set[[#This Row],[Collector Booster Cost]]</f>
        <v>#N/A</v>
      </c>
      <c r="BW500" s="10" t="b">
        <f>tbl_MTG_Set[[#This Row],[Collector Singles CardMarket Profit MTG Stocks]]&gt;0</f>
        <v>0</v>
      </c>
      <c r="BX500" s="10"/>
      <c r="BY500" s="10"/>
      <c r="BZ5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0" s="10" t="e">
        <f>tbl_MTG_Set[[#This Row],[Collector Singles CardMarket Profit BotBox]]/tbl_MTG_Set[[#This Row],[Collector Booster Cost]]</f>
        <v>#N/A</v>
      </c>
      <c r="CC500" s="10" t="b">
        <f>tbl_MTG_Set[[#This Row],[Collector Singles CardMarket Profit BotBox]]&gt;0</f>
        <v>0</v>
      </c>
      <c r="CD5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1" spans="1:86" hidden="1">
      <c r="A501">
        <v>532</v>
      </c>
      <c r="B501" t="s">
        <v>674</v>
      </c>
      <c r="C501">
        <v>20</v>
      </c>
      <c r="D501" s="3">
        <v>42895</v>
      </c>
      <c r="F501" t="s">
        <v>174</v>
      </c>
      <c r="G501">
        <v>1010</v>
      </c>
      <c r="H501">
        <f ca="1">MONTH(NOW())+12*YEAR(NOW())-MONTH(tbl_MTG_Set[[#This Row],[Released On]])-12*YEAR(tbl_MTG_Set[[#This Row],[Released On]])</f>
        <v>105</v>
      </c>
      <c r="I501" t="str">
        <f>_xlfn.XLOOKUP(tbl_MTG_Set[[#This Row],[Type Name]], tbl_MTG_Set_Type[Set Type], tbl_MTG_Set_Type[Index], "(Set Type not found)")</f>
        <v>(Set Type not found)</v>
      </c>
      <c r="J501" t="str">
        <f>_xlfn.XLOOKUP(tbl_MTG_Set[[#This Row],[Type Name]], tbl_MTG_Set_Type[Set Type], tbl_MTG_Set_Type[Buy Window Month Start], "(Set Type not found)")</f>
        <v>(Set Type not found)</v>
      </c>
      <c r="K501" s="3" t="e">
        <f>tbl_MTG_Set[[#This Row],[Released On]]+tbl_MTG_Set[[#This Row],[Buy Window Month Start]]*365.25/12</f>
        <v>#VALUE!</v>
      </c>
      <c r="L501" t="str">
        <f>_xlfn.XLOOKUP(tbl_MTG_Set[[#This Row],[Type Name]], tbl_MTG_Set_Type[Set Type], tbl_MTG_Set_Type[Buy Window Month End], "(Set Type not found)", 0, 1)</f>
        <v>(Set Type not found)</v>
      </c>
      <c r="M501" s="3" t="e">
        <f>tbl_MTG_Set[[#This Row],[Released On]]+tbl_MTG_Set[[#This Row],[Buy Window Month End]]*365.25/12</f>
        <v>#VALUE!</v>
      </c>
      <c r="N501" s="3" t="e">
        <f ca="1">AND(NOW()&gt;=tbl_MTG_Set[[#This Row],[Buy Window Start]], NOW()&lt;=tbl_MTG_Set[[#This Row],[Buy Window End]])</f>
        <v>#VALUE!</v>
      </c>
      <c r="O501" t="str">
        <f>_xlfn.XLOOKUP(tbl_MTG_Set[[#This Row],[Type Name]], tbl_MTG_Set_Type[Set Type], tbl_MTG_Set_Type[Heavy Printing Window Month Start], "(Set Type not found)", 0, 1)</f>
        <v>(Set Type not found)</v>
      </c>
      <c r="P501" s="3" t="e">
        <f>tbl_MTG_Set[[#This Row],[Released On]]+tbl_MTG_Set[[#This Row],[Heavy Printing Window Month Start]]*365.25/12</f>
        <v>#VALUE!</v>
      </c>
      <c r="Q501" t="str">
        <f>_xlfn.XLOOKUP(tbl_MTG_Set[[#This Row],[Type Name]], tbl_MTG_Set_Type[Set Type], tbl_MTG_Set_Type[Heavy Printing Window Month End], "(Set Type not found)", 0, 1)</f>
        <v>(Set Type not found)</v>
      </c>
      <c r="R501" s="3" t="e">
        <f>tbl_MTG_Set[[#This Row],[Released On]]+tbl_MTG_Set[[#This Row],[Heavy Printing Window Month End]]*365.25/12</f>
        <v>#VALUE!</v>
      </c>
      <c r="S501" s="3" t="e">
        <f ca="1">AND(NOW()&gt;=tbl_MTG_Set[[#This Row],[Heavy Printing Window Start]], NOW()&lt;=tbl_MTG_Set[[#This Row],[Heavy Printing Window End]])</f>
        <v>#VALUE!</v>
      </c>
      <c r="T501" t="str">
        <f>_xlfn.XLOOKUP(tbl_MTG_Set[[#This Row],[Type Name]], tbl_MTG_Set_Type[Set Type], tbl_MTG_Set_Type[Sell Window Month Start], "(Set Type not found)", 0, 1)</f>
        <v>(Set Type not found)</v>
      </c>
      <c r="U501" s="3" t="e">
        <f>tbl_MTG_Set[[#This Row],[Released On]]+tbl_MTG_Set[[#This Row],[Sell Window Month Start]]*365.25/12</f>
        <v>#VALUE!</v>
      </c>
      <c r="V501" t="str">
        <f>_xlfn.XLOOKUP(tbl_MTG_Set[[#This Row],[Type Name]], tbl_MTG_Set_Type[Set Type], tbl_MTG_Set_Type[Sell Window Month End], "(Set Type not found)", 0, 1)</f>
        <v>(Set Type not found)</v>
      </c>
      <c r="W501" s="3" t="e">
        <f>tbl_MTG_Set[[#This Row],[Released On]]+tbl_MTG_Set[[#This Row],[Sell Window Month End]]*365.25/12</f>
        <v>#VALUE!</v>
      </c>
      <c r="X501" s="3" t="e">
        <f ca="1">AND(NOW()&gt;=tbl_MTG_Set[[#This Row],[Sell Window Start]], NOW()&lt;=tbl_MTG_Set[[#This Row],[Sell Window End]])</f>
        <v>#VALUE!</v>
      </c>
      <c r="AG501" s="10"/>
      <c r="AH501" s="10"/>
      <c r="AM501" s="10" t="str" cm="1">
        <f t="array" ref="AM5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1" s="10" t="str" cm="1">
        <f t="array" ref="AN5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1" s="4" t="e">
        <f>_xlfn.XLOOKUP(tbl_MTG_Set[[#This Row],[Play Booster Box Product Id]], tbl_Product[Product Id], tbl_Product[Pack Size])</f>
        <v>#N/A</v>
      </c>
      <c r="AP501" s="10" t="e">
        <f>(tbl_MTG_Set[[#This Row],[Play Booster Box Cost]]+v_Item_Shipping_Cost_In)/tbl_MTG_Set[[#This Row],[Play Booster Box Size]]</f>
        <v>#VALUE!</v>
      </c>
      <c r="AQ501" s="10" t="str" cm="1">
        <f t="array" ref="AQ5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1" s="10"/>
      <c r="AS501" s="10"/>
      <c r="AT501" s="17" t="e">
        <f>tbl_MTG_Set[[#This Row],[Play Booster CardMarket Profit]]/tbl_MTG_Set[[#This Row],[Play Booster Cost]]</f>
        <v>#VALUE!</v>
      </c>
      <c r="AU501" s="10" t="e">
        <f>_xlfn.XLOOKUP(tbl_MTG_Set[[#This Row],[Collector Booster Box Product Id]], tbl_Product[Product Id], tbl_Product[Min Cost])</f>
        <v>#N/A</v>
      </c>
      <c r="AV501" s="10" t="e">
        <f>_xlfn.XLOOKUP(tbl_MTG_Set[[#This Row],[Collector Booster Box Product Id]], tbl_Product[Product Id], tbl_Product[Best Source])</f>
        <v>#N/A</v>
      </c>
      <c r="AW501" s="4" t="e">
        <f>_xlfn.XLOOKUP(tbl_MTG_Set[[#This Row],[Collector Booster Box Product Id]], tbl_Product[Product Id], tbl_Product[Pack Size])</f>
        <v>#N/A</v>
      </c>
      <c r="AX501" s="10" t="e">
        <f>(tbl_MTG_Set[[#This Row],[Collector Booster Box Cost]] + v_Item_Shipping_Cost_In) / tbl_MTG_Set[[#This Row],[Collector Booster Box Size]]</f>
        <v>#N/A</v>
      </c>
      <c r="AY501" s="10" t="str" cm="1">
        <f t="array" ref="AY5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1" s="10"/>
      <c r="BA5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1" s="17" t="e">
        <f>tbl_MTG_Set[[#This Row],[Collector Booster CardMarket Profit]]/tbl_MTG_Set[[#This Row],[Collector Booster Cost]]</f>
        <v>#N/A</v>
      </c>
      <c r="BC501" s="10"/>
      <c r="BF5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1" s="11" t="e">
        <f>tbl_MTG_Set[[#This Row],[Play Singles CardMarket Profit MTG Stocks]]/tbl_MTG_Set[[#This Row],[Play Booster Cost]]</f>
        <v>#VALUE!</v>
      </c>
      <c r="BI501" s="11" t="b">
        <f>tbl_MTG_Set[[#This Row],[Play Singles CardMarket Profit MTG Stocks]]&gt;0</f>
        <v>0</v>
      </c>
      <c r="BM501" s="10" t="e">
        <f>tbl_MTG_Set[[#This Row],[Play Booster Sell Price CardMarket]]*tbl_MTG_Set[[#This Row],[Play Booster Expected Market Value BotBox]]/tbl_MTG_Set[[#This Row],[Play Booster Sealed Market Value BotBox]]</f>
        <v>#VALUE!</v>
      </c>
      <c r="BN5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1" s="10" t="e">
        <f>tbl_MTG_Set[[#This Row],[Play Singles CardMarket Profit BotBox]]/tbl_MTG_Set[[#This Row],[Play Booster Cost]]</f>
        <v>#VALUE!</v>
      </c>
      <c r="BP501" s="10" t="b">
        <f>tbl_MTG_Set[[#This Row],[Play Singles CardMarket Profit BotBox]]&gt;0</f>
        <v>0</v>
      </c>
      <c r="BQ501" s="10"/>
      <c r="BR501" s="10"/>
      <c r="BS501" s="10"/>
      <c r="BT5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1" s="19" t="e">
        <f>tbl_MTG_Set[[#This Row],[Collector Singles CardMarket Profit MTG Stocks]]/tbl_MTG_Set[[#This Row],[Collector Booster Cost]]</f>
        <v>#N/A</v>
      </c>
      <c r="BW501" s="10" t="b">
        <f>tbl_MTG_Set[[#This Row],[Collector Singles CardMarket Profit MTG Stocks]]&gt;0</f>
        <v>0</v>
      </c>
      <c r="BX501" s="10"/>
      <c r="BY501" s="10"/>
      <c r="BZ5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1" s="10" t="e">
        <f>tbl_MTG_Set[[#This Row],[Collector Singles CardMarket Profit BotBox]]/tbl_MTG_Set[[#This Row],[Collector Booster Cost]]</f>
        <v>#N/A</v>
      </c>
      <c r="CC501" s="10" t="b">
        <f>tbl_MTG_Set[[#This Row],[Collector Singles CardMarket Profit BotBox]]&gt;0</f>
        <v>0</v>
      </c>
      <c r="CD5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2" spans="1:86" hidden="1">
      <c r="A502">
        <v>533</v>
      </c>
      <c r="B502" t="s">
        <v>675</v>
      </c>
      <c r="C502">
        <v>287</v>
      </c>
      <c r="D502" s="3">
        <v>42853</v>
      </c>
      <c r="F502" t="s">
        <v>174</v>
      </c>
      <c r="G502">
        <v>1012</v>
      </c>
      <c r="H502">
        <f ca="1">MONTH(NOW())+12*YEAR(NOW())-MONTH(tbl_MTG_Set[[#This Row],[Released On]])-12*YEAR(tbl_MTG_Set[[#This Row],[Released On]])</f>
        <v>107</v>
      </c>
      <c r="I502" t="str">
        <f>_xlfn.XLOOKUP(tbl_MTG_Set[[#This Row],[Type Name]], tbl_MTG_Set_Type[Set Type], tbl_MTG_Set_Type[Index], "(Set Type not found)")</f>
        <v>(Set Type not found)</v>
      </c>
      <c r="J502" t="str">
        <f>_xlfn.XLOOKUP(tbl_MTG_Set[[#This Row],[Type Name]], tbl_MTG_Set_Type[Set Type], tbl_MTG_Set_Type[Buy Window Month Start], "(Set Type not found)")</f>
        <v>(Set Type not found)</v>
      </c>
      <c r="K502" s="3" t="e">
        <f>tbl_MTG_Set[[#This Row],[Released On]]+tbl_MTG_Set[[#This Row],[Buy Window Month Start]]*365.25/12</f>
        <v>#VALUE!</v>
      </c>
      <c r="L502" t="str">
        <f>_xlfn.XLOOKUP(tbl_MTG_Set[[#This Row],[Type Name]], tbl_MTG_Set_Type[Set Type], tbl_MTG_Set_Type[Buy Window Month End], "(Set Type not found)", 0, 1)</f>
        <v>(Set Type not found)</v>
      </c>
      <c r="M502" s="3" t="e">
        <f>tbl_MTG_Set[[#This Row],[Released On]]+tbl_MTG_Set[[#This Row],[Buy Window Month End]]*365.25/12</f>
        <v>#VALUE!</v>
      </c>
      <c r="N502" s="3" t="e">
        <f ca="1">AND(NOW()&gt;=tbl_MTG_Set[[#This Row],[Buy Window Start]], NOW()&lt;=tbl_MTG_Set[[#This Row],[Buy Window End]])</f>
        <v>#VALUE!</v>
      </c>
      <c r="O502" t="str">
        <f>_xlfn.XLOOKUP(tbl_MTG_Set[[#This Row],[Type Name]], tbl_MTG_Set_Type[Set Type], tbl_MTG_Set_Type[Heavy Printing Window Month Start], "(Set Type not found)", 0, 1)</f>
        <v>(Set Type not found)</v>
      </c>
      <c r="P502" s="3" t="e">
        <f>tbl_MTG_Set[[#This Row],[Released On]]+tbl_MTG_Set[[#This Row],[Heavy Printing Window Month Start]]*365.25/12</f>
        <v>#VALUE!</v>
      </c>
      <c r="Q502" t="str">
        <f>_xlfn.XLOOKUP(tbl_MTG_Set[[#This Row],[Type Name]], tbl_MTG_Set_Type[Set Type], tbl_MTG_Set_Type[Heavy Printing Window Month End], "(Set Type not found)", 0, 1)</f>
        <v>(Set Type not found)</v>
      </c>
      <c r="R502" s="3" t="e">
        <f>tbl_MTG_Set[[#This Row],[Released On]]+tbl_MTG_Set[[#This Row],[Heavy Printing Window Month End]]*365.25/12</f>
        <v>#VALUE!</v>
      </c>
      <c r="S502" s="3" t="e">
        <f ca="1">AND(NOW()&gt;=tbl_MTG_Set[[#This Row],[Heavy Printing Window Start]], NOW()&lt;=tbl_MTG_Set[[#This Row],[Heavy Printing Window End]])</f>
        <v>#VALUE!</v>
      </c>
      <c r="T502" t="str">
        <f>_xlfn.XLOOKUP(tbl_MTG_Set[[#This Row],[Type Name]], tbl_MTG_Set_Type[Set Type], tbl_MTG_Set_Type[Sell Window Month Start], "(Set Type not found)", 0, 1)</f>
        <v>(Set Type not found)</v>
      </c>
      <c r="U502" s="3" t="e">
        <f>tbl_MTG_Set[[#This Row],[Released On]]+tbl_MTG_Set[[#This Row],[Sell Window Month Start]]*365.25/12</f>
        <v>#VALUE!</v>
      </c>
      <c r="V502" t="str">
        <f>_xlfn.XLOOKUP(tbl_MTG_Set[[#This Row],[Type Name]], tbl_MTG_Set_Type[Set Type], tbl_MTG_Set_Type[Sell Window Month End], "(Set Type not found)", 0, 1)</f>
        <v>(Set Type not found)</v>
      </c>
      <c r="W502" s="3" t="e">
        <f>tbl_MTG_Set[[#This Row],[Released On]]+tbl_MTG_Set[[#This Row],[Sell Window Month End]]*365.25/12</f>
        <v>#VALUE!</v>
      </c>
      <c r="X502" s="3" t="e">
        <f ca="1">AND(NOW()&gt;=tbl_MTG_Set[[#This Row],[Sell Window Start]], NOW()&lt;=tbl_MTG_Set[[#This Row],[Sell Window End]])</f>
        <v>#VALUE!</v>
      </c>
      <c r="AG502" s="10"/>
      <c r="AH502" s="10"/>
      <c r="AM502" s="10" t="str" cm="1">
        <f t="array" ref="AM5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2" s="10" t="str" cm="1">
        <f t="array" ref="AN5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2" s="4" t="e">
        <f>_xlfn.XLOOKUP(tbl_MTG_Set[[#This Row],[Play Booster Box Product Id]], tbl_Product[Product Id], tbl_Product[Pack Size])</f>
        <v>#N/A</v>
      </c>
      <c r="AP502" s="10" t="e">
        <f>(tbl_MTG_Set[[#This Row],[Play Booster Box Cost]]+v_Item_Shipping_Cost_In)/tbl_MTG_Set[[#This Row],[Play Booster Box Size]]</f>
        <v>#VALUE!</v>
      </c>
      <c r="AQ502" s="10" t="str" cm="1">
        <f t="array" ref="AQ5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2" s="10"/>
      <c r="AS502" s="10"/>
      <c r="AT502" s="17" t="e">
        <f>tbl_MTG_Set[[#This Row],[Play Booster CardMarket Profit]]/tbl_MTG_Set[[#This Row],[Play Booster Cost]]</f>
        <v>#VALUE!</v>
      </c>
      <c r="AU502" s="10" t="e">
        <f>_xlfn.XLOOKUP(tbl_MTG_Set[[#This Row],[Collector Booster Box Product Id]], tbl_Product[Product Id], tbl_Product[Min Cost])</f>
        <v>#N/A</v>
      </c>
      <c r="AV502" s="10" t="e">
        <f>_xlfn.XLOOKUP(tbl_MTG_Set[[#This Row],[Collector Booster Box Product Id]], tbl_Product[Product Id], tbl_Product[Best Source])</f>
        <v>#N/A</v>
      </c>
      <c r="AW502" s="4" t="e">
        <f>_xlfn.XLOOKUP(tbl_MTG_Set[[#This Row],[Collector Booster Box Product Id]], tbl_Product[Product Id], tbl_Product[Pack Size])</f>
        <v>#N/A</v>
      </c>
      <c r="AX502" s="10" t="e">
        <f>(tbl_MTG_Set[[#This Row],[Collector Booster Box Cost]] + v_Item_Shipping_Cost_In) / tbl_MTG_Set[[#This Row],[Collector Booster Box Size]]</f>
        <v>#N/A</v>
      </c>
      <c r="AY502" s="10" t="str" cm="1">
        <f t="array" ref="AY5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2" s="10"/>
      <c r="BA5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2" s="17" t="e">
        <f>tbl_MTG_Set[[#This Row],[Collector Booster CardMarket Profit]]/tbl_MTG_Set[[#This Row],[Collector Booster Cost]]</f>
        <v>#N/A</v>
      </c>
      <c r="BC502" s="10"/>
      <c r="BF5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2" s="11" t="e">
        <f>tbl_MTG_Set[[#This Row],[Play Singles CardMarket Profit MTG Stocks]]/tbl_MTG_Set[[#This Row],[Play Booster Cost]]</f>
        <v>#VALUE!</v>
      </c>
      <c r="BI502" s="11" t="b">
        <f>tbl_MTG_Set[[#This Row],[Play Singles CardMarket Profit MTG Stocks]]&gt;0</f>
        <v>0</v>
      </c>
      <c r="BM502" s="10" t="e">
        <f>tbl_MTG_Set[[#This Row],[Play Booster Sell Price CardMarket]]*tbl_MTG_Set[[#This Row],[Play Booster Expected Market Value BotBox]]/tbl_MTG_Set[[#This Row],[Play Booster Sealed Market Value BotBox]]</f>
        <v>#VALUE!</v>
      </c>
      <c r="BN5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2" s="10" t="e">
        <f>tbl_MTG_Set[[#This Row],[Play Singles CardMarket Profit BotBox]]/tbl_MTG_Set[[#This Row],[Play Booster Cost]]</f>
        <v>#VALUE!</v>
      </c>
      <c r="BP502" s="10" t="b">
        <f>tbl_MTG_Set[[#This Row],[Play Singles CardMarket Profit BotBox]]&gt;0</f>
        <v>0</v>
      </c>
      <c r="BQ502" s="10"/>
      <c r="BR502" s="10"/>
      <c r="BS502" s="10"/>
      <c r="BT5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2" s="19" t="e">
        <f>tbl_MTG_Set[[#This Row],[Collector Singles CardMarket Profit MTG Stocks]]/tbl_MTG_Set[[#This Row],[Collector Booster Cost]]</f>
        <v>#N/A</v>
      </c>
      <c r="BW502" s="10" t="b">
        <f>tbl_MTG_Set[[#This Row],[Collector Singles CardMarket Profit MTG Stocks]]&gt;0</f>
        <v>0</v>
      </c>
      <c r="BX502" s="10"/>
      <c r="BY502" s="10"/>
      <c r="BZ5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2" s="10" t="e">
        <f>tbl_MTG_Set[[#This Row],[Collector Singles CardMarket Profit BotBox]]/tbl_MTG_Set[[#This Row],[Collector Booster Cost]]</f>
        <v>#N/A</v>
      </c>
      <c r="CC502" s="10" t="b">
        <f>tbl_MTG_Set[[#This Row],[Collector Singles CardMarket Profit BotBox]]&gt;0</f>
        <v>0</v>
      </c>
      <c r="CD5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3" spans="1:86" hidden="1">
      <c r="A503">
        <v>534</v>
      </c>
      <c r="B503" t="s">
        <v>676</v>
      </c>
      <c r="C503">
        <v>54</v>
      </c>
      <c r="D503" s="3">
        <v>42853</v>
      </c>
      <c r="F503" t="s">
        <v>174</v>
      </c>
      <c r="G503">
        <v>1014</v>
      </c>
      <c r="H503">
        <f ca="1">MONTH(NOW())+12*YEAR(NOW())-MONTH(tbl_MTG_Set[[#This Row],[Released On]])-12*YEAR(tbl_MTG_Set[[#This Row],[Released On]])</f>
        <v>107</v>
      </c>
      <c r="I503" t="str">
        <f>_xlfn.XLOOKUP(tbl_MTG_Set[[#This Row],[Type Name]], tbl_MTG_Set_Type[Set Type], tbl_MTG_Set_Type[Index], "(Set Type not found)")</f>
        <v>(Set Type not found)</v>
      </c>
      <c r="J503" t="str">
        <f>_xlfn.XLOOKUP(tbl_MTG_Set[[#This Row],[Type Name]], tbl_MTG_Set_Type[Set Type], tbl_MTG_Set_Type[Buy Window Month Start], "(Set Type not found)")</f>
        <v>(Set Type not found)</v>
      </c>
      <c r="K503" s="3" t="e">
        <f>tbl_MTG_Set[[#This Row],[Released On]]+tbl_MTG_Set[[#This Row],[Buy Window Month Start]]*365.25/12</f>
        <v>#VALUE!</v>
      </c>
      <c r="L503" t="str">
        <f>_xlfn.XLOOKUP(tbl_MTG_Set[[#This Row],[Type Name]], tbl_MTG_Set_Type[Set Type], tbl_MTG_Set_Type[Buy Window Month End], "(Set Type not found)", 0, 1)</f>
        <v>(Set Type not found)</v>
      </c>
      <c r="M503" s="3" t="e">
        <f>tbl_MTG_Set[[#This Row],[Released On]]+tbl_MTG_Set[[#This Row],[Buy Window Month End]]*365.25/12</f>
        <v>#VALUE!</v>
      </c>
      <c r="N503" s="3" t="e">
        <f ca="1">AND(NOW()&gt;=tbl_MTG_Set[[#This Row],[Buy Window Start]], NOW()&lt;=tbl_MTG_Set[[#This Row],[Buy Window End]])</f>
        <v>#VALUE!</v>
      </c>
      <c r="O503" t="str">
        <f>_xlfn.XLOOKUP(tbl_MTG_Set[[#This Row],[Type Name]], tbl_MTG_Set_Type[Set Type], tbl_MTG_Set_Type[Heavy Printing Window Month Start], "(Set Type not found)", 0, 1)</f>
        <v>(Set Type not found)</v>
      </c>
      <c r="P503" s="3" t="e">
        <f>tbl_MTG_Set[[#This Row],[Released On]]+tbl_MTG_Set[[#This Row],[Heavy Printing Window Month Start]]*365.25/12</f>
        <v>#VALUE!</v>
      </c>
      <c r="Q503" t="str">
        <f>_xlfn.XLOOKUP(tbl_MTG_Set[[#This Row],[Type Name]], tbl_MTG_Set_Type[Set Type], tbl_MTG_Set_Type[Heavy Printing Window Month End], "(Set Type not found)", 0, 1)</f>
        <v>(Set Type not found)</v>
      </c>
      <c r="R503" s="3" t="e">
        <f>tbl_MTG_Set[[#This Row],[Released On]]+tbl_MTG_Set[[#This Row],[Heavy Printing Window Month End]]*365.25/12</f>
        <v>#VALUE!</v>
      </c>
      <c r="S503" s="3" t="e">
        <f ca="1">AND(NOW()&gt;=tbl_MTG_Set[[#This Row],[Heavy Printing Window Start]], NOW()&lt;=tbl_MTG_Set[[#This Row],[Heavy Printing Window End]])</f>
        <v>#VALUE!</v>
      </c>
      <c r="T503" t="str">
        <f>_xlfn.XLOOKUP(tbl_MTG_Set[[#This Row],[Type Name]], tbl_MTG_Set_Type[Set Type], tbl_MTG_Set_Type[Sell Window Month Start], "(Set Type not found)", 0, 1)</f>
        <v>(Set Type not found)</v>
      </c>
      <c r="U503" s="3" t="e">
        <f>tbl_MTG_Set[[#This Row],[Released On]]+tbl_MTG_Set[[#This Row],[Sell Window Month Start]]*365.25/12</f>
        <v>#VALUE!</v>
      </c>
      <c r="V503" t="str">
        <f>_xlfn.XLOOKUP(tbl_MTG_Set[[#This Row],[Type Name]], tbl_MTG_Set_Type[Set Type], tbl_MTG_Set_Type[Sell Window Month End], "(Set Type not found)", 0, 1)</f>
        <v>(Set Type not found)</v>
      </c>
      <c r="W503" s="3" t="e">
        <f>tbl_MTG_Set[[#This Row],[Released On]]+tbl_MTG_Set[[#This Row],[Sell Window Month End]]*365.25/12</f>
        <v>#VALUE!</v>
      </c>
      <c r="X503" s="3" t="e">
        <f ca="1">AND(NOW()&gt;=tbl_MTG_Set[[#This Row],[Sell Window Start]], NOW()&lt;=tbl_MTG_Set[[#This Row],[Sell Window End]])</f>
        <v>#VALUE!</v>
      </c>
      <c r="AG503" s="10"/>
      <c r="AH503" s="10"/>
      <c r="AM503" s="10" t="str" cm="1">
        <f t="array" ref="AM5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3" s="10" t="str" cm="1">
        <f t="array" ref="AN5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3" s="4" t="e">
        <f>_xlfn.XLOOKUP(tbl_MTG_Set[[#This Row],[Play Booster Box Product Id]], tbl_Product[Product Id], tbl_Product[Pack Size])</f>
        <v>#N/A</v>
      </c>
      <c r="AP503" s="10" t="e">
        <f>(tbl_MTG_Set[[#This Row],[Play Booster Box Cost]]+v_Item_Shipping_Cost_In)/tbl_MTG_Set[[#This Row],[Play Booster Box Size]]</f>
        <v>#VALUE!</v>
      </c>
      <c r="AQ503" s="10" t="str" cm="1">
        <f t="array" ref="AQ5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3" s="10"/>
      <c r="AS503" s="10"/>
      <c r="AT503" s="17" t="e">
        <f>tbl_MTG_Set[[#This Row],[Play Booster CardMarket Profit]]/tbl_MTG_Set[[#This Row],[Play Booster Cost]]</f>
        <v>#VALUE!</v>
      </c>
      <c r="AU503" s="10" t="e">
        <f>_xlfn.XLOOKUP(tbl_MTG_Set[[#This Row],[Collector Booster Box Product Id]], tbl_Product[Product Id], tbl_Product[Min Cost])</f>
        <v>#N/A</v>
      </c>
      <c r="AV503" s="10" t="e">
        <f>_xlfn.XLOOKUP(tbl_MTG_Set[[#This Row],[Collector Booster Box Product Id]], tbl_Product[Product Id], tbl_Product[Best Source])</f>
        <v>#N/A</v>
      </c>
      <c r="AW503" s="4" t="e">
        <f>_xlfn.XLOOKUP(tbl_MTG_Set[[#This Row],[Collector Booster Box Product Id]], tbl_Product[Product Id], tbl_Product[Pack Size])</f>
        <v>#N/A</v>
      </c>
      <c r="AX503" s="10" t="e">
        <f>(tbl_MTG_Set[[#This Row],[Collector Booster Box Cost]] + v_Item_Shipping_Cost_In) / tbl_MTG_Set[[#This Row],[Collector Booster Box Size]]</f>
        <v>#N/A</v>
      </c>
      <c r="AY503" s="10" t="str" cm="1">
        <f t="array" ref="AY5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3" s="10"/>
      <c r="BA5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3" s="17" t="e">
        <f>tbl_MTG_Set[[#This Row],[Collector Booster CardMarket Profit]]/tbl_MTG_Set[[#This Row],[Collector Booster Cost]]</f>
        <v>#N/A</v>
      </c>
      <c r="BC503" s="10"/>
      <c r="BF5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3" s="11" t="e">
        <f>tbl_MTG_Set[[#This Row],[Play Singles CardMarket Profit MTG Stocks]]/tbl_MTG_Set[[#This Row],[Play Booster Cost]]</f>
        <v>#VALUE!</v>
      </c>
      <c r="BI503" s="11" t="b">
        <f>tbl_MTG_Set[[#This Row],[Play Singles CardMarket Profit MTG Stocks]]&gt;0</f>
        <v>0</v>
      </c>
      <c r="BM503" s="10" t="e">
        <f>tbl_MTG_Set[[#This Row],[Play Booster Sell Price CardMarket]]*tbl_MTG_Set[[#This Row],[Play Booster Expected Market Value BotBox]]/tbl_MTG_Set[[#This Row],[Play Booster Sealed Market Value BotBox]]</f>
        <v>#VALUE!</v>
      </c>
      <c r="BN5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3" s="10" t="e">
        <f>tbl_MTG_Set[[#This Row],[Play Singles CardMarket Profit BotBox]]/tbl_MTG_Set[[#This Row],[Play Booster Cost]]</f>
        <v>#VALUE!</v>
      </c>
      <c r="BP503" s="10" t="b">
        <f>tbl_MTG_Set[[#This Row],[Play Singles CardMarket Profit BotBox]]&gt;0</f>
        <v>0</v>
      </c>
      <c r="BQ503" s="10"/>
      <c r="BR503" s="10"/>
      <c r="BS503" s="10"/>
      <c r="BT5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3" s="19" t="e">
        <f>tbl_MTG_Set[[#This Row],[Collector Singles CardMarket Profit MTG Stocks]]/tbl_MTG_Set[[#This Row],[Collector Booster Cost]]</f>
        <v>#N/A</v>
      </c>
      <c r="BW503" s="10" t="b">
        <f>tbl_MTG_Set[[#This Row],[Collector Singles CardMarket Profit MTG Stocks]]&gt;0</f>
        <v>0</v>
      </c>
      <c r="BX503" s="10"/>
      <c r="BY503" s="10"/>
      <c r="BZ5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3" s="10" t="e">
        <f>tbl_MTG_Set[[#This Row],[Collector Singles CardMarket Profit BotBox]]/tbl_MTG_Set[[#This Row],[Collector Booster Cost]]</f>
        <v>#N/A</v>
      </c>
      <c r="CC503" s="10" t="b">
        <f>tbl_MTG_Set[[#This Row],[Collector Singles CardMarket Profit BotBox]]&gt;0</f>
        <v>0</v>
      </c>
      <c r="CD5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4" spans="1:86" hidden="1">
      <c r="A504">
        <v>535</v>
      </c>
      <c r="B504" t="s">
        <v>677</v>
      </c>
      <c r="C504">
        <v>77</v>
      </c>
      <c r="D504" s="3">
        <v>42853</v>
      </c>
      <c r="F504" t="s">
        <v>174</v>
      </c>
      <c r="G504">
        <v>1016</v>
      </c>
      <c r="H504">
        <f ca="1">MONTH(NOW())+12*YEAR(NOW())-MONTH(tbl_MTG_Set[[#This Row],[Released On]])-12*YEAR(tbl_MTG_Set[[#This Row],[Released On]])</f>
        <v>107</v>
      </c>
      <c r="I504" t="str">
        <f>_xlfn.XLOOKUP(tbl_MTG_Set[[#This Row],[Type Name]], tbl_MTG_Set_Type[Set Type], tbl_MTG_Set_Type[Index], "(Set Type not found)")</f>
        <v>(Set Type not found)</v>
      </c>
      <c r="J504" t="str">
        <f>_xlfn.XLOOKUP(tbl_MTG_Set[[#This Row],[Type Name]], tbl_MTG_Set_Type[Set Type], tbl_MTG_Set_Type[Buy Window Month Start], "(Set Type not found)")</f>
        <v>(Set Type not found)</v>
      </c>
      <c r="K504" s="3" t="e">
        <f>tbl_MTG_Set[[#This Row],[Released On]]+tbl_MTG_Set[[#This Row],[Buy Window Month Start]]*365.25/12</f>
        <v>#VALUE!</v>
      </c>
      <c r="L504" t="str">
        <f>_xlfn.XLOOKUP(tbl_MTG_Set[[#This Row],[Type Name]], tbl_MTG_Set_Type[Set Type], tbl_MTG_Set_Type[Buy Window Month End], "(Set Type not found)", 0, 1)</f>
        <v>(Set Type not found)</v>
      </c>
      <c r="M504" s="3" t="e">
        <f>tbl_MTG_Set[[#This Row],[Released On]]+tbl_MTG_Set[[#This Row],[Buy Window Month End]]*365.25/12</f>
        <v>#VALUE!</v>
      </c>
      <c r="N504" s="3" t="e">
        <f ca="1">AND(NOW()&gt;=tbl_MTG_Set[[#This Row],[Buy Window Start]], NOW()&lt;=tbl_MTG_Set[[#This Row],[Buy Window End]])</f>
        <v>#VALUE!</v>
      </c>
      <c r="O504" t="str">
        <f>_xlfn.XLOOKUP(tbl_MTG_Set[[#This Row],[Type Name]], tbl_MTG_Set_Type[Set Type], tbl_MTG_Set_Type[Heavy Printing Window Month Start], "(Set Type not found)", 0, 1)</f>
        <v>(Set Type not found)</v>
      </c>
      <c r="P504" s="3" t="e">
        <f>tbl_MTG_Set[[#This Row],[Released On]]+tbl_MTG_Set[[#This Row],[Heavy Printing Window Month Start]]*365.25/12</f>
        <v>#VALUE!</v>
      </c>
      <c r="Q504" t="str">
        <f>_xlfn.XLOOKUP(tbl_MTG_Set[[#This Row],[Type Name]], tbl_MTG_Set_Type[Set Type], tbl_MTG_Set_Type[Heavy Printing Window Month End], "(Set Type not found)", 0, 1)</f>
        <v>(Set Type not found)</v>
      </c>
      <c r="R504" s="3" t="e">
        <f>tbl_MTG_Set[[#This Row],[Released On]]+tbl_MTG_Set[[#This Row],[Heavy Printing Window Month End]]*365.25/12</f>
        <v>#VALUE!</v>
      </c>
      <c r="S504" s="3" t="e">
        <f ca="1">AND(NOW()&gt;=tbl_MTG_Set[[#This Row],[Heavy Printing Window Start]], NOW()&lt;=tbl_MTG_Set[[#This Row],[Heavy Printing Window End]])</f>
        <v>#VALUE!</v>
      </c>
      <c r="T504" t="str">
        <f>_xlfn.XLOOKUP(tbl_MTG_Set[[#This Row],[Type Name]], tbl_MTG_Set_Type[Set Type], tbl_MTG_Set_Type[Sell Window Month Start], "(Set Type not found)", 0, 1)</f>
        <v>(Set Type not found)</v>
      </c>
      <c r="U504" s="3" t="e">
        <f>tbl_MTG_Set[[#This Row],[Released On]]+tbl_MTG_Set[[#This Row],[Sell Window Month Start]]*365.25/12</f>
        <v>#VALUE!</v>
      </c>
      <c r="V504" t="str">
        <f>_xlfn.XLOOKUP(tbl_MTG_Set[[#This Row],[Type Name]], tbl_MTG_Set_Type[Set Type], tbl_MTG_Set_Type[Sell Window Month End], "(Set Type not found)", 0, 1)</f>
        <v>(Set Type not found)</v>
      </c>
      <c r="W504" s="3" t="e">
        <f>tbl_MTG_Set[[#This Row],[Released On]]+tbl_MTG_Set[[#This Row],[Sell Window Month End]]*365.25/12</f>
        <v>#VALUE!</v>
      </c>
      <c r="X504" s="3" t="e">
        <f ca="1">AND(NOW()&gt;=tbl_MTG_Set[[#This Row],[Sell Window Start]], NOW()&lt;=tbl_MTG_Set[[#This Row],[Sell Window End]])</f>
        <v>#VALUE!</v>
      </c>
      <c r="AG504" s="10"/>
      <c r="AH504" s="10"/>
      <c r="AM504" s="10" t="str" cm="1">
        <f t="array" ref="AM5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4" s="10" t="str" cm="1">
        <f t="array" ref="AN5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4" s="4" t="e">
        <f>_xlfn.XLOOKUP(tbl_MTG_Set[[#This Row],[Play Booster Box Product Id]], tbl_Product[Product Id], tbl_Product[Pack Size])</f>
        <v>#N/A</v>
      </c>
      <c r="AP504" s="10" t="e">
        <f>(tbl_MTG_Set[[#This Row],[Play Booster Box Cost]]+v_Item_Shipping_Cost_In)/tbl_MTG_Set[[#This Row],[Play Booster Box Size]]</f>
        <v>#VALUE!</v>
      </c>
      <c r="AQ504" s="10" t="str" cm="1">
        <f t="array" ref="AQ5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4" s="10"/>
      <c r="AS504" s="10"/>
      <c r="AT504" s="17" t="e">
        <f>tbl_MTG_Set[[#This Row],[Play Booster CardMarket Profit]]/tbl_MTG_Set[[#This Row],[Play Booster Cost]]</f>
        <v>#VALUE!</v>
      </c>
      <c r="AU504" s="10" t="e">
        <f>_xlfn.XLOOKUP(tbl_MTG_Set[[#This Row],[Collector Booster Box Product Id]], tbl_Product[Product Id], tbl_Product[Min Cost])</f>
        <v>#N/A</v>
      </c>
      <c r="AV504" s="10" t="e">
        <f>_xlfn.XLOOKUP(tbl_MTG_Set[[#This Row],[Collector Booster Box Product Id]], tbl_Product[Product Id], tbl_Product[Best Source])</f>
        <v>#N/A</v>
      </c>
      <c r="AW504" s="4" t="e">
        <f>_xlfn.XLOOKUP(tbl_MTG_Set[[#This Row],[Collector Booster Box Product Id]], tbl_Product[Product Id], tbl_Product[Pack Size])</f>
        <v>#N/A</v>
      </c>
      <c r="AX504" s="10" t="e">
        <f>(tbl_MTG_Set[[#This Row],[Collector Booster Box Cost]] + v_Item_Shipping_Cost_In) / tbl_MTG_Set[[#This Row],[Collector Booster Box Size]]</f>
        <v>#N/A</v>
      </c>
      <c r="AY504" s="10" t="str" cm="1">
        <f t="array" ref="AY5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4" s="10"/>
      <c r="BA5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4" s="17" t="e">
        <f>tbl_MTG_Set[[#This Row],[Collector Booster CardMarket Profit]]/tbl_MTG_Set[[#This Row],[Collector Booster Cost]]</f>
        <v>#N/A</v>
      </c>
      <c r="BC504" s="10"/>
      <c r="BF5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4" s="11" t="e">
        <f>tbl_MTG_Set[[#This Row],[Play Singles CardMarket Profit MTG Stocks]]/tbl_MTG_Set[[#This Row],[Play Booster Cost]]</f>
        <v>#VALUE!</v>
      </c>
      <c r="BI504" s="11" t="b">
        <f>tbl_MTG_Set[[#This Row],[Play Singles CardMarket Profit MTG Stocks]]&gt;0</f>
        <v>0</v>
      </c>
      <c r="BM504" s="10" t="e">
        <f>tbl_MTG_Set[[#This Row],[Play Booster Sell Price CardMarket]]*tbl_MTG_Set[[#This Row],[Play Booster Expected Market Value BotBox]]/tbl_MTG_Set[[#This Row],[Play Booster Sealed Market Value BotBox]]</f>
        <v>#VALUE!</v>
      </c>
      <c r="BN5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4" s="10" t="e">
        <f>tbl_MTG_Set[[#This Row],[Play Singles CardMarket Profit BotBox]]/tbl_MTG_Set[[#This Row],[Play Booster Cost]]</f>
        <v>#VALUE!</v>
      </c>
      <c r="BP504" s="10" t="b">
        <f>tbl_MTG_Set[[#This Row],[Play Singles CardMarket Profit BotBox]]&gt;0</f>
        <v>0</v>
      </c>
      <c r="BQ504" s="10"/>
      <c r="BR504" s="10"/>
      <c r="BS504" s="10"/>
      <c r="BT5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4" s="19" t="e">
        <f>tbl_MTG_Set[[#This Row],[Collector Singles CardMarket Profit MTG Stocks]]/tbl_MTG_Set[[#This Row],[Collector Booster Cost]]</f>
        <v>#N/A</v>
      </c>
      <c r="BW504" s="10" t="b">
        <f>tbl_MTG_Set[[#This Row],[Collector Singles CardMarket Profit MTG Stocks]]&gt;0</f>
        <v>0</v>
      </c>
      <c r="BX504" s="10"/>
      <c r="BY504" s="10"/>
      <c r="BZ5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4" s="10" t="e">
        <f>tbl_MTG_Set[[#This Row],[Collector Singles CardMarket Profit BotBox]]/tbl_MTG_Set[[#This Row],[Collector Booster Cost]]</f>
        <v>#N/A</v>
      </c>
      <c r="CC504" s="10" t="b">
        <f>tbl_MTG_Set[[#This Row],[Collector Singles CardMarket Profit BotBox]]&gt;0</f>
        <v>0</v>
      </c>
      <c r="CD5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5" spans="1:86" hidden="1">
      <c r="A505">
        <v>536</v>
      </c>
      <c r="B505" t="s">
        <v>678</v>
      </c>
      <c r="C505">
        <v>26</v>
      </c>
      <c r="D505" s="3">
        <v>42853</v>
      </c>
      <c r="F505" t="s">
        <v>174</v>
      </c>
      <c r="G505">
        <v>1018</v>
      </c>
      <c r="H505">
        <f ca="1">MONTH(NOW())+12*YEAR(NOW())-MONTH(tbl_MTG_Set[[#This Row],[Released On]])-12*YEAR(tbl_MTG_Set[[#This Row],[Released On]])</f>
        <v>107</v>
      </c>
      <c r="I505" t="str">
        <f>_xlfn.XLOOKUP(tbl_MTG_Set[[#This Row],[Type Name]], tbl_MTG_Set_Type[Set Type], tbl_MTG_Set_Type[Index], "(Set Type not found)")</f>
        <v>(Set Type not found)</v>
      </c>
      <c r="J505" t="str">
        <f>_xlfn.XLOOKUP(tbl_MTG_Set[[#This Row],[Type Name]], tbl_MTG_Set_Type[Set Type], tbl_MTG_Set_Type[Buy Window Month Start], "(Set Type not found)")</f>
        <v>(Set Type not found)</v>
      </c>
      <c r="K505" s="3" t="e">
        <f>tbl_MTG_Set[[#This Row],[Released On]]+tbl_MTG_Set[[#This Row],[Buy Window Month Start]]*365.25/12</f>
        <v>#VALUE!</v>
      </c>
      <c r="L505" t="str">
        <f>_xlfn.XLOOKUP(tbl_MTG_Set[[#This Row],[Type Name]], tbl_MTG_Set_Type[Set Type], tbl_MTG_Set_Type[Buy Window Month End], "(Set Type not found)", 0, 1)</f>
        <v>(Set Type not found)</v>
      </c>
      <c r="M505" s="3" t="e">
        <f>tbl_MTG_Set[[#This Row],[Released On]]+tbl_MTG_Set[[#This Row],[Buy Window Month End]]*365.25/12</f>
        <v>#VALUE!</v>
      </c>
      <c r="N505" s="3" t="e">
        <f ca="1">AND(NOW()&gt;=tbl_MTG_Set[[#This Row],[Buy Window Start]], NOW()&lt;=tbl_MTG_Set[[#This Row],[Buy Window End]])</f>
        <v>#VALUE!</v>
      </c>
      <c r="O505" t="str">
        <f>_xlfn.XLOOKUP(tbl_MTG_Set[[#This Row],[Type Name]], tbl_MTG_Set_Type[Set Type], tbl_MTG_Set_Type[Heavy Printing Window Month Start], "(Set Type not found)", 0, 1)</f>
        <v>(Set Type not found)</v>
      </c>
      <c r="P505" s="3" t="e">
        <f>tbl_MTG_Set[[#This Row],[Released On]]+tbl_MTG_Set[[#This Row],[Heavy Printing Window Month Start]]*365.25/12</f>
        <v>#VALUE!</v>
      </c>
      <c r="Q505" t="str">
        <f>_xlfn.XLOOKUP(tbl_MTG_Set[[#This Row],[Type Name]], tbl_MTG_Set_Type[Set Type], tbl_MTG_Set_Type[Heavy Printing Window Month End], "(Set Type not found)", 0, 1)</f>
        <v>(Set Type not found)</v>
      </c>
      <c r="R505" s="3" t="e">
        <f>tbl_MTG_Set[[#This Row],[Released On]]+tbl_MTG_Set[[#This Row],[Heavy Printing Window Month End]]*365.25/12</f>
        <v>#VALUE!</v>
      </c>
      <c r="S505" s="3" t="e">
        <f ca="1">AND(NOW()&gt;=tbl_MTG_Set[[#This Row],[Heavy Printing Window Start]], NOW()&lt;=tbl_MTG_Set[[#This Row],[Heavy Printing Window End]])</f>
        <v>#VALUE!</v>
      </c>
      <c r="T505" t="str">
        <f>_xlfn.XLOOKUP(tbl_MTG_Set[[#This Row],[Type Name]], tbl_MTG_Set_Type[Set Type], tbl_MTG_Set_Type[Sell Window Month Start], "(Set Type not found)", 0, 1)</f>
        <v>(Set Type not found)</v>
      </c>
      <c r="U505" s="3" t="e">
        <f>tbl_MTG_Set[[#This Row],[Released On]]+tbl_MTG_Set[[#This Row],[Sell Window Month Start]]*365.25/12</f>
        <v>#VALUE!</v>
      </c>
      <c r="V505" t="str">
        <f>_xlfn.XLOOKUP(tbl_MTG_Set[[#This Row],[Type Name]], tbl_MTG_Set_Type[Set Type], tbl_MTG_Set_Type[Sell Window Month End], "(Set Type not found)", 0, 1)</f>
        <v>(Set Type not found)</v>
      </c>
      <c r="W505" s="3" t="e">
        <f>tbl_MTG_Set[[#This Row],[Released On]]+tbl_MTG_Set[[#This Row],[Sell Window Month End]]*365.25/12</f>
        <v>#VALUE!</v>
      </c>
      <c r="X505" s="3" t="e">
        <f ca="1">AND(NOW()&gt;=tbl_MTG_Set[[#This Row],[Sell Window Start]], NOW()&lt;=tbl_MTG_Set[[#This Row],[Sell Window End]])</f>
        <v>#VALUE!</v>
      </c>
      <c r="AG505" s="10"/>
      <c r="AH505" s="10"/>
      <c r="AM505" s="10" t="str" cm="1">
        <f t="array" ref="AM5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5" s="10" t="str" cm="1">
        <f t="array" ref="AN5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5" s="4" t="e">
        <f>_xlfn.XLOOKUP(tbl_MTG_Set[[#This Row],[Play Booster Box Product Id]], tbl_Product[Product Id], tbl_Product[Pack Size])</f>
        <v>#N/A</v>
      </c>
      <c r="AP505" s="10" t="e">
        <f>(tbl_MTG_Set[[#This Row],[Play Booster Box Cost]]+v_Item_Shipping_Cost_In)/tbl_MTG_Set[[#This Row],[Play Booster Box Size]]</f>
        <v>#VALUE!</v>
      </c>
      <c r="AQ505" s="10" t="str" cm="1">
        <f t="array" ref="AQ5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5" s="10"/>
      <c r="AS505" s="10"/>
      <c r="AT505" s="17" t="e">
        <f>tbl_MTG_Set[[#This Row],[Play Booster CardMarket Profit]]/tbl_MTG_Set[[#This Row],[Play Booster Cost]]</f>
        <v>#VALUE!</v>
      </c>
      <c r="AU505" s="10" t="e">
        <f>_xlfn.XLOOKUP(tbl_MTG_Set[[#This Row],[Collector Booster Box Product Id]], tbl_Product[Product Id], tbl_Product[Min Cost])</f>
        <v>#N/A</v>
      </c>
      <c r="AV505" s="10" t="e">
        <f>_xlfn.XLOOKUP(tbl_MTG_Set[[#This Row],[Collector Booster Box Product Id]], tbl_Product[Product Id], tbl_Product[Best Source])</f>
        <v>#N/A</v>
      </c>
      <c r="AW505" s="4" t="e">
        <f>_xlfn.XLOOKUP(tbl_MTG_Set[[#This Row],[Collector Booster Box Product Id]], tbl_Product[Product Id], tbl_Product[Pack Size])</f>
        <v>#N/A</v>
      </c>
      <c r="AX505" s="10" t="e">
        <f>(tbl_MTG_Set[[#This Row],[Collector Booster Box Cost]] + v_Item_Shipping_Cost_In) / tbl_MTG_Set[[#This Row],[Collector Booster Box Size]]</f>
        <v>#N/A</v>
      </c>
      <c r="AY505" s="10" t="str" cm="1">
        <f t="array" ref="AY5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5" s="10"/>
      <c r="BA5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5" s="17" t="e">
        <f>tbl_MTG_Set[[#This Row],[Collector Booster CardMarket Profit]]/tbl_MTG_Set[[#This Row],[Collector Booster Cost]]</f>
        <v>#N/A</v>
      </c>
      <c r="BC505" s="10"/>
      <c r="BF5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5" s="11" t="e">
        <f>tbl_MTG_Set[[#This Row],[Play Singles CardMarket Profit MTG Stocks]]/tbl_MTG_Set[[#This Row],[Play Booster Cost]]</f>
        <v>#VALUE!</v>
      </c>
      <c r="BI505" s="11" t="b">
        <f>tbl_MTG_Set[[#This Row],[Play Singles CardMarket Profit MTG Stocks]]&gt;0</f>
        <v>0</v>
      </c>
      <c r="BM505" s="10" t="e">
        <f>tbl_MTG_Set[[#This Row],[Play Booster Sell Price CardMarket]]*tbl_MTG_Set[[#This Row],[Play Booster Expected Market Value BotBox]]/tbl_MTG_Set[[#This Row],[Play Booster Sealed Market Value BotBox]]</f>
        <v>#VALUE!</v>
      </c>
      <c r="BN5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5" s="10" t="e">
        <f>tbl_MTG_Set[[#This Row],[Play Singles CardMarket Profit BotBox]]/tbl_MTG_Set[[#This Row],[Play Booster Cost]]</f>
        <v>#VALUE!</v>
      </c>
      <c r="BP505" s="10" t="b">
        <f>tbl_MTG_Set[[#This Row],[Play Singles CardMarket Profit BotBox]]&gt;0</f>
        <v>0</v>
      </c>
      <c r="BQ505" s="10"/>
      <c r="BR505" s="10"/>
      <c r="BS505" s="10"/>
      <c r="BT5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5" s="19" t="e">
        <f>tbl_MTG_Set[[#This Row],[Collector Singles CardMarket Profit MTG Stocks]]/tbl_MTG_Set[[#This Row],[Collector Booster Cost]]</f>
        <v>#N/A</v>
      </c>
      <c r="BW505" s="10" t="b">
        <f>tbl_MTG_Set[[#This Row],[Collector Singles CardMarket Profit MTG Stocks]]&gt;0</f>
        <v>0</v>
      </c>
      <c r="BX505" s="10"/>
      <c r="BY505" s="10"/>
      <c r="BZ5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5" s="10" t="e">
        <f>tbl_MTG_Set[[#This Row],[Collector Singles CardMarket Profit BotBox]]/tbl_MTG_Set[[#This Row],[Collector Booster Cost]]</f>
        <v>#N/A</v>
      </c>
      <c r="CC505" s="10" t="b">
        <f>tbl_MTG_Set[[#This Row],[Collector Singles CardMarket Profit BotBox]]&gt;0</f>
        <v>0</v>
      </c>
      <c r="CD5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6" spans="1:86" hidden="1">
      <c r="A506">
        <v>537</v>
      </c>
      <c r="B506" t="s">
        <v>679</v>
      </c>
      <c r="C506">
        <v>30</v>
      </c>
      <c r="D506" s="3">
        <v>42840</v>
      </c>
      <c r="F506" t="s">
        <v>174</v>
      </c>
      <c r="G506">
        <v>1020</v>
      </c>
      <c r="H506">
        <f ca="1">MONTH(NOW())+12*YEAR(NOW())-MONTH(tbl_MTG_Set[[#This Row],[Released On]])-12*YEAR(tbl_MTG_Set[[#This Row],[Released On]])</f>
        <v>107</v>
      </c>
      <c r="I506" t="str">
        <f>_xlfn.XLOOKUP(tbl_MTG_Set[[#This Row],[Type Name]], tbl_MTG_Set_Type[Set Type], tbl_MTG_Set_Type[Index], "(Set Type not found)")</f>
        <v>(Set Type not found)</v>
      </c>
      <c r="J506" t="str">
        <f>_xlfn.XLOOKUP(tbl_MTG_Set[[#This Row],[Type Name]], tbl_MTG_Set_Type[Set Type], tbl_MTG_Set_Type[Buy Window Month Start], "(Set Type not found)")</f>
        <v>(Set Type not found)</v>
      </c>
      <c r="K506" s="3" t="e">
        <f>tbl_MTG_Set[[#This Row],[Released On]]+tbl_MTG_Set[[#This Row],[Buy Window Month Start]]*365.25/12</f>
        <v>#VALUE!</v>
      </c>
      <c r="L506" t="str">
        <f>_xlfn.XLOOKUP(tbl_MTG_Set[[#This Row],[Type Name]], tbl_MTG_Set_Type[Set Type], tbl_MTG_Set_Type[Buy Window Month End], "(Set Type not found)", 0, 1)</f>
        <v>(Set Type not found)</v>
      </c>
      <c r="M506" s="3" t="e">
        <f>tbl_MTG_Set[[#This Row],[Released On]]+tbl_MTG_Set[[#This Row],[Buy Window Month End]]*365.25/12</f>
        <v>#VALUE!</v>
      </c>
      <c r="N506" s="3" t="e">
        <f ca="1">AND(NOW()&gt;=tbl_MTG_Set[[#This Row],[Buy Window Start]], NOW()&lt;=tbl_MTG_Set[[#This Row],[Buy Window End]])</f>
        <v>#VALUE!</v>
      </c>
      <c r="O506" t="str">
        <f>_xlfn.XLOOKUP(tbl_MTG_Set[[#This Row],[Type Name]], tbl_MTG_Set_Type[Set Type], tbl_MTG_Set_Type[Heavy Printing Window Month Start], "(Set Type not found)", 0, 1)</f>
        <v>(Set Type not found)</v>
      </c>
      <c r="P506" s="3" t="e">
        <f>tbl_MTG_Set[[#This Row],[Released On]]+tbl_MTG_Set[[#This Row],[Heavy Printing Window Month Start]]*365.25/12</f>
        <v>#VALUE!</v>
      </c>
      <c r="Q506" t="str">
        <f>_xlfn.XLOOKUP(tbl_MTG_Set[[#This Row],[Type Name]], tbl_MTG_Set_Type[Set Type], tbl_MTG_Set_Type[Heavy Printing Window Month End], "(Set Type not found)", 0, 1)</f>
        <v>(Set Type not found)</v>
      </c>
      <c r="R506" s="3" t="e">
        <f>tbl_MTG_Set[[#This Row],[Released On]]+tbl_MTG_Set[[#This Row],[Heavy Printing Window Month End]]*365.25/12</f>
        <v>#VALUE!</v>
      </c>
      <c r="S506" s="3" t="e">
        <f ca="1">AND(NOW()&gt;=tbl_MTG_Set[[#This Row],[Heavy Printing Window Start]], NOW()&lt;=tbl_MTG_Set[[#This Row],[Heavy Printing Window End]])</f>
        <v>#VALUE!</v>
      </c>
      <c r="T506" t="str">
        <f>_xlfn.XLOOKUP(tbl_MTG_Set[[#This Row],[Type Name]], tbl_MTG_Set_Type[Set Type], tbl_MTG_Set_Type[Sell Window Month Start], "(Set Type not found)", 0, 1)</f>
        <v>(Set Type not found)</v>
      </c>
      <c r="U506" s="3" t="e">
        <f>tbl_MTG_Set[[#This Row],[Released On]]+tbl_MTG_Set[[#This Row],[Sell Window Month Start]]*365.25/12</f>
        <v>#VALUE!</v>
      </c>
      <c r="V506" t="str">
        <f>_xlfn.XLOOKUP(tbl_MTG_Set[[#This Row],[Type Name]], tbl_MTG_Set_Type[Set Type], tbl_MTG_Set_Type[Sell Window Month End], "(Set Type not found)", 0, 1)</f>
        <v>(Set Type not found)</v>
      </c>
      <c r="W506" s="3" t="e">
        <f>tbl_MTG_Set[[#This Row],[Released On]]+tbl_MTG_Set[[#This Row],[Sell Window Month End]]*365.25/12</f>
        <v>#VALUE!</v>
      </c>
      <c r="X506" s="3" t="e">
        <f ca="1">AND(NOW()&gt;=tbl_MTG_Set[[#This Row],[Sell Window Start]], NOW()&lt;=tbl_MTG_Set[[#This Row],[Sell Window End]])</f>
        <v>#VALUE!</v>
      </c>
      <c r="AG506" s="10"/>
      <c r="AH506" s="10"/>
      <c r="AM506" s="10" t="str" cm="1">
        <f t="array" ref="AM5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6" s="10" t="str" cm="1">
        <f t="array" ref="AN5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6" s="4" t="e">
        <f>_xlfn.XLOOKUP(tbl_MTG_Set[[#This Row],[Play Booster Box Product Id]], tbl_Product[Product Id], tbl_Product[Pack Size])</f>
        <v>#N/A</v>
      </c>
      <c r="AP506" s="10" t="e">
        <f>(tbl_MTG_Set[[#This Row],[Play Booster Box Cost]]+v_Item_Shipping_Cost_In)/tbl_MTG_Set[[#This Row],[Play Booster Box Size]]</f>
        <v>#VALUE!</v>
      </c>
      <c r="AQ506" s="10" t="str" cm="1">
        <f t="array" ref="AQ5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6" s="10"/>
      <c r="AS506" s="10"/>
      <c r="AT506" s="17" t="e">
        <f>tbl_MTG_Set[[#This Row],[Play Booster CardMarket Profit]]/tbl_MTG_Set[[#This Row],[Play Booster Cost]]</f>
        <v>#VALUE!</v>
      </c>
      <c r="AU506" s="10" t="e">
        <f>_xlfn.XLOOKUP(tbl_MTG_Set[[#This Row],[Collector Booster Box Product Id]], tbl_Product[Product Id], tbl_Product[Min Cost])</f>
        <v>#N/A</v>
      </c>
      <c r="AV506" s="10" t="e">
        <f>_xlfn.XLOOKUP(tbl_MTG_Set[[#This Row],[Collector Booster Box Product Id]], tbl_Product[Product Id], tbl_Product[Best Source])</f>
        <v>#N/A</v>
      </c>
      <c r="AW506" s="4" t="e">
        <f>_xlfn.XLOOKUP(tbl_MTG_Set[[#This Row],[Collector Booster Box Product Id]], tbl_Product[Product Id], tbl_Product[Pack Size])</f>
        <v>#N/A</v>
      </c>
      <c r="AX506" s="10" t="e">
        <f>(tbl_MTG_Set[[#This Row],[Collector Booster Box Cost]] + v_Item_Shipping_Cost_In) / tbl_MTG_Set[[#This Row],[Collector Booster Box Size]]</f>
        <v>#N/A</v>
      </c>
      <c r="AY506" s="10" t="str" cm="1">
        <f t="array" ref="AY5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6" s="10"/>
      <c r="BA5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6" s="17" t="e">
        <f>tbl_MTG_Set[[#This Row],[Collector Booster CardMarket Profit]]/tbl_MTG_Set[[#This Row],[Collector Booster Cost]]</f>
        <v>#N/A</v>
      </c>
      <c r="BC506" s="10"/>
      <c r="BF5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6" s="11" t="e">
        <f>tbl_MTG_Set[[#This Row],[Play Singles CardMarket Profit MTG Stocks]]/tbl_MTG_Set[[#This Row],[Play Booster Cost]]</f>
        <v>#VALUE!</v>
      </c>
      <c r="BI506" s="11" t="b">
        <f>tbl_MTG_Set[[#This Row],[Play Singles CardMarket Profit MTG Stocks]]&gt;0</f>
        <v>0</v>
      </c>
      <c r="BM506" s="10" t="e">
        <f>tbl_MTG_Set[[#This Row],[Play Booster Sell Price CardMarket]]*tbl_MTG_Set[[#This Row],[Play Booster Expected Market Value BotBox]]/tbl_MTG_Set[[#This Row],[Play Booster Sealed Market Value BotBox]]</f>
        <v>#VALUE!</v>
      </c>
      <c r="BN5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6" s="10" t="e">
        <f>tbl_MTG_Set[[#This Row],[Play Singles CardMarket Profit BotBox]]/tbl_MTG_Set[[#This Row],[Play Booster Cost]]</f>
        <v>#VALUE!</v>
      </c>
      <c r="BP506" s="10" t="b">
        <f>tbl_MTG_Set[[#This Row],[Play Singles CardMarket Profit BotBox]]&gt;0</f>
        <v>0</v>
      </c>
      <c r="BQ506" s="10"/>
      <c r="BR506" s="10"/>
      <c r="BS506" s="10"/>
      <c r="BT5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6" s="19" t="e">
        <f>tbl_MTG_Set[[#This Row],[Collector Singles CardMarket Profit MTG Stocks]]/tbl_MTG_Set[[#This Row],[Collector Booster Cost]]</f>
        <v>#N/A</v>
      </c>
      <c r="BW506" s="10" t="b">
        <f>tbl_MTG_Set[[#This Row],[Collector Singles CardMarket Profit MTG Stocks]]&gt;0</f>
        <v>0</v>
      </c>
      <c r="BX506" s="10"/>
      <c r="BY506" s="10"/>
      <c r="BZ5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6" s="10" t="e">
        <f>tbl_MTG_Set[[#This Row],[Collector Singles CardMarket Profit BotBox]]/tbl_MTG_Set[[#This Row],[Collector Booster Cost]]</f>
        <v>#N/A</v>
      </c>
      <c r="CC506" s="10" t="b">
        <f>tbl_MTG_Set[[#This Row],[Collector Singles CardMarket Profit BotBox]]&gt;0</f>
        <v>0</v>
      </c>
      <c r="CD5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7" spans="1:86" hidden="1">
      <c r="A507">
        <v>538</v>
      </c>
      <c r="B507" t="s">
        <v>680</v>
      </c>
      <c r="C507">
        <v>600</v>
      </c>
      <c r="D507" s="3">
        <v>42830</v>
      </c>
      <c r="F507">
        <v>0</v>
      </c>
      <c r="G507">
        <v>1022</v>
      </c>
      <c r="H507">
        <f ca="1">MONTH(NOW())+12*YEAR(NOW())-MONTH(tbl_MTG_Set[[#This Row],[Released On]])-12*YEAR(tbl_MTG_Set[[#This Row],[Released On]])</f>
        <v>107</v>
      </c>
      <c r="I507" t="str">
        <f>_xlfn.XLOOKUP(tbl_MTG_Set[[#This Row],[Type Name]], tbl_MTG_Set_Type[Set Type], tbl_MTG_Set_Type[Index], "(Set Type not found)")</f>
        <v>(Set Type not found)</v>
      </c>
      <c r="J507" t="str">
        <f>_xlfn.XLOOKUP(tbl_MTG_Set[[#This Row],[Type Name]], tbl_MTG_Set_Type[Set Type], tbl_MTG_Set_Type[Buy Window Month Start], "(Set Type not found)")</f>
        <v>(Set Type not found)</v>
      </c>
      <c r="K507" s="3" t="e">
        <f>tbl_MTG_Set[[#This Row],[Released On]]+tbl_MTG_Set[[#This Row],[Buy Window Month Start]]*365.25/12</f>
        <v>#VALUE!</v>
      </c>
      <c r="L507" t="str">
        <f>_xlfn.XLOOKUP(tbl_MTG_Set[[#This Row],[Type Name]], tbl_MTG_Set_Type[Set Type], tbl_MTG_Set_Type[Buy Window Month End], "(Set Type not found)", 0, 1)</f>
        <v>(Set Type not found)</v>
      </c>
      <c r="M507" s="3" t="e">
        <f>tbl_MTG_Set[[#This Row],[Released On]]+tbl_MTG_Set[[#This Row],[Buy Window Month End]]*365.25/12</f>
        <v>#VALUE!</v>
      </c>
      <c r="N507" s="3" t="e">
        <f ca="1">AND(NOW()&gt;=tbl_MTG_Set[[#This Row],[Buy Window Start]], NOW()&lt;=tbl_MTG_Set[[#This Row],[Buy Window End]])</f>
        <v>#VALUE!</v>
      </c>
      <c r="O507" t="str">
        <f>_xlfn.XLOOKUP(tbl_MTG_Set[[#This Row],[Type Name]], tbl_MTG_Set_Type[Set Type], tbl_MTG_Set_Type[Heavy Printing Window Month Start], "(Set Type not found)", 0, 1)</f>
        <v>(Set Type not found)</v>
      </c>
      <c r="P507" s="3" t="e">
        <f>tbl_MTG_Set[[#This Row],[Released On]]+tbl_MTG_Set[[#This Row],[Heavy Printing Window Month Start]]*365.25/12</f>
        <v>#VALUE!</v>
      </c>
      <c r="Q507" t="str">
        <f>_xlfn.XLOOKUP(tbl_MTG_Set[[#This Row],[Type Name]], tbl_MTG_Set_Type[Set Type], tbl_MTG_Set_Type[Heavy Printing Window Month End], "(Set Type not found)", 0, 1)</f>
        <v>(Set Type not found)</v>
      </c>
      <c r="R507" s="3" t="e">
        <f>tbl_MTG_Set[[#This Row],[Released On]]+tbl_MTG_Set[[#This Row],[Heavy Printing Window Month End]]*365.25/12</f>
        <v>#VALUE!</v>
      </c>
      <c r="S507" s="3" t="e">
        <f ca="1">AND(NOW()&gt;=tbl_MTG_Set[[#This Row],[Heavy Printing Window Start]], NOW()&lt;=tbl_MTG_Set[[#This Row],[Heavy Printing Window End]])</f>
        <v>#VALUE!</v>
      </c>
      <c r="T507" t="str">
        <f>_xlfn.XLOOKUP(tbl_MTG_Set[[#This Row],[Type Name]], tbl_MTG_Set_Type[Set Type], tbl_MTG_Set_Type[Sell Window Month Start], "(Set Type not found)", 0, 1)</f>
        <v>(Set Type not found)</v>
      </c>
      <c r="U507" s="3" t="e">
        <f>tbl_MTG_Set[[#This Row],[Released On]]+tbl_MTG_Set[[#This Row],[Sell Window Month Start]]*365.25/12</f>
        <v>#VALUE!</v>
      </c>
      <c r="V507" t="str">
        <f>_xlfn.XLOOKUP(tbl_MTG_Set[[#This Row],[Type Name]], tbl_MTG_Set_Type[Set Type], tbl_MTG_Set_Type[Sell Window Month End], "(Set Type not found)", 0, 1)</f>
        <v>(Set Type not found)</v>
      </c>
      <c r="W507" s="3" t="e">
        <f>tbl_MTG_Set[[#This Row],[Released On]]+tbl_MTG_Set[[#This Row],[Sell Window Month End]]*365.25/12</f>
        <v>#VALUE!</v>
      </c>
      <c r="X507" s="3" t="e">
        <f ca="1">AND(NOW()&gt;=tbl_MTG_Set[[#This Row],[Sell Window Start]], NOW()&lt;=tbl_MTG_Set[[#This Row],[Sell Window End]])</f>
        <v>#VALUE!</v>
      </c>
      <c r="AG507" s="10"/>
      <c r="AH507" s="10"/>
      <c r="AM507" s="10" t="str" cm="1">
        <f t="array" ref="AM5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7" s="10" t="str" cm="1">
        <f t="array" ref="AN5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7" s="4" t="e">
        <f>_xlfn.XLOOKUP(tbl_MTG_Set[[#This Row],[Play Booster Box Product Id]], tbl_Product[Product Id], tbl_Product[Pack Size])</f>
        <v>#N/A</v>
      </c>
      <c r="AP507" s="10" t="e">
        <f>(tbl_MTG_Set[[#This Row],[Play Booster Box Cost]]+v_Item_Shipping_Cost_In)/tbl_MTG_Set[[#This Row],[Play Booster Box Size]]</f>
        <v>#VALUE!</v>
      </c>
      <c r="AQ507" s="10" t="str" cm="1">
        <f t="array" ref="AQ5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7" s="10"/>
      <c r="AS507" s="10"/>
      <c r="AT507" s="17" t="e">
        <f>tbl_MTG_Set[[#This Row],[Play Booster CardMarket Profit]]/tbl_MTG_Set[[#This Row],[Play Booster Cost]]</f>
        <v>#VALUE!</v>
      </c>
      <c r="AU507" s="10" t="e">
        <f>_xlfn.XLOOKUP(tbl_MTG_Set[[#This Row],[Collector Booster Box Product Id]], tbl_Product[Product Id], tbl_Product[Min Cost])</f>
        <v>#N/A</v>
      </c>
      <c r="AV507" s="10" t="e">
        <f>_xlfn.XLOOKUP(tbl_MTG_Set[[#This Row],[Collector Booster Box Product Id]], tbl_Product[Product Id], tbl_Product[Best Source])</f>
        <v>#N/A</v>
      </c>
      <c r="AW507" s="4" t="e">
        <f>_xlfn.XLOOKUP(tbl_MTG_Set[[#This Row],[Collector Booster Box Product Id]], tbl_Product[Product Id], tbl_Product[Pack Size])</f>
        <v>#N/A</v>
      </c>
      <c r="AX507" s="10" t="e">
        <f>(tbl_MTG_Set[[#This Row],[Collector Booster Box Cost]] + v_Item_Shipping_Cost_In) / tbl_MTG_Set[[#This Row],[Collector Booster Box Size]]</f>
        <v>#N/A</v>
      </c>
      <c r="AY507" s="10" t="str" cm="1">
        <f t="array" ref="AY5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7" s="10"/>
      <c r="BA5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7" s="17" t="e">
        <f>tbl_MTG_Set[[#This Row],[Collector Booster CardMarket Profit]]/tbl_MTG_Set[[#This Row],[Collector Booster Cost]]</f>
        <v>#N/A</v>
      </c>
      <c r="BC507" s="10"/>
      <c r="BF5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7" s="11" t="e">
        <f>tbl_MTG_Set[[#This Row],[Play Singles CardMarket Profit MTG Stocks]]/tbl_MTG_Set[[#This Row],[Play Booster Cost]]</f>
        <v>#VALUE!</v>
      </c>
      <c r="BI507" s="11" t="b">
        <f>tbl_MTG_Set[[#This Row],[Play Singles CardMarket Profit MTG Stocks]]&gt;0</f>
        <v>0</v>
      </c>
      <c r="BM507" s="10" t="e">
        <f>tbl_MTG_Set[[#This Row],[Play Booster Sell Price CardMarket]]*tbl_MTG_Set[[#This Row],[Play Booster Expected Market Value BotBox]]/tbl_MTG_Set[[#This Row],[Play Booster Sealed Market Value BotBox]]</f>
        <v>#VALUE!</v>
      </c>
      <c r="BN5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7" s="10" t="e">
        <f>tbl_MTG_Set[[#This Row],[Play Singles CardMarket Profit BotBox]]/tbl_MTG_Set[[#This Row],[Play Booster Cost]]</f>
        <v>#VALUE!</v>
      </c>
      <c r="BP507" s="10" t="b">
        <f>tbl_MTG_Set[[#This Row],[Play Singles CardMarket Profit BotBox]]&gt;0</f>
        <v>0</v>
      </c>
      <c r="BQ507" s="10"/>
      <c r="BR507" s="10"/>
      <c r="BS507" s="10"/>
      <c r="BT5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7" s="19" t="e">
        <f>tbl_MTG_Set[[#This Row],[Collector Singles CardMarket Profit MTG Stocks]]/tbl_MTG_Set[[#This Row],[Collector Booster Cost]]</f>
        <v>#N/A</v>
      </c>
      <c r="BW507" s="10" t="b">
        <f>tbl_MTG_Set[[#This Row],[Collector Singles CardMarket Profit MTG Stocks]]&gt;0</f>
        <v>0</v>
      </c>
      <c r="BX507" s="10"/>
      <c r="BY507" s="10"/>
      <c r="BZ5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7" s="10" t="e">
        <f>tbl_MTG_Set[[#This Row],[Collector Singles CardMarket Profit BotBox]]/tbl_MTG_Set[[#This Row],[Collector Booster Cost]]</f>
        <v>#N/A</v>
      </c>
      <c r="CC507" s="10" t="b">
        <f>tbl_MTG_Set[[#This Row],[Collector Singles CardMarket Profit BotBox]]&gt;0</f>
        <v>0</v>
      </c>
      <c r="CD5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8" spans="1:86" hidden="1">
      <c r="A508">
        <v>539</v>
      </c>
      <c r="B508" t="s">
        <v>681</v>
      </c>
      <c r="C508">
        <v>65</v>
      </c>
      <c r="D508" s="3">
        <v>42825</v>
      </c>
      <c r="F508" t="s">
        <v>174</v>
      </c>
      <c r="G508">
        <v>1024</v>
      </c>
      <c r="H508">
        <f ca="1">MONTH(NOW())+12*YEAR(NOW())-MONTH(tbl_MTG_Set[[#This Row],[Released On]])-12*YEAR(tbl_MTG_Set[[#This Row],[Released On]])</f>
        <v>108</v>
      </c>
      <c r="I508" t="str">
        <f>_xlfn.XLOOKUP(tbl_MTG_Set[[#This Row],[Type Name]], tbl_MTG_Set_Type[Set Type], tbl_MTG_Set_Type[Index], "(Set Type not found)")</f>
        <v>(Set Type not found)</v>
      </c>
      <c r="J508" t="str">
        <f>_xlfn.XLOOKUP(tbl_MTG_Set[[#This Row],[Type Name]], tbl_MTG_Set_Type[Set Type], tbl_MTG_Set_Type[Buy Window Month Start], "(Set Type not found)")</f>
        <v>(Set Type not found)</v>
      </c>
      <c r="K508" s="3" t="e">
        <f>tbl_MTG_Set[[#This Row],[Released On]]+tbl_MTG_Set[[#This Row],[Buy Window Month Start]]*365.25/12</f>
        <v>#VALUE!</v>
      </c>
      <c r="L508" t="str">
        <f>_xlfn.XLOOKUP(tbl_MTG_Set[[#This Row],[Type Name]], tbl_MTG_Set_Type[Set Type], tbl_MTG_Set_Type[Buy Window Month End], "(Set Type not found)", 0, 1)</f>
        <v>(Set Type not found)</v>
      </c>
      <c r="M508" s="3" t="e">
        <f>tbl_MTG_Set[[#This Row],[Released On]]+tbl_MTG_Set[[#This Row],[Buy Window Month End]]*365.25/12</f>
        <v>#VALUE!</v>
      </c>
      <c r="N508" s="3" t="e">
        <f ca="1">AND(NOW()&gt;=tbl_MTG_Set[[#This Row],[Buy Window Start]], NOW()&lt;=tbl_MTG_Set[[#This Row],[Buy Window End]])</f>
        <v>#VALUE!</v>
      </c>
      <c r="O508" t="str">
        <f>_xlfn.XLOOKUP(tbl_MTG_Set[[#This Row],[Type Name]], tbl_MTG_Set_Type[Set Type], tbl_MTG_Set_Type[Heavy Printing Window Month Start], "(Set Type not found)", 0, 1)</f>
        <v>(Set Type not found)</v>
      </c>
      <c r="P508" s="3" t="e">
        <f>tbl_MTG_Set[[#This Row],[Released On]]+tbl_MTG_Set[[#This Row],[Heavy Printing Window Month Start]]*365.25/12</f>
        <v>#VALUE!</v>
      </c>
      <c r="Q508" t="str">
        <f>_xlfn.XLOOKUP(tbl_MTG_Set[[#This Row],[Type Name]], tbl_MTG_Set_Type[Set Type], tbl_MTG_Set_Type[Heavy Printing Window Month End], "(Set Type not found)", 0, 1)</f>
        <v>(Set Type not found)</v>
      </c>
      <c r="R508" s="3" t="e">
        <f>tbl_MTG_Set[[#This Row],[Released On]]+tbl_MTG_Set[[#This Row],[Heavy Printing Window Month End]]*365.25/12</f>
        <v>#VALUE!</v>
      </c>
      <c r="S508" s="3" t="e">
        <f ca="1">AND(NOW()&gt;=tbl_MTG_Set[[#This Row],[Heavy Printing Window Start]], NOW()&lt;=tbl_MTG_Set[[#This Row],[Heavy Printing Window End]])</f>
        <v>#VALUE!</v>
      </c>
      <c r="T508" t="str">
        <f>_xlfn.XLOOKUP(tbl_MTG_Set[[#This Row],[Type Name]], tbl_MTG_Set_Type[Set Type], tbl_MTG_Set_Type[Sell Window Month Start], "(Set Type not found)", 0, 1)</f>
        <v>(Set Type not found)</v>
      </c>
      <c r="U508" s="3" t="e">
        <f>tbl_MTG_Set[[#This Row],[Released On]]+tbl_MTG_Set[[#This Row],[Sell Window Month Start]]*365.25/12</f>
        <v>#VALUE!</v>
      </c>
      <c r="V508" t="str">
        <f>_xlfn.XLOOKUP(tbl_MTG_Set[[#This Row],[Type Name]], tbl_MTG_Set_Type[Set Type], tbl_MTG_Set_Type[Sell Window Month End], "(Set Type not found)", 0, 1)</f>
        <v>(Set Type not found)</v>
      </c>
      <c r="W508" s="3" t="e">
        <f>tbl_MTG_Set[[#This Row],[Released On]]+tbl_MTG_Set[[#This Row],[Sell Window Month End]]*365.25/12</f>
        <v>#VALUE!</v>
      </c>
      <c r="X508" s="3" t="e">
        <f ca="1">AND(NOW()&gt;=tbl_MTG_Set[[#This Row],[Sell Window Start]], NOW()&lt;=tbl_MTG_Set[[#This Row],[Sell Window End]])</f>
        <v>#VALUE!</v>
      </c>
      <c r="AG508" s="10"/>
      <c r="AH508" s="10"/>
      <c r="AM508" s="10" t="str" cm="1">
        <f t="array" ref="AM5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8" s="10" t="str" cm="1">
        <f t="array" ref="AN5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8" s="4" t="e">
        <f>_xlfn.XLOOKUP(tbl_MTG_Set[[#This Row],[Play Booster Box Product Id]], tbl_Product[Product Id], tbl_Product[Pack Size])</f>
        <v>#N/A</v>
      </c>
      <c r="AP508" s="10" t="e">
        <f>(tbl_MTG_Set[[#This Row],[Play Booster Box Cost]]+v_Item_Shipping_Cost_In)/tbl_MTG_Set[[#This Row],[Play Booster Box Size]]</f>
        <v>#VALUE!</v>
      </c>
      <c r="AQ508" s="10" t="str" cm="1">
        <f t="array" ref="AQ5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8" s="10"/>
      <c r="AS508" s="10"/>
      <c r="AT508" s="17" t="e">
        <f>tbl_MTG_Set[[#This Row],[Play Booster CardMarket Profit]]/tbl_MTG_Set[[#This Row],[Play Booster Cost]]</f>
        <v>#VALUE!</v>
      </c>
      <c r="AU508" s="10" t="e">
        <f>_xlfn.XLOOKUP(tbl_MTG_Set[[#This Row],[Collector Booster Box Product Id]], tbl_Product[Product Id], tbl_Product[Min Cost])</f>
        <v>#N/A</v>
      </c>
      <c r="AV508" s="10" t="e">
        <f>_xlfn.XLOOKUP(tbl_MTG_Set[[#This Row],[Collector Booster Box Product Id]], tbl_Product[Product Id], tbl_Product[Best Source])</f>
        <v>#N/A</v>
      </c>
      <c r="AW508" s="4" t="e">
        <f>_xlfn.XLOOKUP(tbl_MTG_Set[[#This Row],[Collector Booster Box Product Id]], tbl_Product[Product Id], tbl_Product[Pack Size])</f>
        <v>#N/A</v>
      </c>
      <c r="AX508" s="10" t="e">
        <f>(tbl_MTG_Set[[#This Row],[Collector Booster Box Cost]] + v_Item_Shipping_Cost_In) / tbl_MTG_Set[[#This Row],[Collector Booster Box Size]]</f>
        <v>#N/A</v>
      </c>
      <c r="AY508" s="10" t="str" cm="1">
        <f t="array" ref="AY5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8" s="10"/>
      <c r="BA5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8" s="17" t="e">
        <f>tbl_MTG_Set[[#This Row],[Collector Booster CardMarket Profit]]/tbl_MTG_Set[[#This Row],[Collector Booster Cost]]</f>
        <v>#N/A</v>
      </c>
      <c r="BC508" s="10"/>
      <c r="BF5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8" s="11" t="e">
        <f>tbl_MTG_Set[[#This Row],[Play Singles CardMarket Profit MTG Stocks]]/tbl_MTG_Set[[#This Row],[Play Booster Cost]]</f>
        <v>#VALUE!</v>
      </c>
      <c r="BI508" s="11" t="b">
        <f>tbl_MTG_Set[[#This Row],[Play Singles CardMarket Profit MTG Stocks]]&gt;0</f>
        <v>0</v>
      </c>
      <c r="BM508" s="10" t="e">
        <f>tbl_MTG_Set[[#This Row],[Play Booster Sell Price CardMarket]]*tbl_MTG_Set[[#This Row],[Play Booster Expected Market Value BotBox]]/tbl_MTG_Set[[#This Row],[Play Booster Sealed Market Value BotBox]]</f>
        <v>#VALUE!</v>
      </c>
      <c r="BN5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8" s="10" t="e">
        <f>tbl_MTG_Set[[#This Row],[Play Singles CardMarket Profit BotBox]]/tbl_MTG_Set[[#This Row],[Play Booster Cost]]</f>
        <v>#VALUE!</v>
      </c>
      <c r="BP508" s="10" t="b">
        <f>tbl_MTG_Set[[#This Row],[Play Singles CardMarket Profit BotBox]]&gt;0</f>
        <v>0</v>
      </c>
      <c r="BQ508" s="10"/>
      <c r="BR508" s="10"/>
      <c r="BS508" s="10"/>
      <c r="BT5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8" s="19" t="e">
        <f>tbl_MTG_Set[[#This Row],[Collector Singles CardMarket Profit MTG Stocks]]/tbl_MTG_Set[[#This Row],[Collector Booster Cost]]</f>
        <v>#N/A</v>
      </c>
      <c r="BW508" s="10" t="b">
        <f>tbl_MTG_Set[[#This Row],[Collector Singles CardMarket Profit MTG Stocks]]&gt;0</f>
        <v>0</v>
      </c>
      <c r="BX508" s="10"/>
      <c r="BY508" s="10"/>
      <c r="BZ5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8" s="10" t="e">
        <f>tbl_MTG_Set[[#This Row],[Collector Singles CardMarket Profit BotBox]]/tbl_MTG_Set[[#This Row],[Collector Booster Cost]]</f>
        <v>#N/A</v>
      </c>
      <c r="CC508" s="10" t="b">
        <f>tbl_MTG_Set[[#This Row],[Collector Singles CardMarket Profit BotBox]]&gt;0</f>
        <v>0</v>
      </c>
      <c r="CD5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09" spans="1:86" hidden="1">
      <c r="A509">
        <v>540</v>
      </c>
      <c r="B509" t="s">
        <v>682</v>
      </c>
      <c r="C509">
        <v>7</v>
      </c>
      <c r="D509" s="3">
        <v>42825</v>
      </c>
      <c r="F509" t="s">
        <v>174</v>
      </c>
      <c r="G509">
        <v>1026</v>
      </c>
      <c r="H509">
        <f ca="1">MONTH(NOW())+12*YEAR(NOW())-MONTH(tbl_MTG_Set[[#This Row],[Released On]])-12*YEAR(tbl_MTG_Set[[#This Row],[Released On]])</f>
        <v>108</v>
      </c>
      <c r="I509" t="str">
        <f>_xlfn.XLOOKUP(tbl_MTG_Set[[#This Row],[Type Name]], tbl_MTG_Set_Type[Set Type], tbl_MTG_Set_Type[Index], "(Set Type not found)")</f>
        <v>(Set Type not found)</v>
      </c>
      <c r="J509" t="str">
        <f>_xlfn.XLOOKUP(tbl_MTG_Set[[#This Row],[Type Name]], tbl_MTG_Set_Type[Set Type], tbl_MTG_Set_Type[Buy Window Month Start], "(Set Type not found)")</f>
        <v>(Set Type not found)</v>
      </c>
      <c r="K509" s="3" t="e">
        <f>tbl_MTG_Set[[#This Row],[Released On]]+tbl_MTG_Set[[#This Row],[Buy Window Month Start]]*365.25/12</f>
        <v>#VALUE!</v>
      </c>
      <c r="L509" t="str">
        <f>_xlfn.XLOOKUP(tbl_MTG_Set[[#This Row],[Type Name]], tbl_MTG_Set_Type[Set Type], tbl_MTG_Set_Type[Buy Window Month End], "(Set Type not found)", 0, 1)</f>
        <v>(Set Type not found)</v>
      </c>
      <c r="M509" s="3" t="e">
        <f>tbl_MTG_Set[[#This Row],[Released On]]+tbl_MTG_Set[[#This Row],[Buy Window Month End]]*365.25/12</f>
        <v>#VALUE!</v>
      </c>
      <c r="N509" s="3" t="e">
        <f ca="1">AND(NOW()&gt;=tbl_MTG_Set[[#This Row],[Buy Window Start]], NOW()&lt;=tbl_MTG_Set[[#This Row],[Buy Window End]])</f>
        <v>#VALUE!</v>
      </c>
      <c r="O509" t="str">
        <f>_xlfn.XLOOKUP(tbl_MTG_Set[[#This Row],[Type Name]], tbl_MTG_Set_Type[Set Type], tbl_MTG_Set_Type[Heavy Printing Window Month Start], "(Set Type not found)", 0, 1)</f>
        <v>(Set Type not found)</v>
      </c>
      <c r="P509" s="3" t="e">
        <f>tbl_MTG_Set[[#This Row],[Released On]]+tbl_MTG_Set[[#This Row],[Heavy Printing Window Month Start]]*365.25/12</f>
        <v>#VALUE!</v>
      </c>
      <c r="Q509" t="str">
        <f>_xlfn.XLOOKUP(tbl_MTG_Set[[#This Row],[Type Name]], tbl_MTG_Set_Type[Set Type], tbl_MTG_Set_Type[Heavy Printing Window Month End], "(Set Type not found)", 0, 1)</f>
        <v>(Set Type not found)</v>
      </c>
      <c r="R509" s="3" t="e">
        <f>tbl_MTG_Set[[#This Row],[Released On]]+tbl_MTG_Set[[#This Row],[Heavy Printing Window Month End]]*365.25/12</f>
        <v>#VALUE!</v>
      </c>
      <c r="S509" s="3" t="e">
        <f ca="1">AND(NOW()&gt;=tbl_MTG_Set[[#This Row],[Heavy Printing Window Start]], NOW()&lt;=tbl_MTG_Set[[#This Row],[Heavy Printing Window End]])</f>
        <v>#VALUE!</v>
      </c>
      <c r="T509" t="str">
        <f>_xlfn.XLOOKUP(tbl_MTG_Set[[#This Row],[Type Name]], tbl_MTG_Set_Type[Set Type], tbl_MTG_Set_Type[Sell Window Month Start], "(Set Type not found)", 0, 1)</f>
        <v>(Set Type not found)</v>
      </c>
      <c r="U509" s="3" t="e">
        <f>tbl_MTG_Set[[#This Row],[Released On]]+tbl_MTG_Set[[#This Row],[Sell Window Month Start]]*365.25/12</f>
        <v>#VALUE!</v>
      </c>
      <c r="V509" t="str">
        <f>_xlfn.XLOOKUP(tbl_MTG_Set[[#This Row],[Type Name]], tbl_MTG_Set_Type[Set Type], tbl_MTG_Set_Type[Sell Window Month End], "(Set Type not found)", 0, 1)</f>
        <v>(Set Type not found)</v>
      </c>
      <c r="W509" s="3" t="e">
        <f>tbl_MTG_Set[[#This Row],[Released On]]+tbl_MTG_Set[[#This Row],[Sell Window Month End]]*365.25/12</f>
        <v>#VALUE!</v>
      </c>
      <c r="X509" s="3" t="e">
        <f ca="1">AND(NOW()&gt;=tbl_MTG_Set[[#This Row],[Sell Window Start]], NOW()&lt;=tbl_MTG_Set[[#This Row],[Sell Window End]])</f>
        <v>#VALUE!</v>
      </c>
      <c r="AG509" s="10"/>
      <c r="AH509" s="10"/>
      <c r="AM509" s="10" t="str" cm="1">
        <f t="array" ref="AM5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09" s="10" t="str" cm="1">
        <f t="array" ref="AN5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09" s="4" t="e">
        <f>_xlfn.XLOOKUP(tbl_MTG_Set[[#This Row],[Play Booster Box Product Id]], tbl_Product[Product Id], tbl_Product[Pack Size])</f>
        <v>#N/A</v>
      </c>
      <c r="AP509" s="10" t="e">
        <f>(tbl_MTG_Set[[#This Row],[Play Booster Box Cost]]+v_Item_Shipping_Cost_In)/tbl_MTG_Set[[#This Row],[Play Booster Box Size]]</f>
        <v>#VALUE!</v>
      </c>
      <c r="AQ509" s="10" t="str" cm="1">
        <f t="array" ref="AQ5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09" s="10"/>
      <c r="AS509" s="10"/>
      <c r="AT509" s="17" t="e">
        <f>tbl_MTG_Set[[#This Row],[Play Booster CardMarket Profit]]/tbl_MTG_Set[[#This Row],[Play Booster Cost]]</f>
        <v>#VALUE!</v>
      </c>
      <c r="AU509" s="10" t="e">
        <f>_xlfn.XLOOKUP(tbl_MTG_Set[[#This Row],[Collector Booster Box Product Id]], tbl_Product[Product Id], tbl_Product[Min Cost])</f>
        <v>#N/A</v>
      </c>
      <c r="AV509" s="10" t="e">
        <f>_xlfn.XLOOKUP(tbl_MTG_Set[[#This Row],[Collector Booster Box Product Id]], tbl_Product[Product Id], tbl_Product[Best Source])</f>
        <v>#N/A</v>
      </c>
      <c r="AW509" s="4" t="e">
        <f>_xlfn.XLOOKUP(tbl_MTG_Set[[#This Row],[Collector Booster Box Product Id]], tbl_Product[Product Id], tbl_Product[Pack Size])</f>
        <v>#N/A</v>
      </c>
      <c r="AX509" s="10" t="e">
        <f>(tbl_MTG_Set[[#This Row],[Collector Booster Box Cost]] + v_Item_Shipping_Cost_In) / tbl_MTG_Set[[#This Row],[Collector Booster Box Size]]</f>
        <v>#N/A</v>
      </c>
      <c r="AY509" s="10" t="str" cm="1">
        <f t="array" ref="AY5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09" s="10"/>
      <c r="BA5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09" s="17" t="e">
        <f>tbl_MTG_Set[[#This Row],[Collector Booster CardMarket Profit]]/tbl_MTG_Set[[#This Row],[Collector Booster Cost]]</f>
        <v>#N/A</v>
      </c>
      <c r="BC509" s="10"/>
      <c r="BF5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09" s="11" t="e">
        <f>tbl_MTG_Set[[#This Row],[Play Singles CardMarket Profit MTG Stocks]]/tbl_MTG_Set[[#This Row],[Play Booster Cost]]</f>
        <v>#VALUE!</v>
      </c>
      <c r="BI509" s="11" t="b">
        <f>tbl_MTG_Set[[#This Row],[Play Singles CardMarket Profit MTG Stocks]]&gt;0</f>
        <v>0</v>
      </c>
      <c r="BM509" s="10" t="e">
        <f>tbl_MTG_Set[[#This Row],[Play Booster Sell Price CardMarket]]*tbl_MTG_Set[[#This Row],[Play Booster Expected Market Value BotBox]]/tbl_MTG_Set[[#This Row],[Play Booster Sealed Market Value BotBox]]</f>
        <v>#VALUE!</v>
      </c>
      <c r="BN5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09" s="10" t="e">
        <f>tbl_MTG_Set[[#This Row],[Play Singles CardMarket Profit BotBox]]/tbl_MTG_Set[[#This Row],[Play Booster Cost]]</f>
        <v>#VALUE!</v>
      </c>
      <c r="BP509" s="10" t="b">
        <f>tbl_MTG_Set[[#This Row],[Play Singles CardMarket Profit BotBox]]&gt;0</f>
        <v>0</v>
      </c>
      <c r="BQ509" s="10"/>
      <c r="BR509" s="10"/>
      <c r="BS509" s="10"/>
      <c r="BT5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09" s="19" t="e">
        <f>tbl_MTG_Set[[#This Row],[Collector Singles CardMarket Profit MTG Stocks]]/tbl_MTG_Set[[#This Row],[Collector Booster Cost]]</f>
        <v>#N/A</v>
      </c>
      <c r="BW509" s="10" t="b">
        <f>tbl_MTG_Set[[#This Row],[Collector Singles CardMarket Profit MTG Stocks]]&gt;0</f>
        <v>0</v>
      </c>
      <c r="BX509" s="10"/>
      <c r="BY509" s="10"/>
      <c r="BZ5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09" s="10" t="e">
        <f>tbl_MTG_Set[[#This Row],[Collector Singles CardMarket Profit BotBox]]/tbl_MTG_Set[[#This Row],[Collector Booster Cost]]</f>
        <v>#N/A</v>
      </c>
      <c r="CC509" s="10" t="b">
        <f>tbl_MTG_Set[[#This Row],[Collector Singles CardMarket Profit BotBox]]&gt;0</f>
        <v>0</v>
      </c>
      <c r="CD5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0" spans="1:86" hidden="1">
      <c r="A510">
        <v>541</v>
      </c>
      <c r="B510" t="s">
        <v>683</v>
      </c>
      <c r="C510">
        <v>249</v>
      </c>
      <c r="D510" s="3">
        <v>42811</v>
      </c>
      <c r="F510" t="s">
        <v>174</v>
      </c>
      <c r="G510">
        <v>1028</v>
      </c>
      <c r="H510">
        <f ca="1">MONTH(NOW())+12*YEAR(NOW())-MONTH(tbl_MTG_Set[[#This Row],[Released On]])-12*YEAR(tbl_MTG_Set[[#This Row],[Released On]])</f>
        <v>108</v>
      </c>
      <c r="I510" t="str">
        <f>_xlfn.XLOOKUP(tbl_MTG_Set[[#This Row],[Type Name]], tbl_MTG_Set_Type[Set Type], tbl_MTG_Set_Type[Index], "(Set Type not found)")</f>
        <v>(Set Type not found)</v>
      </c>
      <c r="J510" t="str">
        <f>_xlfn.XLOOKUP(tbl_MTG_Set[[#This Row],[Type Name]], tbl_MTG_Set_Type[Set Type], tbl_MTG_Set_Type[Buy Window Month Start], "(Set Type not found)")</f>
        <v>(Set Type not found)</v>
      </c>
      <c r="K510" s="3" t="e">
        <f>tbl_MTG_Set[[#This Row],[Released On]]+tbl_MTG_Set[[#This Row],[Buy Window Month Start]]*365.25/12</f>
        <v>#VALUE!</v>
      </c>
      <c r="L510" t="str">
        <f>_xlfn.XLOOKUP(tbl_MTG_Set[[#This Row],[Type Name]], tbl_MTG_Set_Type[Set Type], tbl_MTG_Set_Type[Buy Window Month End], "(Set Type not found)", 0, 1)</f>
        <v>(Set Type not found)</v>
      </c>
      <c r="M510" s="3" t="e">
        <f>tbl_MTG_Set[[#This Row],[Released On]]+tbl_MTG_Set[[#This Row],[Buy Window Month End]]*365.25/12</f>
        <v>#VALUE!</v>
      </c>
      <c r="N510" s="3" t="e">
        <f ca="1">AND(NOW()&gt;=tbl_MTG_Set[[#This Row],[Buy Window Start]], NOW()&lt;=tbl_MTG_Set[[#This Row],[Buy Window End]])</f>
        <v>#VALUE!</v>
      </c>
      <c r="O510" t="str">
        <f>_xlfn.XLOOKUP(tbl_MTG_Set[[#This Row],[Type Name]], tbl_MTG_Set_Type[Set Type], tbl_MTG_Set_Type[Heavy Printing Window Month Start], "(Set Type not found)", 0, 1)</f>
        <v>(Set Type not found)</v>
      </c>
      <c r="P510" s="3" t="e">
        <f>tbl_MTG_Set[[#This Row],[Released On]]+tbl_MTG_Set[[#This Row],[Heavy Printing Window Month Start]]*365.25/12</f>
        <v>#VALUE!</v>
      </c>
      <c r="Q510" t="str">
        <f>_xlfn.XLOOKUP(tbl_MTG_Set[[#This Row],[Type Name]], tbl_MTG_Set_Type[Set Type], tbl_MTG_Set_Type[Heavy Printing Window Month End], "(Set Type not found)", 0, 1)</f>
        <v>(Set Type not found)</v>
      </c>
      <c r="R510" s="3" t="e">
        <f>tbl_MTG_Set[[#This Row],[Released On]]+tbl_MTG_Set[[#This Row],[Heavy Printing Window Month End]]*365.25/12</f>
        <v>#VALUE!</v>
      </c>
      <c r="S510" s="3" t="e">
        <f ca="1">AND(NOW()&gt;=tbl_MTG_Set[[#This Row],[Heavy Printing Window Start]], NOW()&lt;=tbl_MTG_Set[[#This Row],[Heavy Printing Window End]])</f>
        <v>#VALUE!</v>
      </c>
      <c r="T510" t="str">
        <f>_xlfn.XLOOKUP(tbl_MTG_Set[[#This Row],[Type Name]], tbl_MTG_Set_Type[Set Type], tbl_MTG_Set_Type[Sell Window Month Start], "(Set Type not found)", 0, 1)</f>
        <v>(Set Type not found)</v>
      </c>
      <c r="U510" s="3" t="e">
        <f>tbl_MTG_Set[[#This Row],[Released On]]+tbl_MTG_Set[[#This Row],[Sell Window Month Start]]*365.25/12</f>
        <v>#VALUE!</v>
      </c>
      <c r="V510" t="str">
        <f>_xlfn.XLOOKUP(tbl_MTG_Set[[#This Row],[Type Name]], tbl_MTG_Set_Type[Set Type], tbl_MTG_Set_Type[Sell Window Month End], "(Set Type not found)", 0, 1)</f>
        <v>(Set Type not found)</v>
      </c>
      <c r="W510" s="3" t="e">
        <f>tbl_MTG_Set[[#This Row],[Released On]]+tbl_MTG_Set[[#This Row],[Sell Window Month End]]*365.25/12</f>
        <v>#VALUE!</v>
      </c>
      <c r="X510" s="3" t="e">
        <f ca="1">AND(NOW()&gt;=tbl_MTG_Set[[#This Row],[Sell Window Start]], NOW()&lt;=tbl_MTG_Set[[#This Row],[Sell Window End]])</f>
        <v>#VALUE!</v>
      </c>
      <c r="AG510" s="10"/>
      <c r="AH510" s="10"/>
      <c r="AM510" s="10" t="str" cm="1">
        <f t="array" ref="AM5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0" s="10" t="str" cm="1">
        <f t="array" ref="AN5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0" s="4" t="e">
        <f>_xlfn.XLOOKUP(tbl_MTG_Set[[#This Row],[Play Booster Box Product Id]], tbl_Product[Product Id], tbl_Product[Pack Size])</f>
        <v>#N/A</v>
      </c>
      <c r="AP510" s="10" t="e">
        <f>(tbl_MTG_Set[[#This Row],[Play Booster Box Cost]]+v_Item_Shipping_Cost_In)/tbl_MTG_Set[[#This Row],[Play Booster Box Size]]</f>
        <v>#VALUE!</v>
      </c>
      <c r="AQ510" s="10" t="str" cm="1">
        <f t="array" ref="AQ5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0" s="10"/>
      <c r="AS510" s="10"/>
      <c r="AT510" s="17" t="e">
        <f>tbl_MTG_Set[[#This Row],[Play Booster CardMarket Profit]]/tbl_MTG_Set[[#This Row],[Play Booster Cost]]</f>
        <v>#VALUE!</v>
      </c>
      <c r="AU510" s="10" t="e">
        <f>_xlfn.XLOOKUP(tbl_MTG_Set[[#This Row],[Collector Booster Box Product Id]], tbl_Product[Product Id], tbl_Product[Min Cost])</f>
        <v>#N/A</v>
      </c>
      <c r="AV510" s="10" t="e">
        <f>_xlfn.XLOOKUP(tbl_MTG_Set[[#This Row],[Collector Booster Box Product Id]], tbl_Product[Product Id], tbl_Product[Best Source])</f>
        <v>#N/A</v>
      </c>
      <c r="AW510" s="4" t="e">
        <f>_xlfn.XLOOKUP(tbl_MTG_Set[[#This Row],[Collector Booster Box Product Id]], tbl_Product[Product Id], tbl_Product[Pack Size])</f>
        <v>#N/A</v>
      </c>
      <c r="AX510" s="10" t="e">
        <f>(tbl_MTG_Set[[#This Row],[Collector Booster Box Cost]] + v_Item_Shipping_Cost_In) / tbl_MTG_Set[[#This Row],[Collector Booster Box Size]]</f>
        <v>#N/A</v>
      </c>
      <c r="AY510" s="10" t="str" cm="1">
        <f t="array" ref="AY5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0" s="10"/>
      <c r="BA5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0" s="17" t="e">
        <f>tbl_MTG_Set[[#This Row],[Collector Booster CardMarket Profit]]/tbl_MTG_Set[[#This Row],[Collector Booster Cost]]</f>
        <v>#N/A</v>
      </c>
      <c r="BC510" s="10"/>
      <c r="BF5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0" s="11" t="e">
        <f>tbl_MTG_Set[[#This Row],[Play Singles CardMarket Profit MTG Stocks]]/tbl_MTG_Set[[#This Row],[Play Booster Cost]]</f>
        <v>#VALUE!</v>
      </c>
      <c r="BI510" s="11" t="b">
        <f>tbl_MTG_Set[[#This Row],[Play Singles CardMarket Profit MTG Stocks]]&gt;0</f>
        <v>0</v>
      </c>
      <c r="BM510" s="10" t="e">
        <f>tbl_MTG_Set[[#This Row],[Play Booster Sell Price CardMarket]]*tbl_MTG_Set[[#This Row],[Play Booster Expected Market Value BotBox]]/tbl_MTG_Set[[#This Row],[Play Booster Sealed Market Value BotBox]]</f>
        <v>#VALUE!</v>
      </c>
      <c r="BN5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0" s="10" t="e">
        <f>tbl_MTG_Set[[#This Row],[Play Singles CardMarket Profit BotBox]]/tbl_MTG_Set[[#This Row],[Play Booster Cost]]</f>
        <v>#VALUE!</v>
      </c>
      <c r="BP510" s="10" t="b">
        <f>tbl_MTG_Set[[#This Row],[Play Singles CardMarket Profit BotBox]]&gt;0</f>
        <v>0</v>
      </c>
      <c r="BQ510" s="10"/>
      <c r="BR510" s="10"/>
      <c r="BS510" s="10"/>
      <c r="BT5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0" s="19" t="e">
        <f>tbl_MTG_Set[[#This Row],[Collector Singles CardMarket Profit MTG Stocks]]/tbl_MTG_Set[[#This Row],[Collector Booster Cost]]</f>
        <v>#N/A</v>
      </c>
      <c r="BW510" s="10" t="b">
        <f>tbl_MTG_Set[[#This Row],[Collector Singles CardMarket Profit MTG Stocks]]&gt;0</f>
        <v>0</v>
      </c>
      <c r="BX510" s="10"/>
      <c r="BY510" s="10"/>
      <c r="BZ5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0" s="10" t="e">
        <f>tbl_MTG_Set[[#This Row],[Collector Singles CardMarket Profit BotBox]]/tbl_MTG_Set[[#This Row],[Collector Booster Cost]]</f>
        <v>#N/A</v>
      </c>
      <c r="CC510" s="10" t="b">
        <f>tbl_MTG_Set[[#This Row],[Collector Singles CardMarket Profit BotBox]]&gt;0</f>
        <v>0</v>
      </c>
      <c r="CD5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1" spans="1:86" hidden="1">
      <c r="A511">
        <v>542</v>
      </c>
      <c r="B511" t="s">
        <v>684</v>
      </c>
      <c r="C511">
        <v>21</v>
      </c>
      <c r="D511" s="3">
        <v>42811</v>
      </c>
      <c r="F511" t="s">
        <v>174</v>
      </c>
      <c r="G511">
        <v>1030</v>
      </c>
      <c r="H511">
        <f ca="1">MONTH(NOW())+12*YEAR(NOW())-MONTH(tbl_MTG_Set[[#This Row],[Released On]])-12*YEAR(tbl_MTG_Set[[#This Row],[Released On]])</f>
        <v>108</v>
      </c>
      <c r="I511" t="str">
        <f>_xlfn.XLOOKUP(tbl_MTG_Set[[#This Row],[Type Name]], tbl_MTG_Set_Type[Set Type], tbl_MTG_Set_Type[Index], "(Set Type not found)")</f>
        <v>(Set Type not found)</v>
      </c>
      <c r="J511" t="str">
        <f>_xlfn.XLOOKUP(tbl_MTG_Set[[#This Row],[Type Name]], tbl_MTG_Set_Type[Set Type], tbl_MTG_Set_Type[Buy Window Month Start], "(Set Type not found)")</f>
        <v>(Set Type not found)</v>
      </c>
      <c r="K511" s="3" t="e">
        <f>tbl_MTG_Set[[#This Row],[Released On]]+tbl_MTG_Set[[#This Row],[Buy Window Month Start]]*365.25/12</f>
        <v>#VALUE!</v>
      </c>
      <c r="L511" t="str">
        <f>_xlfn.XLOOKUP(tbl_MTG_Set[[#This Row],[Type Name]], tbl_MTG_Set_Type[Set Type], tbl_MTG_Set_Type[Buy Window Month End], "(Set Type not found)", 0, 1)</f>
        <v>(Set Type not found)</v>
      </c>
      <c r="M511" s="3" t="e">
        <f>tbl_MTG_Set[[#This Row],[Released On]]+tbl_MTG_Set[[#This Row],[Buy Window Month End]]*365.25/12</f>
        <v>#VALUE!</v>
      </c>
      <c r="N511" s="3" t="e">
        <f ca="1">AND(NOW()&gt;=tbl_MTG_Set[[#This Row],[Buy Window Start]], NOW()&lt;=tbl_MTG_Set[[#This Row],[Buy Window End]])</f>
        <v>#VALUE!</v>
      </c>
      <c r="O511" t="str">
        <f>_xlfn.XLOOKUP(tbl_MTG_Set[[#This Row],[Type Name]], tbl_MTG_Set_Type[Set Type], tbl_MTG_Set_Type[Heavy Printing Window Month Start], "(Set Type not found)", 0, 1)</f>
        <v>(Set Type not found)</v>
      </c>
      <c r="P511" s="3" t="e">
        <f>tbl_MTG_Set[[#This Row],[Released On]]+tbl_MTG_Set[[#This Row],[Heavy Printing Window Month Start]]*365.25/12</f>
        <v>#VALUE!</v>
      </c>
      <c r="Q511" t="str">
        <f>_xlfn.XLOOKUP(tbl_MTG_Set[[#This Row],[Type Name]], tbl_MTG_Set_Type[Set Type], tbl_MTG_Set_Type[Heavy Printing Window Month End], "(Set Type not found)", 0, 1)</f>
        <v>(Set Type not found)</v>
      </c>
      <c r="R511" s="3" t="e">
        <f>tbl_MTG_Set[[#This Row],[Released On]]+tbl_MTG_Set[[#This Row],[Heavy Printing Window Month End]]*365.25/12</f>
        <v>#VALUE!</v>
      </c>
      <c r="S511" s="3" t="e">
        <f ca="1">AND(NOW()&gt;=tbl_MTG_Set[[#This Row],[Heavy Printing Window Start]], NOW()&lt;=tbl_MTG_Set[[#This Row],[Heavy Printing Window End]])</f>
        <v>#VALUE!</v>
      </c>
      <c r="T511" t="str">
        <f>_xlfn.XLOOKUP(tbl_MTG_Set[[#This Row],[Type Name]], tbl_MTG_Set_Type[Set Type], tbl_MTG_Set_Type[Sell Window Month Start], "(Set Type not found)", 0, 1)</f>
        <v>(Set Type not found)</v>
      </c>
      <c r="U511" s="3" t="e">
        <f>tbl_MTG_Set[[#This Row],[Released On]]+tbl_MTG_Set[[#This Row],[Sell Window Month Start]]*365.25/12</f>
        <v>#VALUE!</v>
      </c>
      <c r="V511" t="str">
        <f>_xlfn.XLOOKUP(tbl_MTG_Set[[#This Row],[Type Name]], tbl_MTG_Set_Type[Set Type], tbl_MTG_Set_Type[Sell Window Month End], "(Set Type not found)", 0, 1)</f>
        <v>(Set Type not found)</v>
      </c>
      <c r="W511" s="3" t="e">
        <f>tbl_MTG_Set[[#This Row],[Released On]]+tbl_MTG_Set[[#This Row],[Sell Window Month End]]*365.25/12</f>
        <v>#VALUE!</v>
      </c>
      <c r="X511" s="3" t="e">
        <f ca="1">AND(NOW()&gt;=tbl_MTG_Set[[#This Row],[Sell Window Start]], NOW()&lt;=tbl_MTG_Set[[#This Row],[Sell Window End]])</f>
        <v>#VALUE!</v>
      </c>
      <c r="AG511" s="10"/>
      <c r="AH511" s="10"/>
      <c r="AM511" s="10" t="str" cm="1">
        <f t="array" ref="AM5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1" s="10" t="str" cm="1">
        <f t="array" ref="AN5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1" s="4" t="e">
        <f>_xlfn.XLOOKUP(tbl_MTG_Set[[#This Row],[Play Booster Box Product Id]], tbl_Product[Product Id], tbl_Product[Pack Size])</f>
        <v>#N/A</v>
      </c>
      <c r="AP511" s="10" t="e">
        <f>(tbl_MTG_Set[[#This Row],[Play Booster Box Cost]]+v_Item_Shipping_Cost_In)/tbl_MTG_Set[[#This Row],[Play Booster Box Size]]</f>
        <v>#VALUE!</v>
      </c>
      <c r="AQ511" s="10" t="str" cm="1">
        <f t="array" ref="AQ5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1" s="10"/>
      <c r="AS511" s="10"/>
      <c r="AT511" s="17" t="e">
        <f>tbl_MTG_Set[[#This Row],[Play Booster CardMarket Profit]]/tbl_MTG_Set[[#This Row],[Play Booster Cost]]</f>
        <v>#VALUE!</v>
      </c>
      <c r="AU511" s="10" t="e">
        <f>_xlfn.XLOOKUP(tbl_MTG_Set[[#This Row],[Collector Booster Box Product Id]], tbl_Product[Product Id], tbl_Product[Min Cost])</f>
        <v>#N/A</v>
      </c>
      <c r="AV511" s="10" t="e">
        <f>_xlfn.XLOOKUP(tbl_MTG_Set[[#This Row],[Collector Booster Box Product Id]], tbl_Product[Product Id], tbl_Product[Best Source])</f>
        <v>#N/A</v>
      </c>
      <c r="AW511" s="4" t="e">
        <f>_xlfn.XLOOKUP(tbl_MTG_Set[[#This Row],[Collector Booster Box Product Id]], tbl_Product[Product Id], tbl_Product[Pack Size])</f>
        <v>#N/A</v>
      </c>
      <c r="AX511" s="10" t="e">
        <f>(tbl_MTG_Set[[#This Row],[Collector Booster Box Cost]] + v_Item_Shipping_Cost_In) / tbl_MTG_Set[[#This Row],[Collector Booster Box Size]]</f>
        <v>#N/A</v>
      </c>
      <c r="AY511" s="10" t="str" cm="1">
        <f t="array" ref="AY5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1" s="10"/>
      <c r="BA5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1" s="17" t="e">
        <f>tbl_MTG_Set[[#This Row],[Collector Booster CardMarket Profit]]/tbl_MTG_Set[[#This Row],[Collector Booster Cost]]</f>
        <v>#N/A</v>
      </c>
      <c r="BC511" s="10"/>
      <c r="BF5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1" s="11" t="e">
        <f>tbl_MTG_Set[[#This Row],[Play Singles CardMarket Profit MTG Stocks]]/tbl_MTG_Set[[#This Row],[Play Booster Cost]]</f>
        <v>#VALUE!</v>
      </c>
      <c r="BI511" s="11" t="b">
        <f>tbl_MTG_Set[[#This Row],[Play Singles CardMarket Profit MTG Stocks]]&gt;0</f>
        <v>0</v>
      </c>
      <c r="BM511" s="10" t="e">
        <f>tbl_MTG_Set[[#This Row],[Play Booster Sell Price CardMarket]]*tbl_MTG_Set[[#This Row],[Play Booster Expected Market Value BotBox]]/tbl_MTG_Set[[#This Row],[Play Booster Sealed Market Value BotBox]]</f>
        <v>#VALUE!</v>
      </c>
      <c r="BN5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1" s="10" t="e">
        <f>tbl_MTG_Set[[#This Row],[Play Singles CardMarket Profit BotBox]]/tbl_MTG_Set[[#This Row],[Play Booster Cost]]</f>
        <v>#VALUE!</v>
      </c>
      <c r="BP511" s="10" t="b">
        <f>tbl_MTG_Set[[#This Row],[Play Singles CardMarket Profit BotBox]]&gt;0</f>
        <v>0</v>
      </c>
      <c r="BQ511" s="10"/>
      <c r="BR511" s="10"/>
      <c r="BS511" s="10"/>
      <c r="BT5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1" s="19" t="e">
        <f>tbl_MTG_Set[[#This Row],[Collector Singles CardMarket Profit MTG Stocks]]/tbl_MTG_Set[[#This Row],[Collector Booster Cost]]</f>
        <v>#N/A</v>
      </c>
      <c r="BW511" s="10" t="b">
        <f>tbl_MTG_Set[[#This Row],[Collector Singles CardMarket Profit MTG Stocks]]&gt;0</f>
        <v>0</v>
      </c>
      <c r="BX511" s="10"/>
      <c r="BY511" s="10"/>
      <c r="BZ5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1" s="10" t="e">
        <f>tbl_MTG_Set[[#This Row],[Collector Singles CardMarket Profit BotBox]]/tbl_MTG_Set[[#This Row],[Collector Booster Cost]]</f>
        <v>#N/A</v>
      </c>
      <c r="CC511" s="10" t="b">
        <f>tbl_MTG_Set[[#This Row],[Collector Singles CardMarket Profit BotBox]]&gt;0</f>
        <v>0</v>
      </c>
      <c r="CD5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2" spans="1:86" hidden="1">
      <c r="A512">
        <v>543</v>
      </c>
      <c r="B512" t="s">
        <v>685</v>
      </c>
      <c r="C512">
        <v>197</v>
      </c>
      <c r="D512" s="3">
        <v>42755</v>
      </c>
      <c r="F512" t="s">
        <v>174</v>
      </c>
      <c r="G512">
        <v>1032</v>
      </c>
      <c r="H512">
        <f ca="1">MONTH(NOW())+12*YEAR(NOW())-MONTH(tbl_MTG_Set[[#This Row],[Released On]])-12*YEAR(tbl_MTG_Set[[#This Row],[Released On]])</f>
        <v>110</v>
      </c>
      <c r="I512" t="str">
        <f>_xlfn.XLOOKUP(tbl_MTG_Set[[#This Row],[Type Name]], tbl_MTG_Set_Type[Set Type], tbl_MTG_Set_Type[Index], "(Set Type not found)")</f>
        <v>(Set Type not found)</v>
      </c>
      <c r="J512" t="str">
        <f>_xlfn.XLOOKUP(tbl_MTG_Set[[#This Row],[Type Name]], tbl_MTG_Set_Type[Set Type], tbl_MTG_Set_Type[Buy Window Month Start], "(Set Type not found)")</f>
        <v>(Set Type not found)</v>
      </c>
      <c r="K512" s="3" t="e">
        <f>tbl_MTG_Set[[#This Row],[Released On]]+tbl_MTG_Set[[#This Row],[Buy Window Month Start]]*365.25/12</f>
        <v>#VALUE!</v>
      </c>
      <c r="L512" t="str">
        <f>_xlfn.XLOOKUP(tbl_MTG_Set[[#This Row],[Type Name]], tbl_MTG_Set_Type[Set Type], tbl_MTG_Set_Type[Buy Window Month End], "(Set Type not found)", 0, 1)</f>
        <v>(Set Type not found)</v>
      </c>
      <c r="M512" s="3" t="e">
        <f>tbl_MTG_Set[[#This Row],[Released On]]+tbl_MTG_Set[[#This Row],[Buy Window Month End]]*365.25/12</f>
        <v>#VALUE!</v>
      </c>
      <c r="N512" s="3" t="e">
        <f ca="1">AND(NOW()&gt;=tbl_MTG_Set[[#This Row],[Buy Window Start]], NOW()&lt;=tbl_MTG_Set[[#This Row],[Buy Window End]])</f>
        <v>#VALUE!</v>
      </c>
      <c r="O512" t="str">
        <f>_xlfn.XLOOKUP(tbl_MTG_Set[[#This Row],[Type Name]], tbl_MTG_Set_Type[Set Type], tbl_MTG_Set_Type[Heavy Printing Window Month Start], "(Set Type not found)", 0, 1)</f>
        <v>(Set Type not found)</v>
      </c>
      <c r="P512" s="3" t="e">
        <f>tbl_MTG_Set[[#This Row],[Released On]]+tbl_MTG_Set[[#This Row],[Heavy Printing Window Month Start]]*365.25/12</f>
        <v>#VALUE!</v>
      </c>
      <c r="Q512" t="str">
        <f>_xlfn.XLOOKUP(tbl_MTG_Set[[#This Row],[Type Name]], tbl_MTG_Set_Type[Set Type], tbl_MTG_Set_Type[Heavy Printing Window Month End], "(Set Type not found)", 0, 1)</f>
        <v>(Set Type not found)</v>
      </c>
      <c r="R512" s="3" t="e">
        <f>tbl_MTG_Set[[#This Row],[Released On]]+tbl_MTG_Set[[#This Row],[Heavy Printing Window Month End]]*365.25/12</f>
        <v>#VALUE!</v>
      </c>
      <c r="S512" s="3" t="e">
        <f ca="1">AND(NOW()&gt;=tbl_MTG_Set[[#This Row],[Heavy Printing Window Start]], NOW()&lt;=tbl_MTG_Set[[#This Row],[Heavy Printing Window End]])</f>
        <v>#VALUE!</v>
      </c>
      <c r="T512" t="str">
        <f>_xlfn.XLOOKUP(tbl_MTG_Set[[#This Row],[Type Name]], tbl_MTG_Set_Type[Set Type], tbl_MTG_Set_Type[Sell Window Month Start], "(Set Type not found)", 0, 1)</f>
        <v>(Set Type not found)</v>
      </c>
      <c r="U512" s="3" t="e">
        <f>tbl_MTG_Set[[#This Row],[Released On]]+tbl_MTG_Set[[#This Row],[Sell Window Month Start]]*365.25/12</f>
        <v>#VALUE!</v>
      </c>
      <c r="V512" t="str">
        <f>_xlfn.XLOOKUP(tbl_MTG_Set[[#This Row],[Type Name]], tbl_MTG_Set_Type[Set Type], tbl_MTG_Set_Type[Sell Window Month End], "(Set Type not found)", 0, 1)</f>
        <v>(Set Type not found)</v>
      </c>
      <c r="W512" s="3" t="e">
        <f>tbl_MTG_Set[[#This Row],[Released On]]+tbl_MTG_Set[[#This Row],[Sell Window Month End]]*365.25/12</f>
        <v>#VALUE!</v>
      </c>
      <c r="X512" s="3" t="e">
        <f ca="1">AND(NOW()&gt;=tbl_MTG_Set[[#This Row],[Sell Window Start]], NOW()&lt;=tbl_MTG_Set[[#This Row],[Sell Window End]])</f>
        <v>#VALUE!</v>
      </c>
      <c r="AG512" s="10"/>
      <c r="AH512" s="10"/>
      <c r="AM512" s="10" t="str" cm="1">
        <f t="array" ref="AM5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2" s="10" t="str" cm="1">
        <f t="array" ref="AN5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2" s="4" t="e">
        <f>_xlfn.XLOOKUP(tbl_MTG_Set[[#This Row],[Play Booster Box Product Id]], tbl_Product[Product Id], tbl_Product[Pack Size])</f>
        <v>#N/A</v>
      </c>
      <c r="AP512" s="10" t="e">
        <f>(tbl_MTG_Set[[#This Row],[Play Booster Box Cost]]+v_Item_Shipping_Cost_In)/tbl_MTG_Set[[#This Row],[Play Booster Box Size]]</f>
        <v>#VALUE!</v>
      </c>
      <c r="AQ512" s="10" t="str" cm="1">
        <f t="array" ref="AQ5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2" s="10"/>
      <c r="AS512" s="10"/>
      <c r="AT512" s="17" t="e">
        <f>tbl_MTG_Set[[#This Row],[Play Booster CardMarket Profit]]/tbl_MTG_Set[[#This Row],[Play Booster Cost]]</f>
        <v>#VALUE!</v>
      </c>
      <c r="AU512" s="10" t="e">
        <f>_xlfn.XLOOKUP(tbl_MTG_Set[[#This Row],[Collector Booster Box Product Id]], tbl_Product[Product Id], tbl_Product[Min Cost])</f>
        <v>#N/A</v>
      </c>
      <c r="AV512" s="10" t="e">
        <f>_xlfn.XLOOKUP(tbl_MTG_Set[[#This Row],[Collector Booster Box Product Id]], tbl_Product[Product Id], tbl_Product[Best Source])</f>
        <v>#N/A</v>
      </c>
      <c r="AW512" s="4" t="e">
        <f>_xlfn.XLOOKUP(tbl_MTG_Set[[#This Row],[Collector Booster Box Product Id]], tbl_Product[Product Id], tbl_Product[Pack Size])</f>
        <v>#N/A</v>
      </c>
      <c r="AX512" s="10" t="e">
        <f>(tbl_MTG_Set[[#This Row],[Collector Booster Box Cost]] + v_Item_Shipping_Cost_In) / tbl_MTG_Set[[#This Row],[Collector Booster Box Size]]</f>
        <v>#N/A</v>
      </c>
      <c r="AY512" s="10" t="str" cm="1">
        <f t="array" ref="AY5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2" s="10"/>
      <c r="BA5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2" s="17" t="e">
        <f>tbl_MTG_Set[[#This Row],[Collector Booster CardMarket Profit]]/tbl_MTG_Set[[#This Row],[Collector Booster Cost]]</f>
        <v>#N/A</v>
      </c>
      <c r="BC512" s="10"/>
      <c r="BF5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2" s="11" t="e">
        <f>tbl_MTG_Set[[#This Row],[Play Singles CardMarket Profit MTG Stocks]]/tbl_MTG_Set[[#This Row],[Play Booster Cost]]</f>
        <v>#VALUE!</v>
      </c>
      <c r="BI512" s="11" t="b">
        <f>tbl_MTG_Set[[#This Row],[Play Singles CardMarket Profit MTG Stocks]]&gt;0</f>
        <v>0</v>
      </c>
      <c r="BM512" s="10" t="e">
        <f>tbl_MTG_Set[[#This Row],[Play Booster Sell Price CardMarket]]*tbl_MTG_Set[[#This Row],[Play Booster Expected Market Value BotBox]]/tbl_MTG_Set[[#This Row],[Play Booster Sealed Market Value BotBox]]</f>
        <v>#VALUE!</v>
      </c>
      <c r="BN5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2" s="10" t="e">
        <f>tbl_MTG_Set[[#This Row],[Play Singles CardMarket Profit BotBox]]/tbl_MTG_Set[[#This Row],[Play Booster Cost]]</f>
        <v>#VALUE!</v>
      </c>
      <c r="BP512" s="10" t="b">
        <f>tbl_MTG_Set[[#This Row],[Play Singles CardMarket Profit BotBox]]&gt;0</f>
        <v>0</v>
      </c>
      <c r="BQ512" s="10"/>
      <c r="BR512" s="10"/>
      <c r="BS512" s="10"/>
      <c r="BT5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2" s="19" t="e">
        <f>tbl_MTG_Set[[#This Row],[Collector Singles CardMarket Profit MTG Stocks]]/tbl_MTG_Set[[#This Row],[Collector Booster Cost]]</f>
        <v>#N/A</v>
      </c>
      <c r="BW512" s="10" t="b">
        <f>tbl_MTG_Set[[#This Row],[Collector Singles CardMarket Profit MTG Stocks]]&gt;0</f>
        <v>0</v>
      </c>
      <c r="BX512" s="10"/>
      <c r="BY512" s="10"/>
      <c r="BZ5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2" s="10" t="e">
        <f>tbl_MTG_Set[[#This Row],[Collector Singles CardMarket Profit BotBox]]/tbl_MTG_Set[[#This Row],[Collector Booster Cost]]</f>
        <v>#N/A</v>
      </c>
      <c r="CC512" s="10" t="b">
        <f>tbl_MTG_Set[[#This Row],[Collector Singles CardMarket Profit BotBox]]&gt;0</f>
        <v>0</v>
      </c>
      <c r="CD5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3" spans="1:86" hidden="1">
      <c r="A513">
        <v>544</v>
      </c>
      <c r="B513" t="s">
        <v>686</v>
      </c>
      <c r="C513">
        <v>65</v>
      </c>
      <c r="D513" s="3">
        <v>42755</v>
      </c>
      <c r="F513" t="s">
        <v>174</v>
      </c>
      <c r="G513">
        <v>1034</v>
      </c>
      <c r="H513">
        <f ca="1">MONTH(NOW())+12*YEAR(NOW())-MONTH(tbl_MTG_Set[[#This Row],[Released On]])-12*YEAR(tbl_MTG_Set[[#This Row],[Released On]])</f>
        <v>110</v>
      </c>
      <c r="I513" t="str">
        <f>_xlfn.XLOOKUP(tbl_MTG_Set[[#This Row],[Type Name]], tbl_MTG_Set_Type[Set Type], tbl_MTG_Set_Type[Index], "(Set Type not found)")</f>
        <v>(Set Type not found)</v>
      </c>
      <c r="J513" t="str">
        <f>_xlfn.XLOOKUP(tbl_MTG_Set[[#This Row],[Type Name]], tbl_MTG_Set_Type[Set Type], tbl_MTG_Set_Type[Buy Window Month Start], "(Set Type not found)")</f>
        <v>(Set Type not found)</v>
      </c>
      <c r="K513" s="3" t="e">
        <f>tbl_MTG_Set[[#This Row],[Released On]]+tbl_MTG_Set[[#This Row],[Buy Window Month Start]]*365.25/12</f>
        <v>#VALUE!</v>
      </c>
      <c r="L513" t="str">
        <f>_xlfn.XLOOKUP(tbl_MTG_Set[[#This Row],[Type Name]], tbl_MTG_Set_Type[Set Type], tbl_MTG_Set_Type[Buy Window Month End], "(Set Type not found)", 0, 1)</f>
        <v>(Set Type not found)</v>
      </c>
      <c r="M513" s="3" t="e">
        <f>tbl_MTG_Set[[#This Row],[Released On]]+tbl_MTG_Set[[#This Row],[Buy Window Month End]]*365.25/12</f>
        <v>#VALUE!</v>
      </c>
      <c r="N513" s="3" t="e">
        <f ca="1">AND(NOW()&gt;=tbl_MTG_Set[[#This Row],[Buy Window Start]], NOW()&lt;=tbl_MTG_Set[[#This Row],[Buy Window End]])</f>
        <v>#VALUE!</v>
      </c>
      <c r="O513" t="str">
        <f>_xlfn.XLOOKUP(tbl_MTG_Set[[#This Row],[Type Name]], tbl_MTG_Set_Type[Set Type], tbl_MTG_Set_Type[Heavy Printing Window Month Start], "(Set Type not found)", 0, 1)</f>
        <v>(Set Type not found)</v>
      </c>
      <c r="P513" s="3" t="e">
        <f>tbl_MTG_Set[[#This Row],[Released On]]+tbl_MTG_Set[[#This Row],[Heavy Printing Window Month Start]]*365.25/12</f>
        <v>#VALUE!</v>
      </c>
      <c r="Q513" t="str">
        <f>_xlfn.XLOOKUP(tbl_MTG_Set[[#This Row],[Type Name]], tbl_MTG_Set_Type[Set Type], tbl_MTG_Set_Type[Heavy Printing Window Month End], "(Set Type not found)", 0, 1)</f>
        <v>(Set Type not found)</v>
      </c>
      <c r="R513" s="3" t="e">
        <f>tbl_MTG_Set[[#This Row],[Released On]]+tbl_MTG_Set[[#This Row],[Heavy Printing Window Month End]]*365.25/12</f>
        <v>#VALUE!</v>
      </c>
      <c r="S513" s="3" t="e">
        <f ca="1">AND(NOW()&gt;=tbl_MTG_Set[[#This Row],[Heavy Printing Window Start]], NOW()&lt;=tbl_MTG_Set[[#This Row],[Heavy Printing Window End]])</f>
        <v>#VALUE!</v>
      </c>
      <c r="T513" t="str">
        <f>_xlfn.XLOOKUP(tbl_MTG_Set[[#This Row],[Type Name]], tbl_MTG_Set_Type[Set Type], tbl_MTG_Set_Type[Sell Window Month Start], "(Set Type not found)", 0, 1)</f>
        <v>(Set Type not found)</v>
      </c>
      <c r="U513" s="3" t="e">
        <f>tbl_MTG_Set[[#This Row],[Released On]]+tbl_MTG_Set[[#This Row],[Sell Window Month Start]]*365.25/12</f>
        <v>#VALUE!</v>
      </c>
      <c r="V513" t="str">
        <f>_xlfn.XLOOKUP(tbl_MTG_Set[[#This Row],[Type Name]], tbl_MTG_Set_Type[Set Type], tbl_MTG_Set_Type[Sell Window Month End], "(Set Type not found)", 0, 1)</f>
        <v>(Set Type not found)</v>
      </c>
      <c r="W513" s="3" t="e">
        <f>tbl_MTG_Set[[#This Row],[Released On]]+tbl_MTG_Set[[#This Row],[Sell Window Month End]]*365.25/12</f>
        <v>#VALUE!</v>
      </c>
      <c r="X513" s="3" t="e">
        <f ca="1">AND(NOW()&gt;=tbl_MTG_Set[[#This Row],[Sell Window Start]], NOW()&lt;=tbl_MTG_Set[[#This Row],[Sell Window End]])</f>
        <v>#VALUE!</v>
      </c>
      <c r="AG513" s="10"/>
      <c r="AH513" s="10"/>
      <c r="AM513" s="10" t="str" cm="1">
        <f t="array" ref="AM5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3" s="10" t="str" cm="1">
        <f t="array" ref="AN5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3" s="4" t="e">
        <f>_xlfn.XLOOKUP(tbl_MTG_Set[[#This Row],[Play Booster Box Product Id]], tbl_Product[Product Id], tbl_Product[Pack Size])</f>
        <v>#N/A</v>
      </c>
      <c r="AP513" s="10" t="e">
        <f>(tbl_MTG_Set[[#This Row],[Play Booster Box Cost]]+v_Item_Shipping_Cost_In)/tbl_MTG_Set[[#This Row],[Play Booster Box Size]]</f>
        <v>#VALUE!</v>
      </c>
      <c r="AQ513" s="10" t="str" cm="1">
        <f t="array" ref="AQ5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3" s="10"/>
      <c r="AS513" s="10"/>
      <c r="AT513" s="17" t="e">
        <f>tbl_MTG_Set[[#This Row],[Play Booster CardMarket Profit]]/tbl_MTG_Set[[#This Row],[Play Booster Cost]]</f>
        <v>#VALUE!</v>
      </c>
      <c r="AU513" s="10" t="e">
        <f>_xlfn.XLOOKUP(tbl_MTG_Set[[#This Row],[Collector Booster Box Product Id]], tbl_Product[Product Id], tbl_Product[Min Cost])</f>
        <v>#N/A</v>
      </c>
      <c r="AV513" s="10" t="e">
        <f>_xlfn.XLOOKUP(tbl_MTG_Set[[#This Row],[Collector Booster Box Product Id]], tbl_Product[Product Id], tbl_Product[Best Source])</f>
        <v>#N/A</v>
      </c>
      <c r="AW513" s="4" t="e">
        <f>_xlfn.XLOOKUP(tbl_MTG_Set[[#This Row],[Collector Booster Box Product Id]], tbl_Product[Product Id], tbl_Product[Pack Size])</f>
        <v>#N/A</v>
      </c>
      <c r="AX513" s="10" t="e">
        <f>(tbl_MTG_Set[[#This Row],[Collector Booster Box Cost]] + v_Item_Shipping_Cost_In) / tbl_MTG_Set[[#This Row],[Collector Booster Box Size]]</f>
        <v>#N/A</v>
      </c>
      <c r="AY513" s="10" t="str" cm="1">
        <f t="array" ref="AY5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3" s="10"/>
      <c r="BA5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3" s="17" t="e">
        <f>tbl_MTG_Set[[#This Row],[Collector Booster CardMarket Profit]]/tbl_MTG_Set[[#This Row],[Collector Booster Cost]]</f>
        <v>#N/A</v>
      </c>
      <c r="BC513" s="10"/>
      <c r="BF5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3" s="11" t="e">
        <f>tbl_MTG_Set[[#This Row],[Play Singles CardMarket Profit MTG Stocks]]/tbl_MTG_Set[[#This Row],[Play Booster Cost]]</f>
        <v>#VALUE!</v>
      </c>
      <c r="BI513" s="11" t="b">
        <f>tbl_MTG_Set[[#This Row],[Play Singles CardMarket Profit MTG Stocks]]&gt;0</f>
        <v>0</v>
      </c>
      <c r="BM513" s="10" t="e">
        <f>tbl_MTG_Set[[#This Row],[Play Booster Sell Price CardMarket]]*tbl_MTG_Set[[#This Row],[Play Booster Expected Market Value BotBox]]/tbl_MTG_Set[[#This Row],[Play Booster Sealed Market Value BotBox]]</f>
        <v>#VALUE!</v>
      </c>
      <c r="BN5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3" s="10" t="e">
        <f>tbl_MTG_Set[[#This Row],[Play Singles CardMarket Profit BotBox]]/tbl_MTG_Set[[#This Row],[Play Booster Cost]]</f>
        <v>#VALUE!</v>
      </c>
      <c r="BP513" s="10" t="b">
        <f>tbl_MTG_Set[[#This Row],[Play Singles CardMarket Profit BotBox]]&gt;0</f>
        <v>0</v>
      </c>
      <c r="BQ513" s="10"/>
      <c r="BR513" s="10"/>
      <c r="BS513" s="10"/>
      <c r="BT5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3" s="19" t="e">
        <f>tbl_MTG_Set[[#This Row],[Collector Singles CardMarket Profit MTG Stocks]]/tbl_MTG_Set[[#This Row],[Collector Booster Cost]]</f>
        <v>#N/A</v>
      </c>
      <c r="BW513" s="10" t="b">
        <f>tbl_MTG_Set[[#This Row],[Collector Singles CardMarket Profit MTG Stocks]]&gt;0</f>
        <v>0</v>
      </c>
      <c r="BX513" s="10"/>
      <c r="BY513" s="10"/>
      <c r="BZ5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3" s="10" t="e">
        <f>tbl_MTG_Set[[#This Row],[Collector Singles CardMarket Profit BotBox]]/tbl_MTG_Set[[#This Row],[Collector Booster Cost]]</f>
        <v>#N/A</v>
      </c>
      <c r="CC513" s="10" t="b">
        <f>tbl_MTG_Set[[#This Row],[Collector Singles CardMarket Profit BotBox]]&gt;0</f>
        <v>0</v>
      </c>
      <c r="CD5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4" spans="1:86" hidden="1">
      <c r="A514">
        <v>545</v>
      </c>
      <c r="B514" t="s">
        <v>687</v>
      </c>
      <c r="C514">
        <v>4</v>
      </c>
      <c r="D514" s="3">
        <v>42755</v>
      </c>
      <c r="F514" t="s">
        <v>174</v>
      </c>
      <c r="G514">
        <v>1036</v>
      </c>
      <c r="H514">
        <f ca="1">MONTH(NOW())+12*YEAR(NOW())-MONTH(tbl_MTG_Set[[#This Row],[Released On]])-12*YEAR(tbl_MTG_Set[[#This Row],[Released On]])</f>
        <v>110</v>
      </c>
      <c r="I514" t="str">
        <f>_xlfn.XLOOKUP(tbl_MTG_Set[[#This Row],[Type Name]], tbl_MTG_Set_Type[Set Type], tbl_MTG_Set_Type[Index], "(Set Type not found)")</f>
        <v>(Set Type not found)</v>
      </c>
      <c r="J514" t="str">
        <f>_xlfn.XLOOKUP(tbl_MTG_Set[[#This Row],[Type Name]], tbl_MTG_Set_Type[Set Type], tbl_MTG_Set_Type[Buy Window Month Start], "(Set Type not found)")</f>
        <v>(Set Type not found)</v>
      </c>
      <c r="K514" s="3" t="e">
        <f>tbl_MTG_Set[[#This Row],[Released On]]+tbl_MTG_Set[[#This Row],[Buy Window Month Start]]*365.25/12</f>
        <v>#VALUE!</v>
      </c>
      <c r="L514" t="str">
        <f>_xlfn.XLOOKUP(tbl_MTG_Set[[#This Row],[Type Name]], tbl_MTG_Set_Type[Set Type], tbl_MTG_Set_Type[Buy Window Month End], "(Set Type not found)", 0, 1)</f>
        <v>(Set Type not found)</v>
      </c>
      <c r="M514" s="3" t="e">
        <f>tbl_MTG_Set[[#This Row],[Released On]]+tbl_MTG_Set[[#This Row],[Buy Window Month End]]*365.25/12</f>
        <v>#VALUE!</v>
      </c>
      <c r="N514" s="3" t="e">
        <f ca="1">AND(NOW()&gt;=tbl_MTG_Set[[#This Row],[Buy Window Start]], NOW()&lt;=tbl_MTG_Set[[#This Row],[Buy Window End]])</f>
        <v>#VALUE!</v>
      </c>
      <c r="O514" t="str">
        <f>_xlfn.XLOOKUP(tbl_MTG_Set[[#This Row],[Type Name]], tbl_MTG_Set_Type[Set Type], tbl_MTG_Set_Type[Heavy Printing Window Month Start], "(Set Type not found)", 0, 1)</f>
        <v>(Set Type not found)</v>
      </c>
      <c r="P514" s="3" t="e">
        <f>tbl_MTG_Set[[#This Row],[Released On]]+tbl_MTG_Set[[#This Row],[Heavy Printing Window Month Start]]*365.25/12</f>
        <v>#VALUE!</v>
      </c>
      <c r="Q514" t="str">
        <f>_xlfn.XLOOKUP(tbl_MTG_Set[[#This Row],[Type Name]], tbl_MTG_Set_Type[Set Type], tbl_MTG_Set_Type[Heavy Printing Window Month End], "(Set Type not found)", 0, 1)</f>
        <v>(Set Type not found)</v>
      </c>
      <c r="R514" s="3" t="e">
        <f>tbl_MTG_Set[[#This Row],[Released On]]+tbl_MTG_Set[[#This Row],[Heavy Printing Window Month End]]*365.25/12</f>
        <v>#VALUE!</v>
      </c>
      <c r="S514" s="3" t="e">
        <f ca="1">AND(NOW()&gt;=tbl_MTG_Set[[#This Row],[Heavy Printing Window Start]], NOW()&lt;=tbl_MTG_Set[[#This Row],[Heavy Printing Window End]])</f>
        <v>#VALUE!</v>
      </c>
      <c r="T514" t="str">
        <f>_xlfn.XLOOKUP(tbl_MTG_Set[[#This Row],[Type Name]], tbl_MTG_Set_Type[Set Type], tbl_MTG_Set_Type[Sell Window Month Start], "(Set Type not found)", 0, 1)</f>
        <v>(Set Type not found)</v>
      </c>
      <c r="U514" s="3" t="e">
        <f>tbl_MTG_Set[[#This Row],[Released On]]+tbl_MTG_Set[[#This Row],[Sell Window Month Start]]*365.25/12</f>
        <v>#VALUE!</v>
      </c>
      <c r="V514" t="str">
        <f>_xlfn.XLOOKUP(tbl_MTG_Set[[#This Row],[Type Name]], tbl_MTG_Set_Type[Set Type], tbl_MTG_Set_Type[Sell Window Month End], "(Set Type not found)", 0, 1)</f>
        <v>(Set Type not found)</v>
      </c>
      <c r="W514" s="3" t="e">
        <f>tbl_MTG_Set[[#This Row],[Released On]]+tbl_MTG_Set[[#This Row],[Sell Window Month End]]*365.25/12</f>
        <v>#VALUE!</v>
      </c>
      <c r="X514" s="3" t="e">
        <f ca="1">AND(NOW()&gt;=tbl_MTG_Set[[#This Row],[Sell Window Start]], NOW()&lt;=tbl_MTG_Set[[#This Row],[Sell Window End]])</f>
        <v>#VALUE!</v>
      </c>
      <c r="AG514" s="10"/>
      <c r="AH514" s="10"/>
      <c r="AM514" s="10" t="str" cm="1">
        <f t="array" ref="AM5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4" s="10" t="str" cm="1">
        <f t="array" ref="AN5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4" s="4" t="e">
        <f>_xlfn.XLOOKUP(tbl_MTG_Set[[#This Row],[Play Booster Box Product Id]], tbl_Product[Product Id], tbl_Product[Pack Size])</f>
        <v>#N/A</v>
      </c>
      <c r="AP514" s="10" t="e">
        <f>(tbl_MTG_Set[[#This Row],[Play Booster Box Cost]]+v_Item_Shipping_Cost_In)/tbl_MTG_Set[[#This Row],[Play Booster Box Size]]</f>
        <v>#VALUE!</v>
      </c>
      <c r="AQ514" s="10" t="str" cm="1">
        <f t="array" ref="AQ5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4" s="10"/>
      <c r="AS514" s="10"/>
      <c r="AT514" s="17" t="e">
        <f>tbl_MTG_Set[[#This Row],[Play Booster CardMarket Profit]]/tbl_MTG_Set[[#This Row],[Play Booster Cost]]</f>
        <v>#VALUE!</v>
      </c>
      <c r="AU514" s="10" t="e">
        <f>_xlfn.XLOOKUP(tbl_MTG_Set[[#This Row],[Collector Booster Box Product Id]], tbl_Product[Product Id], tbl_Product[Min Cost])</f>
        <v>#N/A</v>
      </c>
      <c r="AV514" s="10" t="e">
        <f>_xlfn.XLOOKUP(tbl_MTG_Set[[#This Row],[Collector Booster Box Product Id]], tbl_Product[Product Id], tbl_Product[Best Source])</f>
        <v>#N/A</v>
      </c>
      <c r="AW514" s="4" t="e">
        <f>_xlfn.XLOOKUP(tbl_MTG_Set[[#This Row],[Collector Booster Box Product Id]], tbl_Product[Product Id], tbl_Product[Pack Size])</f>
        <v>#N/A</v>
      </c>
      <c r="AX514" s="10" t="e">
        <f>(tbl_MTG_Set[[#This Row],[Collector Booster Box Cost]] + v_Item_Shipping_Cost_In) / tbl_MTG_Set[[#This Row],[Collector Booster Box Size]]</f>
        <v>#N/A</v>
      </c>
      <c r="AY514" s="10" t="str" cm="1">
        <f t="array" ref="AY5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4" s="10"/>
      <c r="BA5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4" s="17" t="e">
        <f>tbl_MTG_Set[[#This Row],[Collector Booster CardMarket Profit]]/tbl_MTG_Set[[#This Row],[Collector Booster Cost]]</f>
        <v>#N/A</v>
      </c>
      <c r="BC514" s="10"/>
      <c r="BF5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4" s="11" t="e">
        <f>tbl_MTG_Set[[#This Row],[Play Singles CardMarket Profit MTG Stocks]]/tbl_MTG_Set[[#This Row],[Play Booster Cost]]</f>
        <v>#VALUE!</v>
      </c>
      <c r="BI514" s="11" t="b">
        <f>tbl_MTG_Set[[#This Row],[Play Singles CardMarket Profit MTG Stocks]]&gt;0</f>
        <v>0</v>
      </c>
      <c r="BM514" s="10" t="e">
        <f>tbl_MTG_Set[[#This Row],[Play Booster Sell Price CardMarket]]*tbl_MTG_Set[[#This Row],[Play Booster Expected Market Value BotBox]]/tbl_MTG_Set[[#This Row],[Play Booster Sealed Market Value BotBox]]</f>
        <v>#VALUE!</v>
      </c>
      <c r="BN5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4" s="10" t="e">
        <f>tbl_MTG_Set[[#This Row],[Play Singles CardMarket Profit BotBox]]/tbl_MTG_Set[[#This Row],[Play Booster Cost]]</f>
        <v>#VALUE!</v>
      </c>
      <c r="BP514" s="10" t="b">
        <f>tbl_MTG_Set[[#This Row],[Play Singles CardMarket Profit BotBox]]&gt;0</f>
        <v>0</v>
      </c>
      <c r="BQ514" s="10"/>
      <c r="BR514" s="10"/>
      <c r="BS514" s="10"/>
      <c r="BT5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4" s="19" t="e">
        <f>tbl_MTG_Set[[#This Row],[Collector Singles CardMarket Profit MTG Stocks]]/tbl_MTG_Set[[#This Row],[Collector Booster Cost]]</f>
        <v>#N/A</v>
      </c>
      <c r="BW514" s="10" t="b">
        <f>tbl_MTG_Set[[#This Row],[Collector Singles CardMarket Profit MTG Stocks]]&gt;0</f>
        <v>0</v>
      </c>
      <c r="BX514" s="10"/>
      <c r="BY514" s="10"/>
      <c r="BZ5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4" s="10" t="e">
        <f>tbl_MTG_Set[[#This Row],[Collector Singles CardMarket Profit BotBox]]/tbl_MTG_Set[[#This Row],[Collector Booster Cost]]</f>
        <v>#N/A</v>
      </c>
      <c r="CC514" s="10" t="b">
        <f>tbl_MTG_Set[[#This Row],[Collector Singles CardMarket Profit BotBox]]&gt;0</f>
        <v>0</v>
      </c>
      <c r="CD5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5" spans="1:86" hidden="1">
      <c r="A515">
        <v>546</v>
      </c>
      <c r="B515" t="s">
        <v>688</v>
      </c>
      <c r="C515">
        <v>1</v>
      </c>
      <c r="D515" s="3">
        <v>42736</v>
      </c>
      <c r="F515" t="s">
        <v>174</v>
      </c>
      <c r="G515">
        <v>1038</v>
      </c>
      <c r="H515">
        <f ca="1">MONTH(NOW())+12*YEAR(NOW())-MONTH(tbl_MTG_Set[[#This Row],[Released On]])-12*YEAR(tbl_MTG_Set[[#This Row],[Released On]])</f>
        <v>110</v>
      </c>
      <c r="I515" t="str">
        <f>_xlfn.XLOOKUP(tbl_MTG_Set[[#This Row],[Type Name]], tbl_MTG_Set_Type[Set Type], tbl_MTG_Set_Type[Index], "(Set Type not found)")</f>
        <v>(Set Type not found)</v>
      </c>
      <c r="J515" t="str">
        <f>_xlfn.XLOOKUP(tbl_MTG_Set[[#This Row],[Type Name]], tbl_MTG_Set_Type[Set Type], tbl_MTG_Set_Type[Buy Window Month Start], "(Set Type not found)")</f>
        <v>(Set Type not found)</v>
      </c>
      <c r="K515" s="3" t="e">
        <f>tbl_MTG_Set[[#This Row],[Released On]]+tbl_MTG_Set[[#This Row],[Buy Window Month Start]]*365.25/12</f>
        <v>#VALUE!</v>
      </c>
      <c r="L515" t="str">
        <f>_xlfn.XLOOKUP(tbl_MTG_Set[[#This Row],[Type Name]], tbl_MTG_Set_Type[Set Type], tbl_MTG_Set_Type[Buy Window Month End], "(Set Type not found)", 0, 1)</f>
        <v>(Set Type not found)</v>
      </c>
      <c r="M515" s="3" t="e">
        <f>tbl_MTG_Set[[#This Row],[Released On]]+tbl_MTG_Set[[#This Row],[Buy Window Month End]]*365.25/12</f>
        <v>#VALUE!</v>
      </c>
      <c r="N515" s="3" t="e">
        <f ca="1">AND(NOW()&gt;=tbl_MTG_Set[[#This Row],[Buy Window Start]], NOW()&lt;=tbl_MTG_Set[[#This Row],[Buy Window End]])</f>
        <v>#VALUE!</v>
      </c>
      <c r="O515" t="str">
        <f>_xlfn.XLOOKUP(tbl_MTG_Set[[#This Row],[Type Name]], tbl_MTG_Set_Type[Set Type], tbl_MTG_Set_Type[Heavy Printing Window Month Start], "(Set Type not found)", 0, 1)</f>
        <v>(Set Type not found)</v>
      </c>
      <c r="P515" s="3" t="e">
        <f>tbl_MTG_Set[[#This Row],[Released On]]+tbl_MTG_Set[[#This Row],[Heavy Printing Window Month Start]]*365.25/12</f>
        <v>#VALUE!</v>
      </c>
      <c r="Q515" t="str">
        <f>_xlfn.XLOOKUP(tbl_MTG_Set[[#This Row],[Type Name]], tbl_MTG_Set_Type[Set Type], tbl_MTG_Set_Type[Heavy Printing Window Month End], "(Set Type not found)", 0, 1)</f>
        <v>(Set Type not found)</v>
      </c>
      <c r="R515" s="3" t="e">
        <f>tbl_MTG_Set[[#This Row],[Released On]]+tbl_MTG_Set[[#This Row],[Heavy Printing Window Month End]]*365.25/12</f>
        <v>#VALUE!</v>
      </c>
      <c r="S515" s="3" t="e">
        <f ca="1">AND(NOW()&gt;=tbl_MTG_Set[[#This Row],[Heavy Printing Window Start]], NOW()&lt;=tbl_MTG_Set[[#This Row],[Heavy Printing Window End]])</f>
        <v>#VALUE!</v>
      </c>
      <c r="T515" t="str">
        <f>_xlfn.XLOOKUP(tbl_MTG_Set[[#This Row],[Type Name]], tbl_MTG_Set_Type[Set Type], tbl_MTG_Set_Type[Sell Window Month Start], "(Set Type not found)", 0, 1)</f>
        <v>(Set Type not found)</v>
      </c>
      <c r="U515" s="3" t="e">
        <f>tbl_MTG_Set[[#This Row],[Released On]]+tbl_MTG_Set[[#This Row],[Sell Window Month Start]]*365.25/12</f>
        <v>#VALUE!</v>
      </c>
      <c r="V515" t="str">
        <f>_xlfn.XLOOKUP(tbl_MTG_Set[[#This Row],[Type Name]], tbl_MTG_Set_Type[Set Type], tbl_MTG_Set_Type[Sell Window Month End], "(Set Type not found)", 0, 1)</f>
        <v>(Set Type not found)</v>
      </c>
      <c r="W515" s="3" t="e">
        <f>tbl_MTG_Set[[#This Row],[Released On]]+tbl_MTG_Set[[#This Row],[Sell Window Month End]]*365.25/12</f>
        <v>#VALUE!</v>
      </c>
      <c r="X515" s="3" t="e">
        <f ca="1">AND(NOW()&gt;=tbl_MTG_Set[[#This Row],[Sell Window Start]], NOW()&lt;=tbl_MTG_Set[[#This Row],[Sell Window End]])</f>
        <v>#VALUE!</v>
      </c>
      <c r="AG515" s="10"/>
      <c r="AH515" s="10"/>
      <c r="AM515" s="10" t="str" cm="1">
        <f t="array" ref="AM5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5" s="10" t="str" cm="1">
        <f t="array" ref="AN5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5" s="4" t="e">
        <f>_xlfn.XLOOKUP(tbl_MTG_Set[[#This Row],[Play Booster Box Product Id]], tbl_Product[Product Id], tbl_Product[Pack Size])</f>
        <v>#N/A</v>
      </c>
      <c r="AP515" s="10" t="e">
        <f>(tbl_MTG_Set[[#This Row],[Play Booster Box Cost]]+v_Item_Shipping_Cost_In)/tbl_MTG_Set[[#This Row],[Play Booster Box Size]]</f>
        <v>#VALUE!</v>
      </c>
      <c r="AQ515" s="10" t="str" cm="1">
        <f t="array" ref="AQ5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5" s="10"/>
      <c r="AS515" s="10"/>
      <c r="AT515" s="17" t="e">
        <f>tbl_MTG_Set[[#This Row],[Play Booster CardMarket Profit]]/tbl_MTG_Set[[#This Row],[Play Booster Cost]]</f>
        <v>#VALUE!</v>
      </c>
      <c r="AU515" s="10" t="e">
        <f>_xlfn.XLOOKUP(tbl_MTG_Set[[#This Row],[Collector Booster Box Product Id]], tbl_Product[Product Id], tbl_Product[Min Cost])</f>
        <v>#N/A</v>
      </c>
      <c r="AV515" s="10" t="e">
        <f>_xlfn.XLOOKUP(tbl_MTG_Set[[#This Row],[Collector Booster Box Product Id]], tbl_Product[Product Id], tbl_Product[Best Source])</f>
        <v>#N/A</v>
      </c>
      <c r="AW515" s="4" t="e">
        <f>_xlfn.XLOOKUP(tbl_MTG_Set[[#This Row],[Collector Booster Box Product Id]], tbl_Product[Product Id], tbl_Product[Pack Size])</f>
        <v>#N/A</v>
      </c>
      <c r="AX515" s="10" t="e">
        <f>(tbl_MTG_Set[[#This Row],[Collector Booster Box Cost]] + v_Item_Shipping_Cost_In) / tbl_MTG_Set[[#This Row],[Collector Booster Box Size]]</f>
        <v>#N/A</v>
      </c>
      <c r="AY515" s="10" t="str" cm="1">
        <f t="array" ref="AY5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5" s="10"/>
      <c r="BA5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5" s="17" t="e">
        <f>tbl_MTG_Set[[#This Row],[Collector Booster CardMarket Profit]]/tbl_MTG_Set[[#This Row],[Collector Booster Cost]]</f>
        <v>#N/A</v>
      </c>
      <c r="BC515" s="10"/>
      <c r="BF5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5" s="11" t="e">
        <f>tbl_MTG_Set[[#This Row],[Play Singles CardMarket Profit MTG Stocks]]/tbl_MTG_Set[[#This Row],[Play Booster Cost]]</f>
        <v>#VALUE!</v>
      </c>
      <c r="BI515" s="11" t="b">
        <f>tbl_MTG_Set[[#This Row],[Play Singles CardMarket Profit MTG Stocks]]&gt;0</f>
        <v>0</v>
      </c>
      <c r="BM515" s="10" t="e">
        <f>tbl_MTG_Set[[#This Row],[Play Booster Sell Price CardMarket]]*tbl_MTG_Set[[#This Row],[Play Booster Expected Market Value BotBox]]/tbl_MTG_Set[[#This Row],[Play Booster Sealed Market Value BotBox]]</f>
        <v>#VALUE!</v>
      </c>
      <c r="BN5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5" s="10" t="e">
        <f>tbl_MTG_Set[[#This Row],[Play Singles CardMarket Profit BotBox]]/tbl_MTG_Set[[#This Row],[Play Booster Cost]]</f>
        <v>#VALUE!</v>
      </c>
      <c r="BP515" s="10" t="b">
        <f>tbl_MTG_Set[[#This Row],[Play Singles CardMarket Profit BotBox]]&gt;0</f>
        <v>0</v>
      </c>
      <c r="BQ515" s="10"/>
      <c r="BR515" s="10"/>
      <c r="BS515" s="10"/>
      <c r="BT5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5" s="19" t="e">
        <f>tbl_MTG_Set[[#This Row],[Collector Singles CardMarket Profit MTG Stocks]]/tbl_MTG_Set[[#This Row],[Collector Booster Cost]]</f>
        <v>#N/A</v>
      </c>
      <c r="BW515" s="10" t="b">
        <f>tbl_MTG_Set[[#This Row],[Collector Singles CardMarket Profit MTG Stocks]]&gt;0</f>
        <v>0</v>
      </c>
      <c r="BX515" s="10"/>
      <c r="BY515" s="10"/>
      <c r="BZ5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5" s="10" t="e">
        <f>tbl_MTG_Set[[#This Row],[Collector Singles CardMarket Profit BotBox]]/tbl_MTG_Set[[#This Row],[Collector Booster Cost]]</f>
        <v>#N/A</v>
      </c>
      <c r="CC515" s="10" t="b">
        <f>tbl_MTG_Set[[#This Row],[Collector Singles CardMarket Profit BotBox]]&gt;0</f>
        <v>0</v>
      </c>
      <c r="CD5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6" spans="1:86" hidden="1">
      <c r="A516">
        <v>547</v>
      </c>
      <c r="B516" t="s">
        <v>689</v>
      </c>
      <c r="C516">
        <v>12</v>
      </c>
      <c r="D516" s="3">
        <v>42736</v>
      </c>
      <c r="F516" t="s">
        <v>174</v>
      </c>
      <c r="G516">
        <v>1040</v>
      </c>
      <c r="H516">
        <f ca="1">MONTH(NOW())+12*YEAR(NOW())-MONTH(tbl_MTG_Set[[#This Row],[Released On]])-12*YEAR(tbl_MTG_Set[[#This Row],[Released On]])</f>
        <v>110</v>
      </c>
      <c r="I516" t="str">
        <f>_xlfn.XLOOKUP(tbl_MTG_Set[[#This Row],[Type Name]], tbl_MTG_Set_Type[Set Type], tbl_MTG_Set_Type[Index], "(Set Type not found)")</f>
        <v>(Set Type not found)</v>
      </c>
      <c r="J516" t="str">
        <f>_xlfn.XLOOKUP(tbl_MTG_Set[[#This Row],[Type Name]], tbl_MTG_Set_Type[Set Type], tbl_MTG_Set_Type[Buy Window Month Start], "(Set Type not found)")</f>
        <v>(Set Type not found)</v>
      </c>
      <c r="K516" s="3" t="e">
        <f>tbl_MTG_Set[[#This Row],[Released On]]+tbl_MTG_Set[[#This Row],[Buy Window Month Start]]*365.25/12</f>
        <v>#VALUE!</v>
      </c>
      <c r="L516" t="str">
        <f>_xlfn.XLOOKUP(tbl_MTG_Set[[#This Row],[Type Name]], tbl_MTG_Set_Type[Set Type], tbl_MTG_Set_Type[Buy Window Month End], "(Set Type not found)", 0, 1)</f>
        <v>(Set Type not found)</v>
      </c>
      <c r="M516" s="3" t="e">
        <f>tbl_MTG_Set[[#This Row],[Released On]]+tbl_MTG_Set[[#This Row],[Buy Window Month End]]*365.25/12</f>
        <v>#VALUE!</v>
      </c>
      <c r="N516" s="3" t="e">
        <f ca="1">AND(NOW()&gt;=tbl_MTG_Set[[#This Row],[Buy Window Start]], NOW()&lt;=tbl_MTG_Set[[#This Row],[Buy Window End]])</f>
        <v>#VALUE!</v>
      </c>
      <c r="O516" t="str">
        <f>_xlfn.XLOOKUP(tbl_MTG_Set[[#This Row],[Type Name]], tbl_MTG_Set_Type[Set Type], tbl_MTG_Set_Type[Heavy Printing Window Month Start], "(Set Type not found)", 0, 1)</f>
        <v>(Set Type not found)</v>
      </c>
      <c r="P516" s="3" t="e">
        <f>tbl_MTG_Set[[#This Row],[Released On]]+tbl_MTG_Set[[#This Row],[Heavy Printing Window Month Start]]*365.25/12</f>
        <v>#VALUE!</v>
      </c>
      <c r="Q516" t="str">
        <f>_xlfn.XLOOKUP(tbl_MTG_Set[[#This Row],[Type Name]], tbl_MTG_Set_Type[Set Type], tbl_MTG_Set_Type[Heavy Printing Window Month End], "(Set Type not found)", 0, 1)</f>
        <v>(Set Type not found)</v>
      </c>
      <c r="R516" s="3" t="e">
        <f>tbl_MTG_Set[[#This Row],[Released On]]+tbl_MTG_Set[[#This Row],[Heavy Printing Window Month End]]*365.25/12</f>
        <v>#VALUE!</v>
      </c>
      <c r="S516" s="3" t="e">
        <f ca="1">AND(NOW()&gt;=tbl_MTG_Set[[#This Row],[Heavy Printing Window Start]], NOW()&lt;=tbl_MTG_Set[[#This Row],[Heavy Printing Window End]])</f>
        <v>#VALUE!</v>
      </c>
      <c r="T516" t="str">
        <f>_xlfn.XLOOKUP(tbl_MTG_Set[[#This Row],[Type Name]], tbl_MTG_Set_Type[Set Type], tbl_MTG_Set_Type[Sell Window Month Start], "(Set Type not found)", 0, 1)</f>
        <v>(Set Type not found)</v>
      </c>
      <c r="U516" s="3" t="e">
        <f>tbl_MTG_Set[[#This Row],[Released On]]+tbl_MTG_Set[[#This Row],[Sell Window Month Start]]*365.25/12</f>
        <v>#VALUE!</v>
      </c>
      <c r="V516" t="str">
        <f>_xlfn.XLOOKUP(tbl_MTG_Set[[#This Row],[Type Name]], tbl_MTG_Set_Type[Set Type], tbl_MTG_Set_Type[Sell Window Month End], "(Set Type not found)", 0, 1)</f>
        <v>(Set Type not found)</v>
      </c>
      <c r="W516" s="3" t="e">
        <f>tbl_MTG_Set[[#This Row],[Released On]]+tbl_MTG_Set[[#This Row],[Sell Window Month End]]*365.25/12</f>
        <v>#VALUE!</v>
      </c>
      <c r="X516" s="3" t="e">
        <f ca="1">AND(NOW()&gt;=tbl_MTG_Set[[#This Row],[Sell Window Start]], NOW()&lt;=tbl_MTG_Set[[#This Row],[Sell Window End]])</f>
        <v>#VALUE!</v>
      </c>
      <c r="AG516" s="10"/>
      <c r="AH516" s="10"/>
      <c r="AM516" s="10" t="str" cm="1">
        <f t="array" ref="AM5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6" s="10" t="str" cm="1">
        <f t="array" ref="AN5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6" s="4" t="e">
        <f>_xlfn.XLOOKUP(tbl_MTG_Set[[#This Row],[Play Booster Box Product Id]], tbl_Product[Product Id], tbl_Product[Pack Size])</f>
        <v>#N/A</v>
      </c>
      <c r="AP516" s="10" t="e">
        <f>(tbl_MTG_Set[[#This Row],[Play Booster Box Cost]]+v_Item_Shipping_Cost_In)/tbl_MTG_Set[[#This Row],[Play Booster Box Size]]</f>
        <v>#VALUE!</v>
      </c>
      <c r="AQ516" s="10" t="str" cm="1">
        <f t="array" ref="AQ5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6" s="10"/>
      <c r="AS516" s="10"/>
      <c r="AT516" s="17" t="e">
        <f>tbl_MTG_Set[[#This Row],[Play Booster CardMarket Profit]]/tbl_MTG_Set[[#This Row],[Play Booster Cost]]</f>
        <v>#VALUE!</v>
      </c>
      <c r="AU516" s="10" t="e">
        <f>_xlfn.XLOOKUP(tbl_MTG_Set[[#This Row],[Collector Booster Box Product Id]], tbl_Product[Product Id], tbl_Product[Min Cost])</f>
        <v>#N/A</v>
      </c>
      <c r="AV516" s="10" t="e">
        <f>_xlfn.XLOOKUP(tbl_MTG_Set[[#This Row],[Collector Booster Box Product Id]], tbl_Product[Product Id], tbl_Product[Best Source])</f>
        <v>#N/A</v>
      </c>
      <c r="AW516" s="4" t="e">
        <f>_xlfn.XLOOKUP(tbl_MTG_Set[[#This Row],[Collector Booster Box Product Id]], tbl_Product[Product Id], tbl_Product[Pack Size])</f>
        <v>#N/A</v>
      </c>
      <c r="AX516" s="10" t="e">
        <f>(tbl_MTG_Set[[#This Row],[Collector Booster Box Cost]] + v_Item_Shipping_Cost_In) / tbl_MTG_Set[[#This Row],[Collector Booster Box Size]]</f>
        <v>#N/A</v>
      </c>
      <c r="AY516" s="10" t="str" cm="1">
        <f t="array" ref="AY5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6" s="10"/>
      <c r="BA5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6" s="17" t="e">
        <f>tbl_MTG_Set[[#This Row],[Collector Booster CardMarket Profit]]/tbl_MTG_Set[[#This Row],[Collector Booster Cost]]</f>
        <v>#N/A</v>
      </c>
      <c r="BC516" s="10"/>
      <c r="BF5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6" s="11" t="e">
        <f>tbl_MTG_Set[[#This Row],[Play Singles CardMarket Profit MTG Stocks]]/tbl_MTG_Set[[#This Row],[Play Booster Cost]]</f>
        <v>#VALUE!</v>
      </c>
      <c r="BI516" s="11" t="b">
        <f>tbl_MTG_Set[[#This Row],[Play Singles CardMarket Profit MTG Stocks]]&gt;0</f>
        <v>0</v>
      </c>
      <c r="BM516" s="10" t="e">
        <f>tbl_MTG_Set[[#This Row],[Play Booster Sell Price CardMarket]]*tbl_MTG_Set[[#This Row],[Play Booster Expected Market Value BotBox]]/tbl_MTG_Set[[#This Row],[Play Booster Sealed Market Value BotBox]]</f>
        <v>#VALUE!</v>
      </c>
      <c r="BN5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6" s="10" t="e">
        <f>tbl_MTG_Set[[#This Row],[Play Singles CardMarket Profit BotBox]]/tbl_MTG_Set[[#This Row],[Play Booster Cost]]</f>
        <v>#VALUE!</v>
      </c>
      <c r="BP516" s="10" t="b">
        <f>tbl_MTG_Set[[#This Row],[Play Singles CardMarket Profit BotBox]]&gt;0</f>
        <v>0</v>
      </c>
      <c r="BQ516" s="10"/>
      <c r="BR516" s="10"/>
      <c r="BS516" s="10"/>
      <c r="BT5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6" s="19" t="e">
        <f>tbl_MTG_Set[[#This Row],[Collector Singles CardMarket Profit MTG Stocks]]/tbl_MTG_Set[[#This Row],[Collector Booster Cost]]</f>
        <v>#N/A</v>
      </c>
      <c r="BW516" s="10" t="b">
        <f>tbl_MTG_Set[[#This Row],[Collector Singles CardMarket Profit MTG Stocks]]&gt;0</f>
        <v>0</v>
      </c>
      <c r="BX516" s="10"/>
      <c r="BY516" s="10"/>
      <c r="BZ5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6" s="10" t="e">
        <f>tbl_MTG_Set[[#This Row],[Collector Singles CardMarket Profit BotBox]]/tbl_MTG_Set[[#This Row],[Collector Booster Cost]]</f>
        <v>#N/A</v>
      </c>
      <c r="CC516" s="10" t="b">
        <f>tbl_MTG_Set[[#This Row],[Collector Singles CardMarket Profit BotBox]]&gt;0</f>
        <v>0</v>
      </c>
      <c r="CD5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7" spans="1:86" hidden="1">
      <c r="A517">
        <v>548</v>
      </c>
      <c r="B517" t="s">
        <v>690</v>
      </c>
      <c r="C517">
        <v>9</v>
      </c>
      <c r="D517" s="3">
        <v>42736</v>
      </c>
      <c r="F517" t="s">
        <v>174</v>
      </c>
      <c r="G517">
        <v>1042</v>
      </c>
      <c r="H517">
        <f ca="1">MONTH(NOW())+12*YEAR(NOW())-MONTH(tbl_MTG_Set[[#This Row],[Released On]])-12*YEAR(tbl_MTG_Set[[#This Row],[Released On]])</f>
        <v>110</v>
      </c>
      <c r="I517" t="str">
        <f>_xlfn.XLOOKUP(tbl_MTG_Set[[#This Row],[Type Name]], tbl_MTG_Set_Type[Set Type], tbl_MTG_Set_Type[Index], "(Set Type not found)")</f>
        <v>(Set Type not found)</v>
      </c>
      <c r="J517" t="str">
        <f>_xlfn.XLOOKUP(tbl_MTG_Set[[#This Row],[Type Name]], tbl_MTG_Set_Type[Set Type], tbl_MTG_Set_Type[Buy Window Month Start], "(Set Type not found)")</f>
        <v>(Set Type not found)</v>
      </c>
      <c r="K517" s="3" t="e">
        <f>tbl_MTG_Set[[#This Row],[Released On]]+tbl_MTG_Set[[#This Row],[Buy Window Month Start]]*365.25/12</f>
        <v>#VALUE!</v>
      </c>
      <c r="L517" t="str">
        <f>_xlfn.XLOOKUP(tbl_MTG_Set[[#This Row],[Type Name]], tbl_MTG_Set_Type[Set Type], tbl_MTG_Set_Type[Buy Window Month End], "(Set Type not found)", 0, 1)</f>
        <v>(Set Type not found)</v>
      </c>
      <c r="M517" s="3" t="e">
        <f>tbl_MTG_Set[[#This Row],[Released On]]+tbl_MTG_Set[[#This Row],[Buy Window Month End]]*365.25/12</f>
        <v>#VALUE!</v>
      </c>
      <c r="N517" s="3" t="e">
        <f ca="1">AND(NOW()&gt;=tbl_MTG_Set[[#This Row],[Buy Window Start]], NOW()&lt;=tbl_MTG_Set[[#This Row],[Buy Window End]])</f>
        <v>#VALUE!</v>
      </c>
      <c r="O517" t="str">
        <f>_xlfn.XLOOKUP(tbl_MTG_Set[[#This Row],[Type Name]], tbl_MTG_Set_Type[Set Type], tbl_MTG_Set_Type[Heavy Printing Window Month Start], "(Set Type not found)", 0, 1)</f>
        <v>(Set Type not found)</v>
      </c>
      <c r="P517" s="3" t="e">
        <f>tbl_MTG_Set[[#This Row],[Released On]]+tbl_MTG_Set[[#This Row],[Heavy Printing Window Month Start]]*365.25/12</f>
        <v>#VALUE!</v>
      </c>
      <c r="Q517" t="str">
        <f>_xlfn.XLOOKUP(tbl_MTG_Set[[#This Row],[Type Name]], tbl_MTG_Set_Type[Set Type], tbl_MTG_Set_Type[Heavy Printing Window Month End], "(Set Type not found)", 0, 1)</f>
        <v>(Set Type not found)</v>
      </c>
      <c r="R517" s="3" t="e">
        <f>tbl_MTG_Set[[#This Row],[Released On]]+tbl_MTG_Set[[#This Row],[Heavy Printing Window Month End]]*365.25/12</f>
        <v>#VALUE!</v>
      </c>
      <c r="S517" s="3" t="e">
        <f ca="1">AND(NOW()&gt;=tbl_MTG_Set[[#This Row],[Heavy Printing Window Start]], NOW()&lt;=tbl_MTG_Set[[#This Row],[Heavy Printing Window End]])</f>
        <v>#VALUE!</v>
      </c>
      <c r="T517" t="str">
        <f>_xlfn.XLOOKUP(tbl_MTG_Set[[#This Row],[Type Name]], tbl_MTG_Set_Type[Set Type], tbl_MTG_Set_Type[Sell Window Month Start], "(Set Type not found)", 0, 1)</f>
        <v>(Set Type not found)</v>
      </c>
      <c r="U517" s="3" t="e">
        <f>tbl_MTG_Set[[#This Row],[Released On]]+tbl_MTG_Set[[#This Row],[Sell Window Month Start]]*365.25/12</f>
        <v>#VALUE!</v>
      </c>
      <c r="V517" t="str">
        <f>_xlfn.XLOOKUP(tbl_MTG_Set[[#This Row],[Type Name]], tbl_MTG_Set_Type[Set Type], tbl_MTG_Set_Type[Sell Window Month End], "(Set Type not found)", 0, 1)</f>
        <v>(Set Type not found)</v>
      </c>
      <c r="W517" s="3" t="e">
        <f>tbl_MTG_Set[[#This Row],[Released On]]+tbl_MTG_Set[[#This Row],[Sell Window Month End]]*365.25/12</f>
        <v>#VALUE!</v>
      </c>
      <c r="X517" s="3" t="e">
        <f ca="1">AND(NOW()&gt;=tbl_MTG_Set[[#This Row],[Sell Window Start]], NOW()&lt;=tbl_MTG_Set[[#This Row],[Sell Window End]])</f>
        <v>#VALUE!</v>
      </c>
      <c r="AG517" s="10"/>
      <c r="AH517" s="10"/>
      <c r="AM517" s="10" t="str" cm="1">
        <f t="array" ref="AM5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7" s="10" t="str" cm="1">
        <f t="array" ref="AN5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7" s="4" t="e">
        <f>_xlfn.XLOOKUP(tbl_MTG_Set[[#This Row],[Play Booster Box Product Id]], tbl_Product[Product Id], tbl_Product[Pack Size])</f>
        <v>#N/A</v>
      </c>
      <c r="AP517" s="10" t="e">
        <f>(tbl_MTG_Set[[#This Row],[Play Booster Box Cost]]+v_Item_Shipping_Cost_In)/tbl_MTG_Set[[#This Row],[Play Booster Box Size]]</f>
        <v>#VALUE!</v>
      </c>
      <c r="AQ517" s="10" t="str" cm="1">
        <f t="array" ref="AQ5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7" s="10"/>
      <c r="AS517" s="10"/>
      <c r="AT517" s="17" t="e">
        <f>tbl_MTG_Set[[#This Row],[Play Booster CardMarket Profit]]/tbl_MTG_Set[[#This Row],[Play Booster Cost]]</f>
        <v>#VALUE!</v>
      </c>
      <c r="AU517" s="10" t="e">
        <f>_xlfn.XLOOKUP(tbl_MTG_Set[[#This Row],[Collector Booster Box Product Id]], tbl_Product[Product Id], tbl_Product[Min Cost])</f>
        <v>#N/A</v>
      </c>
      <c r="AV517" s="10" t="e">
        <f>_xlfn.XLOOKUP(tbl_MTG_Set[[#This Row],[Collector Booster Box Product Id]], tbl_Product[Product Id], tbl_Product[Best Source])</f>
        <v>#N/A</v>
      </c>
      <c r="AW517" s="4" t="e">
        <f>_xlfn.XLOOKUP(tbl_MTG_Set[[#This Row],[Collector Booster Box Product Id]], tbl_Product[Product Id], tbl_Product[Pack Size])</f>
        <v>#N/A</v>
      </c>
      <c r="AX517" s="10" t="e">
        <f>(tbl_MTG_Set[[#This Row],[Collector Booster Box Cost]] + v_Item_Shipping_Cost_In) / tbl_MTG_Set[[#This Row],[Collector Booster Box Size]]</f>
        <v>#N/A</v>
      </c>
      <c r="AY517" s="10" t="str" cm="1">
        <f t="array" ref="AY5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7" s="10"/>
      <c r="BA5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7" s="17" t="e">
        <f>tbl_MTG_Set[[#This Row],[Collector Booster CardMarket Profit]]/tbl_MTG_Set[[#This Row],[Collector Booster Cost]]</f>
        <v>#N/A</v>
      </c>
      <c r="BC517" s="10"/>
      <c r="BF5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7" s="11" t="e">
        <f>tbl_MTG_Set[[#This Row],[Play Singles CardMarket Profit MTG Stocks]]/tbl_MTG_Set[[#This Row],[Play Booster Cost]]</f>
        <v>#VALUE!</v>
      </c>
      <c r="BI517" s="11" t="b">
        <f>tbl_MTG_Set[[#This Row],[Play Singles CardMarket Profit MTG Stocks]]&gt;0</f>
        <v>0</v>
      </c>
      <c r="BM517" s="10" t="e">
        <f>tbl_MTG_Set[[#This Row],[Play Booster Sell Price CardMarket]]*tbl_MTG_Set[[#This Row],[Play Booster Expected Market Value BotBox]]/tbl_MTG_Set[[#This Row],[Play Booster Sealed Market Value BotBox]]</f>
        <v>#VALUE!</v>
      </c>
      <c r="BN5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7" s="10" t="e">
        <f>tbl_MTG_Set[[#This Row],[Play Singles CardMarket Profit BotBox]]/tbl_MTG_Set[[#This Row],[Play Booster Cost]]</f>
        <v>#VALUE!</v>
      </c>
      <c r="BP517" s="10" t="b">
        <f>tbl_MTG_Set[[#This Row],[Play Singles CardMarket Profit BotBox]]&gt;0</f>
        <v>0</v>
      </c>
      <c r="BQ517" s="10"/>
      <c r="BR517" s="10"/>
      <c r="BS517" s="10"/>
      <c r="BT5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7" s="19" t="e">
        <f>tbl_MTG_Set[[#This Row],[Collector Singles CardMarket Profit MTG Stocks]]/tbl_MTG_Set[[#This Row],[Collector Booster Cost]]</f>
        <v>#N/A</v>
      </c>
      <c r="BW517" s="10" t="b">
        <f>tbl_MTG_Set[[#This Row],[Collector Singles CardMarket Profit MTG Stocks]]&gt;0</f>
        <v>0</v>
      </c>
      <c r="BX517" s="10"/>
      <c r="BY517" s="10"/>
      <c r="BZ5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7" s="10" t="e">
        <f>tbl_MTG_Set[[#This Row],[Collector Singles CardMarket Profit BotBox]]/tbl_MTG_Set[[#This Row],[Collector Booster Cost]]</f>
        <v>#N/A</v>
      </c>
      <c r="CC517" s="10" t="b">
        <f>tbl_MTG_Set[[#This Row],[Collector Singles CardMarket Profit BotBox]]&gt;0</f>
        <v>0</v>
      </c>
      <c r="CD5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8" spans="1:86" hidden="1">
      <c r="A518">
        <v>549</v>
      </c>
      <c r="B518" t="s">
        <v>691</v>
      </c>
      <c r="C518">
        <v>156</v>
      </c>
      <c r="D518" s="3">
        <v>42699</v>
      </c>
      <c r="F518" t="s">
        <v>174</v>
      </c>
      <c r="G518">
        <v>1044</v>
      </c>
      <c r="H518">
        <f ca="1">MONTH(NOW())+12*YEAR(NOW())-MONTH(tbl_MTG_Set[[#This Row],[Released On]])-12*YEAR(tbl_MTG_Set[[#This Row],[Released On]])</f>
        <v>112</v>
      </c>
      <c r="I518" t="str">
        <f>_xlfn.XLOOKUP(tbl_MTG_Set[[#This Row],[Type Name]], tbl_MTG_Set_Type[Set Type], tbl_MTG_Set_Type[Index], "(Set Type not found)")</f>
        <v>(Set Type not found)</v>
      </c>
      <c r="J518" t="str">
        <f>_xlfn.XLOOKUP(tbl_MTG_Set[[#This Row],[Type Name]], tbl_MTG_Set_Type[Set Type], tbl_MTG_Set_Type[Buy Window Month Start], "(Set Type not found)")</f>
        <v>(Set Type not found)</v>
      </c>
      <c r="K518" s="3" t="e">
        <f>tbl_MTG_Set[[#This Row],[Released On]]+tbl_MTG_Set[[#This Row],[Buy Window Month Start]]*365.25/12</f>
        <v>#VALUE!</v>
      </c>
      <c r="L518" t="str">
        <f>_xlfn.XLOOKUP(tbl_MTG_Set[[#This Row],[Type Name]], tbl_MTG_Set_Type[Set Type], tbl_MTG_Set_Type[Buy Window Month End], "(Set Type not found)", 0, 1)</f>
        <v>(Set Type not found)</v>
      </c>
      <c r="M518" s="3" t="e">
        <f>tbl_MTG_Set[[#This Row],[Released On]]+tbl_MTG_Set[[#This Row],[Buy Window Month End]]*365.25/12</f>
        <v>#VALUE!</v>
      </c>
      <c r="N518" s="3" t="e">
        <f ca="1">AND(NOW()&gt;=tbl_MTG_Set[[#This Row],[Buy Window Start]], NOW()&lt;=tbl_MTG_Set[[#This Row],[Buy Window End]])</f>
        <v>#VALUE!</v>
      </c>
      <c r="O518" t="str">
        <f>_xlfn.XLOOKUP(tbl_MTG_Set[[#This Row],[Type Name]], tbl_MTG_Set_Type[Set Type], tbl_MTG_Set_Type[Heavy Printing Window Month Start], "(Set Type not found)", 0, 1)</f>
        <v>(Set Type not found)</v>
      </c>
      <c r="P518" s="3" t="e">
        <f>tbl_MTG_Set[[#This Row],[Released On]]+tbl_MTG_Set[[#This Row],[Heavy Printing Window Month Start]]*365.25/12</f>
        <v>#VALUE!</v>
      </c>
      <c r="Q518" t="str">
        <f>_xlfn.XLOOKUP(tbl_MTG_Set[[#This Row],[Type Name]], tbl_MTG_Set_Type[Set Type], tbl_MTG_Set_Type[Heavy Printing Window Month End], "(Set Type not found)", 0, 1)</f>
        <v>(Set Type not found)</v>
      </c>
      <c r="R518" s="3" t="e">
        <f>tbl_MTG_Set[[#This Row],[Released On]]+tbl_MTG_Set[[#This Row],[Heavy Printing Window Month End]]*365.25/12</f>
        <v>#VALUE!</v>
      </c>
      <c r="S518" s="3" t="e">
        <f ca="1">AND(NOW()&gt;=tbl_MTG_Set[[#This Row],[Heavy Printing Window Start]], NOW()&lt;=tbl_MTG_Set[[#This Row],[Heavy Printing Window End]])</f>
        <v>#VALUE!</v>
      </c>
      <c r="T518" t="str">
        <f>_xlfn.XLOOKUP(tbl_MTG_Set[[#This Row],[Type Name]], tbl_MTG_Set_Type[Set Type], tbl_MTG_Set_Type[Sell Window Month Start], "(Set Type not found)", 0, 1)</f>
        <v>(Set Type not found)</v>
      </c>
      <c r="U518" s="3" t="e">
        <f>tbl_MTG_Set[[#This Row],[Released On]]+tbl_MTG_Set[[#This Row],[Sell Window Month Start]]*365.25/12</f>
        <v>#VALUE!</v>
      </c>
      <c r="V518" t="str">
        <f>_xlfn.XLOOKUP(tbl_MTG_Set[[#This Row],[Type Name]], tbl_MTG_Set_Type[Set Type], tbl_MTG_Set_Type[Sell Window Month End], "(Set Type not found)", 0, 1)</f>
        <v>(Set Type not found)</v>
      </c>
      <c r="W518" s="3" t="e">
        <f>tbl_MTG_Set[[#This Row],[Released On]]+tbl_MTG_Set[[#This Row],[Sell Window Month End]]*365.25/12</f>
        <v>#VALUE!</v>
      </c>
      <c r="X518" s="3" t="e">
        <f ca="1">AND(NOW()&gt;=tbl_MTG_Set[[#This Row],[Sell Window Start]], NOW()&lt;=tbl_MTG_Set[[#This Row],[Sell Window End]])</f>
        <v>#VALUE!</v>
      </c>
      <c r="AG518" s="10"/>
      <c r="AH518" s="10"/>
      <c r="AM518" s="10" t="str" cm="1">
        <f t="array" ref="AM5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8" s="10" t="str" cm="1">
        <f t="array" ref="AN5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8" s="4" t="e">
        <f>_xlfn.XLOOKUP(tbl_MTG_Set[[#This Row],[Play Booster Box Product Id]], tbl_Product[Product Id], tbl_Product[Pack Size])</f>
        <v>#N/A</v>
      </c>
      <c r="AP518" s="10" t="e">
        <f>(tbl_MTG_Set[[#This Row],[Play Booster Box Cost]]+v_Item_Shipping_Cost_In)/tbl_MTG_Set[[#This Row],[Play Booster Box Size]]</f>
        <v>#VALUE!</v>
      </c>
      <c r="AQ518" s="10" t="str" cm="1">
        <f t="array" ref="AQ5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8" s="10"/>
      <c r="AS518" s="10"/>
      <c r="AT518" s="17" t="e">
        <f>tbl_MTG_Set[[#This Row],[Play Booster CardMarket Profit]]/tbl_MTG_Set[[#This Row],[Play Booster Cost]]</f>
        <v>#VALUE!</v>
      </c>
      <c r="AU518" s="10" t="e">
        <f>_xlfn.XLOOKUP(tbl_MTG_Set[[#This Row],[Collector Booster Box Product Id]], tbl_Product[Product Id], tbl_Product[Min Cost])</f>
        <v>#N/A</v>
      </c>
      <c r="AV518" s="10" t="e">
        <f>_xlfn.XLOOKUP(tbl_MTG_Set[[#This Row],[Collector Booster Box Product Id]], tbl_Product[Product Id], tbl_Product[Best Source])</f>
        <v>#N/A</v>
      </c>
      <c r="AW518" s="4" t="e">
        <f>_xlfn.XLOOKUP(tbl_MTG_Set[[#This Row],[Collector Booster Box Product Id]], tbl_Product[Product Id], tbl_Product[Pack Size])</f>
        <v>#N/A</v>
      </c>
      <c r="AX518" s="10" t="e">
        <f>(tbl_MTG_Set[[#This Row],[Collector Booster Box Cost]] + v_Item_Shipping_Cost_In) / tbl_MTG_Set[[#This Row],[Collector Booster Box Size]]</f>
        <v>#N/A</v>
      </c>
      <c r="AY518" s="10" t="str" cm="1">
        <f t="array" ref="AY5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8" s="10"/>
      <c r="BA5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8" s="17" t="e">
        <f>tbl_MTG_Set[[#This Row],[Collector Booster CardMarket Profit]]/tbl_MTG_Set[[#This Row],[Collector Booster Cost]]</f>
        <v>#N/A</v>
      </c>
      <c r="BC518" s="10"/>
      <c r="BF5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8" s="11" t="e">
        <f>tbl_MTG_Set[[#This Row],[Play Singles CardMarket Profit MTG Stocks]]/tbl_MTG_Set[[#This Row],[Play Booster Cost]]</f>
        <v>#VALUE!</v>
      </c>
      <c r="BI518" s="11" t="b">
        <f>tbl_MTG_Set[[#This Row],[Play Singles CardMarket Profit MTG Stocks]]&gt;0</f>
        <v>0</v>
      </c>
      <c r="BM518" s="10" t="e">
        <f>tbl_MTG_Set[[#This Row],[Play Booster Sell Price CardMarket]]*tbl_MTG_Set[[#This Row],[Play Booster Expected Market Value BotBox]]/tbl_MTG_Set[[#This Row],[Play Booster Sealed Market Value BotBox]]</f>
        <v>#VALUE!</v>
      </c>
      <c r="BN5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8" s="10" t="e">
        <f>tbl_MTG_Set[[#This Row],[Play Singles CardMarket Profit BotBox]]/tbl_MTG_Set[[#This Row],[Play Booster Cost]]</f>
        <v>#VALUE!</v>
      </c>
      <c r="BP518" s="10" t="b">
        <f>tbl_MTG_Set[[#This Row],[Play Singles CardMarket Profit BotBox]]&gt;0</f>
        <v>0</v>
      </c>
      <c r="BQ518" s="10"/>
      <c r="BR518" s="10"/>
      <c r="BS518" s="10"/>
      <c r="BT5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8" s="19" t="e">
        <f>tbl_MTG_Set[[#This Row],[Collector Singles CardMarket Profit MTG Stocks]]/tbl_MTG_Set[[#This Row],[Collector Booster Cost]]</f>
        <v>#N/A</v>
      </c>
      <c r="BW518" s="10" t="b">
        <f>tbl_MTG_Set[[#This Row],[Collector Singles CardMarket Profit MTG Stocks]]&gt;0</f>
        <v>0</v>
      </c>
      <c r="BX518" s="10"/>
      <c r="BY518" s="10"/>
      <c r="BZ5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8" s="10" t="e">
        <f>tbl_MTG_Set[[#This Row],[Collector Singles CardMarket Profit BotBox]]/tbl_MTG_Set[[#This Row],[Collector Booster Cost]]</f>
        <v>#N/A</v>
      </c>
      <c r="CC518" s="10" t="b">
        <f>tbl_MTG_Set[[#This Row],[Collector Singles CardMarket Profit BotBox]]&gt;0</f>
        <v>0</v>
      </c>
      <c r="CD5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19" spans="1:86" hidden="1">
      <c r="A519">
        <v>550</v>
      </c>
      <c r="B519" t="s">
        <v>692</v>
      </c>
      <c r="C519">
        <v>19</v>
      </c>
      <c r="D519" s="3">
        <v>42699</v>
      </c>
      <c r="F519" t="s">
        <v>174</v>
      </c>
      <c r="G519">
        <v>1046</v>
      </c>
      <c r="H519">
        <f ca="1">MONTH(NOW())+12*YEAR(NOW())-MONTH(tbl_MTG_Set[[#This Row],[Released On]])-12*YEAR(tbl_MTG_Set[[#This Row],[Released On]])</f>
        <v>112</v>
      </c>
      <c r="I519" t="str">
        <f>_xlfn.XLOOKUP(tbl_MTG_Set[[#This Row],[Type Name]], tbl_MTG_Set_Type[Set Type], tbl_MTG_Set_Type[Index], "(Set Type not found)")</f>
        <v>(Set Type not found)</v>
      </c>
      <c r="J519" t="str">
        <f>_xlfn.XLOOKUP(tbl_MTG_Set[[#This Row],[Type Name]], tbl_MTG_Set_Type[Set Type], tbl_MTG_Set_Type[Buy Window Month Start], "(Set Type not found)")</f>
        <v>(Set Type not found)</v>
      </c>
      <c r="K519" s="3" t="e">
        <f>tbl_MTG_Set[[#This Row],[Released On]]+tbl_MTG_Set[[#This Row],[Buy Window Month Start]]*365.25/12</f>
        <v>#VALUE!</v>
      </c>
      <c r="L519" t="str">
        <f>_xlfn.XLOOKUP(tbl_MTG_Set[[#This Row],[Type Name]], tbl_MTG_Set_Type[Set Type], tbl_MTG_Set_Type[Buy Window Month End], "(Set Type not found)", 0, 1)</f>
        <v>(Set Type not found)</v>
      </c>
      <c r="M519" s="3" t="e">
        <f>tbl_MTG_Set[[#This Row],[Released On]]+tbl_MTG_Set[[#This Row],[Buy Window Month End]]*365.25/12</f>
        <v>#VALUE!</v>
      </c>
      <c r="N519" s="3" t="e">
        <f ca="1">AND(NOW()&gt;=tbl_MTG_Set[[#This Row],[Buy Window Start]], NOW()&lt;=tbl_MTG_Set[[#This Row],[Buy Window End]])</f>
        <v>#VALUE!</v>
      </c>
      <c r="O519" t="str">
        <f>_xlfn.XLOOKUP(tbl_MTG_Set[[#This Row],[Type Name]], tbl_MTG_Set_Type[Set Type], tbl_MTG_Set_Type[Heavy Printing Window Month Start], "(Set Type not found)", 0, 1)</f>
        <v>(Set Type not found)</v>
      </c>
      <c r="P519" s="3" t="e">
        <f>tbl_MTG_Set[[#This Row],[Released On]]+tbl_MTG_Set[[#This Row],[Heavy Printing Window Month Start]]*365.25/12</f>
        <v>#VALUE!</v>
      </c>
      <c r="Q519" t="str">
        <f>_xlfn.XLOOKUP(tbl_MTG_Set[[#This Row],[Type Name]], tbl_MTG_Set_Type[Set Type], tbl_MTG_Set_Type[Heavy Printing Window Month End], "(Set Type not found)", 0, 1)</f>
        <v>(Set Type not found)</v>
      </c>
      <c r="R519" s="3" t="e">
        <f>tbl_MTG_Set[[#This Row],[Released On]]+tbl_MTG_Set[[#This Row],[Heavy Printing Window Month End]]*365.25/12</f>
        <v>#VALUE!</v>
      </c>
      <c r="S519" s="3" t="e">
        <f ca="1">AND(NOW()&gt;=tbl_MTG_Set[[#This Row],[Heavy Printing Window Start]], NOW()&lt;=tbl_MTG_Set[[#This Row],[Heavy Printing Window End]])</f>
        <v>#VALUE!</v>
      </c>
      <c r="T519" t="str">
        <f>_xlfn.XLOOKUP(tbl_MTG_Set[[#This Row],[Type Name]], tbl_MTG_Set_Type[Set Type], tbl_MTG_Set_Type[Sell Window Month Start], "(Set Type not found)", 0, 1)</f>
        <v>(Set Type not found)</v>
      </c>
      <c r="U519" s="3" t="e">
        <f>tbl_MTG_Set[[#This Row],[Released On]]+tbl_MTG_Set[[#This Row],[Sell Window Month Start]]*365.25/12</f>
        <v>#VALUE!</v>
      </c>
      <c r="V519" t="str">
        <f>_xlfn.XLOOKUP(tbl_MTG_Set[[#This Row],[Type Name]], tbl_MTG_Set_Type[Set Type], tbl_MTG_Set_Type[Sell Window Month End], "(Set Type not found)", 0, 1)</f>
        <v>(Set Type not found)</v>
      </c>
      <c r="W519" s="3" t="e">
        <f>tbl_MTG_Set[[#This Row],[Released On]]+tbl_MTG_Set[[#This Row],[Sell Window Month End]]*365.25/12</f>
        <v>#VALUE!</v>
      </c>
      <c r="X519" s="3" t="e">
        <f ca="1">AND(NOW()&gt;=tbl_MTG_Set[[#This Row],[Sell Window Start]], NOW()&lt;=tbl_MTG_Set[[#This Row],[Sell Window End]])</f>
        <v>#VALUE!</v>
      </c>
      <c r="AG519" s="10"/>
      <c r="AH519" s="10"/>
      <c r="AM519" s="10" t="str" cm="1">
        <f t="array" ref="AM5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19" s="10" t="str" cm="1">
        <f t="array" ref="AN5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19" s="4" t="e">
        <f>_xlfn.XLOOKUP(tbl_MTG_Set[[#This Row],[Play Booster Box Product Id]], tbl_Product[Product Id], tbl_Product[Pack Size])</f>
        <v>#N/A</v>
      </c>
      <c r="AP519" s="10" t="e">
        <f>(tbl_MTG_Set[[#This Row],[Play Booster Box Cost]]+v_Item_Shipping_Cost_In)/tbl_MTG_Set[[#This Row],[Play Booster Box Size]]</f>
        <v>#VALUE!</v>
      </c>
      <c r="AQ519" s="10" t="str" cm="1">
        <f t="array" ref="AQ5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19" s="10"/>
      <c r="AS519" s="10"/>
      <c r="AT519" s="17" t="e">
        <f>tbl_MTG_Set[[#This Row],[Play Booster CardMarket Profit]]/tbl_MTG_Set[[#This Row],[Play Booster Cost]]</f>
        <v>#VALUE!</v>
      </c>
      <c r="AU519" s="10" t="e">
        <f>_xlfn.XLOOKUP(tbl_MTG_Set[[#This Row],[Collector Booster Box Product Id]], tbl_Product[Product Id], tbl_Product[Min Cost])</f>
        <v>#N/A</v>
      </c>
      <c r="AV519" s="10" t="e">
        <f>_xlfn.XLOOKUP(tbl_MTG_Set[[#This Row],[Collector Booster Box Product Id]], tbl_Product[Product Id], tbl_Product[Best Source])</f>
        <v>#N/A</v>
      </c>
      <c r="AW519" s="4" t="e">
        <f>_xlfn.XLOOKUP(tbl_MTG_Set[[#This Row],[Collector Booster Box Product Id]], tbl_Product[Product Id], tbl_Product[Pack Size])</f>
        <v>#N/A</v>
      </c>
      <c r="AX519" s="10" t="e">
        <f>(tbl_MTG_Set[[#This Row],[Collector Booster Box Cost]] + v_Item_Shipping_Cost_In) / tbl_MTG_Set[[#This Row],[Collector Booster Box Size]]</f>
        <v>#N/A</v>
      </c>
      <c r="AY519" s="10" t="str" cm="1">
        <f t="array" ref="AY5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19" s="10"/>
      <c r="BA5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19" s="17" t="e">
        <f>tbl_MTG_Set[[#This Row],[Collector Booster CardMarket Profit]]/tbl_MTG_Set[[#This Row],[Collector Booster Cost]]</f>
        <v>#N/A</v>
      </c>
      <c r="BC519" s="10"/>
      <c r="BF5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19" s="11" t="e">
        <f>tbl_MTG_Set[[#This Row],[Play Singles CardMarket Profit MTG Stocks]]/tbl_MTG_Set[[#This Row],[Play Booster Cost]]</f>
        <v>#VALUE!</v>
      </c>
      <c r="BI519" s="11" t="b">
        <f>tbl_MTG_Set[[#This Row],[Play Singles CardMarket Profit MTG Stocks]]&gt;0</f>
        <v>0</v>
      </c>
      <c r="BM519" s="10" t="e">
        <f>tbl_MTG_Set[[#This Row],[Play Booster Sell Price CardMarket]]*tbl_MTG_Set[[#This Row],[Play Booster Expected Market Value BotBox]]/tbl_MTG_Set[[#This Row],[Play Booster Sealed Market Value BotBox]]</f>
        <v>#VALUE!</v>
      </c>
      <c r="BN5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19" s="10" t="e">
        <f>tbl_MTG_Set[[#This Row],[Play Singles CardMarket Profit BotBox]]/tbl_MTG_Set[[#This Row],[Play Booster Cost]]</f>
        <v>#VALUE!</v>
      </c>
      <c r="BP519" s="10" t="b">
        <f>tbl_MTG_Set[[#This Row],[Play Singles CardMarket Profit BotBox]]&gt;0</f>
        <v>0</v>
      </c>
      <c r="BQ519" s="10"/>
      <c r="BR519" s="10"/>
      <c r="BS519" s="10"/>
      <c r="BT5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19" s="19" t="e">
        <f>tbl_MTG_Set[[#This Row],[Collector Singles CardMarket Profit MTG Stocks]]/tbl_MTG_Set[[#This Row],[Collector Booster Cost]]</f>
        <v>#N/A</v>
      </c>
      <c r="BW519" s="10" t="b">
        <f>tbl_MTG_Set[[#This Row],[Collector Singles CardMarket Profit MTG Stocks]]&gt;0</f>
        <v>0</v>
      </c>
      <c r="BX519" s="10"/>
      <c r="BY519" s="10"/>
      <c r="BZ5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19" s="10" t="e">
        <f>tbl_MTG_Set[[#This Row],[Collector Singles CardMarket Profit BotBox]]/tbl_MTG_Set[[#This Row],[Collector Booster Cost]]</f>
        <v>#N/A</v>
      </c>
      <c r="CC519" s="10" t="b">
        <f>tbl_MTG_Set[[#This Row],[Collector Singles CardMarket Profit BotBox]]&gt;0</f>
        <v>0</v>
      </c>
      <c r="CD5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0" spans="1:86" hidden="1">
      <c r="A520">
        <v>551</v>
      </c>
      <c r="B520" t="s">
        <v>693</v>
      </c>
      <c r="C520">
        <v>86</v>
      </c>
      <c r="D520" s="3">
        <v>42699</v>
      </c>
      <c r="F520" t="s">
        <v>174</v>
      </c>
      <c r="G520">
        <v>1048</v>
      </c>
      <c r="H520">
        <f ca="1">MONTH(NOW())+12*YEAR(NOW())-MONTH(tbl_MTG_Set[[#This Row],[Released On]])-12*YEAR(tbl_MTG_Set[[#This Row],[Released On]])</f>
        <v>112</v>
      </c>
      <c r="I520" t="str">
        <f>_xlfn.XLOOKUP(tbl_MTG_Set[[#This Row],[Type Name]], tbl_MTG_Set_Type[Set Type], tbl_MTG_Set_Type[Index], "(Set Type not found)")</f>
        <v>(Set Type not found)</v>
      </c>
      <c r="J520" t="str">
        <f>_xlfn.XLOOKUP(tbl_MTG_Set[[#This Row],[Type Name]], tbl_MTG_Set_Type[Set Type], tbl_MTG_Set_Type[Buy Window Month Start], "(Set Type not found)")</f>
        <v>(Set Type not found)</v>
      </c>
      <c r="K520" s="3" t="e">
        <f>tbl_MTG_Set[[#This Row],[Released On]]+tbl_MTG_Set[[#This Row],[Buy Window Month Start]]*365.25/12</f>
        <v>#VALUE!</v>
      </c>
      <c r="L520" t="str">
        <f>_xlfn.XLOOKUP(tbl_MTG_Set[[#This Row],[Type Name]], tbl_MTG_Set_Type[Set Type], tbl_MTG_Set_Type[Buy Window Month End], "(Set Type not found)", 0, 1)</f>
        <v>(Set Type not found)</v>
      </c>
      <c r="M520" s="3" t="e">
        <f>tbl_MTG_Set[[#This Row],[Released On]]+tbl_MTG_Set[[#This Row],[Buy Window Month End]]*365.25/12</f>
        <v>#VALUE!</v>
      </c>
      <c r="N520" s="3" t="e">
        <f ca="1">AND(NOW()&gt;=tbl_MTG_Set[[#This Row],[Buy Window Start]], NOW()&lt;=tbl_MTG_Set[[#This Row],[Buy Window End]])</f>
        <v>#VALUE!</v>
      </c>
      <c r="O520" t="str">
        <f>_xlfn.XLOOKUP(tbl_MTG_Set[[#This Row],[Type Name]], tbl_MTG_Set_Type[Set Type], tbl_MTG_Set_Type[Heavy Printing Window Month Start], "(Set Type not found)", 0, 1)</f>
        <v>(Set Type not found)</v>
      </c>
      <c r="P520" s="3" t="e">
        <f>tbl_MTG_Set[[#This Row],[Released On]]+tbl_MTG_Set[[#This Row],[Heavy Printing Window Month Start]]*365.25/12</f>
        <v>#VALUE!</v>
      </c>
      <c r="Q520" t="str">
        <f>_xlfn.XLOOKUP(tbl_MTG_Set[[#This Row],[Type Name]], tbl_MTG_Set_Type[Set Type], tbl_MTG_Set_Type[Heavy Printing Window Month End], "(Set Type not found)", 0, 1)</f>
        <v>(Set Type not found)</v>
      </c>
      <c r="R520" s="3" t="e">
        <f>tbl_MTG_Set[[#This Row],[Released On]]+tbl_MTG_Set[[#This Row],[Heavy Printing Window Month End]]*365.25/12</f>
        <v>#VALUE!</v>
      </c>
      <c r="S520" s="3" t="e">
        <f ca="1">AND(NOW()&gt;=tbl_MTG_Set[[#This Row],[Heavy Printing Window Start]], NOW()&lt;=tbl_MTG_Set[[#This Row],[Heavy Printing Window End]])</f>
        <v>#VALUE!</v>
      </c>
      <c r="T520" t="str">
        <f>_xlfn.XLOOKUP(tbl_MTG_Set[[#This Row],[Type Name]], tbl_MTG_Set_Type[Set Type], tbl_MTG_Set_Type[Sell Window Month Start], "(Set Type not found)", 0, 1)</f>
        <v>(Set Type not found)</v>
      </c>
      <c r="U520" s="3" t="e">
        <f>tbl_MTG_Set[[#This Row],[Released On]]+tbl_MTG_Set[[#This Row],[Sell Window Month Start]]*365.25/12</f>
        <v>#VALUE!</v>
      </c>
      <c r="V520" t="str">
        <f>_xlfn.XLOOKUP(tbl_MTG_Set[[#This Row],[Type Name]], tbl_MTG_Set_Type[Set Type], tbl_MTG_Set_Type[Sell Window Month End], "(Set Type not found)", 0, 1)</f>
        <v>(Set Type not found)</v>
      </c>
      <c r="W520" s="3" t="e">
        <f>tbl_MTG_Set[[#This Row],[Released On]]+tbl_MTG_Set[[#This Row],[Sell Window Month End]]*365.25/12</f>
        <v>#VALUE!</v>
      </c>
      <c r="X520" s="3" t="e">
        <f ca="1">AND(NOW()&gt;=tbl_MTG_Set[[#This Row],[Sell Window Start]], NOW()&lt;=tbl_MTG_Set[[#This Row],[Sell Window End]])</f>
        <v>#VALUE!</v>
      </c>
      <c r="AG520" s="10"/>
      <c r="AH520" s="10"/>
      <c r="AM520" s="10" t="str" cm="1">
        <f t="array" ref="AM5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0" s="10" t="str" cm="1">
        <f t="array" ref="AN5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0" s="4" t="e">
        <f>_xlfn.XLOOKUP(tbl_MTG_Set[[#This Row],[Play Booster Box Product Id]], tbl_Product[Product Id], tbl_Product[Pack Size])</f>
        <v>#N/A</v>
      </c>
      <c r="AP520" s="10" t="e">
        <f>(tbl_MTG_Set[[#This Row],[Play Booster Box Cost]]+v_Item_Shipping_Cost_In)/tbl_MTG_Set[[#This Row],[Play Booster Box Size]]</f>
        <v>#VALUE!</v>
      </c>
      <c r="AQ520" s="10" t="str" cm="1">
        <f t="array" ref="AQ5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0" s="10"/>
      <c r="AS520" s="10"/>
      <c r="AT520" s="17" t="e">
        <f>tbl_MTG_Set[[#This Row],[Play Booster CardMarket Profit]]/tbl_MTG_Set[[#This Row],[Play Booster Cost]]</f>
        <v>#VALUE!</v>
      </c>
      <c r="AU520" s="10" t="e">
        <f>_xlfn.XLOOKUP(tbl_MTG_Set[[#This Row],[Collector Booster Box Product Id]], tbl_Product[Product Id], tbl_Product[Min Cost])</f>
        <v>#N/A</v>
      </c>
      <c r="AV520" s="10" t="e">
        <f>_xlfn.XLOOKUP(tbl_MTG_Set[[#This Row],[Collector Booster Box Product Id]], tbl_Product[Product Id], tbl_Product[Best Source])</f>
        <v>#N/A</v>
      </c>
      <c r="AW520" s="4" t="e">
        <f>_xlfn.XLOOKUP(tbl_MTG_Set[[#This Row],[Collector Booster Box Product Id]], tbl_Product[Product Id], tbl_Product[Pack Size])</f>
        <v>#N/A</v>
      </c>
      <c r="AX520" s="10" t="e">
        <f>(tbl_MTG_Set[[#This Row],[Collector Booster Box Cost]] + v_Item_Shipping_Cost_In) / tbl_MTG_Set[[#This Row],[Collector Booster Box Size]]</f>
        <v>#N/A</v>
      </c>
      <c r="AY520" s="10" t="str" cm="1">
        <f t="array" ref="AY5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0" s="10"/>
      <c r="BA5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0" s="17" t="e">
        <f>tbl_MTG_Set[[#This Row],[Collector Booster CardMarket Profit]]/tbl_MTG_Set[[#This Row],[Collector Booster Cost]]</f>
        <v>#N/A</v>
      </c>
      <c r="BC520" s="10"/>
      <c r="BF5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0" s="11" t="e">
        <f>tbl_MTG_Set[[#This Row],[Play Singles CardMarket Profit MTG Stocks]]/tbl_MTG_Set[[#This Row],[Play Booster Cost]]</f>
        <v>#VALUE!</v>
      </c>
      <c r="BI520" s="11" t="b">
        <f>tbl_MTG_Set[[#This Row],[Play Singles CardMarket Profit MTG Stocks]]&gt;0</f>
        <v>0</v>
      </c>
      <c r="BM520" s="10" t="e">
        <f>tbl_MTG_Set[[#This Row],[Play Booster Sell Price CardMarket]]*tbl_MTG_Set[[#This Row],[Play Booster Expected Market Value BotBox]]/tbl_MTG_Set[[#This Row],[Play Booster Sealed Market Value BotBox]]</f>
        <v>#VALUE!</v>
      </c>
      <c r="BN5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0" s="10" t="e">
        <f>tbl_MTG_Set[[#This Row],[Play Singles CardMarket Profit BotBox]]/tbl_MTG_Set[[#This Row],[Play Booster Cost]]</f>
        <v>#VALUE!</v>
      </c>
      <c r="BP520" s="10" t="b">
        <f>tbl_MTG_Set[[#This Row],[Play Singles CardMarket Profit BotBox]]&gt;0</f>
        <v>0</v>
      </c>
      <c r="BQ520" s="10"/>
      <c r="BR520" s="10"/>
      <c r="BS520" s="10"/>
      <c r="BT5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0" s="19" t="e">
        <f>tbl_MTG_Set[[#This Row],[Collector Singles CardMarket Profit MTG Stocks]]/tbl_MTG_Set[[#This Row],[Collector Booster Cost]]</f>
        <v>#N/A</v>
      </c>
      <c r="BW520" s="10" t="b">
        <f>tbl_MTG_Set[[#This Row],[Collector Singles CardMarket Profit MTG Stocks]]&gt;0</f>
        <v>0</v>
      </c>
      <c r="BX520" s="10"/>
      <c r="BY520" s="10"/>
      <c r="BZ5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0" s="10" t="e">
        <f>tbl_MTG_Set[[#This Row],[Collector Singles CardMarket Profit BotBox]]/tbl_MTG_Set[[#This Row],[Collector Booster Cost]]</f>
        <v>#N/A</v>
      </c>
      <c r="CC520" s="10" t="b">
        <f>tbl_MTG_Set[[#This Row],[Collector Singles CardMarket Profit BotBox]]&gt;0</f>
        <v>0</v>
      </c>
      <c r="CD5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1" spans="1:86" hidden="1">
      <c r="A521">
        <v>552</v>
      </c>
      <c r="B521" t="s">
        <v>694</v>
      </c>
      <c r="C521">
        <v>282</v>
      </c>
      <c r="D521" s="3">
        <v>42690</v>
      </c>
      <c r="F521" t="s">
        <v>174</v>
      </c>
      <c r="G521">
        <v>1050</v>
      </c>
      <c r="H521">
        <f ca="1">MONTH(NOW())+12*YEAR(NOW())-MONTH(tbl_MTG_Set[[#This Row],[Released On]])-12*YEAR(tbl_MTG_Set[[#This Row],[Released On]])</f>
        <v>112</v>
      </c>
      <c r="I521" t="str">
        <f>_xlfn.XLOOKUP(tbl_MTG_Set[[#This Row],[Type Name]], tbl_MTG_Set_Type[Set Type], tbl_MTG_Set_Type[Index], "(Set Type not found)")</f>
        <v>(Set Type not found)</v>
      </c>
      <c r="J521" t="str">
        <f>_xlfn.XLOOKUP(tbl_MTG_Set[[#This Row],[Type Name]], tbl_MTG_Set_Type[Set Type], tbl_MTG_Set_Type[Buy Window Month Start], "(Set Type not found)")</f>
        <v>(Set Type not found)</v>
      </c>
      <c r="K521" s="3" t="e">
        <f>tbl_MTG_Set[[#This Row],[Released On]]+tbl_MTG_Set[[#This Row],[Buy Window Month Start]]*365.25/12</f>
        <v>#VALUE!</v>
      </c>
      <c r="L521" t="str">
        <f>_xlfn.XLOOKUP(tbl_MTG_Set[[#This Row],[Type Name]], tbl_MTG_Set_Type[Set Type], tbl_MTG_Set_Type[Buy Window Month End], "(Set Type not found)", 0, 1)</f>
        <v>(Set Type not found)</v>
      </c>
      <c r="M521" s="3" t="e">
        <f>tbl_MTG_Set[[#This Row],[Released On]]+tbl_MTG_Set[[#This Row],[Buy Window Month End]]*365.25/12</f>
        <v>#VALUE!</v>
      </c>
      <c r="N521" s="3" t="e">
        <f ca="1">AND(NOW()&gt;=tbl_MTG_Set[[#This Row],[Buy Window Start]], NOW()&lt;=tbl_MTG_Set[[#This Row],[Buy Window End]])</f>
        <v>#VALUE!</v>
      </c>
      <c r="O521" t="str">
        <f>_xlfn.XLOOKUP(tbl_MTG_Set[[#This Row],[Type Name]], tbl_MTG_Set_Type[Set Type], tbl_MTG_Set_Type[Heavy Printing Window Month Start], "(Set Type not found)", 0, 1)</f>
        <v>(Set Type not found)</v>
      </c>
      <c r="P521" s="3" t="e">
        <f>tbl_MTG_Set[[#This Row],[Released On]]+tbl_MTG_Set[[#This Row],[Heavy Printing Window Month Start]]*365.25/12</f>
        <v>#VALUE!</v>
      </c>
      <c r="Q521" t="str">
        <f>_xlfn.XLOOKUP(tbl_MTG_Set[[#This Row],[Type Name]], tbl_MTG_Set_Type[Set Type], tbl_MTG_Set_Type[Heavy Printing Window Month End], "(Set Type not found)", 0, 1)</f>
        <v>(Set Type not found)</v>
      </c>
      <c r="R521" s="3" t="e">
        <f>tbl_MTG_Set[[#This Row],[Released On]]+tbl_MTG_Set[[#This Row],[Heavy Printing Window Month End]]*365.25/12</f>
        <v>#VALUE!</v>
      </c>
      <c r="S521" s="3" t="e">
        <f ca="1">AND(NOW()&gt;=tbl_MTG_Set[[#This Row],[Heavy Printing Window Start]], NOW()&lt;=tbl_MTG_Set[[#This Row],[Heavy Printing Window End]])</f>
        <v>#VALUE!</v>
      </c>
      <c r="T521" t="str">
        <f>_xlfn.XLOOKUP(tbl_MTG_Set[[#This Row],[Type Name]], tbl_MTG_Set_Type[Set Type], tbl_MTG_Set_Type[Sell Window Month Start], "(Set Type not found)", 0, 1)</f>
        <v>(Set Type not found)</v>
      </c>
      <c r="U521" s="3" t="e">
        <f>tbl_MTG_Set[[#This Row],[Released On]]+tbl_MTG_Set[[#This Row],[Sell Window Month Start]]*365.25/12</f>
        <v>#VALUE!</v>
      </c>
      <c r="V521" t="str">
        <f>_xlfn.XLOOKUP(tbl_MTG_Set[[#This Row],[Type Name]], tbl_MTG_Set_Type[Set Type], tbl_MTG_Set_Type[Sell Window Month End], "(Set Type not found)", 0, 1)</f>
        <v>(Set Type not found)</v>
      </c>
      <c r="W521" s="3" t="e">
        <f>tbl_MTG_Set[[#This Row],[Released On]]+tbl_MTG_Set[[#This Row],[Sell Window Month End]]*365.25/12</f>
        <v>#VALUE!</v>
      </c>
      <c r="X521" s="3" t="e">
        <f ca="1">AND(NOW()&gt;=tbl_MTG_Set[[#This Row],[Sell Window Start]], NOW()&lt;=tbl_MTG_Set[[#This Row],[Sell Window End]])</f>
        <v>#VALUE!</v>
      </c>
      <c r="AG521" s="10"/>
      <c r="AH521" s="10"/>
      <c r="AM521" s="10" t="str" cm="1">
        <f t="array" ref="AM5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1" s="10" t="str" cm="1">
        <f t="array" ref="AN5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1" s="4" t="e">
        <f>_xlfn.XLOOKUP(tbl_MTG_Set[[#This Row],[Play Booster Box Product Id]], tbl_Product[Product Id], tbl_Product[Pack Size])</f>
        <v>#N/A</v>
      </c>
      <c r="AP521" s="10" t="e">
        <f>(tbl_MTG_Set[[#This Row],[Play Booster Box Cost]]+v_Item_Shipping_Cost_In)/tbl_MTG_Set[[#This Row],[Play Booster Box Size]]</f>
        <v>#VALUE!</v>
      </c>
      <c r="AQ521" s="10" t="str" cm="1">
        <f t="array" ref="AQ5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1" s="10"/>
      <c r="AS521" s="10"/>
      <c r="AT521" s="17" t="e">
        <f>tbl_MTG_Set[[#This Row],[Play Booster CardMarket Profit]]/tbl_MTG_Set[[#This Row],[Play Booster Cost]]</f>
        <v>#VALUE!</v>
      </c>
      <c r="AU521" s="10" t="e">
        <f>_xlfn.XLOOKUP(tbl_MTG_Set[[#This Row],[Collector Booster Box Product Id]], tbl_Product[Product Id], tbl_Product[Min Cost])</f>
        <v>#N/A</v>
      </c>
      <c r="AV521" s="10" t="e">
        <f>_xlfn.XLOOKUP(tbl_MTG_Set[[#This Row],[Collector Booster Box Product Id]], tbl_Product[Product Id], tbl_Product[Best Source])</f>
        <v>#N/A</v>
      </c>
      <c r="AW521" s="4" t="e">
        <f>_xlfn.XLOOKUP(tbl_MTG_Set[[#This Row],[Collector Booster Box Product Id]], tbl_Product[Product Id], tbl_Product[Pack Size])</f>
        <v>#N/A</v>
      </c>
      <c r="AX521" s="10" t="e">
        <f>(tbl_MTG_Set[[#This Row],[Collector Booster Box Cost]] + v_Item_Shipping_Cost_In) / tbl_MTG_Set[[#This Row],[Collector Booster Box Size]]</f>
        <v>#N/A</v>
      </c>
      <c r="AY521" s="10" t="str" cm="1">
        <f t="array" ref="AY5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1" s="10"/>
      <c r="BA5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1" s="17" t="e">
        <f>tbl_MTG_Set[[#This Row],[Collector Booster CardMarket Profit]]/tbl_MTG_Set[[#This Row],[Collector Booster Cost]]</f>
        <v>#N/A</v>
      </c>
      <c r="BC521" s="10"/>
      <c r="BF5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1" s="11" t="e">
        <f>tbl_MTG_Set[[#This Row],[Play Singles CardMarket Profit MTG Stocks]]/tbl_MTG_Set[[#This Row],[Play Booster Cost]]</f>
        <v>#VALUE!</v>
      </c>
      <c r="BI521" s="11" t="b">
        <f>tbl_MTG_Set[[#This Row],[Play Singles CardMarket Profit MTG Stocks]]&gt;0</f>
        <v>0</v>
      </c>
      <c r="BM521" s="10" t="e">
        <f>tbl_MTG_Set[[#This Row],[Play Booster Sell Price CardMarket]]*tbl_MTG_Set[[#This Row],[Play Booster Expected Market Value BotBox]]/tbl_MTG_Set[[#This Row],[Play Booster Sealed Market Value BotBox]]</f>
        <v>#VALUE!</v>
      </c>
      <c r="BN5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1" s="10" t="e">
        <f>tbl_MTG_Set[[#This Row],[Play Singles CardMarket Profit BotBox]]/tbl_MTG_Set[[#This Row],[Play Booster Cost]]</f>
        <v>#VALUE!</v>
      </c>
      <c r="BP521" s="10" t="b">
        <f>tbl_MTG_Set[[#This Row],[Play Singles CardMarket Profit BotBox]]&gt;0</f>
        <v>0</v>
      </c>
      <c r="BQ521" s="10"/>
      <c r="BR521" s="10"/>
      <c r="BS521" s="10"/>
      <c r="BT5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1" s="19" t="e">
        <f>tbl_MTG_Set[[#This Row],[Collector Singles CardMarket Profit MTG Stocks]]/tbl_MTG_Set[[#This Row],[Collector Booster Cost]]</f>
        <v>#N/A</v>
      </c>
      <c r="BW521" s="10" t="b">
        <f>tbl_MTG_Set[[#This Row],[Collector Singles CardMarket Profit MTG Stocks]]&gt;0</f>
        <v>0</v>
      </c>
      <c r="BX521" s="10"/>
      <c r="BY521" s="10"/>
      <c r="BZ5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1" s="10" t="e">
        <f>tbl_MTG_Set[[#This Row],[Collector Singles CardMarket Profit BotBox]]/tbl_MTG_Set[[#This Row],[Collector Booster Cost]]</f>
        <v>#N/A</v>
      </c>
      <c r="CC521" s="10" t="b">
        <f>tbl_MTG_Set[[#This Row],[Collector Singles CardMarket Profit BotBox]]&gt;0</f>
        <v>0</v>
      </c>
      <c r="CD5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2" spans="1:86" hidden="1">
      <c r="A522">
        <v>553</v>
      </c>
      <c r="B522" t="s">
        <v>695</v>
      </c>
      <c r="C522">
        <v>538</v>
      </c>
      <c r="D522" s="3">
        <v>42690</v>
      </c>
      <c r="F522">
        <v>0</v>
      </c>
      <c r="G522">
        <v>1052</v>
      </c>
      <c r="H522">
        <f ca="1">MONTH(NOW())+12*YEAR(NOW())-MONTH(tbl_MTG_Set[[#This Row],[Released On]])-12*YEAR(tbl_MTG_Set[[#This Row],[Released On]])</f>
        <v>112</v>
      </c>
      <c r="I522" t="str">
        <f>_xlfn.XLOOKUP(tbl_MTG_Set[[#This Row],[Type Name]], tbl_MTG_Set_Type[Set Type], tbl_MTG_Set_Type[Index], "(Set Type not found)")</f>
        <v>(Set Type not found)</v>
      </c>
      <c r="J522" t="str">
        <f>_xlfn.XLOOKUP(tbl_MTG_Set[[#This Row],[Type Name]], tbl_MTG_Set_Type[Set Type], tbl_MTG_Set_Type[Buy Window Month Start], "(Set Type not found)")</f>
        <v>(Set Type not found)</v>
      </c>
      <c r="K522" s="3" t="e">
        <f>tbl_MTG_Set[[#This Row],[Released On]]+tbl_MTG_Set[[#This Row],[Buy Window Month Start]]*365.25/12</f>
        <v>#VALUE!</v>
      </c>
      <c r="L522" t="str">
        <f>_xlfn.XLOOKUP(tbl_MTG_Set[[#This Row],[Type Name]], tbl_MTG_Set_Type[Set Type], tbl_MTG_Set_Type[Buy Window Month End], "(Set Type not found)", 0, 1)</f>
        <v>(Set Type not found)</v>
      </c>
      <c r="M522" s="3" t="e">
        <f>tbl_MTG_Set[[#This Row],[Released On]]+tbl_MTG_Set[[#This Row],[Buy Window Month End]]*365.25/12</f>
        <v>#VALUE!</v>
      </c>
      <c r="N522" s="3" t="e">
        <f ca="1">AND(NOW()&gt;=tbl_MTG_Set[[#This Row],[Buy Window Start]], NOW()&lt;=tbl_MTG_Set[[#This Row],[Buy Window End]])</f>
        <v>#VALUE!</v>
      </c>
      <c r="O522" t="str">
        <f>_xlfn.XLOOKUP(tbl_MTG_Set[[#This Row],[Type Name]], tbl_MTG_Set_Type[Set Type], tbl_MTG_Set_Type[Heavy Printing Window Month Start], "(Set Type not found)", 0, 1)</f>
        <v>(Set Type not found)</v>
      </c>
      <c r="P522" s="3" t="e">
        <f>tbl_MTG_Set[[#This Row],[Released On]]+tbl_MTG_Set[[#This Row],[Heavy Printing Window Month Start]]*365.25/12</f>
        <v>#VALUE!</v>
      </c>
      <c r="Q522" t="str">
        <f>_xlfn.XLOOKUP(tbl_MTG_Set[[#This Row],[Type Name]], tbl_MTG_Set_Type[Set Type], tbl_MTG_Set_Type[Heavy Printing Window Month End], "(Set Type not found)", 0, 1)</f>
        <v>(Set Type not found)</v>
      </c>
      <c r="R522" s="3" t="e">
        <f>tbl_MTG_Set[[#This Row],[Released On]]+tbl_MTG_Set[[#This Row],[Heavy Printing Window Month End]]*365.25/12</f>
        <v>#VALUE!</v>
      </c>
      <c r="S522" s="3" t="e">
        <f ca="1">AND(NOW()&gt;=tbl_MTG_Set[[#This Row],[Heavy Printing Window Start]], NOW()&lt;=tbl_MTG_Set[[#This Row],[Heavy Printing Window End]])</f>
        <v>#VALUE!</v>
      </c>
      <c r="T522" t="str">
        <f>_xlfn.XLOOKUP(tbl_MTG_Set[[#This Row],[Type Name]], tbl_MTG_Set_Type[Set Type], tbl_MTG_Set_Type[Sell Window Month Start], "(Set Type not found)", 0, 1)</f>
        <v>(Set Type not found)</v>
      </c>
      <c r="U522" s="3" t="e">
        <f>tbl_MTG_Set[[#This Row],[Released On]]+tbl_MTG_Set[[#This Row],[Sell Window Month Start]]*365.25/12</f>
        <v>#VALUE!</v>
      </c>
      <c r="V522" t="str">
        <f>_xlfn.XLOOKUP(tbl_MTG_Set[[#This Row],[Type Name]], tbl_MTG_Set_Type[Set Type], tbl_MTG_Set_Type[Sell Window Month End], "(Set Type not found)", 0, 1)</f>
        <v>(Set Type not found)</v>
      </c>
      <c r="W522" s="3" t="e">
        <f>tbl_MTG_Set[[#This Row],[Released On]]+tbl_MTG_Set[[#This Row],[Sell Window Month End]]*365.25/12</f>
        <v>#VALUE!</v>
      </c>
      <c r="X522" s="3" t="e">
        <f ca="1">AND(NOW()&gt;=tbl_MTG_Set[[#This Row],[Sell Window Start]], NOW()&lt;=tbl_MTG_Set[[#This Row],[Sell Window End]])</f>
        <v>#VALUE!</v>
      </c>
      <c r="AG522" s="10"/>
      <c r="AH522" s="10"/>
      <c r="AM522" s="10" t="str" cm="1">
        <f t="array" ref="AM5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2" s="10" t="str" cm="1">
        <f t="array" ref="AN5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2" s="4" t="e">
        <f>_xlfn.XLOOKUP(tbl_MTG_Set[[#This Row],[Play Booster Box Product Id]], tbl_Product[Product Id], tbl_Product[Pack Size])</f>
        <v>#N/A</v>
      </c>
      <c r="AP522" s="10" t="e">
        <f>(tbl_MTG_Set[[#This Row],[Play Booster Box Cost]]+v_Item_Shipping_Cost_In)/tbl_MTG_Set[[#This Row],[Play Booster Box Size]]</f>
        <v>#VALUE!</v>
      </c>
      <c r="AQ522" s="10" t="str" cm="1">
        <f t="array" ref="AQ5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2" s="10"/>
      <c r="AS522" s="10"/>
      <c r="AT522" s="17" t="e">
        <f>tbl_MTG_Set[[#This Row],[Play Booster CardMarket Profit]]/tbl_MTG_Set[[#This Row],[Play Booster Cost]]</f>
        <v>#VALUE!</v>
      </c>
      <c r="AU522" s="10" t="e">
        <f>_xlfn.XLOOKUP(tbl_MTG_Set[[#This Row],[Collector Booster Box Product Id]], tbl_Product[Product Id], tbl_Product[Min Cost])</f>
        <v>#N/A</v>
      </c>
      <c r="AV522" s="10" t="e">
        <f>_xlfn.XLOOKUP(tbl_MTG_Set[[#This Row],[Collector Booster Box Product Id]], tbl_Product[Product Id], tbl_Product[Best Source])</f>
        <v>#N/A</v>
      </c>
      <c r="AW522" s="4" t="e">
        <f>_xlfn.XLOOKUP(tbl_MTG_Set[[#This Row],[Collector Booster Box Product Id]], tbl_Product[Product Id], tbl_Product[Pack Size])</f>
        <v>#N/A</v>
      </c>
      <c r="AX522" s="10" t="e">
        <f>(tbl_MTG_Set[[#This Row],[Collector Booster Box Cost]] + v_Item_Shipping_Cost_In) / tbl_MTG_Set[[#This Row],[Collector Booster Box Size]]</f>
        <v>#N/A</v>
      </c>
      <c r="AY522" s="10" t="str" cm="1">
        <f t="array" ref="AY5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2" s="10"/>
      <c r="BA5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2" s="17" t="e">
        <f>tbl_MTG_Set[[#This Row],[Collector Booster CardMarket Profit]]/tbl_MTG_Set[[#This Row],[Collector Booster Cost]]</f>
        <v>#N/A</v>
      </c>
      <c r="BC522" s="10"/>
      <c r="BF5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2" s="11" t="e">
        <f>tbl_MTG_Set[[#This Row],[Play Singles CardMarket Profit MTG Stocks]]/tbl_MTG_Set[[#This Row],[Play Booster Cost]]</f>
        <v>#VALUE!</v>
      </c>
      <c r="BI522" s="11" t="b">
        <f>tbl_MTG_Set[[#This Row],[Play Singles CardMarket Profit MTG Stocks]]&gt;0</f>
        <v>0</v>
      </c>
      <c r="BM522" s="10" t="e">
        <f>tbl_MTG_Set[[#This Row],[Play Booster Sell Price CardMarket]]*tbl_MTG_Set[[#This Row],[Play Booster Expected Market Value BotBox]]/tbl_MTG_Set[[#This Row],[Play Booster Sealed Market Value BotBox]]</f>
        <v>#VALUE!</v>
      </c>
      <c r="BN5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2" s="10" t="e">
        <f>tbl_MTG_Set[[#This Row],[Play Singles CardMarket Profit BotBox]]/tbl_MTG_Set[[#This Row],[Play Booster Cost]]</f>
        <v>#VALUE!</v>
      </c>
      <c r="BP522" s="10" t="b">
        <f>tbl_MTG_Set[[#This Row],[Play Singles CardMarket Profit BotBox]]&gt;0</f>
        <v>0</v>
      </c>
      <c r="BQ522" s="10"/>
      <c r="BR522" s="10"/>
      <c r="BS522" s="10"/>
      <c r="BT5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2" s="19" t="e">
        <f>tbl_MTG_Set[[#This Row],[Collector Singles CardMarket Profit MTG Stocks]]/tbl_MTG_Set[[#This Row],[Collector Booster Cost]]</f>
        <v>#N/A</v>
      </c>
      <c r="BW522" s="10" t="b">
        <f>tbl_MTG_Set[[#This Row],[Collector Singles CardMarket Profit MTG Stocks]]&gt;0</f>
        <v>0</v>
      </c>
      <c r="BX522" s="10"/>
      <c r="BY522" s="10"/>
      <c r="BZ5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2" s="10" t="e">
        <f>tbl_MTG_Set[[#This Row],[Collector Singles CardMarket Profit BotBox]]/tbl_MTG_Set[[#This Row],[Collector Booster Cost]]</f>
        <v>#N/A</v>
      </c>
      <c r="CC522" s="10" t="b">
        <f>tbl_MTG_Set[[#This Row],[Collector Singles CardMarket Profit BotBox]]&gt;0</f>
        <v>0</v>
      </c>
      <c r="CD5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3" spans="1:86" hidden="1">
      <c r="A523">
        <v>554</v>
      </c>
      <c r="B523" t="s">
        <v>696</v>
      </c>
      <c r="C523">
        <v>351</v>
      </c>
      <c r="D523" s="3">
        <v>42685</v>
      </c>
      <c r="F523" t="s">
        <v>174</v>
      </c>
      <c r="G523">
        <v>1054</v>
      </c>
      <c r="H523">
        <f ca="1">MONTH(NOW())+12*YEAR(NOW())-MONTH(tbl_MTG_Set[[#This Row],[Released On]])-12*YEAR(tbl_MTG_Set[[#This Row],[Released On]])</f>
        <v>112</v>
      </c>
      <c r="I523" t="str">
        <f>_xlfn.XLOOKUP(tbl_MTG_Set[[#This Row],[Type Name]], tbl_MTG_Set_Type[Set Type], tbl_MTG_Set_Type[Index], "(Set Type not found)")</f>
        <v>(Set Type not found)</v>
      </c>
      <c r="J523" t="str">
        <f>_xlfn.XLOOKUP(tbl_MTG_Set[[#This Row],[Type Name]], tbl_MTG_Set_Type[Set Type], tbl_MTG_Set_Type[Buy Window Month Start], "(Set Type not found)")</f>
        <v>(Set Type not found)</v>
      </c>
      <c r="K523" s="3" t="e">
        <f>tbl_MTG_Set[[#This Row],[Released On]]+tbl_MTG_Set[[#This Row],[Buy Window Month Start]]*365.25/12</f>
        <v>#VALUE!</v>
      </c>
      <c r="L523" t="str">
        <f>_xlfn.XLOOKUP(tbl_MTG_Set[[#This Row],[Type Name]], tbl_MTG_Set_Type[Set Type], tbl_MTG_Set_Type[Buy Window Month End], "(Set Type not found)", 0, 1)</f>
        <v>(Set Type not found)</v>
      </c>
      <c r="M523" s="3" t="e">
        <f>tbl_MTG_Set[[#This Row],[Released On]]+tbl_MTG_Set[[#This Row],[Buy Window Month End]]*365.25/12</f>
        <v>#VALUE!</v>
      </c>
      <c r="N523" s="3" t="e">
        <f ca="1">AND(NOW()&gt;=tbl_MTG_Set[[#This Row],[Buy Window Start]], NOW()&lt;=tbl_MTG_Set[[#This Row],[Buy Window End]])</f>
        <v>#VALUE!</v>
      </c>
      <c r="O523" t="str">
        <f>_xlfn.XLOOKUP(tbl_MTG_Set[[#This Row],[Type Name]], tbl_MTG_Set_Type[Set Type], tbl_MTG_Set_Type[Heavy Printing Window Month Start], "(Set Type not found)", 0, 1)</f>
        <v>(Set Type not found)</v>
      </c>
      <c r="P523" s="3" t="e">
        <f>tbl_MTG_Set[[#This Row],[Released On]]+tbl_MTG_Set[[#This Row],[Heavy Printing Window Month Start]]*365.25/12</f>
        <v>#VALUE!</v>
      </c>
      <c r="Q523" t="str">
        <f>_xlfn.XLOOKUP(tbl_MTG_Set[[#This Row],[Type Name]], tbl_MTG_Set_Type[Set Type], tbl_MTG_Set_Type[Heavy Printing Window Month End], "(Set Type not found)", 0, 1)</f>
        <v>(Set Type not found)</v>
      </c>
      <c r="R523" s="3" t="e">
        <f>tbl_MTG_Set[[#This Row],[Released On]]+tbl_MTG_Set[[#This Row],[Heavy Printing Window Month End]]*365.25/12</f>
        <v>#VALUE!</v>
      </c>
      <c r="S523" s="3" t="e">
        <f ca="1">AND(NOW()&gt;=tbl_MTG_Set[[#This Row],[Heavy Printing Window Start]], NOW()&lt;=tbl_MTG_Set[[#This Row],[Heavy Printing Window End]])</f>
        <v>#VALUE!</v>
      </c>
      <c r="T523" t="str">
        <f>_xlfn.XLOOKUP(tbl_MTG_Set[[#This Row],[Type Name]], tbl_MTG_Set_Type[Set Type], tbl_MTG_Set_Type[Sell Window Month Start], "(Set Type not found)", 0, 1)</f>
        <v>(Set Type not found)</v>
      </c>
      <c r="U523" s="3" t="e">
        <f>tbl_MTG_Set[[#This Row],[Released On]]+tbl_MTG_Set[[#This Row],[Sell Window Month Start]]*365.25/12</f>
        <v>#VALUE!</v>
      </c>
      <c r="V523" t="str">
        <f>_xlfn.XLOOKUP(tbl_MTG_Set[[#This Row],[Type Name]], tbl_MTG_Set_Type[Set Type], tbl_MTG_Set_Type[Sell Window Month End], "(Set Type not found)", 0, 1)</f>
        <v>(Set Type not found)</v>
      </c>
      <c r="W523" s="3" t="e">
        <f>tbl_MTG_Set[[#This Row],[Released On]]+tbl_MTG_Set[[#This Row],[Sell Window Month End]]*365.25/12</f>
        <v>#VALUE!</v>
      </c>
      <c r="X523" s="3" t="e">
        <f ca="1">AND(NOW()&gt;=tbl_MTG_Set[[#This Row],[Sell Window Start]], NOW()&lt;=tbl_MTG_Set[[#This Row],[Sell Window End]])</f>
        <v>#VALUE!</v>
      </c>
      <c r="AG523" s="10"/>
      <c r="AH523" s="10"/>
      <c r="AM523" s="10" t="str" cm="1">
        <f t="array" ref="AM5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3" s="10" t="str" cm="1">
        <f t="array" ref="AN5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3" s="4" t="e">
        <f>_xlfn.XLOOKUP(tbl_MTG_Set[[#This Row],[Play Booster Box Product Id]], tbl_Product[Product Id], tbl_Product[Pack Size])</f>
        <v>#N/A</v>
      </c>
      <c r="AP523" s="10" t="e">
        <f>(tbl_MTG_Set[[#This Row],[Play Booster Box Cost]]+v_Item_Shipping_Cost_In)/tbl_MTG_Set[[#This Row],[Play Booster Box Size]]</f>
        <v>#VALUE!</v>
      </c>
      <c r="AQ523" s="10" t="str" cm="1">
        <f t="array" ref="AQ5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3" s="10"/>
      <c r="AS523" s="10"/>
      <c r="AT523" s="17" t="e">
        <f>tbl_MTG_Set[[#This Row],[Play Booster CardMarket Profit]]/tbl_MTG_Set[[#This Row],[Play Booster Cost]]</f>
        <v>#VALUE!</v>
      </c>
      <c r="AU523" s="10" t="e">
        <f>_xlfn.XLOOKUP(tbl_MTG_Set[[#This Row],[Collector Booster Box Product Id]], tbl_Product[Product Id], tbl_Product[Min Cost])</f>
        <v>#N/A</v>
      </c>
      <c r="AV523" s="10" t="e">
        <f>_xlfn.XLOOKUP(tbl_MTG_Set[[#This Row],[Collector Booster Box Product Id]], tbl_Product[Product Id], tbl_Product[Best Source])</f>
        <v>#N/A</v>
      </c>
      <c r="AW523" s="4" t="e">
        <f>_xlfn.XLOOKUP(tbl_MTG_Set[[#This Row],[Collector Booster Box Product Id]], tbl_Product[Product Id], tbl_Product[Pack Size])</f>
        <v>#N/A</v>
      </c>
      <c r="AX523" s="10" t="e">
        <f>(tbl_MTG_Set[[#This Row],[Collector Booster Box Cost]] + v_Item_Shipping_Cost_In) / tbl_MTG_Set[[#This Row],[Collector Booster Box Size]]</f>
        <v>#N/A</v>
      </c>
      <c r="AY523" s="10" t="str" cm="1">
        <f t="array" ref="AY5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3" s="10"/>
      <c r="BA5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3" s="17" t="e">
        <f>tbl_MTG_Set[[#This Row],[Collector Booster CardMarket Profit]]/tbl_MTG_Set[[#This Row],[Collector Booster Cost]]</f>
        <v>#N/A</v>
      </c>
      <c r="BC523" s="10"/>
      <c r="BF5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3" s="11" t="e">
        <f>tbl_MTG_Set[[#This Row],[Play Singles CardMarket Profit MTG Stocks]]/tbl_MTG_Set[[#This Row],[Play Booster Cost]]</f>
        <v>#VALUE!</v>
      </c>
      <c r="BI523" s="11" t="b">
        <f>tbl_MTG_Set[[#This Row],[Play Singles CardMarket Profit MTG Stocks]]&gt;0</f>
        <v>0</v>
      </c>
      <c r="BM523" s="10" t="e">
        <f>tbl_MTG_Set[[#This Row],[Play Booster Sell Price CardMarket]]*tbl_MTG_Set[[#This Row],[Play Booster Expected Market Value BotBox]]/tbl_MTG_Set[[#This Row],[Play Booster Sealed Market Value BotBox]]</f>
        <v>#VALUE!</v>
      </c>
      <c r="BN5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3" s="10" t="e">
        <f>tbl_MTG_Set[[#This Row],[Play Singles CardMarket Profit BotBox]]/tbl_MTG_Set[[#This Row],[Play Booster Cost]]</f>
        <v>#VALUE!</v>
      </c>
      <c r="BP523" s="10" t="b">
        <f>tbl_MTG_Set[[#This Row],[Play Singles CardMarket Profit BotBox]]&gt;0</f>
        <v>0</v>
      </c>
      <c r="BQ523" s="10"/>
      <c r="BR523" s="10"/>
      <c r="BS523" s="10"/>
      <c r="BT5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3" s="19" t="e">
        <f>tbl_MTG_Set[[#This Row],[Collector Singles CardMarket Profit MTG Stocks]]/tbl_MTG_Set[[#This Row],[Collector Booster Cost]]</f>
        <v>#N/A</v>
      </c>
      <c r="BW523" s="10" t="b">
        <f>tbl_MTG_Set[[#This Row],[Collector Singles CardMarket Profit MTG Stocks]]&gt;0</f>
        <v>0</v>
      </c>
      <c r="BX523" s="10"/>
      <c r="BY523" s="10"/>
      <c r="BZ5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3" s="10" t="e">
        <f>tbl_MTG_Set[[#This Row],[Collector Singles CardMarket Profit BotBox]]/tbl_MTG_Set[[#This Row],[Collector Booster Cost]]</f>
        <v>#N/A</v>
      </c>
      <c r="CC523" s="10" t="b">
        <f>tbl_MTG_Set[[#This Row],[Collector Singles CardMarket Profit BotBox]]&gt;0</f>
        <v>0</v>
      </c>
      <c r="CD5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4" spans="1:86" hidden="1">
      <c r="A524">
        <v>555</v>
      </c>
      <c r="B524" t="s">
        <v>697</v>
      </c>
      <c r="C524">
        <v>21</v>
      </c>
      <c r="D524" s="3">
        <v>42685</v>
      </c>
      <c r="F524" t="s">
        <v>174</v>
      </c>
      <c r="G524">
        <v>1056</v>
      </c>
      <c r="H524">
        <f ca="1">MONTH(NOW())+12*YEAR(NOW())-MONTH(tbl_MTG_Set[[#This Row],[Released On]])-12*YEAR(tbl_MTG_Set[[#This Row],[Released On]])</f>
        <v>112</v>
      </c>
      <c r="I524" t="str">
        <f>_xlfn.XLOOKUP(tbl_MTG_Set[[#This Row],[Type Name]], tbl_MTG_Set_Type[Set Type], tbl_MTG_Set_Type[Index], "(Set Type not found)")</f>
        <v>(Set Type not found)</v>
      </c>
      <c r="J524" t="str">
        <f>_xlfn.XLOOKUP(tbl_MTG_Set[[#This Row],[Type Name]], tbl_MTG_Set_Type[Set Type], tbl_MTG_Set_Type[Buy Window Month Start], "(Set Type not found)")</f>
        <v>(Set Type not found)</v>
      </c>
      <c r="K524" s="3" t="e">
        <f>tbl_MTG_Set[[#This Row],[Released On]]+tbl_MTG_Set[[#This Row],[Buy Window Month Start]]*365.25/12</f>
        <v>#VALUE!</v>
      </c>
      <c r="L524" t="str">
        <f>_xlfn.XLOOKUP(tbl_MTG_Set[[#This Row],[Type Name]], tbl_MTG_Set_Type[Set Type], tbl_MTG_Set_Type[Buy Window Month End], "(Set Type not found)", 0, 1)</f>
        <v>(Set Type not found)</v>
      </c>
      <c r="M524" s="3" t="e">
        <f>tbl_MTG_Set[[#This Row],[Released On]]+tbl_MTG_Set[[#This Row],[Buy Window Month End]]*365.25/12</f>
        <v>#VALUE!</v>
      </c>
      <c r="N524" s="3" t="e">
        <f ca="1">AND(NOW()&gt;=tbl_MTG_Set[[#This Row],[Buy Window Start]], NOW()&lt;=tbl_MTG_Set[[#This Row],[Buy Window End]])</f>
        <v>#VALUE!</v>
      </c>
      <c r="O524" t="str">
        <f>_xlfn.XLOOKUP(tbl_MTG_Set[[#This Row],[Type Name]], tbl_MTG_Set_Type[Set Type], tbl_MTG_Set_Type[Heavy Printing Window Month Start], "(Set Type not found)", 0, 1)</f>
        <v>(Set Type not found)</v>
      </c>
      <c r="P524" s="3" t="e">
        <f>tbl_MTG_Set[[#This Row],[Released On]]+tbl_MTG_Set[[#This Row],[Heavy Printing Window Month Start]]*365.25/12</f>
        <v>#VALUE!</v>
      </c>
      <c r="Q524" t="str">
        <f>_xlfn.XLOOKUP(tbl_MTG_Set[[#This Row],[Type Name]], tbl_MTG_Set_Type[Set Type], tbl_MTG_Set_Type[Heavy Printing Window Month End], "(Set Type not found)", 0, 1)</f>
        <v>(Set Type not found)</v>
      </c>
      <c r="R524" s="3" t="e">
        <f>tbl_MTG_Set[[#This Row],[Released On]]+tbl_MTG_Set[[#This Row],[Heavy Printing Window Month End]]*365.25/12</f>
        <v>#VALUE!</v>
      </c>
      <c r="S524" s="3" t="e">
        <f ca="1">AND(NOW()&gt;=tbl_MTG_Set[[#This Row],[Heavy Printing Window Start]], NOW()&lt;=tbl_MTG_Set[[#This Row],[Heavy Printing Window End]])</f>
        <v>#VALUE!</v>
      </c>
      <c r="T524" t="str">
        <f>_xlfn.XLOOKUP(tbl_MTG_Set[[#This Row],[Type Name]], tbl_MTG_Set_Type[Set Type], tbl_MTG_Set_Type[Sell Window Month Start], "(Set Type not found)", 0, 1)</f>
        <v>(Set Type not found)</v>
      </c>
      <c r="U524" s="3" t="e">
        <f>tbl_MTG_Set[[#This Row],[Released On]]+tbl_MTG_Set[[#This Row],[Sell Window Month Start]]*365.25/12</f>
        <v>#VALUE!</v>
      </c>
      <c r="V524" t="str">
        <f>_xlfn.XLOOKUP(tbl_MTG_Set[[#This Row],[Type Name]], tbl_MTG_Set_Type[Set Type], tbl_MTG_Set_Type[Sell Window Month End], "(Set Type not found)", 0, 1)</f>
        <v>(Set Type not found)</v>
      </c>
      <c r="W524" s="3" t="e">
        <f>tbl_MTG_Set[[#This Row],[Released On]]+tbl_MTG_Set[[#This Row],[Sell Window Month End]]*365.25/12</f>
        <v>#VALUE!</v>
      </c>
      <c r="X524" s="3" t="e">
        <f ca="1">AND(NOW()&gt;=tbl_MTG_Set[[#This Row],[Sell Window Start]], NOW()&lt;=tbl_MTG_Set[[#This Row],[Sell Window End]])</f>
        <v>#VALUE!</v>
      </c>
      <c r="AG524" s="10"/>
      <c r="AH524" s="10"/>
      <c r="AM524" s="10" t="str" cm="1">
        <f t="array" ref="AM5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4" s="10" t="str" cm="1">
        <f t="array" ref="AN5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4" s="4" t="e">
        <f>_xlfn.XLOOKUP(tbl_MTG_Set[[#This Row],[Play Booster Box Product Id]], tbl_Product[Product Id], tbl_Product[Pack Size])</f>
        <v>#N/A</v>
      </c>
      <c r="AP524" s="10" t="e">
        <f>(tbl_MTG_Set[[#This Row],[Play Booster Box Cost]]+v_Item_Shipping_Cost_In)/tbl_MTG_Set[[#This Row],[Play Booster Box Size]]</f>
        <v>#VALUE!</v>
      </c>
      <c r="AQ524" s="10" t="str" cm="1">
        <f t="array" ref="AQ5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4" s="10"/>
      <c r="AS524" s="10"/>
      <c r="AT524" s="17" t="e">
        <f>tbl_MTG_Set[[#This Row],[Play Booster CardMarket Profit]]/tbl_MTG_Set[[#This Row],[Play Booster Cost]]</f>
        <v>#VALUE!</v>
      </c>
      <c r="AU524" s="10" t="e">
        <f>_xlfn.XLOOKUP(tbl_MTG_Set[[#This Row],[Collector Booster Box Product Id]], tbl_Product[Product Id], tbl_Product[Min Cost])</f>
        <v>#N/A</v>
      </c>
      <c r="AV524" s="10" t="e">
        <f>_xlfn.XLOOKUP(tbl_MTG_Set[[#This Row],[Collector Booster Box Product Id]], tbl_Product[Product Id], tbl_Product[Best Source])</f>
        <v>#N/A</v>
      </c>
      <c r="AW524" s="4" t="e">
        <f>_xlfn.XLOOKUP(tbl_MTG_Set[[#This Row],[Collector Booster Box Product Id]], tbl_Product[Product Id], tbl_Product[Pack Size])</f>
        <v>#N/A</v>
      </c>
      <c r="AX524" s="10" t="e">
        <f>(tbl_MTG_Set[[#This Row],[Collector Booster Box Cost]] + v_Item_Shipping_Cost_In) / tbl_MTG_Set[[#This Row],[Collector Booster Box Size]]</f>
        <v>#N/A</v>
      </c>
      <c r="AY524" s="10" t="str" cm="1">
        <f t="array" ref="AY5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4" s="10"/>
      <c r="BA5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4" s="17" t="e">
        <f>tbl_MTG_Set[[#This Row],[Collector Booster CardMarket Profit]]/tbl_MTG_Set[[#This Row],[Collector Booster Cost]]</f>
        <v>#N/A</v>
      </c>
      <c r="BC524" s="10"/>
      <c r="BF5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4" s="11" t="e">
        <f>tbl_MTG_Set[[#This Row],[Play Singles CardMarket Profit MTG Stocks]]/tbl_MTG_Set[[#This Row],[Play Booster Cost]]</f>
        <v>#VALUE!</v>
      </c>
      <c r="BI524" s="11" t="b">
        <f>tbl_MTG_Set[[#This Row],[Play Singles CardMarket Profit MTG Stocks]]&gt;0</f>
        <v>0</v>
      </c>
      <c r="BM524" s="10" t="e">
        <f>tbl_MTG_Set[[#This Row],[Play Booster Sell Price CardMarket]]*tbl_MTG_Set[[#This Row],[Play Booster Expected Market Value BotBox]]/tbl_MTG_Set[[#This Row],[Play Booster Sealed Market Value BotBox]]</f>
        <v>#VALUE!</v>
      </c>
      <c r="BN5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4" s="10" t="e">
        <f>tbl_MTG_Set[[#This Row],[Play Singles CardMarket Profit BotBox]]/tbl_MTG_Set[[#This Row],[Play Booster Cost]]</f>
        <v>#VALUE!</v>
      </c>
      <c r="BP524" s="10" t="b">
        <f>tbl_MTG_Set[[#This Row],[Play Singles CardMarket Profit BotBox]]&gt;0</f>
        <v>0</v>
      </c>
      <c r="BQ524" s="10"/>
      <c r="BR524" s="10"/>
      <c r="BS524" s="10"/>
      <c r="BT5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4" s="19" t="e">
        <f>tbl_MTG_Set[[#This Row],[Collector Singles CardMarket Profit MTG Stocks]]/tbl_MTG_Set[[#This Row],[Collector Booster Cost]]</f>
        <v>#N/A</v>
      </c>
      <c r="BW524" s="10" t="b">
        <f>tbl_MTG_Set[[#This Row],[Collector Singles CardMarket Profit MTG Stocks]]&gt;0</f>
        <v>0</v>
      </c>
      <c r="BX524" s="10"/>
      <c r="BY524" s="10"/>
      <c r="BZ5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4" s="10" t="e">
        <f>tbl_MTG_Set[[#This Row],[Collector Singles CardMarket Profit BotBox]]/tbl_MTG_Set[[#This Row],[Collector Booster Cost]]</f>
        <v>#N/A</v>
      </c>
      <c r="CC524" s="10" t="b">
        <f>tbl_MTG_Set[[#This Row],[Collector Singles CardMarket Profit BotBox]]&gt;0</f>
        <v>0</v>
      </c>
      <c r="CD5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5" spans="1:86" hidden="1">
      <c r="A525">
        <v>556</v>
      </c>
      <c r="B525" t="s">
        <v>698</v>
      </c>
      <c r="C525">
        <v>5</v>
      </c>
      <c r="D525" s="3">
        <v>42685</v>
      </c>
      <c r="F525" t="s">
        <v>174</v>
      </c>
      <c r="G525">
        <v>1058</v>
      </c>
      <c r="H525">
        <f ca="1">MONTH(NOW())+12*YEAR(NOW())-MONTH(tbl_MTG_Set[[#This Row],[Released On]])-12*YEAR(tbl_MTG_Set[[#This Row],[Released On]])</f>
        <v>112</v>
      </c>
      <c r="I525" t="str">
        <f>_xlfn.XLOOKUP(tbl_MTG_Set[[#This Row],[Type Name]], tbl_MTG_Set_Type[Set Type], tbl_MTG_Set_Type[Index], "(Set Type not found)")</f>
        <v>(Set Type not found)</v>
      </c>
      <c r="J525" t="str">
        <f>_xlfn.XLOOKUP(tbl_MTG_Set[[#This Row],[Type Name]], tbl_MTG_Set_Type[Set Type], tbl_MTG_Set_Type[Buy Window Month Start], "(Set Type not found)")</f>
        <v>(Set Type not found)</v>
      </c>
      <c r="K525" s="3" t="e">
        <f>tbl_MTG_Set[[#This Row],[Released On]]+tbl_MTG_Set[[#This Row],[Buy Window Month Start]]*365.25/12</f>
        <v>#VALUE!</v>
      </c>
      <c r="L525" t="str">
        <f>_xlfn.XLOOKUP(tbl_MTG_Set[[#This Row],[Type Name]], tbl_MTG_Set_Type[Set Type], tbl_MTG_Set_Type[Buy Window Month End], "(Set Type not found)", 0, 1)</f>
        <v>(Set Type not found)</v>
      </c>
      <c r="M525" s="3" t="e">
        <f>tbl_MTG_Set[[#This Row],[Released On]]+tbl_MTG_Set[[#This Row],[Buy Window Month End]]*365.25/12</f>
        <v>#VALUE!</v>
      </c>
      <c r="N525" s="3" t="e">
        <f ca="1">AND(NOW()&gt;=tbl_MTG_Set[[#This Row],[Buy Window Start]], NOW()&lt;=tbl_MTG_Set[[#This Row],[Buy Window End]])</f>
        <v>#VALUE!</v>
      </c>
      <c r="O525" t="str">
        <f>_xlfn.XLOOKUP(tbl_MTG_Set[[#This Row],[Type Name]], tbl_MTG_Set_Type[Set Type], tbl_MTG_Set_Type[Heavy Printing Window Month Start], "(Set Type not found)", 0, 1)</f>
        <v>(Set Type not found)</v>
      </c>
      <c r="P525" s="3" t="e">
        <f>tbl_MTG_Set[[#This Row],[Released On]]+tbl_MTG_Set[[#This Row],[Heavy Printing Window Month Start]]*365.25/12</f>
        <v>#VALUE!</v>
      </c>
      <c r="Q525" t="str">
        <f>_xlfn.XLOOKUP(tbl_MTG_Set[[#This Row],[Type Name]], tbl_MTG_Set_Type[Set Type], tbl_MTG_Set_Type[Heavy Printing Window Month End], "(Set Type not found)", 0, 1)</f>
        <v>(Set Type not found)</v>
      </c>
      <c r="R525" s="3" t="e">
        <f>tbl_MTG_Set[[#This Row],[Released On]]+tbl_MTG_Set[[#This Row],[Heavy Printing Window Month End]]*365.25/12</f>
        <v>#VALUE!</v>
      </c>
      <c r="S525" s="3" t="e">
        <f ca="1">AND(NOW()&gt;=tbl_MTG_Set[[#This Row],[Heavy Printing Window Start]], NOW()&lt;=tbl_MTG_Set[[#This Row],[Heavy Printing Window End]])</f>
        <v>#VALUE!</v>
      </c>
      <c r="T525" t="str">
        <f>_xlfn.XLOOKUP(tbl_MTG_Set[[#This Row],[Type Name]], tbl_MTG_Set_Type[Set Type], tbl_MTG_Set_Type[Sell Window Month Start], "(Set Type not found)", 0, 1)</f>
        <v>(Set Type not found)</v>
      </c>
      <c r="U525" s="3" t="e">
        <f>tbl_MTG_Set[[#This Row],[Released On]]+tbl_MTG_Set[[#This Row],[Sell Window Month Start]]*365.25/12</f>
        <v>#VALUE!</v>
      </c>
      <c r="V525" t="str">
        <f>_xlfn.XLOOKUP(tbl_MTG_Set[[#This Row],[Type Name]], tbl_MTG_Set_Type[Set Type], tbl_MTG_Set_Type[Sell Window Month End], "(Set Type not found)", 0, 1)</f>
        <v>(Set Type not found)</v>
      </c>
      <c r="W525" s="3" t="e">
        <f>tbl_MTG_Set[[#This Row],[Released On]]+tbl_MTG_Set[[#This Row],[Sell Window Month End]]*365.25/12</f>
        <v>#VALUE!</v>
      </c>
      <c r="X525" s="3" t="e">
        <f ca="1">AND(NOW()&gt;=tbl_MTG_Set[[#This Row],[Sell Window Start]], NOW()&lt;=tbl_MTG_Set[[#This Row],[Sell Window End]])</f>
        <v>#VALUE!</v>
      </c>
      <c r="AG525" s="10"/>
      <c r="AH525" s="10"/>
      <c r="AM525" s="10" t="str" cm="1">
        <f t="array" ref="AM5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5" s="10" t="str" cm="1">
        <f t="array" ref="AN5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5" s="4" t="e">
        <f>_xlfn.XLOOKUP(tbl_MTG_Set[[#This Row],[Play Booster Box Product Id]], tbl_Product[Product Id], tbl_Product[Pack Size])</f>
        <v>#N/A</v>
      </c>
      <c r="AP525" s="10" t="e">
        <f>(tbl_MTG_Set[[#This Row],[Play Booster Box Cost]]+v_Item_Shipping_Cost_In)/tbl_MTG_Set[[#This Row],[Play Booster Box Size]]</f>
        <v>#VALUE!</v>
      </c>
      <c r="AQ525" s="10" t="str" cm="1">
        <f t="array" ref="AQ5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5" s="10"/>
      <c r="AS525" s="10"/>
      <c r="AT525" s="17" t="e">
        <f>tbl_MTG_Set[[#This Row],[Play Booster CardMarket Profit]]/tbl_MTG_Set[[#This Row],[Play Booster Cost]]</f>
        <v>#VALUE!</v>
      </c>
      <c r="AU525" s="10" t="e">
        <f>_xlfn.XLOOKUP(tbl_MTG_Set[[#This Row],[Collector Booster Box Product Id]], tbl_Product[Product Id], tbl_Product[Min Cost])</f>
        <v>#N/A</v>
      </c>
      <c r="AV525" s="10" t="e">
        <f>_xlfn.XLOOKUP(tbl_MTG_Set[[#This Row],[Collector Booster Box Product Id]], tbl_Product[Product Id], tbl_Product[Best Source])</f>
        <v>#N/A</v>
      </c>
      <c r="AW525" s="4" t="e">
        <f>_xlfn.XLOOKUP(tbl_MTG_Set[[#This Row],[Collector Booster Box Product Id]], tbl_Product[Product Id], tbl_Product[Pack Size])</f>
        <v>#N/A</v>
      </c>
      <c r="AX525" s="10" t="e">
        <f>(tbl_MTG_Set[[#This Row],[Collector Booster Box Cost]] + v_Item_Shipping_Cost_In) / tbl_MTG_Set[[#This Row],[Collector Booster Box Size]]</f>
        <v>#N/A</v>
      </c>
      <c r="AY525" s="10" t="str" cm="1">
        <f t="array" ref="AY5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5" s="10"/>
      <c r="BA5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5" s="17" t="e">
        <f>tbl_MTG_Set[[#This Row],[Collector Booster CardMarket Profit]]/tbl_MTG_Set[[#This Row],[Collector Booster Cost]]</f>
        <v>#N/A</v>
      </c>
      <c r="BC525" s="10"/>
      <c r="BF5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5" s="11" t="e">
        <f>tbl_MTG_Set[[#This Row],[Play Singles CardMarket Profit MTG Stocks]]/tbl_MTG_Set[[#This Row],[Play Booster Cost]]</f>
        <v>#VALUE!</v>
      </c>
      <c r="BI525" s="11" t="b">
        <f>tbl_MTG_Set[[#This Row],[Play Singles CardMarket Profit MTG Stocks]]&gt;0</f>
        <v>0</v>
      </c>
      <c r="BM525" s="10" t="e">
        <f>tbl_MTG_Set[[#This Row],[Play Booster Sell Price CardMarket]]*tbl_MTG_Set[[#This Row],[Play Booster Expected Market Value BotBox]]/tbl_MTG_Set[[#This Row],[Play Booster Sealed Market Value BotBox]]</f>
        <v>#VALUE!</v>
      </c>
      <c r="BN5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5" s="10" t="e">
        <f>tbl_MTG_Set[[#This Row],[Play Singles CardMarket Profit BotBox]]/tbl_MTG_Set[[#This Row],[Play Booster Cost]]</f>
        <v>#VALUE!</v>
      </c>
      <c r="BP525" s="10" t="b">
        <f>tbl_MTG_Set[[#This Row],[Play Singles CardMarket Profit BotBox]]&gt;0</f>
        <v>0</v>
      </c>
      <c r="BQ525" s="10"/>
      <c r="BR525" s="10"/>
      <c r="BS525" s="10"/>
      <c r="BT5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5" s="19" t="e">
        <f>tbl_MTG_Set[[#This Row],[Collector Singles CardMarket Profit MTG Stocks]]/tbl_MTG_Set[[#This Row],[Collector Booster Cost]]</f>
        <v>#N/A</v>
      </c>
      <c r="BW525" s="10" t="b">
        <f>tbl_MTG_Set[[#This Row],[Collector Singles CardMarket Profit MTG Stocks]]&gt;0</f>
        <v>0</v>
      </c>
      <c r="BX525" s="10"/>
      <c r="BY525" s="10"/>
      <c r="BZ5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5" s="10" t="e">
        <f>tbl_MTG_Set[[#This Row],[Collector Singles CardMarket Profit BotBox]]/tbl_MTG_Set[[#This Row],[Collector Booster Cost]]</f>
        <v>#N/A</v>
      </c>
      <c r="CC525" s="10" t="b">
        <f>tbl_MTG_Set[[#This Row],[Collector Singles CardMarket Profit BotBox]]&gt;0</f>
        <v>0</v>
      </c>
      <c r="CD5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6" spans="1:86" hidden="1">
      <c r="A526">
        <v>557</v>
      </c>
      <c r="B526" t="s">
        <v>699</v>
      </c>
      <c r="C526">
        <v>5</v>
      </c>
      <c r="D526" s="3">
        <v>42644</v>
      </c>
      <c r="F526" t="s">
        <v>174</v>
      </c>
      <c r="G526">
        <v>1060</v>
      </c>
      <c r="H526">
        <f ca="1">MONTH(NOW())+12*YEAR(NOW())-MONTH(tbl_MTG_Set[[#This Row],[Released On]])-12*YEAR(tbl_MTG_Set[[#This Row],[Released On]])</f>
        <v>113</v>
      </c>
      <c r="I526" t="str">
        <f>_xlfn.XLOOKUP(tbl_MTG_Set[[#This Row],[Type Name]], tbl_MTG_Set_Type[Set Type], tbl_MTG_Set_Type[Index], "(Set Type not found)")</f>
        <v>(Set Type not found)</v>
      </c>
      <c r="J526" t="str">
        <f>_xlfn.XLOOKUP(tbl_MTG_Set[[#This Row],[Type Name]], tbl_MTG_Set_Type[Set Type], tbl_MTG_Set_Type[Buy Window Month Start], "(Set Type not found)")</f>
        <v>(Set Type not found)</v>
      </c>
      <c r="K526" s="3" t="e">
        <f>tbl_MTG_Set[[#This Row],[Released On]]+tbl_MTG_Set[[#This Row],[Buy Window Month Start]]*365.25/12</f>
        <v>#VALUE!</v>
      </c>
      <c r="L526" t="str">
        <f>_xlfn.XLOOKUP(tbl_MTG_Set[[#This Row],[Type Name]], tbl_MTG_Set_Type[Set Type], tbl_MTG_Set_Type[Buy Window Month End], "(Set Type not found)", 0, 1)</f>
        <v>(Set Type not found)</v>
      </c>
      <c r="M526" s="3" t="e">
        <f>tbl_MTG_Set[[#This Row],[Released On]]+tbl_MTG_Set[[#This Row],[Buy Window Month End]]*365.25/12</f>
        <v>#VALUE!</v>
      </c>
      <c r="N526" s="3" t="e">
        <f ca="1">AND(NOW()&gt;=tbl_MTG_Set[[#This Row],[Buy Window Start]], NOW()&lt;=tbl_MTG_Set[[#This Row],[Buy Window End]])</f>
        <v>#VALUE!</v>
      </c>
      <c r="O526" t="str">
        <f>_xlfn.XLOOKUP(tbl_MTG_Set[[#This Row],[Type Name]], tbl_MTG_Set_Type[Set Type], tbl_MTG_Set_Type[Heavy Printing Window Month Start], "(Set Type not found)", 0, 1)</f>
        <v>(Set Type not found)</v>
      </c>
      <c r="P526" s="3" t="e">
        <f>tbl_MTG_Set[[#This Row],[Released On]]+tbl_MTG_Set[[#This Row],[Heavy Printing Window Month Start]]*365.25/12</f>
        <v>#VALUE!</v>
      </c>
      <c r="Q526" t="str">
        <f>_xlfn.XLOOKUP(tbl_MTG_Set[[#This Row],[Type Name]], tbl_MTG_Set_Type[Set Type], tbl_MTG_Set_Type[Heavy Printing Window Month End], "(Set Type not found)", 0, 1)</f>
        <v>(Set Type not found)</v>
      </c>
      <c r="R526" s="3" t="e">
        <f>tbl_MTG_Set[[#This Row],[Released On]]+tbl_MTG_Set[[#This Row],[Heavy Printing Window Month End]]*365.25/12</f>
        <v>#VALUE!</v>
      </c>
      <c r="S526" s="3" t="e">
        <f ca="1">AND(NOW()&gt;=tbl_MTG_Set[[#This Row],[Heavy Printing Window Start]], NOW()&lt;=tbl_MTG_Set[[#This Row],[Heavy Printing Window End]])</f>
        <v>#VALUE!</v>
      </c>
      <c r="T526" t="str">
        <f>_xlfn.XLOOKUP(tbl_MTG_Set[[#This Row],[Type Name]], tbl_MTG_Set_Type[Set Type], tbl_MTG_Set_Type[Sell Window Month Start], "(Set Type not found)", 0, 1)</f>
        <v>(Set Type not found)</v>
      </c>
      <c r="U526" s="3" t="e">
        <f>tbl_MTG_Set[[#This Row],[Released On]]+tbl_MTG_Set[[#This Row],[Sell Window Month Start]]*365.25/12</f>
        <v>#VALUE!</v>
      </c>
      <c r="V526" t="str">
        <f>_xlfn.XLOOKUP(tbl_MTG_Set[[#This Row],[Type Name]], tbl_MTG_Set_Type[Set Type], tbl_MTG_Set_Type[Sell Window Month End], "(Set Type not found)", 0, 1)</f>
        <v>(Set Type not found)</v>
      </c>
      <c r="W526" s="3" t="e">
        <f>tbl_MTG_Set[[#This Row],[Released On]]+tbl_MTG_Set[[#This Row],[Sell Window Month End]]*365.25/12</f>
        <v>#VALUE!</v>
      </c>
      <c r="X526" s="3" t="e">
        <f ca="1">AND(NOW()&gt;=tbl_MTG_Set[[#This Row],[Sell Window Start]], NOW()&lt;=tbl_MTG_Set[[#This Row],[Sell Window End]])</f>
        <v>#VALUE!</v>
      </c>
      <c r="AG526" s="10"/>
      <c r="AH526" s="10"/>
      <c r="AM526" s="10" t="str" cm="1">
        <f t="array" ref="AM5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6" s="10" t="str" cm="1">
        <f t="array" ref="AN5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6" s="4" t="e">
        <f>_xlfn.XLOOKUP(tbl_MTG_Set[[#This Row],[Play Booster Box Product Id]], tbl_Product[Product Id], tbl_Product[Pack Size])</f>
        <v>#N/A</v>
      </c>
      <c r="AP526" s="10" t="e">
        <f>(tbl_MTG_Set[[#This Row],[Play Booster Box Cost]]+v_Item_Shipping_Cost_In)/tbl_MTG_Set[[#This Row],[Play Booster Box Size]]</f>
        <v>#VALUE!</v>
      </c>
      <c r="AQ526" s="10" t="str" cm="1">
        <f t="array" ref="AQ5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6" s="10"/>
      <c r="AS526" s="10"/>
      <c r="AT526" s="17" t="e">
        <f>tbl_MTG_Set[[#This Row],[Play Booster CardMarket Profit]]/tbl_MTG_Set[[#This Row],[Play Booster Cost]]</f>
        <v>#VALUE!</v>
      </c>
      <c r="AU526" s="10" t="e">
        <f>_xlfn.XLOOKUP(tbl_MTG_Set[[#This Row],[Collector Booster Box Product Id]], tbl_Product[Product Id], tbl_Product[Min Cost])</f>
        <v>#N/A</v>
      </c>
      <c r="AV526" s="10" t="e">
        <f>_xlfn.XLOOKUP(tbl_MTG_Set[[#This Row],[Collector Booster Box Product Id]], tbl_Product[Product Id], tbl_Product[Best Source])</f>
        <v>#N/A</v>
      </c>
      <c r="AW526" s="4" t="e">
        <f>_xlfn.XLOOKUP(tbl_MTG_Set[[#This Row],[Collector Booster Box Product Id]], tbl_Product[Product Id], tbl_Product[Pack Size])</f>
        <v>#N/A</v>
      </c>
      <c r="AX526" s="10" t="e">
        <f>(tbl_MTG_Set[[#This Row],[Collector Booster Box Cost]] + v_Item_Shipping_Cost_In) / tbl_MTG_Set[[#This Row],[Collector Booster Box Size]]</f>
        <v>#N/A</v>
      </c>
      <c r="AY526" s="10" t="str" cm="1">
        <f t="array" ref="AY5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6" s="10"/>
      <c r="BA5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6" s="17" t="e">
        <f>tbl_MTG_Set[[#This Row],[Collector Booster CardMarket Profit]]/tbl_MTG_Set[[#This Row],[Collector Booster Cost]]</f>
        <v>#N/A</v>
      </c>
      <c r="BC526" s="10"/>
      <c r="BF5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6" s="11" t="e">
        <f>tbl_MTG_Set[[#This Row],[Play Singles CardMarket Profit MTG Stocks]]/tbl_MTG_Set[[#This Row],[Play Booster Cost]]</f>
        <v>#VALUE!</v>
      </c>
      <c r="BI526" s="11" t="b">
        <f>tbl_MTG_Set[[#This Row],[Play Singles CardMarket Profit MTG Stocks]]&gt;0</f>
        <v>0</v>
      </c>
      <c r="BM526" s="10" t="e">
        <f>tbl_MTG_Set[[#This Row],[Play Booster Sell Price CardMarket]]*tbl_MTG_Set[[#This Row],[Play Booster Expected Market Value BotBox]]/tbl_MTG_Set[[#This Row],[Play Booster Sealed Market Value BotBox]]</f>
        <v>#VALUE!</v>
      </c>
      <c r="BN5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6" s="10" t="e">
        <f>tbl_MTG_Set[[#This Row],[Play Singles CardMarket Profit BotBox]]/tbl_MTG_Set[[#This Row],[Play Booster Cost]]</f>
        <v>#VALUE!</v>
      </c>
      <c r="BP526" s="10" t="b">
        <f>tbl_MTG_Set[[#This Row],[Play Singles CardMarket Profit BotBox]]&gt;0</f>
        <v>0</v>
      </c>
      <c r="BQ526" s="10"/>
      <c r="BR526" s="10"/>
      <c r="BS526" s="10"/>
      <c r="BT5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6" s="19" t="e">
        <f>tbl_MTG_Set[[#This Row],[Collector Singles CardMarket Profit MTG Stocks]]/tbl_MTG_Set[[#This Row],[Collector Booster Cost]]</f>
        <v>#N/A</v>
      </c>
      <c r="BW526" s="10" t="b">
        <f>tbl_MTG_Set[[#This Row],[Collector Singles CardMarket Profit MTG Stocks]]&gt;0</f>
        <v>0</v>
      </c>
      <c r="BX526" s="10"/>
      <c r="BY526" s="10"/>
      <c r="BZ5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6" s="10" t="e">
        <f>tbl_MTG_Set[[#This Row],[Collector Singles CardMarket Profit BotBox]]/tbl_MTG_Set[[#This Row],[Collector Booster Cost]]</f>
        <v>#N/A</v>
      </c>
      <c r="CC526" s="10" t="b">
        <f>tbl_MTG_Set[[#This Row],[Collector Singles CardMarket Profit BotBox]]&gt;0</f>
        <v>0</v>
      </c>
      <c r="CD5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7" spans="1:86" hidden="1">
      <c r="A527">
        <v>558</v>
      </c>
      <c r="B527" t="s">
        <v>700</v>
      </c>
      <c r="C527">
        <v>278</v>
      </c>
      <c r="D527" s="3">
        <v>42643</v>
      </c>
      <c r="F527" t="s">
        <v>174</v>
      </c>
      <c r="G527">
        <v>1062</v>
      </c>
      <c r="H527">
        <f ca="1">MONTH(NOW())+12*YEAR(NOW())-MONTH(tbl_MTG_Set[[#This Row],[Released On]])-12*YEAR(tbl_MTG_Set[[#This Row],[Released On]])</f>
        <v>114</v>
      </c>
      <c r="I527" t="str">
        <f>_xlfn.XLOOKUP(tbl_MTG_Set[[#This Row],[Type Name]], tbl_MTG_Set_Type[Set Type], tbl_MTG_Set_Type[Index], "(Set Type not found)")</f>
        <v>(Set Type not found)</v>
      </c>
      <c r="J527" t="str">
        <f>_xlfn.XLOOKUP(tbl_MTG_Set[[#This Row],[Type Name]], tbl_MTG_Set_Type[Set Type], tbl_MTG_Set_Type[Buy Window Month Start], "(Set Type not found)")</f>
        <v>(Set Type not found)</v>
      </c>
      <c r="K527" s="3" t="e">
        <f>tbl_MTG_Set[[#This Row],[Released On]]+tbl_MTG_Set[[#This Row],[Buy Window Month Start]]*365.25/12</f>
        <v>#VALUE!</v>
      </c>
      <c r="L527" t="str">
        <f>_xlfn.XLOOKUP(tbl_MTG_Set[[#This Row],[Type Name]], tbl_MTG_Set_Type[Set Type], tbl_MTG_Set_Type[Buy Window Month End], "(Set Type not found)", 0, 1)</f>
        <v>(Set Type not found)</v>
      </c>
      <c r="M527" s="3" t="e">
        <f>tbl_MTG_Set[[#This Row],[Released On]]+tbl_MTG_Set[[#This Row],[Buy Window Month End]]*365.25/12</f>
        <v>#VALUE!</v>
      </c>
      <c r="N527" s="3" t="e">
        <f ca="1">AND(NOW()&gt;=tbl_MTG_Set[[#This Row],[Buy Window Start]], NOW()&lt;=tbl_MTG_Set[[#This Row],[Buy Window End]])</f>
        <v>#VALUE!</v>
      </c>
      <c r="O527" t="str">
        <f>_xlfn.XLOOKUP(tbl_MTG_Set[[#This Row],[Type Name]], tbl_MTG_Set_Type[Set Type], tbl_MTG_Set_Type[Heavy Printing Window Month Start], "(Set Type not found)", 0, 1)</f>
        <v>(Set Type not found)</v>
      </c>
      <c r="P527" s="3" t="e">
        <f>tbl_MTG_Set[[#This Row],[Released On]]+tbl_MTG_Set[[#This Row],[Heavy Printing Window Month Start]]*365.25/12</f>
        <v>#VALUE!</v>
      </c>
      <c r="Q527" t="str">
        <f>_xlfn.XLOOKUP(tbl_MTG_Set[[#This Row],[Type Name]], tbl_MTG_Set_Type[Set Type], tbl_MTG_Set_Type[Heavy Printing Window Month End], "(Set Type not found)", 0, 1)</f>
        <v>(Set Type not found)</v>
      </c>
      <c r="R527" s="3" t="e">
        <f>tbl_MTG_Set[[#This Row],[Released On]]+tbl_MTG_Set[[#This Row],[Heavy Printing Window Month End]]*365.25/12</f>
        <v>#VALUE!</v>
      </c>
      <c r="S527" s="3" t="e">
        <f ca="1">AND(NOW()&gt;=tbl_MTG_Set[[#This Row],[Heavy Printing Window Start]], NOW()&lt;=tbl_MTG_Set[[#This Row],[Heavy Printing Window End]])</f>
        <v>#VALUE!</v>
      </c>
      <c r="T527" t="str">
        <f>_xlfn.XLOOKUP(tbl_MTG_Set[[#This Row],[Type Name]], tbl_MTG_Set_Type[Set Type], tbl_MTG_Set_Type[Sell Window Month Start], "(Set Type not found)", 0, 1)</f>
        <v>(Set Type not found)</v>
      </c>
      <c r="U527" s="3" t="e">
        <f>tbl_MTG_Set[[#This Row],[Released On]]+tbl_MTG_Set[[#This Row],[Sell Window Month Start]]*365.25/12</f>
        <v>#VALUE!</v>
      </c>
      <c r="V527" t="str">
        <f>_xlfn.XLOOKUP(tbl_MTG_Set[[#This Row],[Type Name]], tbl_MTG_Set_Type[Set Type], tbl_MTG_Set_Type[Sell Window Month End], "(Set Type not found)", 0, 1)</f>
        <v>(Set Type not found)</v>
      </c>
      <c r="W527" s="3" t="e">
        <f>tbl_MTG_Set[[#This Row],[Released On]]+tbl_MTG_Set[[#This Row],[Sell Window Month End]]*365.25/12</f>
        <v>#VALUE!</v>
      </c>
      <c r="X527" s="3" t="e">
        <f ca="1">AND(NOW()&gt;=tbl_MTG_Set[[#This Row],[Sell Window Start]], NOW()&lt;=tbl_MTG_Set[[#This Row],[Sell Window End]])</f>
        <v>#VALUE!</v>
      </c>
      <c r="AG527" s="10"/>
      <c r="AH527" s="10"/>
      <c r="AM527" s="10" t="str" cm="1">
        <f t="array" ref="AM5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7" s="10" t="str" cm="1">
        <f t="array" ref="AN5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7" s="4" t="e">
        <f>_xlfn.XLOOKUP(tbl_MTG_Set[[#This Row],[Play Booster Box Product Id]], tbl_Product[Product Id], tbl_Product[Pack Size])</f>
        <v>#N/A</v>
      </c>
      <c r="AP527" s="10" t="e">
        <f>(tbl_MTG_Set[[#This Row],[Play Booster Box Cost]]+v_Item_Shipping_Cost_In)/tbl_MTG_Set[[#This Row],[Play Booster Box Size]]</f>
        <v>#VALUE!</v>
      </c>
      <c r="AQ527" s="10" t="str" cm="1">
        <f t="array" ref="AQ5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7" s="10"/>
      <c r="AS527" s="10"/>
      <c r="AT527" s="17" t="e">
        <f>tbl_MTG_Set[[#This Row],[Play Booster CardMarket Profit]]/tbl_MTG_Set[[#This Row],[Play Booster Cost]]</f>
        <v>#VALUE!</v>
      </c>
      <c r="AU527" s="10" t="e">
        <f>_xlfn.XLOOKUP(tbl_MTG_Set[[#This Row],[Collector Booster Box Product Id]], tbl_Product[Product Id], tbl_Product[Min Cost])</f>
        <v>#N/A</v>
      </c>
      <c r="AV527" s="10" t="e">
        <f>_xlfn.XLOOKUP(tbl_MTG_Set[[#This Row],[Collector Booster Box Product Id]], tbl_Product[Product Id], tbl_Product[Best Source])</f>
        <v>#N/A</v>
      </c>
      <c r="AW527" s="4" t="e">
        <f>_xlfn.XLOOKUP(tbl_MTG_Set[[#This Row],[Collector Booster Box Product Id]], tbl_Product[Product Id], tbl_Product[Pack Size])</f>
        <v>#N/A</v>
      </c>
      <c r="AX527" s="10" t="e">
        <f>(tbl_MTG_Set[[#This Row],[Collector Booster Box Cost]] + v_Item_Shipping_Cost_In) / tbl_MTG_Set[[#This Row],[Collector Booster Box Size]]</f>
        <v>#N/A</v>
      </c>
      <c r="AY527" s="10" t="str" cm="1">
        <f t="array" ref="AY5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7" s="10"/>
      <c r="BA5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7" s="17" t="e">
        <f>tbl_MTG_Set[[#This Row],[Collector Booster CardMarket Profit]]/tbl_MTG_Set[[#This Row],[Collector Booster Cost]]</f>
        <v>#N/A</v>
      </c>
      <c r="BC527" s="10"/>
      <c r="BF5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7" s="11" t="e">
        <f>tbl_MTG_Set[[#This Row],[Play Singles CardMarket Profit MTG Stocks]]/tbl_MTG_Set[[#This Row],[Play Booster Cost]]</f>
        <v>#VALUE!</v>
      </c>
      <c r="BI527" s="11" t="b">
        <f>tbl_MTG_Set[[#This Row],[Play Singles CardMarket Profit MTG Stocks]]&gt;0</f>
        <v>0</v>
      </c>
      <c r="BM527" s="10" t="e">
        <f>tbl_MTG_Set[[#This Row],[Play Booster Sell Price CardMarket]]*tbl_MTG_Set[[#This Row],[Play Booster Expected Market Value BotBox]]/tbl_MTG_Set[[#This Row],[Play Booster Sealed Market Value BotBox]]</f>
        <v>#VALUE!</v>
      </c>
      <c r="BN5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7" s="10" t="e">
        <f>tbl_MTG_Set[[#This Row],[Play Singles CardMarket Profit BotBox]]/tbl_MTG_Set[[#This Row],[Play Booster Cost]]</f>
        <v>#VALUE!</v>
      </c>
      <c r="BP527" s="10" t="b">
        <f>tbl_MTG_Set[[#This Row],[Play Singles CardMarket Profit BotBox]]&gt;0</f>
        <v>0</v>
      </c>
      <c r="BQ527" s="10"/>
      <c r="BR527" s="10"/>
      <c r="BS527" s="10"/>
      <c r="BT5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7" s="19" t="e">
        <f>tbl_MTG_Set[[#This Row],[Collector Singles CardMarket Profit MTG Stocks]]/tbl_MTG_Set[[#This Row],[Collector Booster Cost]]</f>
        <v>#N/A</v>
      </c>
      <c r="BW527" s="10" t="b">
        <f>tbl_MTG_Set[[#This Row],[Collector Singles CardMarket Profit MTG Stocks]]&gt;0</f>
        <v>0</v>
      </c>
      <c r="BX527" s="10"/>
      <c r="BY527" s="10"/>
      <c r="BZ5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7" s="10" t="e">
        <f>tbl_MTG_Set[[#This Row],[Collector Singles CardMarket Profit BotBox]]/tbl_MTG_Set[[#This Row],[Collector Booster Cost]]</f>
        <v>#N/A</v>
      </c>
      <c r="CC527" s="10" t="b">
        <f>tbl_MTG_Set[[#This Row],[Collector Singles CardMarket Profit BotBox]]&gt;0</f>
        <v>0</v>
      </c>
      <c r="CD5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8" spans="1:86" hidden="1">
      <c r="A528">
        <v>559</v>
      </c>
      <c r="B528" t="s">
        <v>701</v>
      </c>
      <c r="C528">
        <v>54</v>
      </c>
      <c r="D528" s="3">
        <v>42643</v>
      </c>
      <c r="F528" t="s">
        <v>174</v>
      </c>
      <c r="G528">
        <v>1064</v>
      </c>
      <c r="H528">
        <f ca="1">MONTH(NOW())+12*YEAR(NOW())-MONTH(tbl_MTG_Set[[#This Row],[Released On]])-12*YEAR(tbl_MTG_Set[[#This Row],[Released On]])</f>
        <v>114</v>
      </c>
      <c r="I528" t="str">
        <f>_xlfn.XLOOKUP(tbl_MTG_Set[[#This Row],[Type Name]], tbl_MTG_Set_Type[Set Type], tbl_MTG_Set_Type[Index], "(Set Type not found)")</f>
        <v>(Set Type not found)</v>
      </c>
      <c r="J528" t="str">
        <f>_xlfn.XLOOKUP(tbl_MTG_Set[[#This Row],[Type Name]], tbl_MTG_Set_Type[Set Type], tbl_MTG_Set_Type[Buy Window Month Start], "(Set Type not found)")</f>
        <v>(Set Type not found)</v>
      </c>
      <c r="K528" s="3" t="e">
        <f>tbl_MTG_Set[[#This Row],[Released On]]+tbl_MTG_Set[[#This Row],[Buy Window Month Start]]*365.25/12</f>
        <v>#VALUE!</v>
      </c>
      <c r="L528" t="str">
        <f>_xlfn.XLOOKUP(tbl_MTG_Set[[#This Row],[Type Name]], tbl_MTG_Set_Type[Set Type], tbl_MTG_Set_Type[Buy Window Month End], "(Set Type not found)", 0, 1)</f>
        <v>(Set Type not found)</v>
      </c>
      <c r="M528" s="3" t="e">
        <f>tbl_MTG_Set[[#This Row],[Released On]]+tbl_MTG_Set[[#This Row],[Buy Window Month End]]*365.25/12</f>
        <v>#VALUE!</v>
      </c>
      <c r="N528" s="3" t="e">
        <f ca="1">AND(NOW()&gt;=tbl_MTG_Set[[#This Row],[Buy Window Start]], NOW()&lt;=tbl_MTG_Set[[#This Row],[Buy Window End]])</f>
        <v>#VALUE!</v>
      </c>
      <c r="O528" t="str">
        <f>_xlfn.XLOOKUP(tbl_MTG_Set[[#This Row],[Type Name]], tbl_MTG_Set_Type[Set Type], tbl_MTG_Set_Type[Heavy Printing Window Month Start], "(Set Type not found)", 0, 1)</f>
        <v>(Set Type not found)</v>
      </c>
      <c r="P528" s="3" t="e">
        <f>tbl_MTG_Set[[#This Row],[Released On]]+tbl_MTG_Set[[#This Row],[Heavy Printing Window Month Start]]*365.25/12</f>
        <v>#VALUE!</v>
      </c>
      <c r="Q528" t="str">
        <f>_xlfn.XLOOKUP(tbl_MTG_Set[[#This Row],[Type Name]], tbl_MTG_Set_Type[Set Type], tbl_MTG_Set_Type[Heavy Printing Window Month End], "(Set Type not found)", 0, 1)</f>
        <v>(Set Type not found)</v>
      </c>
      <c r="R528" s="3" t="e">
        <f>tbl_MTG_Set[[#This Row],[Released On]]+tbl_MTG_Set[[#This Row],[Heavy Printing Window Month End]]*365.25/12</f>
        <v>#VALUE!</v>
      </c>
      <c r="S528" s="3" t="e">
        <f ca="1">AND(NOW()&gt;=tbl_MTG_Set[[#This Row],[Heavy Printing Window Start]], NOW()&lt;=tbl_MTG_Set[[#This Row],[Heavy Printing Window End]])</f>
        <v>#VALUE!</v>
      </c>
      <c r="T528" t="str">
        <f>_xlfn.XLOOKUP(tbl_MTG_Set[[#This Row],[Type Name]], tbl_MTG_Set_Type[Set Type], tbl_MTG_Set_Type[Sell Window Month Start], "(Set Type not found)", 0, 1)</f>
        <v>(Set Type not found)</v>
      </c>
      <c r="U528" s="3" t="e">
        <f>tbl_MTG_Set[[#This Row],[Released On]]+tbl_MTG_Set[[#This Row],[Sell Window Month Start]]*365.25/12</f>
        <v>#VALUE!</v>
      </c>
      <c r="V528" t="str">
        <f>_xlfn.XLOOKUP(tbl_MTG_Set[[#This Row],[Type Name]], tbl_MTG_Set_Type[Set Type], tbl_MTG_Set_Type[Sell Window Month End], "(Set Type not found)", 0, 1)</f>
        <v>(Set Type not found)</v>
      </c>
      <c r="W528" s="3" t="e">
        <f>tbl_MTG_Set[[#This Row],[Released On]]+tbl_MTG_Set[[#This Row],[Sell Window Month End]]*365.25/12</f>
        <v>#VALUE!</v>
      </c>
      <c r="X528" s="3" t="e">
        <f ca="1">AND(NOW()&gt;=tbl_MTG_Set[[#This Row],[Sell Window Start]], NOW()&lt;=tbl_MTG_Set[[#This Row],[Sell Window End]])</f>
        <v>#VALUE!</v>
      </c>
      <c r="AG528" s="10"/>
      <c r="AH528" s="10"/>
      <c r="AM528" s="10" t="str" cm="1">
        <f t="array" ref="AM5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8" s="10" t="str" cm="1">
        <f t="array" ref="AN5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8" s="4" t="e">
        <f>_xlfn.XLOOKUP(tbl_MTG_Set[[#This Row],[Play Booster Box Product Id]], tbl_Product[Product Id], tbl_Product[Pack Size])</f>
        <v>#N/A</v>
      </c>
      <c r="AP528" s="10" t="e">
        <f>(tbl_MTG_Set[[#This Row],[Play Booster Box Cost]]+v_Item_Shipping_Cost_In)/tbl_MTG_Set[[#This Row],[Play Booster Box Size]]</f>
        <v>#VALUE!</v>
      </c>
      <c r="AQ528" s="10" t="str" cm="1">
        <f t="array" ref="AQ5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8" s="10"/>
      <c r="AS528" s="10"/>
      <c r="AT528" s="17" t="e">
        <f>tbl_MTG_Set[[#This Row],[Play Booster CardMarket Profit]]/tbl_MTG_Set[[#This Row],[Play Booster Cost]]</f>
        <v>#VALUE!</v>
      </c>
      <c r="AU528" s="10" t="e">
        <f>_xlfn.XLOOKUP(tbl_MTG_Set[[#This Row],[Collector Booster Box Product Id]], tbl_Product[Product Id], tbl_Product[Min Cost])</f>
        <v>#N/A</v>
      </c>
      <c r="AV528" s="10" t="e">
        <f>_xlfn.XLOOKUP(tbl_MTG_Set[[#This Row],[Collector Booster Box Product Id]], tbl_Product[Product Id], tbl_Product[Best Source])</f>
        <v>#N/A</v>
      </c>
      <c r="AW528" s="4" t="e">
        <f>_xlfn.XLOOKUP(tbl_MTG_Set[[#This Row],[Collector Booster Box Product Id]], tbl_Product[Product Id], tbl_Product[Pack Size])</f>
        <v>#N/A</v>
      </c>
      <c r="AX528" s="10" t="e">
        <f>(tbl_MTG_Set[[#This Row],[Collector Booster Box Cost]] + v_Item_Shipping_Cost_In) / tbl_MTG_Set[[#This Row],[Collector Booster Box Size]]</f>
        <v>#N/A</v>
      </c>
      <c r="AY528" s="10" t="str" cm="1">
        <f t="array" ref="AY5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8" s="10"/>
      <c r="BA5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8" s="17" t="e">
        <f>tbl_MTG_Set[[#This Row],[Collector Booster CardMarket Profit]]/tbl_MTG_Set[[#This Row],[Collector Booster Cost]]</f>
        <v>#N/A</v>
      </c>
      <c r="BC528" s="10"/>
      <c r="BF5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8" s="11" t="e">
        <f>tbl_MTG_Set[[#This Row],[Play Singles CardMarket Profit MTG Stocks]]/tbl_MTG_Set[[#This Row],[Play Booster Cost]]</f>
        <v>#VALUE!</v>
      </c>
      <c r="BI528" s="11" t="b">
        <f>tbl_MTG_Set[[#This Row],[Play Singles CardMarket Profit MTG Stocks]]&gt;0</f>
        <v>0</v>
      </c>
      <c r="BM528" s="10" t="e">
        <f>tbl_MTG_Set[[#This Row],[Play Booster Sell Price CardMarket]]*tbl_MTG_Set[[#This Row],[Play Booster Expected Market Value BotBox]]/tbl_MTG_Set[[#This Row],[Play Booster Sealed Market Value BotBox]]</f>
        <v>#VALUE!</v>
      </c>
      <c r="BN5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8" s="10" t="e">
        <f>tbl_MTG_Set[[#This Row],[Play Singles CardMarket Profit BotBox]]/tbl_MTG_Set[[#This Row],[Play Booster Cost]]</f>
        <v>#VALUE!</v>
      </c>
      <c r="BP528" s="10" t="b">
        <f>tbl_MTG_Set[[#This Row],[Play Singles CardMarket Profit BotBox]]&gt;0</f>
        <v>0</v>
      </c>
      <c r="BQ528" s="10"/>
      <c r="BR528" s="10"/>
      <c r="BS528" s="10"/>
      <c r="BT5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8" s="19" t="e">
        <f>tbl_MTG_Set[[#This Row],[Collector Singles CardMarket Profit MTG Stocks]]/tbl_MTG_Set[[#This Row],[Collector Booster Cost]]</f>
        <v>#N/A</v>
      </c>
      <c r="BW528" s="10" t="b">
        <f>tbl_MTG_Set[[#This Row],[Collector Singles CardMarket Profit MTG Stocks]]&gt;0</f>
        <v>0</v>
      </c>
      <c r="BX528" s="10"/>
      <c r="BY528" s="10"/>
      <c r="BZ5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8" s="10" t="e">
        <f>tbl_MTG_Set[[#This Row],[Collector Singles CardMarket Profit BotBox]]/tbl_MTG_Set[[#This Row],[Collector Booster Cost]]</f>
        <v>#N/A</v>
      </c>
      <c r="CC528" s="10" t="b">
        <f>tbl_MTG_Set[[#This Row],[Collector Singles CardMarket Profit BotBox]]&gt;0</f>
        <v>0</v>
      </c>
      <c r="CD5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29" spans="1:86" hidden="1">
      <c r="A529">
        <v>560</v>
      </c>
      <c r="B529" t="s">
        <v>702</v>
      </c>
      <c r="C529">
        <v>83</v>
      </c>
      <c r="D529" s="3">
        <v>42643</v>
      </c>
      <c r="F529" t="s">
        <v>174</v>
      </c>
      <c r="G529">
        <v>1066</v>
      </c>
      <c r="H529">
        <f ca="1">MONTH(NOW())+12*YEAR(NOW())-MONTH(tbl_MTG_Set[[#This Row],[Released On]])-12*YEAR(tbl_MTG_Set[[#This Row],[Released On]])</f>
        <v>114</v>
      </c>
      <c r="I529" t="str">
        <f>_xlfn.XLOOKUP(tbl_MTG_Set[[#This Row],[Type Name]], tbl_MTG_Set_Type[Set Type], tbl_MTG_Set_Type[Index], "(Set Type not found)")</f>
        <v>(Set Type not found)</v>
      </c>
      <c r="J529" t="str">
        <f>_xlfn.XLOOKUP(tbl_MTG_Set[[#This Row],[Type Name]], tbl_MTG_Set_Type[Set Type], tbl_MTG_Set_Type[Buy Window Month Start], "(Set Type not found)")</f>
        <v>(Set Type not found)</v>
      </c>
      <c r="K529" s="3" t="e">
        <f>tbl_MTG_Set[[#This Row],[Released On]]+tbl_MTG_Set[[#This Row],[Buy Window Month Start]]*365.25/12</f>
        <v>#VALUE!</v>
      </c>
      <c r="L529" t="str">
        <f>_xlfn.XLOOKUP(tbl_MTG_Set[[#This Row],[Type Name]], tbl_MTG_Set_Type[Set Type], tbl_MTG_Set_Type[Buy Window Month End], "(Set Type not found)", 0, 1)</f>
        <v>(Set Type not found)</v>
      </c>
      <c r="M529" s="3" t="e">
        <f>tbl_MTG_Set[[#This Row],[Released On]]+tbl_MTG_Set[[#This Row],[Buy Window Month End]]*365.25/12</f>
        <v>#VALUE!</v>
      </c>
      <c r="N529" s="3" t="e">
        <f ca="1">AND(NOW()&gt;=tbl_MTG_Set[[#This Row],[Buy Window Start]], NOW()&lt;=tbl_MTG_Set[[#This Row],[Buy Window End]])</f>
        <v>#VALUE!</v>
      </c>
      <c r="O529" t="str">
        <f>_xlfn.XLOOKUP(tbl_MTG_Set[[#This Row],[Type Name]], tbl_MTG_Set_Type[Set Type], tbl_MTG_Set_Type[Heavy Printing Window Month Start], "(Set Type not found)", 0, 1)</f>
        <v>(Set Type not found)</v>
      </c>
      <c r="P529" s="3" t="e">
        <f>tbl_MTG_Set[[#This Row],[Released On]]+tbl_MTG_Set[[#This Row],[Heavy Printing Window Month Start]]*365.25/12</f>
        <v>#VALUE!</v>
      </c>
      <c r="Q529" t="str">
        <f>_xlfn.XLOOKUP(tbl_MTG_Set[[#This Row],[Type Name]], tbl_MTG_Set_Type[Set Type], tbl_MTG_Set_Type[Heavy Printing Window Month End], "(Set Type not found)", 0, 1)</f>
        <v>(Set Type not found)</v>
      </c>
      <c r="R529" s="3" t="e">
        <f>tbl_MTG_Set[[#This Row],[Released On]]+tbl_MTG_Set[[#This Row],[Heavy Printing Window Month End]]*365.25/12</f>
        <v>#VALUE!</v>
      </c>
      <c r="S529" s="3" t="e">
        <f ca="1">AND(NOW()&gt;=tbl_MTG_Set[[#This Row],[Heavy Printing Window Start]], NOW()&lt;=tbl_MTG_Set[[#This Row],[Heavy Printing Window End]])</f>
        <v>#VALUE!</v>
      </c>
      <c r="T529" t="str">
        <f>_xlfn.XLOOKUP(tbl_MTG_Set[[#This Row],[Type Name]], tbl_MTG_Set_Type[Set Type], tbl_MTG_Set_Type[Sell Window Month Start], "(Set Type not found)", 0, 1)</f>
        <v>(Set Type not found)</v>
      </c>
      <c r="U529" s="3" t="e">
        <f>tbl_MTG_Set[[#This Row],[Released On]]+tbl_MTG_Set[[#This Row],[Sell Window Month Start]]*365.25/12</f>
        <v>#VALUE!</v>
      </c>
      <c r="V529" t="str">
        <f>_xlfn.XLOOKUP(tbl_MTG_Set[[#This Row],[Type Name]], tbl_MTG_Set_Type[Set Type], tbl_MTG_Set_Type[Sell Window Month End], "(Set Type not found)", 0, 1)</f>
        <v>(Set Type not found)</v>
      </c>
      <c r="W529" s="3" t="e">
        <f>tbl_MTG_Set[[#This Row],[Released On]]+tbl_MTG_Set[[#This Row],[Sell Window Month End]]*365.25/12</f>
        <v>#VALUE!</v>
      </c>
      <c r="X529" s="3" t="e">
        <f ca="1">AND(NOW()&gt;=tbl_MTG_Set[[#This Row],[Sell Window Start]], NOW()&lt;=tbl_MTG_Set[[#This Row],[Sell Window End]])</f>
        <v>#VALUE!</v>
      </c>
      <c r="AG529" s="10"/>
      <c r="AH529" s="10"/>
      <c r="AM529" s="10" t="str" cm="1">
        <f t="array" ref="AM5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29" s="10" t="str" cm="1">
        <f t="array" ref="AN5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29" s="4" t="e">
        <f>_xlfn.XLOOKUP(tbl_MTG_Set[[#This Row],[Play Booster Box Product Id]], tbl_Product[Product Id], tbl_Product[Pack Size])</f>
        <v>#N/A</v>
      </c>
      <c r="AP529" s="10" t="e">
        <f>(tbl_MTG_Set[[#This Row],[Play Booster Box Cost]]+v_Item_Shipping_Cost_In)/tbl_MTG_Set[[#This Row],[Play Booster Box Size]]</f>
        <v>#VALUE!</v>
      </c>
      <c r="AQ529" s="10" t="str" cm="1">
        <f t="array" ref="AQ5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29" s="10"/>
      <c r="AS529" s="10"/>
      <c r="AT529" s="17" t="e">
        <f>tbl_MTG_Set[[#This Row],[Play Booster CardMarket Profit]]/tbl_MTG_Set[[#This Row],[Play Booster Cost]]</f>
        <v>#VALUE!</v>
      </c>
      <c r="AU529" s="10" t="e">
        <f>_xlfn.XLOOKUP(tbl_MTG_Set[[#This Row],[Collector Booster Box Product Id]], tbl_Product[Product Id], tbl_Product[Min Cost])</f>
        <v>#N/A</v>
      </c>
      <c r="AV529" s="10" t="e">
        <f>_xlfn.XLOOKUP(tbl_MTG_Set[[#This Row],[Collector Booster Box Product Id]], tbl_Product[Product Id], tbl_Product[Best Source])</f>
        <v>#N/A</v>
      </c>
      <c r="AW529" s="4" t="e">
        <f>_xlfn.XLOOKUP(tbl_MTG_Set[[#This Row],[Collector Booster Box Product Id]], tbl_Product[Product Id], tbl_Product[Pack Size])</f>
        <v>#N/A</v>
      </c>
      <c r="AX529" s="10" t="e">
        <f>(tbl_MTG_Set[[#This Row],[Collector Booster Box Cost]] + v_Item_Shipping_Cost_In) / tbl_MTG_Set[[#This Row],[Collector Booster Box Size]]</f>
        <v>#N/A</v>
      </c>
      <c r="AY529" s="10" t="str" cm="1">
        <f t="array" ref="AY5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29" s="10"/>
      <c r="BA5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29" s="17" t="e">
        <f>tbl_MTG_Set[[#This Row],[Collector Booster CardMarket Profit]]/tbl_MTG_Set[[#This Row],[Collector Booster Cost]]</f>
        <v>#N/A</v>
      </c>
      <c r="BC529" s="10"/>
      <c r="BF5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29" s="11" t="e">
        <f>tbl_MTG_Set[[#This Row],[Play Singles CardMarket Profit MTG Stocks]]/tbl_MTG_Set[[#This Row],[Play Booster Cost]]</f>
        <v>#VALUE!</v>
      </c>
      <c r="BI529" s="11" t="b">
        <f>tbl_MTG_Set[[#This Row],[Play Singles CardMarket Profit MTG Stocks]]&gt;0</f>
        <v>0</v>
      </c>
      <c r="BM529" s="10" t="e">
        <f>tbl_MTG_Set[[#This Row],[Play Booster Sell Price CardMarket]]*tbl_MTG_Set[[#This Row],[Play Booster Expected Market Value BotBox]]/tbl_MTG_Set[[#This Row],[Play Booster Sealed Market Value BotBox]]</f>
        <v>#VALUE!</v>
      </c>
      <c r="BN5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29" s="10" t="e">
        <f>tbl_MTG_Set[[#This Row],[Play Singles CardMarket Profit BotBox]]/tbl_MTG_Set[[#This Row],[Play Booster Cost]]</f>
        <v>#VALUE!</v>
      </c>
      <c r="BP529" s="10" t="b">
        <f>tbl_MTG_Set[[#This Row],[Play Singles CardMarket Profit BotBox]]&gt;0</f>
        <v>0</v>
      </c>
      <c r="BQ529" s="10"/>
      <c r="BR529" s="10"/>
      <c r="BS529" s="10"/>
      <c r="BT5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29" s="19" t="e">
        <f>tbl_MTG_Set[[#This Row],[Collector Singles CardMarket Profit MTG Stocks]]/tbl_MTG_Set[[#This Row],[Collector Booster Cost]]</f>
        <v>#N/A</v>
      </c>
      <c r="BW529" s="10" t="b">
        <f>tbl_MTG_Set[[#This Row],[Collector Singles CardMarket Profit MTG Stocks]]&gt;0</f>
        <v>0</v>
      </c>
      <c r="BX529" s="10"/>
      <c r="BY529" s="10"/>
      <c r="BZ5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29" s="10" t="e">
        <f>tbl_MTG_Set[[#This Row],[Collector Singles CardMarket Profit BotBox]]/tbl_MTG_Set[[#This Row],[Collector Booster Cost]]</f>
        <v>#N/A</v>
      </c>
      <c r="CC529" s="10" t="b">
        <f>tbl_MTG_Set[[#This Row],[Collector Singles CardMarket Profit BotBox]]&gt;0</f>
        <v>0</v>
      </c>
      <c r="CD5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0" spans="1:86" hidden="1">
      <c r="A530">
        <v>561</v>
      </c>
      <c r="B530" t="s">
        <v>703</v>
      </c>
      <c r="C530">
        <v>13</v>
      </c>
      <c r="D530" s="3">
        <v>42643</v>
      </c>
      <c r="F530" t="s">
        <v>174</v>
      </c>
      <c r="G530">
        <v>1068</v>
      </c>
      <c r="H530">
        <f ca="1">MONTH(NOW())+12*YEAR(NOW())-MONTH(tbl_MTG_Set[[#This Row],[Released On]])-12*YEAR(tbl_MTG_Set[[#This Row],[Released On]])</f>
        <v>114</v>
      </c>
      <c r="I530" t="str">
        <f>_xlfn.XLOOKUP(tbl_MTG_Set[[#This Row],[Type Name]], tbl_MTG_Set_Type[Set Type], tbl_MTG_Set_Type[Index], "(Set Type not found)")</f>
        <v>(Set Type not found)</v>
      </c>
      <c r="J530" t="str">
        <f>_xlfn.XLOOKUP(tbl_MTG_Set[[#This Row],[Type Name]], tbl_MTG_Set_Type[Set Type], tbl_MTG_Set_Type[Buy Window Month Start], "(Set Type not found)")</f>
        <v>(Set Type not found)</v>
      </c>
      <c r="K530" s="3" t="e">
        <f>tbl_MTG_Set[[#This Row],[Released On]]+tbl_MTG_Set[[#This Row],[Buy Window Month Start]]*365.25/12</f>
        <v>#VALUE!</v>
      </c>
      <c r="L530" t="str">
        <f>_xlfn.XLOOKUP(tbl_MTG_Set[[#This Row],[Type Name]], tbl_MTG_Set_Type[Set Type], tbl_MTG_Set_Type[Buy Window Month End], "(Set Type not found)", 0, 1)</f>
        <v>(Set Type not found)</v>
      </c>
      <c r="M530" s="3" t="e">
        <f>tbl_MTG_Set[[#This Row],[Released On]]+tbl_MTG_Set[[#This Row],[Buy Window Month End]]*365.25/12</f>
        <v>#VALUE!</v>
      </c>
      <c r="N530" s="3" t="e">
        <f ca="1">AND(NOW()&gt;=tbl_MTG_Set[[#This Row],[Buy Window Start]], NOW()&lt;=tbl_MTG_Set[[#This Row],[Buy Window End]])</f>
        <v>#VALUE!</v>
      </c>
      <c r="O530" t="str">
        <f>_xlfn.XLOOKUP(tbl_MTG_Set[[#This Row],[Type Name]], tbl_MTG_Set_Type[Set Type], tbl_MTG_Set_Type[Heavy Printing Window Month Start], "(Set Type not found)", 0, 1)</f>
        <v>(Set Type not found)</v>
      </c>
      <c r="P530" s="3" t="e">
        <f>tbl_MTG_Set[[#This Row],[Released On]]+tbl_MTG_Set[[#This Row],[Heavy Printing Window Month Start]]*365.25/12</f>
        <v>#VALUE!</v>
      </c>
      <c r="Q530" t="str">
        <f>_xlfn.XLOOKUP(tbl_MTG_Set[[#This Row],[Type Name]], tbl_MTG_Set_Type[Set Type], tbl_MTG_Set_Type[Heavy Printing Window Month End], "(Set Type not found)", 0, 1)</f>
        <v>(Set Type not found)</v>
      </c>
      <c r="R530" s="3" t="e">
        <f>tbl_MTG_Set[[#This Row],[Released On]]+tbl_MTG_Set[[#This Row],[Heavy Printing Window Month End]]*365.25/12</f>
        <v>#VALUE!</v>
      </c>
      <c r="S530" s="3" t="e">
        <f ca="1">AND(NOW()&gt;=tbl_MTG_Set[[#This Row],[Heavy Printing Window Start]], NOW()&lt;=tbl_MTG_Set[[#This Row],[Heavy Printing Window End]])</f>
        <v>#VALUE!</v>
      </c>
      <c r="T530" t="str">
        <f>_xlfn.XLOOKUP(tbl_MTG_Set[[#This Row],[Type Name]], tbl_MTG_Set_Type[Set Type], tbl_MTG_Set_Type[Sell Window Month Start], "(Set Type not found)", 0, 1)</f>
        <v>(Set Type not found)</v>
      </c>
      <c r="U530" s="3" t="e">
        <f>tbl_MTG_Set[[#This Row],[Released On]]+tbl_MTG_Set[[#This Row],[Sell Window Month Start]]*365.25/12</f>
        <v>#VALUE!</v>
      </c>
      <c r="V530" t="str">
        <f>_xlfn.XLOOKUP(tbl_MTG_Set[[#This Row],[Type Name]], tbl_MTG_Set_Type[Set Type], tbl_MTG_Set_Type[Sell Window Month End], "(Set Type not found)", 0, 1)</f>
        <v>(Set Type not found)</v>
      </c>
      <c r="W530" s="3" t="e">
        <f>tbl_MTG_Set[[#This Row],[Released On]]+tbl_MTG_Set[[#This Row],[Sell Window Month End]]*365.25/12</f>
        <v>#VALUE!</v>
      </c>
      <c r="X530" s="3" t="e">
        <f ca="1">AND(NOW()&gt;=tbl_MTG_Set[[#This Row],[Sell Window Start]], NOW()&lt;=tbl_MTG_Set[[#This Row],[Sell Window End]])</f>
        <v>#VALUE!</v>
      </c>
      <c r="AG530" s="10"/>
      <c r="AH530" s="10"/>
      <c r="AM530" s="10" t="str" cm="1">
        <f t="array" ref="AM5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0" s="10" t="str" cm="1">
        <f t="array" ref="AN5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0" s="4" t="e">
        <f>_xlfn.XLOOKUP(tbl_MTG_Set[[#This Row],[Play Booster Box Product Id]], tbl_Product[Product Id], tbl_Product[Pack Size])</f>
        <v>#N/A</v>
      </c>
      <c r="AP530" s="10" t="e">
        <f>(tbl_MTG_Set[[#This Row],[Play Booster Box Cost]]+v_Item_Shipping_Cost_In)/tbl_MTG_Set[[#This Row],[Play Booster Box Size]]</f>
        <v>#VALUE!</v>
      </c>
      <c r="AQ530" s="10" t="str" cm="1">
        <f t="array" ref="AQ5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0" s="10"/>
      <c r="AS530" s="10"/>
      <c r="AT530" s="17" t="e">
        <f>tbl_MTG_Set[[#This Row],[Play Booster CardMarket Profit]]/tbl_MTG_Set[[#This Row],[Play Booster Cost]]</f>
        <v>#VALUE!</v>
      </c>
      <c r="AU530" s="10" t="e">
        <f>_xlfn.XLOOKUP(tbl_MTG_Set[[#This Row],[Collector Booster Box Product Id]], tbl_Product[Product Id], tbl_Product[Min Cost])</f>
        <v>#N/A</v>
      </c>
      <c r="AV530" s="10" t="e">
        <f>_xlfn.XLOOKUP(tbl_MTG_Set[[#This Row],[Collector Booster Box Product Id]], tbl_Product[Product Id], tbl_Product[Best Source])</f>
        <v>#N/A</v>
      </c>
      <c r="AW530" s="4" t="e">
        <f>_xlfn.XLOOKUP(tbl_MTG_Set[[#This Row],[Collector Booster Box Product Id]], tbl_Product[Product Id], tbl_Product[Pack Size])</f>
        <v>#N/A</v>
      </c>
      <c r="AX530" s="10" t="e">
        <f>(tbl_MTG_Set[[#This Row],[Collector Booster Box Cost]] + v_Item_Shipping_Cost_In) / tbl_MTG_Set[[#This Row],[Collector Booster Box Size]]</f>
        <v>#N/A</v>
      </c>
      <c r="AY530" s="10" t="str" cm="1">
        <f t="array" ref="AY5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0" s="10"/>
      <c r="BA5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0" s="17" t="e">
        <f>tbl_MTG_Set[[#This Row],[Collector Booster CardMarket Profit]]/tbl_MTG_Set[[#This Row],[Collector Booster Cost]]</f>
        <v>#N/A</v>
      </c>
      <c r="BC530" s="10"/>
      <c r="BF5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0" s="11" t="e">
        <f>tbl_MTG_Set[[#This Row],[Play Singles CardMarket Profit MTG Stocks]]/tbl_MTG_Set[[#This Row],[Play Booster Cost]]</f>
        <v>#VALUE!</v>
      </c>
      <c r="BI530" s="11" t="b">
        <f>tbl_MTG_Set[[#This Row],[Play Singles CardMarket Profit MTG Stocks]]&gt;0</f>
        <v>0</v>
      </c>
      <c r="BM530" s="10" t="e">
        <f>tbl_MTG_Set[[#This Row],[Play Booster Sell Price CardMarket]]*tbl_MTG_Set[[#This Row],[Play Booster Expected Market Value BotBox]]/tbl_MTG_Set[[#This Row],[Play Booster Sealed Market Value BotBox]]</f>
        <v>#VALUE!</v>
      </c>
      <c r="BN5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0" s="10" t="e">
        <f>tbl_MTG_Set[[#This Row],[Play Singles CardMarket Profit BotBox]]/tbl_MTG_Set[[#This Row],[Play Booster Cost]]</f>
        <v>#VALUE!</v>
      </c>
      <c r="BP530" s="10" t="b">
        <f>tbl_MTG_Set[[#This Row],[Play Singles CardMarket Profit BotBox]]&gt;0</f>
        <v>0</v>
      </c>
      <c r="BQ530" s="10"/>
      <c r="BR530" s="10"/>
      <c r="BS530" s="10"/>
      <c r="BT5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0" s="19" t="e">
        <f>tbl_MTG_Set[[#This Row],[Collector Singles CardMarket Profit MTG Stocks]]/tbl_MTG_Set[[#This Row],[Collector Booster Cost]]</f>
        <v>#N/A</v>
      </c>
      <c r="BW530" s="10" t="b">
        <f>tbl_MTG_Set[[#This Row],[Collector Singles CardMarket Profit MTG Stocks]]&gt;0</f>
        <v>0</v>
      </c>
      <c r="BX530" s="10"/>
      <c r="BY530" s="10"/>
      <c r="BZ5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0" s="10" t="e">
        <f>tbl_MTG_Set[[#This Row],[Collector Singles CardMarket Profit BotBox]]/tbl_MTG_Set[[#This Row],[Collector Booster Cost]]</f>
        <v>#N/A</v>
      </c>
      <c r="CC530" s="10" t="b">
        <f>tbl_MTG_Set[[#This Row],[Collector Singles CardMarket Profit BotBox]]&gt;0</f>
        <v>0</v>
      </c>
      <c r="CD5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1" spans="1:86" hidden="1">
      <c r="A531">
        <v>562</v>
      </c>
      <c r="B531" t="s">
        <v>704</v>
      </c>
      <c r="C531">
        <v>76</v>
      </c>
      <c r="D531" s="3">
        <v>42615</v>
      </c>
      <c r="F531" t="s">
        <v>174</v>
      </c>
      <c r="G531">
        <v>1070</v>
      </c>
      <c r="H531">
        <f ca="1">MONTH(NOW())+12*YEAR(NOW())-MONTH(tbl_MTG_Set[[#This Row],[Released On]])-12*YEAR(tbl_MTG_Set[[#This Row],[Released On]])</f>
        <v>114</v>
      </c>
      <c r="I531" t="str">
        <f>_xlfn.XLOOKUP(tbl_MTG_Set[[#This Row],[Type Name]], tbl_MTG_Set_Type[Set Type], tbl_MTG_Set_Type[Index], "(Set Type not found)")</f>
        <v>(Set Type not found)</v>
      </c>
      <c r="J531" t="str">
        <f>_xlfn.XLOOKUP(tbl_MTG_Set[[#This Row],[Type Name]], tbl_MTG_Set_Type[Set Type], tbl_MTG_Set_Type[Buy Window Month Start], "(Set Type not found)")</f>
        <v>(Set Type not found)</v>
      </c>
      <c r="K531" s="3" t="e">
        <f>tbl_MTG_Set[[#This Row],[Released On]]+tbl_MTG_Set[[#This Row],[Buy Window Month Start]]*365.25/12</f>
        <v>#VALUE!</v>
      </c>
      <c r="L531" t="str">
        <f>_xlfn.XLOOKUP(tbl_MTG_Set[[#This Row],[Type Name]], tbl_MTG_Set_Type[Set Type], tbl_MTG_Set_Type[Buy Window Month End], "(Set Type not found)", 0, 1)</f>
        <v>(Set Type not found)</v>
      </c>
      <c r="M531" s="3" t="e">
        <f>tbl_MTG_Set[[#This Row],[Released On]]+tbl_MTG_Set[[#This Row],[Buy Window Month End]]*365.25/12</f>
        <v>#VALUE!</v>
      </c>
      <c r="N531" s="3" t="e">
        <f ca="1">AND(NOW()&gt;=tbl_MTG_Set[[#This Row],[Buy Window Start]], NOW()&lt;=tbl_MTG_Set[[#This Row],[Buy Window End]])</f>
        <v>#VALUE!</v>
      </c>
      <c r="O531" t="str">
        <f>_xlfn.XLOOKUP(tbl_MTG_Set[[#This Row],[Type Name]], tbl_MTG_Set_Type[Set Type], tbl_MTG_Set_Type[Heavy Printing Window Month Start], "(Set Type not found)", 0, 1)</f>
        <v>(Set Type not found)</v>
      </c>
      <c r="P531" s="3" t="e">
        <f>tbl_MTG_Set[[#This Row],[Released On]]+tbl_MTG_Set[[#This Row],[Heavy Printing Window Month Start]]*365.25/12</f>
        <v>#VALUE!</v>
      </c>
      <c r="Q531" t="str">
        <f>_xlfn.XLOOKUP(tbl_MTG_Set[[#This Row],[Type Name]], tbl_MTG_Set_Type[Set Type], tbl_MTG_Set_Type[Heavy Printing Window Month End], "(Set Type not found)", 0, 1)</f>
        <v>(Set Type not found)</v>
      </c>
      <c r="R531" s="3" t="e">
        <f>tbl_MTG_Set[[#This Row],[Released On]]+tbl_MTG_Set[[#This Row],[Heavy Printing Window Month End]]*365.25/12</f>
        <v>#VALUE!</v>
      </c>
      <c r="S531" s="3" t="e">
        <f ca="1">AND(NOW()&gt;=tbl_MTG_Set[[#This Row],[Heavy Printing Window Start]], NOW()&lt;=tbl_MTG_Set[[#This Row],[Heavy Printing Window End]])</f>
        <v>#VALUE!</v>
      </c>
      <c r="T531" t="str">
        <f>_xlfn.XLOOKUP(tbl_MTG_Set[[#This Row],[Type Name]], tbl_MTG_Set_Type[Set Type], tbl_MTG_Set_Type[Sell Window Month Start], "(Set Type not found)", 0, 1)</f>
        <v>(Set Type not found)</v>
      </c>
      <c r="U531" s="3" t="e">
        <f>tbl_MTG_Set[[#This Row],[Released On]]+tbl_MTG_Set[[#This Row],[Sell Window Month Start]]*365.25/12</f>
        <v>#VALUE!</v>
      </c>
      <c r="V531" t="str">
        <f>_xlfn.XLOOKUP(tbl_MTG_Set[[#This Row],[Type Name]], tbl_MTG_Set_Type[Set Type], tbl_MTG_Set_Type[Sell Window Month End], "(Set Type not found)", 0, 1)</f>
        <v>(Set Type not found)</v>
      </c>
      <c r="W531" s="3" t="e">
        <f>tbl_MTG_Set[[#This Row],[Released On]]+tbl_MTG_Set[[#This Row],[Sell Window Month End]]*365.25/12</f>
        <v>#VALUE!</v>
      </c>
      <c r="X531" s="3" t="e">
        <f ca="1">AND(NOW()&gt;=tbl_MTG_Set[[#This Row],[Sell Window Start]], NOW()&lt;=tbl_MTG_Set[[#This Row],[Sell Window End]])</f>
        <v>#VALUE!</v>
      </c>
      <c r="AG531" s="10"/>
      <c r="AH531" s="10"/>
      <c r="AM531" s="10" t="str" cm="1">
        <f t="array" ref="AM5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1" s="10" t="str" cm="1">
        <f t="array" ref="AN5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1" s="4" t="e">
        <f>_xlfn.XLOOKUP(tbl_MTG_Set[[#This Row],[Play Booster Box Product Id]], tbl_Product[Product Id], tbl_Product[Pack Size])</f>
        <v>#N/A</v>
      </c>
      <c r="AP531" s="10" t="e">
        <f>(tbl_MTG_Set[[#This Row],[Play Booster Box Cost]]+v_Item_Shipping_Cost_In)/tbl_MTG_Set[[#This Row],[Play Booster Box Size]]</f>
        <v>#VALUE!</v>
      </c>
      <c r="AQ531" s="10" t="str" cm="1">
        <f t="array" ref="AQ5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1" s="10"/>
      <c r="AS531" s="10"/>
      <c r="AT531" s="17" t="e">
        <f>tbl_MTG_Set[[#This Row],[Play Booster CardMarket Profit]]/tbl_MTG_Set[[#This Row],[Play Booster Cost]]</f>
        <v>#VALUE!</v>
      </c>
      <c r="AU531" s="10" t="e">
        <f>_xlfn.XLOOKUP(tbl_MTG_Set[[#This Row],[Collector Booster Box Product Id]], tbl_Product[Product Id], tbl_Product[Min Cost])</f>
        <v>#N/A</v>
      </c>
      <c r="AV531" s="10" t="e">
        <f>_xlfn.XLOOKUP(tbl_MTG_Set[[#This Row],[Collector Booster Box Product Id]], tbl_Product[Product Id], tbl_Product[Best Source])</f>
        <v>#N/A</v>
      </c>
      <c r="AW531" s="4" t="e">
        <f>_xlfn.XLOOKUP(tbl_MTG_Set[[#This Row],[Collector Booster Box Product Id]], tbl_Product[Product Id], tbl_Product[Pack Size])</f>
        <v>#N/A</v>
      </c>
      <c r="AX531" s="10" t="e">
        <f>(tbl_MTG_Set[[#This Row],[Collector Booster Box Cost]] + v_Item_Shipping_Cost_In) / tbl_MTG_Set[[#This Row],[Collector Booster Box Size]]</f>
        <v>#N/A</v>
      </c>
      <c r="AY531" s="10" t="str" cm="1">
        <f t="array" ref="AY5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1" s="10"/>
      <c r="BA5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1" s="17" t="e">
        <f>tbl_MTG_Set[[#This Row],[Collector Booster CardMarket Profit]]/tbl_MTG_Set[[#This Row],[Collector Booster Cost]]</f>
        <v>#N/A</v>
      </c>
      <c r="BC531" s="10"/>
      <c r="BF5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1" s="11" t="e">
        <f>tbl_MTG_Set[[#This Row],[Play Singles CardMarket Profit MTG Stocks]]/tbl_MTG_Set[[#This Row],[Play Booster Cost]]</f>
        <v>#VALUE!</v>
      </c>
      <c r="BI531" s="11" t="b">
        <f>tbl_MTG_Set[[#This Row],[Play Singles CardMarket Profit MTG Stocks]]&gt;0</f>
        <v>0</v>
      </c>
      <c r="BM531" s="10" t="e">
        <f>tbl_MTG_Set[[#This Row],[Play Booster Sell Price CardMarket]]*tbl_MTG_Set[[#This Row],[Play Booster Expected Market Value BotBox]]/tbl_MTG_Set[[#This Row],[Play Booster Sealed Market Value BotBox]]</f>
        <v>#VALUE!</v>
      </c>
      <c r="BN5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1" s="10" t="e">
        <f>tbl_MTG_Set[[#This Row],[Play Singles CardMarket Profit BotBox]]/tbl_MTG_Set[[#This Row],[Play Booster Cost]]</f>
        <v>#VALUE!</v>
      </c>
      <c r="BP531" s="10" t="b">
        <f>tbl_MTG_Set[[#This Row],[Play Singles CardMarket Profit BotBox]]&gt;0</f>
        <v>0</v>
      </c>
      <c r="BQ531" s="10"/>
      <c r="BR531" s="10"/>
      <c r="BS531" s="10"/>
      <c r="BT5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1" s="19" t="e">
        <f>tbl_MTG_Set[[#This Row],[Collector Singles CardMarket Profit MTG Stocks]]/tbl_MTG_Set[[#This Row],[Collector Booster Cost]]</f>
        <v>#N/A</v>
      </c>
      <c r="BW531" s="10" t="b">
        <f>tbl_MTG_Set[[#This Row],[Collector Singles CardMarket Profit MTG Stocks]]&gt;0</f>
        <v>0</v>
      </c>
      <c r="BX531" s="10"/>
      <c r="BY531" s="10"/>
      <c r="BZ5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1" s="10" t="e">
        <f>tbl_MTG_Set[[#This Row],[Collector Singles CardMarket Profit BotBox]]/tbl_MTG_Set[[#This Row],[Collector Booster Cost]]</f>
        <v>#N/A</v>
      </c>
      <c r="CC531" s="10" t="b">
        <f>tbl_MTG_Set[[#This Row],[Collector Singles CardMarket Profit BotBox]]&gt;0</f>
        <v>0</v>
      </c>
      <c r="CD5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2" spans="1:86" hidden="1">
      <c r="A532">
        <v>563</v>
      </c>
      <c r="B532" t="s">
        <v>705</v>
      </c>
      <c r="C532">
        <v>222</v>
      </c>
      <c r="D532" s="3">
        <v>42608</v>
      </c>
      <c r="F532" t="s">
        <v>174</v>
      </c>
      <c r="G532">
        <v>1072</v>
      </c>
      <c r="H532">
        <f ca="1">MONTH(NOW())+12*YEAR(NOW())-MONTH(tbl_MTG_Set[[#This Row],[Released On]])-12*YEAR(tbl_MTG_Set[[#This Row],[Released On]])</f>
        <v>115</v>
      </c>
      <c r="I532" t="str">
        <f>_xlfn.XLOOKUP(tbl_MTG_Set[[#This Row],[Type Name]], tbl_MTG_Set_Type[Set Type], tbl_MTG_Set_Type[Index], "(Set Type not found)")</f>
        <v>(Set Type not found)</v>
      </c>
      <c r="J532" t="str">
        <f>_xlfn.XLOOKUP(tbl_MTG_Set[[#This Row],[Type Name]], tbl_MTG_Set_Type[Set Type], tbl_MTG_Set_Type[Buy Window Month Start], "(Set Type not found)")</f>
        <v>(Set Type not found)</v>
      </c>
      <c r="K532" s="3" t="e">
        <f>tbl_MTG_Set[[#This Row],[Released On]]+tbl_MTG_Set[[#This Row],[Buy Window Month Start]]*365.25/12</f>
        <v>#VALUE!</v>
      </c>
      <c r="L532" t="str">
        <f>_xlfn.XLOOKUP(tbl_MTG_Set[[#This Row],[Type Name]], tbl_MTG_Set_Type[Set Type], tbl_MTG_Set_Type[Buy Window Month End], "(Set Type not found)", 0, 1)</f>
        <v>(Set Type not found)</v>
      </c>
      <c r="M532" s="3" t="e">
        <f>tbl_MTG_Set[[#This Row],[Released On]]+tbl_MTG_Set[[#This Row],[Buy Window Month End]]*365.25/12</f>
        <v>#VALUE!</v>
      </c>
      <c r="N532" s="3" t="e">
        <f ca="1">AND(NOW()&gt;=tbl_MTG_Set[[#This Row],[Buy Window Start]], NOW()&lt;=tbl_MTG_Set[[#This Row],[Buy Window End]])</f>
        <v>#VALUE!</v>
      </c>
      <c r="O532" t="str">
        <f>_xlfn.XLOOKUP(tbl_MTG_Set[[#This Row],[Type Name]], tbl_MTG_Set_Type[Set Type], tbl_MTG_Set_Type[Heavy Printing Window Month Start], "(Set Type not found)", 0, 1)</f>
        <v>(Set Type not found)</v>
      </c>
      <c r="P532" s="3" t="e">
        <f>tbl_MTG_Set[[#This Row],[Released On]]+tbl_MTG_Set[[#This Row],[Heavy Printing Window Month Start]]*365.25/12</f>
        <v>#VALUE!</v>
      </c>
      <c r="Q532" t="str">
        <f>_xlfn.XLOOKUP(tbl_MTG_Set[[#This Row],[Type Name]], tbl_MTG_Set_Type[Set Type], tbl_MTG_Set_Type[Heavy Printing Window Month End], "(Set Type not found)", 0, 1)</f>
        <v>(Set Type not found)</v>
      </c>
      <c r="R532" s="3" t="e">
        <f>tbl_MTG_Set[[#This Row],[Released On]]+tbl_MTG_Set[[#This Row],[Heavy Printing Window Month End]]*365.25/12</f>
        <v>#VALUE!</v>
      </c>
      <c r="S532" s="3" t="e">
        <f ca="1">AND(NOW()&gt;=tbl_MTG_Set[[#This Row],[Heavy Printing Window Start]], NOW()&lt;=tbl_MTG_Set[[#This Row],[Heavy Printing Window End]])</f>
        <v>#VALUE!</v>
      </c>
      <c r="T532" t="str">
        <f>_xlfn.XLOOKUP(tbl_MTG_Set[[#This Row],[Type Name]], tbl_MTG_Set_Type[Set Type], tbl_MTG_Set_Type[Sell Window Month Start], "(Set Type not found)", 0, 1)</f>
        <v>(Set Type not found)</v>
      </c>
      <c r="U532" s="3" t="e">
        <f>tbl_MTG_Set[[#This Row],[Released On]]+tbl_MTG_Set[[#This Row],[Sell Window Month Start]]*365.25/12</f>
        <v>#VALUE!</v>
      </c>
      <c r="V532" t="str">
        <f>_xlfn.XLOOKUP(tbl_MTG_Set[[#This Row],[Type Name]], tbl_MTG_Set_Type[Set Type], tbl_MTG_Set_Type[Sell Window Month End], "(Set Type not found)", 0, 1)</f>
        <v>(Set Type not found)</v>
      </c>
      <c r="W532" s="3" t="e">
        <f>tbl_MTG_Set[[#This Row],[Released On]]+tbl_MTG_Set[[#This Row],[Sell Window Month End]]*365.25/12</f>
        <v>#VALUE!</v>
      </c>
      <c r="X532" s="3" t="e">
        <f ca="1">AND(NOW()&gt;=tbl_MTG_Set[[#This Row],[Sell Window Start]], NOW()&lt;=tbl_MTG_Set[[#This Row],[Sell Window End]])</f>
        <v>#VALUE!</v>
      </c>
      <c r="AG532" s="10"/>
      <c r="AH532" s="10"/>
      <c r="AM532" s="10" t="str" cm="1">
        <f t="array" ref="AM5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2" s="10" t="str" cm="1">
        <f t="array" ref="AN5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2" s="4" t="e">
        <f>_xlfn.XLOOKUP(tbl_MTG_Set[[#This Row],[Play Booster Box Product Id]], tbl_Product[Product Id], tbl_Product[Pack Size])</f>
        <v>#N/A</v>
      </c>
      <c r="AP532" s="10" t="e">
        <f>(tbl_MTG_Set[[#This Row],[Play Booster Box Cost]]+v_Item_Shipping_Cost_In)/tbl_MTG_Set[[#This Row],[Play Booster Box Size]]</f>
        <v>#VALUE!</v>
      </c>
      <c r="AQ532" s="10" t="str" cm="1">
        <f t="array" ref="AQ5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2" s="10"/>
      <c r="AS532" s="10"/>
      <c r="AT532" s="17" t="e">
        <f>tbl_MTG_Set[[#This Row],[Play Booster CardMarket Profit]]/tbl_MTG_Set[[#This Row],[Play Booster Cost]]</f>
        <v>#VALUE!</v>
      </c>
      <c r="AU532" s="10" t="e">
        <f>_xlfn.XLOOKUP(tbl_MTG_Set[[#This Row],[Collector Booster Box Product Id]], tbl_Product[Product Id], tbl_Product[Min Cost])</f>
        <v>#N/A</v>
      </c>
      <c r="AV532" s="10" t="e">
        <f>_xlfn.XLOOKUP(tbl_MTG_Set[[#This Row],[Collector Booster Box Product Id]], tbl_Product[Product Id], tbl_Product[Best Source])</f>
        <v>#N/A</v>
      </c>
      <c r="AW532" s="4" t="e">
        <f>_xlfn.XLOOKUP(tbl_MTG_Set[[#This Row],[Collector Booster Box Product Id]], tbl_Product[Product Id], tbl_Product[Pack Size])</f>
        <v>#N/A</v>
      </c>
      <c r="AX532" s="10" t="e">
        <f>(tbl_MTG_Set[[#This Row],[Collector Booster Box Cost]] + v_Item_Shipping_Cost_In) / tbl_MTG_Set[[#This Row],[Collector Booster Box Size]]</f>
        <v>#N/A</v>
      </c>
      <c r="AY532" s="10" t="str" cm="1">
        <f t="array" ref="AY5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2" s="10"/>
      <c r="BA5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2" s="17" t="e">
        <f>tbl_MTG_Set[[#This Row],[Collector Booster CardMarket Profit]]/tbl_MTG_Set[[#This Row],[Collector Booster Cost]]</f>
        <v>#N/A</v>
      </c>
      <c r="BC532" s="10"/>
      <c r="BF5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2" s="11" t="e">
        <f>tbl_MTG_Set[[#This Row],[Play Singles CardMarket Profit MTG Stocks]]/tbl_MTG_Set[[#This Row],[Play Booster Cost]]</f>
        <v>#VALUE!</v>
      </c>
      <c r="BI532" s="11" t="b">
        <f>tbl_MTG_Set[[#This Row],[Play Singles CardMarket Profit MTG Stocks]]&gt;0</f>
        <v>0</v>
      </c>
      <c r="BM532" s="10" t="e">
        <f>tbl_MTG_Set[[#This Row],[Play Booster Sell Price CardMarket]]*tbl_MTG_Set[[#This Row],[Play Booster Expected Market Value BotBox]]/tbl_MTG_Set[[#This Row],[Play Booster Sealed Market Value BotBox]]</f>
        <v>#VALUE!</v>
      </c>
      <c r="BN5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2" s="10" t="e">
        <f>tbl_MTG_Set[[#This Row],[Play Singles CardMarket Profit BotBox]]/tbl_MTG_Set[[#This Row],[Play Booster Cost]]</f>
        <v>#VALUE!</v>
      </c>
      <c r="BP532" s="10" t="b">
        <f>tbl_MTG_Set[[#This Row],[Play Singles CardMarket Profit BotBox]]&gt;0</f>
        <v>0</v>
      </c>
      <c r="BQ532" s="10"/>
      <c r="BR532" s="10"/>
      <c r="BS532" s="10"/>
      <c r="BT5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2" s="19" t="e">
        <f>tbl_MTG_Set[[#This Row],[Collector Singles CardMarket Profit MTG Stocks]]/tbl_MTG_Set[[#This Row],[Collector Booster Cost]]</f>
        <v>#N/A</v>
      </c>
      <c r="BW532" s="10" t="b">
        <f>tbl_MTG_Set[[#This Row],[Collector Singles CardMarket Profit MTG Stocks]]&gt;0</f>
        <v>0</v>
      </c>
      <c r="BX532" s="10"/>
      <c r="BY532" s="10"/>
      <c r="BZ5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2" s="10" t="e">
        <f>tbl_MTG_Set[[#This Row],[Collector Singles CardMarket Profit BotBox]]/tbl_MTG_Set[[#This Row],[Collector Booster Cost]]</f>
        <v>#N/A</v>
      </c>
      <c r="CC532" s="10" t="b">
        <f>tbl_MTG_Set[[#This Row],[Collector Singles CardMarket Profit BotBox]]&gt;0</f>
        <v>0</v>
      </c>
      <c r="CD5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3" spans="1:86" hidden="1">
      <c r="A533">
        <v>564</v>
      </c>
      <c r="B533" t="s">
        <v>706</v>
      </c>
      <c r="C533">
        <v>12</v>
      </c>
      <c r="D533" s="3">
        <v>42608</v>
      </c>
      <c r="F533" t="s">
        <v>174</v>
      </c>
      <c r="G533">
        <v>1074</v>
      </c>
      <c r="H533">
        <f ca="1">MONTH(NOW())+12*YEAR(NOW())-MONTH(tbl_MTG_Set[[#This Row],[Released On]])-12*YEAR(tbl_MTG_Set[[#This Row],[Released On]])</f>
        <v>115</v>
      </c>
      <c r="I533" t="str">
        <f>_xlfn.XLOOKUP(tbl_MTG_Set[[#This Row],[Type Name]], tbl_MTG_Set_Type[Set Type], tbl_MTG_Set_Type[Index], "(Set Type not found)")</f>
        <v>(Set Type not found)</v>
      </c>
      <c r="J533" t="str">
        <f>_xlfn.XLOOKUP(tbl_MTG_Set[[#This Row],[Type Name]], tbl_MTG_Set_Type[Set Type], tbl_MTG_Set_Type[Buy Window Month Start], "(Set Type not found)")</f>
        <v>(Set Type not found)</v>
      </c>
      <c r="K533" s="3" t="e">
        <f>tbl_MTG_Set[[#This Row],[Released On]]+tbl_MTG_Set[[#This Row],[Buy Window Month Start]]*365.25/12</f>
        <v>#VALUE!</v>
      </c>
      <c r="L533" t="str">
        <f>_xlfn.XLOOKUP(tbl_MTG_Set[[#This Row],[Type Name]], tbl_MTG_Set_Type[Set Type], tbl_MTG_Set_Type[Buy Window Month End], "(Set Type not found)", 0, 1)</f>
        <v>(Set Type not found)</v>
      </c>
      <c r="M533" s="3" t="e">
        <f>tbl_MTG_Set[[#This Row],[Released On]]+tbl_MTG_Set[[#This Row],[Buy Window Month End]]*365.25/12</f>
        <v>#VALUE!</v>
      </c>
      <c r="N533" s="3" t="e">
        <f ca="1">AND(NOW()&gt;=tbl_MTG_Set[[#This Row],[Buy Window Start]], NOW()&lt;=tbl_MTG_Set[[#This Row],[Buy Window End]])</f>
        <v>#VALUE!</v>
      </c>
      <c r="O533" t="str">
        <f>_xlfn.XLOOKUP(tbl_MTG_Set[[#This Row],[Type Name]], tbl_MTG_Set_Type[Set Type], tbl_MTG_Set_Type[Heavy Printing Window Month Start], "(Set Type not found)", 0, 1)</f>
        <v>(Set Type not found)</v>
      </c>
      <c r="P533" s="3" t="e">
        <f>tbl_MTG_Set[[#This Row],[Released On]]+tbl_MTG_Set[[#This Row],[Heavy Printing Window Month Start]]*365.25/12</f>
        <v>#VALUE!</v>
      </c>
      <c r="Q533" t="str">
        <f>_xlfn.XLOOKUP(tbl_MTG_Set[[#This Row],[Type Name]], tbl_MTG_Set_Type[Set Type], tbl_MTG_Set_Type[Heavy Printing Window Month End], "(Set Type not found)", 0, 1)</f>
        <v>(Set Type not found)</v>
      </c>
      <c r="R533" s="3" t="e">
        <f>tbl_MTG_Set[[#This Row],[Released On]]+tbl_MTG_Set[[#This Row],[Heavy Printing Window Month End]]*365.25/12</f>
        <v>#VALUE!</v>
      </c>
      <c r="S533" s="3" t="e">
        <f ca="1">AND(NOW()&gt;=tbl_MTG_Set[[#This Row],[Heavy Printing Window Start]], NOW()&lt;=tbl_MTG_Set[[#This Row],[Heavy Printing Window End]])</f>
        <v>#VALUE!</v>
      </c>
      <c r="T533" t="str">
        <f>_xlfn.XLOOKUP(tbl_MTG_Set[[#This Row],[Type Name]], tbl_MTG_Set_Type[Set Type], tbl_MTG_Set_Type[Sell Window Month Start], "(Set Type not found)", 0, 1)</f>
        <v>(Set Type not found)</v>
      </c>
      <c r="U533" s="3" t="e">
        <f>tbl_MTG_Set[[#This Row],[Released On]]+tbl_MTG_Set[[#This Row],[Sell Window Month Start]]*365.25/12</f>
        <v>#VALUE!</v>
      </c>
      <c r="V533" t="str">
        <f>_xlfn.XLOOKUP(tbl_MTG_Set[[#This Row],[Type Name]], tbl_MTG_Set_Type[Set Type], tbl_MTG_Set_Type[Sell Window Month End], "(Set Type not found)", 0, 1)</f>
        <v>(Set Type not found)</v>
      </c>
      <c r="W533" s="3" t="e">
        <f>tbl_MTG_Set[[#This Row],[Released On]]+tbl_MTG_Set[[#This Row],[Sell Window Month End]]*365.25/12</f>
        <v>#VALUE!</v>
      </c>
      <c r="X533" s="3" t="e">
        <f ca="1">AND(NOW()&gt;=tbl_MTG_Set[[#This Row],[Sell Window Start]], NOW()&lt;=tbl_MTG_Set[[#This Row],[Sell Window End]])</f>
        <v>#VALUE!</v>
      </c>
      <c r="AG533" s="10"/>
      <c r="AH533" s="10"/>
      <c r="AM533" s="10" t="str" cm="1">
        <f t="array" ref="AM5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3" s="10" t="str" cm="1">
        <f t="array" ref="AN5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3" s="4" t="e">
        <f>_xlfn.XLOOKUP(tbl_MTG_Set[[#This Row],[Play Booster Box Product Id]], tbl_Product[Product Id], tbl_Product[Pack Size])</f>
        <v>#N/A</v>
      </c>
      <c r="AP533" s="10" t="e">
        <f>(tbl_MTG_Set[[#This Row],[Play Booster Box Cost]]+v_Item_Shipping_Cost_In)/tbl_MTG_Set[[#This Row],[Play Booster Box Size]]</f>
        <v>#VALUE!</v>
      </c>
      <c r="AQ533" s="10" t="str" cm="1">
        <f t="array" ref="AQ5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3" s="10"/>
      <c r="AS533" s="10"/>
      <c r="AT533" s="17" t="e">
        <f>tbl_MTG_Set[[#This Row],[Play Booster CardMarket Profit]]/tbl_MTG_Set[[#This Row],[Play Booster Cost]]</f>
        <v>#VALUE!</v>
      </c>
      <c r="AU533" s="10" t="e">
        <f>_xlfn.XLOOKUP(tbl_MTG_Set[[#This Row],[Collector Booster Box Product Id]], tbl_Product[Product Id], tbl_Product[Min Cost])</f>
        <v>#N/A</v>
      </c>
      <c r="AV533" s="10" t="e">
        <f>_xlfn.XLOOKUP(tbl_MTG_Set[[#This Row],[Collector Booster Box Product Id]], tbl_Product[Product Id], tbl_Product[Best Source])</f>
        <v>#N/A</v>
      </c>
      <c r="AW533" s="4" t="e">
        <f>_xlfn.XLOOKUP(tbl_MTG_Set[[#This Row],[Collector Booster Box Product Id]], tbl_Product[Product Id], tbl_Product[Pack Size])</f>
        <v>#N/A</v>
      </c>
      <c r="AX533" s="10" t="e">
        <f>(tbl_MTG_Set[[#This Row],[Collector Booster Box Cost]] + v_Item_Shipping_Cost_In) / tbl_MTG_Set[[#This Row],[Collector Booster Box Size]]</f>
        <v>#N/A</v>
      </c>
      <c r="AY533" s="10" t="str" cm="1">
        <f t="array" ref="AY5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3" s="10"/>
      <c r="BA5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3" s="17" t="e">
        <f>tbl_MTG_Set[[#This Row],[Collector Booster CardMarket Profit]]/tbl_MTG_Set[[#This Row],[Collector Booster Cost]]</f>
        <v>#N/A</v>
      </c>
      <c r="BC533" s="10"/>
      <c r="BF5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3" s="11" t="e">
        <f>tbl_MTG_Set[[#This Row],[Play Singles CardMarket Profit MTG Stocks]]/tbl_MTG_Set[[#This Row],[Play Booster Cost]]</f>
        <v>#VALUE!</v>
      </c>
      <c r="BI533" s="11" t="b">
        <f>tbl_MTG_Set[[#This Row],[Play Singles CardMarket Profit MTG Stocks]]&gt;0</f>
        <v>0</v>
      </c>
      <c r="BM533" s="10" t="e">
        <f>tbl_MTG_Set[[#This Row],[Play Booster Sell Price CardMarket]]*tbl_MTG_Set[[#This Row],[Play Booster Expected Market Value BotBox]]/tbl_MTG_Set[[#This Row],[Play Booster Sealed Market Value BotBox]]</f>
        <v>#VALUE!</v>
      </c>
      <c r="BN5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3" s="10" t="e">
        <f>tbl_MTG_Set[[#This Row],[Play Singles CardMarket Profit BotBox]]/tbl_MTG_Set[[#This Row],[Play Booster Cost]]</f>
        <v>#VALUE!</v>
      </c>
      <c r="BP533" s="10" t="b">
        <f>tbl_MTG_Set[[#This Row],[Play Singles CardMarket Profit BotBox]]&gt;0</f>
        <v>0</v>
      </c>
      <c r="BQ533" s="10"/>
      <c r="BR533" s="10"/>
      <c r="BS533" s="10"/>
      <c r="BT5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3" s="19" t="e">
        <f>tbl_MTG_Set[[#This Row],[Collector Singles CardMarket Profit MTG Stocks]]/tbl_MTG_Set[[#This Row],[Collector Booster Cost]]</f>
        <v>#N/A</v>
      </c>
      <c r="BW533" s="10" t="b">
        <f>tbl_MTG_Set[[#This Row],[Collector Singles CardMarket Profit MTG Stocks]]&gt;0</f>
        <v>0</v>
      </c>
      <c r="BX533" s="10"/>
      <c r="BY533" s="10"/>
      <c r="BZ5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3" s="10" t="e">
        <f>tbl_MTG_Set[[#This Row],[Collector Singles CardMarket Profit BotBox]]/tbl_MTG_Set[[#This Row],[Collector Booster Cost]]</f>
        <v>#N/A</v>
      </c>
      <c r="CC533" s="10" t="b">
        <f>tbl_MTG_Set[[#This Row],[Collector Singles CardMarket Profit BotBox]]&gt;0</f>
        <v>0</v>
      </c>
      <c r="CD5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4" spans="1:86" hidden="1">
      <c r="A534">
        <v>565</v>
      </c>
      <c r="B534" t="s">
        <v>707</v>
      </c>
      <c r="C534">
        <v>16</v>
      </c>
      <c r="D534" s="3">
        <v>42601</v>
      </c>
      <c r="F534" t="s">
        <v>174</v>
      </c>
      <c r="G534">
        <v>1076</v>
      </c>
      <c r="H534">
        <f ca="1">MONTH(NOW())+12*YEAR(NOW())-MONTH(tbl_MTG_Set[[#This Row],[Released On]])-12*YEAR(tbl_MTG_Set[[#This Row],[Released On]])</f>
        <v>115</v>
      </c>
      <c r="I534" t="str">
        <f>_xlfn.XLOOKUP(tbl_MTG_Set[[#This Row],[Type Name]], tbl_MTG_Set_Type[Set Type], tbl_MTG_Set_Type[Index], "(Set Type not found)")</f>
        <v>(Set Type not found)</v>
      </c>
      <c r="J534" t="str">
        <f>_xlfn.XLOOKUP(tbl_MTG_Set[[#This Row],[Type Name]], tbl_MTG_Set_Type[Set Type], tbl_MTG_Set_Type[Buy Window Month Start], "(Set Type not found)")</f>
        <v>(Set Type not found)</v>
      </c>
      <c r="K534" s="3" t="e">
        <f>tbl_MTG_Set[[#This Row],[Released On]]+tbl_MTG_Set[[#This Row],[Buy Window Month Start]]*365.25/12</f>
        <v>#VALUE!</v>
      </c>
      <c r="L534" t="str">
        <f>_xlfn.XLOOKUP(tbl_MTG_Set[[#This Row],[Type Name]], tbl_MTG_Set_Type[Set Type], tbl_MTG_Set_Type[Buy Window Month End], "(Set Type not found)", 0, 1)</f>
        <v>(Set Type not found)</v>
      </c>
      <c r="M534" s="3" t="e">
        <f>tbl_MTG_Set[[#This Row],[Released On]]+tbl_MTG_Set[[#This Row],[Buy Window Month End]]*365.25/12</f>
        <v>#VALUE!</v>
      </c>
      <c r="N534" s="3" t="e">
        <f ca="1">AND(NOW()&gt;=tbl_MTG_Set[[#This Row],[Buy Window Start]], NOW()&lt;=tbl_MTG_Set[[#This Row],[Buy Window End]])</f>
        <v>#VALUE!</v>
      </c>
      <c r="O534" t="str">
        <f>_xlfn.XLOOKUP(tbl_MTG_Set[[#This Row],[Type Name]], tbl_MTG_Set_Type[Set Type], tbl_MTG_Set_Type[Heavy Printing Window Month Start], "(Set Type not found)", 0, 1)</f>
        <v>(Set Type not found)</v>
      </c>
      <c r="P534" s="3" t="e">
        <f>tbl_MTG_Set[[#This Row],[Released On]]+tbl_MTG_Set[[#This Row],[Heavy Printing Window Month Start]]*365.25/12</f>
        <v>#VALUE!</v>
      </c>
      <c r="Q534" t="str">
        <f>_xlfn.XLOOKUP(tbl_MTG_Set[[#This Row],[Type Name]], tbl_MTG_Set_Type[Set Type], tbl_MTG_Set_Type[Heavy Printing Window Month End], "(Set Type not found)", 0, 1)</f>
        <v>(Set Type not found)</v>
      </c>
      <c r="R534" s="3" t="e">
        <f>tbl_MTG_Set[[#This Row],[Released On]]+tbl_MTG_Set[[#This Row],[Heavy Printing Window Month End]]*365.25/12</f>
        <v>#VALUE!</v>
      </c>
      <c r="S534" s="3" t="e">
        <f ca="1">AND(NOW()&gt;=tbl_MTG_Set[[#This Row],[Heavy Printing Window Start]], NOW()&lt;=tbl_MTG_Set[[#This Row],[Heavy Printing Window End]])</f>
        <v>#VALUE!</v>
      </c>
      <c r="T534" t="str">
        <f>_xlfn.XLOOKUP(tbl_MTG_Set[[#This Row],[Type Name]], tbl_MTG_Set_Type[Set Type], tbl_MTG_Set_Type[Sell Window Month Start], "(Set Type not found)", 0, 1)</f>
        <v>(Set Type not found)</v>
      </c>
      <c r="U534" s="3" t="e">
        <f>tbl_MTG_Set[[#This Row],[Released On]]+tbl_MTG_Set[[#This Row],[Sell Window Month Start]]*365.25/12</f>
        <v>#VALUE!</v>
      </c>
      <c r="V534" t="str">
        <f>_xlfn.XLOOKUP(tbl_MTG_Set[[#This Row],[Type Name]], tbl_MTG_Set_Type[Set Type], tbl_MTG_Set_Type[Sell Window Month End], "(Set Type not found)", 0, 1)</f>
        <v>(Set Type not found)</v>
      </c>
      <c r="W534" s="3" t="e">
        <f>tbl_MTG_Set[[#This Row],[Released On]]+tbl_MTG_Set[[#This Row],[Sell Window Month End]]*365.25/12</f>
        <v>#VALUE!</v>
      </c>
      <c r="X534" s="3" t="e">
        <f ca="1">AND(NOW()&gt;=tbl_MTG_Set[[#This Row],[Sell Window Start]], NOW()&lt;=tbl_MTG_Set[[#This Row],[Sell Window End]])</f>
        <v>#VALUE!</v>
      </c>
      <c r="AG534" s="10"/>
      <c r="AH534" s="10"/>
      <c r="AM534" s="10" t="str" cm="1">
        <f t="array" ref="AM5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4" s="10" t="str" cm="1">
        <f t="array" ref="AN5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4" s="4" t="e">
        <f>_xlfn.XLOOKUP(tbl_MTG_Set[[#This Row],[Play Booster Box Product Id]], tbl_Product[Product Id], tbl_Product[Pack Size])</f>
        <v>#N/A</v>
      </c>
      <c r="AP534" s="10" t="e">
        <f>(tbl_MTG_Set[[#This Row],[Play Booster Box Cost]]+v_Item_Shipping_Cost_In)/tbl_MTG_Set[[#This Row],[Play Booster Box Size]]</f>
        <v>#VALUE!</v>
      </c>
      <c r="AQ534" s="10" t="str" cm="1">
        <f t="array" ref="AQ5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4" s="10"/>
      <c r="AS534" s="10"/>
      <c r="AT534" s="17" t="e">
        <f>tbl_MTG_Set[[#This Row],[Play Booster CardMarket Profit]]/tbl_MTG_Set[[#This Row],[Play Booster Cost]]</f>
        <v>#VALUE!</v>
      </c>
      <c r="AU534" s="10" t="e">
        <f>_xlfn.XLOOKUP(tbl_MTG_Set[[#This Row],[Collector Booster Box Product Id]], tbl_Product[Product Id], tbl_Product[Min Cost])</f>
        <v>#N/A</v>
      </c>
      <c r="AV534" s="10" t="e">
        <f>_xlfn.XLOOKUP(tbl_MTG_Set[[#This Row],[Collector Booster Box Product Id]], tbl_Product[Product Id], tbl_Product[Best Source])</f>
        <v>#N/A</v>
      </c>
      <c r="AW534" s="4" t="e">
        <f>_xlfn.XLOOKUP(tbl_MTG_Set[[#This Row],[Collector Booster Box Product Id]], tbl_Product[Product Id], tbl_Product[Pack Size])</f>
        <v>#N/A</v>
      </c>
      <c r="AX534" s="10" t="e">
        <f>(tbl_MTG_Set[[#This Row],[Collector Booster Box Cost]] + v_Item_Shipping_Cost_In) / tbl_MTG_Set[[#This Row],[Collector Booster Box Size]]</f>
        <v>#N/A</v>
      </c>
      <c r="AY534" s="10" t="str" cm="1">
        <f t="array" ref="AY5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4" s="10"/>
      <c r="BA5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4" s="17" t="e">
        <f>tbl_MTG_Set[[#This Row],[Collector Booster CardMarket Profit]]/tbl_MTG_Set[[#This Row],[Collector Booster Cost]]</f>
        <v>#N/A</v>
      </c>
      <c r="BC534" s="10"/>
      <c r="BF5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4" s="11" t="e">
        <f>tbl_MTG_Set[[#This Row],[Play Singles CardMarket Profit MTG Stocks]]/tbl_MTG_Set[[#This Row],[Play Booster Cost]]</f>
        <v>#VALUE!</v>
      </c>
      <c r="BI534" s="11" t="b">
        <f>tbl_MTG_Set[[#This Row],[Play Singles CardMarket Profit MTG Stocks]]&gt;0</f>
        <v>0</v>
      </c>
      <c r="BM534" s="10" t="e">
        <f>tbl_MTG_Set[[#This Row],[Play Booster Sell Price CardMarket]]*tbl_MTG_Set[[#This Row],[Play Booster Expected Market Value BotBox]]/tbl_MTG_Set[[#This Row],[Play Booster Sealed Market Value BotBox]]</f>
        <v>#VALUE!</v>
      </c>
      <c r="BN5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4" s="10" t="e">
        <f>tbl_MTG_Set[[#This Row],[Play Singles CardMarket Profit BotBox]]/tbl_MTG_Set[[#This Row],[Play Booster Cost]]</f>
        <v>#VALUE!</v>
      </c>
      <c r="BP534" s="10" t="b">
        <f>tbl_MTG_Set[[#This Row],[Play Singles CardMarket Profit BotBox]]&gt;0</f>
        <v>0</v>
      </c>
      <c r="BQ534" s="10"/>
      <c r="BR534" s="10"/>
      <c r="BS534" s="10"/>
      <c r="BT5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4" s="19" t="e">
        <f>tbl_MTG_Set[[#This Row],[Collector Singles CardMarket Profit MTG Stocks]]/tbl_MTG_Set[[#This Row],[Collector Booster Cost]]</f>
        <v>#N/A</v>
      </c>
      <c r="BW534" s="10" t="b">
        <f>tbl_MTG_Set[[#This Row],[Collector Singles CardMarket Profit MTG Stocks]]&gt;0</f>
        <v>0</v>
      </c>
      <c r="BX534" s="10"/>
      <c r="BY534" s="10"/>
      <c r="BZ5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4" s="10" t="e">
        <f>tbl_MTG_Set[[#This Row],[Collector Singles CardMarket Profit BotBox]]/tbl_MTG_Set[[#This Row],[Collector Booster Cost]]</f>
        <v>#N/A</v>
      </c>
      <c r="CC534" s="10" t="b">
        <f>tbl_MTG_Set[[#This Row],[Collector Singles CardMarket Profit BotBox]]&gt;0</f>
        <v>0</v>
      </c>
      <c r="CD5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5" spans="1:86" hidden="1">
      <c r="A535">
        <v>566</v>
      </c>
      <c r="B535" t="s">
        <v>708</v>
      </c>
      <c r="C535">
        <v>208</v>
      </c>
      <c r="D535" s="3">
        <v>42573</v>
      </c>
      <c r="F535" t="s">
        <v>174</v>
      </c>
      <c r="G535">
        <v>1078</v>
      </c>
      <c r="H535">
        <f ca="1">MONTH(NOW())+12*YEAR(NOW())-MONTH(tbl_MTG_Set[[#This Row],[Released On]])-12*YEAR(tbl_MTG_Set[[#This Row],[Released On]])</f>
        <v>116</v>
      </c>
      <c r="I535" t="str">
        <f>_xlfn.XLOOKUP(tbl_MTG_Set[[#This Row],[Type Name]], tbl_MTG_Set_Type[Set Type], tbl_MTG_Set_Type[Index], "(Set Type not found)")</f>
        <v>(Set Type not found)</v>
      </c>
      <c r="J535" t="str">
        <f>_xlfn.XLOOKUP(tbl_MTG_Set[[#This Row],[Type Name]], tbl_MTG_Set_Type[Set Type], tbl_MTG_Set_Type[Buy Window Month Start], "(Set Type not found)")</f>
        <v>(Set Type not found)</v>
      </c>
      <c r="K535" s="3" t="e">
        <f>tbl_MTG_Set[[#This Row],[Released On]]+tbl_MTG_Set[[#This Row],[Buy Window Month Start]]*365.25/12</f>
        <v>#VALUE!</v>
      </c>
      <c r="L535" t="str">
        <f>_xlfn.XLOOKUP(tbl_MTG_Set[[#This Row],[Type Name]], tbl_MTG_Set_Type[Set Type], tbl_MTG_Set_Type[Buy Window Month End], "(Set Type not found)", 0, 1)</f>
        <v>(Set Type not found)</v>
      </c>
      <c r="M535" s="3" t="e">
        <f>tbl_MTG_Set[[#This Row],[Released On]]+tbl_MTG_Set[[#This Row],[Buy Window Month End]]*365.25/12</f>
        <v>#VALUE!</v>
      </c>
      <c r="N535" s="3" t="e">
        <f ca="1">AND(NOW()&gt;=tbl_MTG_Set[[#This Row],[Buy Window Start]], NOW()&lt;=tbl_MTG_Set[[#This Row],[Buy Window End]])</f>
        <v>#VALUE!</v>
      </c>
      <c r="O535" t="str">
        <f>_xlfn.XLOOKUP(tbl_MTG_Set[[#This Row],[Type Name]], tbl_MTG_Set_Type[Set Type], tbl_MTG_Set_Type[Heavy Printing Window Month Start], "(Set Type not found)", 0, 1)</f>
        <v>(Set Type not found)</v>
      </c>
      <c r="P535" s="3" t="e">
        <f>tbl_MTG_Set[[#This Row],[Released On]]+tbl_MTG_Set[[#This Row],[Heavy Printing Window Month Start]]*365.25/12</f>
        <v>#VALUE!</v>
      </c>
      <c r="Q535" t="str">
        <f>_xlfn.XLOOKUP(tbl_MTG_Set[[#This Row],[Type Name]], tbl_MTG_Set_Type[Set Type], tbl_MTG_Set_Type[Heavy Printing Window Month End], "(Set Type not found)", 0, 1)</f>
        <v>(Set Type not found)</v>
      </c>
      <c r="R535" s="3" t="e">
        <f>tbl_MTG_Set[[#This Row],[Released On]]+tbl_MTG_Set[[#This Row],[Heavy Printing Window Month End]]*365.25/12</f>
        <v>#VALUE!</v>
      </c>
      <c r="S535" s="3" t="e">
        <f ca="1">AND(NOW()&gt;=tbl_MTG_Set[[#This Row],[Heavy Printing Window Start]], NOW()&lt;=tbl_MTG_Set[[#This Row],[Heavy Printing Window End]])</f>
        <v>#VALUE!</v>
      </c>
      <c r="T535" t="str">
        <f>_xlfn.XLOOKUP(tbl_MTG_Set[[#This Row],[Type Name]], tbl_MTG_Set_Type[Set Type], tbl_MTG_Set_Type[Sell Window Month Start], "(Set Type not found)", 0, 1)</f>
        <v>(Set Type not found)</v>
      </c>
      <c r="U535" s="3" t="e">
        <f>tbl_MTG_Set[[#This Row],[Released On]]+tbl_MTG_Set[[#This Row],[Sell Window Month Start]]*365.25/12</f>
        <v>#VALUE!</v>
      </c>
      <c r="V535" t="str">
        <f>_xlfn.XLOOKUP(tbl_MTG_Set[[#This Row],[Type Name]], tbl_MTG_Set_Type[Set Type], tbl_MTG_Set_Type[Sell Window Month End], "(Set Type not found)", 0, 1)</f>
        <v>(Set Type not found)</v>
      </c>
      <c r="W535" s="3" t="e">
        <f>tbl_MTG_Set[[#This Row],[Released On]]+tbl_MTG_Set[[#This Row],[Sell Window Month End]]*365.25/12</f>
        <v>#VALUE!</v>
      </c>
      <c r="X535" s="3" t="e">
        <f ca="1">AND(NOW()&gt;=tbl_MTG_Set[[#This Row],[Sell Window Start]], NOW()&lt;=tbl_MTG_Set[[#This Row],[Sell Window End]])</f>
        <v>#VALUE!</v>
      </c>
      <c r="AG535" s="10"/>
      <c r="AH535" s="10"/>
      <c r="AM535" s="10" t="str" cm="1">
        <f t="array" ref="AM5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5" s="10" t="str" cm="1">
        <f t="array" ref="AN5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5" s="4" t="e">
        <f>_xlfn.XLOOKUP(tbl_MTG_Set[[#This Row],[Play Booster Box Product Id]], tbl_Product[Product Id], tbl_Product[Pack Size])</f>
        <v>#N/A</v>
      </c>
      <c r="AP535" s="10" t="e">
        <f>(tbl_MTG_Set[[#This Row],[Play Booster Box Cost]]+v_Item_Shipping_Cost_In)/tbl_MTG_Set[[#This Row],[Play Booster Box Size]]</f>
        <v>#VALUE!</v>
      </c>
      <c r="AQ535" s="10" t="str" cm="1">
        <f t="array" ref="AQ5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5" s="10"/>
      <c r="AS535" s="10"/>
      <c r="AT535" s="17" t="e">
        <f>tbl_MTG_Set[[#This Row],[Play Booster CardMarket Profit]]/tbl_MTG_Set[[#This Row],[Play Booster Cost]]</f>
        <v>#VALUE!</v>
      </c>
      <c r="AU535" s="10" t="e">
        <f>_xlfn.XLOOKUP(tbl_MTG_Set[[#This Row],[Collector Booster Box Product Id]], tbl_Product[Product Id], tbl_Product[Min Cost])</f>
        <v>#N/A</v>
      </c>
      <c r="AV535" s="10" t="e">
        <f>_xlfn.XLOOKUP(tbl_MTG_Set[[#This Row],[Collector Booster Box Product Id]], tbl_Product[Product Id], tbl_Product[Best Source])</f>
        <v>#N/A</v>
      </c>
      <c r="AW535" s="4" t="e">
        <f>_xlfn.XLOOKUP(tbl_MTG_Set[[#This Row],[Collector Booster Box Product Id]], tbl_Product[Product Id], tbl_Product[Pack Size])</f>
        <v>#N/A</v>
      </c>
      <c r="AX535" s="10" t="e">
        <f>(tbl_MTG_Set[[#This Row],[Collector Booster Box Cost]] + v_Item_Shipping_Cost_In) / tbl_MTG_Set[[#This Row],[Collector Booster Box Size]]</f>
        <v>#N/A</v>
      </c>
      <c r="AY535" s="10" t="str" cm="1">
        <f t="array" ref="AY5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5" s="10"/>
      <c r="BA5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5" s="17" t="e">
        <f>tbl_MTG_Set[[#This Row],[Collector Booster CardMarket Profit]]/tbl_MTG_Set[[#This Row],[Collector Booster Cost]]</f>
        <v>#N/A</v>
      </c>
      <c r="BC535" s="10"/>
      <c r="BF5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5" s="11" t="e">
        <f>tbl_MTG_Set[[#This Row],[Play Singles CardMarket Profit MTG Stocks]]/tbl_MTG_Set[[#This Row],[Play Booster Cost]]</f>
        <v>#VALUE!</v>
      </c>
      <c r="BI535" s="11" t="b">
        <f>tbl_MTG_Set[[#This Row],[Play Singles CardMarket Profit MTG Stocks]]&gt;0</f>
        <v>0</v>
      </c>
      <c r="BM535" s="10" t="e">
        <f>tbl_MTG_Set[[#This Row],[Play Booster Sell Price CardMarket]]*tbl_MTG_Set[[#This Row],[Play Booster Expected Market Value BotBox]]/tbl_MTG_Set[[#This Row],[Play Booster Sealed Market Value BotBox]]</f>
        <v>#VALUE!</v>
      </c>
      <c r="BN5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5" s="10" t="e">
        <f>tbl_MTG_Set[[#This Row],[Play Singles CardMarket Profit BotBox]]/tbl_MTG_Set[[#This Row],[Play Booster Cost]]</f>
        <v>#VALUE!</v>
      </c>
      <c r="BP535" s="10" t="b">
        <f>tbl_MTG_Set[[#This Row],[Play Singles CardMarket Profit BotBox]]&gt;0</f>
        <v>0</v>
      </c>
      <c r="BQ535" s="10"/>
      <c r="BR535" s="10"/>
      <c r="BS535" s="10"/>
      <c r="BT5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5" s="19" t="e">
        <f>tbl_MTG_Set[[#This Row],[Collector Singles CardMarket Profit MTG Stocks]]/tbl_MTG_Set[[#This Row],[Collector Booster Cost]]</f>
        <v>#N/A</v>
      </c>
      <c r="BW535" s="10" t="b">
        <f>tbl_MTG_Set[[#This Row],[Collector Singles CardMarket Profit MTG Stocks]]&gt;0</f>
        <v>0</v>
      </c>
      <c r="BX535" s="10"/>
      <c r="BY535" s="10"/>
      <c r="BZ5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5" s="10" t="e">
        <f>tbl_MTG_Set[[#This Row],[Collector Singles CardMarket Profit BotBox]]/tbl_MTG_Set[[#This Row],[Collector Booster Cost]]</f>
        <v>#N/A</v>
      </c>
      <c r="CC535" s="10" t="b">
        <f>tbl_MTG_Set[[#This Row],[Collector Singles CardMarket Profit BotBox]]&gt;0</f>
        <v>0</v>
      </c>
      <c r="CD5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6" spans="1:86" hidden="1">
      <c r="A536">
        <v>567</v>
      </c>
      <c r="B536" t="s">
        <v>709</v>
      </c>
      <c r="C536">
        <v>77</v>
      </c>
      <c r="D536" s="3">
        <v>42573</v>
      </c>
      <c r="F536" t="s">
        <v>174</v>
      </c>
      <c r="G536">
        <v>1080</v>
      </c>
      <c r="H536">
        <f ca="1">MONTH(NOW())+12*YEAR(NOW())-MONTH(tbl_MTG_Set[[#This Row],[Released On]])-12*YEAR(tbl_MTG_Set[[#This Row],[Released On]])</f>
        <v>116</v>
      </c>
      <c r="I536" t="str">
        <f>_xlfn.XLOOKUP(tbl_MTG_Set[[#This Row],[Type Name]], tbl_MTG_Set_Type[Set Type], tbl_MTG_Set_Type[Index], "(Set Type not found)")</f>
        <v>(Set Type not found)</v>
      </c>
      <c r="J536" t="str">
        <f>_xlfn.XLOOKUP(tbl_MTG_Set[[#This Row],[Type Name]], tbl_MTG_Set_Type[Set Type], tbl_MTG_Set_Type[Buy Window Month Start], "(Set Type not found)")</f>
        <v>(Set Type not found)</v>
      </c>
      <c r="K536" s="3" t="e">
        <f>tbl_MTG_Set[[#This Row],[Released On]]+tbl_MTG_Set[[#This Row],[Buy Window Month Start]]*365.25/12</f>
        <v>#VALUE!</v>
      </c>
      <c r="L536" t="str">
        <f>_xlfn.XLOOKUP(tbl_MTG_Set[[#This Row],[Type Name]], tbl_MTG_Set_Type[Set Type], tbl_MTG_Set_Type[Buy Window Month End], "(Set Type not found)", 0, 1)</f>
        <v>(Set Type not found)</v>
      </c>
      <c r="M536" s="3" t="e">
        <f>tbl_MTG_Set[[#This Row],[Released On]]+tbl_MTG_Set[[#This Row],[Buy Window Month End]]*365.25/12</f>
        <v>#VALUE!</v>
      </c>
      <c r="N536" s="3" t="e">
        <f ca="1">AND(NOW()&gt;=tbl_MTG_Set[[#This Row],[Buy Window Start]], NOW()&lt;=tbl_MTG_Set[[#This Row],[Buy Window End]])</f>
        <v>#VALUE!</v>
      </c>
      <c r="O536" t="str">
        <f>_xlfn.XLOOKUP(tbl_MTG_Set[[#This Row],[Type Name]], tbl_MTG_Set_Type[Set Type], tbl_MTG_Set_Type[Heavy Printing Window Month Start], "(Set Type not found)", 0, 1)</f>
        <v>(Set Type not found)</v>
      </c>
      <c r="P536" s="3" t="e">
        <f>tbl_MTG_Set[[#This Row],[Released On]]+tbl_MTG_Set[[#This Row],[Heavy Printing Window Month Start]]*365.25/12</f>
        <v>#VALUE!</v>
      </c>
      <c r="Q536" t="str">
        <f>_xlfn.XLOOKUP(tbl_MTG_Set[[#This Row],[Type Name]], tbl_MTG_Set_Type[Set Type], tbl_MTG_Set_Type[Heavy Printing Window Month End], "(Set Type not found)", 0, 1)</f>
        <v>(Set Type not found)</v>
      </c>
      <c r="R536" s="3" t="e">
        <f>tbl_MTG_Set[[#This Row],[Released On]]+tbl_MTG_Set[[#This Row],[Heavy Printing Window Month End]]*365.25/12</f>
        <v>#VALUE!</v>
      </c>
      <c r="S536" s="3" t="e">
        <f ca="1">AND(NOW()&gt;=tbl_MTG_Set[[#This Row],[Heavy Printing Window Start]], NOW()&lt;=tbl_MTG_Set[[#This Row],[Heavy Printing Window End]])</f>
        <v>#VALUE!</v>
      </c>
      <c r="T536" t="str">
        <f>_xlfn.XLOOKUP(tbl_MTG_Set[[#This Row],[Type Name]], tbl_MTG_Set_Type[Set Type], tbl_MTG_Set_Type[Sell Window Month Start], "(Set Type not found)", 0, 1)</f>
        <v>(Set Type not found)</v>
      </c>
      <c r="U536" s="3" t="e">
        <f>tbl_MTG_Set[[#This Row],[Released On]]+tbl_MTG_Set[[#This Row],[Sell Window Month Start]]*365.25/12</f>
        <v>#VALUE!</v>
      </c>
      <c r="V536" t="str">
        <f>_xlfn.XLOOKUP(tbl_MTG_Set[[#This Row],[Type Name]], tbl_MTG_Set_Type[Set Type], tbl_MTG_Set_Type[Sell Window Month End], "(Set Type not found)", 0, 1)</f>
        <v>(Set Type not found)</v>
      </c>
      <c r="W536" s="3" t="e">
        <f>tbl_MTG_Set[[#This Row],[Released On]]+tbl_MTG_Set[[#This Row],[Sell Window Month End]]*365.25/12</f>
        <v>#VALUE!</v>
      </c>
      <c r="X536" s="3" t="e">
        <f ca="1">AND(NOW()&gt;=tbl_MTG_Set[[#This Row],[Sell Window Start]], NOW()&lt;=tbl_MTG_Set[[#This Row],[Sell Window End]])</f>
        <v>#VALUE!</v>
      </c>
      <c r="AG536" s="10"/>
      <c r="AH536" s="10"/>
      <c r="AM536" s="10" t="str" cm="1">
        <f t="array" ref="AM5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6" s="10" t="str" cm="1">
        <f t="array" ref="AN5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6" s="4" t="e">
        <f>_xlfn.XLOOKUP(tbl_MTG_Set[[#This Row],[Play Booster Box Product Id]], tbl_Product[Product Id], tbl_Product[Pack Size])</f>
        <v>#N/A</v>
      </c>
      <c r="AP536" s="10" t="e">
        <f>(tbl_MTG_Set[[#This Row],[Play Booster Box Cost]]+v_Item_Shipping_Cost_In)/tbl_MTG_Set[[#This Row],[Play Booster Box Size]]</f>
        <v>#VALUE!</v>
      </c>
      <c r="AQ536" s="10" t="str" cm="1">
        <f t="array" ref="AQ5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6" s="10"/>
      <c r="AS536" s="10"/>
      <c r="AT536" s="17" t="e">
        <f>tbl_MTG_Set[[#This Row],[Play Booster CardMarket Profit]]/tbl_MTG_Set[[#This Row],[Play Booster Cost]]</f>
        <v>#VALUE!</v>
      </c>
      <c r="AU536" s="10" t="e">
        <f>_xlfn.XLOOKUP(tbl_MTG_Set[[#This Row],[Collector Booster Box Product Id]], tbl_Product[Product Id], tbl_Product[Min Cost])</f>
        <v>#N/A</v>
      </c>
      <c r="AV536" s="10" t="e">
        <f>_xlfn.XLOOKUP(tbl_MTG_Set[[#This Row],[Collector Booster Box Product Id]], tbl_Product[Product Id], tbl_Product[Best Source])</f>
        <v>#N/A</v>
      </c>
      <c r="AW536" s="4" t="e">
        <f>_xlfn.XLOOKUP(tbl_MTG_Set[[#This Row],[Collector Booster Box Product Id]], tbl_Product[Product Id], tbl_Product[Pack Size])</f>
        <v>#N/A</v>
      </c>
      <c r="AX536" s="10" t="e">
        <f>(tbl_MTG_Set[[#This Row],[Collector Booster Box Cost]] + v_Item_Shipping_Cost_In) / tbl_MTG_Set[[#This Row],[Collector Booster Box Size]]</f>
        <v>#N/A</v>
      </c>
      <c r="AY536" s="10" t="str" cm="1">
        <f t="array" ref="AY5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6" s="10"/>
      <c r="BA5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6" s="17" t="e">
        <f>tbl_MTG_Set[[#This Row],[Collector Booster CardMarket Profit]]/tbl_MTG_Set[[#This Row],[Collector Booster Cost]]</f>
        <v>#N/A</v>
      </c>
      <c r="BC536" s="10"/>
      <c r="BF5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6" s="11" t="e">
        <f>tbl_MTG_Set[[#This Row],[Play Singles CardMarket Profit MTG Stocks]]/tbl_MTG_Set[[#This Row],[Play Booster Cost]]</f>
        <v>#VALUE!</v>
      </c>
      <c r="BI536" s="11" t="b">
        <f>tbl_MTG_Set[[#This Row],[Play Singles CardMarket Profit MTG Stocks]]&gt;0</f>
        <v>0</v>
      </c>
      <c r="BM536" s="10" t="e">
        <f>tbl_MTG_Set[[#This Row],[Play Booster Sell Price CardMarket]]*tbl_MTG_Set[[#This Row],[Play Booster Expected Market Value BotBox]]/tbl_MTG_Set[[#This Row],[Play Booster Sealed Market Value BotBox]]</f>
        <v>#VALUE!</v>
      </c>
      <c r="BN5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6" s="10" t="e">
        <f>tbl_MTG_Set[[#This Row],[Play Singles CardMarket Profit BotBox]]/tbl_MTG_Set[[#This Row],[Play Booster Cost]]</f>
        <v>#VALUE!</v>
      </c>
      <c r="BP536" s="10" t="b">
        <f>tbl_MTG_Set[[#This Row],[Play Singles CardMarket Profit BotBox]]&gt;0</f>
        <v>0</v>
      </c>
      <c r="BQ536" s="10"/>
      <c r="BR536" s="10"/>
      <c r="BS536" s="10"/>
      <c r="BT5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6" s="19" t="e">
        <f>tbl_MTG_Set[[#This Row],[Collector Singles CardMarket Profit MTG Stocks]]/tbl_MTG_Set[[#This Row],[Collector Booster Cost]]</f>
        <v>#N/A</v>
      </c>
      <c r="BW536" s="10" t="b">
        <f>tbl_MTG_Set[[#This Row],[Collector Singles CardMarket Profit MTG Stocks]]&gt;0</f>
        <v>0</v>
      </c>
      <c r="BX536" s="10"/>
      <c r="BY536" s="10"/>
      <c r="BZ5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6" s="10" t="e">
        <f>tbl_MTG_Set[[#This Row],[Collector Singles CardMarket Profit BotBox]]/tbl_MTG_Set[[#This Row],[Collector Booster Cost]]</f>
        <v>#N/A</v>
      </c>
      <c r="CC536" s="10" t="b">
        <f>tbl_MTG_Set[[#This Row],[Collector Singles CardMarket Profit BotBox]]&gt;0</f>
        <v>0</v>
      </c>
      <c r="CD5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7" spans="1:86" hidden="1">
      <c r="A537">
        <v>568</v>
      </c>
      <c r="B537" t="s">
        <v>710</v>
      </c>
      <c r="C537">
        <v>11</v>
      </c>
      <c r="D537" s="3">
        <v>42573</v>
      </c>
      <c r="F537" t="s">
        <v>174</v>
      </c>
      <c r="G537">
        <v>1082</v>
      </c>
      <c r="H537">
        <f ca="1">MONTH(NOW())+12*YEAR(NOW())-MONTH(tbl_MTG_Set[[#This Row],[Released On]])-12*YEAR(tbl_MTG_Set[[#This Row],[Released On]])</f>
        <v>116</v>
      </c>
      <c r="I537" t="str">
        <f>_xlfn.XLOOKUP(tbl_MTG_Set[[#This Row],[Type Name]], tbl_MTG_Set_Type[Set Type], tbl_MTG_Set_Type[Index], "(Set Type not found)")</f>
        <v>(Set Type not found)</v>
      </c>
      <c r="J537" t="str">
        <f>_xlfn.XLOOKUP(tbl_MTG_Set[[#This Row],[Type Name]], tbl_MTG_Set_Type[Set Type], tbl_MTG_Set_Type[Buy Window Month Start], "(Set Type not found)")</f>
        <v>(Set Type not found)</v>
      </c>
      <c r="K537" s="3" t="e">
        <f>tbl_MTG_Set[[#This Row],[Released On]]+tbl_MTG_Set[[#This Row],[Buy Window Month Start]]*365.25/12</f>
        <v>#VALUE!</v>
      </c>
      <c r="L537" t="str">
        <f>_xlfn.XLOOKUP(tbl_MTG_Set[[#This Row],[Type Name]], tbl_MTG_Set_Type[Set Type], tbl_MTG_Set_Type[Buy Window Month End], "(Set Type not found)", 0, 1)</f>
        <v>(Set Type not found)</v>
      </c>
      <c r="M537" s="3" t="e">
        <f>tbl_MTG_Set[[#This Row],[Released On]]+tbl_MTG_Set[[#This Row],[Buy Window Month End]]*365.25/12</f>
        <v>#VALUE!</v>
      </c>
      <c r="N537" s="3" t="e">
        <f ca="1">AND(NOW()&gt;=tbl_MTG_Set[[#This Row],[Buy Window Start]], NOW()&lt;=tbl_MTG_Set[[#This Row],[Buy Window End]])</f>
        <v>#VALUE!</v>
      </c>
      <c r="O537" t="str">
        <f>_xlfn.XLOOKUP(tbl_MTG_Set[[#This Row],[Type Name]], tbl_MTG_Set_Type[Set Type], tbl_MTG_Set_Type[Heavy Printing Window Month Start], "(Set Type not found)", 0, 1)</f>
        <v>(Set Type not found)</v>
      </c>
      <c r="P537" s="3" t="e">
        <f>tbl_MTG_Set[[#This Row],[Released On]]+tbl_MTG_Set[[#This Row],[Heavy Printing Window Month Start]]*365.25/12</f>
        <v>#VALUE!</v>
      </c>
      <c r="Q537" t="str">
        <f>_xlfn.XLOOKUP(tbl_MTG_Set[[#This Row],[Type Name]], tbl_MTG_Set_Type[Set Type], tbl_MTG_Set_Type[Heavy Printing Window Month End], "(Set Type not found)", 0, 1)</f>
        <v>(Set Type not found)</v>
      </c>
      <c r="R537" s="3" t="e">
        <f>tbl_MTG_Set[[#This Row],[Released On]]+tbl_MTG_Set[[#This Row],[Heavy Printing Window Month End]]*365.25/12</f>
        <v>#VALUE!</v>
      </c>
      <c r="S537" s="3" t="e">
        <f ca="1">AND(NOW()&gt;=tbl_MTG_Set[[#This Row],[Heavy Printing Window Start]], NOW()&lt;=tbl_MTG_Set[[#This Row],[Heavy Printing Window End]])</f>
        <v>#VALUE!</v>
      </c>
      <c r="T537" t="str">
        <f>_xlfn.XLOOKUP(tbl_MTG_Set[[#This Row],[Type Name]], tbl_MTG_Set_Type[Set Type], tbl_MTG_Set_Type[Sell Window Month Start], "(Set Type not found)", 0, 1)</f>
        <v>(Set Type not found)</v>
      </c>
      <c r="U537" s="3" t="e">
        <f>tbl_MTG_Set[[#This Row],[Released On]]+tbl_MTG_Set[[#This Row],[Sell Window Month Start]]*365.25/12</f>
        <v>#VALUE!</v>
      </c>
      <c r="V537" t="str">
        <f>_xlfn.XLOOKUP(tbl_MTG_Set[[#This Row],[Type Name]], tbl_MTG_Set_Type[Set Type], tbl_MTG_Set_Type[Sell Window Month End], "(Set Type not found)", 0, 1)</f>
        <v>(Set Type not found)</v>
      </c>
      <c r="W537" s="3" t="e">
        <f>tbl_MTG_Set[[#This Row],[Released On]]+tbl_MTG_Set[[#This Row],[Sell Window Month End]]*365.25/12</f>
        <v>#VALUE!</v>
      </c>
      <c r="X537" s="3" t="e">
        <f ca="1">AND(NOW()&gt;=tbl_MTG_Set[[#This Row],[Sell Window Start]], NOW()&lt;=tbl_MTG_Set[[#This Row],[Sell Window End]])</f>
        <v>#VALUE!</v>
      </c>
      <c r="AG537" s="10"/>
      <c r="AH537" s="10"/>
      <c r="AM537" s="10" t="str" cm="1">
        <f t="array" ref="AM5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7" s="10" t="str" cm="1">
        <f t="array" ref="AN5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7" s="4" t="e">
        <f>_xlfn.XLOOKUP(tbl_MTG_Set[[#This Row],[Play Booster Box Product Id]], tbl_Product[Product Id], tbl_Product[Pack Size])</f>
        <v>#N/A</v>
      </c>
      <c r="AP537" s="10" t="e">
        <f>(tbl_MTG_Set[[#This Row],[Play Booster Box Cost]]+v_Item_Shipping_Cost_In)/tbl_MTG_Set[[#This Row],[Play Booster Box Size]]</f>
        <v>#VALUE!</v>
      </c>
      <c r="AQ537" s="10" t="str" cm="1">
        <f t="array" ref="AQ5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7" s="10"/>
      <c r="AS537" s="10"/>
      <c r="AT537" s="17" t="e">
        <f>tbl_MTG_Set[[#This Row],[Play Booster CardMarket Profit]]/tbl_MTG_Set[[#This Row],[Play Booster Cost]]</f>
        <v>#VALUE!</v>
      </c>
      <c r="AU537" s="10" t="e">
        <f>_xlfn.XLOOKUP(tbl_MTG_Set[[#This Row],[Collector Booster Box Product Id]], tbl_Product[Product Id], tbl_Product[Min Cost])</f>
        <v>#N/A</v>
      </c>
      <c r="AV537" s="10" t="e">
        <f>_xlfn.XLOOKUP(tbl_MTG_Set[[#This Row],[Collector Booster Box Product Id]], tbl_Product[Product Id], tbl_Product[Best Source])</f>
        <v>#N/A</v>
      </c>
      <c r="AW537" s="4" t="e">
        <f>_xlfn.XLOOKUP(tbl_MTG_Set[[#This Row],[Collector Booster Box Product Id]], tbl_Product[Product Id], tbl_Product[Pack Size])</f>
        <v>#N/A</v>
      </c>
      <c r="AX537" s="10" t="e">
        <f>(tbl_MTG_Set[[#This Row],[Collector Booster Box Cost]] + v_Item_Shipping_Cost_In) / tbl_MTG_Set[[#This Row],[Collector Booster Box Size]]</f>
        <v>#N/A</v>
      </c>
      <c r="AY537" s="10" t="str" cm="1">
        <f t="array" ref="AY5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7" s="10"/>
      <c r="BA5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7" s="17" t="e">
        <f>tbl_MTG_Set[[#This Row],[Collector Booster CardMarket Profit]]/tbl_MTG_Set[[#This Row],[Collector Booster Cost]]</f>
        <v>#N/A</v>
      </c>
      <c r="BC537" s="10"/>
      <c r="BF5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7" s="11" t="e">
        <f>tbl_MTG_Set[[#This Row],[Play Singles CardMarket Profit MTG Stocks]]/tbl_MTG_Set[[#This Row],[Play Booster Cost]]</f>
        <v>#VALUE!</v>
      </c>
      <c r="BI537" s="11" t="b">
        <f>tbl_MTG_Set[[#This Row],[Play Singles CardMarket Profit MTG Stocks]]&gt;0</f>
        <v>0</v>
      </c>
      <c r="BM537" s="10" t="e">
        <f>tbl_MTG_Set[[#This Row],[Play Booster Sell Price CardMarket]]*tbl_MTG_Set[[#This Row],[Play Booster Expected Market Value BotBox]]/tbl_MTG_Set[[#This Row],[Play Booster Sealed Market Value BotBox]]</f>
        <v>#VALUE!</v>
      </c>
      <c r="BN5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7" s="10" t="e">
        <f>tbl_MTG_Set[[#This Row],[Play Singles CardMarket Profit BotBox]]/tbl_MTG_Set[[#This Row],[Play Booster Cost]]</f>
        <v>#VALUE!</v>
      </c>
      <c r="BP537" s="10" t="b">
        <f>tbl_MTG_Set[[#This Row],[Play Singles CardMarket Profit BotBox]]&gt;0</f>
        <v>0</v>
      </c>
      <c r="BQ537" s="10"/>
      <c r="BR537" s="10"/>
      <c r="BS537" s="10"/>
      <c r="BT5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7" s="19" t="e">
        <f>tbl_MTG_Set[[#This Row],[Collector Singles CardMarket Profit MTG Stocks]]/tbl_MTG_Set[[#This Row],[Collector Booster Cost]]</f>
        <v>#N/A</v>
      </c>
      <c r="BW537" s="10" t="b">
        <f>tbl_MTG_Set[[#This Row],[Collector Singles CardMarket Profit MTG Stocks]]&gt;0</f>
        <v>0</v>
      </c>
      <c r="BX537" s="10"/>
      <c r="BY537" s="10"/>
      <c r="BZ5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7" s="10" t="e">
        <f>tbl_MTG_Set[[#This Row],[Collector Singles CardMarket Profit BotBox]]/tbl_MTG_Set[[#This Row],[Collector Booster Cost]]</f>
        <v>#N/A</v>
      </c>
      <c r="CC537" s="10" t="b">
        <f>tbl_MTG_Set[[#This Row],[Collector Singles CardMarket Profit BotBox]]&gt;0</f>
        <v>0</v>
      </c>
      <c r="CD5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8" spans="1:86" hidden="1">
      <c r="A538">
        <v>569</v>
      </c>
      <c r="B538" t="s">
        <v>711</v>
      </c>
      <c r="C538">
        <v>249</v>
      </c>
      <c r="D538" s="3">
        <v>42531</v>
      </c>
      <c r="F538" t="s">
        <v>174</v>
      </c>
      <c r="G538">
        <v>1084</v>
      </c>
      <c r="H538">
        <f ca="1">MONTH(NOW())+12*YEAR(NOW())-MONTH(tbl_MTG_Set[[#This Row],[Released On]])-12*YEAR(tbl_MTG_Set[[#This Row],[Released On]])</f>
        <v>117</v>
      </c>
      <c r="I538" t="str">
        <f>_xlfn.XLOOKUP(tbl_MTG_Set[[#This Row],[Type Name]], tbl_MTG_Set_Type[Set Type], tbl_MTG_Set_Type[Index], "(Set Type not found)")</f>
        <v>(Set Type not found)</v>
      </c>
      <c r="J538" t="str">
        <f>_xlfn.XLOOKUP(tbl_MTG_Set[[#This Row],[Type Name]], tbl_MTG_Set_Type[Set Type], tbl_MTG_Set_Type[Buy Window Month Start], "(Set Type not found)")</f>
        <v>(Set Type not found)</v>
      </c>
      <c r="K538" s="3" t="e">
        <f>tbl_MTG_Set[[#This Row],[Released On]]+tbl_MTG_Set[[#This Row],[Buy Window Month Start]]*365.25/12</f>
        <v>#VALUE!</v>
      </c>
      <c r="L538" t="str">
        <f>_xlfn.XLOOKUP(tbl_MTG_Set[[#This Row],[Type Name]], tbl_MTG_Set_Type[Set Type], tbl_MTG_Set_Type[Buy Window Month End], "(Set Type not found)", 0, 1)</f>
        <v>(Set Type not found)</v>
      </c>
      <c r="M538" s="3" t="e">
        <f>tbl_MTG_Set[[#This Row],[Released On]]+tbl_MTG_Set[[#This Row],[Buy Window Month End]]*365.25/12</f>
        <v>#VALUE!</v>
      </c>
      <c r="N538" s="3" t="e">
        <f ca="1">AND(NOW()&gt;=tbl_MTG_Set[[#This Row],[Buy Window Start]], NOW()&lt;=tbl_MTG_Set[[#This Row],[Buy Window End]])</f>
        <v>#VALUE!</v>
      </c>
      <c r="O538" t="str">
        <f>_xlfn.XLOOKUP(tbl_MTG_Set[[#This Row],[Type Name]], tbl_MTG_Set_Type[Set Type], tbl_MTG_Set_Type[Heavy Printing Window Month Start], "(Set Type not found)", 0, 1)</f>
        <v>(Set Type not found)</v>
      </c>
      <c r="P538" s="3" t="e">
        <f>tbl_MTG_Set[[#This Row],[Released On]]+tbl_MTG_Set[[#This Row],[Heavy Printing Window Month Start]]*365.25/12</f>
        <v>#VALUE!</v>
      </c>
      <c r="Q538" t="str">
        <f>_xlfn.XLOOKUP(tbl_MTG_Set[[#This Row],[Type Name]], tbl_MTG_Set_Type[Set Type], tbl_MTG_Set_Type[Heavy Printing Window Month End], "(Set Type not found)", 0, 1)</f>
        <v>(Set Type not found)</v>
      </c>
      <c r="R538" s="3" t="e">
        <f>tbl_MTG_Set[[#This Row],[Released On]]+tbl_MTG_Set[[#This Row],[Heavy Printing Window Month End]]*365.25/12</f>
        <v>#VALUE!</v>
      </c>
      <c r="S538" s="3" t="e">
        <f ca="1">AND(NOW()&gt;=tbl_MTG_Set[[#This Row],[Heavy Printing Window Start]], NOW()&lt;=tbl_MTG_Set[[#This Row],[Heavy Printing Window End]])</f>
        <v>#VALUE!</v>
      </c>
      <c r="T538" t="str">
        <f>_xlfn.XLOOKUP(tbl_MTG_Set[[#This Row],[Type Name]], tbl_MTG_Set_Type[Set Type], tbl_MTG_Set_Type[Sell Window Month Start], "(Set Type not found)", 0, 1)</f>
        <v>(Set Type not found)</v>
      </c>
      <c r="U538" s="3" t="e">
        <f>tbl_MTG_Set[[#This Row],[Released On]]+tbl_MTG_Set[[#This Row],[Sell Window Month Start]]*365.25/12</f>
        <v>#VALUE!</v>
      </c>
      <c r="V538" t="str">
        <f>_xlfn.XLOOKUP(tbl_MTG_Set[[#This Row],[Type Name]], tbl_MTG_Set_Type[Set Type], tbl_MTG_Set_Type[Sell Window Month End], "(Set Type not found)", 0, 1)</f>
        <v>(Set Type not found)</v>
      </c>
      <c r="W538" s="3" t="e">
        <f>tbl_MTG_Set[[#This Row],[Released On]]+tbl_MTG_Set[[#This Row],[Sell Window Month End]]*365.25/12</f>
        <v>#VALUE!</v>
      </c>
      <c r="X538" s="3" t="e">
        <f ca="1">AND(NOW()&gt;=tbl_MTG_Set[[#This Row],[Sell Window Start]], NOW()&lt;=tbl_MTG_Set[[#This Row],[Sell Window End]])</f>
        <v>#VALUE!</v>
      </c>
      <c r="AG538" s="10"/>
      <c r="AH538" s="10"/>
      <c r="AM538" s="10" t="str" cm="1">
        <f t="array" ref="AM5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8" s="10" t="str" cm="1">
        <f t="array" ref="AN5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8" s="4" t="e">
        <f>_xlfn.XLOOKUP(tbl_MTG_Set[[#This Row],[Play Booster Box Product Id]], tbl_Product[Product Id], tbl_Product[Pack Size])</f>
        <v>#N/A</v>
      </c>
      <c r="AP538" s="10" t="e">
        <f>(tbl_MTG_Set[[#This Row],[Play Booster Box Cost]]+v_Item_Shipping_Cost_In)/tbl_MTG_Set[[#This Row],[Play Booster Box Size]]</f>
        <v>#VALUE!</v>
      </c>
      <c r="AQ538" s="10" t="str" cm="1">
        <f t="array" ref="AQ5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8" s="10"/>
      <c r="AS538" s="10"/>
      <c r="AT538" s="17" t="e">
        <f>tbl_MTG_Set[[#This Row],[Play Booster CardMarket Profit]]/tbl_MTG_Set[[#This Row],[Play Booster Cost]]</f>
        <v>#VALUE!</v>
      </c>
      <c r="AU538" s="10" t="e">
        <f>_xlfn.XLOOKUP(tbl_MTG_Set[[#This Row],[Collector Booster Box Product Id]], tbl_Product[Product Id], tbl_Product[Min Cost])</f>
        <v>#N/A</v>
      </c>
      <c r="AV538" s="10" t="e">
        <f>_xlfn.XLOOKUP(tbl_MTG_Set[[#This Row],[Collector Booster Box Product Id]], tbl_Product[Product Id], tbl_Product[Best Source])</f>
        <v>#N/A</v>
      </c>
      <c r="AW538" s="4" t="e">
        <f>_xlfn.XLOOKUP(tbl_MTG_Set[[#This Row],[Collector Booster Box Product Id]], tbl_Product[Product Id], tbl_Product[Pack Size])</f>
        <v>#N/A</v>
      </c>
      <c r="AX538" s="10" t="e">
        <f>(tbl_MTG_Set[[#This Row],[Collector Booster Box Cost]] + v_Item_Shipping_Cost_In) / tbl_MTG_Set[[#This Row],[Collector Booster Box Size]]</f>
        <v>#N/A</v>
      </c>
      <c r="AY538" s="10" t="str" cm="1">
        <f t="array" ref="AY5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8" s="10"/>
      <c r="BA5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8" s="17" t="e">
        <f>tbl_MTG_Set[[#This Row],[Collector Booster CardMarket Profit]]/tbl_MTG_Set[[#This Row],[Collector Booster Cost]]</f>
        <v>#N/A</v>
      </c>
      <c r="BC538" s="10"/>
      <c r="BF5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8" s="11" t="e">
        <f>tbl_MTG_Set[[#This Row],[Play Singles CardMarket Profit MTG Stocks]]/tbl_MTG_Set[[#This Row],[Play Booster Cost]]</f>
        <v>#VALUE!</v>
      </c>
      <c r="BI538" s="11" t="b">
        <f>tbl_MTG_Set[[#This Row],[Play Singles CardMarket Profit MTG Stocks]]&gt;0</f>
        <v>0</v>
      </c>
      <c r="BM538" s="10" t="e">
        <f>tbl_MTG_Set[[#This Row],[Play Booster Sell Price CardMarket]]*tbl_MTG_Set[[#This Row],[Play Booster Expected Market Value BotBox]]/tbl_MTG_Set[[#This Row],[Play Booster Sealed Market Value BotBox]]</f>
        <v>#VALUE!</v>
      </c>
      <c r="BN5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8" s="10" t="e">
        <f>tbl_MTG_Set[[#This Row],[Play Singles CardMarket Profit BotBox]]/tbl_MTG_Set[[#This Row],[Play Booster Cost]]</f>
        <v>#VALUE!</v>
      </c>
      <c r="BP538" s="10" t="b">
        <f>tbl_MTG_Set[[#This Row],[Play Singles CardMarket Profit BotBox]]&gt;0</f>
        <v>0</v>
      </c>
      <c r="BQ538" s="10"/>
      <c r="BR538" s="10"/>
      <c r="BS538" s="10"/>
      <c r="BT5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8" s="19" t="e">
        <f>tbl_MTG_Set[[#This Row],[Collector Singles CardMarket Profit MTG Stocks]]/tbl_MTG_Set[[#This Row],[Collector Booster Cost]]</f>
        <v>#N/A</v>
      </c>
      <c r="BW538" s="10" t="b">
        <f>tbl_MTG_Set[[#This Row],[Collector Singles CardMarket Profit MTG Stocks]]&gt;0</f>
        <v>0</v>
      </c>
      <c r="BX538" s="10"/>
      <c r="BY538" s="10"/>
      <c r="BZ5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8" s="10" t="e">
        <f>tbl_MTG_Set[[#This Row],[Collector Singles CardMarket Profit BotBox]]/tbl_MTG_Set[[#This Row],[Collector Booster Cost]]</f>
        <v>#N/A</v>
      </c>
      <c r="CC538" s="10" t="b">
        <f>tbl_MTG_Set[[#This Row],[Collector Singles CardMarket Profit BotBox]]&gt;0</f>
        <v>0</v>
      </c>
      <c r="CD5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39" spans="1:86" hidden="1">
      <c r="A539">
        <v>570</v>
      </c>
      <c r="B539" t="s">
        <v>712</v>
      </c>
      <c r="C539">
        <v>16</v>
      </c>
      <c r="D539" s="3">
        <v>42531</v>
      </c>
      <c r="F539" t="s">
        <v>174</v>
      </c>
      <c r="G539">
        <v>1086</v>
      </c>
      <c r="H539">
        <f ca="1">MONTH(NOW())+12*YEAR(NOW())-MONTH(tbl_MTG_Set[[#This Row],[Released On]])-12*YEAR(tbl_MTG_Set[[#This Row],[Released On]])</f>
        <v>117</v>
      </c>
      <c r="I539" t="str">
        <f>_xlfn.XLOOKUP(tbl_MTG_Set[[#This Row],[Type Name]], tbl_MTG_Set_Type[Set Type], tbl_MTG_Set_Type[Index], "(Set Type not found)")</f>
        <v>(Set Type not found)</v>
      </c>
      <c r="J539" t="str">
        <f>_xlfn.XLOOKUP(tbl_MTG_Set[[#This Row],[Type Name]], tbl_MTG_Set_Type[Set Type], tbl_MTG_Set_Type[Buy Window Month Start], "(Set Type not found)")</f>
        <v>(Set Type not found)</v>
      </c>
      <c r="K539" s="3" t="e">
        <f>tbl_MTG_Set[[#This Row],[Released On]]+tbl_MTG_Set[[#This Row],[Buy Window Month Start]]*365.25/12</f>
        <v>#VALUE!</v>
      </c>
      <c r="L539" t="str">
        <f>_xlfn.XLOOKUP(tbl_MTG_Set[[#This Row],[Type Name]], tbl_MTG_Set_Type[Set Type], tbl_MTG_Set_Type[Buy Window Month End], "(Set Type not found)", 0, 1)</f>
        <v>(Set Type not found)</v>
      </c>
      <c r="M539" s="3" t="e">
        <f>tbl_MTG_Set[[#This Row],[Released On]]+tbl_MTG_Set[[#This Row],[Buy Window Month End]]*365.25/12</f>
        <v>#VALUE!</v>
      </c>
      <c r="N539" s="3" t="e">
        <f ca="1">AND(NOW()&gt;=tbl_MTG_Set[[#This Row],[Buy Window Start]], NOW()&lt;=tbl_MTG_Set[[#This Row],[Buy Window End]])</f>
        <v>#VALUE!</v>
      </c>
      <c r="O539" t="str">
        <f>_xlfn.XLOOKUP(tbl_MTG_Set[[#This Row],[Type Name]], tbl_MTG_Set_Type[Set Type], tbl_MTG_Set_Type[Heavy Printing Window Month Start], "(Set Type not found)", 0, 1)</f>
        <v>(Set Type not found)</v>
      </c>
      <c r="P539" s="3" t="e">
        <f>tbl_MTG_Set[[#This Row],[Released On]]+tbl_MTG_Set[[#This Row],[Heavy Printing Window Month Start]]*365.25/12</f>
        <v>#VALUE!</v>
      </c>
      <c r="Q539" t="str">
        <f>_xlfn.XLOOKUP(tbl_MTG_Set[[#This Row],[Type Name]], tbl_MTG_Set_Type[Set Type], tbl_MTG_Set_Type[Heavy Printing Window Month End], "(Set Type not found)", 0, 1)</f>
        <v>(Set Type not found)</v>
      </c>
      <c r="R539" s="3" t="e">
        <f>tbl_MTG_Set[[#This Row],[Released On]]+tbl_MTG_Set[[#This Row],[Heavy Printing Window Month End]]*365.25/12</f>
        <v>#VALUE!</v>
      </c>
      <c r="S539" s="3" t="e">
        <f ca="1">AND(NOW()&gt;=tbl_MTG_Set[[#This Row],[Heavy Printing Window Start]], NOW()&lt;=tbl_MTG_Set[[#This Row],[Heavy Printing Window End]])</f>
        <v>#VALUE!</v>
      </c>
      <c r="T539" t="str">
        <f>_xlfn.XLOOKUP(tbl_MTG_Set[[#This Row],[Type Name]], tbl_MTG_Set_Type[Set Type], tbl_MTG_Set_Type[Sell Window Month Start], "(Set Type not found)", 0, 1)</f>
        <v>(Set Type not found)</v>
      </c>
      <c r="U539" s="3" t="e">
        <f>tbl_MTG_Set[[#This Row],[Released On]]+tbl_MTG_Set[[#This Row],[Sell Window Month Start]]*365.25/12</f>
        <v>#VALUE!</v>
      </c>
      <c r="V539" t="str">
        <f>_xlfn.XLOOKUP(tbl_MTG_Set[[#This Row],[Type Name]], tbl_MTG_Set_Type[Set Type], tbl_MTG_Set_Type[Sell Window Month End], "(Set Type not found)", 0, 1)</f>
        <v>(Set Type not found)</v>
      </c>
      <c r="W539" s="3" t="e">
        <f>tbl_MTG_Set[[#This Row],[Released On]]+tbl_MTG_Set[[#This Row],[Sell Window Month End]]*365.25/12</f>
        <v>#VALUE!</v>
      </c>
      <c r="X539" s="3" t="e">
        <f ca="1">AND(NOW()&gt;=tbl_MTG_Set[[#This Row],[Sell Window Start]], NOW()&lt;=tbl_MTG_Set[[#This Row],[Sell Window End]])</f>
        <v>#VALUE!</v>
      </c>
      <c r="AG539" s="10"/>
      <c r="AH539" s="10"/>
      <c r="AM539" s="10" t="str" cm="1">
        <f t="array" ref="AM5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39" s="10" t="str" cm="1">
        <f t="array" ref="AN5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39" s="4" t="e">
        <f>_xlfn.XLOOKUP(tbl_MTG_Set[[#This Row],[Play Booster Box Product Id]], tbl_Product[Product Id], tbl_Product[Pack Size])</f>
        <v>#N/A</v>
      </c>
      <c r="AP539" s="10" t="e">
        <f>(tbl_MTG_Set[[#This Row],[Play Booster Box Cost]]+v_Item_Shipping_Cost_In)/tbl_MTG_Set[[#This Row],[Play Booster Box Size]]</f>
        <v>#VALUE!</v>
      </c>
      <c r="AQ539" s="10" t="str" cm="1">
        <f t="array" ref="AQ5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39" s="10"/>
      <c r="AS539" s="10"/>
      <c r="AT539" s="17" t="e">
        <f>tbl_MTG_Set[[#This Row],[Play Booster CardMarket Profit]]/tbl_MTG_Set[[#This Row],[Play Booster Cost]]</f>
        <v>#VALUE!</v>
      </c>
      <c r="AU539" s="10" t="e">
        <f>_xlfn.XLOOKUP(tbl_MTG_Set[[#This Row],[Collector Booster Box Product Id]], tbl_Product[Product Id], tbl_Product[Min Cost])</f>
        <v>#N/A</v>
      </c>
      <c r="AV539" s="10" t="e">
        <f>_xlfn.XLOOKUP(tbl_MTG_Set[[#This Row],[Collector Booster Box Product Id]], tbl_Product[Product Id], tbl_Product[Best Source])</f>
        <v>#N/A</v>
      </c>
      <c r="AW539" s="4" t="e">
        <f>_xlfn.XLOOKUP(tbl_MTG_Set[[#This Row],[Collector Booster Box Product Id]], tbl_Product[Product Id], tbl_Product[Pack Size])</f>
        <v>#N/A</v>
      </c>
      <c r="AX539" s="10" t="e">
        <f>(tbl_MTG_Set[[#This Row],[Collector Booster Box Cost]] + v_Item_Shipping_Cost_In) / tbl_MTG_Set[[#This Row],[Collector Booster Box Size]]</f>
        <v>#N/A</v>
      </c>
      <c r="AY539" s="10" t="str" cm="1">
        <f t="array" ref="AY5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39" s="10"/>
      <c r="BA5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39" s="17" t="e">
        <f>tbl_MTG_Set[[#This Row],[Collector Booster CardMarket Profit]]/tbl_MTG_Set[[#This Row],[Collector Booster Cost]]</f>
        <v>#N/A</v>
      </c>
      <c r="BC539" s="10"/>
      <c r="BF5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39" s="11" t="e">
        <f>tbl_MTG_Set[[#This Row],[Play Singles CardMarket Profit MTG Stocks]]/tbl_MTG_Set[[#This Row],[Play Booster Cost]]</f>
        <v>#VALUE!</v>
      </c>
      <c r="BI539" s="11" t="b">
        <f>tbl_MTG_Set[[#This Row],[Play Singles CardMarket Profit MTG Stocks]]&gt;0</f>
        <v>0</v>
      </c>
      <c r="BM539" s="10" t="e">
        <f>tbl_MTG_Set[[#This Row],[Play Booster Sell Price CardMarket]]*tbl_MTG_Set[[#This Row],[Play Booster Expected Market Value BotBox]]/tbl_MTG_Set[[#This Row],[Play Booster Sealed Market Value BotBox]]</f>
        <v>#VALUE!</v>
      </c>
      <c r="BN5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39" s="10" t="e">
        <f>tbl_MTG_Set[[#This Row],[Play Singles CardMarket Profit BotBox]]/tbl_MTG_Set[[#This Row],[Play Booster Cost]]</f>
        <v>#VALUE!</v>
      </c>
      <c r="BP539" s="10" t="b">
        <f>tbl_MTG_Set[[#This Row],[Play Singles CardMarket Profit BotBox]]&gt;0</f>
        <v>0</v>
      </c>
      <c r="BQ539" s="10"/>
      <c r="BR539" s="10"/>
      <c r="BS539" s="10"/>
      <c r="BT5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39" s="19" t="e">
        <f>tbl_MTG_Set[[#This Row],[Collector Singles CardMarket Profit MTG Stocks]]/tbl_MTG_Set[[#This Row],[Collector Booster Cost]]</f>
        <v>#N/A</v>
      </c>
      <c r="BW539" s="10" t="b">
        <f>tbl_MTG_Set[[#This Row],[Collector Singles CardMarket Profit MTG Stocks]]&gt;0</f>
        <v>0</v>
      </c>
      <c r="BX539" s="10"/>
      <c r="BY539" s="10"/>
      <c r="BZ5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39" s="10" t="e">
        <f>tbl_MTG_Set[[#This Row],[Collector Singles CardMarket Profit BotBox]]/tbl_MTG_Set[[#This Row],[Collector Booster Cost]]</f>
        <v>#N/A</v>
      </c>
      <c r="CC539" s="10" t="b">
        <f>tbl_MTG_Set[[#This Row],[Collector Singles CardMarket Profit BotBox]]&gt;0</f>
        <v>0</v>
      </c>
      <c r="CD5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0" spans="1:86" hidden="1">
      <c r="A540">
        <v>571</v>
      </c>
      <c r="B540" t="s">
        <v>713</v>
      </c>
      <c r="C540">
        <v>302</v>
      </c>
      <c r="D540" s="3">
        <v>42468</v>
      </c>
      <c r="F540" t="s">
        <v>174</v>
      </c>
      <c r="G540">
        <v>1088</v>
      </c>
      <c r="H540">
        <f ca="1">MONTH(NOW())+12*YEAR(NOW())-MONTH(tbl_MTG_Set[[#This Row],[Released On]])-12*YEAR(tbl_MTG_Set[[#This Row],[Released On]])</f>
        <v>119</v>
      </c>
      <c r="I540" t="str">
        <f>_xlfn.XLOOKUP(tbl_MTG_Set[[#This Row],[Type Name]], tbl_MTG_Set_Type[Set Type], tbl_MTG_Set_Type[Index], "(Set Type not found)")</f>
        <v>(Set Type not found)</v>
      </c>
      <c r="J540" t="str">
        <f>_xlfn.XLOOKUP(tbl_MTG_Set[[#This Row],[Type Name]], tbl_MTG_Set_Type[Set Type], tbl_MTG_Set_Type[Buy Window Month Start], "(Set Type not found)")</f>
        <v>(Set Type not found)</v>
      </c>
      <c r="K540" s="3" t="e">
        <f>tbl_MTG_Set[[#This Row],[Released On]]+tbl_MTG_Set[[#This Row],[Buy Window Month Start]]*365.25/12</f>
        <v>#VALUE!</v>
      </c>
      <c r="L540" t="str">
        <f>_xlfn.XLOOKUP(tbl_MTG_Set[[#This Row],[Type Name]], tbl_MTG_Set_Type[Set Type], tbl_MTG_Set_Type[Buy Window Month End], "(Set Type not found)", 0, 1)</f>
        <v>(Set Type not found)</v>
      </c>
      <c r="M540" s="3" t="e">
        <f>tbl_MTG_Set[[#This Row],[Released On]]+tbl_MTG_Set[[#This Row],[Buy Window Month End]]*365.25/12</f>
        <v>#VALUE!</v>
      </c>
      <c r="N540" s="3" t="e">
        <f ca="1">AND(NOW()&gt;=tbl_MTG_Set[[#This Row],[Buy Window Start]], NOW()&lt;=tbl_MTG_Set[[#This Row],[Buy Window End]])</f>
        <v>#VALUE!</v>
      </c>
      <c r="O540" t="str">
        <f>_xlfn.XLOOKUP(tbl_MTG_Set[[#This Row],[Type Name]], tbl_MTG_Set_Type[Set Type], tbl_MTG_Set_Type[Heavy Printing Window Month Start], "(Set Type not found)", 0, 1)</f>
        <v>(Set Type not found)</v>
      </c>
      <c r="P540" s="3" t="e">
        <f>tbl_MTG_Set[[#This Row],[Released On]]+tbl_MTG_Set[[#This Row],[Heavy Printing Window Month Start]]*365.25/12</f>
        <v>#VALUE!</v>
      </c>
      <c r="Q540" t="str">
        <f>_xlfn.XLOOKUP(tbl_MTG_Set[[#This Row],[Type Name]], tbl_MTG_Set_Type[Set Type], tbl_MTG_Set_Type[Heavy Printing Window Month End], "(Set Type not found)", 0, 1)</f>
        <v>(Set Type not found)</v>
      </c>
      <c r="R540" s="3" t="e">
        <f>tbl_MTG_Set[[#This Row],[Released On]]+tbl_MTG_Set[[#This Row],[Heavy Printing Window Month End]]*365.25/12</f>
        <v>#VALUE!</v>
      </c>
      <c r="S540" s="3" t="e">
        <f ca="1">AND(NOW()&gt;=tbl_MTG_Set[[#This Row],[Heavy Printing Window Start]], NOW()&lt;=tbl_MTG_Set[[#This Row],[Heavy Printing Window End]])</f>
        <v>#VALUE!</v>
      </c>
      <c r="T540" t="str">
        <f>_xlfn.XLOOKUP(tbl_MTG_Set[[#This Row],[Type Name]], tbl_MTG_Set_Type[Set Type], tbl_MTG_Set_Type[Sell Window Month Start], "(Set Type not found)", 0, 1)</f>
        <v>(Set Type not found)</v>
      </c>
      <c r="U540" s="3" t="e">
        <f>tbl_MTG_Set[[#This Row],[Released On]]+tbl_MTG_Set[[#This Row],[Sell Window Month Start]]*365.25/12</f>
        <v>#VALUE!</v>
      </c>
      <c r="V540" t="str">
        <f>_xlfn.XLOOKUP(tbl_MTG_Set[[#This Row],[Type Name]], tbl_MTG_Set_Type[Set Type], tbl_MTG_Set_Type[Sell Window Month End], "(Set Type not found)", 0, 1)</f>
        <v>(Set Type not found)</v>
      </c>
      <c r="W540" s="3" t="e">
        <f>tbl_MTG_Set[[#This Row],[Released On]]+tbl_MTG_Set[[#This Row],[Sell Window Month End]]*365.25/12</f>
        <v>#VALUE!</v>
      </c>
      <c r="X540" s="3" t="e">
        <f ca="1">AND(NOW()&gt;=tbl_MTG_Set[[#This Row],[Sell Window Start]], NOW()&lt;=tbl_MTG_Set[[#This Row],[Sell Window End]])</f>
        <v>#VALUE!</v>
      </c>
      <c r="AG540" s="10"/>
      <c r="AH540" s="10"/>
      <c r="AM540" s="10" t="str" cm="1">
        <f t="array" ref="AM5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0" s="10" t="str" cm="1">
        <f t="array" ref="AN5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0" s="4" t="e">
        <f>_xlfn.XLOOKUP(tbl_MTG_Set[[#This Row],[Play Booster Box Product Id]], tbl_Product[Product Id], tbl_Product[Pack Size])</f>
        <v>#N/A</v>
      </c>
      <c r="AP540" s="10" t="e">
        <f>(tbl_MTG_Set[[#This Row],[Play Booster Box Cost]]+v_Item_Shipping_Cost_In)/tbl_MTG_Set[[#This Row],[Play Booster Box Size]]</f>
        <v>#VALUE!</v>
      </c>
      <c r="AQ540" s="10" t="str" cm="1">
        <f t="array" ref="AQ5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0" s="10"/>
      <c r="AS540" s="10"/>
      <c r="AT540" s="17" t="e">
        <f>tbl_MTG_Set[[#This Row],[Play Booster CardMarket Profit]]/tbl_MTG_Set[[#This Row],[Play Booster Cost]]</f>
        <v>#VALUE!</v>
      </c>
      <c r="AU540" s="10" t="e">
        <f>_xlfn.XLOOKUP(tbl_MTG_Set[[#This Row],[Collector Booster Box Product Id]], tbl_Product[Product Id], tbl_Product[Min Cost])</f>
        <v>#N/A</v>
      </c>
      <c r="AV540" s="10" t="e">
        <f>_xlfn.XLOOKUP(tbl_MTG_Set[[#This Row],[Collector Booster Box Product Id]], tbl_Product[Product Id], tbl_Product[Best Source])</f>
        <v>#N/A</v>
      </c>
      <c r="AW540" s="4" t="e">
        <f>_xlfn.XLOOKUP(tbl_MTG_Set[[#This Row],[Collector Booster Box Product Id]], tbl_Product[Product Id], tbl_Product[Pack Size])</f>
        <v>#N/A</v>
      </c>
      <c r="AX540" s="10" t="e">
        <f>(tbl_MTG_Set[[#This Row],[Collector Booster Box Cost]] + v_Item_Shipping_Cost_In) / tbl_MTG_Set[[#This Row],[Collector Booster Box Size]]</f>
        <v>#N/A</v>
      </c>
      <c r="AY540" s="10" t="str" cm="1">
        <f t="array" ref="AY5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0" s="10"/>
      <c r="BA5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0" s="17" t="e">
        <f>tbl_MTG_Set[[#This Row],[Collector Booster CardMarket Profit]]/tbl_MTG_Set[[#This Row],[Collector Booster Cost]]</f>
        <v>#N/A</v>
      </c>
      <c r="BC540" s="10"/>
      <c r="BF5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0" s="11" t="e">
        <f>tbl_MTG_Set[[#This Row],[Play Singles CardMarket Profit MTG Stocks]]/tbl_MTG_Set[[#This Row],[Play Booster Cost]]</f>
        <v>#VALUE!</v>
      </c>
      <c r="BI540" s="11" t="b">
        <f>tbl_MTG_Set[[#This Row],[Play Singles CardMarket Profit MTG Stocks]]&gt;0</f>
        <v>0</v>
      </c>
      <c r="BM540" s="10" t="e">
        <f>tbl_MTG_Set[[#This Row],[Play Booster Sell Price CardMarket]]*tbl_MTG_Set[[#This Row],[Play Booster Expected Market Value BotBox]]/tbl_MTG_Set[[#This Row],[Play Booster Sealed Market Value BotBox]]</f>
        <v>#VALUE!</v>
      </c>
      <c r="BN5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0" s="10" t="e">
        <f>tbl_MTG_Set[[#This Row],[Play Singles CardMarket Profit BotBox]]/tbl_MTG_Set[[#This Row],[Play Booster Cost]]</f>
        <v>#VALUE!</v>
      </c>
      <c r="BP540" s="10" t="b">
        <f>tbl_MTG_Set[[#This Row],[Play Singles CardMarket Profit BotBox]]&gt;0</f>
        <v>0</v>
      </c>
      <c r="BQ540" s="10"/>
      <c r="BR540" s="10"/>
      <c r="BS540" s="10"/>
      <c r="BT5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0" s="19" t="e">
        <f>tbl_MTG_Set[[#This Row],[Collector Singles CardMarket Profit MTG Stocks]]/tbl_MTG_Set[[#This Row],[Collector Booster Cost]]</f>
        <v>#N/A</v>
      </c>
      <c r="BW540" s="10" t="b">
        <f>tbl_MTG_Set[[#This Row],[Collector Singles CardMarket Profit MTG Stocks]]&gt;0</f>
        <v>0</v>
      </c>
      <c r="BX540" s="10"/>
      <c r="BY540" s="10"/>
      <c r="BZ5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0" s="10" t="e">
        <f>tbl_MTG_Set[[#This Row],[Collector Singles CardMarket Profit BotBox]]/tbl_MTG_Set[[#This Row],[Collector Booster Cost]]</f>
        <v>#N/A</v>
      </c>
      <c r="CC540" s="10" t="b">
        <f>tbl_MTG_Set[[#This Row],[Collector Singles CardMarket Profit BotBox]]&gt;0</f>
        <v>0</v>
      </c>
      <c r="CD5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1" spans="1:86" hidden="1">
      <c r="A541">
        <v>572</v>
      </c>
      <c r="B541" t="s">
        <v>714</v>
      </c>
      <c r="C541">
        <v>90</v>
      </c>
      <c r="D541" s="3">
        <v>42468</v>
      </c>
      <c r="F541" t="s">
        <v>174</v>
      </c>
      <c r="G541">
        <v>1090</v>
      </c>
      <c r="H541">
        <f ca="1">MONTH(NOW())+12*YEAR(NOW())-MONTH(tbl_MTG_Set[[#This Row],[Released On]])-12*YEAR(tbl_MTG_Set[[#This Row],[Released On]])</f>
        <v>119</v>
      </c>
      <c r="I541" t="str">
        <f>_xlfn.XLOOKUP(tbl_MTG_Set[[#This Row],[Type Name]], tbl_MTG_Set_Type[Set Type], tbl_MTG_Set_Type[Index], "(Set Type not found)")</f>
        <v>(Set Type not found)</v>
      </c>
      <c r="J541" t="str">
        <f>_xlfn.XLOOKUP(tbl_MTG_Set[[#This Row],[Type Name]], tbl_MTG_Set_Type[Set Type], tbl_MTG_Set_Type[Buy Window Month Start], "(Set Type not found)")</f>
        <v>(Set Type not found)</v>
      </c>
      <c r="K541" s="3" t="e">
        <f>tbl_MTG_Set[[#This Row],[Released On]]+tbl_MTG_Set[[#This Row],[Buy Window Month Start]]*365.25/12</f>
        <v>#VALUE!</v>
      </c>
      <c r="L541" t="str">
        <f>_xlfn.XLOOKUP(tbl_MTG_Set[[#This Row],[Type Name]], tbl_MTG_Set_Type[Set Type], tbl_MTG_Set_Type[Buy Window Month End], "(Set Type not found)", 0, 1)</f>
        <v>(Set Type not found)</v>
      </c>
      <c r="M541" s="3" t="e">
        <f>tbl_MTG_Set[[#This Row],[Released On]]+tbl_MTG_Set[[#This Row],[Buy Window Month End]]*365.25/12</f>
        <v>#VALUE!</v>
      </c>
      <c r="N541" s="3" t="e">
        <f ca="1">AND(NOW()&gt;=tbl_MTG_Set[[#This Row],[Buy Window Start]], NOW()&lt;=tbl_MTG_Set[[#This Row],[Buy Window End]])</f>
        <v>#VALUE!</v>
      </c>
      <c r="O541" t="str">
        <f>_xlfn.XLOOKUP(tbl_MTG_Set[[#This Row],[Type Name]], tbl_MTG_Set_Type[Set Type], tbl_MTG_Set_Type[Heavy Printing Window Month Start], "(Set Type not found)", 0, 1)</f>
        <v>(Set Type not found)</v>
      </c>
      <c r="P541" s="3" t="e">
        <f>tbl_MTG_Set[[#This Row],[Released On]]+tbl_MTG_Set[[#This Row],[Heavy Printing Window Month Start]]*365.25/12</f>
        <v>#VALUE!</v>
      </c>
      <c r="Q541" t="str">
        <f>_xlfn.XLOOKUP(tbl_MTG_Set[[#This Row],[Type Name]], tbl_MTG_Set_Type[Set Type], tbl_MTG_Set_Type[Heavy Printing Window Month End], "(Set Type not found)", 0, 1)</f>
        <v>(Set Type not found)</v>
      </c>
      <c r="R541" s="3" t="e">
        <f>tbl_MTG_Set[[#This Row],[Released On]]+tbl_MTG_Set[[#This Row],[Heavy Printing Window Month End]]*365.25/12</f>
        <v>#VALUE!</v>
      </c>
      <c r="S541" s="3" t="e">
        <f ca="1">AND(NOW()&gt;=tbl_MTG_Set[[#This Row],[Heavy Printing Window Start]], NOW()&lt;=tbl_MTG_Set[[#This Row],[Heavy Printing Window End]])</f>
        <v>#VALUE!</v>
      </c>
      <c r="T541" t="str">
        <f>_xlfn.XLOOKUP(tbl_MTG_Set[[#This Row],[Type Name]], tbl_MTG_Set_Type[Set Type], tbl_MTG_Set_Type[Sell Window Month Start], "(Set Type not found)", 0, 1)</f>
        <v>(Set Type not found)</v>
      </c>
      <c r="U541" s="3" t="e">
        <f>tbl_MTG_Set[[#This Row],[Released On]]+tbl_MTG_Set[[#This Row],[Sell Window Month Start]]*365.25/12</f>
        <v>#VALUE!</v>
      </c>
      <c r="V541" t="str">
        <f>_xlfn.XLOOKUP(tbl_MTG_Set[[#This Row],[Type Name]], tbl_MTG_Set_Type[Set Type], tbl_MTG_Set_Type[Sell Window Month End], "(Set Type not found)", 0, 1)</f>
        <v>(Set Type not found)</v>
      </c>
      <c r="W541" s="3" t="e">
        <f>tbl_MTG_Set[[#This Row],[Released On]]+tbl_MTG_Set[[#This Row],[Sell Window Month End]]*365.25/12</f>
        <v>#VALUE!</v>
      </c>
      <c r="X541" s="3" t="e">
        <f ca="1">AND(NOW()&gt;=tbl_MTG_Set[[#This Row],[Sell Window Start]], NOW()&lt;=tbl_MTG_Set[[#This Row],[Sell Window End]])</f>
        <v>#VALUE!</v>
      </c>
      <c r="AG541" s="10"/>
      <c r="AH541" s="10"/>
      <c r="AM541" s="10" t="str" cm="1">
        <f t="array" ref="AM5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1" s="10" t="str" cm="1">
        <f t="array" ref="AN5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1" s="4" t="e">
        <f>_xlfn.XLOOKUP(tbl_MTG_Set[[#This Row],[Play Booster Box Product Id]], tbl_Product[Product Id], tbl_Product[Pack Size])</f>
        <v>#N/A</v>
      </c>
      <c r="AP541" s="10" t="e">
        <f>(tbl_MTG_Set[[#This Row],[Play Booster Box Cost]]+v_Item_Shipping_Cost_In)/tbl_MTG_Set[[#This Row],[Play Booster Box Size]]</f>
        <v>#VALUE!</v>
      </c>
      <c r="AQ541" s="10" t="str" cm="1">
        <f t="array" ref="AQ5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1" s="10"/>
      <c r="AS541" s="10"/>
      <c r="AT541" s="17" t="e">
        <f>tbl_MTG_Set[[#This Row],[Play Booster CardMarket Profit]]/tbl_MTG_Set[[#This Row],[Play Booster Cost]]</f>
        <v>#VALUE!</v>
      </c>
      <c r="AU541" s="10" t="e">
        <f>_xlfn.XLOOKUP(tbl_MTG_Set[[#This Row],[Collector Booster Box Product Id]], tbl_Product[Product Id], tbl_Product[Min Cost])</f>
        <v>#N/A</v>
      </c>
      <c r="AV541" s="10" t="e">
        <f>_xlfn.XLOOKUP(tbl_MTG_Set[[#This Row],[Collector Booster Box Product Id]], tbl_Product[Product Id], tbl_Product[Best Source])</f>
        <v>#N/A</v>
      </c>
      <c r="AW541" s="4" t="e">
        <f>_xlfn.XLOOKUP(tbl_MTG_Set[[#This Row],[Collector Booster Box Product Id]], tbl_Product[Product Id], tbl_Product[Pack Size])</f>
        <v>#N/A</v>
      </c>
      <c r="AX541" s="10" t="e">
        <f>(tbl_MTG_Set[[#This Row],[Collector Booster Box Cost]] + v_Item_Shipping_Cost_In) / tbl_MTG_Set[[#This Row],[Collector Booster Box Size]]</f>
        <v>#N/A</v>
      </c>
      <c r="AY541" s="10" t="str" cm="1">
        <f t="array" ref="AY5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1" s="10"/>
      <c r="BA5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1" s="17" t="e">
        <f>tbl_MTG_Set[[#This Row],[Collector Booster CardMarket Profit]]/tbl_MTG_Set[[#This Row],[Collector Booster Cost]]</f>
        <v>#N/A</v>
      </c>
      <c r="BC541" s="10"/>
      <c r="BF5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1" s="11" t="e">
        <f>tbl_MTG_Set[[#This Row],[Play Singles CardMarket Profit MTG Stocks]]/tbl_MTG_Set[[#This Row],[Play Booster Cost]]</f>
        <v>#VALUE!</v>
      </c>
      <c r="BI541" s="11" t="b">
        <f>tbl_MTG_Set[[#This Row],[Play Singles CardMarket Profit MTG Stocks]]&gt;0</f>
        <v>0</v>
      </c>
      <c r="BM541" s="10" t="e">
        <f>tbl_MTG_Set[[#This Row],[Play Booster Sell Price CardMarket]]*tbl_MTG_Set[[#This Row],[Play Booster Expected Market Value BotBox]]/tbl_MTG_Set[[#This Row],[Play Booster Sealed Market Value BotBox]]</f>
        <v>#VALUE!</v>
      </c>
      <c r="BN5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1" s="10" t="e">
        <f>tbl_MTG_Set[[#This Row],[Play Singles CardMarket Profit BotBox]]/tbl_MTG_Set[[#This Row],[Play Booster Cost]]</f>
        <v>#VALUE!</v>
      </c>
      <c r="BP541" s="10" t="b">
        <f>tbl_MTG_Set[[#This Row],[Play Singles CardMarket Profit BotBox]]&gt;0</f>
        <v>0</v>
      </c>
      <c r="BQ541" s="10"/>
      <c r="BR541" s="10"/>
      <c r="BS541" s="10"/>
      <c r="BT5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1" s="19" t="e">
        <f>tbl_MTG_Set[[#This Row],[Collector Singles CardMarket Profit MTG Stocks]]/tbl_MTG_Set[[#This Row],[Collector Booster Cost]]</f>
        <v>#N/A</v>
      </c>
      <c r="BW541" s="10" t="b">
        <f>tbl_MTG_Set[[#This Row],[Collector Singles CardMarket Profit MTG Stocks]]&gt;0</f>
        <v>0</v>
      </c>
      <c r="BX541" s="10"/>
      <c r="BY541" s="10"/>
      <c r="BZ5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1" s="10" t="e">
        <f>tbl_MTG_Set[[#This Row],[Collector Singles CardMarket Profit BotBox]]/tbl_MTG_Set[[#This Row],[Collector Booster Cost]]</f>
        <v>#N/A</v>
      </c>
      <c r="CC541" s="10" t="b">
        <f>tbl_MTG_Set[[#This Row],[Collector Singles CardMarket Profit BotBox]]&gt;0</f>
        <v>0</v>
      </c>
      <c r="CD5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2" spans="1:86" hidden="1">
      <c r="A542">
        <v>573</v>
      </c>
      <c r="B542" t="s">
        <v>715</v>
      </c>
      <c r="C542">
        <v>20</v>
      </c>
      <c r="D542" s="3">
        <v>42468</v>
      </c>
      <c r="F542" t="s">
        <v>174</v>
      </c>
      <c r="G542">
        <v>1092</v>
      </c>
      <c r="H542">
        <f ca="1">MONTH(NOW())+12*YEAR(NOW())-MONTH(tbl_MTG_Set[[#This Row],[Released On]])-12*YEAR(tbl_MTG_Set[[#This Row],[Released On]])</f>
        <v>119</v>
      </c>
      <c r="I542" t="str">
        <f>_xlfn.XLOOKUP(tbl_MTG_Set[[#This Row],[Type Name]], tbl_MTG_Set_Type[Set Type], tbl_MTG_Set_Type[Index], "(Set Type not found)")</f>
        <v>(Set Type not found)</v>
      </c>
      <c r="J542" t="str">
        <f>_xlfn.XLOOKUP(tbl_MTG_Set[[#This Row],[Type Name]], tbl_MTG_Set_Type[Set Type], tbl_MTG_Set_Type[Buy Window Month Start], "(Set Type not found)")</f>
        <v>(Set Type not found)</v>
      </c>
      <c r="K542" s="3" t="e">
        <f>tbl_MTG_Set[[#This Row],[Released On]]+tbl_MTG_Set[[#This Row],[Buy Window Month Start]]*365.25/12</f>
        <v>#VALUE!</v>
      </c>
      <c r="L542" t="str">
        <f>_xlfn.XLOOKUP(tbl_MTG_Set[[#This Row],[Type Name]], tbl_MTG_Set_Type[Set Type], tbl_MTG_Set_Type[Buy Window Month End], "(Set Type not found)", 0, 1)</f>
        <v>(Set Type not found)</v>
      </c>
      <c r="M542" s="3" t="e">
        <f>tbl_MTG_Set[[#This Row],[Released On]]+tbl_MTG_Set[[#This Row],[Buy Window Month End]]*365.25/12</f>
        <v>#VALUE!</v>
      </c>
      <c r="N542" s="3" t="e">
        <f ca="1">AND(NOW()&gt;=tbl_MTG_Set[[#This Row],[Buy Window Start]], NOW()&lt;=tbl_MTG_Set[[#This Row],[Buy Window End]])</f>
        <v>#VALUE!</v>
      </c>
      <c r="O542" t="str">
        <f>_xlfn.XLOOKUP(tbl_MTG_Set[[#This Row],[Type Name]], tbl_MTG_Set_Type[Set Type], tbl_MTG_Set_Type[Heavy Printing Window Month Start], "(Set Type not found)", 0, 1)</f>
        <v>(Set Type not found)</v>
      </c>
      <c r="P542" s="3" t="e">
        <f>tbl_MTG_Set[[#This Row],[Released On]]+tbl_MTG_Set[[#This Row],[Heavy Printing Window Month Start]]*365.25/12</f>
        <v>#VALUE!</v>
      </c>
      <c r="Q542" t="str">
        <f>_xlfn.XLOOKUP(tbl_MTG_Set[[#This Row],[Type Name]], tbl_MTG_Set_Type[Set Type], tbl_MTG_Set_Type[Heavy Printing Window Month End], "(Set Type not found)", 0, 1)</f>
        <v>(Set Type not found)</v>
      </c>
      <c r="R542" s="3" t="e">
        <f>tbl_MTG_Set[[#This Row],[Released On]]+tbl_MTG_Set[[#This Row],[Heavy Printing Window Month End]]*365.25/12</f>
        <v>#VALUE!</v>
      </c>
      <c r="S542" s="3" t="e">
        <f ca="1">AND(NOW()&gt;=tbl_MTG_Set[[#This Row],[Heavy Printing Window Start]], NOW()&lt;=tbl_MTG_Set[[#This Row],[Heavy Printing Window End]])</f>
        <v>#VALUE!</v>
      </c>
      <c r="T542" t="str">
        <f>_xlfn.XLOOKUP(tbl_MTG_Set[[#This Row],[Type Name]], tbl_MTG_Set_Type[Set Type], tbl_MTG_Set_Type[Sell Window Month Start], "(Set Type not found)", 0, 1)</f>
        <v>(Set Type not found)</v>
      </c>
      <c r="U542" s="3" t="e">
        <f>tbl_MTG_Set[[#This Row],[Released On]]+tbl_MTG_Set[[#This Row],[Sell Window Month Start]]*365.25/12</f>
        <v>#VALUE!</v>
      </c>
      <c r="V542" t="str">
        <f>_xlfn.XLOOKUP(tbl_MTG_Set[[#This Row],[Type Name]], tbl_MTG_Set_Type[Set Type], tbl_MTG_Set_Type[Sell Window Month End], "(Set Type not found)", 0, 1)</f>
        <v>(Set Type not found)</v>
      </c>
      <c r="W542" s="3" t="e">
        <f>tbl_MTG_Set[[#This Row],[Released On]]+tbl_MTG_Set[[#This Row],[Sell Window Month End]]*365.25/12</f>
        <v>#VALUE!</v>
      </c>
      <c r="X542" s="3" t="e">
        <f ca="1">AND(NOW()&gt;=tbl_MTG_Set[[#This Row],[Sell Window Start]], NOW()&lt;=tbl_MTG_Set[[#This Row],[Sell Window End]])</f>
        <v>#VALUE!</v>
      </c>
      <c r="AG542" s="10"/>
      <c r="AH542" s="10"/>
      <c r="AM542" s="10" t="str" cm="1">
        <f t="array" ref="AM5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2" s="10" t="str" cm="1">
        <f t="array" ref="AN5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2" s="4" t="e">
        <f>_xlfn.XLOOKUP(tbl_MTG_Set[[#This Row],[Play Booster Box Product Id]], tbl_Product[Product Id], tbl_Product[Pack Size])</f>
        <v>#N/A</v>
      </c>
      <c r="AP542" s="10" t="e">
        <f>(tbl_MTG_Set[[#This Row],[Play Booster Box Cost]]+v_Item_Shipping_Cost_In)/tbl_MTG_Set[[#This Row],[Play Booster Box Size]]</f>
        <v>#VALUE!</v>
      </c>
      <c r="AQ542" s="10" t="str" cm="1">
        <f t="array" ref="AQ5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2" s="10"/>
      <c r="AS542" s="10"/>
      <c r="AT542" s="17" t="e">
        <f>tbl_MTG_Set[[#This Row],[Play Booster CardMarket Profit]]/tbl_MTG_Set[[#This Row],[Play Booster Cost]]</f>
        <v>#VALUE!</v>
      </c>
      <c r="AU542" s="10" t="e">
        <f>_xlfn.XLOOKUP(tbl_MTG_Set[[#This Row],[Collector Booster Box Product Id]], tbl_Product[Product Id], tbl_Product[Min Cost])</f>
        <v>#N/A</v>
      </c>
      <c r="AV542" s="10" t="e">
        <f>_xlfn.XLOOKUP(tbl_MTG_Set[[#This Row],[Collector Booster Box Product Id]], tbl_Product[Product Id], tbl_Product[Best Source])</f>
        <v>#N/A</v>
      </c>
      <c r="AW542" s="4" t="e">
        <f>_xlfn.XLOOKUP(tbl_MTG_Set[[#This Row],[Collector Booster Box Product Id]], tbl_Product[Product Id], tbl_Product[Pack Size])</f>
        <v>#N/A</v>
      </c>
      <c r="AX542" s="10" t="e">
        <f>(tbl_MTG_Set[[#This Row],[Collector Booster Box Cost]] + v_Item_Shipping_Cost_In) / tbl_MTG_Set[[#This Row],[Collector Booster Box Size]]</f>
        <v>#N/A</v>
      </c>
      <c r="AY542" s="10" t="str" cm="1">
        <f t="array" ref="AY5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2" s="10"/>
      <c r="BA5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2" s="17" t="e">
        <f>tbl_MTG_Set[[#This Row],[Collector Booster CardMarket Profit]]/tbl_MTG_Set[[#This Row],[Collector Booster Cost]]</f>
        <v>#N/A</v>
      </c>
      <c r="BC542" s="10"/>
      <c r="BF5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2" s="11" t="e">
        <f>tbl_MTG_Set[[#This Row],[Play Singles CardMarket Profit MTG Stocks]]/tbl_MTG_Set[[#This Row],[Play Booster Cost]]</f>
        <v>#VALUE!</v>
      </c>
      <c r="BI542" s="11" t="b">
        <f>tbl_MTG_Set[[#This Row],[Play Singles CardMarket Profit MTG Stocks]]&gt;0</f>
        <v>0</v>
      </c>
      <c r="BM542" s="10" t="e">
        <f>tbl_MTG_Set[[#This Row],[Play Booster Sell Price CardMarket]]*tbl_MTG_Set[[#This Row],[Play Booster Expected Market Value BotBox]]/tbl_MTG_Set[[#This Row],[Play Booster Sealed Market Value BotBox]]</f>
        <v>#VALUE!</v>
      </c>
      <c r="BN5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2" s="10" t="e">
        <f>tbl_MTG_Set[[#This Row],[Play Singles CardMarket Profit BotBox]]/tbl_MTG_Set[[#This Row],[Play Booster Cost]]</f>
        <v>#VALUE!</v>
      </c>
      <c r="BP542" s="10" t="b">
        <f>tbl_MTG_Set[[#This Row],[Play Singles CardMarket Profit BotBox]]&gt;0</f>
        <v>0</v>
      </c>
      <c r="BQ542" s="10"/>
      <c r="BR542" s="10"/>
      <c r="BS542" s="10"/>
      <c r="BT5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2" s="19" t="e">
        <f>tbl_MTG_Set[[#This Row],[Collector Singles CardMarket Profit MTG Stocks]]/tbl_MTG_Set[[#This Row],[Collector Booster Cost]]</f>
        <v>#N/A</v>
      </c>
      <c r="BW542" s="10" t="b">
        <f>tbl_MTG_Set[[#This Row],[Collector Singles CardMarket Profit MTG Stocks]]&gt;0</f>
        <v>0</v>
      </c>
      <c r="BX542" s="10"/>
      <c r="BY542" s="10"/>
      <c r="BZ5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2" s="10" t="e">
        <f>tbl_MTG_Set[[#This Row],[Collector Singles CardMarket Profit BotBox]]/tbl_MTG_Set[[#This Row],[Collector Booster Cost]]</f>
        <v>#N/A</v>
      </c>
      <c r="CC542" s="10" t="b">
        <f>tbl_MTG_Set[[#This Row],[Collector Singles CardMarket Profit BotBox]]&gt;0</f>
        <v>0</v>
      </c>
      <c r="CD5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3" spans="1:86" hidden="1">
      <c r="A543">
        <v>574</v>
      </c>
      <c r="B543" t="s">
        <v>716</v>
      </c>
      <c r="C543">
        <v>16</v>
      </c>
      <c r="D543" s="3">
        <v>42468</v>
      </c>
      <c r="F543" t="s">
        <v>174</v>
      </c>
      <c r="G543">
        <v>1094</v>
      </c>
      <c r="H543">
        <f ca="1">MONTH(NOW())+12*YEAR(NOW())-MONTH(tbl_MTG_Set[[#This Row],[Released On]])-12*YEAR(tbl_MTG_Set[[#This Row],[Released On]])</f>
        <v>119</v>
      </c>
      <c r="I543" t="str">
        <f>_xlfn.XLOOKUP(tbl_MTG_Set[[#This Row],[Type Name]], tbl_MTG_Set_Type[Set Type], tbl_MTG_Set_Type[Index], "(Set Type not found)")</f>
        <v>(Set Type not found)</v>
      </c>
      <c r="J543" t="str">
        <f>_xlfn.XLOOKUP(tbl_MTG_Set[[#This Row],[Type Name]], tbl_MTG_Set_Type[Set Type], tbl_MTG_Set_Type[Buy Window Month Start], "(Set Type not found)")</f>
        <v>(Set Type not found)</v>
      </c>
      <c r="K543" s="3" t="e">
        <f>tbl_MTG_Set[[#This Row],[Released On]]+tbl_MTG_Set[[#This Row],[Buy Window Month Start]]*365.25/12</f>
        <v>#VALUE!</v>
      </c>
      <c r="L543" t="str">
        <f>_xlfn.XLOOKUP(tbl_MTG_Set[[#This Row],[Type Name]], tbl_MTG_Set_Type[Set Type], tbl_MTG_Set_Type[Buy Window Month End], "(Set Type not found)", 0, 1)</f>
        <v>(Set Type not found)</v>
      </c>
      <c r="M543" s="3" t="e">
        <f>tbl_MTG_Set[[#This Row],[Released On]]+tbl_MTG_Set[[#This Row],[Buy Window Month End]]*365.25/12</f>
        <v>#VALUE!</v>
      </c>
      <c r="N543" s="3" t="e">
        <f ca="1">AND(NOW()&gt;=tbl_MTG_Set[[#This Row],[Buy Window Start]], NOW()&lt;=tbl_MTG_Set[[#This Row],[Buy Window End]])</f>
        <v>#VALUE!</v>
      </c>
      <c r="O543" t="str">
        <f>_xlfn.XLOOKUP(tbl_MTG_Set[[#This Row],[Type Name]], tbl_MTG_Set_Type[Set Type], tbl_MTG_Set_Type[Heavy Printing Window Month Start], "(Set Type not found)", 0, 1)</f>
        <v>(Set Type not found)</v>
      </c>
      <c r="P543" s="3" t="e">
        <f>tbl_MTG_Set[[#This Row],[Released On]]+tbl_MTG_Set[[#This Row],[Heavy Printing Window Month Start]]*365.25/12</f>
        <v>#VALUE!</v>
      </c>
      <c r="Q543" t="str">
        <f>_xlfn.XLOOKUP(tbl_MTG_Set[[#This Row],[Type Name]], tbl_MTG_Set_Type[Set Type], tbl_MTG_Set_Type[Heavy Printing Window Month End], "(Set Type not found)", 0, 1)</f>
        <v>(Set Type not found)</v>
      </c>
      <c r="R543" s="3" t="e">
        <f>tbl_MTG_Set[[#This Row],[Released On]]+tbl_MTG_Set[[#This Row],[Heavy Printing Window Month End]]*365.25/12</f>
        <v>#VALUE!</v>
      </c>
      <c r="S543" s="3" t="e">
        <f ca="1">AND(NOW()&gt;=tbl_MTG_Set[[#This Row],[Heavy Printing Window Start]], NOW()&lt;=tbl_MTG_Set[[#This Row],[Heavy Printing Window End]])</f>
        <v>#VALUE!</v>
      </c>
      <c r="T543" t="str">
        <f>_xlfn.XLOOKUP(tbl_MTG_Set[[#This Row],[Type Name]], tbl_MTG_Set_Type[Set Type], tbl_MTG_Set_Type[Sell Window Month Start], "(Set Type not found)", 0, 1)</f>
        <v>(Set Type not found)</v>
      </c>
      <c r="U543" s="3" t="e">
        <f>tbl_MTG_Set[[#This Row],[Released On]]+tbl_MTG_Set[[#This Row],[Sell Window Month Start]]*365.25/12</f>
        <v>#VALUE!</v>
      </c>
      <c r="V543" t="str">
        <f>_xlfn.XLOOKUP(tbl_MTG_Set[[#This Row],[Type Name]], tbl_MTG_Set_Type[Set Type], tbl_MTG_Set_Type[Sell Window Month End], "(Set Type not found)", 0, 1)</f>
        <v>(Set Type not found)</v>
      </c>
      <c r="W543" s="3" t="e">
        <f>tbl_MTG_Set[[#This Row],[Released On]]+tbl_MTG_Set[[#This Row],[Sell Window Month End]]*365.25/12</f>
        <v>#VALUE!</v>
      </c>
      <c r="X543" s="3" t="e">
        <f ca="1">AND(NOW()&gt;=tbl_MTG_Set[[#This Row],[Sell Window Start]], NOW()&lt;=tbl_MTG_Set[[#This Row],[Sell Window End]])</f>
        <v>#VALUE!</v>
      </c>
      <c r="AG543" s="10"/>
      <c r="AH543" s="10"/>
      <c r="AM543" s="10" t="str" cm="1">
        <f t="array" ref="AM5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3" s="10" t="str" cm="1">
        <f t="array" ref="AN5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3" s="4" t="e">
        <f>_xlfn.XLOOKUP(tbl_MTG_Set[[#This Row],[Play Booster Box Product Id]], tbl_Product[Product Id], tbl_Product[Pack Size])</f>
        <v>#N/A</v>
      </c>
      <c r="AP543" s="10" t="e">
        <f>(tbl_MTG_Set[[#This Row],[Play Booster Box Cost]]+v_Item_Shipping_Cost_In)/tbl_MTG_Set[[#This Row],[Play Booster Box Size]]</f>
        <v>#VALUE!</v>
      </c>
      <c r="AQ543" s="10" t="str" cm="1">
        <f t="array" ref="AQ5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3" s="10"/>
      <c r="AS543" s="10"/>
      <c r="AT543" s="17" t="e">
        <f>tbl_MTG_Set[[#This Row],[Play Booster CardMarket Profit]]/tbl_MTG_Set[[#This Row],[Play Booster Cost]]</f>
        <v>#VALUE!</v>
      </c>
      <c r="AU543" s="10" t="e">
        <f>_xlfn.XLOOKUP(tbl_MTG_Set[[#This Row],[Collector Booster Box Product Id]], tbl_Product[Product Id], tbl_Product[Min Cost])</f>
        <v>#N/A</v>
      </c>
      <c r="AV543" s="10" t="e">
        <f>_xlfn.XLOOKUP(tbl_MTG_Set[[#This Row],[Collector Booster Box Product Id]], tbl_Product[Product Id], tbl_Product[Best Source])</f>
        <v>#N/A</v>
      </c>
      <c r="AW543" s="4" t="e">
        <f>_xlfn.XLOOKUP(tbl_MTG_Set[[#This Row],[Collector Booster Box Product Id]], tbl_Product[Product Id], tbl_Product[Pack Size])</f>
        <v>#N/A</v>
      </c>
      <c r="AX543" s="10" t="e">
        <f>(tbl_MTG_Set[[#This Row],[Collector Booster Box Cost]] + v_Item_Shipping_Cost_In) / tbl_MTG_Set[[#This Row],[Collector Booster Box Size]]</f>
        <v>#N/A</v>
      </c>
      <c r="AY543" s="10" t="str" cm="1">
        <f t="array" ref="AY5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3" s="10"/>
      <c r="BA5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3" s="17" t="e">
        <f>tbl_MTG_Set[[#This Row],[Collector Booster CardMarket Profit]]/tbl_MTG_Set[[#This Row],[Collector Booster Cost]]</f>
        <v>#N/A</v>
      </c>
      <c r="BC543" s="10"/>
      <c r="BF5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3" s="11" t="e">
        <f>tbl_MTG_Set[[#This Row],[Play Singles CardMarket Profit MTG Stocks]]/tbl_MTG_Set[[#This Row],[Play Booster Cost]]</f>
        <v>#VALUE!</v>
      </c>
      <c r="BI543" s="11" t="b">
        <f>tbl_MTG_Set[[#This Row],[Play Singles CardMarket Profit MTG Stocks]]&gt;0</f>
        <v>0</v>
      </c>
      <c r="BM543" s="10" t="e">
        <f>tbl_MTG_Set[[#This Row],[Play Booster Sell Price CardMarket]]*tbl_MTG_Set[[#This Row],[Play Booster Expected Market Value BotBox]]/tbl_MTG_Set[[#This Row],[Play Booster Sealed Market Value BotBox]]</f>
        <v>#VALUE!</v>
      </c>
      <c r="BN5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3" s="10" t="e">
        <f>tbl_MTG_Set[[#This Row],[Play Singles CardMarket Profit BotBox]]/tbl_MTG_Set[[#This Row],[Play Booster Cost]]</f>
        <v>#VALUE!</v>
      </c>
      <c r="BP543" s="10" t="b">
        <f>tbl_MTG_Set[[#This Row],[Play Singles CardMarket Profit BotBox]]&gt;0</f>
        <v>0</v>
      </c>
      <c r="BQ543" s="10"/>
      <c r="BR543" s="10"/>
      <c r="BS543" s="10"/>
      <c r="BT5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3" s="19" t="e">
        <f>tbl_MTG_Set[[#This Row],[Collector Singles CardMarket Profit MTG Stocks]]/tbl_MTG_Set[[#This Row],[Collector Booster Cost]]</f>
        <v>#N/A</v>
      </c>
      <c r="BW543" s="10" t="b">
        <f>tbl_MTG_Set[[#This Row],[Collector Singles CardMarket Profit MTG Stocks]]&gt;0</f>
        <v>0</v>
      </c>
      <c r="BX543" s="10"/>
      <c r="BY543" s="10"/>
      <c r="BZ5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3" s="10" t="e">
        <f>tbl_MTG_Set[[#This Row],[Collector Singles CardMarket Profit BotBox]]/tbl_MTG_Set[[#This Row],[Collector Booster Cost]]</f>
        <v>#N/A</v>
      </c>
      <c r="CC543" s="10" t="b">
        <f>tbl_MTG_Set[[#This Row],[Collector Singles CardMarket Profit BotBox]]&gt;0</f>
        <v>0</v>
      </c>
      <c r="CD5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4" spans="1:86" hidden="1">
      <c r="A544">
        <v>575</v>
      </c>
      <c r="B544" t="s">
        <v>717</v>
      </c>
      <c r="C544">
        <v>80</v>
      </c>
      <c r="D544" s="3">
        <v>42426</v>
      </c>
      <c r="F544" t="s">
        <v>174</v>
      </c>
      <c r="G544">
        <v>1096</v>
      </c>
      <c r="H544">
        <f ca="1">MONTH(NOW())+12*YEAR(NOW())-MONTH(tbl_MTG_Set[[#This Row],[Released On]])-12*YEAR(tbl_MTG_Set[[#This Row],[Released On]])</f>
        <v>121</v>
      </c>
      <c r="I544" t="str">
        <f>_xlfn.XLOOKUP(tbl_MTG_Set[[#This Row],[Type Name]], tbl_MTG_Set_Type[Set Type], tbl_MTG_Set_Type[Index], "(Set Type not found)")</f>
        <v>(Set Type not found)</v>
      </c>
      <c r="J544" t="str">
        <f>_xlfn.XLOOKUP(tbl_MTG_Set[[#This Row],[Type Name]], tbl_MTG_Set_Type[Set Type], tbl_MTG_Set_Type[Buy Window Month Start], "(Set Type not found)")</f>
        <v>(Set Type not found)</v>
      </c>
      <c r="K544" s="3" t="e">
        <f>tbl_MTG_Set[[#This Row],[Released On]]+tbl_MTG_Set[[#This Row],[Buy Window Month Start]]*365.25/12</f>
        <v>#VALUE!</v>
      </c>
      <c r="L544" t="str">
        <f>_xlfn.XLOOKUP(tbl_MTG_Set[[#This Row],[Type Name]], tbl_MTG_Set_Type[Set Type], tbl_MTG_Set_Type[Buy Window Month End], "(Set Type not found)", 0, 1)</f>
        <v>(Set Type not found)</v>
      </c>
      <c r="M544" s="3" t="e">
        <f>tbl_MTG_Set[[#This Row],[Released On]]+tbl_MTG_Set[[#This Row],[Buy Window Month End]]*365.25/12</f>
        <v>#VALUE!</v>
      </c>
      <c r="N544" s="3" t="e">
        <f ca="1">AND(NOW()&gt;=tbl_MTG_Set[[#This Row],[Buy Window Start]], NOW()&lt;=tbl_MTG_Set[[#This Row],[Buy Window End]])</f>
        <v>#VALUE!</v>
      </c>
      <c r="O544" t="str">
        <f>_xlfn.XLOOKUP(tbl_MTG_Set[[#This Row],[Type Name]], tbl_MTG_Set_Type[Set Type], tbl_MTG_Set_Type[Heavy Printing Window Month Start], "(Set Type not found)", 0, 1)</f>
        <v>(Set Type not found)</v>
      </c>
      <c r="P544" s="3" t="e">
        <f>tbl_MTG_Set[[#This Row],[Released On]]+tbl_MTG_Set[[#This Row],[Heavy Printing Window Month Start]]*365.25/12</f>
        <v>#VALUE!</v>
      </c>
      <c r="Q544" t="str">
        <f>_xlfn.XLOOKUP(tbl_MTG_Set[[#This Row],[Type Name]], tbl_MTG_Set_Type[Set Type], tbl_MTG_Set_Type[Heavy Printing Window Month End], "(Set Type not found)", 0, 1)</f>
        <v>(Set Type not found)</v>
      </c>
      <c r="R544" s="3" t="e">
        <f>tbl_MTG_Set[[#This Row],[Released On]]+tbl_MTG_Set[[#This Row],[Heavy Printing Window Month End]]*365.25/12</f>
        <v>#VALUE!</v>
      </c>
      <c r="S544" s="3" t="e">
        <f ca="1">AND(NOW()&gt;=tbl_MTG_Set[[#This Row],[Heavy Printing Window Start]], NOW()&lt;=tbl_MTG_Set[[#This Row],[Heavy Printing Window End]])</f>
        <v>#VALUE!</v>
      </c>
      <c r="T544" t="str">
        <f>_xlfn.XLOOKUP(tbl_MTG_Set[[#This Row],[Type Name]], tbl_MTG_Set_Type[Set Type], tbl_MTG_Set_Type[Sell Window Month Start], "(Set Type not found)", 0, 1)</f>
        <v>(Set Type not found)</v>
      </c>
      <c r="U544" s="3" t="e">
        <f>tbl_MTG_Set[[#This Row],[Released On]]+tbl_MTG_Set[[#This Row],[Sell Window Month Start]]*365.25/12</f>
        <v>#VALUE!</v>
      </c>
      <c r="V544" t="str">
        <f>_xlfn.XLOOKUP(tbl_MTG_Set[[#This Row],[Type Name]], tbl_MTG_Set_Type[Set Type], tbl_MTG_Set_Type[Sell Window Month End], "(Set Type not found)", 0, 1)</f>
        <v>(Set Type not found)</v>
      </c>
      <c r="W544" s="3" t="e">
        <f>tbl_MTG_Set[[#This Row],[Released On]]+tbl_MTG_Set[[#This Row],[Sell Window Month End]]*365.25/12</f>
        <v>#VALUE!</v>
      </c>
      <c r="X544" s="3" t="e">
        <f ca="1">AND(NOW()&gt;=tbl_MTG_Set[[#This Row],[Sell Window Start]], NOW()&lt;=tbl_MTG_Set[[#This Row],[Sell Window End]])</f>
        <v>#VALUE!</v>
      </c>
      <c r="AG544" s="10"/>
      <c r="AH544" s="10"/>
      <c r="AM544" s="10" t="str" cm="1">
        <f t="array" ref="AM5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4" s="10" t="str" cm="1">
        <f t="array" ref="AN5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4" s="4" t="e">
        <f>_xlfn.XLOOKUP(tbl_MTG_Set[[#This Row],[Play Booster Box Product Id]], tbl_Product[Product Id], tbl_Product[Pack Size])</f>
        <v>#N/A</v>
      </c>
      <c r="AP544" s="10" t="e">
        <f>(tbl_MTG_Set[[#This Row],[Play Booster Box Cost]]+v_Item_Shipping_Cost_In)/tbl_MTG_Set[[#This Row],[Play Booster Box Size]]</f>
        <v>#VALUE!</v>
      </c>
      <c r="AQ544" s="10" t="str" cm="1">
        <f t="array" ref="AQ5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4" s="10"/>
      <c r="AS544" s="10"/>
      <c r="AT544" s="17" t="e">
        <f>tbl_MTG_Set[[#This Row],[Play Booster CardMarket Profit]]/tbl_MTG_Set[[#This Row],[Play Booster Cost]]</f>
        <v>#VALUE!</v>
      </c>
      <c r="AU544" s="10" t="e">
        <f>_xlfn.XLOOKUP(tbl_MTG_Set[[#This Row],[Collector Booster Box Product Id]], tbl_Product[Product Id], tbl_Product[Min Cost])</f>
        <v>#N/A</v>
      </c>
      <c r="AV544" s="10" t="e">
        <f>_xlfn.XLOOKUP(tbl_MTG_Set[[#This Row],[Collector Booster Box Product Id]], tbl_Product[Product Id], tbl_Product[Best Source])</f>
        <v>#N/A</v>
      </c>
      <c r="AW544" s="4" t="e">
        <f>_xlfn.XLOOKUP(tbl_MTG_Set[[#This Row],[Collector Booster Box Product Id]], tbl_Product[Product Id], tbl_Product[Pack Size])</f>
        <v>#N/A</v>
      </c>
      <c r="AX544" s="10" t="e">
        <f>(tbl_MTG_Set[[#This Row],[Collector Booster Box Cost]] + v_Item_Shipping_Cost_In) / tbl_MTG_Set[[#This Row],[Collector Booster Box Size]]</f>
        <v>#N/A</v>
      </c>
      <c r="AY544" s="10" t="str" cm="1">
        <f t="array" ref="AY5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4" s="10"/>
      <c r="BA5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4" s="17" t="e">
        <f>tbl_MTG_Set[[#This Row],[Collector Booster CardMarket Profit]]/tbl_MTG_Set[[#This Row],[Collector Booster Cost]]</f>
        <v>#N/A</v>
      </c>
      <c r="BC544" s="10"/>
      <c r="BF5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4" s="11" t="e">
        <f>tbl_MTG_Set[[#This Row],[Play Singles CardMarket Profit MTG Stocks]]/tbl_MTG_Set[[#This Row],[Play Booster Cost]]</f>
        <v>#VALUE!</v>
      </c>
      <c r="BI544" s="11" t="b">
        <f>tbl_MTG_Set[[#This Row],[Play Singles CardMarket Profit MTG Stocks]]&gt;0</f>
        <v>0</v>
      </c>
      <c r="BM544" s="10" t="e">
        <f>tbl_MTG_Set[[#This Row],[Play Booster Sell Price CardMarket]]*tbl_MTG_Set[[#This Row],[Play Booster Expected Market Value BotBox]]/tbl_MTG_Set[[#This Row],[Play Booster Sealed Market Value BotBox]]</f>
        <v>#VALUE!</v>
      </c>
      <c r="BN5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4" s="10" t="e">
        <f>tbl_MTG_Set[[#This Row],[Play Singles CardMarket Profit BotBox]]/tbl_MTG_Set[[#This Row],[Play Booster Cost]]</f>
        <v>#VALUE!</v>
      </c>
      <c r="BP544" s="10" t="b">
        <f>tbl_MTG_Set[[#This Row],[Play Singles CardMarket Profit BotBox]]&gt;0</f>
        <v>0</v>
      </c>
      <c r="BQ544" s="10"/>
      <c r="BR544" s="10"/>
      <c r="BS544" s="10"/>
      <c r="BT5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4" s="19" t="e">
        <f>tbl_MTG_Set[[#This Row],[Collector Singles CardMarket Profit MTG Stocks]]/tbl_MTG_Set[[#This Row],[Collector Booster Cost]]</f>
        <v>#N/A</v>
      </c>
      <c r="BW544" s="10" t="b">
        <f>tbl_MTG_Set[[#This Row],[Collector Singles CardMarket Profit MTG Stocks]]&gt;0</f>
        <v>0</v>
      </c>
      <c r="BX544" s="10"/>
      <c r="BY544" s="10"/>
      <c r="BZ5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4" s="10" t="e">
        <f>tbl_MTG_Set[[#This Row],[Collector Singles CardMarket Profit BotBox]]/tbl_MTG_Set[[#This Row],[Collector Booster Cost]]</f>
        <v>#N/A</v>
      </c>
      <c r="CC544" s="10" t="b">
        <f>tbl_MTG_Set[[#This Row],[Collector Singles CardMarket Profit BotBox]]&gt;0</f>
        <v>0</v>
      </c>
      <c r="CD5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5" spans="1:86" hidden="1">
      <c r="A545">
        <v>577</v>
      </c>
      <c r="B545" t="s">
        <v>718</v>
      </c>
      <c r="C545">
        <v>65</v>
      </c>
      <c r="D545" s="3">
        <v>42391</v>
      </c>
      <c r="E545" t="s">
        <v>59</v>
      </c>
      <c r="F545" t="s">
        <v>174</v>
      </c>
      <c r="G545">
        <v>1100</v>
      </c>
      <c r="H545">
        <f ca="1">MONTH(NOW())+12*YEAR(NOW())-MONTH(tbl_MTG_Set[[#This Row],[Released On]])-12*YEAR(tbl_MTG_Set[[#This Row],[Released On]])</f>
        <v>122</v>
      </c>
      <c r="I545">
        <f>_xlfn.XLOOKUP(tbl_MTG_Set[[#This Row],[Type Name]], tbl_MTG_Set_Type[Set Type], tbl_MTG_Set_Type[Index], "(Set Type not found)")</f>
        <v>1</v>
      </c>
      <c r="J545">
        <f>_xlfn.XLOOKUP(tbl_MTG_Set[[#This Row],[Type Name]], tbl_MTG_Set_Type[Set Type], tbl_MTG_Set_Type[Buy Window Month Start], "(Set Type not found)")</f>
        <v>18</v>
      </c>
      <c r="K545" s="3">
        <f>tbl_MTG_Set[[#This Row],[Released On]]+tbl_MTG_Set[[#This Row],[Buy Window Month Start]]*365.25/12</f>
        <v>42938.875</v>
      </c>
      <c r="L545">
        <f>_xlfn.XLOOKUP(tbl_MTG_Set[[#This Row],[Type Name]], tbl_MTG_Set_Type[Set Type], tbl_MTG_Set_Type[Buy Window Month End], "(Set Type not found)", 0, 1)</f>
        <v>24</v>
      </c>
      <c r="M545" s="3">
        <f>tbl_MTG_Set[[#This Row],[Released On]]+tbl_MTG_Set[[#This Row],[Buy Window Month End]]*365.25/12</f>
        <v>43121.5</v>
      </c>
      <c r="N545" s="3" t="b">
        <f ca="1">AND(NOW()&gt;=tbl_MTG_Set[[#This Row],[Buy Window Start]], NOW()&lt;=tbl_MTG_Set[[#This Row],[Buy Window End]])</f>
        <v>0</v>
      </c>
      <c r="O545">
        <f>_xlfn.XLOOKUP(tbl_MTG_Set[[#This Row],[Type Name]], tbl_MTG_Set_Type[Set Type], tbl_MTG_Set_Type[Heavy Printing Window Month Start], "(Set Type not found)", 0, 1)</f>
        <v>1</v>
      </c>
      <c r="P545" s="3">
        <f>tbl_MTG_Set[[#This Row],[Released On]]+tbl_MTG_Set[[#This Row],[Heavy Printing Window Month Start]]*365.25/12</f>
        <v>42421.4375</v>
      </c>
      <c r="Q545">
        <f>_xlfn.XLOOKUP(tbl_MTG_Set[[#This Row],[Type Name]], tbl_MTG_Set_Type[Set Type], tbl_MTG_Set_Type[Heavy Printing Window Month End], "(Set Type not found)", 0, 1)</f>
        <v>18</v>
      </c>
      <c r="R545" s="3">
        <f>tbl_MTG_Set[[#This Row],[Released On]]+tbl_MTG_Set[[#This Row],[Heavy Printing Window Month End]]*365.25/12</f>
        <v>42938.875</v>
      </c>
      <c r="S545" s="3" t="b">
        <f ca="1">AND(NOW()&gt;=tbl_MTG_Set[[#This Row],[Heavy Printing Window Start]], NOW()&lt;=tbl_MTG_Set[[#This Row],[Heavy Printing Window End]])</f>
        <v>0</v>
      </c>
      <c r="T545">
        <f>_xlfn.XLOOKUP(tbl_MTG_Set[[#This Row],[Type Name]], tbl_MTG_Set_Type[Set Type], tbl_MTG_Set_Type[Sell Window Month Start], "(Set Type not found)", 0, 1)</f>
        <v>36</v>
      </c>
      <c r="U545" s="3">
        <f>tbl_MTG_Set[[#This Row],[Released On]]+tbl_MTG_Set[[#This Row],[Sell Window Month Start]]*365.25/12</f>
        <v>43486.75</v>
      </c>
      <c r="V545">
        <f>_xlfn.XLOOKUP(tbl_MTG_Set[[#This Row],[Type Name]], tbl_MTG_Set_Type[Set Type], tbl_MTG_Set_Type[Sell Window Month End], "(Set Type not found)", 0, 1)</f>
        <v>48</v>
      </c>
      <c r="W545" s="3">
        <f>tbl_MTG_Set[[#This Row],[Released On]]+tbl_MTG_Set[[#This Row],[Sell Window Month End]]*365.25/12</f>
        <v>43852</v>
      </c>
      <c r="X545" s="3" t="b">
        <f ca="1">AND(NOW()&gt;=tbl_MTG_Set[[#This Row],[Sell Window Start]], NOW()&lt;=tbl_MTG_Set[[#This Row],[Sell Window End]])</f>
        <v>0</v>
      </c>
      <c r="AG545" s="10"/>
      <c r="AH545" s="10"/>
      <c r="AM545" s="10" t="str" cm="1">
        <f t="array" ref="AM5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5" s="10" t="str" cm="1">
        <f t="array" ref="AN5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5" s="4" t="e">
        <f>_xlfn.XLOOKUP(tbl_MTG_Set[[#This Row],[Play Booster Box Product Id]], tbl_Product[Product Id], tbl_Product[Pack Size])</f>
        <v>#N/A</v>
      </c>
      <c r="AP545" s="10" t="e">
        <f>(tbl_MTG_Set[[#This Row],[Play Booster Box Cost]]+v_Item_Shipping_Cost_In)/tbl_MTG_Set[[#This Row],[Play Booster Box Size]]</f>
        <v>#VALUE!</v>
      </c>
      <c r="AQ545" s="10" t="str" cm="1">
        <f t="array" ref="AQ5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5" s="10"/>
      <c r="AS545" s="10"/>
      <c r="AT545" s="17" t="e">
        <f>tbl_MTG_Set[[#This Row],[Play Booster CardMarket Profit]]/tbl_MTG_Set[[#This Row],[Play Booster Cost]]</f>
        <v>#VALUE!</v>
      </c>
      <c r="AU545" s="10" t="e">
        <f>_xlfn.XLOOKUP(tbl_MTG_Set[[#This Row],[Collector Booster Box Product Id]], tbl_Product[Product Id], tbl_Product[Min Cost])</f>
        <v>#N/A</v>
      </c>
      <c r="AV545" s="10" t="e">
        <f>_xlfn.XLOOKUP(tbl_MTG_Set[[#This Row],[Collector Booster Box Product Id]], tbl_Product[Product Id], tbl_Product[Best Source])</f>
        <v>#N/A</v>
      </c>
      <c r="AW545" s="4" t="e">
        <f>_xlfn.XLOOKUP(tbl_MTG_Set[[#This Row],[Collector Booster Box Product Id]], tbl_Product[Product Id], tbl_Product[Pack Size])</f>
        <v>#N/A</v>
      </c>
      <c r="AX545" s="10" t="e">
        <f>(tbl_MTG_Set[[#This Row],[Collector Booster Box Cost]] + v_Item_Shipping_Cost_In) / tbl_MTG_Set[[#This Row],[Collector Booster Box Size]]</f>
        <v>#N/A</v>
      </c>
      <c r="AY545" s="10" t="str" cm="1">
        <f t="array" ref="AY5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5" s="10"/>
      <c r="BA5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5" s="17" t="e">
        <f>tbl_MTG_Set[[#This Row],[Collector Booster CardMarket Profit]]/tbl_MTG_Set[[#This Row],[Collector Booster Cost]]</f>
        <v>#N/A</v>
      </c>
      <c r="BC545" s="10"/>
      <c r="BF5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5" s="11" t="e">
        <f>tbl_MTG_Set[[#This Row],[Play Singles CardMarket Profit MTG Stocks]]/tbl_MTG_Set[[#This Row],[Play Booster Cost]]</f>
        <v>#VALUE!</v>
      </c>
      <c r="BI545" s="11" t="b">
        <f>tbl_MTG_Set[[#This Row],[Play Singles CardMarket Profit MTG Stocks]]&gt;0</f>
        <v>0</v>
      </c>
      <c r="BM545" s="10" t="e">
        <f>tbl_MTG_Set[[#This Row],[Play Booster Sell Price CardMarket]]*tbl_MTG_Set[[#This Row],[Play Booster Expected Market Value BotBox]]/tbl_MTG_Set[[#This Row],[Play Booster Sealed Market Value BotBox]]</f>
        <v>#VALUE!</v>
      </c>
      <c r="BN5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5" s="10" t="e">
        <f>tbl_MTG_Set[[#This Row],[Play Singles CardMarket Profit BotBox]]/tbl_MTG_Set[[#This Row],[Play Booster Cost]]</f>
        <v>#VALUE!</v>
      </c>
      <c r="BP545" s="10" t="b">
        <f>tbl_MTG_Set[[#This Row],[Play Singles CardMarket Profit BotBox]]&gt;0</f>
        <v>0</v>
      </c>
      <c r="BQ545" s="10"/>
      <c r="BR545" s="10"/>
      <c r="BS545" s="10"/>
      <c r="BT5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5" s="19" t="e">
        <f>tbl_MTG_Set[[#This Row],[Collector Singles CardMarket Profit MTG Stocks]]/tbl_MTG_Set[[#This Row],[Collector Booster Cost]]</f>
        <v>#N/A</v>
      </c>
      <c r="BW545" s="10" t="b">
        <f>tbl_MTG_Set[[#This Row],[Collector Singles CardMarket Profit MTG Stocks]]&gt;0</f>
        <v>0</v>
      </c>
      <c r="BX545" s="10"/>
      <c r="BY545" s="10"/>
      <c r="BZ5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5" s="10" t="e">
        <f>tbl_MTG_Set[[#This Row],[Collector Singles CardMarket Profit BotBox]]/tbl_MTG_Set[[#This Row],[Collector Booster Cost]]</f>
        <v>#N/A</v>
      </c>
      <c r="CC545" s="10" t="b">
        <f>tbl_MTG_Set[[#This Row],[Collector Singles CardMarket Profit BotBox]]&gt;0</f>
        <v>0</v>
      </c>
      <c r="CD5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6" spans="1:86" hidden="1">
      <c r="A546">
        <v>578</v>
      </c>
      <c r="B546" t="s">
        <v>719</v>
      </c>
      <c r="C546">
        <v>11</v>
      </c>
      <c r="D546" s="3">
        <v>42391</v>
      </c>
      <c r="E546" t="s">
        <v>59</v>
      </c>
      <c r="F546" t="s">
        <v>174</v>
      </c>
      <c r="G546">
        <v>1102</v>
      </c>
      <c r="H546">
        <f ca="1">MONTH(NOW())+12*YEAR(NOW())-MONTH(tbl_MTG_Set[[#This Row],[Released On]])-12*YEAR(tbl_MTG_Set[[#This Row],[Released On]])</f>
        <v>122</v>
      </c>
      <c r="I546">
        <f>_xlfn.XLOOKUP(tbl_MTG_Set[[#This Row],[Type Name]], tbl_MTG_Set_Type[Set Type], tbl_MTG_Set_Type[Index], "(Set Type not found)")</f>
        <v>1</v>
      </c>
      <c r="J546">
        <f>_xlfn.XLOOKUP(tbl_MTG_Set[[#This Row],[Type Name]], tbl_MTG_Set_Type[Set Type], tbl_MTG_Set_Type[Buy Window Month Start], "(Set Type not found)")</f>
        <v>18</v>
      </c>
      <c r="K546" s="3">
        <f>tbl_MTG_Set[[#This Row],[Released On]]+tbl_MTG_Set[[#This Row],[Buy Window Month Start]]*365.25/12</f>
        <v>42938.875</v>
      </c>
      <c r="L546">
        <f>_xlfn.XLOOKUP(tbl_MTG_Set[[#This Row],[Type Name]], tbl_MTG_Set_Type[Set Type], tbl_MTG_Set_Type[Buy Window Month End], "(Set Type not found)", 0, 1)</f>
        <v>24</v>
      </c>
      <c r="M546" s="3">
        <f>tbl_MTG_Set[[#This Row],[Released On]]+tbl_MTG_Set[[#This Row],[Buy Window Month End]]*365.25/12</f>
        <v>43121.5</v>
      </c>
      <c r="N546" s="3" t="b">
        <f ca="1">AND(NOW()&gt;=tbl_MTG_Set[[#This Row],[Buy Window Start]], NOW()&lt;=tbl_MTG_Set[[#This Row],[Buy Window End]])</f>
        <v>0</v>
      </c>
      <c r="O546">
        <f>_xlfn.XLOOKUP(tbl_MTG_Set[[#This Row],[Type Name]], tbl_MTG_Set_Type[Set Type], tbl_MTG_Set_Type[Heavy Printing Window Month Start], "(Set Type not found)", 0, 1)</f>
        <v>1</v>
      </c>
      <c r="P546" s="3">
        <f>tbl_MTG_Set[[#This Row],[Released On]]+tbl_MTG_Set[[#This Row],[Heavy Printing Window Month Start]]*365.25/12</f>
        <v>42421.4375</v>
      </c>
      <c r="Q546">
        <f>_xlfn.XLOOKUP(tbl_MTG_Set[[#This Row],[Type Name]], tbl_MTG_Set_Type[Set Type], tbl_MTG_Set_Type[Heavy Printing Window Month End], "(Set Type not found)", 0, 1)</f>
        <v>18</v>
      </c>
      <c r="R546" s="3">
        <f>tbl_MTG_Set[[#This Row],[Released On]]+tbl_MTG_Set[[#This Row],[Heavy Printing Window Month End]]*365.25/12</f>
        <v>42938.875</v>
      </c>
      <c r="S546" s="3" t="b">
        <f ca="1">AND(NOW()&gt;=tbl_MTG_Set[[#This Row],[Heavy Printing Window Start]], NOW()&lt;=tbl_MTG_Set[[#This Row],[Heavy Printing Window End]])</f>
        <v>0</v>
      </c>
      <c r="T546">
        <f>_xlfn.XLOOKUP(tbl_MTG_Set[[#This Row],[Type Name]], tbl_MTG_Set_Type[Set Type], tbl_MTG_Set_Type[Sell Window Month Start], "(Set Type not found)", 0, 1)</f>
        <v>36</v>
      </c>
      <c r="U546" s="3">
        <f>tbl_MTG_Set[[#This Row],[Released On]]+tbl_MTG_Set[[#This Row],[Sell Window Month Start]]*365.25/12</f>
        <v>43486.75</v>
      </c>
      <c r="V546">
        <f>_xlfn.XLOOKUP(tbl_MTG_Set[[#This Row],[Type Name]], tbl_MTG_Set_Type[Set Type], tbl_MTG_Set_Type[Sell Window Month End], "(Set Type not found)", 0, 1)</f>
        <v>48</v>
      </c>
      <c r="W546" s="3">
        <f>tbl_MTG_Set[[#This Row],[Released On]]+tbl_MTG_Set[[#This Row],[Sell Window Month End]]*365.25/12</f>
        <v>43852</v>
      </c>
      <c r="X546" s="3" t="b">
        <f ca="1">AND(NOW()&gt;=tbl_MTG_Set[[#This Row],[Sell Window Start]], NOW()&lt;=tbl_MTG_Set[[#This Row],[Sell Window End]])</f>
        <v>0</v>
      </c>
      <c r="AG546" s="10"/>
      <c r="AH546" s="10"/>
      <c r="AM546" s="10" t="str" cm="1">
        <f t="array" ref="AM5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6" s="10" t="str" cm="1">
        <f t="array" ref="AN5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6" s="4" t="e">
        <f>_xlfn.XLOOKUP(tbl_MTG_Set[[#This Row],[Play Booster Box Product Id]], tbl_Product[Product Id], tbl_Product[Pack Size])</f>
        <v>#N/A</v>
      </c>
      <c r="AP546" s="10" t="e">
        <f>(tbl_MTG_Set[[#This Row],[Play Booster Box Cost]]+v_Item_Shipping_Cost_In)/tbl_MTG_Set[[#This Row],[Play Booster Box Size]]</f>
        <v>#VALUE!</v>
      </c>
      <c r="AQ546" s="10" t="str" cm="1">
        <f t="array" ref="AQ5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6" s="10"/>
      <c r="AS546" s="10"/>
      <c r="AT546" s="17" t="e">
        <f>tbl_MTG_Set[[#This Row],[Play Booster CardMarket Profit]]/tbl_MTG_Set[[#This Row],[Play Booster Cost]]</f>
        <v>#VALUE!</v>
      </c>
      <c r="AU546" s="10" t="e">
        <f>_xlfn.XLOOKUP(tbl_MTG_Set[[#This Row],[Collector Booster Box Product Id]], tbl_Product[Product Id], tbl_Product[Min Cost])</f>
        <v>#N/A</v>
      </c>
      <c r="AV546" s="10" t="e">
        <f>_xlfn.XLOOKUP(tbl_MTG_Set[[#This Row],[Collector Booster Box Product Id]], tbl_Product[Product Id], tbl_Product[Best Source])</f>
        <v>#N/A</v>
      </c>
      <c r="AW546" s="4" t="e">
        <f>_xlfn.XLOOKUP(tbl_MTG_Set[[#This Row],[Collector Booster Box Product Id]], tbl_Product[Product Id], tbl_Product[Pack Size])</f>
        <v>#N/A</v>
      </c>
      <c r="AX546" s="10" t="e">
        <f>(tbl_MTG_Set[[#This Row],[Collector Booster Box Cost]] + v_Item_Shipping_Cost_In) / tbl_MTG_Set[[#This Row],[Collector Booster Box Size]]</f>
        <v>#N/A</v>
      </c>
      <c r="AY546" s="10" t="str" cm="1">
        <f t="array" ref="AY5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6" s="10"/>
      <c r="BA5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6" s="17" t="e">
        <f>tbl_MTG_Set[[#This Row],[Collector Booster CardMarket Profit]]/tbl_MTG_Set[[#This Row],[Collector Booster Cost]]</f>
        <v>#N/A</v>
      </c>
      <c r="BC546" s="10"/>
      <c r="BF5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6" s="11" t="e">
        <f>tbl_MTG_Set[[#This Row],[Play Singles CardMarket Profit MTG Stocks]]/tbl_MTG_Set[[#This Row],[Play Booster Cost]]</f>
        <v>#VALUE!</v>
      </c>
      <c r="BI546" s="11" t="b">
        <f>tbl_MTG_Set[[#This Row],[Play Singles CardMarket Profit MTG Stocks]]&gt;0</f>
        <v>0</v>
      </c>
      <c r="BM546" s="10" t="e">
        <f>tbl_MTG_Set[[#This Row],[Play Booster Sell Price CardMarket]]*tbl_MTG_Set[[#This Row],[Play Booster Expected Market Value BotBox]]/tbl_MTG_Set[[#This Row],[Play Booster Sealed Market Value BotBox]]</f>
        <v>#VALUE!</v>
      </c>
      <c r="BN5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6" s="10" t="e">
        <f>tbl_MTG_Set[[#This Row],[Play Singles CardMarket Profit BotBox]]/tbl_MTG_Set[[#This Row],[Play Booster Cost]]</f>
        <v>#VALUE!</v>
      </c>
      <c r="BP546" s="10" t="b">
        <f>tbl_MTG_Set[[#This Row],[Play Singles CardMarket Profit BotBox]]&gt;0</f>
        <v>0</v>
      </c>
      <c r="BQ546" s="10"/>
      <c r="BR546" s="10"/>
      <c r="BS546" s="10"/>
      <c r="BT5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6" s="19" t="e">
        <f>tbl_MTG_Set[[#This Row],[Collector Singles CardMarket Profit MTG Stocks]]/tbl_MTG_Set[[#This Row],[Collector Booster Cost]]</f>
        <v>#N/A</v>
      </c>
      <c r="BW546" s="10" t="b">
        <f>tbl_MTG_Set[[#This Row],[Collector Singles CardMarket Profit MTG Stocks]]&gt;0</f>
        <v>0</v>
      </c>
      <c r="BX546" s="10"/>
      <c r="BY546" s="10"/>
      <c r="BZ5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6" s="10" t="e">
        <f>tbl_MTG_Set[[#This Row],[Collector Singles CardMarket Profit BotBox]]/tbl_MTG_Set[[#This Row],[Collector Booster Cost]]</f>
        <v>#N/A</v>
      </c>
      <c r="CC546" s="10" t="b">
        <f>tbl_MTG_Set[[#This Row],[Collector Singles CardMarket Profit BotBox]]&gt;0</f>
        <v>0</v>
      </c>
      <c r="CD5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7" spans="1:86" hidden="1">
      <c r="A547">
        <v>579</v>
      </c>
      <c r="B547" t="s">
        <v>720</v>
      </c>
      <c r="C547">
        <v>1</v>
      </c>
      <c r="D547" s="3">
        <v>42370</v>
      </c>
      <c r="F547" t="s">
        <v>174</v>
      </c>
      <c r="G547">
        <v>1104</v>
      </c>
      <c r="H547">
        <f ca="1">MONTH(NOW())+12*YEAR(NOW())-MONTH(tbl_MTG_Set[[#This Row],[Released On]])-12*YEAR(tbl_MTG_Set[[#This Row],[Released On]])</f>
        <v>122</v>
      </c>
      <c r="I547" t="str">
        <f>_xlfn.XLOOKUP(tbl_MTG_Set[[#This Row],[Type Name]], tbl_MTG_Set_Type[Set Type], tbl_MTG_Set_Type[Index], "(Set Type not found)")</f>
        <v>(Set Type not found)</v>
      </c>
      <c r="J547" t="str">
        <f>_xlfn.XLOOKUP(tbl_MTG_Set[[#This Row],[Type Name]], tbl_MTG_Set_Type[Set Type], tbl_MTG_Set_Type[Buy Window Month Start], "(Set Type not found)")</f>
        <v>(Set Type not found)</v>
      </c>
      <c r="K547" s="3" t="e">
        <f>tbl_MTG_Set[[#This Row],[Released On]]+tbl_MTG_Set[[#This Row],[Buy Window Month Start]]*365.25/12</f>
        <v>#VALUE!</v>
      </c>
      <c r="L547" t="str">
        <f>_xlfn.XLOOKUP(tbl_MTG_Set[[#This Row],[Type Name]], tbl_MTG_Set_Type[Set Type], tbl_MTG_Set_Type[Buy Window Month End], "(Set Type not found)", 0, 1)</f>
        <v>(Set Type not found)</v>
      </c>
      <c r="M547" s="3" t="e">
        <f>tbl_MTG_Set[[#This Row],[Released On]]+tbl_MTG_Set[[#This Row],[Buy Window Month End]]*365.25/12</f>
        <v>#VALUE!</v>
      </c>
      <c r="N547" s="3" t="e">
        <f ca="1">AND(NOW()&gt;=tbl_MTG_Set[[#This Row],[Buy Window Start]], NOW()&lt;=tbl_MTG_Set[[#This Row],[Buy Window End]])</f>
        <v>#VALUE!</v>
      </c>
      <c r="O547" t="str">
        <f>_xlfn.XLOOKUP(tbl_MTG_Set[[#This Row],[Type Name]], tbl_MTG_Set_Type[Set Type], tbl_MTG_Set_Type[Heavy Printing Window Month Start], "(Set Type not found)", 0, 1)</f>
        <v>(Set Type not found)</v>
      </c>
      <c r="P547" s="3" t="e">
        <f>tbl_MTG_Set[[#This Row],[Released On]]+tbl_MTG_Set[[#This Row],[Heavy Printing Window Month Start]]*365.25/12</f>
        <v>#VALUE!</v>
      </c>
      <c r="Q547" t="str">
        <f>_xlfn.XLOOKUP(tbl_MTG_Set[[#This Row],[Type Name]], tbl_MTG_Set_Type[Set Type], tbl_MTG_Set_Type[Heavy Printing Window Month End], "(Set Type not found)", 0, 1)</f>
        <v>(Set Type not found)</v>
      </c>
      <c r="R547" s="3" t="e">
        <f>tbl_MTG_Set[[#This Row],[Released On]]+tbl_MTG_Set[[#This Row],[Heavy Printing Window Month End]]*365.25/12</f>
        <v>#VALUE!</v>
      </c>
      <c r="S547" s="3" t="e">
        <f ca="1">AND(NOW()&gt;=tbl_MTG_Set[[#This Row],[Heavy Printing Window Start]], NOW()&lt;=tbl_MTG_Set[[#This Row],[Heavy Printing Window End]])</f>
        <v>#VALUE!</v>
      </c>
      <c r="T547" t="str">
        <f>_xlfn.XLOOKUP(tbl_MTG_Set[[#This Row],[Type Name]], tbl_MTG_Set_Type[Set Type], tbl_MTG_Set_Type[Sell Window Month Start], "(Set Type not found)", 0, 1)</f>
        <v>(Set Type not found)</v>
      </c>
      <c r="U547" s="3" t="e">
        <f>tbl_MTG_Set[[#This Row],[Released On]]+tbl_MTG_Set[[#This Row],[Sell Window Month Start]]*365.25/12</f>
        <v>#VALUE!</v>
      </c>
      <c r="V547" t="str">
        <f>_xlfn.XLOOKUP(tbl_MTG_Set[[#This Row],[Type Name]], tbl_MTG_Set_Type[Set Type], tbl_MTG_Set_Type[Sell Window Month End], "(Set Type not found)", 0, 1)</f>
        <v>(Set Type not found)</v>
      </c>
      <c r="W547" s="3" t="e">
        <f>tbl_MTG_Set[[#This Row],[Released On]]+tbl_MTG_Set[[#This Row],[Sell Window Month End]]*365.25/12</f>
        <v>#VALUE!</v>
      </c>
      <c r="X547" s="3" t="e">
        <f ca="1">AND(NOW()&gt;=tbl_MTG_Set[[#This Row],[Sell Window Start]], NOW()&lt;=tbl_MTG_Set[[#This Row],[Sell Window End]])</f>
        <v>#VALUE!</v>
      </c>
      <c r="AG547" s="10"/>
      <c r="AH547" s="10"/>
      <c r="AM547" s="10" t="str" cm="1">
        <f t="array" ref="AM5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7" s="10" t="str" cm="1">
        <f t="array" ref="AN5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7" s="4" t="e">
        <f>_xlfn.XLOOKUP(tbl_MTG_Set[[#This Row],[Play Booster Box Product Id]], tbl_Product[Product Id], tbl_Product[Pack Size])</f>
        <v>#N/A</v>
      </c>
      <c r="AP547" s="10" t="e">
        <f>(tbl_MTG_Set[[#This Row],[Play Booster Box Cost]]+v_Item_Shipping_Cost_In)/tbl_MTG_Set[[#This Row],[Play Booster Box Size]]</f>
        <v>#VALUE!</v>
      </c>
      <c r="AQ547" s="10" t="str" cm="1">
        <f t="array" ref="AQ5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7" s="10"/>
      <c r="AS547" s="10"/>
      <c r="AT547" s="17" t="e">
        <f>tbl_MTG_Set[[#This Row],[Play Booster CardMarket Profit]]/tbl_MTG_Set[[#This Row],[Play Booster Cost]]</f>
        <v>#VALUE!</v>
      </c>
      <c r="AU547" s="10" t="e">
        <f>_xlfn.XLOOKUP(tbl_MTG_Set[[#This Row],[Collector Booster Box Product Id]], tbl_Product[Product Id], tbl_Product[Min Cost])</f>
        <v>#N/A</v>
      </c>
      <c r="AV547" s="10" t="e">
        <f>_xlfn.XLOOKUP(tbl_MTG_Set[[#This Row],[Collector Booster Box Product Id]], tbl_Product[Product Id], tbl_Product[Best Source])</f>
        <v>#N/A</v>
      </c>
      <c r="AW547" s="4" t="e">
        <f>_xlfn.XLOOKUP(tbl_MTG_Set[[#This Row],[Collector Booster Box Product Id]], tbl_Product[Product Id], tbl_Product[Pack Size])</f>
        <v>#N/A</v>
      </c>
      <c r="AX547" s="10" t="e">
        <f>(tbl_MTG_Set[[#This Row],[Collector Booster Box Cost]] + v_Item_Shipping_Cost_In) / tbl_MTG_Set[[#This Row],[Collector Booster Box Size]]</f>
        <v>#N/A</v>
      </c>
      <c r="AY547" s="10" t="str" cm="1">
        <f t="array" ref="AY5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7" s="10"/>
      <c r="BA5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7" s="17" t="e">
        <f>tbl_MTG_Set[[#This Row],[Collector Booster CardMarket Profit]]/tbl_MTG_Set[[#This Row],[Collector Booster Cost]]</f>
        <v>#N/A</v>
      </c>
      <c r="BC547" s="10"/>
      <c r="BF5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7" s="11" t="e">
        <f>tbl_MTG_Set[[#This Row],[Play Singles CardMarket Profit MTG Stocks]]/tbl_MTG_Set[[#This Row],[Play Booster Cost]]</f>
        <v>#VALUE!</v>
      </c>
      <c r="BI547" s="11" t="b">
        <f>tbl_MTG_Set[[#This Row],[Play Singles CardMarket Profit MTG Stocks]]&gt;0</f>
        <v>0</v>
      </c>
      <c r="BM547" s="10" t="e">
        <f>tbl_MTG_Set[[#This Row],[Play Booster Sell Price CardMarket]]*tbl_MTG_Set[[#This Row],[Play Booster Expected Market Value BotBox]]/tbl_MTG_Set[[#This Row],[Play Booster Sealed Market Value BotBox]]</f>
        <v>#VALUE!</v>
      </c>
      <c r="BN5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7" s="10" t="e">
        <f>tbl_MTG_Set[[#This Row],[Play Singles CardMarket Profit BotBox]]/tbl_MTG_Set[[#This Row],[Play Booster Cost]]</f>
        <v>#VALUE!</v>
      </c>
      <c r="BP547" s="10" t="b">
        <f>tbl_MTG_Set[[#This Row],[Play Singles CardMarket Profit BotBox]]&gt;0</f>
        <v>0</v>
      </c>
      <c r="BQ547" s="10"/>
      <c r="BR547" s="10"/>
      <c r="BS547" s="10"/>
      <c r="BT5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7" s="19" t="e">
        <f>tbl_MTG_Set[[#This Row],[Collector Singles CardMarket Profit MTG Stocks]]/tbl_MTG_Set[[#This Row],[Collector Booster Cost]]</f>
        <v>#N/A</v>
      </c>
      <c r="BW547" s="10" t="b">
        <f>tbl_MTG_Set[[#This Row],[Collector Singles CardMarket Profit MTG Stocks]]&gt;0</f>
        <v>0</v>
      </c>
      <c r="BX547" s="10"/>
      <c r="BY547" s="10"/>
      <c r="BZ5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7" s="10" t="e">
        <f>tbl_MTG_Set[[#This Row],[Collector Singles CardMarket Profit BotBox]]/tbl_MTG_Set[[#This Row],[Collector Booster Cost]]</f>
        <v>#N/A</v>
      </c>
      <c r="CC547" s="10" t="b">
        <f>tbl_MTG_Set[[#This Row],[Collector Singles CardMarket Profit BotBox]]&gt;0</f>
        <v>0</v>
      </c>
      <c r="CD5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8" spans="1:86" hidden="1">
      <c r="A548">
        <v>580</v>
      </c>
      <c r="B548" t="s">
        <v>721</v>
      </c>
      <c r="C548">
        <v>8</v>
      </c>
      <c r="D548" s="3">
        <v>42370</v>
      </c>
      <c r="F548" t="s">
        <v>174</v>
      </c>
      <c r="G548">
        <v>1106</v>
      </c>
      <c r="H548">
        <f ca="1">MONTH(NOW())+12*YEAR(NOW())-MONTH(tbl_MTG_Set[[#This Row],[Released On]])-12*YEAR(tbl_MTG_Set[[#This Row],[Released On]])</f>
        <v>122</v>
      </c>
      <c r="I548" t="str">
        <f>_xlfn.XLOOKUP(tbl_MTG_Set[[#This Row],[Type Name]], tbl_MTG_Set_Type[Set Type], tbl_MTG_Set_Type[Index], "(Set Type not found)")</f>
        <v>(Set Type not found)</v>
      </c>
      <c r="J548" t="str">
        <f>_xlfn.XLOOKUP(tbl_MTG_Set[[#This Row],[Type Name]], tbl_MTG_Set_Type[Set Type], tbl_MTG_Set_Type[Buy Window Month Start], "(Set Type not found)")</f>
        <v>(Set Type not found)</v>
      </c>
      <c r="K548" s="3" t="e">
        <f>tbl_MTG_Set[[#This Row],[Released On]]+tbl_MTG_Set[[#This Row],[Buy Window Month Start]]*365.25/12</f>
        <v>#VALUE!</v>
      </c>
      <c r="L548" t="str">
        <f>_xlfn.XLOOKUP(tbl_MTG_Set[[#This Row],[Type Name]], tbl_MTG_Set_Type[Set Type], tbl_MTG_Set_Type[Buy Window Month End], "(Set Type not found)", 0, 1)</f>
        <v>(Set Type not found)</v>
      </c>
      <c r="M548" s="3" t="e">
        <f>tbl_MTG_Set[[#This Row],[Released On]]+tbl_MTG_Set[[#This Row],[Buy Window Month End]]*365.25/12</f>
        <v>#VALUE!</v>
      </c>
      <c r="N548" s="3" t="e">
        <f ca="1">AND(NOW()&gt;=tbl_MTG_Set[[#This Row],[Buy Window Start]], NOW()&lt;=tbl_MTG_Set[[#This Row],[Buy Window End]])</f>
        <v>#VALUE!</v>
      </c>
      <c r="O548" t="str">
        <f>_xlfn.XLOOKUP(tbl_MTG_Set[[#This Row],[Type Name]], tbl_MTG_Set_Type[Set Type], tbl_MTG_Set_Type[Heavy Printing Window Month Start], "(Set Type not found)", 0, 1)</f>
        <v>(Set Type not found)</v>
      </c>
      <c r="P548" s="3" t="e">
        <f>tbl_MTG_Set[[#This Row],[Released On]]+tbl_MTG_Set[[#This Row],[Heavy Printing Window Month Start]]*365.25/12</f>
        <v>#VALUE!</v>
      </c>
      <c r="Q548" t="str">
        <f>_xlfn.XLOOKUP(tbl_MTG_Set[[#This Row],[Type Name]], tbl_MTG_Set_Type[Set Type], tbl_MTG_Set_Type[Heavy Printing Window Month End], "(Set Type not found)", 0, 1)</f>
        <v>(Set Type not found)</v>
      </c>
      <c r="R548" s="3" t="e">
        <f>tbl_MTG_Set[[#This Row],[Released On]]+tbl_MTG_Set[[#This Row],[Heavy Printing Window Month End]]*365.25/12</f>
        <v>#VALUE!</v>
      </c>
      <c r="S548" s="3" t="e">
        <f ca="1">AND(NOW()&gt;=tbl_MTG_Set[[#This Row],[Heavy Printing Window Start]], NOW()&lt;=tbl_MTG_Set[[#This Row],[Heavy Printing Window End]])</f>
        <v>#VALUE!</v>
      </c>
      <c r="T548" t="str">
        <f>_xlfn.XLOOKUP(tbl_MTG_Set[[#This Row],[Type Name]], tbl_MTG_Set_Type[Set Type], tbl_MTG_Set_Type[Sell Window Month Start], "(Set Type not found)", 0, 1)</f>
        <v>(Set Type not found)</v>
      </c>
      <c r="U548" s="3" t="e">
        <f>tbl_MTG_Set[[#This Row],[Released On]]+tbl_MTG_Set[[#This Row],[Sell Window Month Start]]*365.25/12</f>
        <v>#VALUE!</v>
      </c>
      <c r="V548" t="str">
        <f>_xlfn.XLOOKUP(tbl_MTG_Set[[#This Row],[Type Name]], tbl_MTG_Set_Type[Set Type], tbl_MTG_Set_Type[Sell Window Month End], "(Set Type not found)", 0, 1)</f>
        <v>(Set Type not found)</v>
      </c>
      <c r="W548" s="3" t="e">
        <f>tbl_MTG_Set[[#This Row],[Released On]]+tbl_MTG_Set[[#This Row],[Sell Window Month End]]*365.25/12</f>
        <v>#VALUE!</v>
      </c>
      <c r="X548" s="3" t="e">
        <f ca="1">AND(NOW()&gt;=tbl_MTG_Set[[#This Row],[Sell Window Start]], NOW()&lt;=tbl_MTG_Set[[#This Row],[Sell Window End]])</f>
        <v>#VALUE!</v>
      </c>
      <c r="AG548" s="10"/>
      <c r="AH548" s="10"/>
      <c r="AM548" s="10" t="str" cm="1">
        <f t="array" ref="AM5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8" s="10" t="str" cm="1">
        <f t="array" ref="AN5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8" s="4" t="e">
        <f>_xlfn.XLOOKUP(tbl_MTG_Set[[#This Row],[Play Booster Box Product Id]], tbl_Product[Product Id], tbl_Product[Pack Size])</f>
        <v>#N/A</v>
      </c>
      <c r="AP548" s="10" t="e">
        <f>(tbl_MTG_Set[[#This Row],[Play Booster Box Cost]]+v_Item_Shipping_Cost_In)/tbl_MTG_Set[[#This Row],[Play Booster Box Size]]</f>
        <v>#VALUE!</v>
      </c>
      <c r="AQ548" s="10" t="str" cm="1">
        <f t="array" ref="AQ5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8" s="10"/>
      <c r="AS548" s="10"/>
      <c r="AT548" s="17" t="e">
        <f>tbl_MTG_Set[[#This Row],[Play Booster CardMarket Profit]]/tbl_MTG_Set[[#This Row],[Play Booster Cost]]</f>
        <v>#VALUE!</v>
      </c>
      <c r="AU548" s="10" t="e">
        <f>_xlfn.XLOOKUP(tbl_MTG_Set[[#This Row],[Collector Booster Box Product Id]], tbl_Product[Product Id], tbl_Product[Min Cost])</f>
        <v>#N/A</v>
      </c>
      <c r="AV548" s="10" t="e">
        <f>_xlfn.XLOOKUP(tbl_MTG_Set[[#This Row],[Collector Booster Box Product Id]], tbl_Product[Product Id], tbl_Product[Best Source])</f>
        <v>#N/A</v>
      </c>
      <c r="AW548" s="4" t="e">
        <f>_xlfn.XLOOKUP(tbl_MTG_Set[[#This Row],[Collector Booster Box Product Id]], tbl_Product[Product Id], tbl_Product[Pack Size])</f>
        <v>#N/A</v>
      </c>
      <c r="AX548" s="10" t="e">
        <f>(tbl_MTG_Set[[#This Row],[Collector Booster Box Cost]] + v_Item_Shipping_Cost_In) / tbl_MTG_Set[[#This Row],[Collector Booster Box Size]]</f>
        <v>#N/A</v>
      </c>
      <c r="AY548" s="10" t="str" cm="1">
        <f t="array" ref="AY5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8" s="10"/>
      <c r="BA5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8" s="17" t="e">
        <f>tbl_MTG_Set[[#This Row],[Collector Booster CardMarket Profit]]/tbl_MTG_Set[[#This Row],[Collector Booster Cost]]</f>
        <v>#N/A</v>
      </c>
      <c r="BC548" s="10"/>
      <c r="BF5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8" s="11" t="e">
        <f>tbl_MTG_Set[[#This Row],[Play Singles CardMarket Profit MTG Stocks]]/tbl_MTG_Set[[#This Row],[Play Booster Cost]]</f>
        <v>#VALUE!</v>
      </c>
      <c r="BI548" s="11" t="b">
        <f>tbl_MTG_Set[[#This Row],[Play Singles CardMarket Profit MTG Stocks]]&gt;0</f>
        <v>0</v>
      </c>
      <c r="BM548" s="10" t="e">
        <f>tbl_MTG_Set[[#This Row],[Play Booster Sell Price CardMarket]]*tbl_MTG_Set[[#This Row],[Play Booster Expected Market Value BotBox]]/tbl_MTG_Set[[#This Row],[Play Booster Sealed Market Value BotBox]]</f>
        <v>#VALUE!</v>
      </c>
      <c r="BN5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8" s="10" t="e">
        <f>tbl_MTG_Set[[#This Row],[Play Singles CardMarket Profit BotBox]]/tbl_MTG_Set[[#This Row],[Play Booster Cost]]</f>
        <v>#VALUE!</v>
      </c>
      <c r="BP548" s="10" t="b">
        <f>tbl_MTG_Set[[#This Row],[Play Singles CardMarket Profit BotBox]]&gt;0</f>
        <v>0</v>
      </c>
      <c r="BQ548" s="10"/>
      <c r="BR548" s="10"/>
      <c r="BS548" s="10"/>
      <c r="BT5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8" s="19" t="e">
        <f>tbl_MTG_Set[[#This Row],[Collector Singles CardMarket Profit MTG Stocks]]/tbl_MTG_Set[[#This Row],[Collector Booster Cost]]</f>
        <v>#N/A</v>
      </c>
      <c r="BW548" s="10" t="b">
        <f>tbl_MTG_Set[[#This Row],[Collector Singles CardMarket Profit MTG Stocks]]&gt;0</f>
        <v>0</v>
      </c>
      <c r="BX548" s="10"/>
      <c r="BY548" s="10"/>
      <c r="BZ5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8" s="10" t="e">
        <f>tbl_MTG_Set[[#This Row],[Collector Singles CardMarket Profit BotBox]]/tbl_MTG_Set[[#This Row],[Collector Booster Cost]]</f>
        <v>#N/A</v>
      </c>
      <c r="CC548" s="10" t="b">
        <f>tbl_MTG_Set[[#This Row],[Collector Singles CardMarket Profit BotBox]]&gt;0</f>
        <v>0</v>
      </c>
      <c r="CD5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49" spans="1:86" hidden="1">
      <c r="A549">
        <v>581</v>
      </c>
      <c r="B549" t="s">
        <v>722</v>
      </c>
      <c r="C549">
        <v>12</v>
      </c>
      <c r="D549" s="3">
        <v>42370</v>
      </c>
      <c r="F549" t="s">
        <v>174</v>
      </c>
      <c r="G549">
        <v>1108</v>
      </c>
      <c r="H549">
        <f ca="1">MONTH(NOW())+12*YEAR(NOW())-MONTH(tbl_MTG_Set[[#This Row],[Released On]])-12*YEAR(tbl_MTG_Set[[#This Row],[Released On]])</f>
        <v>122</v>
      </c>
      <c r="I549" t="str">
        <f>_xlfn.XLOOKUP(tbl_MTG_Set[[#This Row],[Type Name]], tbl_MTG_Set_Type[Set Type], tbl_MTG_Set_Type[Index], "(Set Type not found)")</f>
        <v>(Set Type not found)</v>
      </c>
      <c r="J549" t="str">
        <f>_xlfn.XLOOKUP(tbl_MTG_Set[[#This Row],[Type Name]], tbl_MTG_Set_Type[Set Type], tbl_MTG_Set_Type[Buy Window Month Start], "(Set Type not found)")</f>
        <v>(Set Type not found)</v>
      </c>
      <c r="K549" s="3" t="e">
        <f>tbl_MTG_Set[[#This Row],[Released On]]+tbl_MTG_Set[[#This Row],[Buy Window Month Start]]*365.25/12</f>
        <v>#VALUE!</v>
      </c>
      <c r="L549" t="str">
        <f>_xlfn.XLOOKUP(tbl_MTG_Set[[#This Row],[Type Name]], tbl_MTG_Set_Type[Set Type], tbl_MTG_Set_Type[Buy Window Month End], "(Set Type not found)", 0, 1)</f>
        <v>(Set Type not found)</v>
      </c>
      <c r="M549" s="3" t="e">
        <f>tbl_MTG_Set[[#This Row],[Released On]]+tbl_MTG_Set[[#This Row],[Buy Window Month End]]*365.25/12</f>
        <v>#VALUE!</v>
      </c>
      <c r="N549" s="3" t="e">
        <f ca="1">AND(NOW()&gt;=tbl_MTG_Set[[#This Row],[Buy Window Start]], NOW()&lt;=tbl_MTG_Set[[#This Row],[Buy Window End]])</f>
        <v>#VALUE!</v>
      </c>
      <c r="O549" t="str">
        <f>_xlfn.XLOOKUP(tbl_MTG_Set[[#This Row],[Type Name]], tbl_MTG_Set_Type[Set Type], tbl_MTG_Set_Type[Heavy Printing Window Month Start], "(Set Type not found)", 0, 1)</f>
        <v>(Set Type not found)</v>
      </c>
      <c r="P549" s="3" t="e">
        <f>tbl_MTG_Set[[#This Row],[Released On]]+tbl_MTG_Set[[#This Row],[Heavy Printing Window Month Start]]*365.25/12</f>
        <v>#VALUE!</v>
      </c>
      <c r="Q549" t="str">
        <f>_xlfn.XLOOKUP(tbl_MTG_Set[[#This Row],[Type Name]], tbl_MTG_Set_Type[Set Type], tbl_MTG_Set_Type[Heavy Printing Window Month End], "(Set Type not found)", 0, 1)</f>
        <v>(Set Type not found)</v>
      </c>
      <c r="R549" s="3" t="e">
        <f>tbl_MTG_Set[[#This Row],[Released On]]+tbl_MTG_Set[[#This Row],[Heavy Printing Window Month End]]*365.25/12</f>
        <v>#VALUE!</v>
      </c>
      <c r="S549" s="3" t="e">
        <f ca="1">AND(NOW()&gt;=tbl_MTG_Set[[#This Row],[Heavy Printing Window Start]], NOW()&lt;=tbl_MTG_Set[[#This Row],[Heavy Printing Window End]])</f>
        <v>#VALUE!</v>
      </c>
      <c r="T549" t="str">
        <f>_xlfn.XLOOKUP(tbl_MTG_Set[[#This Row],[Type Name]], tbl_MTG_Set_Type[Set Type], tbl_MTG_Set_Type[Sell Window Month Start], "(Set Type not found)", 0, 1)</f>
        <v>(Set Type not found)</v>
      </c>
      <c r="U549" s="3" t="e">
        <f>tbl_MTG_Set[[#This Row],[Released On]]+tbl_MTG_Set[[#This Row],[Sell Window Month Start]]*365.25/12</f>
        <v>#VALUE!</v>
      </c>
      <c r="V549" t="str">
        <f>_xlfn.XLOOKUP(tbl_MTG_Set[[#This Row],[Type Name]], tbl_MTG_Set_Type[Set Type], tbl_MTG_Set_Type[Sell Window Month End], "(Set Type not found)", 0, 1)</f>
        <v>(Set Type not found)</v>
      </c>
      <c r="W549" s="3" t="e">
        <f>tbl_MTG_Set[[#This Row],[Released On]]+tbl_MTG_Set[[#This Row],[Sell Window Month End]]*365.25/12</f>
        <v>#VALUE!</v>
      </c>
      <c r="X549" s="3" t="e">
        <f ca="1">AND(NOW()&gt;=tbl_MTG_Set[[#This Row],[Sell Window Start]], NOW()&lt;=tbl_MTG_Set[[#This Row],[Sell Window End]])</f>
        <v>#VALUE!</v>
      </c>
      <c r="AG549" s="10"/>
      <c r="AH549" s="10"/>
      <c r="AM549" s="10" t="str" cm="1">
        <f t="array" ref="AM5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49" s="10" t="str" cm="1">
        <f t="array" ref="AN5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49" s="4" t="e">
        <f>_xlfn.XLOOKUP(tbl_MTG_Set[[#This Row],[Play Booster Box Product Id]], tbl_Product[Product Id], tbl_Product[Pack Size])</f>
        <v>#N/A</v>
      </c>
      <c r="AP549" s="10" t="e">
        <f>(tbl_MTG_Set[[#This Row],[Play Booster Box Cost]]+v_Item_Shipping_Cost_In)/tbl_MTG_Set[[#This Row],[Play Booster Box Size]]</f>
        <v>#VALUE!</v>
      </c>
      <c r="AQ549" s="10" t="str" cm="1">
        <f t="array" ref="AQ5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49" s="10"/>
      <c r="AS549" s="10"/>
      <c r="AT549" s="17" t="e">
        <f>tbl_MTG_Set[[#This Row],[Play Booster CardMarket Profit]]/tbl_MTG_Set[[#This Row],[Play Booster Cost]]</f>
        <v>#VALUE!</v>
      </c>
      <c r="AU549" s="10" t="e">
        <f>_xlfn.XLOOKUP(tbl_MTG_Set[[#This Row],[Collector Booster Box Product Id]], tbl_Product[Product Id], tbl_Product[Min Cost])</f>
        <v>#N/A</v>
      </c>
      <c r="AV549" s="10" t="e">
        <f>_xlfn.XLOOKUP(tbl_MTG_Set[[#This Row],[Collector Booster Box Product Id]], tbl_Product[Product Id], tbl_Product[Best Source])</f>
        <v>#N/A</v>
      </c>
      <c r="AW549" s="4" t="e">
        <f>_xlfn.XLOOKUP(tbl_MTG_Set[[#This Row],[Collector Booster Box Product Id]], tbl_Product[Product Id], tbl_Product[Pack Size])</f>
        <v>#N/A</v>
      </c>
      <c r="AX549" s="10" t="e">
        <f>(tbl_MTG_Set[[#This Row],[Collector Booster Box Cost]] + v_Item_Shipping_Cost_In) / tbl_MTG_Set[[#This Row],[Collector Booster Box Size]]</f>
        <v>#N/A</v>
      </c>
      <c r="AY549" s="10" t="str" cm="1">
        <f t="array" ref="AY5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49" s="10"/>
      <c r="BA5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49" s="17" t="e">
        <f>tbl_MTG_Set[[#This Row],[Collector Booster CardMarket Profit]]/tbl_MTG_Set[[#This Row],[Collector Booster Cost]]</f>
        <v>#N/A</v>
      </c>
      <c r="BC549" s="10"/>
      <c r="BF5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49" s="11" t="e">
        <f>tbl_MTG_Set[[#This Row],[Play Singles CardMarket Profit MTG Stocks]]/tbl_MTG_Set[[#This Row],[Play Booster Cost]]</f>
        <v>#VALUE!</v>
      </c>
      <c r="BI549" s="11" t="b">
        <f>tbl_MTG_Set[[#This Row],[Play Singles CardMarket Profit MTG Stocks]]&gt;0</f>
        <v>0</v>
      </c>
      <c r="BM549" s="10" t="e">
        <f>tbl_MTG_Set[[#This Row],[Play Booster Sell Price CardMarket]]*tbl_MTG_Set[[#This Row],[Play Booster Expected Market Value BotBox]]/tbl_MTG_Set[[#This Row],[Play Booster Sealed Market Value BotBox]]</f>
        <v>#VALUE!</v>
      </c>
      <c r="BN5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49" s="10" t="e">
        <f>tbl_MTG_Set[[#This Row],[Play Singles CardMarket Profit BotBox]]/tbl_MTG_Set[[#This Row],[Play Booster Cost]]</f>
        <v>#VALUE!</v>
      </c>
      <c r="BP549" s="10" t="b">
        <f>tbl_MTG_Set[[#This Row],[Play Singles CardMarket Profit BotBox]]&gt;0</f>
        <v>0</v>
      </c>
      <c r="BQ549" s="10"/>
      <c r="BR549" s="10"/>
      <c r="BS549" s="10"/>
      <c r="BT5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49" s="19" t="e">
        <f>tbl_MTG_Set[[#This Row],[Collector Singles CardMarket Profit MTG Stocks]]/tbl_MTG_Set[[#This Row],[Collector Booster Cost]]</f>
        <v>#N/A</v>
      </c>
      <c r="BW549" s="10" t="b">
        <f>tbl_MTG_Set[[#This Row],[Collector Singles CardMarket Profit MTG Stocks]]&gt;0</f>
        <v>0</v>
      </c>
      <c r="BX549" s="10"/>
      <c r="BY549" s="10"/>
      <c r="BZ5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49" s="10" t="e">
        <f>tbl_MTG_Set[[#This Row],[Collector Singles CardMarket Profit BotBox]]/tbl_MTG_Set[[#This Row],[Collector Booster Cost]]</f>
        <v>#N/A</v>
      </c>
      <c r="CC549" s="10" t="b">
        <f>tbl_MTG_Set[[#This Row],[Collector Singles CardMarket Profit BotBox]]&gt;0</f>
        <v>0</v>
      </c>
      <c r="CD5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0" spans="1:86" hidden="1">
      <c r="A550">
        <v>582</v>
      </c>
      <c r="B550" t="s">
        <v>723</v>
      </c>
      <c r="C550">
        <v>149</v>
      </c>
      <c r="D550" s="3">
        <v>42326</v>
      </c>
      <c r="F550" t="s">
        <v>174</v>
      </c>
      <c r="G550">
        <v>1110</v>
      </c>
      <c r="H550">
        <f ca="1">MONTH(NOW())+12*YEAR(NOW())-MONTH(tbl_MTG_Set[[#This Row],[Released On]])-12*YEAR(tbl_MTG_Set[[#This Row],[Released On]])</f>
        <v>124</v>
      </c>
      <c r="I550" t="str">
        <f>_xlfn.XLOOKUP(tbl_MTG_Set[[#This Row],[Type Name]], tbl_MTG_Set_Type[Set Type], tbl_MTG_Set_Type[Index], "(Set Type not found)")</f>
        <v>(Set Type not found)</v>
      </c>
      <c r="J550" t="str">
        <f>_xlfn.XLOOKUP(tbl_MTG_Set[[#This Row],[Type Name]], tbl_MTG_Set_Type[Set Type], tbl_MTG_Set_Type[Buy Window Month Start], "(Set Type not found)")</f>
        <v>(Set Type not found)</v>
      </c>
      <c r="K550" s="3" t="e">
        <f>tbl_MTG_Set[[#This Row],[Released On]]+tbl_MTG_Set[[#This Row],[Buy Window Month Start]]*365.25/12</f>
        <v>#VALUE!</v>
      </c>
      <c r="L550" t="str">
        <f>_xlfn.XLOOKUP(tbl_MTG_Set[[#This Row],[Type Name]], tbl_MTG_Set_Type[Set Type], tbl_MTG_Set_Type[Buy Window Month End], "(Set Type not found)", 0, 1)</f>
        <v>(Set Type not found)</v>
      </c>
      <c r="M550" s="3" t="e">
        <f>tbl_MTG_Set[[#This Row],[Released On]]+tbl_MTG_Set[[#This Row],[Buy Window Month End]]*365.25/12</f>
        <v>#VALUE!</v>
      </c>
      <c r="N550" s="3" t="e">
        <f ca="1">AND(NOW()&gt;=tbl_MTG_Set[[#This Row],[Buy Window Start]], NOW()&lt;=tbl_MTG_Set[[#This Row],[Buy Window End]])</f>
        <v>#VALUE!</v>
      </c>
      <c r="O550" t="str">
        <f>_xlfn.XLOOKUP(tbl_MTG_Set[[#This Row],[Type Name]], tbl_MTG_Set_Type[Set Type], tbl_MTG_Set_Type[Heavy Printing Window Month Start], "(Set Type not found)", 0, 1)</f>
        <v>(Set Type not found)</v>
      </c>
      <c r="P550" s="3" t="e">
        <f>tbl_MTG_Set[[#This Row],[Released On]]+tbl_MTG_Set[[#This Row],[Heavy Printing Window Month Start]]*365.25/12</f>
        <v>#VALUE!</v>
      </c>
      <c r="Q550" t="str">
        <f>_xlfn.XLOOKUP(tbl_MTG_Set[[#This Row],[Type Name]], tbl_MTG_Set_Type[Set Type], tbl_MTG_Set_Type[Heavy Printing Window Month End], "(Set Type not found)", 0, 1)</f>
        <v>(Set Type not found)</v>
      </c>
      <c r="R550" s="3" t="e">
        <f>tbl_MTG_Set[[#This Row],[Released On]]+tbl_MTG_Set[[#This Row],[Heavy Printing Window Month End]]*365.25/12</f>
        <v>#VALUE!</v>
      </c>
      <c r="S550" s="3" t="e">
        <f ca="1">AND(NOW()&gt;=tbl_MTG_Set[[#This Row],[Heavy Printing Window Start]], NOW()&lt;=tbl_MTG_Set[[#This Row],[Heavy Printing Window End]])</f>
        <v>#VALUE!</v>
      </c>
      <c r="T550" t="str">
        <f>_xlfn.XLOOKUP(tbl_MTG_Set[[#This Row],[Type Name]], tbl_MTG_Set_Type[Set Type], tbl_MTG_Set_Type[Sell Window Month Start], "(Set Type not found)", 0, 1)</f>
        <v>(Set Type not found)</v>
      </c>
      <c r="U550" s="3" t="e">
        <f>tbl_MTG_Set[[#This Row],[Released On]]+tbl_MTG_Set[[#This Row],[Sell Window Month Start]]*365.25/12</f>
        <v>#VALUE!</v>
      </c>
      <c r="V550" t="str">
        <f>_xlfn.XLOOKUP(tbl_MTG_Set[[#This Row],[Type Name]], tbl_MTG_Set_Type[Set Type], tbl_MTG_Set_Type[Sell Window Month End], "(Set Type not found)", 0, 1)</f>
        <v>(Set Type not found)</v>
      </c>
      <c r="W550" s="3" t="e">
        <f>tbl_MTG_Set[[#This Row],[Released On]]+tbl_MTG_Set[[#This Row],[Sell Window Month End]]*365.25/12</f>
        <v>#VALUE!</v>
      </c>
      <c r="X550" s="3" t="e">
        <f ca="1">AND(NOW()&gt;=tbl_MTG_Set[[#This Row],[Sell Window Start]], NOW()&lt;=tbl_MTG_Set[[#This Row],[Sell Window End]])</f>
        <v>#VALUE!</v>
      </c>
      <c r="AG550" s="10"/>
      <c r="AH550" s="10"/>
      <c r="AM550" s="10" t="str" cm="1">
        <f t="array" ref="AM5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0" s="10" t="str" cm="1">
        <f t="array" ref="AN5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0" s="4" t="e">
        <f>_xlfn.XLOOKUP(tbl_MTG_Set[[#This Row],[Play Booster Box Product Id]], tbl_Product[Product Id], tbl_Product[Pack Size])</f>
        <v>#N/A</v>
      </c>
      <c r="AP550" s="10" t="e">
        <f>(tbl_MTG_Set[[#This Row],[Play Booster Box Cost]]+v_Item_Shipping_Cost_In)/tbl_MTG_Set[[#This Row],[Play Booster Box Size]]</f>
        <v>#VALUE!</v>
      </c>
      <c r="AQ550" s="10" t="str" cm="1">
        <f t="array" ref="AQ5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0" s="10"/>
      <c r="AS550" s="10"/>
      <c r="AT550" s="17" t="e">
        <f>tbl_MTG_Set[[#This Row],[Play Booster CardMarket Profit]]/tbl_MTG_Set[[#This Row],[Play Booster Cost]]</f>
        <v>#VALUE!</v>
      </c>
      <c r="AU550" s="10" t="e">
        <f>_xlfn.XLOOKUP(tbl_MTG_Set[[#This Row],[Collector Booster Box Product Id]], tbl_Product[Product Id], tbl_Product[Min Cost])</f>
        <v>#N/A</v>
      </c>
      <c r="AV550" s="10" t="e">
        <f>_xlfn.XLOOKUP(tbl_MTG_Set[[#This Row],[Collector Booster Box Product Id]], tbl_Product[Product Id], tbl_Product[Best Source])</f>
        <v>#N/A</v>
      </c>
      <c r="AW550" s="4" t="e">
        <f>_xlfn.XLOOKUP(tbl_MTG_Set[[#This Row],[Collector Booster Box Product Id]], tbl_Product[Product Id], tbl_Product[Pack Size])</f>
        <v>#N/A</v>
      </c>
      <c r="AX550" s="10" t="e">
        <f>(tbl_MTG_Set[[#This Row],[Collector Booster Box Cost]] + v_Item_Shipping_Cost_In) / tbl_MTG_Set[[#This Row],[Collector Booster Box Size]]</f>
        <v>#N/A</v>
      </c>
      <c r="AY550" s="10" t="str" cm="1">
        <f t="array" ref="AY5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0" s="10"/>
      <c r="BA5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0" s="17" t="e">
        <f>tbl_MTG_Set[[#This Row],[Collector Booster CardMarket Profit]]/tbl_MTG_Set[[#This Row],[Collector Booster Cost]]</f>
        <v>#N/A</v>
      </c>
      <c r="BC550" s="10"/>
      <c r="BF5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0" s="11" t="e">
        <f>tbl_MTG_Set[[#This Row],[Play Singles CardMarket Profit MTG Stocks]]/tbl_MTG_Set[[#This Row],[Play Booster Cost]]</f>
        <v>#VALUE!</v>
      </c>
      <c r="BI550" s="11" t="b">
        <f>tbl_MTG_Set[[#This Row],[Play Singles CardMarket Profit MTG Stocks]]&gt;0</f>
        <v>0</v>
      </c>
      <c r="BM550" s="10" t="e">
        <f>tbl_MTG_Set[[#This Row],[Play Booster Sell Price CardMarket]]*tbl_MTG_Set[[#This Row],[Play Booster Expected Market Value BotBox]]/tbl_MTG_Set[[#This Row],[Play Booster Sealed Market Value BotBox]]</f>
        <v>#VALUE!</v>
      </c>
      <c r="BN5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0" s="10" t="e">
        <f>tbl_MTG_Set[[#This Row],[Play Singles CardMarket Profit BotBox]]/tbl_MTG_Set[[#This Row],[Play Booster Cost]]</f>
        <v>#VALUE!</v>
      </c>
      <c r="BP550" s="10" t="b">
        <f>tbl_MTG_Set[[#This Row],[Play Singles CardMarket Profit BotBox]]&gt;0</f>
        <v>0</v>
      </c>
      <c r="BQ550" s="10"/>
      <c r="BR550" s="10"/>
      <c r="BS550" s="10"/>
      <c r="BT5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0" s="19" t="e">
        <f>tbl_MTG_Set[[#This Row],[Collector Singles CardMarket Profit MTG Stocks]]/tbl_MTG_Set[[#This Row],[Collector Booster Cost]]</f>
        <v>#N/A</v>
      </c>
      <c r="BW550" s="10" t="b">
        <f>tbl_MTG_Set[[#This Row],[Collector Singles CardMarket Profit MTG Stocks]]&gt;0</f>
        <v>0</v>
      </c>
      <c r="BX550" s="10"/>
      <c r="BY550" s="10"/>
      <c r="BZ5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0" s="10" t="e">
        <f>tbl_MTG_Set[[#This Row],[Collector Singles CardMarket Profit BotBox]]/tbl_MTG_Set[[#This Row],[Collector Booster Cost]]</f>
        <v>#N/A</v>
      </c>
      <c r="CC550" s="10" t="b">
        <f>tbl_MTG_Set[[#This Row],[Collector Singles CardMarket Profit BotBox]]&gt;0</f>
        <v>0</v>
      </c>
      <c r="CD5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1" spans="1:86" hidden="1">
      <c r="A551">
        <v>583</v>
      </c>
      <c r="B551" t="s">
        <v>724</v>
      </c>
      <c r="C551">
        <v>342</v>
      </c>
      <c r="D551" s="3">
        <v>42321</v>
      </c>
      <c r="F551" t="s">
        <v>174</v>
      </c>
      <c r="G551">
        <v>1112</v>
      </c>
      <c r="H551">
        <f ca="1">MONTH(NOW())+12*YEAR(NOW())-MONTH(tbl_MTG_Set[[#This Row],[Released On]])-12*YEAR(tbl_MTG_Set[[#This Row],[Released On]])</f>
        <v>124</v>
      </c>
      <c r="I551" t="str">
        <f>_xlfn.XLOOKUP(tbl_MTG_Set[[#This Row],[Type Name]], tbl_MTG_Set_Type[Set Type], tbl_MTG_Set_Type[Index], "(Set Type not found)")</f>
        <v>(Set Type not found)</v>
      </c>
      <c r="J551" t="str">
        <f>_xlfn.XLOOKUP(tbl_MTG_Set[[#This Row],[Type Name]], tbl_MTG_Set_Type[Set Type], tbl_MTG_Set_Type[Buy Window Month Start], "(Set Type not found)")</f>
        <v>(Set Type not found)</v>
      </c>
      <c r="K551" s="3" t="e">
        <f>tbl_MTG_Set[[#This Row],[Released On]]+tbl_MTG_Set[[#This Row],[Buy Window Month Start]]*365.25/12</f>
        <v>#VALUE!</v>
      </c>
      <c r="L551" t="str">
        <f>_xlfn.XLOOKUP(tbl_MTG_Set[[#This Row],[Type Name]], tbl_MTG_Set_Type[Set Type], tbl_MTG_Set_Type[Buy Window Month End], "(Set Type not found)", 0, 1)</f>
        <v>(Set Type not found)</v>
      </c>
      <c r="M551" s="3" t="e">
        <f>tbl_MTG_Set[[#This Row],[Released On]]+tbl_MTG_Set[[#This Row],[Buy Window Month End]]*365.25/12</f>
        <v>#VALUE!</v>
      </c>
      <c r="N551" s="3" t="e">
        <f ca="1">AND(NOW()&gt;=tbl_MTG_Set[[#This Row],[Buy Window Start]], NOW()&lt;=tbl_MTG_Set[[#This Row],[Buy Window End]])</f>
        <v>#VALUE!</v>
      </c>
      <c r="O551" t="str">
        <f>_xlfn.XLOOKUP(tbl_MTG_Set[[#This Row],[Type Name]], tbl_MTG_Set_Type[Set Type], tbl_MTG_Set_Type[Heavy Printing Window Month Start], "(Set Type not found)", 0, 1)</f>
        <v>(Set Type not found)</v>
      </c>
      <c r="P551" s="3" t="e">
        <f>tbl_MTG_Set[[#This Row],[Released On]]+tbl_MTG_Set[[#This Row],[Heavy Printing Window Month Start]]*365.25/12</f>
        <v>#VALUE!</v>
      </c>
      <c r="Q551" t="str">
        <f>_xlfn.XLOOKUP(tbl_MTG_Set[[#This Row],[Type Name]], tbl_MTG_Set_Type[Set Type], tbl_MTG_Set_Type[Heavy Printing Window Month End], "(Set Type not found)", 0, 1)</f>
        <v>(Set Type not found)</v>
      </c>
      <c r="R551" s="3" t="e">
        <f>tbl_MTG_Set[[#This Row],[Released On]]+tbl_MTG_Set[[#This Row],[Heavy Printing Window Month End]]*365.25/12</f>
        <v>#VALUE!</v>
      </c>
      <c r="S551" s="3" t="e">
        <f ca="1">AND(NOW()&gt;=tbl_MTG_Set[[#This Row],[Heavy Printing Window Start]], NOW()&lt;=tbl_MTG_Set[[#This Row],[Heavy Printing Window End]])</f>
        <v>#VALUE!</v>
      </c>
      <c r="T551" t="str">
        <f>_xlfn.XLOOKUP(tbl_MTG_Set[[#This Row],[Type Name]], tbl_MTG_Set_Type[Set Type], tbl_MTG_Set_Type[Sell Window Month Start], "(Set Type not found)", 0, 1)</f>
        <v>(Set Type not found)</v>
      </c>
      <c r="U551" s="3" t="e">
        <f>tbl_MTG_Set[[#This Row],[Released On]]+tbl_MTG_Set[[#This Row],[Sell Window Month Start]]*365.25/12</f>
        <v>#VALUE!</v>
      </c>
      <c r="V551" t="str">
        <f>_xlfn.XLOOKUP(tbl_MTG_Set[[#This Row],[Type Name]], tbl_MTG_Set_Type[Set Type], tbl_MTG_Set_Type[Sell Window Month End], "(Set Type not found)", 0, 1)</f>
        <v>(Set Type not found)</v>
      </c>
      <c r="W551" s="3" t="e">
        <f>tbl_MTG_Set[[#This Row],[Released On]]+tbl_MTG_Set[[#This Row],[Sell Window Month End]]*365.25/12</f>
        <v>#VALUE!</v>
      </c>
      <c r="X551" s="3" t="e">
        <f ca="1">AND(NOW()&gt;=tbl_MTG_Set[[#This Row],[Sell Window Start]], NOW()&lt;=tbl_MTG_Set[[#This Row],[Sell Window End]])</f>
        <v>#VALUE!</v>
      </c>
      <c r="AG551" s="10"/>
      <c r="AH551" s="10"/>
      <c r="AM551" s="10" t="str" cm="1">
        <f t="array" ref="AM5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1" s="10" t="str" cm="1">
        <f t="array" ref="AN5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1" s="4" t="e">
        <f>_xlfn.XLOOKUP(tbl_MTG_Set[[#This Row],[Play Booster Box Product Id]], tbl_Product[Product Id], tbl_Product[Pack Size])</f>
        <v>#N/A</v>
      </c>
      <c r="AP551" s="10" t="e">
        <f>(tbl_MTG_Set[[#This Row],[Play Booster Box Cost]]+v_Item_Shipping_Cost_In)/tbl_MTG_Set[[#This Row],[Play Booster Box Size]]</f>
        <v>#VALUE!</v>
      </c>
      <c r="AQ551" s="10" t="str" cm="1">
        <f t="array" ref="AQ5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1" s="10"/>
      <c r="AS551" s="10"/>
      <c r="AT551" s="17" t="e">
        <f>tbl_MTG_Set[[#This Row],[Play Booster CardMarket Profit]]/tbl_MTG_Set[[#This Row],[Play Booster Cost]]</f>
        <v>#VALUE!</v>
      </c>
      <c r="AU551" s="10" t="e">
        <f>_xlfn.XLOOKUP(tbl_MTG_Set[[#This Row],[Collector Booster Box Product Id]], tbl_Product[Product Id], tbl_Product[Min Cost])</f>
        <v>#N/A</v>
      </c>
      <c r="AV551" s="10" t="e">
        <f>_xlfn.XLOOKUP(tbl_MTG_Set[[#This Row],[Collector Booster Box Product Id]], tbl_Product[Product Id], tbl_Product[Best Source])</f>
        <v>#N/A</v>
      </c>
      <c r="AW551" s="4" t="e">
        <f>_xlfn.XLOOKUP(tbl_MTG_Set[[#This Row],[Collector Booster Box Product Id]], tbl_Product[Product Id], tbl_Product[Pack Size])</f>
        <v>#N/A</v>
      </c>
      <c r="AX551" s="10" t="e">
        <f>(tbl_MTG_Set[[#This Row],[Collector Booster Box Cost]] + v_Item_Shipping_Cost_In) / tbl_MTG_Set[[#This Row],[Collector Booster Box Size]]</f>
        <v>#N/A</v>
      </c>
      <c r="AY551" s="10" t="str" cm="1">
        <f t="array" ref="AY5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1" s="10"/>
      <c r="BA5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1" s="17" t="e">
        <f>tbl_MTG_Set[[#This Row],[Collector Booster CardMarket Profit]]/tbl_MTG_Set[[#This Row],[Collector Booster Cost]]</f>
        <v>#N/A</v>
      </c>
      <c r="BC551" s="10"/>
      <c r="BF5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1" s="11" t="e">
        <f>tbl_MTG_Set[[#This Row],[Play Singles CardMarket Profit MTG Stocks]]/tbl_MTG_Set[[#This Row],[Play Booster Cost]]</f>
        <v>#VALUE!</v>
      </c>
      <c r="BI551" s="11" t="b">
        <f>tbl_MTG_Set[[#This Row],[Play Singles CardMarket Profit MTG Stocks]]&gt;0</f>
        <v>0</v>
      </c>
      <c r="BM551" s="10" t="e">
        <f>tbl_MTG_Set[[#This Row],[Play Booster Sell Price CardMarket]]*tbl_MTG_Set[[#This Row],[Play Booster Expected Market Value BotBox]]/tbl_MTG_Set[[#This Row],[Play Booster Sealed Market Value BotBox]]</f>
        <v>#VALUE!</v>
      </c>
      <c r="BN5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1" s="10" t="e">
        <f>tbl_MTG_Set[[#This Row],[Play Singles CardMarket Profit BotBox]]/tbl_MTG_Set[[#This Row],[Play Booster Cost]]</f>
        <v>#VALUE!</v>
      </c>
      <c r="BP551" s="10" t="b">
        <f>tbl_MTG_Set[[#This Row],[Play Singles CardMarket Profit BotBox]]&gt;0</f>
        <v>0</v>
      </c>
      <c r="BQ551" s="10"/>
      <c r="BR551" s="10"/>
      <c r="BS551" s="10"/>
      <c r="BT5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1" s="19" t="e">
        <f>tbl_MTG_Set[[#This Row],[Collector Singles CardMarket Profit MTG Stocks]]/tbl_MTG_Set[[#This Row],[Collector Booster Cost]]</f>
        <v>#N/A</v>
      </c>
      <c r="BW551" s="10" t="b">
        <f>tbl_MTG_Set[[#This Row],[Collector Singles CardMarket Profit MTG Stocks]]&gt;0</f>
        <v>0</v>
      </c>
      <c r="BX551" s="10"/>
      <c r="BY551" s="10"/>
      <c r="BZ5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1" s="10" t="e">
        <f>tbl_MTG_Set[[#This Row],[Collector Singles CardMarket Profit BotBox]]/tbl_MTG_Set[[#This Row],[Collector Booster Cost]]</f>
        <v>#N/A</v>
      </c>
      <c r="CC551" s="10" t="b">
        <f>tbl_MTG_Set[[#This Row],[Collector Singles CardMarket Profit BotBox]]&gt;0</f>
        <v>0</v>
      </c>
      <c r="CD5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2" spans="1:86" hidden="1">
      <c r="A552">
        <v>584</v>
      </c>
      <c r="B552" t="s">
        <v>725</v>
      </c>
      <c r="C552">
        <v>25</v>
      </c>
      <c r="D552" s="3">
        <v>42321</v>
      </c>
      <c r="F552" t="s">
        <v>174</v>
      </c>
      <c r="G552">
        <v>1114</v>
      </c>
      <c r="H552">
        <f ca="1">MONTH(NOW())+12*YEAR(NOW())-MONTH(tbl_MTG_Set[[#This Row],[Released On]])-12*YEAR(tbl_MTG_Set[[#This Row],[Released On]])</f>
        <v>124</v>
      </c>
      <c r="I552" t="str">
        <f>_xlfn.XLOOKUP(tbl_MTG_Set[[#This Row],[Type Name]], tbl_MTG_Set_Type[Set Type], tbl_MTG_Set_Type[Index], "(Set Type not found)")</f>
        <v>(Set Type not found)</v>
      </c>
      <c r="J552" t="str">
        <f>_xlfn.XLOOKUP(tbl_MTG_Set[[#This Row],[Type Name]], tbl_MTG_Set_Type[Set Type], tbl_MTG_Set_Type[Buy Window Month Start], "(Set Type not found)")</f>
        <v>(Set Type not found)</v>
      </c>
      <c r="K552" s="3" t="e">
        <f>tbl_MTG_Set[[#This Row],[Released On]]+tbl_MTG_Set[[#This Row],[Buy Window Month Start]]*365.25/12</f>
        <v>#VALUE!</v>
      </c>
      <c r="L552" t="str">
        <f>_xlfn.XLOOKUP(tbl_MTG_Set[[#This Row],[Type Name]], tbl_MTG_Set_Type[Set Type], tbl_MTG_Set_Type[Buy Window Month End], "(Set Type not found)", 0, 1)</f>
        <v>(Set Type not found)</v>
      </c>
      <c r="M552" s="3" t="e">
        <f>tbl_MTG_Set[[#This Row],[Released On]]+tbl_MTG_Set[[#This Row],[Buy Window Month End]]*365.25/12</f>
        <v>#VALUE!</v>
      </c>
      <c r="N552" s="3" t="e">
        <f ca="1">AND(NOW()&gt;=tbl_MTG_Set[[#This Row],[Buy Window Start]], NOW()&lt;=tbl_MTG_Set[[#This Row],[Buy Window End]])</f>
        <v>#VALUE!</v>
      </c>
      <c r="O552" t="str">
        <f>_xlfn.XLOOKUP(tbl_MTG_Set[[#This Row],[Type Name]], tbl_MTG_Set_Type[Set Type], tbl_MTG_Set_Type[Heavy Printing Window Month Start], "(Set Type not found)", 0, 1)</f>
        <v>(Set Type not found)</v>
      </c>
      <c r="P552" s="3" t="e">
        <f>tbl_MTG_Set[[#This Row],[Released On]]+tbl_MTG_Set[[#This Row],[Heavy Printing Window Month Start]]*365.25/12</f>
        <v>#VALUE!</v>
      </c>
      <c r="Q552" t="str">
        <f>_xlfn.XLOOKUP(tbl_MTG_Set[[#This Row],[Type Name]], tbl_MTG_Set_Type[Set Type], tbl_MTG_Set_Type[Heavy Printing Window Month End], "(Set Type not found)", 0, 1)</f>
        <v>(Set Type not found)</v>
      </c>
      <c r="R552" s="3" t="e">
        <f>tbl_MTG_Set[[#This Row],[Released On]]+tbl_MTG_Set[[#This Row],[Heavy Printing Window Month End]]*365.25/12</f>
        <v>#VALUE!</v>
      </c>
      <c r="S552" s="3" t="e">
        <f ca="1">AND(NOW()&gt;=tbl_MTG_Set[[#This Row],[Heavy Printing Window Start]], NOW()&lt;=tbl_MTG_Set[[#This Row],[Heavy Printing Window End]])</f>
        <v>#VALUE!</v>
      </c>
      <c r="T552" t="str">
        <f>_xlfn.XLOOKUP(tbl_MTG_Set[[#This Row],[Type Name]], tbl_MTG_Set_Type[Set Type], tbl_MTG_Set_Type[Sell Window Month Start], "(Set Type not found)", 0, 1)</f>
        <v>(Set Type not found)</v>
      </c>
      <c r="U552" s="3" t="e">
        <f>tbl_MTG_Set[[#This Row],[Released On]]+tbl_MTG_Set[[#This Row],[Sell Window Month Start]]*365.25/12</f>
        <v>#VALUE!</v>
      </c>
      <c r="V552" t="str">
        <f>_xlfn.XLOOKUP(tbl_MTG_Set[[#This Row],[Type Name]], tbl_MTG_Set_Type[Set Type], tbl_MTG_Set_Type[Sell Window Month End], "(Set Type not found)", 0, 1)</f>
        <v>(Set Type not found)</v>
      </c>
      <c r="W552" s="3" t="e">
        <f>tbl_MTG_Set[[#This Row],[Released On]]+tbl_MTG_Set[[#This Row],[Sell Window Month End]]*365.25/12</f>
        <v>#VALUE!</v>
      </c>
      <c r="X552" s="3" t="e">
        <f ca="1">AND(NOW()&gt;=tbl_MTG_Set[[#This Row],[Sell Window Start]], NOW()&lt;=tbl_MTG_Set[[#This Row],[Sell Window End]])</f>
        <v>#VALUE!</v>
      </c>
      <c r="AG552" s="10"/>
      <c r="AH552" s="10"/>
      <c r="AM552" s="10" t="str" cm="1">
        <f t="array" ref="AM5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2" s="10" t="str" cm="1">
        <f t="array" ref="AN5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2" s="4" t="e">
        <f>_xlfn.XLOOKUP(tbl_MTG_Set[[#This Row],[Play Booster Box Product Id]], tbl_Product[Product Id], tbl_Product[Pack Size])</f>
        <v>#N/A</v>
      </c>
      <c r="AP552" s="10" t="e">
        <f>(tbl_MTG_Set[[#This Row],[Play Booster Box Cost]]+v_Item_Shipping_Cost_In)/tbl_MTG_Set[[#This Row],[Play Booster Box Size]]</f>
        <v>#VALUE!</v>
      </c>
      <c r="AQ552" s="10" t="str" cm="1">
        <f t="array" ref="AQ5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2" s="10"/>
      <c r="AS552" s="10"/>
      <c r="AT552" s="17" t="e">
        <f>tbl_MTG_Set[[#This Row],[Play Booster CardMarket Profit]]/tbl_MTG_Set[[#This Row],[Play Booster Cost]]</f>
        <v>#VALUE!</v>
      </c>
      <c r="AU552" s="10" t="e">
        <f>_xlfn.XLOOKUP(tbl_MTG_Set[[#This Row],[Collector Booster Box Product Id]], tbl_Product[Product Id], tbl_Product[Min Cost])</f>
        <v>#N/A</v>
      </c>
      <c r="AV552" s="10" t="e">
        <f>_xlfn.XLOOKUP(tbl_MTG_Set[[#This Row],[Collector Booster Box Product Id]], tbl_Product[Product Id], tbl_Product[Best Source])</f>
        <v>#N/A</v>
      </c>
      <c r="AW552" s="4" t="e">
        <f>_xlfn.XLOOKUP(tbl_MTG_Set[[#This Row],[Collector Booster Box Product Id]], tbl_Product[Product Id], tbl_Product[Pack Size])</f>
        <v>#N/A</v>
      </c>
      <c r="AX552" s="10" t="e">
        <f>(tbl_MTG_Set[[#This Row],[Collector Booster Box Cost]] + v_Item_Shipping_Cost_In) / tbl_MTG_Set[[#This Row],[Collector Booster Box Size]]</f>
        <v>#N/A</v>
      </c>
      <c r="AY552" s="10" t="str" cm="1">
        <f t="array" ref="AY5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2" s="10"/>
      <c r="BA5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2" s="17" t="e">
        <f>tbl_MTG_Set[[#This Row],[Collector Booster CardMarket Profit]]/tbl_MTG_Set[[#This Row],[Collector Booster Cost]]</f>
        <v>#N/A</v>
      </c>
      <c r="BC552" s="10"/>
      <c r="BF5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2" s="11" t="e">
        <f>tbl_MTG_Set[[#This Row],[Play Singles CardMarket Profit MTG Stocks]]/tbl_MTG_Set[[#This Row],[Play Booster Cost]]</f>
        <v>#VALUE!</v>
      </c>
      <c r="BI552" s="11" t="b">
        <f>tbl_MTG_Set[[#This Row],[Play Singles CardMarket Profit MTG Stocks]]&gt;0</f>
        <v>0</v>
      </c>
      <c r="BM552" s="10" t="e">
        <f>tbl_MTG_Set[[#This Row],[Play Booster Sell Price CardMarket]]*tbl_MTG_Set[[#This Row],[Play Booster Expected Market Value BotBox]]/tbl_MTG_Set[[#This Row],[Play Booster Sealed Market Value BotBox]]</f>
        <v>#VALUE!</v>
      </c>
      <c r="BN5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2" s="10" t="e">
        <f>tbl_MTG_Set[[#This Row],[Play Singles CardMarket Profit BotBox]]/tbl_MTG_Set[[#This Row],[Play Booster Cost]]</f>
        <v>#VALUE!</v>
      </c>
      <c r="BP552" s="10" t="b">
        <f>tbl_MTG_Set[[#This Row],[Play Singles CardMarket Profit BotBox]]&gt;0</f>
        <v>0</v>
      </c>
      <c r="BQ552" s="10"/>
      <c r="BR552" s="10"/>
      <c r="BS552" s="10"/>
      <c r="BT5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2" s="19" t="e">
        <f>tbl_MTG_Set[[#This Row],[Collector Singles CardMarket Profit MTG Stocks]]/tbl_MTG_Set[[#This Row],[Collector Booster Cost]]</f>
        <v>#N/A</v>
      </c>
      <c r="BW552" s="10" t="b">
        <f>tbl_MTG_Set[[#This Row],[Collector Singles CardMarket Profit MTG Stocks]]&gt;0</f>
        <v>0</v>
      </c>
      <c r="BX552" s="10"/>
      <c r="BY552" s="10"/>
      <c r="BZ5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2" s="10" t="e">
        <f>tbl_MTG_Set[[#This Row],[Collector Singles CardMarket Profit BotBox]]/tbl_MTG_Set[[#This Row],[Collector Booster Cost]]</f>
        <v>#N/A</v>
      </c>
      <c r="CC552" s="10" t="b">
        <f>tbl_MTG_Set[[#This Row],[Collector Singles CardMarket Profit BotBox]]&gt;0</f>
        <v>0</v>
      </c>
      <c r="CD5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3" spans="1:86" hidden="1">
      <c r="A553">
        <v>585</v>
      </c>
      <c r="B553" t="s">
        <v>726</v>
      </c>
      <c r="C553">
        <v>5</v>
      </c>
      <c r="D553" s="3">
        <v>42321</v>
      </c>
      <c r="F553" t="s">
        <v>174</v>
      </c>
      <c r="G553">
        <v>1116</v>
      </c>
      <c r="H553">
        <f ca="1">MONTH(NOW())+12*YEAR(NOW())-MONTH(tbl_MTG_Set[[#This Row],[Released On]])-12*YEAR(tbl_MTG_Set[[#This Row],[Released On]])</f>
        <v>124</v>
      </c>
      <c r="I553" t="str">
        <f>_xlfn.XLOOKUP(tbl_MTG_Set[[#This Row],[Type Name]], tbl_MTG_Set_Type[Set Type], tbl_MTG_Set_Type[Index], "(Set Type not found)")</f>
        <v>(Set Type not found)</v>
      </c>
      <c r="J553" t="str">
        <f>_xlfn.XLOOKUP(tbl_MTG_Set[[#This Row],[Type Name]], tbl_MTG_Set_Type[Set Type], tbl_MTG_Set_Type[Buy Window Month Start], "(Set Type not found)")</f>
        <v>(Set Type not found)</v>
      </c>
      <c r="K553" s="3" t="e">
        <f>tbl_MTG_Set[[#This Row],[Released On]]+tbl_MTG_Set[[#This Row],[Buy Window Month Start]]*365.25/12</f>
        <v>#VALUE!</v>
      </c>
      <c r="L553" t="str">
        <f>_xlfn.XLOOKUP(tbl_MTG_Set[[#This Row],[Type Name]], tbl_MTG_Set_Type[Set Type], tbl_MTG_Set_Type[Buy Window Month End], "(Set Type not found)", 0, 1)</f>
        <v>(Set Type not found)</v>
      </c>
      <c r="M553" s="3" t="e">
        <f>tbl_MTG_Set[[#This Row],[Released On]]+tbl_MTG_Set[[#This Row],[Buy Window Month End]]*365.25/12</f>
        <v>#VALUE!</v>
      </c>
      <c r="N553" s="3" t="e">
        <f ca="1">AND(NOW()&gt;=tbl_MTG_Set[[#This Row],[Buy Window Start]], NOW()&lt;=tbl_MTG_Set[[#This Row],[Buy Window End]])</f>
        <v>#VALUE!</v>
      </c>
      <c r="O553" t="str">
        <f>_xlfn.XLOOKUP(tbl_MTG_Set[[#This Row],[Type Name]], tbl_MTG_Set_Type[Set Type], tbl_MTG_Set_Type[Heavy Printing Window Month Start], "(Set Type not found)", 0, 1)</f>
        <v>(Set Type not found)</v>
      </c>
      <c r="P553" s="3" t="e">
        <f>tbl_MTG_Set[[#This Row],[Released On]]+tbl_MTG_Set[[#This Row],[Heavy Printing Window Month Start]]*365.25/12</f>
        <v>#VALUE!</v>
      </c>
      <c r="Q553" t="str">
        <f>_xlfn.XLOOKUP(tbl_MTG_Set[[#This Row],[Type Name]], tbl_MTG_Set_Type[Set Type], tbl_MTG_Set_Type[Heavy Printing Window Month End], "(Set Type not found)", 0, 1)</f>
        <v>(Set Type not found)</v>
      </c>
      <c r="R553" s="3" t="e">
        <f>tbl_MTG_Set[[#This Row],[Released On]]+tbl_MTG_Set[[#This Row],[Heavy Printing Window Month End]]*365.25/12</f>
        <v>#VALUE!</v>
      </c>
      <c r="S553" s="3" t="e">
        <f ca="1">AND(NOW()&gt;=tbl_MTG_Set[[#This Row],[Heavy Printing Window Start]], NOW()&lt;=tbl_MTG_Set[[#This Row],[Heavy Printing Window End]])</f>
        <v>#VALUE!</v>
      </c>
      <c r="T553" t="str">
        <f>_xlfn.XLOOKUP(tbl_MTG_Set[[#This Row],[Type Name]], tbl_MTG_Set_Type[Set Type], tbl_MTG_Set_Type[Sell Window Month Start], "(Set Type not found)", 0, 1)</f>
        <v>(Set Type not found)</v>
      </c>
      <c r="U553" s="3" t="e">
        <f>tbl_MTG_Set[[#This Row],[Released On]]+tbl_MTG_Set[[#This Row],[Sell Window Month Start]]*365.25/12</f>
        <v>#VALUE!</v>
      </c>
      <c r="V553" t="str">
        <f>_xlfn.XLOOKUP(tbl_MTG_Set[[#This Row],[Type Name]], tbl_MTG_Set_Type[Set Type], tbl_MTG_Set_Type[Sell Window Month End], "(Set Type not found)", 0, 1)</f>
        <v>(Set Type not found)</v>
      </c>
      <c r="W553" s="3" t="e">
        <f>tbl_MTG_Set[[#This Row],[Released On]]+tbl_MTG_Set[[#This Row],[Sell Window Month End]]*365.25/12</f>
        <v>#VALUE!</v>
      </c>
      <c r="X553" s="3" t="e">
        <f ca="1">AND(NOW()&gt;=tbl_MTG_Set[[#This Row],[Sell Window Start]], NOW()&lt;=tbl_MTG_Set[[#This Row],[Sell Window End]])</f>
        <v>#VALUE!</v>
      </c>
      <c r="AG553" s="10"/>
      <c r="AH553" s="10"/>
      <c r="AM553" s="10" t="str" cm="1">
        <f t="array" ref="AM5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3" s="10" t="str" cm="1">
        <f t="array" ref="AN5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3" s="4" t="e">
        <f>_xlfn.XLOOKUP(tbl_MTG_Set[[#This Row],[Play Booster Box Product Id]], tbl_Product[Product Id], tbl_Product[Pack Size])</f>
        <v>#N/A</v>
      </c>
      <c r="AP553" s="10" t="e">
        <f>(tbl_MTG_Set[[#This Row],[Play Booster Box Cost]]+v_Item_Shipping_Cost_In)/tbl_MTG_Set[[#This Row],[Play Booster Box Size]]</f>
        <v>#VALUE!</v>
      </c>
      <c r="AQ553" s="10" t="str" cm="1">
        <f t="array" ref="AQ5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3" s="10"/>
      <c r="AS553" s="10"/>
      <c r="AT553" s="17" t="e">
        <f>tbl_MTG_Set[[#This Row],[Play Booster CardMarket Profit]]/tbl_MTG_Set[[#This Row],[Play Booster Cost]]</f>
        <v>#VALUE!</v>
      </c>
      <c r="AU553" s="10" t="e">
        <f>_xlfn.XLOOKUP(tbl_MTG_Set[[#This Row],[Collector Booster Box Product Id]], tbl_Product[Product Id], tbl_Product[Min Cost])</f>
        <v>#N/A</v>
      </c>
      <c r="AV553" s="10" t="e">
        <f>_xlfn.XLOOKUP(tbl_MTG_Set[[#This Row],[Collector Booster Box Product Id]], tbl_Product[Product Id], tbl_Product[Best Source])</f>
        <v>#N/A</v>
      </c>
      <c r="AW553" s="4" t="e">
        <f>_xlfn.XLOOKUP(tbl_MTG_Set[[#This Row],[Collector Booster Box Product Id]], tbl_Product[Product Id], tbl_Product[Pack Size])</f>
        <v>#N/A</v>
      </c>
      <c r="AX553" s="10" t="e">
        <f>(tbl_MTG_Set[[#This Row],[Collector Booster Box Cost]] + v_Item_Shipping_Cost_In) / tbl_MTG_Set[[#This Row],[Collector Booster Box Size]]</f>
        <v>#N/A</v>
      </c>
      <c r="AY553" s="10" t="str" cm="1">
        <f t="array" ref="AY5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3" s="10"/>
      <c r="BA5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3" s="17" t="e">
        <f>tbl_MTG_Set[[#This Row],[Collector Booster CardMarket Profit]]/tbl_MTG_Set[[#This Row],[Collector Booster Cost]]</f>
        <v>#N/A</v>
      </c>
      <c r="BC553" s="10"/>
      <c r="BF5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3" s="11" t="e">
        <f>tbl_MTG_Set[[#This Row],[Play Singles CardMarket Profit MTG Stocks]]/tbl_MTG_Set[[#This Row],[Play Booster Cost]]</f>
        <v>#VALUE!</v>
      </c>
      <c r="BI553" s="11" t="b">
        <f>tbl_MTG_Set[[#This Row],[Play Singles CardMarket Profit MTG Stocks]]&gt;0</f>
        <v>0</v>
      </c>
      <c r="BM553" s="10" t="e">
        <f>tbl_MTG_Set[[#This Row],[Play Booster Sell Price CardMarket]]*tbl_MTG_Set[[#This Row],[Play Booster Expected Market Value BotBox]]/tbl_MTG_Set[[#This Row],[Play Booster Sealed Market Value BotBox]]</f>
        <v>#VALUE!</v>
      </c>
      <c r="BN5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3" s="10" t="e">
        <f>tbl_MTG_Set[[#This Row],[Play Singles CardMarket Profit BotBox]]/tbl_MTG_Set[[#This Row],[Play Booster Cost]]</f>
        <v>#VALUE!</v>
      </c>
      <c r="BP553" s="10" t="b">
        <f>tbl_MTG_Set[[#This Row],[Play Singles CardMarket Profit BotBox]]&gt;0</f>
        <v>0</v>
      </c>
      <c r="BQ553" s="10"/>
      <c r="BR553" s="10"/>
      <c r="BS553" s="10"/>
      <c r="BT5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3" s="19" t="e">
        <f>tbl_MTG_Set[[#This Row],[Collector Singles CardMarket Profit MTG Stocks]]/tbl_MTG_Set[[#This Row],[Collector Booster Cost]]</f>
        <v>#N/A</v>
      </c>
      <c r="BW553" s="10" t="b">
        <f>tbl_MTG_Set[[#This Row],[Collector Singles CardMarket Profit MTG Stocks]]&gt;0</f>
        <v>0</v>
      </c>
      <c r="BX553" s="10"/>
      <c r="BY553" s="10"/>
      <c r="BZ5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3" s="10" t="e">
        <f>tbl_MTG_Set[[#This Row],[Collector Singles CardMarket Profit BotBox]]/tbl_MTG_Set[[#This Row],[Collector Booster Cost]]</f>
        <v>#N/A</v>
      </c>
      <c r="CC553" s="10" t="b">
        <f>tbl_MTG_Set[[#This Row],[Collector Singles CardMarket Profit BotBox]]&gt;0</f>
        <v>0</v>
      </c>
      <c r="CD5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4" spans="1:86" hidden="1">
      <c r="A554">
        <v>586</v>
      </c>
      <c r="B554" t="s">
        <v>727</v>
      </c>
      <c r="C554">
        <v>299</v>
      </c>
      <c r="D554" s="3">
        <v>42279</v>
      </c>
      <c r="E554" t="s">
        <v>59</v>
      </c>
      <c r="F554" t="s">
        <v>174</v>
      </c>
      <c r="G554">
        <v>1118</v>
      </c>
      <c r="H554">
        <f ca="1">MONTH(NOW())+12*YEAR(NOW())-MONTH(tbl_MTG_Set[[#This Row],[Released On]])-12*YEAR(tbl_MTG_Set[[#This Row],[Released On]])</f>
        <v>125</v>
      </c>
      <c r="I554">
        <f>_xlfn.XLOOKUP(tbl_MTG_Set[[#This Row],[Type Name]], tbl_MTG_Set_Type[Set Type], tbl_MTG_Set_Type[Index], "(Set Type not found)")</f>
        <v>1</v>
      </c>
      <c r="J554">
        <f>_xlfn.XLOOKUP(tbl_MTG_Set[[#This Row],[Type Name]], tbl_MTG_Set_Type[Set Type], tbl_MTG_Set_Type[Buy Window Month Start], "(Set Type not found)")</f>
        <v>18</v>
      </c>
      <c r="K554" s="3">
        <f>tbl_MTG_Set[[#This Row],[Released On]]+tbl_MTG_Set[[#This Row],[Buy Window Month Start]]*365.25/12</f>
        <v>42826.875</v>
      </c>
      <c r="L554">
        <f>_xlfn.XLOOKUP(tbl_MTG_Set[[#This Row],[Type Name]], tbl_MTG_Set_Type[Set Type], tbl_MTG_Set_Type[Buy Window Month End], "(Set Type not found)", 0, 1)</f>
        <v>24</v>
      </c>
      <c r="M554" s="3">
        <f>tbl_MTG_Set[[#This Row],[Released On]]+tbl_MTG_Set[[#This Row],[Buy Window Month End]]*365.25/12</f>
        <v>43009.5</v>
      </c>
      <c r="N554" s="3" t="b">
        <f ca="1">AND(NOW()&gt;=tbl_MTG_Set[[#This Row],[Buy Window Start]], NOW()&lt;=tbl_MTG_Set[[#This Row],[Buy Window End]])</f>
        <v>0</v>
      </c>
      <c r="O554">
        <f>_xlfn.XLOOKUP(tbl_MTG_Set[[#This Row],[Type Name]], tbl_MTG_Set_Type[Set Type], tbl_MTG_Set_Type[Heavy Printing Window Month Start], "(Set Type not found)", 0, 1)</f>
        <v>1</v>
      </c>
      <c r="P554" s="3">
        <f>tbl_MTG_Set[[#This Row],[Released On]]+tbl_MTG_Set[[#This Row],[Heavy Printing Window Month Start]]*365.25/12</f>
        <v>42309.4375</v>
      </c>
      <c r="Q554">
        <f>_xlfn.XLOOKUP(tbl_MTG_Set[[#This Row],[Type Name]], tbl_MTG_Set_Type[Set Type], tbl_MTG_Set_Type[Heavy Printing Window Month End], "(Set Type not found)", 0, 1)</f>
        <v>18</v>
      </c>
      <c r="R554" s="3">
        <f>tbl_MTG_Set[[#This Row],[Released On]]+tbl_MTG_Set[[#This Row],[Heavy Printing Window Month End]]*365.25/12</f>
        <v>42826.875</v>
      </c>
      <c r="S554" s="3" t="b">
        <f ca="1">AND(NOW()&gt;=tbl_MTG_Set[[#This Row],[Heavy Printing Window Start]], NOW()&lt;=tbl_MTG_Set[[#This Row],[Heavy Printing Window End]])</f>
        <v>0</v>
      </c>
      <c r="T554">
        <f>_xlfn.XLOOKUP(tbl_MTG_Set[[#This Row],[Type Name]], tbl_MTG_Set_Type[Set Type], tbl_MTG_Set_Type[Sell Window Month Start], "(Set Type not found)", 0, 1)</f>
        <v>36</v>
      </c>
      <c r="U554" s="3">
        <f>tbl_MTG_Set[[#This Row],[Released On]]+tbl_MTG_Set[[#This Row],[Sell Window Month Start]]*365.25/12</f>
        <v>43374.75</v>
      </c>
      <c r="V554">
        <f>_xlfn.XLOOKUP(tbl_MTG_Set[[#This Row],[Type Name]], tbl_MTG_Set_Type[Set Type], tbl_MTG_Set_Type[Sell Window Month End], "(Set Type not found)", 0, 1)</f>
        <v>48</v>
      </c>
      <c r="W554" s="3">
        <f>tbl_MTG_Set[[#This Row],[Released On]]+tbl_MTG_Set[[#This Row],[Sell Window Month End]]*365.25/12</f>
        <v>43740</v>
      </c>
      <c r="X554" s="3" t="b">
        <f ca="1">AND(NOW()&gt;=tbl_MTG_Set[[#This Row],[Sell Window Start]], NOW()&lt;=tbl_MTG_Set[[#This Row],[Sell Window End]])</f>
        <v>0</v>
      </c>
      <c r="AG554" s="10"/>
      <c r="AH554" s="10"/>
      <c r="AM554" s="10" t="str" cm="1">
        <f t="array" ref="AM5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4" s="10" t="str" cm="1">
        <f t="array" ref="AN5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4" s="4" t="e">
        <f>_xlfn.XLOOKUP(tbl_MTG_Set[[#This Row],[Play Booster Box Product Id]], tbl_Product[Product Id], tbl_Product[Pack Size])</f>
        <v>#N/A</v>
      </c>
      <c r="AP554" s="10" t="e">
        <f>(tbl_MTG_Set[[#This Row],[Play Booster Box Cost]]+v_Item_Shipping_Cost_In)/tbl_MTG_Set[[#This Row],[Play Booster Box Size]]</f>
        <v>#VALUE!</v>
      </c>
      <c r="AQ554" s="10" t="str" cm="1">
        <f t="array" ref="AQ5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4" s="10"/>
      <c r="AS554" s="10"/>
      <c r="AT554" s="17" t="e">
        <f>tbl_MTG_Set[[#This Row],[Play Booster CardMarket Profit]]/tbl_MTG_Set[[#This Row],[Play Booster Cost]]</f>
        <v>#VALUE!</v>
      </c>
      <c r="AU554" s="10" t="e">
        <f>_xlfn.XLOOKUP(tbl_MTG_Set[[#This Row],[Collector Booster Box Product Id]], tbl_Product[Product Id], tbl_Product[Min Cost])</f>
        <v>#N/A</v>
      </c>
      <c r="AV554" s="10" t="e">
        <f>_xlfn.XLOOKUP(tbl_MTG_Set[[#This Row],[Collector Booster Box Product Id]], tbl_Product[Product Id], tbl_Product[Best Source])</f>
        <v>#N/A</v>
      </c>
      <c r="AW554" s="4" t="e">
        <f>_xlfn.XLOOKUP(tbl_MTG_Set[[#This Row],[Collector Booster Box Product Id]], tbl_Product[Product Id], tbl_Product[Pack Size])</f>
        <v>#N/A</v>
      </c>
      <c r="AX554" s="10" t="e">
        <f>(tbl_MTG_Set[[#This Row],[Collector Booster Box Cost]] + v_Item_Shipping_Cost_In) / tbl_MTG_Set[[#This Row],[Collector Booster Box Size]]</f>
        <v>#N/A</v>
      </c>
      <c r="AY554" s="10" t="str" cm="1">
        <f t="array" ref="AY5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4" s="10"/>
      <c r="BA5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4" s="17" t="e">
        <f>tbl_MTG_Set[[#This Row],[Collector Booster CardMarket Profit]]/tbl_MTG_Set[[#This Row],[Collector Booster Cost]]</f>
        <v>#N/A</v>
      </c>
      <c r="BC554" s="10"/>
      <c r="BF5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4" s="11" t="e">
        <f>tbl_MTG_Set[[#This Row],[Play Singles CardMarket Profit MTG Stocks]]/tbl_MTG_Set[[#This Row],[Play Booster Cost]]</f>
        <v>#VALUE!</v>
      </c>
      <c r="BI554" s="11" t="b">
        <f>tbl_MTG_Set[[#This Row],[Play Singles CardMarket Profit MTG Stocks]]&gt;0</f>
        <v>0</v>
      </c>
      <c r="BM554" s="10" t="e">
        <f>tbl_MTG_Set[[#This Row],[Play Booster Sell Price CardMarket]]*tbl_MTG_Set[[#This Row],[Play Booster Expected Market Value BotBox]]/tbl_MTG_Set[[#This Row],[Play Booster Sealed Market Value BotBox]]</f>
        <v>#VALUE!</v>
      </c>
      <c r="BN5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4" s="10" t="e">
        <f>tbl_MTG_Set[[#This Row],[Play Singles CardMarket Profit BotBox]]/tbl_MTG_Set[[#This Row],[Play Booster Cost]]</f>
        <v>#VALUE!</v>
      </c>
      <c r="BP554" s="10" t="b">
        <f>tbl_MTG_Set[[#This Row],[Play Singles CardMarket Profit BotBox]]&gt;0</f>
        <v>0</v>
      </c>
      <c r="BQ554" s="10"/>
      <c r="BR554" s="10"/>
      <c r="BS554" s="10"/>
      <c r="BT5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4" s="19" t="e">
        <f>tbl_MTG_Set[[#This Row],[Collector Singles CardMarket Profit MTG Stocks]]/tbl_MTG_Set[[#This Row],[Collector Booster Cost]]</f>
        <v>#N/A</v>
      </c>
      <c r="BW554" s="10" t="b">
        <f>tbl_MTG_Set[[#This Row],[Collector Singles CardMarket Profit MTG Stocks]]&gt;0</f>
        <v>0</v>
      </c>
      <c r="BX554" s="10"/>
      <c r="BY554" s="10"/>
      <c r="BZ5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4" s="10" t="e">
        <f>tbl_MTG_Set[[#This Row],[Collector Singles CardMarket Profit BotBox]]/tbl_MTG_Set[[#This Row],[Collector Booster Cost]]</f>
        <v>#N/A</v>
      </c>
      <c r="CC554" s="10" t="b">
        <f>tbl_MTG_Set[[#This Row],[Collector Singles CardMarket Profit BotBox]]&gt;0</f>
        <v>0</v>
      </c>
      <c r="CD5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5" spans="1:86" hidden="1">
      <c r="A555">
        <v>587</v>
      </c>
      <c r="B555" t="s">
        <v>728</v>
      </c>
      <c r="C555">
        <v>45</v>
      </c>
      <c r="D555" s="3">
        <v>42279</v>
      </c>
      <c r="E555" t="s">
        <v>59</v>
      </c>
      <c r="F555" t="s">
        <v>174</v>
      </c>
      <c r="G555">
        <v>1120</v>
      </c>
      <c r="H555">
        <f ca="1">MONTH(NOW())+12*YEAR(NOW())-MONTH(tbl_MTG_Set[[#This Row],[Released On]])-12*YEAR(tbl_MTG_Set[[#This Row],[Released On]])</f>
        <v>125</v>
      </c>
      <c r="I555">
        <f>_xlfn.XLOOKUP(tbl_MTG_Set[[#This Row],[Type Name]], tbl_MTG_Set_Type[Set Type], tbl_MTG_Set_Type[Index], "(Set Type not found)")</f>
        <v>1</v>
      </c>
      <c r="J555">
        <f>_xlfn.XLOOKUP(tbl_MTG_Set[[#This Row],[Type Name]], tbl_MTG_Set_Type[Set Type], tbl_MTG_Set_Type[Buy Window Month Start], "(Set Type not found)")</f>
        <v>18</v>
      </c>
      <c r="K555" s="3">
        <f>tbl_MTG_Set[[#This Row],[Released On]]+tbl_MTG_Set[[#This Row],[Buy Window Month Start]]*365.25/12</f>
        <v>42826.875</v>
      </c>
      <c r="L555">
        <f>_xlfn.XLOOKUP(tbl_MTG_Set[[#This Row],[Type Name]], tbl_MTG_Set_Type[Set Type], tbl_MTG_Set_Type[Buy Window Month End], "(Set Type not found)", 0, 1)</f>
        <v>24</v>
      </c>
      <c r="M555" s="3">
        <f>tbl_MTG_Set[[#This Row],[Released On]]+tbl_MTG_Set[[#This Row],[Buy Window Month End]]*365.25/12</f>
        <v>43009.5</v>
      </c>
      <c r="N555" s="3" t="b">
        <f ca="1">AND(NOW()&gt;=tbl_MTG_Set[[#This Row],[Buy Window Start]], NOW()&lt;=tbl_MTG_Set[[#This Row],[Buy Window End]])</f>
        <v>0</v>
      </c>
      <c r="O555">
        <f>_xlfn.XLOOKUP(tbl_MTG_Set[[#This Row],[Type Name]], tbl_MTG_Set_Type[Set Type], tbl_MTG_Set_Type[Heavy Printing Window Month Start], "(Set Type not found)", 0, 1)</f>
        <v>1</v>
      </c>
      <c r="P555" s="3">
        <f>tbl_MTG_Set[[#This Row],[Released On]]+tbl_MTG_Set[[#This Row],[Heavy Printing Window Month Start]]*365.25/12</f>
        <v>42309.4375</v>
      </c>
      <c r="Q555">
        <f>_xlfn.XLOOKUP(tbl_MTG_Set[[#This Row],[Type Name]], tbl_MTG_Set_Type[Set Type], tbl_MTG_Set_Type[Heavy Printing Window Month End], "(Set Type not found)", 0, 1)</f>
        <v>18</v>
      </c>
      <c r="R555" s="3">
        <f>tbl_MTG_Set[[#This Row],[Released On]]+tbl_MTG_Set[[#This Row],[Heavy Printing Window Month End]]*365.25/12</f>
        <v>42826.875</v>
      </c>
      <c r="S555" s="3" t="b">
        <f ca="1">AND(NOW()&gt;=tbl_MTG_Set[[#This Row],[Heavy Printing Window Start]], NOW()&lt;=tbl_MTG_Set[[#This Row],[Heavy Printing Window End]])</f>
        <v>0</v>
      </c>
      <c r="T555">
        <f>_xlfn.XLOOKUP(tbl_MTG_Set[[#This Row],[Type Name]], tbl_MTG_Set_Type[Set Type], tbl_MTG_Set_Type[Sell Window Month Start], "(Set Type not found)", 0, 1)</f>
        <v>36</v>
      </c>
      <c r="U555" s="3">
        <f>tbl_MTG_Set[[#This Row],[Released On]]+tbl_MTG_Set[[#This Row],[Sell Window Month Start]]*365.25/12</f>
        <v>43374.75</v>
      </c>
      <c r="V555">
        <f>_xlfn.XLOOKUP(tbl_MTG_Set[[#This Row],[Type Name]], tbl_MTG_Set_Type[Set Type], tbl_MTG_Set_Type[Sell Window Month End], "(Set Type not found)", 0, 1)</f>
        <v>48</v>
      </c>
      <c r="W555" s="3">
        <f>tbl_MTG_Set[[#This Row],[Released On]]+tbl_MTG_Set[[#This Row],[Sell Window Month End]]*365.25/12</f>
        <v>43740</v>
      </c>
      <c r="X555" s="3" t="b">
        <f ca="1">AND(NOW()&gt;=tbl_MTG_Set[[#This Row],[Sell Window Start]], NOW()&lt;=tbl_MTG_Set[[#This Row],[Sell Window End]])</f>
        <v>0</v>
      </c>
      <c r="AG555" s="10"/>
      <c r="AH555" s="10"/>
      <c r="AM555" s="10" t="str" cm="1">
        <f t="array" ref="AM5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5" s="10" t="str" cm="1">
        <f t="array" ref="AN5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5" s="4" t="e">
        <f>_xlfn.XLOOKUP(tbl_MTG_Set[[#This Row],[Play Booster Box Product Id]], tbl_Product[Product Id], tbl_Product[Pack Size])</f>
        <v>#N/A</v>
      </c>
      <c r="AP555" s="10" t="e">
        <f>(tbl_MTG_Set[[#This Row],[Play Booster Box Cost]]+v_Item_Shipping_Cost_In)/tbl_MTG_Set[[#This Row],[Play Booster Box Size]]</f>
        <v>#VALUE!</v>
      </c>
      <c r="AQ555" s="10" t="str" cm="1">
        <f t="array" ref="AQ5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5" s="10"/>
      <c r="AS555" s="10"/>
      <c r="AT555" s="17" t="e">
        <f>tbl_MTG_Set[[#This Row],[Play Booster CardMarket Profit]]/tbl_MTG_Set[[#This Row],[Play Booster Cost]]</f>
        <v>#VALUE!</v>
      </c>
      <c r="AU555" s="10" t="e">
        <f>_xlfn.XLOOKUP(tbl_MTG_Set[[#This Row],[Collector Booster Box Product Id]], tbl_Product[Product Id], tbl_Product[Min Cost])</f>
        <v>#N/A</v>
      </c>
      <c r="AV555" s="10" t="e">
        <f>_xlfn.XLOOKUP(tbl_MTG_Set[[#This Row],[Collector Booster Box Product Id]], tbl_Product[Product Id], tbl_Product[Best Source])</f>
        <v>#N/A</v>
      </c>
      <c r="AW555" s="4" t="e">
        <f>_xlfn.XLOOKUP(tbl_MTG_Set[[#This Row],[Collector Booster Box Product Id]], tbl_Product[Product Id], tbl_Product[Pack Size])</f>
        <v>#N/A</v>
      </c>
      <c r="AX555" s="10" t="e">
        <f>(tbl_MTG_Set[[#This Row],[Collector Booster Box Cost]] + v_Item_Shipping_Cost_In) / tbl_MTG_Set[[#This Row],[Collector Booster Box Size]]</f>
        <v>#N/A</v>
      </c>
      <c r="AY555" s="10" t="str" cm="1">
        <f t="array" ref="AY5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5" s="10"/>
      <c r="BA5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5" s="17" t="e">
        <f>tbl_MTG_Set[[#This Row],[Collector Booster CardMarket Profit]]/tbl_MTG_Set[[#This Row],[Collector Booster Cost]]</f>
        <v>#N/A</v>
      </c>
      <c r="BC555" s="10"/>
      <c r="BF5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5" s="11" t="e">
        <f>tbl_MTG_Set[[#This Row],[Play Singles CardMarket Profit MTG Stocks]]/tbl_MTG_Set[[#This Row],[Play Booster Cost]]</f>
        <v>#VALUE!</v>
      </c>
      <c r="BI555" s="11" t="b">
        <f>tbl_MTG_Set[[#This Row],[Play Singles CardMarket Profit MTG Stocks]]&gt;0</f>
        <v>0</v>
      </c>
      <c r="BM555" s="10" t="e">
        <f>tbl_MTG_Set[[#This Row],[Play Booster Sell Price CardMarket]]*tbl_MTG_Set[[#This Row],[Play Booster Expected Market Value BotBox]]/tbl_MTG_Set[[#This Row],[Play Booster Sealed Market Value BotBox]]</f>
        <v>#VALUE!</v>
      </c>
      <c r="BN5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5" s="10" t="e">
        <f>tbl_MTG_Set[[#This Row],[Play Singles CardMarket Profit BotBox]]/tbl_MTG_Set[[#This Row],[Play Booster Cost]]</f>
        <v>#VALUE!</v>
      </c>
      <c r="BP555" s="10" t="b">
        <f>tbl_MTG_Set[[#This Row],[Play Singles CardMarket Profit BotBox]]&gt;0</f>
        <v>0</v>
      </c>
      <c r="BQ555" s="10"/>
      <c r="BR555" s="10"/>
      <c r="BS555" s="10"/>
      <c r="BT5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5" s="19" t="e">
        <f>tbl_MTG_Set[[#This Row],[Collector Singles CardMarket Profit MTG Stocks]]/tbl_MTG_Set[[#This Row],[Collector Booster Cost]]</f>
        <v>#N/A</v>
      </c>
      <c r="BW555" s="10" t="b">
        <f>tbl_MTG_Set[[#This Row],[Collector Singles CardMarket Profit MTG Stocks]]&gt;0</f>
        <v>0</v>
      </c>
      <c r="BX555" s="10"/>
      <c r="BY555" s="10"/>
      <c r="BZ5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5" s="10" t="e">
        <f>tbl_MTG_Set[[#This Row],[Collector Singles CardMarket Profit BotBox]]/tbl_MTG_Set[[#This Row],[Collector Booster Cost]]</f>
        <v>#N/A</v>
      </c>
      <c r="CC555" s="10" t="b">
        <f>tbl_MTG_Set[[#This Row],[Collector Singles CardMarket Profit BotBox]]&gt;0</f>
        <v>0</v>
      </c>
      <c r="CD5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6" spans="1:86" hidden="1">
      <c r="A556">
        <v>588</v>
      </c>
      <c r="B556" t="s">
        <v>729</v>
      </c>
      <c r="C556">
        <v>90</v>
      </c>
      <c r="D556" s="3">
        <v>42279</v>
      </c>
      <c r="E556" t="s">
        <v>59</v>
      </c>
      <c r="F556" t="s">
        <v>174</v>
      </c>
      <c r="G556">
        <v>1122</v>
      </c>
      <c r="H556">
        <f ca="1">MONTH(NOW())+12*YEAR(NOW())-MONTH(tbl_MTG_Set[[#This Row],[Released On]])-12*YEAR(tbl_MTG_Set[[#This Row],[Released On]])</f>
        <v>125</v>
      </c>
      <c r="I556">
        <f>_xlfn.XLOOKUP(tbl_MTG_Set[[#This Row],[Type Name]], tbl_MTG_Set_Type[Set Type], tbl_MTG_Set_Type[Index], "(Set Type not found)")</f>
        <v>1</v>
      </c>
      <c r="J556">
        <f>_xlfn.XLOOKUP(tbl_MTG_Set[[#This Row],[Type Name]], tbl_MTG_Set_Type[Set Type], tbl_MTG_Set_Type[Buy Window Month Start], "(Set Type not found)")</f>
        <v>18</v>
      </c>
      <c r="K556" s="3">
        <f>tbl_MTG_Set[[#This Row],[Released On]]+tbl_MTG_Set[[#This Row],[Buy Window Month Start]]*365.25/12</f>
        <v>42826.875</v>
      </c>
      <c r="L556">
        <f>_xlfn.XLOOKUP(tbl_MTG_Set[[#This Row],[Type Name]], tbl_MTG_Set_Type[Set Type], tbl_MTG_Set_Type[Buy Window Month End], "(Set Type not found)", 0, 1)</f>
        <v>24</v>
      </c>
      <c r="M556" s="3">
        <f>tbl_MTG_Set[[#This Row],[Released On]]+tbl_MTG_Set[[#This Row],[Buy Window Month End]]*365.25/12</f>
        <v>43009.5</v>
      </c>
      <c r="N556" s="3" t="b">
        <f ca="1">AND(NOW()&gt;=tbl_MTG_Set[[#This Row],[Buy Window Start]], NOW()&lt;=tbl_MTG_Set[[#This Row],[Buy Window End]])</f>
        <v>0</v>
      </c>
      <c r="O556">
        <f>_xlfn.XLOOKUP(tbl_MTG_Set[[#This Row],[Type Name]], tbl_MTG_Set_Type[Set Type], tbl_MTG_Set_Type[Heavy Printing Window Month Start], "(Set Type not found)", 0, 1)</f>
        <v>1</v>
      </c>
      <c r="P556" s="3">
        <f>tbl_MTG_Set[[#This Row],[Released On]]+tbl_MTG_Set[[#This Row],[Heavy Printing Window Month Start]]*365.25/12</f>
        <v>42309.4375</v>
      </c>
      <c r="Q556">
        <f>_xlfn.XLOOKUP(tbl_MTG_Set[[#This Row],[Type Name]], tbl_MTG_Set_Type[Set Type], tbl_MTG_Set_Type[Heavy Printing Window Month End], "(Set Type not found)", 0, 1)</f>
        <v>18</v>
      </c>
      <c r="R556" s="3">
        <f>tbl_MTG_Set[[#This Row],[Released On]]+tbl_MTG_Set[[#This Row],[Heavy Printing Window Month End]]*365.25/12</f>
        <v>42826.875</v>
      </c>
      <c r="S556" s="3" t="b">
        <f ca="1">AND(NOW()&gt;=tbl_MTG_Set[[#This Row],[Heavy Printing Window Start]], NOW()&lt;=tbl_MTG_Set[[#This Row],[Heavy Printing Window End]])</f>
        <v>0</v>
      </c>
      <c r="T556">
        <f>_xlfn.XLOOKUP(tbl_MTG_Set[[#This Row],[Type Name]], tbl_MTG_Set_Type[Set Type], tbl_MTG_Set_Type[Sell Window Month Start], "(Set Type not found)", 0, 1)</f>
        <v>36</v>
      </c>
      <c r="U556" s="3">
        <f>tbl_MTG_Set[[#This Row],[Released On]]+tbl_MTG_Set[[#This Row],[Sell Window Month Start]]*365.25/12</f>
        <v>43374.75</v>
      </c>
      <c r="V556">
        <f>_xlfn.XLOOKUP(tbl_MTG_Set[[#This Row],[Type Name]], tbl_MTG_Set_Type[Set Type], tbl_MTG_Set_Type[Sell Window Month End], "(Set Type not found)", 0, 1)</f>
        <v>48</v>
      </c>
      <c r="W556" s="3">
        <f>tbl_MTG_Set[[#This Row],[Released On]]+tbl_MTG_Set[[#This Row],[Sell Window Month End]]*365.25/12</f>
        <v>43740</v>
      </c>
      <c r="X556" s="3" t="b">
        <f ca="1">AND(NOW()&gt;=tbl_MTG_Set[[#This Row],[Sell Window Start]], NOW()&lt;=tbl_MTG_Set[[#This Row],[Sell Window End]])</f>
        <v>0</v>
      </c>
      <c r="AG556" s="10"/>
      <c r="AH556" s="10"/>
      <c r="AM556" s="10" t="str" cm="1">
        <f t="array" ref="AM5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6" s="10" t="str" cm="1">
        <f t="array" ref="AN5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6" s="4" t="e">
        <f>_xlfn.XLOOKUP(tbl_MTG_Set[[#This Row],[Play Booster Box Product Id]], tbl_Product[Product Id], tbl_Product[Pack Size])</f>
        <v>#N/A</v>
      </c>
      <c r="AP556" s="10" t="e">
        <f>(tbl_MTG_Set[[#This Row],[Play Booster Box Cost]]+v_Item_Shipping_Cost_In)/tbl_MTG_Set[[#This Row],[Play Booster Box Size]]</f>
        <v>#VALUE!</v>
      </c>
      <c r="AQ556" s="10" t="str" cm="1">
        <f t="array" ref="AQ5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6" s="10"/>
      <c r="AS556" s="10"/>
      <c r="AT556" s="17" t="e">
        <f>tbl_MTG_Set[[#This Row],[Play Booster CardMarket Profit]]/tbl_MTG_Set[[#This Row],[Play Booster Cost]]</f>
        <v>#VALUE!</v>
      </c>
      <c r="AU556" s="10" t="e">
        <f>_xlfn.XLOOKUP(tbl_MTG_Set[[#This Row],[Collector Booster Box Product Id]], tbl_Product[Product Id], tbl_Product[Min Cost])</f>
        <v>#N/A</v>
      </c>
      <c r="AV556" s="10" t="e">
        <f>_xlfn.XLOOKUP(tbl_MTG_Set[[#This Row],[Collector Booster Box Product Id]], tbl_Product[Product Id], tbl_Product[Best Source])</f>
        <v>#N/A</v>
      </c>
      <c r="AW556" s="4" t="e">
        <f>_xlfn.XLOOKUP(tbl_MTG_Set[[#This Row],[Collector Booster Box Product Id]], tbl_Product[Product Id], tbl_Product[Pack Size])</f>
        <v>#N/A</v>
      </c>
      <c r="AX556" s="10" t="e">
        <f>(tbl_MTG_Set[[#This Row],[Collector Booster Box Cost]] + v_Item_Shipping_Cost_In) / tbl_MTG_Set[[#This Row],[Collector Booster Box Size]]</f>
        <v>#N/A</v>
      </c>
      <c r="AY556" s="10" t="str" cm="1">
        <f t="array" ref="AY5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6" s="10"/>
      <c r="BA5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6" s="17" t="e">
        <f>tbl_MTG_Set[[#This Row],[Collector Booster CardMarket Profit]]/tbl_MTG_Set[[#This Row],[Collector Booster Cost]]</f>
        <v>#N/A</v>
      </c>
      <c r="BC556" s="10"/>
      <c r="BF5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6" s="11" t="e">
        <f>tbl_MTG_Set[[#This Row],[Play Singles CardMarket Profit MTG Stocks]]/tbl_MTG_Set[[#This Row],[Play Booster Cost]]</f>
        <v>#VALUE!</v>
      </c>
      <c r="BI556" s="11" t="b">
        <f>tbl_MTG_Set[[#This Row],[Play Singles CardMarket Profit MTG Stocks]]&gt;0</f>
        <v>0</v>
      </c>
      <c r="BM556" s="10" t="e">
        <f>tbl_MTG_Set[[#This Row],[Play Booster Sell Price CardMarket]]*tbl_MTG_Set[[#This Row],[Play Booster Expected Market Value BotBox]]/tbl_MTG_Set[[#This Row],[Play Booster Sealed Market Value BotBox]]</f>
        <v>#VALUE!</v>
      </c>
      <c r="BN5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6" s="10" t="e">
        <f>tbl_MTG_Set[[#This Row],[Play Singles CardMarket Profit BotBox]]/tbl_MTG_Set[[#This Row],[Play Booster Cost]]</f>
        <v>#VALUE!</v>
      </c>
      <c r="BP556" s="10" t="b">
        <f>tbl_MTG_Set[[#This Row],[Play Singles CardMarket Profit BotBox]]&gt;0</f>
        <v>0</v>
      </c>
      <c r="BQ556" s="10"/>
      <c r="BR556" s="10"/>
      <c r="BS556" s="10"/>
      <c r="BT5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6" s="19" t="e">
        <f>tbl_MTG_Set[[#This Row],[Collector Singles CardMarket Profit MTG Stocks]]/tbl_MTG_Set[[#This Row],[Collector Booster Cost]]</f>
        <v>#N/A</v>
      </c>
      <c r="BW556" s="10" t="b">
        <f>tbl_MTG_Set[[#This Row],[Collector Singles CardMarket Profit MTG Stocks]]&gt;0</f>
        <v>0</v>
      </c>
      <c r="BX556" s="10"/>
      <c r="BY556" s="10"/>
      <c r="BZ5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6" s="10" t="e">
        <f>tbl_MTG_Set[[#This Row],[Collector Singles CardMarket Profit BotBox]]/tbl_MTG_Set[[#This Row],[Collector Booster Cost]]</f>
        <v>#N/A</v>
      </c>
      <c r="CC556" s="10" t="b">
        <f>tbl_MTG_Set[[#This Row],[Collector Singles CardMarket Profit BotBox]]&gt;0</f>
        <v>0</v>
      </c>
      <c r="CD5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7" spans="1:86" hidden="1">
      <c r="A557">
        <v>589</v>
      </c>
      <c r="B557" t="s">
        <v>730</v>
      </c>
      <c r="C557">
        <v>14</v>
      </c>
      <c r="D557" s="3">
        <v>42279</v>
      </c>
      <c r="E557" t="s">
        <v>59</v>
      </c>
      <c r="F557" t="s">
        <v>174</v>
      </c>
      <c r="G557">
        <v>1124</v>
      </c>
      <c r="H557">
        <f ca="1">MONTH(NOW())+12*YEAR(NOW())-MONTH(tbl_MTG_Set[[#This Row],[Released On]])-12*YEAR(tbl_MTG_Set[[#This Row],[Released On]])</f>
        <v>125</v>
      </c>
      <c r="I557">
        <f>_xlfn.XLOOKUP(tbl_MTG_Set[[#This Row],[Type Name]], tbl_MTG_Set_Type[Set Type], tbl_MTG_Set_Type[Index], "(Set Type not found)")</f>
        <v>1</v>
      </c>
      <c r="J557">
        <f>_xlfn.XLOOKUP(tbl_MTG_Set[[#This Row],[Type Name]], tbl_MTG_Set_Type[Set Type], tbl_MTG_Set_Type[Buy Window Month Start], "(Set Type not found)")</f>
        <v>18</v>
      </c>
      <c r="K557" s="3">
        <f>tbl_MTG_Set[[#This Row],[Released On]]+tbl_MTG_Set[[#This Row],[Buy Window Month Start]]*365.25/12</f>
        <v>42826.875</v>
      </c>
      <c r="L557">
        <f>_xlfn.XLOOKUP(tbl_MTG_Set[[#This Row],[Type Name]], tbl_MTG_Set_Type[Set Type], tbl_MTG_Set_Type[Buy Window Month End], "(Set Type not found)", 0, 1)</f>
        <v>24</v>
      </c>
      <c r="M557" s="3">
        <f>tbl_MTG_Set[[#This Row],[Released On]]+tbl_MTG_Set[[#This Row],[Buy Window Month End]]*365.25/12</f>
        <v>43009.5</v>
      </c>
      <c r="N557" s="3" t="b">
        <f ca="1">AND(NOW()&gt;=tbl_MTG_Set[[#This Row],[Buy Window Start]], NOW()&lt;=tbl_MTG_Set[[#This Row],[Buy Window End]])</f>
        <v>0</v>
      </c>
      <c r="O557">
        <f>_xlfn.XLOOKUP(tbl_MTG_Set[[#This Row],[Type Name]], tbl_MTG_Set_Type[Set Type], tbl_MTG_Set_Type[Heavy Printing Window Month Start], "(Set Type not found)", 0, 1)</f>
        <v>1</v>
      </c>
      <c r="P557" s="3">
        <f>tbl_MTG_Set[[#This Row],[Released On]]+tbl_MTG_Set[[#This Row],[Heavy Printing Window Month Start]]*365.25/12</f>
        <v>42309.4375</v>
      </c>
      <c r="Q557">
        <f>_xlfn.XLOOKUP(tbl_MTG_Set[[#This Row],[Type Name]], tbl_MTG_Set_Type[Set Type], tbl_MTG_Set_Type[Heavy Printing Window Month End], "(Set Type not found)", 0, 1)</f>
        <v>18</v>
      </c>
      <c r="R557" s="3">
        <f>tbl_MTG_Set[[#This Row],[Released On]]+tbl_MTG_Set[[#This Row],[Heavy Printing Window Month End]]*365.25/12</f>
        <v>42826.875</v>
      </c>
      <c r="S557" s="3" t="b">
        <f ca="1">AND(NOW()&gt;=tbl_MTG_Set[[#This Row],[Heavy Printing Window Start]], NOW()&lt;=tbl_MTG_Set[[#This Row],[Heavy Printing Window End]])</f>
        <v>0</v>
      </c>
      <c r="T557">
        <f>_xlfn.XLOOKUP(tbl_MTG_Set[[#This Row],[Type Name]], tbl_MTG_Set_Type[Set Type], tbl_MTG_Set_Type[Sell Window Month Start], "(Set Type not found)", 0, 1)</f>
        <v>36</v>
      </c>
      <c r="U557" s="3">
        <f>tbl_MTG_Set[[#This Row],[Released On]]+tbl_MTG_Set[[#This Row],[Sell Window Month Start]]*365.25/12</f>
        <v>43374.75</v>
      </c>
      <c r="V557">
        <f>_xlfn.XLOOKUP(tbl_MTG_Set[[#This Row],[Type Name]], tbl_MTG_Set_Type[Set Type], tbl_MTG_Set_Type[Sell Window Month End], "(Set Type not found)", 0, 1)</f>
        <v>48</v>
      </c>
      <c r="W557" s="3">
        <f>tbl_MTG_Set[[#This Row],[Released On]]+tbl_MTG_Set[[#This Row],[Sell Window Month End]]*365.25/12</f>
        <v>43740</v>
      </c>
      <c r="X557" s="3" t="b">
        <f ca="1">AND(NOW()&gt;=tbl_MTG_Set[[#This Row],[Sell Window Start]], NOW()&lt;=tbl_MTG_Set[[#This Row],[Sell Window End]])</f>
        <v>0</v>
      </c>
      <c r="AG557" s="10"/>
      <c r="AH557" s="10"/>
      <c r="AM557" s="10" t="str" cm="1">
        <f t="array" ref="AM5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7" s="10" t="str" cm="1">
        <f t="array" ref="AN5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7" s="4" t="e">
        <f>_xlfn.XLOOKUP(tbl_MTG_Set[[#This Row],[Play Booster Box Product Id]], tbl_Product[Product Id], tbl_Product[Pack Size])</f>
        <v>#N/A</v>
      </c>
      <c r="AP557" s="10" t="e">
        <f>(tbl_MTG_Set[[#This Row],[Play Booster Box Cost]]+v_Item_Shipping_Cost_In)/tbl_MTG_Set[[#This Row],[Play Booster Box Size]]</f>
        <v>#VALUE!</v>
      </c>
      <c r="AQ557" s="10" t="str" cm="1">
        <f t="array" ref="AQ5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7" s="10"/>
      <c r="AS557" s="10"/>
      <c r="AT557" s="17" t="e">
        <f>tbl_MTG_Set[[#This Row],[Play Booster CardMarket Profit]]/tbl_MTG_Set[[#This Row],[Play Booster Cost]]</f>
        <v>#VALUE!</v>
      </c>
      <c r="AU557" s="10" t="e">
        <f>_xlfn.XLOOKUP(tbl_MTG_Set[[#This Row],[Collector Booster Box Product Id]], tbl_Product[Product Id], tbl_Product[Min Cost])</f>
        <v>#N/A</v>
      </c>
      <c r="AV557" s="10" t="e">
        <f>_xlfn.XLOOKUP(tbl_MTG_Set[[#This Row],[Collector Booster Box Product Id]], tbl_Product[Product Id], tbl_Product[Best Source])</f>
        <v>#N/A</v>
      </c>
      <c r="AW557" s="4" t="e">
        <f>_xlfn.XLOOKUP(tbl_MTG_Set[[#This Row],[Collector Booster Box Product Id]], tbl_Product[Product Id], tbl_Product[Pack Size])</f>
        <v>#N/A</v>
      </c>
      <c r="AX557" s="10" t="e">
        <f>(tbl_MTG_Set[[#This Row],[Collector Booster Box Cost]] + v_Item_Shipping_Cost_In) / tbl_MTG_Set[[#This Row],[Collector Booster Box Size]]</f>
        <v>#N/A</v>
      </c>
      <c r="AY557" s="10" t="str" cm="1">
        <f t="array" ref="AY5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7" s="10"/>
      <c r="BA5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7" s="17" t="e">
        <f>tbl_MTG_Set[[#This Row],[Collector Booster CardMarket Profit]]/tbl_MTG_Set[[#This Row],[Collector Booster Cost]]</f>
        <v>#N/A</v>
      </c>
      <c r="BC557" s="10"/>
      <c r="BF5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7" s="11" t="e">
        <f>tbl_MTG_Set[[#This Row],[Play Singles CardMarket Profit MTG Stocks]]/tbl_MTG_Set[[#This Row],[Play Booster Cost]]</f>
        <v>#VALUE!</v>
      </c>
      <c r="BI557" s="11" t="b">
        <f>tbl_MTG_Set[[#This Row],[Play Singles CardMarket Profit MTG Stocks]]&gt;0</f>
        <v>0</v>
      </c>
      <c r="BM557" s="10" t="e">
        <f>tbl_MTG_Set[[#This Row],[Play Booster Sell Price CardMarket]]*tbl_MTG_Set[[#This Row],[Play Booster Expected Market Value BotBox]]/tbl_MTG_Set[[#This Row],[Play Booster Sealed Market Value BotBox]]</f>
        <v>#VALUE!</v>
      </c>
      <c r="BN5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7" s="10" t="e">
        <f>tbl_MTG_Set[[#This Row],[Play Singles CardMarket Profit BotBox]]/tbl_MTG_Set[[#This Row],[Play Booster Cost]]</f>
        <v>#VALUE!</v>
      </c>
      <c r="BP557" s="10" t="b">
        <f>tbl_MTG_Set[[#This Row],[Play Singles CardMarket Profit BotBox]]&gt;0</f>
        <v>0</v>
      </c>
      <c r="BQ557" s="10"/>
      <c r="BR557" s="10"/>
      <c r="BS557" s="10"/>
      <c r="BT5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7" s="19" t="e">
        <f>tbl_MTG_Set[[#This Row],[Collector Singles CardMarket Profit MTG Stocks]]/tbl_MTG_Set[[#This Row],[Collector Booster Cost]]</f>
        <v>#N/A</v>
      </c>
      <c r="BW557" s="10" t="b">
        <f>tbl_MTG_Set[[#This Row],[Collector Singles CardMarket Profit MTG Stocks]]&gt;0</f>
        <v>0</v>
      </c>
      <c r="BX557" s="10"/>
      <c r="BY557" s="10"/>
      <c r="BZ5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7" s="10" t="e">
        <f>tbl_MTG_Set[[#This Row],[Collector Singles CardMarket Profit BotBox]]/tbl_MTG_Set[[#This Row],[Collector Booster Cost]]</f>
        <v>#N/A</v>
      </c>
      <c r="CC557" s="10" t="b">
        <f>tbl_MTG_Set[[#This Row],[Collector Singles CardMarket Profit BotBox]]&gt;0</f>
        <v>0</v>
      </c>
      <c r="CD5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8" spans="1:86" hidden="1">
      <c r="A558">
        <v>590</v>
      </c>
      <c r="B558" t="s">
        <v>731</v>
      </c>
      <c r="C558">
        <v>5</v>
      </c>
      <c r="D558" s="3">
        <v>42279</v>
      </c>
      <c r="F558" t="s">
        <v>174</v>
      </c>
      <c r="G558">
        <v>1126</v>
      </c>
      <c r="H558">
        <f ca="1">MONTH(NOW())+12*YEAR(NOW())-MONTH(tbl_MTG_Set[[#This Row],[Released On]])-12*YEAR(tbl_MTG_Set[[#This Row],[Released On]])</f>
        <v>125</v>
      </c>
      <c r="I558" t="str">
        <f>_xlfn.XLOOKUP(tbl_MTG_Set[[#This Row],[Type Name]], tbl_MTG_Set_Type[Set Type], tbl_MTG_Set_Type[Index], "(Set Type not found)")</f>
        <v>(Set Type not found)</v>
      </c>
      <c r="J558" t="str">
        <f>_xlfn.XLOOKUP(tbl_MTG_Set[[#This Row],[Type Name]], tbl_MTG_Set_Type[Set Type], tbl_MTG_Set_Type[Buy Window Month Start], "(Set Type not found)")</f>
        <v>(Set Type not found)</v>
      </c>
      <c r="K558" s="3" t="e">
        <f>tbl_MTG_Set[[#This Row],[Released On]]+tbl_MTG_Set[[#This Row],[Buy Window Month Start]]*365.25/12</f>
        <v>#VALUE!</v>
      </c>
      <c r="L558" t="str">
        <f>_xlfn.XLOOKUP(tbl_MTG_Set[[#This Row],[Type Name]], tbl_MTG_Set_Type[Set Type], tbl_MTG_Set_Type[Buy Window Month End], "(Set Type not found)", 0, 1)</f>
        <v>(Set Type not found)</v>
      </c>
      <c r="M558" s="3" t="e">
        <f>tbl_MTG_Set[[#This Row],[Released On]]+tbl_MTG_Set[[#This Row],[Buy Window Month End]]*365.25/12</f>
        <v>#VALUE!</v>
      </c>
      <c r="N558" s="3" t="e">
        <f ca="1">AND(NOW()&gt;=tbl_MTG_Set[[#This Row],[Buy Window Start]], NOW()&lt;=tbl_MTG_Set[[#This Row],[Buy Window End]])</f>
        <v>#VALUE!</v>
      </c>
      <c r="O558" t="str">
        <f>_xlfn.XLOOKUP(tbl_MTG_Set[[#This Row],[Type Name]], tbl_MTG_Set_Type[Set Type], tbl_MTG_Set_Type[Heavy Printing Window Month Start], "(Set Type not found)", 0, 1)</f>
        <v>(Set Type not found)</v>
      </c>
      <c r="P558" s="3" t="e">
        <f>tbl_MTG_Set[[#This Row],[Released On]]+tbl_MTG_Set[[#This Row],[Heavy Printing Window Month Start]]*365.25/12</f>
        <v>#VALUE!</v>
      </c>
      <c r="Q558" t="str">
        <f>_xlfn.XLOOKUP(tbl_MTG_Set[[#This Row],[Type Name]], tbl_MTG_Set_Type[Set Type], tbl_MTG_Set_Type[Heavy Printing Window Month End], "(Set Type not found)", 0, 1)</f>
        <v>(Set Type not found)</v>
      </c>
      <c r="R558" s="3" t="e">
        <f>tbl_MTG_Set[[#This Row],[Released On]]+tbl_MTG_Set[[#This Row],[Heavy Printing Window Month End]]*365.25/12</f>
        <v>#VALUE!</v>
      </c>
      <c r="S558" s="3" t="e">
        <f ca="1">AND(NOW()&gt;=tbl_MTG_Set[[#This Row],[Heavy Printing Window Start]], NOW()&lt;=tbl_MTG_Set[[#This Row],[Heavy Printing Window End]])</f>
        <v>#VALUE!</v>
      </c>
      <c r="T558" t="str">
        <f>_xlfn.XLOOKUP(tbl_MTG_Set[[#This Row],[Type Name]], tbl_MTG_Set_Type[Set Type], tbl_MTG_Set_Type[Sell Window Month Start], "(Set Type not found)", 0, 1)</f>
        <v>(Set Type not found)</v>
      </c>
      <c r="U558" s="3" t="e">
        <f>tbl_MTG_Set[[#This Row],[Released On]]+tbl_MTG_Set[[#This Row],[Sell Window Month Start]]*365.25/12</f>
        <v>#VALUE!</v>
      </c>
      <c r="V558" t="str">
        <f>_xlfn.XLOOKUP(tbl_MTG_Set[[#This Row],[Type Name]], tbl_MTG_Set_Type[Set Type], tbl_MTG_Set_Type[Sell Window Month End], "(Set Type not found)", 0, 1)</f>
        <v>(Set Type not found)</v>
      </c>
      <c r="W558" s="3" t="e">
        <f>tbl_MTG_Set[[#This Row],[Released On]]+tbl_MTG_Set[[#This Row],[Sell Window Month End]]*365.25/12</f>
        <v>#VALUE!</v>
      </c>
      <c r="X558" s="3" t="e">
        <f ca="1">AND(NOW()&gt;=tbl_MTG_Set[[#This Row],[Sell Window Start]], NOW()&lt;=tbl_MTG_Set[[#This Row],[Sell Window End]])</f>
        <v>#VALUE!</v>
      </c>
      <c r="AG558" s="10"/>
      <c r="AH558" s="10"/>
      <c r="AM558" s="10" t="str" cm="1">
        <f t="array" ref="AM5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8" s="10" t="str" cm="1">
        <f t="array" ref="AN5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8" s="4" t="e">
        <f>_xlfn.XLOOKUP(tbl_MTG_Set[[#This Row],[Play Booster Box Product Id]], tbl_Product[Product Id], tbl_Product[Pack Size])</f>
        <v>#N/A</v>
      </c>
      <c r="AP558" s="10" t="e">
        <f>(tbl_MTG_Set[[#This Row],[Play Booster Box Cost]]+v_Item_Shipping_Cost_In)/tbl_MTG_Set[[#This Row],[Play Booster Box Size]]</f>
        <v>#VALUE!</v>
      </c>
      <c r="AQ558" s="10" t="str" cm="1">
        <f t="array" ref="AQ5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8" s="10"/>
      <c r="AS558" s="10"/>
      <c r="AT558" s="17" t="e">
        <f>tbl_MTG_Set[[#This Row],[Play Booster CardMarket Profit]]/tbl_MTG_Set[[#This Row],[Play Booster Cost]]</f>
        <v>#VALUE!</v>
      </c>
      <c r="AU558" s="10" t="e">
        <f>_xlfn.XLOOKUP(tbl_MTG_Set[[#This Row],[Collector Booster Box Product Id]], tbl_Product[Product Id], tbl_Product[Min Cost])</f>
        <v>#N/A</v>
      </c>
      <c r="AV558" s="10" t="e">
        <f>_xlfn.XLOOKUP(tbl_MTG_Set[[#This Row],[Collector Booster Box Product Id]], tbl_Product[Product Id], tbl_Product[Best Source])</f>
        <v>#N/A</v>
      </c>
      <c r="AW558" s="4" t="e">
        <f>_xlfn.XLOOKUP(tbl_MTG_Set[[#This Row],[Collector Booster Box Product Id]], tbl_Product[Product Id], tbl_Product[Pack Size])</f>
        <v>#N/A</v>
      </c>
      <c r="AX558" s="10" t="e">
        <f>(tbl_MTG_Set[[#This Row],[Collector Booster Box Cost]] + v_Item_Shipping_Cost_In) / tbl_MTG_Set[[#This Row],[Collector Booster Box Size]]</f>
        <v>#N/A</v>
      </c>
      <c r="AY558" s="10" t="str" cm="1">
        <f t="array" ref="AY5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8" s="10"/>
      <c r="BA5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8" s="17" t="e">
        <f>tbl_MTG_Set[[#This Row],[Collector Booster CardMarket Profit]]/tbl_MTG_Set[[#This Row],[Collector Booster Cost]]</f>
        <v>#N/A</v>
      </c>
      <c r="BC558" s="10"/>
      <c r="BF5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8" s="11" t="e">
        <f>tbl_MTG_Set[[#This Row],[Play Singles CardMarket Profit MTG Stocks]]/tbl_MTG_Set[[#This Row],[Play Booster Cost]]</f>
        <v>#VALUE!</v>
      </c>
      <c r="BI558" s="11" t="b">
        <f>tbl_MTG_Set[[#This Row],[Play Singles CardMarket Profit MTG Stocks]]&gt;0</f>
        <v>0</v>
      </c>
      <c r="BM558" s="10" t="e">
        <f>tbl_MTG_Set[[#This Row],[Play Booster Sell Price CardMarket]]*tbl_MTG_Set[[#This Row],[Play Booster Expected Market Value BotBox]]/tbl_MTG_Set[[#This Row],[Play Booster Sealed Market Value BotBox]]</f>
        <v>#VALUE!</v>
      </c>
      <c r="BN5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8" s="10" t="e">
        <f>tbl_MTG_Set[[#This Row],[Play Singles CardMarket Profit BotBox]]/tbl_MTG_Set[[#This Row],[Play Booster Cost]]</f>
        <v>#VALUE!</v>
      </c>
      <c r="BP558" s="10" t="b">
        <f>tbl_MTG_Set[[#This Row],[Play Singles CardMarket Profit BotBox]]&gt;0</f>
        <v>0</v>
      </c>
      <c r="BQ558" s="10"/>
      <c r="BR558" s="10"/>
      <c r="BS558" s="10"/>
      <c r="BT5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8" s="19" t="e">
        <f>tbl_MTG_Set[[#This Row],[Collector Singles CardMarket Profit MTG Stocks]]/tbl_MTG_Set[[#This Row],[Collector Booster Cost]]</f>
        <v>#N/A</v>
      </c>
      <c r="BW558" s="10" t="b">
        <f>tbl_MTG_Set[[#This Row],[Collector Singles CardMarket Profit MTG Stocks]]&gt;0</f>
        <v>0</v>
      </c>
      <c r="BX558" s="10"/>
      <c r="BY558" s="10"/>
      <c r="BZ5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8" s="10" t="e">
        <f>tbl_MTG_Set[[#This Row],[Collector Singles CardMarket Profit BotBox]]/tbl_MTG_Set[[#This Row],[Collector Booster Cost]]</f>
        <v>#N/A</v>
      </c>
      <c r="CC558" s="10" t="b">
        <f>tbl_MTG_Set[[#This Row],[Collector Singles CardMarket Profit BotBox]]&gt;0</f>
        <v>0</v>
      </c>
      <c r="CD5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59" spans="1:86" hidden="1">
      <c r="A559">
        <v>591</v>
      </c>
      <c r="B559" t="s">
        <v>732</v>
      </c>
      <c r="C559">
        <v>80</v>
      </c>
      <c r="D559" s="3">
        <v>42244</v>
      </c>
      <c r="F559" t="s">
        <v>174</v>
      </c>
      <c r="G559">
        <v>1128</v>
      </c>
      <c r="H559">
        <f ca="1">MONTH(NOW())+12*YEAR(NOW())-MONTH(tbl_MTG_Set[[#This Row],[Released On]])-12*YEAR(tbl_MTG_Set[[#This Row],[Released On]])</f>
        <v>127</v>
      </c>
      <c r="I559" t="str">
        <f>_xlfn.XLOOKUP(tbl_MTG_Set[[#This Row],[Type Name]], tbl_MTG_Set_Type[Set Type], tbl_MTG_Set_Type[Index], "(Set Type not found)")</f>
        <v>(Set Type not found)</v>
      </c>
      <c r="J559" t="str">
        <f>_xlfn.XLOOKUP(tbl_MTG_Set[[#This Row],[Type Name]], tbl_MTG_Set_Type[Set Type], tbl_MTG_Set_Type[Buy Window Month Start], "(Set Type not found)")</f>
        <v>(Set Type not found)</v>
      </c>
      <c r="K559" s="3" t="e">
        <f>tbl_MTG_Set[[#This Row],[Released On]]+tbl_MTG_Set[[#This Row],[Buy Window Month Start]]*365.25/12</f>
        <v>#VALUE!</v>
      </c>
      <c r="L559" t="str">
        <f>_xlfn.XLOOKUP(tbl_MTG_Set[[#This Row],[Type Name]], tbl_MTG_Set_Type[Set Type], tbl_MTG_Set_Type[Buy Window Month End], "(Set Type not found)", 0, 1)</f>
        <v>(Set Type not found)</v>
      </c>
      <c r="M559" s="3" t="e">
        <f>tbl_MTG_Set[[#This Row],[Released On]]+tbl_MTG_Set[[#This Row],[Buy Window Month End]]*365.25/12</f>
        <v>#VALUE!</v>
      </c>
      <c r="N559" s="3" t="e">
        <f ca="1">AND(NOW()&gt;=tbl_MTG_Set[[#This Row],[Buy Window Start]], NOW()&lt;=tbl_MTG_Set[[#This Row],[Buy Window End]])</f>
        <v>#VALUE!</v>
      </c>
      <c r="O559" t="str">
        <f>_xlfn.XLOOKUP(tbl_MTG_Set[[#This Row],[Type Name]], tbl_MTG_Set_Type[Set Type], tbl_MTG_Set_Type[Heavy Printing Window Month Start], "(Set Type not found)", 0, 1)</f>
        <v>(Set Type not found)</v>
      </c>
      <c r="P559" s="3" t="e">
        <f>tbl_MTG_Set[[#This Row],[Released On]]+tbl_MTG_Set[[#This Row],[Heavy Printing Window Month Start]]*365.25/12</f>
        <v>#VALUE!</v>
      </c>
      <c r="Q559" t="str">
        <f>_xlfn.XLOOKUP(tbl_MTG_Set[[#This Row],[Type Name]], tbl_MTG_Set_Type[Set Type], tbl_MTG_Set_Type[Heavy Printing Window Month End], "(Set Type not found)", 0, 1)</f>
        <v>(Set Type not found)</v>
      </c>
      <c r="R559" s="3" t="e">
        <f>tbl_MTG_Set[[#This Row],[Released On]]+tbl_MTG_Set[[#This Row],[Heavy Printing Window Month End]]*365.25/12</f>
        <v>#VALUE!</v>
      </c>
      <c r="S559" s="3" t="e">
        <f ca="1">AND(NOW()&gt;=tbl_MTG_Set[[#This Row],[Heavy Printing Window Start]], NOW()&lt;=tbl_MTG_Set[[#This Row],[Heavy Printing Window End]])</f>
        <v>#VALUE!</v>
      </c>
      <c r="T559" t="str">
        <f>_xlfn.XLOOKUP(tbl_MTG_Set[[#This Row],[Type Name]], tbl_MTG_Set_Type[Set Type], tbl_MTG_Set_Type[Sell Window Month Start], "(Set Type not found)", 0, 1)</f>
        <v>(Set Type not found)</v>
      </c>
      <c r="U559" s="3" t="e">
        <f>tbl_MTG_Set[[#This Row],[Released On]]+tbl_MTG_Set[[#This Row],[Sell Window Month Start]]*365.25/12</f>
        <v>#VALUE!</v>
      </c>
      <c r="V559" t="str">
        <f>_xlfn.XLOOKUP(tbl_MTG_Set[[#This Row],[Type Name]], tbl_MTG_Set_Type[Set Type], tbl_MTG_Set_Type[Sell Window Month End], "(Set Type not found)", 0, 1)</f>
        <v>(Set Type not found)</v>
      </c>
      <c r="W559" s="3" t="e">
        <f>tbl_MTG_Set[[#This Row],[Released On]]+tbl_MTG_Set[[#This Row],[Sell Window Month End]]*365.25/12</f>
        <v>#VALUE!</v>
      </c>
      <c r="X559" s="3" t="e">
        <f ca="1">AND(NOW()&gt;=tbl_MTG_Set[[#This Row],[Sell Window Start]], NOW()&lt;=tbl_MTG_Set[[#This Row],[Sell Window End]])</f>
        <v>#VALUE!</v>
      </c>
      <c r="AG559" s="10"/>
      <c r="AH559" s="10"/>
      <c r="AM559" s="10" t="str" cm="1">
        <f t="array" ref="AM5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59" s="10" t="str" cm="1">
        <f t="array" ref="AN5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59" s="4" t="e">
        <f>_xlfn.XLOOKUP(tbl_MTG_Set[[#This Row],[Play Booster Box Product Id]], tbl_Product[Product Id], tbl_Product[Pack Size])</f>
        <v>#N/A</v>
      </c>
      <c r="AP559" s="10" t="e">
        <f>(tbl_MTG_Set[[#This Row],[Play Booster Box Cost]]+v_Item_Shipping_Cost_In)/tbl_MTG_Set[[#This Row],[Play Booster Box Size]]</f>
        <v>#VALUE!</v>
      </c>
      <c r="AQ559" s="10" t="str" cm="1">
        <f t="array" ref="AQ5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59" s="10"/>
      <c r="AS559" s="10"/>
      <c r="AT559" s="17" t="e">
        <f>tbl_MTG_Set[[#This Row],[Play Booster CardMarket Profit]]/tbl_MTG_Set[[#This Row],[Play Booster Cost]]</f>
        <v>#VALUE!</v>
      </c>
      <c r="AU559" s="10" t="e">
        <f>_xlfn.XLOOKUP(tbl_MTG_Set[[#This Row],[Collector Booster Box Product Id]], tbl_Product[Product Id], tbl_Product[Min Cost])</f>
        <v>#N/A</v>
      </c>
      <c r="AV559" s="10" t="e">
        <f>_xlfn.XLOOKUP(tbl_MTG_Set[[#This Row],[Collector Booster Box Product Id]], tbl_Product[Product Id], tbl_Product[Best Source])</f>
        <v>#N/A</v>
      </c>
      <c r="AW559" s="4" t="e">
        <f>_xlfn.XLOOKUP(tbl_MTG_Set[[#This Row],[Collector Booster Box Product Id]], tbl_Product[Product Id], tbl_Product[Pack Size])</f>
        <v>#N/A</v>
      </c>
      <c r="AX559" s="10" t="e">
        <f>(tbl_MTG_Set[[#This Row],[Collector Booster Box Cost]] + v_Item_Shipping_Cost_In) / tbl_MTG_Set[[#This Row],[Collector Booster Box Size]]</f>
        <v>#N/A</v>
      </c>
      <c r="AY559" s="10" t="str" cm="1">
        <f t="array" ref="AY5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59" s="10"/>
      <c r="BA5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59" s="17" t="e">
        <f>tbl_MTG_Set[[#This Row],[Collector Booster CardMarket Profit]]/tbl_MTG_Set[[#This Row],[Collector Booster Cost]]</f>
        <v>#N/A</v>
      </c>
      <c r="BC559" s="10"/>
      <c r="BF5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59" s="11" t="e">
        <f>tbl_MTG_Set[[#This Row],[Play Singles CardMarket Profit MTG Stocks]]/tbl_MTG_Set[[#This Row],[Play Booster Cost]]</f>
        <v>#VALUE!</v>
      </c>
      <c r="BI559" s="11" t="b">
        <f>tbl_MTG_Set[[#This Row],[Play Singles CardMarket Profit MTG Stocks]]&gt;0</f>
        <v>0</v>
      </c>
      <c r="BM559" s="10" t="e">
        <f>tbl_MTG_Set[[#This Row],[Play Booster Sell Price CardMarket]]*tbl_MTG_Set[[#This Row],[Play Booster Expected Market Value BotBox]]/tbl_MTG_Set[[#This Row],[Play Booster Sealed Market Value BotBox]]</f>
        <v>#VALUE!</v>
      </c>
      <c r="BN5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59" s="10" t="e">
        <f>tbl_MTG_Set[[#This Row],[Play Singles CardMarket Profit BotBox]]/tbl_MTG_Set[[#This Row],[Play Booster Cost]]</f>
        <v>#VALUE!</v>
      </c>
      <c r="BP559" s="10" t="b">
        <f>tbl_MTG_Set[[#This Row],[Play Singles CardMarket Profit BotBox]]&gt;0</f>
        <v>0</v>
      </c>
      <c r="BQ559" s="10"/>
      <c r="BR559" s="10"/>
      <c r="BS559" s="10"/>
      <c r="BT5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59" s="19" t="e">
        <f>tbl_MTG_Set[[#This Row],[Collector Singles CardMarket Profit MTG Stocks]]/tbl_MTG_Set[[#This Row],[Collector Booster Cost]]</f>
        <v>#N/A</v>
      </c>
      <c r="BW559" s="10" t="b">
        <f>tbl_MTG_Set[[#This Row],[Collector Singles CardMarket Profit MTG Stocks]]&gt;0</f>
        <v>0</v>
      </c>
      <c r="BX559" s="10"/>
      <c r="BY559" s="10"/>
      <c r="BZ5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59" s="10" t="e">
        <f>tbl_MTG_Set[[#This Row],[Collector Singles CardMarket Profit BotBox]]/tbl_MTG_Set[[#This Row],[Collector Booster Cost]]</f>
        <v>#N/A</v>
      </c>
      <c r="CC559" s="10" t="b">
        <f>tbl_MTG_Set[[#This Row],[Collector Singles CardMarket Profit BotBox]]&gt;0</f>
        <v>0</v>
      </c>
      <c r="CD5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0" spans="1:86" hidden="1">
      <c r="A560">
        <v>592</v>
      </c>
      <c r="B560" t="s">
        <v>733</v>
      </c>
      <c r="C560">
        <v>15</v>
      </c>
      <c r="D560" s="3">
        <v>42237</v>
      </c>
      <c r="F560" t="s">
        <v>174</v>
      </c>
      <c r="G560">
        <v>1130</v>
      </c>
      <c r="H560">
        <f ca="1">MONTH(NOW())+12*YEAR(NOW())-MONTH(tbl_MTG_Set[[#This Row],[Released On]])-12*YEAR(tbl_MTG_Set[[#This Row],[Released On]])</f>
        <v>127</v>
      </c>
      <c r="I560" t="str">
        <f>_xlfn.XLOOKUP(tbl_MTG_Set[[#This Row],[Type Name]], tbl_MTG_Set_Type[Set Type], tbl_MTG_Set_Type[Index], "(Set Type not found)")</f>
        <v>(Set Type not found)</v>
      </c>
      <c r="J560" t="str">
        <f>_xlfn.XLOOKUP(tbl_MTG_Set[[#This Row],[Type Name]], tbl_MTG_Set_Type[Set Type], tbl_MTG_Set_Type[Buy Window Month Start], "(Set Type not found)")</f>
        <v>(Set Type not found)</v>
      </c>
      <c r="K560" s="3" t="e">
        <f>tbl_MTG_Set[[#This Row],[Released On]]+tbl_MTG_Set[[#This Row],[Buy Window Month Start]]*365.25/12</f>
        <v>#VALUE!</v>
      </c>
      <c r="L560" t="str">
        <f>_xlfn.XLOOKUP(tbl_MTG_Set[[#This Row],[Type Name]], tbl_MTG_Set_Type[Set Type], tbl_MTG_Set_Type[Buy Window Month End], "(Set Type not found)", 0, 1)</f>
        <v>(Set Type not found)</v>
      </c>
      <c r="M560" s="3" t="e">
        <f>tbl_MTG_Set[[#This Row],[Released On]]+tbl_MTG_Set[[#This Row],[Buy Window Month End]]*365.25/12</f>
        <v>#VALUE!</v>
      </c>
      <c r="N560" s="3" t="e">
        <f ca="1">AND(NOW()&gt;=tbl_MTG_Set[[#This Row],[Buy Window Start]], NOW()&lt;=tbl_MTG_Set[[#This Row],[Buy Window End]])</f>
        <v>#VALUE!</v>
      </c>
      <c r="O560" t="str">
        <f>_xlfn.XLOOKUP(tbl_MTG_Set[[#This Row],[Type Name]], tbl_MTG_Set_Type[Set Type], tbl_MTG_Set_Type[Heavy Printing Window Month Start], "(Set Type not found)", 0, 1)</f>
        <v>(Set Type not found)</v>
      </c>
      <c r="P560" s="3" t="e">
        <f>tbl_MTG_Set[[#This Row],[Released On]]+tbl_MTG_Set[[#This Row],[Heavy Printing Window Month Start]]*365.25/12</f>
        <v>#VALUE!</v>
      </c>
      <c r="Q560" t="str">
        <f>_xlfn.XLOOKUP(tbl_MTG_Set[[#This Row],[Type Name]], tbl_MTG_Set_Type[Set Type], tbl_MTG_Set_Type[Heavy Printing Window Month End], "(Set Type not found)", 0, 1)</f>
        <v>(Set Type not found)</v>
      </c>
      <c r="R560" s="3" t="e">
        <f>tbl_MTG_Set[[#This Row],[Released On]]+tbl_MTG_Set[[#This Row],[Heavy Printing Window Month End]]*365.25/12</f>
        <v>#VALUE!</v>
      </c>
      <c r="S560" s="3" t="e">
        <f ca="1">AND(NOW()&gt;=tbl_MTG_Set[[#This Row],[Heavy Printing Window Start]], NOW()&lt;=tbl_MTG_Set[[#This Row],[Heavy Printing Window End]])</f>
        <v>#VALUE!</v>
      </c>
      <c r="T560" t="str">
        <f>_xlfn.XLOOKUP(tbl_MTG_Set[[#This Row],[Type Name]], tbl_MTG_Set_Type[Set Type], tbl_MTG_Set_Type[Sell Window Month Start], "(Set Type not found)", 0, 1)</f>
        <v>(Set Type not found)</v>
      </c>
      <c r="U560" s="3" t="e">
        <f>tbl_MTG_Set[[#This Row],[Released On]]+tbl_MTG_Set[[#This Row],[Sell Window Month Start]]*365.25/12</f>
        <v>#VALUE!</v>
      </c>
      <c r="V560" t="str">
        <f>_xlfn.XLOOKUP(tbl_MTG_Set[[#This Row],[Type Name]], tbl_MTG_Set_Type[Set Type], tbl_MTG_Set_Type[Sell Window Month End], "(Set Type not found)", 0, 1)</f>
        <v>(Set Type not found)</v>
      </c>
      <c r="W560" s="3" t="e">
        <f>tbl_MTG_Set[[#This Row],[Released On]]+tbl_MTG_Set[[#This Row],[Sell Window Month End]]*365.25/12</f>
        <v>#VALUE!</v>
      </c>
      <c r="X560" s="3" t="e">
        <f ca="1">AND(NOW()&gt;=tbl_MTG_Set[[#This Row],[Sell Window Start]], NOW()&lt;=tbl_MTG_Set[[#This Row],[Sell Window End]])</f>
        <v>#VALUE!</v>
      </c>
      <c r="AG560" s="10"/>
      <c r="AH560" s="10"/>
      <c r="AM560" s="10" t="str" cm="1">
        <f t="array" ref="AM5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0" s="10" t="str" cm="1">
        <f t="array" ref="AN5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0" s="4" t="e">
        <f>_xlfn.XLOOKUP(tbl_MTG_Set[[#This Row],[Play Booster Box Product Id]], tbl_Product[Product Id], tbl_Product[Pack Size])</f>
        <v>#N/A</v>
      </c>
      <c r="AP560" s="10" t="e">
        <f>(tbl_MTG_Set[[#This Row],[Play Booster Box Cost]]+v_Item_Shipping_Cost_In)/tbl_MTG_Set[[#This Row],[Play Booster Box Size]]</f>
        <v>#VALUE!</v>
      </c>
      <c r="AQ560" s="10" t="str" cm="1">
        <f t="array" ref="AQ5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0" s="10"/>
      <c r="AS560" s="10"/>
      <c r="AT560" s="17" t="e">
        <f>tbl_MTG_Set[[#This Row],[Play Booster CardMarket Profit]]/tbl_MTG_Set[[#This Row],[Play Booster Cost]]</f>
        <v>#VALUE!</v>
      </c>
      <c r="AU560" s="10" t="e">
        <f>_xlfn.XLOOKUP(tbl_MTG_Set[[#This Row],[Collector Booster Box Product Id]], tbl_Product[Product Id], tbl_Product[Min Cost])</f>
        <v>#N/A</v>
      </c>
      <c r="AV560" s="10" t="e">
        <f>_xlfn.XLOOKUP(tbl_MTG_Set[[#This Row],[Collector Booster Box Product Id]], tbl_Product[Product Id], tbl_Product[Best Source])</f>
        <v>#N/A</v>
      </c>
      <c r="AW560" s="4" t="e">
        <f>_xlfn.XLOOKUP(tbl_MTG_Set[[#This Row],[Collector Booster Box Product Id]], tbl_Product[Product Id], tbl_Product[Pack Size])</f>
        <v>#N/A</v>
      </c>
      <c r="AX560" s="10" t="e">
        <f>(tbl_MTG_Set[[#This Row],[Collector Booster Box Cost]] + v_Item_Shipping_Cost_In) / tbl_MTG_Set[[#This Row],[Collector Booster Box Size]]</f>
        <v>#N/A</v>
      </c>
      <c r="AY560" s="10" t="str" cm="1">
        <f t="array" ref="AY5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0" s="10"/>
      <c r="BA5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0" s="17" t="e">
        <f>tbl_MTG_Set[[#This Row],[Collector Booster CardMarket Profit]]/tbl_MTG_Set[[#This Row],[Collector Booster Cost]]</f>
        <v>#N/A</v>
      </c>
      <c r="BC560" s="10"/>
      <c r="BF5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0" s="11" t="e">
        <f>tbl_MTG_Set[[#This Row],[Play Singles CardMarket Profit MTG Stocks]]/tbl_MTG_Set[[#This Row],[Play Booster Cost]]</f>
        <v>#VALUE!</v>
      </c>
      <c r="BI560" s="11" t="b">
        <f>tbl_MTG_Set[[#This Row],[Play Singles CardMarket Profit MTG Stocks]]&gt;0</f>
        <v>0</v>
      </c>
      <c r="BM560" s="10" t="e">
        <f>tbl_MTG_Set[[#This Row],[Play Booster Sell Price CardMarket]]*tbl_MTG_Set[[#This Row],[Play Booster Expected Market Value BotBox]]/tbl_MTG_Set[[#This Row],[Play Booster Sealed Market Value BotBox]]</f>
        <v>#VALUE!</v>
      </c>
      <c r="BN5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0" s="10" t="e">
        <f>tbl_MTG_Set[[#This Row],[Play Singles CardMarket Profit BotBox]]/tbl_MTG_Set[[#This Row],[Play Booster Cost]]</f>
        <v>#VALUE!</v>
      </c>
      <c r="BP560" s="10" t="b">
        <f>tbl_MTG_Set[[#This Row],[Play Singles CardMarket Profit BotBox]]&gt;0</f>
        <v>0</v>
      </c>
      <c r="BQ560" s="10"/>
      <c r="BR560" s="10"/>
      <c r="BS560" s="10"/>
      <c r="BT5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0" s="19" t="e">
        <f>tbl_MTG_Set[[#This Row],[Collector Singles CardMarket Profit MTG Stocks]]/tbl_MTG_Set[[#This Row],[Collector Booster Cost]]</f>
        <v>#N/A</v>
      </c>
      <c r="BW560" s="10" t="b">
        <f>tbl_MTG_Set[[#This Row],[Collector Singles CardMarket Profit MTG Stocks]]&gt;0</f>
        <v>0</v>
      </c>
      <c r="BX560" s="10"/>
      <c r="BY560" s="10"/>
      <c r="BZ5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0" s="10" t="e">
        <f>tbl_MTG_Set[[#This Row],[Collector Singles CardMarket Profit BotBox]]/tbl_MTG_Set[[#This Row],[Collector Booster Cost]]</f>
        <v>#N/A</v>
      </c>
      <c r="CC560" s="10" t="b">
        <f>tbl_MTG_Set[[#This Row],[Collector Singles CardMarket Profit BotBox]]&gt;0</f>
        <v>0</v>
      </c>
      <c r="CD5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1" spans="1:86" hidden="1">
      <c r="A561">
        <v>593</v>
      </c>
      <c r="B561" t="s">
        <v>734</v>
      </c>
      <c r="C561">
        <v>288</v>
      </c>
      <c r="D561" s="3">
        <v>42202</v>
      </c>
      <c r="F561" t="s">
        <v>174</v>
      </c>
      <c r="G561">
        <v>1132</v>
      </c>
      <c r="H561">
        <f ca="1">MONTH(NOW())+12*YEAR(NOW())-MONTH(tbl_MTG_Set[[#This Row],[Released On]])-12*YEAR(tbl_MTG_Set[[#This Row],[Released On]])</f>
        <v>128</v>
      </c>
      <c r="I561" t="str">
        <f>_xlfn.XLOOKUP(tbl_MTG_Set[[#This Row],[Type Name]], tbl_MTG_Set_Type[Set Type], tbl_MTG_Set_Type[Index], "(Set Type not found)")</f>
        <v>(Set Type not found)</v>
      </c>
      <c r="J561" t="str">
        <f>_xlfn.XLOOKUP(tbl_MTG_Set[[#This Row],[Type Name]], tbl_MTG_Set_Type[Set Type], tbl_MTG_Set_Type[Buy Window Month Start], "(Set Type not found)")</f>
        <v>(Set Type not found)</v>
      </c>
      <c r="K561" s="3" t="e">
        <f>tbl_MTG_Set[[#This Row],[Released On]]+tbl_MTG_Set[[#This Row],[Buy Window Month Start]]*365.25/12</f>
        <v>#VALUE!</v>
      </c>
      <c r="L561" t="str">
        <f>_xlfn.XLOOKUP(tbl_MTG_Set[[#This Row],[Type Name]], tbl_MTG_Set_Type[Set Type], tbl_MTG_Set_Type[Buy Window Month End], "(Set Type not found)", 0, 1)</f>
        <v>(Set Type not found)</v>
      </c>
      <c r="M561" s="3" t="e">
        <f>tbl_MTG_Set[[#This Row],[Released On]]+tbl_MTG_Set[[#This Row],[Buy Window Month End]]*365.25/12</f>
        <v>#VALUE!</v>
      </c>
      <c r="N561" s="3" t="e">
        <f ca="1">AND(NOW()&gt;=tbl_MTG_Set[[#This Row],[Buy Window Start]], NOW()&lt;=tbl_MTG_Set[[#This Row],[Buy Window End]])</f>
        <v>#VALUE!</v>
      </c>
      <c r="O561" t="str">
        <f>_xlfn.XLOOKUP(tbl_MTG_Set[[#This Row],[Type Name]], tbl_MTG_Set_Type[Set Type], tbl_MTG_Set_Type[Heavy Printing Window Month Start], "(Set Type not found)", 0, 1)</f>
        <v>(Set Type not found)</v>
      </c>
      <c r="P561" s="3" t="e">
        <f>tbl_MTG_Set[[#This Row],[Released On]]+tbl_MTG_Set[[#This Row],[Heavy Printing Window Month Start]]*365.25/12</f>
        <v>#VALUE!</v>
      </c>
      <c r="Q561" t="str">
        <f>_xlfn.XLOOKUP(tbl_MTG_Set[[#This Row],[Type Name]], tbl_MTG_Set_Type[Set Type], tbl_MTG_Set_Type[Heavy Printing Window Month End], "(Set Type not found)", 0, 1)</f>
        <v>(Set Type not found)</v>
      </c>
      <c r="R561" s="3" t="e">
        <f>tbl_MTG_Set[[#This Row],[Released On]]+tbl_MTG_Set[[#This Row],[Heavy Printing Window Month End]]*365.25/12</f>
        <v>#VALUE!</v>
      </c>
      <c r="S561" s="3" t="e">
        <f ca="1">AND(NOW()&gt;=tbl_MTG_Set[[#This Row],[Heavy Printing Window Start]], NOW()&lt;=tbl_MTG_Set[[#This Row],[Heavy Printing Window End]])</f>
        <v>#VALUE!</v>
      </c>
      <c r="T561" t="str">
        <f>_xlfn.XLOOKUP(tbl_MTG_Set[[#This Row],[Type Name]], tbl_MTG_Set_Type[Set Type], tbl_MTG_Set_Type[Sell Window Month Start], "(Set Type not found)", 0, 1)</f>
        <v>(Set Type not found)</v>
      </c>
      <c r="U561" s="3" t="e">
        <f>tbl_MTG_Set[[#This Row],[Released On]]+tbl_MTG_Set[[#This Row],[Sell Window Month Start]]*365.25/12</f>
        <v>#VALUE!</v>
      </c>
      <c r="V561" t="str">
        <f>_xlfn.XLOOKUP(tbl_MTG_Set[[#This Row],[Type Name]], tbl_MTG_Set_Type[Set Type], tbl_MTG_Set_Type[Sell Window Month End], "(Set Type not found)", 0, 1)</f>
        <v>(Set Type not found)</v>
      </c>
      <c r="W561" s="3" t="e">
        <f>tbl_MTG_Set[[#This Row],[Released On]]+tbl_MTG_Set[[#This Row],[Sell Window Month End]]*365.25/12</f>
        <v>#VALUE!</v>
      </c>
      <c r="X561" s="3" t="e">
        <f ca="1">AND(NOW()&gt;=tbl_MTG_Set[[#This Row],[Sell Window Start]], NOW()&lt;=tbl_MTG_Set[[#This Row],[Sell Window End]])</f>
        <v>#VALUE!</v>
      </c>
      <c r="AG561" s="10"/>
      <c r="AH561" s="10"/>
      <c r="AM561" s="10" t="str" cm="1">
        <f t="array" ref="AM5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1" s="10" t="str" cm="1">
        <f t="array" ref="AN5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1" s="4" t="e">
        <f>_xlfn.XLOOKUP(tbl_MTG_Set[[#This Row],[Play Booster Box Product Id]], tbl_Product[Product Id], tbl_Product[Pack Size])</f>
        <v>#N/A</v>
      </c>
      <c r="AP561" s="10" t="e">
        <f>(tbl_MTG_Set[[#This Row],[Play Booster Box Cost]]+v_Item_Shipping_Cost_In)/tbl_MTG_Set[[#This Row],[Play Booster Box Size]]</f>
        <v>#VALUE!</v>
      </c>
      <c r="AQ561" s="10" t="str" cm="1">
        <f t="array" ref="AQ5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1" s="10"/>
      <c r="AS561" s="10"/>
      <c r="AT561" s="17" t="e">
        <f>tbl_MTG_Set[[#This Row],[Play Booster CardMarket Profit]]/tbl_MTG_Set[[#This Row],[Play Booster Cost]]</f>
        <v>#VALUE!</v>
      </c>
      <c r="AU561" s="10" t="e">
        <f>_xlfn.XLOOKUP(tbl_MTG_Set[[#This Row],[Collector Booster Box Product Id]], tbl_Product[Product Id], tbl_Product[Min Cost])</f>
        <v>#N/A</v>
      </c>
      <c r="AV561" s="10" t="e">
        <f>_xlfn.XLOOKUP(tbl_MTG_Set[[#This Row],[Collector Booster Box Product Id]], tbl_Product[Product Id], tbl_Product[Best Source])</f>
        <v>#N/A</v>
      </c>
      <c r="AW561" s="4" t="e">
        <f>_xlfn.XLOOKUP(tbl_MTG_Set[[#This Row],[Collector Booster Box Product Id]], tbl_Product[Product Id], tbl_Product[Pack Size])</f>
        <v>#N/A</v>
      </c>
      <c r="AX561" s="10" t="e">
        <f>(tbl_MTG_Set[[#This Row],[Collector Booster Box Cost]] + v_Item_Shipping_Cost_In) / tbl_MTG_Set[[#This Row],[Collector Booster Box Size]]</f>
        <v>#N/A</v>
      </c>
      <c r="AY561" s="10" t="str" cm="1">
        <f t="array" ref="AY5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1" s="10"/>
      <c r="BA5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1" s="17" t="e">
        <f>tbl_MTG_Set[[#This Row],[Collector Booster CardMarket Profit]]/tbl_MTG_Set[[#This Row],[Collector Booster Cost]]</f>
        <v>#N/A</v>
      </c>
      <c r="BC561" s="10"/>
      <c r="BF5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1" s="11" t="e">
        <f>tbl_MTG_Set[[#This Row],[Play Singles CardMarket Profit MTG Stocks]]/tbl_MTG_Set[[#This Row],[Play Booster Cost]]</f>
        <v>#VALUE!</v>
      </c>
      <c r="BI561" s="11" t="b">
        <f>tbl_MTG_Set[[#This Row],[Play Singles CardMarket Profit MTG Stocks]]&gt;0</f>
        <v>0</v>
      </c>
      <c r="BM561" s="10" t="e">
        <f>tbl_MTG_Set[[#This Row],[Play Booster Sell Price CardMarket]]*tbl_MTG_Set[[#This Row],[Play Booster Expected Market Value BotBox]]/tbl_MTG_Set[[#This Row],[Play Booster Sealed Market Value BotBox]]</f>
        <v>#VALUE!</v>
      </c>
      <c r="BN5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1" s="10" t="e">
        <f>tbl_MTG_Set[[#This Row],[Play Singles CardMarket Profit BotBox]]/tbl_MTG_Set[[#This Row],[Play Booster Cost]]</f>
        <v>#VALUE!</v>
      </c>
      <c r="BP561" s="10" t="b">
        <f>tbl_MTG_Set[[#This Row],[Play Singles CardMarket Profit BotBox]]&gt;0</f>
        <v>0</v>
      </c>
      <c r="BQ561" s="10"/>
      <c r="BR561" s="10"/>
      <c r="BS561" s="10"/>
      <c r="BT5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1" s="19" t="e">
        <f>tbl_MTG_Set[[#This Row],[Collector Singles CardMarket Profit MTG Stocks]]/tbl_MTG_Set[[#This Row],[Collector Booster Cost]]</f>
        <v>#N/A</v>
      </c>
      <c r="BW561" s="10" t="b">
        <f>tbl_MTG_Set[[#This Row],[Collector Singles CardMarket Profit MTG Stocks]]&gt;0</f>
        <v>0</v>
      </c>
      <c r="BX561" s="10"/>
      <c r="BY561" s="10"/>
      <c r="BZ5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1" s="10" t="e">
        <f>tbl_MTG_Set[[#This Row],[Collector Singles CardMarket Profit BotBox]]/tbl_MTG_Set[[#This Row],[Collector Booster Cost]]</f>
        <v>#N/A</v>
      </c>
      <c r="CC561" s="10" t="b">
        <f>tbl_MTG_Set[[#This Row],[Collector Singles CardMarket Profit BotBox]]&gt;0</f>
        <v>0</v>
      </c>
      <c r="CD5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2" spans="1:86" hidden="1">
      <c r="A562">
        <v>594</v>
      </c>
      <c r="B562" t="s">
        <v>735</v>
      </c>
      <c r="C562">
        <v>54</v>
      </c>
      <c r="D562" s="3">
        <v>42202</v>
      </c>
      <c r="F562" t="s">
        <v>174</v>
      </c>
      <c r="G562">
        <v>1134</v>
      </c>
      <c r="H562">
        <f ca="1">MONTH(NOW())+12*YEAR(NOW())-MONTH(tbl_MTG_Set[[#This Row],[Released On]])-12*YEAR(tbl_MTG_Set[[#This Row],[Released On]])</f>
        <v>128</v>
      </c>
      <c r="I562" t="str">
        <f>_xlfn.XLOOKUP(tbl_MTG_Set[[#This Row],[Type Name]], tbl_MTG_Set_Type[Set Type], tbl_MTG_Set_Type[Index], "(Set Type not found)")</f>
        <v>(Set Type not found)</v>
      </c>
      <c r="J562" t="str">
        <f>_xlfn.XLOOKUP(tbl_MTG_Set[[#This Row],[Type Name]], tbl_MTG_Set_Type[Set Type], tbl_MTG_Set_Type[Buy Window Month Start], "(Set Type not found)")</f>
        <v>(Set Type not found)</v>
      </c>
      <c r="K562" s="3" t="e">
        <f>tbl_MTG_Set[[#This Row],[Released On]]+tbl_MTG_Set[[#This Row],[Buy Window Month Start]]*365.25/12</f>
        <v>#VALUE!</v>
      </c>
      <c r="L562" t="str">
        <f>_xlfn.XLOOKUP(tbl_MTG_Set[[#This Row],[Type Name]], tbl_MTG_Set_Type[Set Type], tbl_MTG_Set_Type[Buy Window Month End], "(Set Type not found)", 0, 1)</f>
        <v>(Set Type not found)</v>
      </c>
      <c r="M562" s="3" t="e">
        <f>tbl_MTG_Set[[#This Row],[Released On]]+tbl_MTG_Set[[#This Row],[Buy Window Month End]]*365.25/12</f>
        <v>#VALUE!</v>
      </c>
      <c r="N562" s="3" t="e">
        <f ca="1">AND(NOW()&gt;=tbl_MTG_Set[[#This Row],[Buy Window Start]], NOW()&lt;=tbl_MTG_Set[[#This Row],[Buy Window End]])</f>
        <v>#VALUE!</v>
      </c>
      <c r="O562" t="str">
        <f>_xlfn.XLOOKUP(tbl_MTG_Set[[#This Row],[Type Name]], tbl_MTG_Set_Type[Set Type], tbl_MTG_Set_Type[Heavy Printing Window Month Start], "(Set Type not found)", 0, 1)</f>
        <v>(Set Type not found)</v>
      </c>
      <c r="P562" s="3" t="e">
        <f>tbl_MTG_Set[[#This Row],[Released On]]+tbl_MTG_Set[[#This Row],[Heavy Printing Window Month Start]]*365.25/12</f>
        <v>#VALUE!</v>
      </c>
      <c r="Q562" t="str">
        <f>_xlfn.XLOOKUP(tbl_MTG_Set[[#This Row],[Type Name]], tbl_MTG_Set_Type[Set Type], tbl_MTG_Set_Type[Heavy Printing Window Month End], "(Set Type not found)", 0, 1)</f>
        <v>(Set Type not found)</v>
      </c>
      <c r="R562" s="3" t="e">
        <f>tbl_MTG_Set[[#This Row],[Released On]]+tbl_MTG_Set[[#This Row],[Heavy Printing Window Month End]]*365.25/12</f>
        <v>#VALUE!</v>
      </c>
      <c r="S562" s="3" t="e">
        <f ca="1">AND(NOW()&gt;=tbl_MTG_Set[[#This Row],[Heavy Printing Window Start]], NOW()&lt;=tbl_MTG_Set[[#This Row],[Heavy Printing Window End]])</f>
        <v>#VALUE!</v>
      </c>
      <c r="T562" t="str">
        <f>_xlfn.XLOOKUP(tbl_MTG_Set[[#This Row],[Type Name]], tbl_MTG_Set_Type[Set Type], tbl_MTG_Set_Type[Sell Window Month Start], "(Set Type not found)", 0, 1)</f>
        <v>(Set Type not found)</v>
      </c>
      <c r="U562" s="3" t="e">
        <f>tbl_MTG_Set[[#This Row],[Released On]]+tbl_MTG_Set[[#This Row],[Sell Window Month Start]]*365.25/12</f>
        <v>#VALUE!</v>
      </c>
      <c r="V562" t="str">
        <f>_xlfn.XLOOKUP(tbl_MTG_Set[[#This Row],[Type Name]], tbl_MTG_Set_Type[Set Type], tbl_MTG_Set_Type[Sell Window Month End], "(Set Type not found)", 0, 1)</f>
        <v>(Set Type not found)</v>
      </c>
      <c r="W562" s="3" t="e">
        <f>tbl_MTG_Set[[#This Row],[Released On]]+tbl_MTG_Set[[#This Row],[Sell Window Month End]]*365.25/12</f>
        <v>#VALUE!</v>
      </c>
      <c r="X562" s="3" t="e">
        <f ca="1">AND(NOW()&gt;=tbl_MTG_Set[[#This Row],[Sell Window Start]], NOW()&lt;=tbl_MTG_Set[[#This Row],[Sell Window End]])</f>
        <v>#VALUE!</v>
      </c>
      <c r="AG562" s="10"/>
      <c r="AH562" s="10"/>
      <c r="AM562" s="10" t="str" cm="1">
        <f t="array" ref="AM5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2" s="10" t="str" cm="1">
        <f t="array" ref="AN5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2" s="4" t="e">
        <f>_xlfn.XLOOKUP(tbl_MTG_Set[[#This Row],[Play Booster Box Product Id]], tbl_Product[Product Id], tbl_Product[Pack Size])</f>
        <v>#N/A</v>
      </c>
      <c r="AP562" s="10" t="e">
        <f>(tbl_MTG_Set[[#This Row],[Play Booster Box Cost]]+v_Item_Shipping_Cost_In)/tbl_MTG_Set[[#This Row],[Play Booster Box Size]]</f>
        <v>#VALUE!</v>
      </c>
      <c r="AQ562" s="10" t="str" cm="1">
        <f t="array" ref="AQ5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2" s="10"/>
      <c r="AS562" s="10"/>
      <c r="AT562" s="17" t="e">
        <f>tbl_MTG_Set[[#This Row],[Play Booster CardMarket Profit]]/tbl_MTG_Set[[#This Row],[Play Booster Cost]]</f>
        <v>#VALUE!</v>
      </c>
      <c r="AU562" s="10" t="e">
        <f>_xlfn.XLOOKUP(tbl_MTG_Set[[#This Row],[Collector Booster Box Product Id]], tbl_Product[Product Id], tbl_Product[Min Cost])</f>
        <v>#N/A</v>
      </c>
      <c r="AV562" s="10" t="e">
        <f>_xlfn.XLOOKUP(tbl_MTG_Set[[#This Row],[Collector Booster Box Product Id]], tbl_Product[Product Id], tbl_Product[Best Source])</f>
        <v>#N/A</v>
      </c>
      <c r="AW562" s="4" t="e">
        <f>_xlfn.XLOOKUP(tbl_MTG_Set[[#This Row],[Collector Booster Box Product Id]], tbl_Product[Product Id], tbl_Product[Pack Size])</f>
        <v>#N/A</v>
      </c>
      <c r="AX562" s="10" t="e">
        <f>(tbl_MTG_Set[[#This Row],[Collector Booster Box Cost]] + v_Item_Shipping_Cost_In) / tbl_MTG_Set[[#This Row],[Collector Booster Box Size]]</f>
        <v>#N/A</v>
      </c>
      <c r="AY562" s="10" t="str" cm="1">
        <f t="array" ref="AY5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2" s="10"/>
      <c r="BA5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2" s="17" t="e">
        <f>tbl_MTG_Set[[#This Row],[Collector Booster CardMarket Profit]]/tbl_MTG_Set[[#This Row],[Collector Booster Cost]]</f>
        <v>#N/A</v>
      </c>
      <c r="BC562" s="10"/>
      <c r="BF5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2" s="11" t="e">
        <f>tbl_MTG_Set[[#This Row],[Play Singles CardMarket Profit MTG Stocks]]/tbl_MTG_Set[[#This Row],[Play Booster Cost]]</f>
        <v>#VALUE!</v>
      </c>
      <c r="BI562" s="11" t="b">
        <f>tbl_MTG_Set[[#This Row],[Play Singles CardMarket Profit MTG Stocks]]&gt;0</f>
        <v>0</v>
      </c>
      <c r="BM562" s="10" t="e">
        <f>tbl_MTG_Set[[#This Row],[Play Booster Sell Price CardMarket]]*tbl_MTG_Set[[#This Row],[Play Booster Expected Market Value BotBox]]/tbl_MTG_Set[[#This Row],[Play Booster Sealed Market Value BotBox]]</f>
        <v>#VALUE!</v>
      </c>
      <c r="BN5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2" s="10" t="e">
        <f>tbl_MTG_Set[[#This Row],[Play Singles CardMarket Profit BotBox]]/tbl_MTG_Set[[#This Row],[Play Booster Cost]]</f>
        <v>#VALUE!</v>
      </c>
      <c r="BP562" s="10" t="b">
        <f>tbl_MTG_Set[[#This Row],[Play Singles CardMarket Profit BotBox]]&gt;0</f>
        <v>0</v>
      </c>
      <c r="BQ562" s="10"/>
      <c r="BR562" s="10"/>
      <c r="BS562" s="10"/>
      <c r="BT5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2" s="19" t="e">
        <f>tbl_MTG_Set[[#This Row],[Collector Singles CardMarket Profit MTG Stocks]]/tbl_MTG_Set[[#This Row],[Collector Booster Cost]]</f>
        <v>#N/A</v>
      </c>
      <c r="BW562" s="10" t="b">
        <f>tbl_MTG_Set[[#This Row],[Collector Singles CardMarket Profit MTG Stocks]]&gt;0</f>
        <v>0</v>
      </c>
      <c r="BX562" s="10"/>
      <c r="BY562" s="10"/>
      <c r="BZ5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2" s="10" t="e">
        <f>tbl_MTG_Set[[#This Row],[Collector Singles CardMarket Profit BotBox]]/tbl_MTG_Set[[#This Row],[Collector Booster Cost]]</f>
        <v>#N/A</v>
      </c>
      <c r="CC562" s="10" t="b">
        <f>tbl_MTG_Set[[#This Row],[Collector Singles CardMarket Profit BotBox]]&gt;0</f>
        <v>0</v>
      </c>
      <c r="CD5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3" spans="1:86" hidden="1">
      <c r="A563">
        <v>595</v>
      </c>
      <c r="B563" t="s">
        <v>736</v>
      </c>
      <c r="C563">
        <v>15</v>
      </c>
      <c r="D563" s="3">
        <v>42202</v>
      </c>
      <c r="F563" t="s">
        <v>174</v>
      </c>
      <c r="G563">
        <v>1136</v>
      </c>
      <c r="H563">
        <f ca="1">MONTH(NOW())+12*YEAR(NOW())-MONTH(tbl_MTG_Set[[#This Row],[Released On]])-12*YEAR(tbl_MTG_Set[[#This Row],[Released On]])</f>
        <v>128</v>
      </c>
      <c r="I563" t="str">
        <f>_xlfn.XLOOKUP(tbl_MTG_Set[[#This Row],[Type Name]], tbl_MTG_Set_Type[Set Type], tbl_MTG_Set_Type[Index], "(Set Type not found)")</f>
        <v>(Set Type not found)</v>
      </c>
      <c r="J563" t="str">
        <f>_xlfn.XLOOKUP(tbl_MTG_Set[[#This Row],[Type Name]], tbl_MTG_Set_Type[Set Type], tbl_MTG_Set_Type[Buy Window Month Start], "(Set Type not found)")</f>
        <v>(Set Type not found)</v>
      </c>
      <c r="K563" s="3" t="e">
        <f>tbl_MTG_Set[[#This Row],[Released On]]+tbl_MTG_Set[[#This Row],[Buy Window Month Start]]*365.25/12</f>
        <v>#VALUE!</v>
      </c>
      <c r="L563" t="str">
        <f>_xlfn.XLOOKUP(tbl_MTG_Set[[#This Row],[Type Name]], tbl_MTG_Set_Type[Set Type], tbl_MTG_Set_Type[Buy Window Month End], "(Set Type not found)", 0, 1)</f>
        <v>(Set Type not found)</v>
      </c>
      <c r="M563" s="3" t="e">
        <f>tbl_MTG_Set[[#This Row],[Released On]]+tbl_MTG_Set[[#This Row],[Buy Window Month End]]*365.25/12</f>
        <v>#VALUE!</v>
      </c>
      <c r="N563" s="3" t="e">
        <f ca="1">AND(NOW()&gt;=tbl_MTG_Set[[#This Row],[Buy Window Start]], NOW()&lt;=tbl_MTG_Set[[#This Row],[Buy Window End]])</f>
        <v>#VALUE!</v>
      </c>
      <c r="O563" t="str">
        <f>_xlfn.XLOOKUP(tbl_MTG_Set[[#This Row],[Type Name]], tbl_MTG_Set_Type[Set Type], tbl_MTG_Set_Type[Heavy Printing Window Month Start], "(Set Type not found)", 0, 1)</f>
        <v>(Set Type not found)</v>
      </c>
      <c r="P563" s="3" t="e">
        <f>tbl_MTG_Set[[#This Row],[Released On]]+tbl_MTG_Set[[#This Row],[Heavy Printing Window Month Start]]*365.25/12</f>
        <v>#VALUE!</v>
      </c>
      <c r="Q563" t="str">
        <f>_xlfn.XLOOKUP(tbl_MTG_Set[[#This Row],[Type Name]], tbl_MTG_Set_Type[Set Type], tbl_MTG_Set_Type[Heavy Printing Window Month End], "(Set Type not found)", 0, 1)</f>
        <v>(Set Type not found)</v>
      </c>
      <c r="R563" s="3" t="e">
        <f>tbl_MTG_Set[[#This Row],[Released On]]+tbl_MTG_Set[[#This Row],[Heavy Printing Window Month End]]*365.25/12</f>
        <v>#VALUE!</v>
      </c>
      <c r="S563" s="3" t="e">
        <f ca="1">AND(NOW()&gt;=tbl_MTG_Set[[#This Row],[Heavy Printing Window Start]], NOW()&lt;=tbl_MTG_Set[[#This Row],[Heavy Printing Window End]])</f>
        <v>#VALUE!</v>
      </c>
      <c r="T563" t="str">
        <f>_xlfn.XLOOKUP(tbl_MTG_Set[[#This Row],[Type Name]], tbl_MTG_Set_Type[Set Type], tbl_MTG_Set_Type[Sell Window Month Start], "(Set Type not found)", 0, 1)</f>
        <v>(Set Type not found)</v>
      </c>
      <c r="U563" s="3" t="e">
        <f>tbl_MTG_Set[[#This Row],[Released On]]+tbl_MTG_Set[[#This Row],[Sell Window Month Start]]*365.25/12</f>
        <v>#VALUE!</v>
      </c>
      <c r="V563" t="str">
        <f>_xlfn.XLOOKUP(tbl_MTG_Set[[#This Row],[Type Name]], tbl_MTG_Set_Type[Set Type], tbl_MTG_Set_Type[Sell Window Month End], "(Set Type not found)", 0, 1)</f>
        <v>(Set Type not found)</v>
      </c>
      <c r="W563" s="3" t="e">
        <f>tbl_MTG_Set[[#This Row],[Released On]]+tbl_MTG_Set[[#This Row],[Sell Window Month End]]*365.25/12</f>
        <v>#VALUE!</v>
      </c>
      <c r="X563" s="3" t="e">
        <f ca="1">AND(NOW()&gt;=tbl_MTG_Set[[#This Row],[Sell Window Start]], NOW()&lt;=tbl_MTG_Set[[#This Row],[Sell Window End]])</f>
        <v>#VALUE!</v>
      </c>
      <c r="AG563" s="10"/>
      <c r="AH563" s="10"/>
      <c r="AM563" s="10" t="str" cm="1">
        <f t="array" ref="AM5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3" s="10" t="str" cm="1">
        <f t="array" ref="AN5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3" s="4" t="e">
        <f>_xlfn.XLOOKUP(tbl_MTG_Set[[#This Row],[Play Booster Box Product Id]], tbl_Product[Product Id], tbl_Product[Pack Size])</f>
        <v>#N/A</v>
      </c>
      <c r="AP563" s="10" t="e">
        <f>(tbl_MTG_Set[[#This Row],[Play Booster Box Cost]]+v_Item_Shipping_Cost_In)/tbl_MTG_Set[[#This Row],[Play Booster Box Size]]</f>
        <v>#VALUE!</v>
      </c>
      <c r="AQ563" s="10" t="str" cm="1">
        <f t="array" ref="AQ5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3" s="10"/>
      <c r="AS563" s="10"/>
      <c r="AT563" s="17" t="e">
        <f>tbl_MTG_Set[[#This Row],[Play Booster CardMarket Profit]]/tbl_MTG_Set[[#This Row],[Play Booster Cost]]</f>
        <v>#VALUE!</v>
      </c>
      <c r="AU563" s="10" t="e">
        <f>_xlfn.XLOOKUP(tbl_MTG_Set[[#This Row],[Collector Booster Box Product Id]], tbl_Product[Product Id], tbl_Product[Min Cost])</f>
        <v>#N/A</v>
      </c>
      <c r="AV563" s="10" t="e">
        <f>_xlfn.XLOOKUP(tbl_MTG_Set[[#This Row],[Collector Booster Box Product Id]], tbl_Product[Product Id], tbl_Product[Best Source])</f>
        <v>#N/A</v>
      </c>
      <c r="AW563" s="4" t="e">
        <f>_xlfn.XLOOKUP(tbl_MTG_Set[[#This Row],[Collector Booster Box Product Id]], tbl_Product[Product Id], tbl_Product[Pack Size])</f>
        <v>#N/A</v>
      </c>
      <c r="AX563" s="10" t="e">
        <f>(tbl_MTG_Set[[#This Row],[Collector Booster Box Cost]] + v_Item_Shipping_Cost_In) / tbl_MTG_Set[[#This Row],[Collector Booster Box Size]]</f>
        <v>#N/A</v>
      </c>
      <c r="AY563" s="10" t="str" cm="1">
        <f t="array" ref="AY5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3" s="10"/>
      <c r="BA5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3" s="17" t="e">
        <f>tbl_MTG_Set[[#This Row],[Collector Booster CardMarket Profit]]/tbl_MTG_Set[[#This Row],[Collector Booster Cost]]</f>
        <v>#N/A</v>
      </c>
      <c r="BC563" s="10"/>
      <c r="BF5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3" s="11" t="e">
        <f>tbl_MTG_Set[[#This Row],[Play Singles CardMarket Profit MTG Stocks]]/tbl_MTG_Set[[#This Row],[Play Booster Cost]]</f>
        <v>#VALUE!</v>
      </c>
      <c r="BI563" s="11" t="b">
        <f>tbl_MTG_Set[[#This Row],[Play Singles CardMarket Profit MTG Stocks]]&gt;0</f>
        <v>0</v>
      </c>
      <c r="BM563" s="10" t="e">
        <f>tbl_MTG_Set[[#This Row],[Play Booster Sell Price CardMarket]]*tbl_MTG_Set[[#This Row],[Play Booster Expected Market Value BotBox]]/tbl_MTG_Set[[#This Row],[Play Booster Sealed Market Value BotBox]]</f>
        <v>#VALUE!</v>
      </c>
      <c r="BN5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3" s="10" t="e">
        <f>tbl_MTG_Set[[#This Row],[Play Singles CardMarket Profit BotBox]]/tbl_MTG_Set[[#This Row],[Play Booster Cost]]</f>
        <v>#VALUE!</v>
      </c>
      <c r="BP563" s="10" t="b">
        <f>tbl_MTG_Set[[#This Row],[Play Singles CardMarket Profit BotBox]]&gt;0</f>
        <v>0</v>
      </c>
      <c r="BQ563" s="10"/>
      <c r="BR563" s="10"/>
      <c r="BS563" s="10"/>
      <c r="BT5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3" s="19" t="e">
        <f>tbl_MTG_Set[[#This Row],[Collector Singles CardMarket Profit MTG Stocks]]/tbl_MTG_Set[[#This Row],[Collector Booster Cost]]</f>
        <v>#N/A</v>
      </c>
      <c r="BW563" s="10" t="b">
        <f>tbl_MTG_Set[[#This Row],[Collector Singles CardMarket Profit MTG Stocks]]&gt;0</f>
        <v>0</v>
      </c>
      <c r="BX563" s="10"/>
      <c r="BY563" s="10"/>
      <c r="BZ5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3" s="10" t="e">
        <f>tbl_MTG_Set[[#This Row],[Collector Singles CardMarket Profit BotBox]]/tbl_MTG_Set[[#This Row],[Collector Booster Cost]]</f>
        <v>#N/A</v>
      </c>
      <c r="CC563" s="10" t="b">
        <f>tbl_MTG_Set[[#This Row],[Collector Singles CardMarket Profit BotBox]]&gt;0</f>
        <v>0</v>
      </c>
      <c r="CD5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4" spans="1:86" hidden="1">
      <c r="A564">
        <v>596</v>
      </c>
      <c r="B564" t="s">
        <v>737</v>
      </c>
      <c r="C564">
        <v>6</v>
      </c>
      <c r="D564" s="3">
        <v>42202</v>
      </c>
      <c r="F564" t="s">
        <v>174</v>
      </c>
      <c r="G564">
        <v>1138</v>
      </c>
      <c r="H564">
        <f ca="1">MONTH(NOW())+12*YEAR(NOW())-MONTH(tbl_MTG_Set[[#This Row],[Released On]])-12*YEAR(tbl_MTG_Set[[#This Row],[Released On]])</f>
        <v>128</v>
      </c>
      <c r="I564" t="str">
        <f>_xlfn.XLOOKUP(tbl_MTG_Set[[#This Row],[Type Name]], tbl_MTG_Set_Type[Set Type], tbl_MTG_Set_Type[Index], "(Set Type not found)")</f>
        <v>(Set Type not found)</v>
      </c>
      <c r="J564" t="str">
        <f>_xlfn.XLOOKUP(tbl_MTG_Set[[#This Row],[Type Name]], tbl_MTG_Set_Type[Set Type], tbl_MTG_Set_Type[Buy Window Month Start], "(Set Type not found)")</f>
        <v>(Set Type not found)</v>
      </c>
      <c r="K564" s="3" t="e">
        <f>tbl_MTG_Set[[#This Row],[Released On]]+tbl_MTG_Set[[#This Row],[Buy Window Month Start]]*365.25/12</f>
        <v>#VALUE!</v>
      </c>
      <c r="L564" t="str">
        <f>_xlfn.XLOOKUP(tbl_MTG_Set[[#This Row],[Type Name]], tbl_MTG_Set_Type[Set Type], tbl_MTG_Set_Type[Buy Window Month End], "(Set Type not found)", 0, 1)</f>
        <v>(Set Type not found)</v>
      </c>
      <c r="M564" s="3" t="e">
        <f>tbl_MTG_Set[[#This Row],[Released On]]+tbl_MTG_Set[[#This Row],[Buy Window Month End]]*365.25/12</f>
        <v>#VALUE!</v>
      </c>
      <c r="N564" s="3" t="e">
        <f ca="1">AND(NOW()&gt;=tbl_MTG_Set[[#This Row],[Buy Window Start]], NOW()&lt;=tbl_MTG_Set[[#This Row],[Buy Window End]])</f>
        <v>#VALUE!</v>
      </c>
      <c r="O564" t="str">
        <f>_xlfn.XLOOKUP(tbl_MTG_Set[[#This Row],[Type Name]], tbl_MTG_Set_Type[Set Type], tbl_MTG_Set_Type[Heavy Printing Window Month Start], "(Set Type not found)", 0, 1)</f>
        <v>(Set Type not found)</v>
      </c>
      <c r="P564" s="3" t="e">
        <f>tbl_MTG_Set[[#This Row],[Released On]]+tbl_MTG_Set[[#This Row],[Heavy Printing Window Month Start]]*365.25/12</f>
        <v>#VALUE!</v>
      </c>
      <c r="Q564" t="str">
        <f>_xlfn.XLOOKUP(tbl_MTG_Set[[#This Row],[Type Name]], tbl_MTG_Set_Type[Set Type], tbl_MTG_Set_Type[Heavy Printing Window Month End], "(Set Type not found)", 0, 1)</f>
        <v>(Set Type not found)</v>
      </c>
      <c r="R564" s="3" t="e">
        <f>tbl_MTG_Set[[#This Row],[Released On]]+tbl_MTG_Set[[#This Row],[Heavy Printing Window Month End]]*365.25/12</f>
        <v>#VALUE!</v>
      </c>
      <c r="S564" s="3" t="e">
        <f ca="1">AND(NOW()&gt;=tbl_MTG_Set[[#This Row],[Heavy Printing Window Start]], NOW()&lt;=tbl_MTG_Set[[#This Row],[Heavy Printing Window End]])</f>
        <v>#VALUE!</v>
      </c>
      <c r="T564" t="str">
        <f>_xlfn.XLOOKUP(tbl_MTG_Set[[#This Row],[Type Name]], tbl_MTG_Set_Type[Set Type], tbl_MTG_Set_Type[Sell Window Month Start], "(Set Type not found)", 0, 1)</f>
        <v>(Set Type not found)</v>
      </c>
      <c r="U564" s="3" t="e">
        <f>tbl_MTG_Set[[#This Row],[Released On]]+tbl_MTG_Set[[#This Row],[Sell Window Month Start]]*365.25/12</f>
        <v>#VALUE!</v>
      </c>
      <c r="V564" t="str">
        <f>_xlfn.XLOOKUP(tbl_MTG_Set[[#This Row],[Type Name]], tbl_MTG_Set_Type[Set Type], tbl_MTG_Set_Type[Sell Window Month End], "(Set Type not found)", 0, 1)</f>
        <v>(Set Type not found)</v>
      </c>
      <c r="W564" s="3" t="e">
        <f>tbl_MTG_Set[[#This Row],[Released On]]+tbl_MTG_Set[[#This Row],[Sell Window Month End]]*365.25/12</f>
        <v>#VALUE!</v>
      </c>
      <c r="X564" s="3" t="e">
        <f ca="1">AND(NOW()&gt;=tbl_MTG_Set[[#This Row],[Sell Window Start]], NOW()&lt;=tbl_MTG_Set[[#This Row],[Sell Window End]])</f>
        <v>#VALUE!</v>
      </c>
      <c r="AG564" s="10"/>
      <c r="AH564" s="10"/>
      <c r="AM564" s="10" t="str" cm="1">
        <f t="array" ref="AM5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4" s="10" t="str" cm="1">
        <f t="array" ref="AN5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4" s="4" t="e">
        <f>_xlfn.XLOOKUP(tbl_MTG_Set[[#This Row],[Play Booster Box Product Id]], tbl_Product[Product Id], tbl_Product[Pack Size])</f>
        <v>#N/A</v>
      </c>
      <c r="AP564" s="10" t="e">
        <f>(tbl_MTG_Set[[#This Row],[Play Booster Box Cost]]+v_Item_Shipping_Cost_In)/tbl_MTG_Set[[#This Row],[Play Booster Box Size]]</f>
        <v>#VALUE!</v>
      </c>
      <c r="AQ564" s="10" t="str" cm="1">
        <f t="array" ref="AQ5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4" s="10"/>
      <c r="AS564" s="10"/>
      <c r="AT564" s="17" t="e">
        <f>tbl_MTG_Set[[#This Row],[Play Booster CardMarket Profit]]/tbl_MTG_Set[[#This Row],[Play Booster Cost]]</f>
        <v>#VALUE!</v>
      </c>
      <c r="AU564" s="10" t="e">
        <f>_xlfn.XLOOKUP(tbl_MTG_Set[[#This Row],[Collector Booster Box Product Id]], tbl_Product[Product Id], tbl_Product[Min Cost])</f>
        <v>#N/A</v>
      </c>
      <c r="AV564" s="10" t="e">
        <f>_xlfn.XLOOKUP(tbl_MTG_Set[[#This Row],[Collector Booster Box Product Id]], tbl_Product[Product Id], tbl_Product[Best Source])</f>
        <v>#N/A</v>
      </c>
      <c r="AW564" s="4" t="e">
        <f>_xlfn.XLOOKUP(tbl_MTG_Set[[#This Row],[Collector Booster Box Product Id]], tbl_Product[Product Id], tbl_Product[Pack Size])</f>
        <v>#N/A</v>
      </c>
      <c r="AX564" s="10" t="e">
        <f>(tbl_MTG_Set[[#This Row],[Collector Booster Box Cost]] + v_Item_Shipping_Cost_In) / tbl_MTG_Set[[#This Row],[Collector Booster Box Size]]</f>
        <v>#N/A</v>
      </c>
      <c r="AY564" s="10" t="str" cm="1">
        <f t="array" ref="AY5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4" s="10"/>
      <c r="BA5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4" s="17" t="e">
        <f>tbl_MTG_Set[[#This Row],[Collector Booster CardMarket Profit]]/tbl_MTG_Set[[#This Row],[Collector Booster Cost]]</f>
        <v>#N/A</v>
      </c>
      <c r="BC564" s="10"/>
      <c r="BF5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4" s="11" t="e">
        <f>tbl_MTG_Set[[#This Row],[Play Singles CardMarket Profit MTG Stocks]]/tbl_MTG_Set[[#This Row],[Play Booster Cost]]</f>
        <v>#VALUE!</v>
      </c>
      <c r="BI564" s="11" t="b">
        <f>tbl_MTG_Set[[#This Row],[Play Singles CardMarket Profit MTG Stocks]]&gt;0</f>
        <v>0</v>
      </c>
      <c r="BM564" s="10" t="e">
        <f>tbl_MTG_Set[[#This Row],[Play Booster Sell Price CardMarket]]*tbl_MTG_Set[[#This Row],[Play Booster Expected Market Value BotBox]]/tbl_MTG_Set[[#This Row],[Play Booster Sealed Market Value BotBox]]</f>
        <v>#VALUE!</v>
      </c>
      <c r="BN5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4" s="10" t="e">
        <f>tbl_MTG_Set[[#This Row],[Play Singles CardMarket Profit BotBox]]/tbl_MTG_Set[[#This Row],[Play Booster Cost]]</f>
        <v>#VALUE!</v>
      </c>
      <c r="BP564" s="10" t="b">
        <f>tbl_MTG_Set[[#This Row],[Play Singles CardMarket Profit BotBox]]&gt;0</f>
        <v>0</v>
      </c>
      <c r="BQ564" s="10"/>
      <c r="BR564" s="10"/>
      <c r="BS564" s="10"/>
      <c r="BT5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4" s="19" t="e">
        <f>tbl_MTG_Set[[#This Row],[Collector Singles CardMarket Profit MTG Stocks]]/tbl_MTG_Set[[#This Row],[Collector Booster Cost]]</f>
        <v>#N/A</v>
      </c>
      <c r="BW564" s="10" t="b">
        <f>tbl_MTG_Set[[#This Row],[Collector Singles CardMarket Profit MTG Stocks]]&gt;0</f>
        <v>0</v>
      </c>
      <c r="BX564" s="10"/>
      <c r="BY564" s="10"/>
      <c r="BZ5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4" s="10" t="e">
        <f>tbl_MTG_Set[[#This Row],[Collector Singles CardMarket Profit BotBox]]/tbl_MTG_Set[[#This Row],[Collector Booster Cost]]</f>
        <v>#N/A</v>
      </c>
      <c r="CC564" s="10" t="b">
        <f>tbl_MTG_Set[[#This Row],[Collector Singles CardMarket Profit BotBox]]&gt;0</f>
        <v>0</v>
      </c>
      <c r="CD5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5" spans="1:86" hidden="1">
      <c r="A565">
        <v>597</v>
      </c>
      <c r="B565" t="s">
        <v>738</v>
      </c>
      <c r="C565">
        <v>5</v>
      </c>
      <c r="D565" s="3">
        <v>42194</v>
      </c>
      <c r="F565" t="s">
        <v>174</v>
      </c>
      <c r="G565">
        <v>1140</v>
      </c>
      <c r="H565">
        <f ca="1">MONTH(NOW())+12*YEAR(NOW())-MONTH(tbl_MTG_Set[[#This Row],[Released On]])-12*YEAR(tbl_MTG_Set[[#This Row],[Released On]])</f>
        <v>128</v>
      </c>
      <c r="I565" t="str">
        <f>_xlfn.XLOOKUP(tbl_MTG_Set[[#This Row],[Type Name]], tbl_MTG_Set_Type[Set Type], tbl_MTG_Set_Type[Index], "(Set Type not found)")</f>
        <v>(Set Type not found)</v>
      </c>
      <c r="J565" t="str">
        <f>_xlfn.XLOOKUP(tbl_MTG_Set[[#This Row],[Type Name]], tbl_MTG_Set_Type[Set Type], tbl_MTG_Set_Type[Buy Window Month Start], "(Set Type not found)")</f>
        <v>(Set Type not found)</v>
      </c>
      <c r="K565" s="3" t="e">
        <f>tbl_MTG_Set[[#This Row],[Released On]]+tbl_MTG_Set[[#This Row],[Buy Window Month Start]]*365.25/12</f>
        <v>#VALUE!</v>
      </c>
      <c r="L565" t="str">
        <f>_xlfn.XLOOKUP(tbl_MTG_Set[[#This Row],[Type Name]], tbl_MTG_Set_Type[Set Type], tbl_MTG_Set_Type[Buy Window Month End], "(Set Type not found)", 0, 1)</f>
        <v>(Set Type not found)</v>
      </c>
      <c r="M565" s="3" t="e">
        <f>tbl_MTG_Set[[#This Row],[Released On]]+tbl_MTG_Set[[#This Row],[Buy Window Month End]]*365.25/12</f>
        <v>#VALUE!</v>
      </c>
      <c r="N565" s="3" t="e">
        <f ca="1">AND(NOW()&gt;=tbl_MTG_Set[[#This Row],[Buy Window Start]], NOW()&lt;=tbl_MTG_Set[[#This Row],[Buy Window End]])</f>
        <v>#VALUE!</v>
      </c>
      <c r="O565" t="str">
        <f>_xlfn.XLOOKUP(tbl_MTG_Set[[#This Row],[Type Name]], tbl_MTG_Set_Type[Set Type], tbl_MTG_Set_Type[Heavy Printing Window Month Start], "(Set Type not found)", 0, 1)</f>
        <v>(Set Type not found)</v>
      </c>
      <c r="P565" s="3" t="e">
        <f>tbl_MTG_Set[[#This Row],[Released On]]+tbl_MTG_Set[[#This Row],[Heavy Printing Window Month Start]]*365.25/12</f>
        <v>#VALUE!</v>
      </c>
      <c r="Q565" t="str">
        <f>_xlfn.XLOOKUP(tbl_MTG_Set[[#This Row],[Type Name]], tbl_MTG_Set_Type[Set Type], tbl_MTG_Set_Type[Heavy Printing Window Month End], "(Set Type not found)", 0, 1)</f>
        <v>(Set Type not found)</v>
      </c>
      <c r="R565" s="3" t="e">
        <f>tbl_MTG_Set[[#This Row],[Released On]]+tbl_MTG_Set[[#This Row],[Heavy Printing Window Month End]]*365.25/12</f>
        <v>#VALUE!</v>
      </c>
      <c r="S565" s="3" t="e">
        <f ca="1">AND(NOW()&gt;=tbl_MTG_Set[[#This Row],[Heavy Printing Window Start]], NOW()&lt;=tbl_MTG_Set[[#This Row],[Heavy Printing Window End]])</f>
        <v>#VALUE!</v>
      </c>
      <c r="T565" t="str">
        <f>_xlfn.XLOOKUP(tbl_MTG_Set[[#This Row],[Type Name]], tbl_MTG_Set_Type[Set Type], tbl_MTG_Set_Type[Sell Window Month Start], "(Set Type not found)", 0, 1)</f>
        <v>(Set Type not found)</v>
      </c>
      <c r="U565" s="3" t="e">
        <f>tbl_MTG_Set[[#This Row],[Released On]]+tbl_MTG_Set[[#This Row],[Sell Window Month Start]]*365.25/12</f>
        <v>#VALUE!</v>
      </c>
      <c r="V565" t="str">
        <f>_xlfn.XLOOKUP(tbl_MTG_Set[[#This Row],[Type Name]], tbl_MTG_Set_Type[Set Type], tbl_MTG_Set_Type[Sell Window Month End], "(Set Type not found)", 0, 1)</f>
        <v>(Set Type not found)</v>
      </c>
      <c r="W565" s="3" t="e">
        <f>tbl_MTG_Set[[#This Row],[Released On]]+tbl_MTG_Set[[#This Row],[Sell Window Month End]]*365.25/12</f>
        <v>#VALUE!</v>
      </c>
      <c r="X565" s="3" t="e">
        <f ca="1">AND(NOW()&gt;=tbl_MTG_Set[[#This Row],[Sell Window Start]], NOW()&lt;=tbl_MTG_Set[[#This Row],[Sell Window End]])</f>
        <v>#VALUE!</v>
      </c>
      <c r="AG565" s="10"/>
      <c r="AH565" s="10"/>
      <c r="AM565" s="10" t="str" cm="1">
        <f t="array" ref="AM5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5" s="10" t="str" cm="1">
        <f t="array" ref="AN5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5" s="4" t="e">
        <f>_xlfn.XLOOKUP(tbl_MTG_Set[[#This Row],[Play Booster Box Product Id]], tbl_Product[Product Id], tbl_Product[Pack Size])</f>
        <v>#N/A</v>
      </c>
      <c r="AP565" s="10" t="e">
        <f>(tbl_MTG_Set[[#This Row],[Play Booster Box Cost]]+v_Item_Shipping_Cost_In)/tbl_MTG_Set[[#This Row],[Play Booster Box Size]]</f>
        <v>#VALUE!</v>
      </c>
      <c r="AQ565" s="10" t="str" cm="1">
        <f t="array" ref="AQ5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5" s="10"/>
      <c r="AS565" s="10"/>
      <c r="AT565" s="17" t="e">
        <f>tbl_MTG_Set[[#This Row],[Play Booster CardMarket Profit]]/tbl_MTG_Set[[#This Row],[Play Booster Cost]]</f>
        <v>#VALUE!</v>
      </c>
      <c r="AU565" s="10" t="e">
        <f>_xlfn.XLOOKUP(tbl_MTG_Set[[#This Row],[Collector Booster Box Product Id]], tbl_Product[Product Id], tbl_Product[Min Cost])</f>
        <v>#N/A</v>
      </c>
      <c r="AV565" s="10" t="e">
        <f>_xlfn.XLOOKUP(tbl_MTG_Set[[#This Row],[Collector Booster Box Product Id]], tbl_Product[Product Id], tbl_Product[Best Source])</f>
        <v>#N/A</v>
      </c>
      <c r="AW565" s="4" t="e">
        <f>_xlfn.XLOOKUP(tbl_MTG_Set[[#This Row],[Collector Booster Box Product Id]], tbl_Product[Product Id], tbl_Product[Pack Size])</f>
        <v>#N/A</v>
      </c>
      <c r="AX565" s="10" t="e">
        <f>(tbl_MTG_Set[[#This Row],[Collector Booster Box Cost]] + v_Item_Shipping_Cost_In) / tbl_MTG_Set[[#This Row],[Collector Booster Box Size]]</f>
        <v>#N/A</v>
      </c>
      <c r="AY565" s="10" t="str" cm="1">
        <f t="array" ref="AY5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5" s="10"/>
      <c r="BA5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5" s="17" t="e">
        <f>tbl_MTG_Set[[#This Row],[Collector Booster CardMarket Profit]]/tbl_MTG_Set[[#This Row],[Collector Booster Cost]]</f>
        <v>#N/A</v>
      </c>
      <c r="BC565" s="10"/>
      <c r="BF5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5" s="11" t="e">
        <f>tbl_MTG_Set[[#This Row],[Play Singles CardMarket Profit MTG Stocks]]/tbl_MTG_Set[[#This Row],[Play Booster Cost]]</f>
        <v>#VALUE!</v>
      </c>
      <c r="BI565" s="11" t="b">
        <f>tbl_MTG_Set[[#This Row],[Play Singles CardMarket Profit MTG Stocks]]&gt;0</f>
        <v>0</v>
      </c>
      <c r="BM565" s="10" t="e">
        <f>tbl_MTG_Set[[#This Row],[Play Booster Sell Price CardMarket]]*tbl_MTG_Set[[#This Row],[Play Booster Expected Market Value BotBox]]/tbl_MTG_Set[[#This Row],[Play Booster Sealed Market Value BotBox]]</f>
        <v>#VALUE!</v>
      </c>
      <c r="BN5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5" s="10" t="e">
        <f>tbl_MTG_Set[[#This Row],[Play Singles CardMarket Profit BotBox]]/tbl_MTG_Set[[#This Row],[Play Booster Cost]]</f>
        <v>#VALUE!</v>
      </c>
      <c r="BP565" s="10" t="b">
        <f>tbl_MTG_Set[[#This Row],[Play Singles CardMarket Profit BotBox]]&gt;0</f>
        <v>0</v>
      </c>
      <c r="BQ565" s="10"/>
      <c r="BR565" s="10"/>
      <c r="BS565" s="10"/>
      <c r="BT5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5" s="19" t="e">
        <f>tbl_MTG_Set[[#This Row],[Collector Singles CardMarket Profit MTG Stocks]]/tbl_MTG_Set[[#This Row],[Collector Booster Cost]]</f>
        <v>#N/A</v>
      </c>
      <c r="BW565" s="10" t="b">
        <f>tbl_MTG_Set[[#This Row],[Collector Singles CardMarket Profit MTG Stocks]]&gt;0</f>
        <v>0</v>
      </c>
      <c r="BX565" s="10"/>
      <c r="BY565" s="10"/>
      <c r="BZ5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5" s="10" t="e">
        <f>tbl_MTG_Set[[#This Row],[Collector Singles CardMarket Profit BotBox]]/tbl_MTG_Set[[#This Row],[Collector Booster Cost]]</f>
        <v>#N/A</v>
      </c>
      <c r="CC565" s="10" t="b">
        <f>tbl_MTG_Set[[#This Row],[Collector Singles CardMarket Profit BotBox]]&gt;0</f>
        <v>0</v>
      </c>
      <c r="CD5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6" spans="1:86" hidden="1">
      <c r="A566">
        <v>598</v>
      </c>
      <c r="B566" t="s">
        <v>739</v>
      </c>
      <c r="C566">
        <v>249</v>
      </c>
      <c r="D566" s="3">
        <v>42146</v>
      </c>
      <c r="F566" t="s">
        <v>174</v>
      </c>
      <c r="G566">
        <v>1142</v>
      </c>
      <c r="H566">
        <f ca="1">MONTH(NOW())+12*YEAR(NOW())-MONTH(tbl_MTG_Set[[#This Row],[Released On]])-12*YEAR(tbl_MTG_Set[[#This Row],[Released On]])</f>
        <v>130</v>
      </c>
      <c r="I566" t="str">
        <f>_xlfn.XLOOKUP(tbl_MTG_Set[[#This Row],[Type Name]], tbl_MTG_Set_Type[Set Type], tbl_MTG_Set_Type[Index], "(Set Type not found)")</f>
        <v>(Set Type not found)</v>
      </c>
      <c r="J566" t="str">
        <f>_xlfn.XLOOKUP(tbl_MTG_Set[[#This Row],[Type Name]], tbl_MTG_Set_Type[Set Type], tbl_MTG_Set_Type[Buy Window Month Start], "(Set Type not found)")</f>
        <v>(Set Type not found)</v>
      </c>
      <c r="K566" s="3" t="e">
        <f>tbl_MTG_Set[[#This Row],[Released On]]+tbl_MTG_Set[[#This Row],[Buy Window Month Start]]*365.25/12</f>
        <v>#VALUE!</v>
      </c>
      <c r="L566" t="str">
        <f>_xlfn.XLOOKUP(tbl_MTG_Set[[#This Row],[Type Name]], tbl_MTG_Set_Type[Set Type], tbl_MTG_Set_Type[Buy Window Month End], "(Set Type not found)", 0, 1)</f>
        <v>(Set Type not found)</v>
      </c>
      <c r="M566" s="3" t="e">
        <f>tbl_MTG_Set[[#This Row],[Released On]]+tbl_MTG_Set[[#This Row],[Buy Window Month End]]*365.25/12</f>
        <v>#VALUE!</v>
      </c>
      <c r="N566" s="3" t="e">
        <f ca="1">AND(NOW()&gt;=tbl_MTG_Set[[#This Row],[Buy Window Start]], NOW()&lt;=tbl_MTG_Set[[#This Row],[Buy Window End]])</f>
        <v>#VALUE!</v>
      </c>
      <c r="O566" t="str">
        <f>_xlfn.XLOOKUP(tbl_MTG_Set[[#This Row],[Type Name]], tbl_MTG_Set_Type[Set Type], tbl_MTG_Set_Type[Heavy Printing Window Month Start], "(Set Type not found)", 0, 1)</f>
        <v>(Set Type not found)</v>
      </c>
      <c r="P566" s="3" t="e">
        <f>tbl_MTG_Set[[#This Row],[Released On]]+tbl_MTG_Set[[#This Row],[Heavy Printing Window Month Start]]*365.25/12</f>
        <v>#VALUE!</v>
      </c>
      <c r="Q566" t="str">
        <f>_xlfn.XLOOKUP(tbl_MTG_Set[[#This Row],[Type Name]], tbl_MTG_Set_Type[Set Type], tbl_MTG_Set_Type[Heavy Printing Window Month End], "(Set Type not found)", 0, 1)</f>
        <v>(Set Type not found)</v>
      </c>
      <c r="R566" s="3" t="e">
        <f>tbl_MTG_Set[[#This Row],[Released On]]+tbl_MTG_Set[[#This Row],[Heavy Printing Window Month End]]*365.25/12</f>
        <v>#VALUE!</v>
      </c>
      <c r="S566" s="3" t="e">
        <f ca="1">AND(NOW()&gt;=tbl_MTG_Set[[#This Row],[Heavy Printing Window Start]], NOW()&lt;=tbl_MTG_Set[[#This Row],[Heavy Printing Window End]])</f>
        <v>#VALUE!</v>
      </c>
      <c r="T566" t="str">
        <f>_xlfn.XLOOKUP(tbl_MTG_Set[[#This Row],[Type Name]], tbl_MTG_Set_Type[Set Type], tbl_MTG_Set_Type[Sell Window Month Start], "(Set Type not found)", 0, 1)</f>
        <v>(Set Type not found)</v>
      </c>
      <c r="U566" s="3" t="e">
        <f>tbl_MTG_Set[[#This Row],[Released On]]+tbl_MTG_Set[[#This Row],[Sell Window Month Start]]*365.25/12</f>
        <v>#VALUE!</v>
      </c>
      <c r="V566" t="str">
        <f>_xlfn.XLOOKUP(tbl_MTG_Set[[#This Row],[Type Name]], tbl_MTG_Set_Type[Set Type], tbl_MTG_Set_Type[Sell Window Month End], "(Set Type not found)", 0, 1)</f>
        <v>(Set Type not found)</v>
      </c>
      <c r="W566" s="3" t="e">
        <f>tbl_MTG_Set[[#This Row],[Released On]]+tbl_MTG_Set[[#This Row],[Sell Window Month End]]*365.25/12</f>
        <v>#VALUE!</v>
      </c>
      <c r="X566" s="3" t="e">
        <f ca="1">AND(NOW()&gt;=tbl_MTG_Set[[#This Row],[Sell Window Start]], NOW()&lt;=tbl_MTG_Set[[#This Row],[Sell Window End]])</f>
        <v>#VALUE!</v>
      </c>
      <c r="AG566" s="10"/>
      <c r="AH566" s="10"/>
      <c r="AM566" s="10" t="str" cm="1">
        <f t="array" ref="AM5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6" s="10" t="str" cm="1">
        <f t="array" ref="AN5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6" s="4" t="e">
        <f>_xlfn.XLOOKUP(tbl_MTG_Set[[#This Row],[Play Booster Box Product Id]], tbl_Product[Product Id], tbl_Product[Pack Size])</f>
        <v>#N/A</v>
      </c>
      <c r="AP566" s="10" t="e">
        <f>(tbl_MTG_Set[[#This Row],[Play Booster Box Cost]]+v_Item_Shipping_Cost_In)/tbl_MTG_Set[[#This Row],[Play Booster Box Size]]</f>
        <v>#VALUE!</v>
      </c>
      <c r="AQ566" s="10" t="str" cm="1">
        <f t="array" ref="AQ5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6" s="10"/>
      <c r="AS566" s="10"/>
      <c r="AT566" s="17" t="e">
        <f>tbl_MTG_Set[[#This Row],[Play Booster CardMarket Profit]]/tbl_MTG_Set[[#This Row],[Play Booster Cost]]</f>
        <v>#VALUE!</v>
      </c>
      <c r="AU566" s="10" t="e">
        <f>_xlfn.XLOOKUP(tbl_MTG_Set[[#This Row],[Collector Booster Box Product Id]], tbl_Product[Product Id], tbl_Product[Min Cost])</f>
        <v>#N/A</v>
      </c>
      <c r="AV566" s="10" t="e">
        <f>_xlfn.XLOOKUP(tbl_MTG_Set[[#This Row],[Collector Booster Box Product Id]], tbl_Product[Product Id], tbl_Product[Best Source])</f>
        <v>#N/A</v>
      </c>
      <c r="AW566" s="4" t="e">
        <f>_xlfn.XLOOKUP(tbl_MTG_Set[[#This Row],[Collector Booster Box Product Id]], tbl_Product[Product Id], tbl_Product[Pack Size])</f>
        <v>#N/A</v>
      </c>
      <c r="AX566" s="10" t="e">
        <f>(tbl_MTG_Set[[#This Row],[Collector Booster Box Cost]] + v_Item_Shipping_Cost_In) / tbl_MTG_Set[[#This Row],[Collector Booster Box Size]]</f>
        <v>#N/A</v>
      </c>
      <c r="AY566" s="10" t="str" cm="1">
        <f t="array" ref="AY5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6" s="10"/>
      <c r="BA5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6" s="17" t="e">
        <f>tbl_MTG_Set[[#This Row],[Collector Booster CardMarket Profit]]/tbl_MTG_Set[[#This Row],[Collector Booster Cost]]</f>
        <v>#N/A</v>
      </c>
      <c r="BC566" s="10"/>
      <c r="BF5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6" s="11" t="e">
        <f>tbl_MTG_Set[[#This Row],[Play Singles CardMarket Profit MTG Stocks]]/tbl_MTG_Set[[#This Row],[Play Booster Cost]]</f>
        <v>#VALUE!</v>
      </c>
      <c r="BI566" s="11" t="b">
        <f>tbl_MTG_Set[[#This Row],[Play Singles CardMarket Profit MTG Stocks]]&gt;0</f>
        <v>0</v>
      </c>
      <c r="BM566" s="10" t="e">
        <f>tbl_MTG_Set[[#This Row],[Play Booster Sell Price CardMarket]]*tbl_MTG_Set[[#This Row],[Play Booster Expected Market Value BotBox]]/tbl_MTG_Set[[#This Row],[Play Booster Sealed Market Value BotBox]]</f>
        <v>#VALUE!</v>
      </c>
      <c r="BN5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6" s="10" t="e">
        <f>tbl_MTG_Set[[#This Row],[Play Singles CardMarket Profit BotBox]]/tbl_MTG_Set[[#This Row],[Play Booster Cost]]</f>
        <v>#VALUE!</v>
      </c>
      <c r="BP566" s="10" t="b">
        <f>tbl_MTG_Set[[#This Row],[Play Singles CardMarket Profit BotBox]]&gt;0</f>
        <v>0</v>
      </c>
      <c r="BQ566" s="10"/>
      <c r="BR566" s="10"/>
      <c r="BS566" s="10"/>
      <c r="BT5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6" s="19" t="e">
        <f>tbl_MTG_Set[[#This Row],[Collector Singles CardMarket Profit MTG Stocks]]/tbl_MTG_Set[[#This Row],[Collector Booster Cost]]</f>
        <v>#N/A</v>
      </c>
      <c r="BW566" s="10" t="b">
        <f>tbl_MTG_Set[[#This Row],[Collector Singles CardMarket Profit MTG Stocks]]&gt;0</f>
        <v>0</v>
      </c>
      <c r="BX566" s="10"/>
      <c r="BY566" s="10"/>
      <c r="BZ5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6" s="10" t="e">
        <f>tbl_MTG_Set[[#This Row],[Collector Singles CardMarket Profit BotBox]]/tbl_MTG_Set[[#This Row],[Collector Booster Cost]]</f>
        <v>#N/A</v>
      </c>
      <c r="CC566" s="10" t="b">
        <f>tbl_MTG_Set[[#This Row],[Collector Singles CardMarket Profit BotBox]]&gt;0</f>
        <v>0</v>
      </c>
      <c r="CD5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7" spans="1:86" hidden="1">
      <c r="A567">
        <v>599</v>
      </c>
      <c r="B567" t="s">
        <v>740</v>
      </c>
      <c r="C567">
        <v>16</v>
      </c>
      <c r="D567" s="3">
        <v>42146</v>
      </c>
      <c r="F567" t="s">
        <v>174</v>
      </c>
      <c r="G567">
        <v>1144</v>
      </c>
      <c r="H567">
        <f ca="1">MONTH(NOW())+12*YEAR(NOW())-MONTH(tbl_MTG_Set[[#This Row],[Released On]])-12*YEAR(tbl_MTG_Set[[#This Row],[Released On]])</f>
        <v>130</v>
      </c>
      <c r="I567" t="str">
        <f>_xlfn.XLOOKUP(tbl_MTG_Set[[#This Row],[Type Name]], tbl_MTG_Set_Type[Set Type], tbl_MTG_Set_Type[Index], "(Set Type not found)")</f>
        <v>(Set Type not found)</v>
      </c>
      <c r="J567" t="str">
        <f>_xlfn.XLOOKUP(tbl_MTG_Set[[#This Row],[Type Name]], tbl_MTG_Set_Type[Set Type], tbl_MTG_Set_Type[Buy Window Month Start], "(Set Type not found)")</f>
        <v>(Set Type not found)</v>
      </c>
      <c r="K567" s="3" t="e">
        <f>tbl_MTG_Set[[#This Row],[Released On]]+tbl_MTG_Set[[#This Row],[Buy Window Month Start]]*365.25/12</f>
        <v>#VALUE!</v>
      </c>
      <c r="L567" t="str">
        <f>_xlfn.XLOOKUP(tbl_MTG_Set[[#This Row],[Type Name]], tbl_MTG_Set_Type[Set Type], tbl_MTG_Set_Type[Buy Window Month End], "(Set Type not found)", 0, 1)</f>
        <v>(Set Type not found)</v>
      </c>
      <c r="M567" s="3" t="e">
        <f>tbl_MTG_Set[[#This Row],[Released On]]+tbl_MTG_Set[[#This Row],[Buy Window Month End]]*365.25/12</f>
        <v>#VALUE!</v>
      </c>
      <c r="N567" s="3" t="e">
        <f ca="1">AND(NOW()&gt;=tbl_MTG_Set[[#This Row],[Buy Window Start]], NOW()&lt;=tbl_MTG_Set[[#This Row],[Buy Window End]])</f>
        <v>#VALUE!</v>
      </c>
      <c r="O567" t="str">
        <f>_xlfn.XLOOKUP(tbl_MTG_Set[[#This Row],[Type Name]], tbl_MTG_Set_Type[Set Type], tbl_MTG_Set_Type[Heavy Printing Window Month Start], "(Set Type not found)", 0, 1)</f>
        <v>(Set Type not found)</v>
      </c>
      <c r="P567" s="3" t="e">
        <f>tbl_MTG_Set[[#This Row],[Released On]]+tbl_MTG_Set[[#This Row],[Heavy Printing Window Month Start]]*365.25/12</f>
        <v>#VALUE!</v>
      </c>
      <c r="Q567" t="str">
        <f>_xlfn.XLOOKUP(tbl_MTG_Set[[#This Row],[Type Name]], tbl_MTG_Set_Type[Set Type], tbl_MTG_Set_Type[Heavy Printing Window Month End], "(Set Type not found)", 0, 1)</f>
        <v>(Set Type not found)</v>
      </c>
      <c r="R567" s="3" t="e">
        <f>tbl_MTG_Set[[#This Row],[Released On]]+tbl_MTG_Set[[#This Row],[Heavy Printing Window Month End]]*365.25/12</f>
        <v>#VALUE!</v>
      </c>
      <c r="S567" s="3" t="e">
        <f ca="1">AND(NOW()&gt;=tbl_MTG_Set[[#This Row],[Heavy Printing Window Start]], NOW()&lt;=tbl_MTG_Set[[#This Row],[Heavy Printing Window End]])</f>
        <v>#VALUE!</v>
      </c>
      <c r="T567" t="str">
        <f>_xlfn.XLOOKUP(tbl_MTG_Set[[#This Row],[Type Name]], tbl_MTG_Set_Type[Set Type], tbl_MTG_Set_Type[Sell Window Month Start], "(Set Type not found)", 0, 1)</f>
        <v>(Set Type not found)</v>
      </c>
      <c r="U567" s="3" t="e">
        <f>tbl_MTG_Set[[#This Row],[Released On]]+tbl_MTG_Set[[#This Row],[Sell Window Month Start]]*365.25/12</f>
        <v>#VALUE!</v>
      </c>
      <c r="V567" t="str">
        <f>_xlfn.XLOOKUP(tbl_MTG_Set[[#This Row],[Type Name]], tbl_MTG_Set_Type[Set Type], tbl_MTG_Set_Type[Sell Window Month End], "(Set Type not found)", 0, 1)</f>
        <v>(Set Type not found)</v>
      </c>
      <c r="W567" s="3" t="e">
        <f>tbl_MTG_Set[[#This Row],[Released On]]+tbl_MTG_Set[[#This Row],[Sell Window Month End]]*365.25/12</f>
        <v>#VALUE!</v>
      </c>
      <c r="X567" s="3" t="e">
        <f ca="1">AND(NOW()&gt;=tbl_MTG_Set[[#This Row],[Sell Window Start]], NOW()&lt;=tbl_MTG_Set[[#This Row],[Sell Window End]])</f>
        <v>#VALUE!</v>
      </c>
      <c r="AG567" s="10"/>
      <c r="AH567" s="10"/>
      <c r="AM567" s="10" t="str" cm="1">
        <f t="array" ref="AM5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7" s="10" t="str" cm="1">
        <f t="array" ref="AN5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7" s="4" t="e">
        <f>_xlfn.XLOOKUP(tbl_MTG_Set[[#This Row],[Play Booster Box Product Id]], tbl_Product[Product Id], tbl_Product[Pack Size])</f>
        <v>#N/A</v>
      </c>
      <c r="AP567" s="10" t="e">
        <f>(tbl_MTG_Set[[#This Row],[Play Booster Box Cost]]+v_Item_Shipping_Cost_In)/tbl_MTG_Set[[#This Row],[Play Booster Box Size]]</f>
        <v>#VALUE!</v>
      </c>
      <c r="AQ567" s="10" t="str" cm="1">
        <f t="array" ref="AQ5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7" s="10"/>
      <c r="AS567" s="10"/>
      <c r="AT567" s="17" t="e">
        <f>tbl_MTG_Set[[#This Row],[Play Booster CardMarket Profit]]/tbl_MTG_Set[[#This Row],[Play Booster Cost]]</f>
        <v>#VALUE!</v>
      </c>
      <c r="AU567" s="10" t="e">
        <f>_xlfn.XLOOKUP(tbl_MTG_Set[[#This Row],[Collector Booster Box Product Id]], tbl_Product[Product Id], tbl_Product[Min Cost])</f>
        <v>#N/A</v>
      </c>
      <c r="AV567" s="10" t="e">
        <f>_xlfn.XLOOKUP(tbl_MTG_Set[[#This Row],[Collector Booster Box Product Id]], tbl_Product[Product Id], tbl_Product[Best Source])</f>
        <v>#N/A</v>
      </c>
      <c r="AW567" s="4" t="e">
        <f>_xlfn.XLOOKUP(tbl_MTG_Set[[#This Row],[Collector Booster Box Product Id]], tbl_Product[Product Id], tbl_Product[Pack Size])</f>
        <v>#N/A</v>
      </c>
      <c r="AX567" s="10" t="e">
        <f>(tbl_MTG_Set[[#This Row],[Collector Booster Box Cost]] + v_Item_Shipping_Cost_In) / tbl_MTG_Set[[#This Row],[Collector Booster Box Size]]</f>
        <v>#N/A</v>
      </c>
      <c r="AY567" s="10" t="str" cm="1">
        <f t="array" ref="AY5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7" s="10"/>
      <c r="BA5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7" s="17" t="e">
        <f>tbl_MTG_Set[[#This Row],[Collector Booster CardMarket Profit]]/tbl_MTG_Set[[#This Row],[Collector Booster Cost]]</f>
        <v>#N/A</v>
      </c>
      <c r="BC567" s="10"/>
      <c r="BF5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7" s="11" t="e">
        <f>tbl_MTG_Set[[#This Row],[Play Singles CardMarket Profit MTG Stocks]]/tbl_MTG_Set[[#This Row],[Play Booster Cost]]</f>
        <v>#VALUE!</v>
      </c>
      <c r="BI567" s="11" t="b">
        <f>tbl_MTG_Set[[#This Row],[Play Singles CardMarket Profit MTG Stocks]]&gt;0</f>
        <v>0</v>
      </c>
      <c r="BM567" s="10" t="e">
        <f>tbl_MTG_Set[[#This Row],[Play Booster Sell Price CardMarket]]*tbl_MTG_Set[[#This Row],[Play Booster Expected Market Value BotBox]]/tbl_MTG_Set[[#This Row],[Play Booster Sealed Market Value BotBox]]</f>
        <v>#VALUE!</v>
      </c>
      <c r="BN5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7" s="10" t="e">
        <f>tbl_MTG_Set[[#This Row],[Play Singles CardMarket Profit BotBox]]/tbl_MTG_Set[[#This Row],[Play Booster Cost]]</f>
        <v>#VALUE!</v>
      </c>
      <c r="BP567" s="10" t="b">
        <f>tbl_MTG_Set[[#This Row],[Play Singles CardMarket Profit BotBox]]&gt;0</f>
        <v>0</v>
      </c>
      <c r="BQ567" s="10"/>
      <c r="BR567" s="10"/>
      <c r="BS567" s="10"/>
      <c r="BT5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7" s="19" t="e">
        <f>tbl_MTG_Set[[#This Row],[Collector Singles CardMarket Profit MTG Stocks]]/tbl_MTG_Set[[#This Row],[Collector Booster Cost]]</f>
        <v>#N/A</v>
      </c>
      <c r="BW567" s="10" t="b">
        <f>tbl_MTG_Set[[#This Row],[Collector Singles CardMarket Profit MTG Stocks]]&gt;0</f>
        <v>0</v>
      </c>
      <c r="BX567" s="10"/>
      <c r="BY567" s="10"/>
      <c r="BZ5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7" s="10" t="e">
        <f>tbl_MTG_Set[[#This Row],[Collector Singles CardMarket Profit BotBox]]/tbl_MTG_Set[[#This Row],[Collector Booster Cost]]</f>
        <v>#N/A</v>
      </c>
      <c r="CC567" s="10" t="b">
        <f>tbl_MTG_Set[[#This Row],[Collector Singles CardMarket Profit BotBox]]&gt;0</f>
        <v>0</v>
      </c>
      <c r="CD5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8" spans="1:86" hidden="1">
      <c r="A568">
        <v>600</v>
      </c>
      <c r="B568" t="s">
        <v>741</v>
      </c>
      <c r="C568">
        <v>269</v>
      </c>
      <c r="D568" s="3">
        <v>42130</v>
      </c>
      <c r="F568" t="s">
        <v>174</v>
      </c>
      <c r="G568">
        <v>1146</v>
      </c>
      <c r="H568">
        <f ca="1">MONTH(NOW())+12*YEAR(NOW())-MONTH(tbl_MTG_Set[[#This Row],[Released On]])-12*YEAR(tbl_MTG_Set[[#This Row],[Released On]])</f>
        <v>130</v>
      </c>
      <c r="I568" t="str">
        <f>_xlfn.XLOOKUP(tbl_MTG_Set[[#This Row],[Type Name]], tbl_MTG_Set_Type[Set Type], tbl_MTG_Set_Type[Index], "(Set Type not found)")</f>
        <v>(Set Type not found)</v>
      </c>
      <c r="J568" t="str">
        <f>_xlfn.XLOOKUP(tbl_MTG_Set[[#This Row],[Type Name]], tbl_MTG_Set_Type[Set Type], tbl_MTG_Set_Type[Buy Window Month Start], "(Set Type not found)")</f>
        <v>(Set Type not found)</v>
      </c>
      <c r="K568" s="3" t="e">
        <f>tbl_MTG_Set[[#This Row],[Released On]]+tbl_MTG_Set[[#This Row],[Buy Window Month Start]]*365.25/12</f>
        <v>#VALUE!</v>
      </c>
      <c r="L568" t="str">
        <f>_xlfn.XLOOKUP(tbl_MTG_Set[[#This Row],[Type Name]], tbl_MTG_Set_Type[Set Type], tbl_MTG_Set_Type[Buy Window Month End], "(Set Type not found)", 0, 1)</f>
        <v>(Set Type not found)</v>
      </c>
      <c r="M568" s="3" t="e">
        <f>tbl_MTG_Set[[#This Row],[Released On]]+tbl_MTG_Set[[#This Row],[Buy Window Month End]]*365.25/12</f>
        <v>#VALUE!</v>
      </c>
      <c r="N568" s="3" t="e">
        <f ca="1">AND(NOW()&gt;=tbl_MTG_Set[[#This Row],[Buy Window Start]], NOW()&lt;=tbl_MTG_Set[[#This Row],[Buy Window End]])</f>
        <v>#VALUE!</v>
      </c>
      <c r="O568" t="str">
        <f>_xlfn.XLOOKUP(tbl_MTG_Set[[#This Row],[Type Name]], tbl_MTG_Set_Type[Set Type], tbl_MTG_Set_Type[Heavy Printing Window Month Start], "(Set Type not found)", 0, 1)</f>
        <v>(Set Type not found)</v>
      </c>
      <c r="P568" s="3" t="e">
        <f>tbl_MTG_Set[[#This Row],[Released On]]+tbl_MTG_Set[[#This Row],[Heavy Printing Window Month Start]]*365.25/12</f>
        <v>#VALUE!</v>
      </c>
      <c r="Q568" t="str">
        <f>_xlfn.XLOOKUP(tbl_MTG_Set[[#This Row],[Type Name]], tbl_MTG_Set_Type[Set Type], tbl_MTG_Set_Type[Heavy Printing Window Month End], "(Set Type not found)", 0, 1)</f>
        <v>(Set Type not found)</v>
      </c>
      <c r="R568" s="3" t="e">
        <f>tbl_MTG_Set[[#This Row],[Released On]]+tbl_MTG_Set[[#This Row],[Heavy Printing Window Month End]]*365.25/12</f>
        <v>#VALUE!</v>
      </c>
      <c r="S568" s="3" t="e">
        <f ca="1">AND(NOW()&gt;=tbl_MTG_Set[[#This Row],[Heavy Printing Window Start]], NOW()&lt;=tbl_MTG_Set[[#This Row],[Heavy Printing Window End]])</f>
        <v>#VALUE!</v>
      </c>
      <c r="T568" t="str">
        <f>_xlfn.XLOOKUP(tbl_MTG_Set[[#This Row],[Type Name]], tbl_MTG_Set_Type[Set Type], tbl_MTG_Set_Type[Sell Window Month Start], "(Set Type not found)", 0, 1)</f>
        <v>(Set Type not found)</v>
      </c>
      <c r="U568" s="3" t="e">
        <f>tbl_MTG_Set[[#This Row],[Released On]]+tbl_MTG_Set[[#This Row],[Sell Window Month Start]]*365.25/12</f>
        <v>#VALUE!</v>
      </c>
      <c r="V568" t="str">
        <f>_xlfn.XLOOKUP(tbl_MTG_Set[[#This Row],[Type Name]], tbl_MTG_Set_Type[Set Type], tbl_MTG_Set_Type[Sell Window Month End], "(Set Type not found)", 0, 1)</f>
        <v>(Set Type not found)</v>
      </c>
      <c r="W568" s="3" t="e">
        <f>tbl_MTG_Set[[#This Row],[Released On]]+tbl_MTG_Set[[#This Row],[Sell Window Month End]]*365.25/12</f>
        <v>#VALUE!</v>
      </c>
      <c r="X568" s="3" t="e">
        <f ca="1">AND(NOW()&gt;=tbl_MTG_Set[[#This Row],[Sell Window Start]], NOW()&lt;=tbl_MTG_Set[[#This Row],[Sell Window End]])</f>
        <v>#VALUE!</v>
      </c>
      <c r="AG568" s="10"/>
      <c r="AH568" s="10"/>
      <c r="AM568" s="10" t="str" cm="1">
        <f t="array" ref="AM5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8" s="10" t="str" cm="1">
        <f t="array" ref="AN5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8" s="4" t="e">
        <f>_xlfn.XLOOKUP(tbl_MTG_Set[[#This Row],[Play Booster Box Product Id]], tbl_Product[Product Id], tbl_Product[Pack Size])</f>
        <v>#N/A</v>
      </c>
      <c r="AP568" s="10" t="e">
        <f>(tbl_MTG_Set[[#This Row],[Play Booster Box Cost]]+v_Item_Shipping_Cost_In)/tbl_MTG_Set[[#This Row],[Play Booster Box Size]]</f>
        <v>#VALUE!</v>
      </c>
      <c r="AQ568" s="10" t="str" cm="1">
        <f t="array" ref="AQ5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8" s="10"/>
      <c r="AS568" s="10"/>
      <c r="AT568" s="17" t="e">
        <f>tbl_MTG_Set[[#This Row],[Play Booster CardMarket Profit]]/tbl_MTG_Set[[#This Row],[Play Booster Cost]]</f>
        <v>#VALUE!</v>
      </c>
      <c r="AU568" s="10" t="e">
        <f>_xlfn.XLOOKUP(tbl_MTG_Set[[#This Row],[Collector Booster Box Product Id]], tbl_Product[Product Id], tbl_Product[Min Cost])</f>
        <v>#N/A</v>
      </c>
      <c r="AV568" s="10" t="e">
        <f>_xlfn.XLOOKUP(tbl_MTG_Set[[#This Row],[Collector Booster Box Product Id]], tbl_Product[Product Id], tbl_Product[Best Source])</f>
        <v>#N/A</v>
      </c>
      <c r="AW568" s="4" t="e">
        <f>_xlfn.XLOOKUP(tbl_MTG_Set[[#This Row],[Collector Booster Box Product Id]], tbl_Product[Product Id], tbl_Product[Pack Size])</f>
        <v>#N/A</v>
      </c>
      <c r="AX568" s="10" t="e">
        <f>(tbl_MTG_Set[[#This Row],[Collector Booster Box Cost]] + v_Item_Shipping_Cost_In) / tbl_MTG_Set[[#This Row],[Collector Booster Box Size]]</f>
        <v>#N/A</v>
      </c>
      <c r="AY568" s="10" t="str" cm="1">
        <f t="array" ref="AY5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8" s="10"/>
      <c r="BA5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8" s="17" t="e">
        <f>tbl_MTG_Set[[#This Row],[Collector Booster CardMarket Profit]]/tbl_MTG_Set[[#This Row],[Collector Booster Cost]]</f>
        <v>#N/A</v>
      </c>
      <c r="BC568" s="10"/>
      <c r="BF5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8" s="11" t="e">
        <f>tbl_MTG_Set[[#This Row],[Play Singles CardMarket Profit MTG Stocks]]/tbl_MTG_Set[[#This Row],[Play Booster Cost]]</f>
        <v>#VALUE!</v>
      </c>
      <c r="BI568" s="11" t="b">
        <f>tbl_MTG_Set[[#This Row],[Play Singles CardMarket Profit MTG Stocks]]&gt;0</f>
        <v>0</v>
      </c>
      <c r="BM568" s="10" t="e">
        <f>tbl_MTG_Set[[#This Row],[Play Booster Sell Price CardMarket]]*tbl_MTG_Set[[#This Row],[Play Booster Expected Market Value BotBox]]/tbl_MTG_Set[[#This Row],[Play Booster Sealed Market Value BotBox]]</f>
        <v>#VALUE!</v>
      </c>
      <c r="BN5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8" s="10" t="e">
        <f>tbl_MTG_Set[[#This Row],[Play Singles CardMarket Profit BotBox]]/tbl_MTG_Set[[#This Row],[Play Booster Cost]]</f>
        <v>#VALUE!</v>
      </c>
      <c r="BP568" s="10" t="b">
        <f>tbl_MTG_Set[[#This Row],[Play Singles CardMarket Profit BotBox]]&gt;0</f>
        <v>0</v>
      </c>
      <c r="BQ568" s="10"/>
      <c r="BR568" s="10"/>
      <c r="BS568" s="10"/>
      <c r="BT5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8" s="19" t="e">
        <f>tbl_MTG_Set[[#This Row],[Collector Singles CardMarket Profit MTG Stocks]]/tbl_MTG_Set[[#This Row],[Collector Booster Cost]]</f>
        <v>#N/A</v>
      </c>
      <c r="BW568" s="10" t="b">
        <f>tbl_MTG_Set[[#This Row],[Collector Singles CardMarket Profit MTG Stocks]]&gt;0</f>
        <v>0</v>
      </c>
      <c r="BX568" s="10"/>
      <c r="BY568" s="10"/>
      <c r="BZ5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8" s="10" t="e">
        <f>tbl_MTG_Set[[#This Row],[Collector Singles CardMarket Profit BotBox]]/tbl_MTG_Set[[#This Row],[Collector Booster Cost]]</f>
        <v>#N/A</v>
      </c>
      <c r="CC568" s="10" t="b">
        <f>tbl_MTG_Set[[#This Row],[Collector Singles CardMarket Profit BotBox]]&gt;0</f>
        <v>0</v>
      </c>
      <c r="CD5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69" spans="1:86" hidden="1">
      <c r="A569">
        <v>601</v>
      </c>
      <c r="B569" t="s">
        <v>742</v>
      </c>
      <c r="C569">
        <v>264</v>
      </c>
      <c r="D569" s="3">
        <v>42090</v>
      </c>
      <c r="F569" t="s">
        <v>174</v>
      </c>
      <c r="G569">
        <v>1148</v>
      </c>
      <c r="H569">
        <f ca="1">MONTH(NOW())+12*YEAR(NOW())-MONTH(tbl_MTG_Set[[#This Row],[Released On]])-12*YEAR(tbl_MTG_Set[[#This Row],[Released On]])</f>
        <v>132</v>
      </c>
      <c r="I569" t="str">
        <f>_xlfn.XLOOKUP(tbl_MTG_Set[[#This Row],[Type Name]], tbl_MTG_Set_Type[Set Type], tbl_MTG_Set_Type[Index], "(Set Type not found)")</f>
        <v>(Set Type not found)</v>
      </c>
      <c r="J569" t="str">
        <f>_xlfn.XLOOKUP(tbl_MTG_Set[[#This Row],[Type Name]], tbl_MTG_Set_Type[Set Type], tbl_MTG_Set_Type[Buy Window Month Start], "(Set Type not found)")</f>
        <v>(Set Type not found)</v>
      </c>
      <c r="K569" s="3" t="e">
        <f>tbl_MTG_Set[[#This Row],[Released On]]+tbl_MTG_Set[[#This Row],[Buy Window Month Start]]*365.25/12</f>
        <v>#VALUE!</v>
      </c>
      <c r="L569" t="str">
        <f>_xlfn.XLOOKUP(tbl_MTG_Set[[#This Row],[Type Name]], tbl_MTG_Set_Type[Set Type], tbl_MTG_Set_Type[Buy Window Month End], "(Set Type not found)", 0, 1)</f>
        <v>(Set Type not found)</v>
      </c>
      <c r="M569" s="3" t="e">
        <f>tbl_MTG_Set[[#This Row],[Released On]]+tbl_MTG_Set[[#This Row],[Buy Window Month End]]*365.25/12</f>
        <v>#VALUE!</v>
      </c>
      <c r="N569" s="3" t="e">
        <f ca="1">AND(NOW()&gt;=tbl_MTG_Set[[#This Row],[Buy Window Start]], NOW()&lt;=tbl_MTG_Set[[#This Row],[Buy Window End]])</f>
        <v>#VALUE!</v>
      </c>
      <c r="O569" t="str">
        <f>_xlfn.XLOOKUP(tbl_MTG_Set[[#This Row],[Type Name]], tbl_MTG_Set_Type[Set Type], tbl_MTG_Set_Type[Heavy Printing Window Month Start], "(Set Type not found)", 0, 1)</f>
        <v>(Set Type not found)</v>
      </c>
      <c r="P569" s="3" t="e">
        <f>tbl_MTG_Set[[#This Row],[Released On]]+tbl_MTG_Set[[#This Row],[Heavy Printing Window Month Start]]*365.25/12</f>
        <v>#VALUE!</v>
      </c>
      <c r="Q569" t="str">
        <f>_xlfn.XLOOKUP(tbl_MTG_Set[[#This Row],[Type Name]], tbl_MTG_Set_Type[Set Type], tbl_MTG_Set_Type[Heavy Printing Window Month End], "(Set Type not found)", 0, 1)</f>
        <v>(Set Type not found)</v>
      </c>
      <c r="R569" s="3" t="e">
        <f>tbl_MTG_Set[[#This Row],[Released On]]+tbl_MTG_Set[[#This Row],[Heavy Printing Window Month End]]*365.25/12</f>
        <v>#VALUE!</v>
      </c>
      <c r="S569" s="3" t="e">
        <f ca="1">AND(NOW()&gt;=tbl_MTG_Set[[#This Row],[Heavy Printing Window Start]], NOW()&lt;=tbl_MTG_Set[[#This Row],[Heavy Printing Window End]])</f>
        <v>#VALUE!</v>
      </c>
      <c r="T569" t="str">
        <f>_xlfn.XLOOKUP(tbl_MTG_Set[[#This Row],[Type Name]], tbl_MTG_Set_Type[Set Type], tbl_MTG_Set_Type[Sell Window Month Start], "(Set Type not found)", 0, 1)</f>
        <v>(Set Type not found)</v>
      </c>
      <c r="U569" s="3" t="e">
        <f>tbl_MTG_Set[[#This Row],[Released On]]+tbl_MTG_Set[[#This Row],[Sell Window Month Start]]*365.25/12</f>
        <v>#VALUE!</v>
      </c>
      <c r="V569" t="str">
        <f>_xlfn.XLOOKUP(tbl_MTG_Set[[#This Row],[Type Name]], tbl_MTG_Set_Type[Set Type], tbl_MTG_Set_Type[Sell Window Month End], "(Set Type not found)", 0, 1)</f>
        <v>(Set Type not found)</v>
      </c>
      <c r="W569" s="3" t="e">
        <f>tbl_MTG_Set[[#This Row],[Released On]]+tbl_MTG_Set[[#This Row],[Sell Window Month End]]*365.25/12</f>
        <v>#VALUE!</v>
      </c>
      <c r="X569" s="3" t="e">
        <f ca="1">AND(NOW()&gt;=tbl_MTG_Set[[#This Row],[Sell Window Start]], NOW()&lt;=tbl_MTG_Set[[#This Row],[Sell Window End]])</f>
        <v>#VALUE!</v>
      </c>
      <c r="AG569" s="10"/>
      <c r="AH569" s="10"/>
      <c r="AM569" s="10" t="str" cm="1">
        <f t="array" ref="AM5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69" s="10" t="str" cm="1">
        <f t="array" ref="AN5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69" s="4" t="e">
        <f>_xlfn.XLOOKUP(tbl_MTG_Set[[#This Row],[Play Booster Box Product Id]], tbl_Product[Product Id], tbl_Product[Pack Size])</f>
        <v>#N/A</v>
      </c>
      <c r="AP569" s="10" t="e">
        <f>(tbl_MTG_Set[[#This Row],[Play Booster Box Cost]]+v_Item_Shipping_Cost_In)/tbl_MTG_Set[[#This Row],[Play Booster Box Size]]</f>
        <v>#VALUE!</v>
      </c>
      <c r="AQ569" s="10" t="str" cm="1">
        <f t="array" ref="AQ5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69" s="10"/>
      <c r="AS569" s="10"/>
      <c r="AT569" s="17" t="e">
        <f>tbl_MTG_Set[[#This Row],[Play Booster CardMarket Profit]]/tbl_MTG_Set[[#This Row],[Play Booster Cost]]</f>
        <v>#VALUE!</v>
      </c>
      <c r="AU569" s="10" t="e">
        <f>_xlfn.XLOOKUP(tbl_MTG_Set[[#This Row],[Collector Booster Box Product Id]], tbl_Product[Product Id], tbl_Product[Min Cost])</f>
        <v>#N/A</v>
      </c>
      <c r="AV569" s="10" t="e">
        <f>_xlfn.XLOOKUP(tbl_MTG_Set[[#This Row],[Collector Booster Box Product Id]], tbl_Product[Product Id], tbl_Product[Best Source])</f>
        <v>#N/A</v>
      </c>
      <c r="AW569" s="4" t="e">
        <f>_xlfn.XLOOKUP(tbl_MTG_Set[[#This Row],[Collector Booster Box Product Id]], tbl_Product[Product Id], tbl_Product[Pack Size])</f>
        <v>#N/A</v>
      </c>
      <c r="AX569" s="10" t="e">
        <f>(tbl_MTG_Set[[#This Row],[Collector Booster Box Cost]] + v_Item_Shipping_Cost_In) / tbl_MTG_Set[[#This Row],[Collector Booster Box Size]]</f>
        <v>#N/A</v>
      </c>
      <c r="AY569" s="10" t="str" cm="1">
        <f t="array" ref="AY5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69" s="10"/>
      <c r="BA5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69" s="17" t="e">
        <f>tbl_MTG_Set[[#This Row],[Collector Booster CardMarket Profit]]/tbl_MTG_Set[[#This Row],[Collector Booster Cost]]</f>
        <v>#N/A</v>
      </c>
      <c r="BC569" s="10"/>
      <c r="BF5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69" s="11" t="e">
        <f>tbl_MTG_Set[[#This Row],[Play Singles CardMarket Profit MTG Stocks]]/tbl_MTG_Set[[#This Row],[Play Booster Cost]]</f>
        <v>#VALUE!</v>
      </c>
      <c r="BI569" s="11" t="b">
        <f>tbl_MTG_Set[[#This Row],[Play Singles CardMarket Profit MTG Stocks]]&gt;0</f>
        <v>0</v>
      </c>
      <c r="BM569" s="10" t="e">
        <f>tbl_MTG_Set[[#This Row],[Play Booster Sell Price CardMarket]]*tbl_MTG_Set[[#This Row],[Play Booster Expected Market Value BotBox]]/tbl_MTG_Set[[#This Row],[Play Booster Sealed Market Value BotBox]]</f>
        <v>#VALUE!</v>
      </c>
      <c r="BN5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69" s="10" t="e">
        <f>tbl_MTG_Set[[#This Row],[Play Singles CardMarket Profit BotBox]]/tbl_MTG_Set[[#This Row],[Play Booster Cost]]</f>
        <v>#VALUE!</v>
      </c>
      <c r="BP569" s="10" t="b">
        <f>tbl_MTG_Set[[#This Row],[Play Singles CardMarket Profit BotBox]]&gt;0</f>
        <v>0</v>
      </c>
      <c r="BQ569" s="10"/>
      <c r="BR569" s="10"/>
      <c r="BS569" s="10"/>
      <c r="BT5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69" s="19" t="e">
        <f>tbl_MTG_Set[[#This Row],[Collector Singles CardMarket Profit MTG Stocks]]/tbl_MTG_Set[[#This Row],[Collector Booster Cost]]</f>
        <v>#N/A</v>
      </c>
      <c r="BW569" s="10" t="b">
        <f>tbl_MTG_Set[[#This Row],[Collector Singles CardMarket Profit MTG Stocks]]&gt;0</f>
        <v>0</v>
      </c>
      <c r="BX569" s="10"/>
      <c r="BY569" s="10"/>
      <c r="BZ5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69" s="10" t="e">
        <f>tbl_MTG_Set[[#This Row],[Collector Singles CardMarket Profit BotBox]]/tbl_MTG_Set[[#This Row],[Collector Booster Cost]]</f>
        <v>#N/A</v>
      </c>
      <c r="CC569" s="10" t="b">
        <f>tbl_MTG_Set[[#This Row],[Collector Singles CardMarket Profit BotBox]]&gt;0</f>
        <v>0</v>
      </c>
      <c r="CD5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0" spans="1:86" hidden="1">
      <c r="A570">
        <v>602</v>
      </c>
      <c r="B570" t="s">
        <v>743</v>
      </c>
      <c r="C570">
        <v>51</v>
      </c>
      <c r="D570" s="3">
        <v>42090</v>
      </c>
      <c r="F570" t="s">
        <v>174</v>
      </c>
      <c r="G570">
        <v>1150</v>
      </c>
      <c r="H570">
        <f ca="1">MONTH(NOW())+12*YEAR(NOW())-MONTH(tbl_MTG_Set[[#This Row],[Released On]])-12*YEAR(tbl_MTG_Set[[#This Row],[Released On]])</f>
        <v>132</v>
      </c>
      <c r="I570" t="str">
        <f>_xlfn.XLOOKUP(tbl_MTG_Set[[#This Row],[Type Name]], tbl_MTG_Set_Type[Set Type], tbl_MTG_Set_Type[Index], "(Set Type not found)")</f>
        <v>(Set Type not found)</v>
      </c>
      <c r="J570" t="str">
        <f>_xlfn.XLOOKUP(tbl_MTG_Set[[#This Row],[Type Name]], tbl_MTG_Set_Type[Set Type], tbl_MTG_Set_Type[Buy Window Month Start], "(Set Type not found)")</f>
        <v>(Set Type not found)</v>
      </c>
      <c r="K570" s="3" t="e">
        <f>tbl_MTG_Set[[#This Row],[Released On]]+tbl_MTG_Set[[#This Row],[Buy Window Month Start]]*365.25/12</f>
        <v>#VALUE!</v>
      </c>
      <c r="L570" t="str">
        <f>_xlfn.XLOOKUP(tbl_MTG_Set[[#This Row],[Type Name]], tbl_MTG_Set_Type[Set Type], tbl_MTG_Set_Type[Buy Window Month End], "(Set Type not found)", 0, 1)</f>
        <v>(Set Type not found)</v>
      </c>
      <c r="M570" s="3" t="e">
        <f>tbl_MTG_Set[[#This Row],[Released On]]+tbl_MTG_Set[[#This Row],[Buy Window Month End]]*365.25/12</f>
        <v>#VALUE!</v>
      </c>
      <c r="N570" s="3" t="e">
        <f ca="1">AND(NOW()&gt;=tbl_MTG_Set[[#This Row],[Buy Window Start]], NOW()&lt;=tbl_MTG_Set[[#This Row],[Buy Window End]])</f>
        <v>#VALUE!</v>
      </c>
      <c r="O570" t="str">
        <f>_xlfn.XLOOKUP(tbl_MTG_Set[[#This Row],[Type Name]], tbl_MTG_Set_Type[Set Type], tbl_MTG_Set_Type[Heavy Printing Window Month Start], "(Set Type not found)", 0, 1)</f>
        <v>(Set Type not found)</v>
      </c>
      <c r="P570" s="3" t="e">
        <f>tbl_MTG_Set[[#This Row],[Released On]]+tbl_MTG_Set[[#This Row],[Heavy Printing Window Month Start]]*365.25/12</f>
        <v>#VALUE!</v>
      </c>
      <c r="Q570" t="str">
        <f>_xlfn.XLOOKUP(tbl_MTG_Set[[#This Row],[Type Name]], tbl_MTG_Set_Type[Set Type], tbl_MTG_Set_Type[Heavy Printing Window Month End], "(Set Type not found)", 0, 1)</f>
        <v>(Set Type not found)</v>
      </c>
      <c r="R570" s="3" t="e">
        <f>tbl_MTG_Set[[#This Row],[Released On]]+tbl_MTG_Set[[#This Row],[Heavy Printing Window Month End]]*365.25/12</f>
        <v>#VALUE!</v>
      </c>
      <c r="S570" s="3" t="e">
        <f ca="1">AND(NOW()&gt;=tbl_MTG_Set[[#This Row],[Heavy Printing Window Start]], NOW()&lt;=tbl_MTG_Set[[#This Row],[Heavy Printing Window End]])</f>
        <v>#VALUE!</v>
      </c>
      <c r="T570" t="str">
        <f>_xlfn.XLOOKUP(tbl_MTG_Set[[#This Row],[Type Name]], tbl_MTG_Set_Type[Set Type], tbl_MTG_Set_Type[Sell Window Month Start], "(Set Type not found)", 0, 1)</f>
        <v>(Set Type not found)</v>
      </c>
      <c r="U570" s="3" t="e">
        <f>tbl_MTG_Set[[#This Row],[Released On]]+tbl_MTG_Set[[#This Row],[Sell Window Month Start]]*365.25/12</f>
        <v>#VALUE!</v>
      </c>
      <c r="V570" t="str">
        <f>_xlfn.XLOOKUP(tbl_MTG_Set[[#This Row],[Type Name]], tbl_MTG_Set_Type[Set Type], tbl_MTG_Set_Type[Sell Window Month End], "(Set Type not found)", 0, 1)</f>
        <v>(Set Type not found)</v>
      </c>
      <c r="W570" s="3" t="e">
        <f>tbl_MTG_Set[[#This Row],[Released On]]+tbl_MTG_Set[[#This Row],[Sell Window Month End]]*365.25/12</f>
        <v>#VALUE!</v>
      </c>
      <c r="X570" s="3" t="e">
        <f ca="1">AND(NOW()&gt;=tbl_MTG_Set[[#This Row],[Sell Window Start]], NOW()&lt;=tbl_MTG_Set[[#This Row],[Sell Window End]])</f>
        <v>#VALUE!</v>
      </c>
      <c r="AG570" s="10"/>
      <c r="AH570" s="10"/>
      <c r="AM570" s="10" t="str" cm="1">
        <f t="array" ref="AM5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0" s="10" t="str" cm="1">
        <f t="array" ref="AN5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0" s="4" t="e">
        <f>_xlfn.XLOOKUP(tbl_MTG_Set[[#This Row],[Play Booster Box Product Id]], tbl_Product[Product Id], tbl_Product[Pack Size])</f>
        <v>#N/A</v>
      </c>
      <c r="AP570" s="10" t="e">
        <f>(tbl_MTG_Set[[#This Row],[Play Booster Box Cost]]+v_Item_Shipping_Cost_In)/tbl_MTG_Set[[#This Row],[Play Booster Box Size]]</f>
        <v>#VALUE!</v>
      </c>
      <c r="AQ570" s="10" t="str" cm="1">
        <f t="array" ref="AQ5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0" s="10"/>
      <c r="AS570" s="10"/>
      <c r="AT570" s="17" t="e">
        <f>tbl_MTG_Set[[#This Row],[Play Booster CardMarket Profit]]/tbl_MTG_Set[[#This Row],[Play Booster Cost]]</f>
        <v>#VALUE!</v>
      </c>
      <c r="AU570" s="10" t="e">
        <f>_xlfn.XLOOKUP(tbl_MTG_Set[[#This Row],[Collector Booster Box Product Id]], tbl_Product[Product Id], tbl_Product[Min Cost])</f>
        <v>#N/A</v>
      </c>
      <c r="AV570" s="10" t="e">
        <f>_xlfn.XLOOKUP(tbl_MTG_Set[[#This Row],[Collector Booster Box Product Id]], tbl_Product[Product Id], tbl_Product[Best Source])</f>
        <v>#N/A</v>
      </c>
      <c r="AW570" s="4" t="e">
        <f>_xlfn.XLOOKUP(tbl_MTG_Set[[#This Row],[Collector Booster Box Product Id]], tbl_Product[Product Id], tbl_Product[Pack Size])</f>
        <v>#N/A</v>
      </c>
      <c r="AX570" s="10" t="e">
        <f>(tbl_MTG_Set[[#This Row],[Collector Booster Box Cost]] + v_Item_Shipping_Cost_In) / tbl_MTG_Set[[#This Row],[Collector Booster Box Size]]</f>
        <v>#N/A</v>
      </c>
      <c r="AY570" s="10" t="str" cm="1">
        <f t="array" ref="AY5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0" s="10"/>
      <c r="BA5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0" s="17" t="e">
        <f>tbl_MTG_Set[[#This Row],[Collector Booster CardMarket Profit]]/tbl_MTG_Set[[#This Row],[Collector Booster Cost]]</f>
        <v>#N/A</v>
      </c>
      <c r="BC570" s="10"/>
      <c r="BF5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0" s="11" t="e">
        <f>tbl_MTG_Set[[#This Row],[Play Singles CardMarket Profit MTG Stocks]]/tbl_MTG_Set[[#This Row],[Play Booster Cost]]</f>
        <v>#VALUE!</v>
      </c>
      <c r="BI570" s="11" t="b">
        <f>tbl_MTG_Set[[#This Row],[Play Singles CardMarket Profit MTG Stocks]]&gt;0</f>
        <v>0</v>
      </c>
      <c r="BM570" s="10" t="e">
        <f>tbl_MTG_Set[[#This Row],[Play Booster Sell Price CardMarket]]*tbl_MTG_Set[[#This Row],[Play Booster Expected Market Value BotBox]]/tbl_MTG_Set[[#This Row],[Play Booster Sealed Market Value BotBox]]</f>
        <v>#VALUE!</v>
      </c>
      <c r="BN5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0" s="10" t="e">
        <f>tbl_MTG_Set[[#This Row],[Play Singles CardMarket Profit BotBox]]/tbl_MTG_Set[[#This Row],[Play Booster Cost]]</f>
        <v>#VALUE!</v>
      </c>
      <c r="BP570" s="10" t="b">
        <f>tbl_MTG_Set[[#This Row],[Play Singles CardMarket Profit BotBox]]&gt;0</f>
        <v>0</v>
      </c>
      <c r="BQ570" s="10"/>
      <c r="BR570" s="10"/>
      <c r="BS570" s="10"/>
      <c r="BT5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0" s="19" t="e">
        <f>tbl_MTG_Set[[#This Row],[Collector Singles CardMarket Profit MTG Stocks]]/tbl_MTG_Set[[#This Row],[Collector Booster Cost]]</f>
        <v>#N/A</v>
      </c>
      <c r="BW570" s="10" t="b">
        <f>tbl_MTG_Set[[#This Row],[Collector Singles CardMarket Profit MTG Stocks]]&gt;0</f>
        <v>0</v>
      </c>
      <c r="BX570" s="10"/>
      <c r="BY570" s="10"/>
      <c r="BZ5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0" s="10" t="e">
        <f>tbl_MTG_Set[[#This Row],[Collector Singles CardMarket Profit BotBox]]/tbl_MTG_Set[[#This Row],[Collector Booster Cost]]</f>
        <v>#N/A</v>
      </c>
      <c r="CC570" s="10" t="b">
        <f>tbl_MTG_Set[[#This Row],[Collector Singles CardMarket Profit BotBox]]&gt;0</f>
        <v>0</v>
      </c>
      <c r="CD5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1" spans="1:86" hidden="1">
      <c r="A571">
        <v>603</v>
      </c>
      <c r="B571" t="s">
        <v>744</v>
      </c>
      <c r="C571">
        <v>8</v>
      </c>
      <c r="D571" s="3">
        <v>42090</v>
      </c>
      <c r="F571" t="s">
        <v>174</v>
      </c>
      <c r="G571">
        <v>1152</v>
      </c>
      <c r="H571">
        <f ca="1">MONTH(NOW())+12*YEAR(NOW())-MONTH(tbl_MTG_Set[[#This Row],[Released On]])-12*YEAR(tbl_MTG_Set[[#This Row],[Released On]])</f>
        <v>132</v>
      </c>
      <c r="I571" t="str">
        <f>_xlfn.XLOOKUP(tbl_MTG_Set[[#This Row],[Type Name]], tbl_MTG_Set_Type[Set Type], tbl_MTG_Set_Type[Index], "(Set Type not found)")</f>
        <v>(Set Type not found)</v>
      </c>
      <c r="J571" t="str">
        <f>_xlfn.XLOOKUP(tbl_MTG_Set[[#This Row],[Type Name]], tbl_MTG_Set_Type[Set Type], tbl_MTG_Set_Type[Buy Window Month Start], "(Set Type not found)")</f>
        <v>(Set Type not found)</v>
      </c>
      <c r="K571" s="3" t="e">
        <f>tbl_MTG_Set[[#This Row],[Released On]]+tbl_MTG_Set[[#This Row],[Buy Window Month Start]]*365.25/12</f>
        <v>#VALUE!</v>
      </c>
      <c r="L571" t="str">
        <f>_xlfn.XLOOKUP(tbl_MTG_Set[[#This Row],[Type Name]], tbl_MTG_Set_Type[Set Type], tbl_MTG_Set_Type[Buy Window Month End], "(Set Type not found)", 0, 1)</f>
        <v>(Set Type not found)</v>
      </c>
      <c r="M571" s="3" t="e">
        <f>tbl_MTG_Set[[#This Row],[Released On]]+tbl_MTG_Set[[#This Row],[Buy Window Month End]]*365.25/12</f>
        <v>#VALUE!</v>
      </c>
      <c r="N571" s="3" t="e">
        <f ca="1">AND(NOW()&gt;=tbl_MTG_Set[[#This Row],[Buy Window Start]], NOW()&lt;=tbl_MTG_Set[[#This Row],[Buy Window End]])</f>
        <v>#VALUE!</v>
      </c>
      <c r="O571" t="str">
        <f>_xlfn.XLOOKUP(tbl_MTG_Set[[#This Row],[Type Name]], tbl_MTG_Set_Type[Set Type], tbl_MTG_Set_Type[Heavy Printing Window Month Start], "(Set Type not found)", 0, 1)</f>
        <v>(Set Type not found)</v>
      </c>
      <c r="P571" s="3" t="e">
        <f>tbl_MTG_Set[[#This Row],[Released On]]+tbl_MTG_Set[[#This Row],[Heavy Printing Window Month Start]]*365.25/12</f>
        <v>#VALUE!</v>
      </c>
      <c r="Q571" t="str">
        <f>_xlfn.XLOOKUP(tbl_MTG_Set[[#This Row],[Type Name]], tbl_MTG_Set_Type[Set Type], tbl_MTG_Set_Type[Heavy Printing Window Month End], "(Set Type not found)", 0, 1)</f>
        <v>(Set Type not found)</v>
      </c>
      <c r="R571" s="3" t="e">
        <f>tbl_MTG_Set[[#This Row],[Released On]]+tbl_MTG_Set[[#This Row],[Heavy Printing Window Month End]]*365.25/12</f>
        <v>#VALUE!</v>
      </c>
      <c r="S571" s="3" t="e">
        <f ca="1">AND(NOW()&gt;=tbl_MTG_Set[[#This Row],[Heavy Printing Window Start]], NOW()&lt;=tbl_MTG_Set[[#This Row],[Heavy Printing Window End]])</f>
        <v>#VALUE!</v>
      </c>
      <c r="T571" t="str">
        <f>_xlfn.XLOOKUP(tbl_MTG_Set[[#This Row],[Type Name]], tbl_MTG_Set_Type[Set Type], tbl_MTG_Set_Type[Sell Window Month Start], "(Set Type not found)", 0, 1)</f>
        <v>(Set Type not found)</v>
      </c>
      <c r="U571" s="3" t="e">
        <f>tbl_MTG_Set[[#This Row],[Released On]]+tbl_MTG_Set[[#This Row],[Sell Window Month Start]]*365.25/12</f>
        <v>#VALUE!</v>
      </c>
      <c r="V571" t="str">
        <f>_xlfn.XLOOKUP(tbl_MTG_Set[[#This Row],[Type Name]], tbl_MTG_Set_Type[Set Type], tbl_MTG_Set_Type[Sell Window Month End], "(Set Type not found)", 0, 1)</f>
        <v>(Set Type not found)</v>
      </c>
      <c r="W571" s="3" t="e">
        <f>tbl_MTG_Set[[#This Row],[Released On]]+tbl_MTG_Set[[#This Row],[Sell Window Month End]]*365.25/12</f>
        <v>#VALUE!</v>
      </c>
      <c r="X571" s="3" t="e">
        <f ca="1">AND(NOW()&gt;=tbl_MTG_Set[[#This Row],[Sell Window Start]], NOW()&lt;=tbl_MTG_Set[[#This Row],[Sell Window End]])</f>
        <v>#VALUE!</v>
      </c>
      <c r="AG571" s="10"/>
      <c r="AH571" s="10"/>
      <c r="AM571" s="10" t="str" cm="1">
        <f t="array" ref="AM5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1" s="10" t="str" cm="1">
        <f t="array" ref="AN5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1" s="4" t="e">
        <f>_xlfn.XLOOKUP(tbl_MTG_Set[[#This Row],[Play Booster Box Product Id]], tbl_Product[Product Id], tbl_Product[Pack Size])</f>
        <v>#N/A</v>
      </c>
      <c r="AP571" s="10" t="e">
        <f>(tbl_MTG_Set[[#This Row],[Play Booster Box Cost]]+v_Item_Shipping_Cost_In)/tbl_MTG_Set[[#This Row],[Play Booster Box Size]]</f>
        <v>#VALUE!</v>
      </c>
      <c r="AQ571" s="10" t="str" cm="1">
        <f t="array" ref="AQ5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1" s="10"/>
      <c r="AS571" s="10"/>
      <c r="AT571" s="17" t="e">
        <f>tbl_MTG_Set[[#This Row],[Play Booster CardMarket Profit]]/tbl_MTG_Set[[#This Row],[Play Booster Cost]]</f>
        <v>#VALUE!</v>
      </c>
      <c r="AU571" s="10" t="e">
        <f>_xlfn.XLOOKUP(tbl_MTG_Set[[#This Row],[Collector Booster Box Product Id]], tbl_Product[Product Id], tbl_Product[Min Cost])</f>
        <v>#N/A</v>
      </c>
      <c r="AV571" s="10" t="e">
        <f>_xlfn.XLOOKUP(tbl_MTG_Set[[#This Row],[Collector Booster Box Product Id]], tbl_Product[Product Id], tbl_Product[Best Source])</f>
        <v>#N/A</v>
      </c>
      <c r="AW571" s="4" t="e">
        <f>_xlfn.XLOOKUP(tbl_MTG_Set[[#This Row],[Collector Booster Box Product Id]], tbl_Product[Product Id], tbl_Product[Pack Size])</f>
        <v>#N/A</v>
      </c>
      <c r="AX571" s="10" t="e">
        <f>(tbl_MTG_Set[[#This Row],[Collector Booster Box Cost]] + v_Item_Shipping_Cost_In) / tbl_MTG_Set[[#This Row],[Collector Booster Box Size]]</f>
        <v>#N/A</v>
      </c>
      <c r="AY571" s="10" t="str" cm="1">
        <f t="array" ref="AY5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1" s="10"/>
      <c r="BA5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1" s="17" t="e">
        <f>tbl_MTG_Set[[#This Row],[Collector Booster CardMarket Profit]]/tbl_MTG_Set[[#This Row],[Collector Booster Cost]]</f>
        <v>#N/A</v>
      </c>
      <c r="BC571" s="10"/>
      <c r="BF5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1" s="11" t="e">
        <f>tbl_MTG_Set[[#This Row],[Play Singles CardMarket Profit MTG Stocks]]/tbl_MTG_Set[[#This Row],[Play Booster Cost]]</f>
        <v>#VALUE!</v>
      </c>
      <c r="BI571" s="11" t="b">
        <f>tbl_MTG_Set[[#This Row],[Play Singles CardMarket Profit MTG Stocks]]&gt;0</f>
        <v>0</v>
      </c>
      <c r="BM571" s="10" t="e">
        <f>tbl_MTG_Set[[#This Row],[Play Booster Sell Price CardMarket]]*tbl_MTG_Set[[#This Row],[Play Booster Expected Market Value BotBox]]/tbl_MTG_Set[[#This Row],[Play Booster Sealed Market Value BotBox]]</f>
        <v>#VALUE!</v>
      </c>
      <c r="BN5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1" s="10" t="e">
        <f>tbl_MTG_Set[[#This Row],[Play Singles CardMarket Profit BotBox]]/tbl_MTG_Set[[#This Row],[Play Booster Cost]]</f>
        <v>#VALUE!</v>
      </c>
      <c r="BP571" s="10" t="b">
        <f>tbl_MTG_Set[[#This Row],[Play Singles CardMarket Profit BotBox]]&gt;0</f>
        <v>0</v>
      </c>
      <c r="BQ571" s="10"/>
      <c r="BR571" s="10"/>
      <c r="BS571" s="10"/>
      <c r="BT5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1" s="19" t="e">
        <f>tbl_MTG_Set[[#This Row],[Collector Singles CardMarket Profit MTG Stocks]]/tbl_MTG_Set[[#This Row],[Collector Booster Cost]]</f>
        <v>#N/A</v>
      </c>
      <c r="BW571" s="10" t="b">
        <f>tbl_MTG_Set[[#This Row],[Collector Singles CardMarket Profit MTG Stocks]]&gt;0</f>
        <v>0</v>
      </c>
      <c r="BX571" s="10"/>
      <c r="BY571" s="10"/>
      <c r="BZ5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1" s="10" t="e">
        <f>tbl_MTG_Set[[#This Row],[Collector Singles CardMarket Profit BotBox]]/tbl_MTG_Set[[#This Row],[Collector Booster Cost]]</f>
        <v>#N/A</v>
      </c>
      <c r="CC571" s="10" t="b">
        <f>tbl_MTG_Set[[#This Row],[Collector Singles CardMarket Profit BotBox]]&gt;0</f>
        <v>0</v>
      </c>
      <c r="CD5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2" spans="1:86" hidden="1">
      <c r="A572">
        <v>604</v>
      </c>
      <c r="B572" t="s">
        <v>745</v>
      </c>
      <c r="C572">
        <v>4</v>
      </c>
      <c r="D572" s="3">
        <v>42097</v>
      </c>
      <c r="F572" t="s">
        <v>174</v>
      </c>
      <c r="G572">
        <v>1154</v>
      </c>
      <c r="H572">
        <f ca="1">MONTH(NOW())+12*YEAR(NOW())-MONTH(tbl_MTG_Set[[#This Row],[Released On]])-12*YEAR(tbl_MTG_Set[[#This Row],[Released On]])</f>
        <v>131</v>
      </c>
      <c r="I572" t="str">
        <f>_xlfn.XLOOKUP(tbl_MTG_Set[[#This Row],[Type Name]], tbl_MTG_Set_Type[Set Type], tbl_MTG_Set_Type[Index], "(Set Type not found)")</f>
        <v>(Set Type not found)</v>
      </c>
      <c r="J572" t="str">
        <f>_xlfn.XLOOKUP(tbl_MTG_Set[[#This Row],[Type Name]], tbl_MTG_Set_Type[Set Type], tbl_MTG_Set_Type[Buy Window Month Start], "(Set Type not found)")</f>
        <v>(Set Type not found)</v>
      </c>
      <c r="K572" s="3" t="e">
        <f>tbl_MTG_Set[[#This Row],[Released On]]+tbl_MTG_Set[[#This Row],[Buy Window Month Start]]*365.25/12</f>
        <v>#VALUE!</v>
      </c>
      <c r="L572" t="str">
        <f>_xlfn.XLOOKUP(tbl_MTG_Set[[#This Row],[Type Name]], tbl_MTG_Set_Type[Set Type], tbl_MTG_Set_Type[Buy Window Month End], "(Set Type not found)", 0, 1)</f>
        <v>(Set Type not found)</v>
      </c>
      <c r="M572" s="3" t="e">
        <f>tbl_MTG_Set[[#This Row],[Released On]]+tbl_MTG_Set[[#This Row],[Buy Window Month End]]*365.25/12</f>
        <v>#VALUE!</v>
      </c>
      <c r="N572" s="3" t="e">
        <f ca="1">AND(NOW()&gt;=tbl_MTG_Set[[#This Row],[Buy Window Start]], NOW()&lt;=tbl_MTG_Set[[#This Row],[Buy Window End]])</f>
        <v>#VALUE!</v>
      </c>
      <c r="O572" t="str">
        <f>_xlfn.XLOOKUP(tbl_MTG_Set[[#This Row],[Type Name]], tbl_MTG_Set_Type[Set Type], tbl_MTG_Set_Type[Heavy Printing Window Month Start], "(Set Type not found)", 0, 1)</f>
        <v>(Set Type not found)</v>
      </c>
      <c r="P572" s="3" t="e">
        <f>tbl_MTG_Set[[#This Row],[Released On]]+tbl_MTG_Set[[#This Row],[Heavy Printing Window Month Start]]*365.25/12</f>
        <v>#VALUE!</v>
      </c>
      <c r="Q572" t="str">
        <f>_xlfn.XLOOKUP(tbl_MTG_Set[[#This Row],[Type Name]], tbl_MTG_Set_Type[Set Type], tbl_MTG_Set_Type[Heavy Printing Window Month End], "(Set Type not found)", 0, 1)</f>
        <v>(Set Type not found)</v>
      </c>
      <c r="R572" s="3" t="e">
        <f>tbl_MTG_Set[[#This Row],[Released On]]+tbl_MTG_Set[[#This Row],[Heavy Printing Window Month End]]*365.25/12</f>
        <v>#VALUE!</v>
      </c>
      <c r="S572" s="3" t="e">
        <f ca="1">AND(NOW()&gt;=tbl_MTG_Set[[#This Row],[Heavy Printing Window Start]], NOW()&lt;=tbl_MTG_Set[[#This Row],[Heavy Printing Window End]])</f>
        <v>#VALUE!</v>
      </c>
      <c r="T572" t="str">
        <f>_xlfn.XLOOKUP(tbl_MTG_Set[[#This Row],[Type Name]], tbl_MTG_Set_Type[Set Type], tbl_MTG_Set_Type[Sell Window Month Start], "(Set Type not found)", 0, 1)</f>
        <v>(Set Type not found)</v>
      </c>
      <c r="U572" s="3" t="e">
        <f>tbl_MTG_Set[[#This Row],[Released On]]+tbl_MTG_Set[[#This Row],[Sell Window Month Start]]*365.25/12</f>
        <v>#VALUE!</v>
      </c>
      <c r="V572" t="str">
        <f>_xlfn.XLOOKUP(tbl_MTG_Set[[#This Row],[Type Name]], tbl_MTG_Set_Type[Set Type], tbl_MTG_Set_Type[Sell Window Month End], "(Set Type not found)", 0, 1)</f>
        <v>(Set Type not found)</v>
      </c>
      <c r="W572" s="3" t="e">
        <f>tbl_MTG_Set[[#This Row],[Released On]]+tbl_MTG_Set[[#This Row],[Sell Window Month End]]*365.25/12</f>
        <v>#VALUE!</v>
      </c>
      <c r="X572" s="3" t="e">
        <f ca="1">AND(NOW()&gt;=tbl_MTG_Set[[#This Row],[Sell Window Start]], NOW()&lt;=tbl_MTG_Set[[#This Row],[Sell Window End]])</f>
        <v>#VALUE!</v>
      </c>
      <c r="AG572" s="10"/>
      <c r="AH572" s="10"/>
      <c r="AM572" s="10" t="str" cm="1">
        <f t="array" ref="AM5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2" s="10" t="str" cm="1">
        <f t="array" ref="AN5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2" s="4" t="e">
        <f>_xlfn.XLOOKUP(tbl_MTG_Set[[#This Row],[Play Booster Box Product Id]], tbl_Product[Product Id], tbl_Product[Pack Size])</f>
        <v>#N/A</v>
      </c>
      <c r="AP572" s="10" t="e">
        <f>(tbl_MTG_Set[[#This Row],[Play Booster Box Cost]]+v_Item_Shipping_Cost_In)/tbl_MTG_Set[[#This Row],[Play Booster Box Size]]</f>
        <v>#VALUE!</v>
      </c>
      <c r="AQ572" s="10" t="str" cm="1">
        <f t="array" ref="AQ5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2" s="10"/>
      <c r="AS572" s="10"/>
      <c r="AT572" s="17" t="e">
        <f>tbl_MTG_Set[[#This Row],[Play Booster CardMarket Profit]]/tbl_MTG_Set[[#This Row],[Play Booster Cost]]</f>
        <v>#VALUE!</v>
      </c>
      <c r="AU572" s="10" t="e">
        <f>_xlfn.XLOOKUP(tbl_MTG_Set[[#This Row],[Collector Booster Box Product Id]], tbl_Product[Product Id], tbl_Product[Min Cost])</f>
        <v>#N/A</v>
      </c>
      <c r="AV572" s="10" t="e">
        <f>_xlfn.XLOOKUP(tbl_MTG_Set[[#This Row],[Collector Booster Box Product Id]], tbl_Product[Product Id], tbl_Product[Best Source])</f>
        <v>#N/A</v>
      </c>
      <c r="AW572" s="4" t="e">
        <f>_xlfn.XLOOKUP(tbl_MTG_Set[[#This Row],[Collector Booster Box Product Id]], tbl_Product[Product Id], tbl_Product[Pack Size])</f>
        <v>#N/A</v>
      </c>
      <c r="AX572" s="10" t="e">
        <f>(tbl_MTG_Set[[#This Row],[Collector Booster Box Cost]] + v_Item_Shipping_Cost_In) / tbl_MTG_Set[[#This Row],[Collector Booster Box Size]]</f>
        <v>#N/A</v>
      </c>
      <c r="AY572" s="10" t="str" cm="1">
        <f t="array" ref="AY5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2" s="10"/>
      <c r="BA5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2" s="17" t="e">
        <f>tbl_MTG_Set[[#This Row],[Collector Booster CardMarket Profit]]/tbl_MTG_Set[[#This Row],[Collector Booster Cost]]</f>
        <v>#N/A</v>
      </c>
      <c r="BC572" s="10"/>
      <c r="BF5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2" s="11" t="e">
        <f>tbl_MTG_Set[[#This Row],[Play Singles CardMarket Profit MTG Stocks]]/tbl_MTG_Set[[#This Row],[Play Booster Cost]]</f>
        <v>#VALUE!</v>
      </c>
      <c r="BI572" s="11" t="b">
        <f>tbl_MTG_Set[[#This Row],[Play Singles CardMarket Profit MTG Stocks]]&gt;0</f>
        <v>0</v>
      </c>
      <c r="BM572" s="10" t="e">
        <f>tbl_MTG_Set[[#This Row],[Play Booster Sell Price CardMarket]]*tbl_MTG_Set[[#This Row],[Play Booster Expected Market Value BotBox]]/tbl_MTG_Set[[#This Row],[Play Booster Sealed Market Value BotBox]]</f>
        <v>#VALUE!</v>
      </c>
      <c r="BN5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2" s="10" t="e">
        <f>tbl_MTG_Set[[#This Row],[Play Singles CardMarket Profit BotBox]]/tbl_MTG_Set[[#This Row],[Play Booster Cost]]</f>
        <v>#VALUE!</v>
      </c>
      <c r="BP572" s="10" t="b">
        <f>tbl_MTG_Set[[#This Row],[Play Singles CardMarket Profit BotBox]]&gt;0</f>
        <v>0</v>
      </c>
      <c r="BQ572" s="10"/>
      <c r="BR572" s="10"/>
      <c r="BS572" s="10"/>
      <c r="BT5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2" s="19" t="e">
        <f>tbl_MTG_Set[[#This Row],[Collector Singles CardMarket Profit MTG Stocks]]/tbl_MTG_Set[[#This Row],[Collector Booster Cost]]</f>
        <v>#N/A</v>
      </c>
      <c r="BW572" s="10" t="b">
        <f>tbl_MTG_Set[[#This Row],[Collector Singles CardMarket Profit MTG Stocks]]&gt;0</f>
        <v>0</v>
      </c>
      <c r="BX572" s="10"/>
      <c r="BY572" s="10"/>
      <c r="BZ5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2" s="10" t="e">
        <f>tbl_MTG_Set[[#This Row],[Collector Singles CardMarket Profit BotBox]]/tbl_MTG_Set[[#This Row],[Collector Booster Cost]]</f>
        <v>#N/A</v>
      </c>
      <c r="CC572" s="10" t="b">
        <f>tbl_MTG_Set[[#This Row],[Collector Singles CardMarket Profit BotBox]]&gt;0</f>
        <v>0</v>
      </c>
      <c r="CD5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3" spans="1:86" hidden="1">
      <c r="A573">
        <v>605</v>
      </c>
      <c r="B573" t="s">
        <v>746</v>
      </c>
      <c r="C573">
        <v>67</v>
      </c>
      <c r="D573" s="3">
        <v>42062</v>
      </c>
      <c r="F573" t="s">
        <v>174</v>
      </c>
      <c r="G573">
        <v>1156</v>
      </c>
      <c r="H573">
        <f ca="1">MONTH(NOW())+12*YEAR(NOW())-MONTH(tbl_MTG_Set[[#This Row],[Released On]])-12*YEAR(tbl_MTG_Set[[#This Row],[Released On]])</f>
        <v>133</v>
      </c>
      <c r="I573" t="str">
        <f>_xlfn.XLOOKUP(tbl_MTG_Set[[#This Row],[Type Name]], tbl_MTG_Set_Type[Set Type], tbl_MTG_Set_Type[Index], "(Set Type not found)")</f>
        <v>(Set Type not found)</v>
      </c>
      <c r="J573" t="str">
        <f>_xlfn.XLOOKUP(tbl_MTG_Set[[#This Row],[Type Name]], tbl_MTG_Set_Type[Set Type], tbl_MTG_Set_Type[Buy Window Month Start], "(Set Type not found)")</f>
        <v>(Set Type not found)</v>
      </c>
      <c r="K573" s="3" t="e">
        <f>tbl_MTG_Set[[#This Row],[Released On]]+tbl_MTG_Set[[#This Row],[Buy Window Month Start]]*365.25/12</f>
        <v>#VALUE!</v>
      </c>
      <c r="L573" t="str">
        <f>_xlfn.XLOOKUP(tbl_MTG_Set[[#This Row],[Type Name]], tbl_MTG_Set_Type[Set Type], tbl_MTG_Set_Type[Buy Window Month End], "(Set Type not found)", 0, 1)</f>
        <v>(Set Type not found)</v>
      </c>
      <c r="M573" s="3" t="e">
        <f>tbl_MTG_Set[[#This Row],[Released On]]+tbl_MTG_Set[[#This Row],[Buy Window Month End]]*365.25/12</f>
        <v>#VALUE!</v>
      </c>
      <c r="N573" s="3" t="e">
        <f ca="1">AND(NOW()&gt;=tbl_MTG_Set[[#This Row],[Buy Window Start]], NOW()&lt;=tbl_MTG_Set[[#This Row],[Buy Window End]])</f>
        <v>#VALUE!</v>
      </c>
      <c r="O573" t="str">
        <f>_xlfn.XLOOKUP(tbl_MTG_Set[[#This Row],[Type Name]], tbl_MTG_Set_Type[Set Type], tbl_MTG_Set_Type[Heavy Printing Window Month Start], "(Set Type not found)", 0, 1)</f>
        <v>(Set Type not found)</v>
      </c>
      <c r="P573" s="3" t="e">
        <f>tbl_MTG_Set[[#This Row],[Released On]]+tbl_MTG_Set[[#This Row],[Heavy Printing Window Month Start]]*365.25/12</f>
        <v>#VALUE!</v>
      </c>
      <c r="Q573" t="str">
        <f>_xlfn.XLOOKUP(tbl_MTG_Set[[#This Row],[Type Name]], tbl_MTG_Set_Type[Set Type], tbl_MTG_Set_Type[Heavy Printing Window Month End], "(Set Type not found)", 0, 1)</f>
        <v>(Set Type not found)</v>
      </c>
      <c r="R573" s="3" t="e">
        <f>tbl_MTG_Set[[#This Row],[Released On]]+tbl_MTG_Set[[#This Row],[Heavy Printing Window Month End]]*365.25/12</f>
        <v>#VALUE!</v>
      </c>
      <c r="S573" s="3" t="e">
        <f ca="1">AND(NOW()&gt;=tbl_MTG_Set[[#This Row],[Heavy Printing Window Start]], NOW()&lt;=tbl_MTG_Set[[#This Row],[Heavy Printing Window End]])</f>
        <v>#VALUE!</v>
      </c>
      <c r="T573" t="str">
        <f>_xlfn.XLOOKUP(tbl_MTG_Set[[#This Row],[Type Name]], tbl_MTG_Set_Type[Set Type], tbl_MTG_Set_Type[Sell Window Month Start], "(Set Type not found)", 0, 1)</f>
        <v>(Set Type not found)</v>
      </c>
      <c r="U573" s="3" t="e">
        <f>tbl_MTG_Set[[#This Row],[Released On]]+tbl_MTG_Set[[#This Row],[Sell Window Month Start]]*365.25/12</f>
        <v>#VALUE!</v>
      </c>
      <c r="V573" t="str">
        <f>_xlfn.XLOOKUP(tbl_MTG_Set[[#This Row],[Type Name]], tbl_MTG_Set_Type[Set Type], tbl_MTG_Set_Type[Sell Window Month End], "(Set Type not found)", 0, 1)</f>
        <v>(Set Type not found)</v>
      </c>
      <c r="W573" s="3" t="e">
        <f>tbl_MTG_Set[[#This Row],[Released On]]+tbl_MTG_Set[[#This Row],[Sell Window Month End]]*365.25/12</f>
        <v>#VALUE!</v>
      </c>
      <c r="X573" s="3" t="e">
        <f ca="1">AND(NOW()&gt;=tbl_MTG_Set[[#This Row],[Sell Window Start]], NOW()&lt;=tbl_MTG_Set[[#This Row],[Sell Window End]])</f>
        <v>#VALUE!</v>
      </c>
      <c r="AG573" s="10"/>
      <c r="AH573" s="10"/>
      <c r="AM573" s="10" t="str" cm="1">
        <f t="array" ref="AM5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3" s="10" t="str" cm="1">
        <f t="array" ref="AN5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3" s="4" t="e">
        <f>_xlfn.XLOOKUP(tbl_MTG_Set[[#This Row],[Play Booster Box Product Id]], tbl_Product[Product Id], tbl_Product[Pack Size])</f>
        <v>#N/A</v>
      </c>
      <c r="AP573" s="10" t="e">
        <f>(tbl_MTG_Set[[#This Row],[Play Booster Box Cost]]+v_Item_Shipping_Cost_In)/tbl_MTG_Set[[#This Row],[Play Booster Box Size]]</f>
        <v>#VALUE!</v>
      </c>
      <c r="AQ573" s="10" t="str" cm="1">
        <f t="array" ref="AQ5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3" s="10"/>
      <c r="AS573" s="10"/>
      <c r="AT573" s="17" t="e">
        <f>tbl_MTG_Set[[#This Row],[Play Booster CardMarket Profit]]/tbl_MTG_Set[[#This Row],[Play Booster Cost]]</f>
        <v>#VALUE!</v>
      </c>
      <c r="AU573" s="10" t="e">
        <f>_xlfn.XLOOKUP(tbl_MTG_Set[[#This Row],[Collector Booster Box Product Id]], tbl_Product[Product Id], tbl_Product[Min Cost])</f>
        <v>#N/A</v>
      </c>
      <c r="AV573" s="10" t="e">
        <f>_xlfn.XLOOKUP(tbl_MTG_Set[[#This Row],[Collector Booster Box Product Id]], tbl_Product[Product Id], tbl_Product[Best Source])</f>
        <v>#N/A</v>
      </c>
      <c r="AW573" s="4" t="e">
        <f>_xlfn.XLOOKUP(tbl_MTG_Set[[#This Row],[Collector Booster Box Product Id]], tbl_Product[Product Id], tbl_Product[Pack Size])</f>
        <v>#N/A</v>
      </c>
      <c r="AX573" s="10" t="e">
        <f>(tbl_MTG_Set[[#This Row],[Collector Booster Box Cost]] + v_Item_Shipping_Cost_In) / tbl_MTG_Set[[#This Row],[Collector Booster Box Size]]</f>
        <v>#N/A</v>
      </c>
      <c r="AY573" s="10" t="str" cm="1">
        <f t="array" ref="AY5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3" s="10"/>
      <c r="BA5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3" s="17" t="e">
        <f>tbl_MTG_Set[[#This Row],[Collector Booster CardMarket Profit]]/tbl_MTG_Set[[#This Row],[Collector Booster Cost]]</f>
        <v>#N/A</v>
      </c>
      <c r="BC573" s="10"/>
      <c r="BF5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3" s="11" t="e">
        <f>tbl_MTG_Set[[#This Row],[Play Singles CardMarket Profit MTG Stocks]]/tbl_MTG_Set[[#This Row],[Play Booster Cost]]</f>
        <v>#VALUE!</v>
      </c>
      <c r="BI573" s="11" t="b">
        <f>tbl_MTG_Set[[#This Row],[Play Singles CardMarket Profit MTG Stocks]]&gt;0</f>
        <v>0</v>
      </c>
      <c r="BM573" s="10" t="e">
        <f>tbl_MTG_Set[[#This Row],[Play Booster Sell Price CardMarket]]*tbl_MTG_Set[[#This Row],[Play Booster Expected Market Value BotBox]]/tbl_MTG_Set[[#This Row],[Play Booster Sealed Market Value BotBox]]</f>
        <v>#VALUE!</v>
      </c>
      <c r="BN5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3" s="10" t="e">
        <f>tbl_MTG_Set[[#This Row],[Play Singles CardMarket Profit BotBox]]/tbl_MTG_Set[[#This Row],[Play Booster Cost]]</f>
        <v>#VALUE!</v>
      </c>
      <c r="BP573" s="10" t="b">
        <f>tbl_MTG_Set[[#This Row],[Play Singles CardMarket Profit BotBox]]&gt;0</f>
        <v>0</v>
      </c>
      <c r="BQ573" s="10"/>
      <c r="BR573" s="10"/>
      <c r="BS573" s="10"/>
      <c r="BT5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3" s="19" t="e">
        <f>tbl_MTG_Set[[#This Row],[Collector Singles CardMarket Profit MTG Stocks]]/tbl_MTG_Set[[#This Row],[Collector Booster Cost]]</f>
        <v>#N/A</v>
      </c>
      <c r="BW573" s="10" t="b">
        <f>tbl_MTG_Set[[#This Row],[Collector Singles CardMarket Profit MTG Stocks]]&gt;0</f>
        <v>0</v>
      </c>
      <c r="BX573" s="10"/>
      <c r="BY573" s="10"/>
      <c r="BZ5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3" s="10" t="e">
        <f>tbl_MTG_Set[[#This Row],[Collector Singles CardMarket Profit BotBox]]/tbl_MTG_Set[[#This Row],[Collector Booster Cost]]</f>
        <v>#N/A</v>
      </c>
      <c r="CC573" s="10" t="b">
        <f>tbl_MTG_Set[[#This Row],[Collector Singles CardMarket Profit BotBox]]&gt;0</f>
        <v>0</v>
      </c>
      <c r="CD5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4" spans="1:86" hidden="1">
      <c r="A574">
        <v>606</v>
      </c>
      <c r="B574" t="s">
        <v>747</v>
      </c>
      <c r="C574">
        <v>191</v>
      </c>
      <c r="D574" s="3">
        <v>42027</v>
      </c>
      <c r="F574" t="s">
        <v>174</v>
      </c>
      <c r="G574">
        <v>1158</v>
      </c>
      <c r="H574">
        <f ca="1">MONTH(NOW())+12*YEAR(NOW())-MONTH(tbl_MTG_Set[[#This Row],[Released On]])-12*YEAR(tbl_MTG_Set[[#This Row],[Released On]])</f>
        <v>134</v>
      </c>
      <c r="I574" t="str">
        <f>_xlfn.XLOOKUP(tbl_MTG_Set[[#This Row],[Type Name]], tbl_MTG_Set_Type[Set Type], tbl_MTG_Set_Type[Index], "(Set Type not found)")</f>
        <v>(Set Type not found)</v>
      </c>
      <c r="J574" t="str">
        <f>_xlfn.XLOOKUP(tbl_MTG_Set[[#This Row],[Type Name]], tbl_MTG_Set_Type[Set Type], tbl_MTG_Set_Type[Buy Window Month Start], "(Set Type not found)")</f>
        <v>(Set Type not found)</v>
      </c>
      <c r="K574" s="3" t="e">
        <f>tbl_MTG_Set[[#This Row],[Released On]]+tbl_MTG_Set[[#This Row],[Buy Window Month Start]]*365.25/12</f>
        <v>#VALUE!</v>
      </c>
      <c r="L574" t="str">
        <f>_xlfn.XLOOKUP(tbl_MTG_Set[[#This Row],[Type Name]], tbl_MTG_Set_Type[Set Type], tbl_MTG_Set_Type[Buy Window Month End], "(Set Type not found)", 0, 1)</f>
        <v>(Set Type not found)</v>
      </c>
      <c r="M574" s="3" t="e">
        <f>tbl_MTG_Set[[#This Row],[Released On]]+tbl_MTG_Set[[#This Row],[Buy Window Month End]]*365.25/12</f>
        <v>#VALUE!</v>
      </c>
      <c r="N574" s="3" t="e">
        <f ca="1">AND(NOW()&gt;=tbl_MTG_Set[[#This Row],[Buy Window Start]], NOW()&lt;=tbl_MTG_Set[[#This Row],[Buy Window End]])</f>
        <v>#VALUE!</v>
      </c>
      <c r="O574" t="str">
        <f>_xlfn.XLOOKUP(tbl_MTG_Set[[#This Row],[Type Name]], tbl_MTG_Set_Type[Set Type], tbl_MTG_Set_Type[Heavy Printing Window Month Start], "(Set Type not found)", 0, 1)</f>
        <v>(Set Type not found)</v>
      </c>
      <c r="P574" s="3" t="e">
        <f>tbl_MTG_Set[[#This Row],[Released On]]+tbl_MTG_Set[[#This Row],[Heavy Printing Window Month Start]]*365.25/12</f>
        <v>#VALUE!</v>
      </c>
      <c r="Q574" t="str">
        <f>_xlfn.XLOOKUP(tbl_MTG_Set[[#This Row],[Type Name]], tbl_MTG_Set_Type[Set Type], tbl_MTG_Set_Type[Heavy Printing Window Month End], "(Set Type not found)", 0, 1)</f>
        <v>(Set Type not found)</v>
      </c>
      <c r="R574" s="3" t="e">
        <f>tbl_MTG_Set[[#This Row],[Released On]]+tbl_MTG_Set[[#This Row],[Heavy Printing Window Month End]]*365.25/12</f>
        <v>#VALUE!</v>
      </c>
      <c r="S574" s="3" t="e">
        <f ca="1">AND(NOW()&gt;=tbl_MTG_Set[[#This Row],[Heavy Printing Window Start]], NOW()&lt;=tbl_MTG_Set[[#This Row],[Heavy Printing Window End]])</f>
        <v>#VALUE!</v>
      </c>
      <c r="T574" t="str">
        <f>_xlfn.XLOOKUP(tbl_MTG_Set[[#This Row],[Type Name]], tbl_MTG_Set_Type[Set Type], tbl_MTG_Set_Type[Sell Window Month Start], "(Set Type not found)", 0, 1)</f>
        <v>(Set Type not found)</v>
      </c>
      <c r="U574" s="3" t="e">
        <f>tbl_MTG_Set[[#This Row],[Released On]]+tbl_MTG_Set[[#This Row],[Sell Window Month Start]]*365.25/12</f>
        <v>#VALUE!</v>
      </c>
      <c r="V574" t="str">
        <f>_xlfn.XLOOKUP(tbl_MTG_Set[[#This Row],[Type Name]], tbl_MTG_Set_Type[Set Type], tbl_MTG_Set_Type[Sell Window Month End], "(Set Type not found)", 0, 1)</f>
        <v>(Set Type not found)</v>
      </c>
      <c r="W574" s="3" t="e">
        <f>tbl_MTG_Set[[#This Row],[Released On]]+tbl_MTG_Set[[#This Row],[Sell Window Month End]]*365.25/12</f>
        <v>#VALUE!</v>
      </c>
      <c r="X574" s="3" t="e">
        <f ca="1">AND(NOW()&gt;=tbl_MTG_Set[[#This Row],[Sell Window Start]], NOW()&lt;=tbl_MTG_Set[[#This Row],[Sell Window End]])</f>
        <v>#VALUE!</v>
      </c>
      <c r="AG574" s="10"/>
      <c r="AH574" s="10"/>
      <c r="AM574" s="10" t="str" cm="1">
        <f t="array" ref="AM5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4" s="10" t="str" cm="1">
        <f t="array" ref="AN5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4" s="4" t="e">
        <f>_xlfn.XLOOKUP(tbl_MTG_Set[[#This Row],[Play Booster Box Product Id]], tbl_Product[Product Id], tbl_Product[Pack Size])</f>
        <v>#N/A</v>
      </c>
      <c r="AP574" s="10" t="e">
        <f>(tbl_MTG_Set[[#This Row],[Play Booster Box Cost]]+v_Item_Shipping_Cost_In)/tbl_MTG_Set[[#This Row],[Play Booster Box Size]]</f>
        <v>#VALUE!</v>
      </c>
      <c r="AQ574" s="10" t="str" cm="1">
        <f t="array" ref="AQ5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4" s="10"/>
      <c r="AS574" s="10"/>
      <c r="AT574" s="17" t="e">
        <f>tbl_MTG_Set[[#This Row],[Play Booster CardMarket Profit]]/tbl_MTG_Set[[#This Row],[Play Booster Cost]]</f>
        <v>#VALUE!</v>
      </c>
      <c r="AU574" s="10" t="e">
        <f>_xlfn.XLOOKUP(tbl_MTG_Set[[#This Row],[Collector Booster Box Product Id]], tbl_Product[Product Id], tbl_Product[Min Cost])</f>
        <v>#N/A</v>
      </c>
      <c r="AV574" s="10" t="e">
        <f>_xlfn.XLOOKUP(tbl_MTG_Set[[#This Row],[Collector Booster Box Product Id]], tbl_Product[Product Id], tbl_Product[Best Source])</f>
        <v>#N/A</v>
      </c>
      <c r="AW574" s="4" t="e">
        <f>_xlfn.XLOOKUP(tbl_MTG_Set[[#This Row],[Collector Booster Box Product Id]], tbl_Product[Product Id], tbl_Product[Pack Size])</f>
        <v>#N/A</v>
      </c>
      <c r="AX574" s="10" t="e">
        <f>(tbl_MTG_Set[[#This Row],[Collector Booster Box Cost]] + v_Item_Shipping_Cost_In) / tbl_MTG_Set[[#This Row],[Collector Booster Box Size]]</f>
        <v>#N/A</v>
      </c>
      <c r="AY574" s="10" t="str" cm="1">
        <f t="array" ref="AY5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4" s="10"/>
      <c r="BA5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4" s="17" t="e">
        <f>tbl_MTG_Set[[#This Row],[Collector Booster CardMarket Profit]]/tbl_MTG_Set[[#This Row],[Collector Booster Cost]]</f>
        <v>#N/A</v>
      </c>
      <c r="BC574" s="10"/>
      <c r="BF5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4" s="11" t="e">
        <f>tbl_MTG_Set[[#This Row],[Play Singles CardMarket Profit MTG Stocks]]/tbl_MTG_Set[[#This Row],[Play Booster Cost]]</f>
        <v>#VALUE!</v>
      </c>
      <c r="BI574" s="11" t="b">
        <f>tbl_MTG_Set[[#This Row],[Play Singles CardMarket Profit MTG Stocks]]&gt;0</f>
        <v>0</v>
      </c>
      <c r="BM574" s="10" t="e">
        <f>tbl_MTG_Set[[#This Row],[Play Booster Sell Price CardMarket]]*tbl_MTG_Set[[#This Row],[Play Booster Expected Market Value BotBox]]/tbl_MTG_Set[[#This Row],[Play Booster Sealed Market Value BotBox]]</f>
        <v>#VALUE!</v>
      </c>
      <c r="BN5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4" s="10" t="e">
        <f>tbl_MTG_Set[[#This Row],[Play Singles CardMarket Profit BotBox]]/tbl_MTG_Set[[#This Row],[Play Booster Cost]]</f>
        <v>#VALUE!</v>
      </c>
      <c r="BP574" s="10" t="b">
        <f>tbl_MTG_Set[[#This Row],[Play Singles CardMarket Profit BotBox]]&gt;0</f>
        <v>0</v>
      </c>
      <c r="BQ574" s="10"/>
      <c r="BR574" s="10"/>
      <c r="BS574" s="10"/>
      <c r="BT5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4" s="19" t="e">
        <f>tbl_MTG_Set[[#This Row],[Collector Singles CardMarket Profit MTG Stocks]]/tbl_MTG_Set[[#This Row],[Collector Booster Cost]]</f>
        <v>#N/A</v>
      </c>
      <c r="BW574" s="10" t="b">
        <f>tbl_MTG_Set[[#This Row],[Collector Singles CardMarket Profit MTG Stocks]]&gt;0</f>
        <v>0</v>
      </c>
      <c r="BX574" s="10"/>
      <c r="BY574" s="10"/>
      <c r="BZ5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4" s="10" t="e">
        <f>tbl_MTG_Set[[#This Row],[Collector Singles CardMarket Profit BotBox]]/tbl_MTG_Set[[#This Row],[Collector Booster Cost]]</f>
        <v>#N/A</v>
      </c>
      <c r="CC574" s="10" t="b">
        <f>tbl_MTG_Set[[#This Row],[Collector Singles CardMarket Profit BotBox]]&gt;0</f>
        <v>0</v>
      </c>
      <c r="CD5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5" spans="1:86" hidden="1">
      <c r="A575">
        <v>607</v>
      </c>
      <c r="B575" t="s">
        <v>748</v>
      </c>
      <c r="C575">
        <v>43</v>
      </c>
      <c r="D575" s="3">
        <v>42027</v>
      </c>
      <c r="F575" t="s">
        <v>174</v>
      </c>
      <c r="G575">
        <v>1160</v>
      </c>
      <c r="H575">
        <f ca="1">MONTH(NOW())+12*YEAR(NOW())-MONTH(tbl_MTG_Set[[#This Row],[Released On]])-12*YEAR(tbl_MTG_Set[[#This Row],[Released On]])</f>
        <v>134</v>
      </c>
      <c r="I575" t="str">
        <f>_xlfn.XLOOKUP(tbl_MTG_Set[[#This Row],[Type Name]], tbl_MTG_Set_Type[Set Type], tbl_MTG_Set_Type[Index], "(Set Type not found)")</f>
        <v>(Set Type not found)</v>
      </c>
      <c r="J575" t="str">
        <f>_xlfn.XLOOKUP(tbl_MTG_Set[[#This Row],[Type Name]], tbl_MTG_Set_Type[Set Type], tbl_MTG_Set_Type[Buy Window Month Start], "(Set Type not found)")</f>
        <v>(Set Type not found)</v>
      </c>
      <c r="K575" s="3" t="e">
        <f>tbl_MTG_Set[[#This Row],[Released On]]+tbl_MTG_Set[[#This Row],[Buy Window Month Start]]*365.25/12</f>
        <v>#VALUE!</v>
      </c>
      <c r="L575" t="str">
        <f>_xlfn.XLOOKUP(tbl_MTG_Set[[#This Row],[Type Name]], tbl_MTG_Set_Type[Set Type], tbl_MTG_Set_Type[Buy Window Month End], "(Set Type not found)", 0, 1)</f>
        <v>(Set Type not found)</v>
      </c>
      <c r="M575" s="3" t="e">
        <f>tbl_MTG_Set[[#This Row],[Released On]]+tbl_MTG_Set[[#This Row],[Buy Window Month End]]*365.25/12</f>
        <v>#VALUE!</v>
      </c>
      <c r="N575" s="3" t="e">
        <f ca="1">AND(NOW()&gt;=tbl_MTG_Set[[#This Row],[Buy Window Start]], NOW()&lt;=tbl_MTG_Set[[#This Row],[Buy Window End]])</f>
        <v>#VALUE!</v>
      </c>
      <c r="O575" t="str">
        <f>_xlfn.XLOOKUP(tbl_MTG_Set[[#This Row],[Type Name]], tbl_MTG_Set_Type[Set Type], tbl_MTG_Set_Type[Heavy Printing Window Month Start], "(Set Type not found)", 0, 1)</f>
        <v>(Set Type not found)</v>
      </c>
      <c r="P575" s="3" t="e">
        <f>tbl_MTG_Set[[#This Row],[Released On]]+tbl_MTG_Set[[#This Row],[Heavy Printing Window Month Start]]*365.25/12</f>
        <v>#VALUE!</v>
      </c>
      <c r="Q575" t="str">
        <f>_xlfn.XLOOKUP(tbl_MTG_Set[[#This Row],[Type Name]], tbl_MTG_Set_Type[Set Type], tbl_MTG_Set_Type[Heavy Printing Window Month End], "(Set Type not found)", 0, 1)</f>
        <v>(Set Type not found)</v>
      </c>
      <c r="R575" s="3" t="e">
        <f>tbl_MTG_Set[[#This Row],[Released On]]+tbl_MTG_Set[[#This Row],[Heavy Printing Window Month End]]*365.25/12</f>
        <v>#VALUE!</v>
      </c>
      <c r="S575" s="3" t="e">
        <f ca="1">AND(NOW()&gt;=tbl_MTG_Set[[#This Row],[Heavy Printing Window Start]], NOW()&lt;=tbl_MTG_Set[[#This Row],[Heavy Printing Window End]])</f>
        <v>#VALUE!</v>
      </c>
      <c r="T575" t="str">
        <f>_xlfn.XLOOKUP(tbl_MTG_Set[[#This Row],[Type Name]], tbl_MTG_Set_Type[Set Type], tbl_MTG_Set_Type[Sell Window Month Start], "(Set Type not found)", 0, 1)</f>
        <v>(Set Type not found)</v>
      </c>
      <c r="U575" s="3" t="e">
        <f>tbl_MTG_Set[[#This Row],[Released On]]+tbl_MTG_Set[[#This Row],[Sell Window Month Start]]*365.25/12</f>
        <v>#VALUE!</v>
      </c>
      <c r="V575" t="str">
        <f>_xlfn.XLOOKUP(tbl_MTG_Set[[#This Row],[Type Name]], tbl_MTG_Set_Type[Set Type], tbl_MTG_Set_Type[Sell Window Month End], "(Set Type not found)", 0, 1)</f>
        <v>(Set Type not found)</v>
      </c>
      <c r="W575" s="3" t="e">
        <f>tbl_MTG_Set[[#This Row],[Released On]]+tbl_MTG_Set[[#This Row],[Sell Window Month End]]*365.25/12</f>
        <v>#VALUE!</v>
      </c>
      <c r="X575" s="3" t="e">
        <f ca="1">AND(NOW()&gt;=tbl_MTG_Set[[#This Row],[Sell Window Start]], NOW()&lt;=tbl_MTG_Set[[#This Row],[Sell Window End]])</f>
        <v>#VALUE!</v>
      </c>
      <c r="AG575" s="10"/>
      <c r="AH575" s="10"/>
      <c r="AM575" s="10" t="str" cm="1">
        <f t="array" ref="AM5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5" s="10" t="str" cm="1">
        <f t="array" ref="AN5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5" s="4" t="e">
        <f>_xlfn.XLOOKUP(tbl_MTG_Set[[#This Row],[Play Booster Box Product Id]], tbl_Product[Product Id], tbl_Product[Pack Size])</f>
        <v>#N/A</v>
      </c>
      <c r="AP575" s="10" t="e">
        <f>(tbl_MTG_Set[[#This Row],[Play Booster Box Cost]]+v_Item_Shipping_Cost_In)/tbl_MTG_Set[[#This Row],[Play Booster Box Size]]</f>
        <v>#VALUE!</v>
      </c>
      <c r="AQ575" s="10" t="str" cm="1">
        <f t="array" ref="AQ5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5" s="10"/>
      <c r="AS575" s="10"/>
      <c r="AT575" s="17" t="e">
        <f>tbl_MTG_Set[[#This Row],[Play Booster CardMarket Profit]]/tbl_MTG_Set[[#This Row],[Play Booster Cost]]</f>
        <v>#VALUE!</v>
      </c>
      <c r="AU575" s="10" t="e">
        <f>_xlfn.XLOOKUP(tbl_MTG_Set[[#This Row],[Collector Booster Box Product Id]], tbl_Product[Product Id], tbl_Product[Min Cost])</f>
        <v>#N/A</v>
      </c>
      <c r="AV575" s="10" t="e">
        <f>_xlfn.XLOOKUP(tbl_MTG_Set[[#This Row],[Collector Booster Box Product Id]], tbl_Product[Product Id], tbl_Product[Best Source])</f>
        <v>#N/A</v>
      </c>
      <c r="AW575" s="4" t="e">
        <f>_xlfn.XLOOKUP(tbl_MTG_Set[[#This Row],[Collector Booster Box Product Id]], tbl_Product[Product Id], tbl_Product[Pack Size])</f>
        <v>#N/A</v>
      </c>
      <c r="AX575" s="10" t="e">
        <f>(tbl_MTG_Set[[#This Row],[Collector Booster Box Cost]] + v_Item_Shipping_Cost_In) / tbl_MTG_Set[[#This Row],[Collector Booster Box Size]]</f>
        <v>#N/A</v>
      </c>
      <c r="AY575" s="10" t="str" cm="1">
        <f t="array" ref="AY5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5" s="10"/>
      <c r="BA5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5" s="17" t="e">
        <f>tbl_MTG_Set[[#This Row],[Collector Booster CardMarket Profit]]/tbl_MTG_Set[[#This Row],[Collector Booster Cost]]</f>
        <v>#N/A</v>
      </c>
      <c r="BC575" s="10"/>
      <c r="BF5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5" s="11" t="e">
        <f>tbl_MTG_Set[[#This Row],[Play Singles CardMarket Profit MTG Stocks]]/tbl_MTG_Set[[#This Row],[Play Booster Cost]]</f>
        <v>#VALUE!</v>
      </c>
      <c r="BI575" s="11" t="b">
        <f>tbl_MTG_Set[[#This Row],[Play Singles CardMarket Profit MTG Stocks]]&gt;0</f>
        <v>0</v>
      </c>
      <c r="BM575" s="10" t="e">
        <f>tbl_MTG_Set[[#This Row],[Play Booster Sell Price CardMarket]]*tbl_MTG_Set[[#This Row],[Play Booster Expected Market Value BotBox]]/tbl_MTG_Set[[#This Row],[Play Booster Sealed Market Value BotBox]]</f>
        <v>#VALUE!</v>
      </c>
      <c r="BN5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5" s="10" t="e">
        <f>tbl_MTG_Set[[#This Row],[Play Singles CardMarket Profit BotBox]]/tbl_MTG_Set[[#This Row],[Play Booster Cost]]</f>
        <v>#VALUE!</v>
      </c>
      <c r="BP575" s="10" t="b">
        <f>tbl_MTG_Set[[#This Row],[Play Singles CardMarket Profit BotBox]]&gt;0</f>
        <v>0</v>
      </c>
      <c r="BQ575" s="10"/>
      <c r="BR575" s="10"/>
      <c r="BS575" s="10"/>
      <c r="BT5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5" s="19" t="e">
        <f>tbl_MTG_Set[[#This Row],[Collector Singles CardMarket Profit MTG Stocks]]/tbl_MTG_Set[[#This Row],[Collector Booster Cost]]</f>
        <v>#N/A</v>
      </c>
      <c r="BW575" s="10" t="b">
        <f>tbl_MTG_Set[[#This Row],[Collector Singles CardMarket Profit MTG Stocks]]&gt;0</f>
        <v>0</v>
      </c>
      <c r="BX575" s="10"/>
      <c r="BY575" s="10"/>
      <c r="BZ5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5" s="10" t="e">
        <f>tbl_MTG_Set[[#This Row],[Collector Singles CardMarket Profit BotBox]]/tbl_MTG_Set[[#This Row],[Collector Booster Cost]]</f>
        <v>#N/A</v>
      </c>
      <c r="CC575" s="10" t="b">
        <f>tbl_MTG_Set[[#This Row],[Collector Singles CardMarket Profit BotBox]]&gt;0</f>
        <v>0</v>
      </c>
      <c r="CD5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6" spans="1:86" hidden="1">
      <c r="A576">
        <v>608</v>
      </c>
      <c r="B576" t="s">
        <v>749</v>
      </c>
      <c r="C576">
        <v>4</v>
      </c>
      <c r="D576" s="3">
        <v>42027</v>
      </c>
      <c r="F576" t="s">
        <v>174</v>
      </c>
      <c r="G576">
        <v>1162</v>
      </c>
      <c r="H576">
        <f ca="1">MONTH(NOW())+12*YEAR(NOW())-MONTH(tbl_MTG_Set[[#This Row],[Released On]])-12*YEAR(tbl_MTG_Set[[#This Row],[Released On]])</f>
        <v>134</v>
      </c>
      <c r="I576" t="str">
        <f>_xlfn.XLOOKUP(tbl_MTG_Set[[#This Row],[Type Name]], tbl_MTG_Set_Type[Set Type], tbl_MTG_Set_Type[Index], "(Set Type not found)")</f>
        <v>(Set Type not found)</v>
      </c>
      <c r="J576" t="str">
        <f>_xlfn.XLOOKUP(tbl_MTG_Set[[#This Row],[Type Name]], tbl_MTG_Set_Type[Set Type], tbl_MTG_Set_Type[Buy Window Month Start], "(Set Type not found)")</f>
        <v>(Set Type not found)</v>
      </c>
      <c r="K576" s="3" t="e">
        <f>tbl_MTG_Set[[#This Row],[Released On]]+tbl_MTG_Set[[#This Row],[Buy Window Month Start]]*365.25/12</f>
        <v>#VALUE!</v>
      </c>
      <c r="L576" t="str">
        <f>_xlfn.XLOOKUP(tbl_MTG_Set[[#This Row],[Type Name]], tbl_MTG_Set_Type[Set Type], tbl_MTG_Set_Type[Buy Window Month End], "(Set Type not found)", 0, 1)</f>
        <v>(Set Type not found)</v>
      </c>
      <c r="M576" s="3" t="e">
        <f>tbl_MTG_Set[[#This Row],[Released On]]+tbl_MTG_Set[[#This Row],[Buy Window Month End]]*365.25/12</f>
        <v>#VALUE!</v>
      </c>
      <c r="N576" s="3" t="e">
        <f ca="1">AND(NOW()&gt;=tbl_MTG_Set[[#This Row],[Buy Window Start]], NOW()&lt;=tbl_MTG_Set[[#This Row],[Buy Window End]])</f>
        <v>#VALUE!</v>
      </c>
      <c r="O576" t="str">
        <f>_xlfn.XLOOKUP(tbl_MTG_Set[[#This Row],[Type Name]], tbl_MTG_Set_Type[Set Type], tbl_MTG_Set_Type[Heavy Printing Window Month Start], "(Set Type not found)", 0, 1)</f>
        <v>(Set Type not found)</v>
      </c>
      <c r="P576" s="3" t="e">
        <f>tbl_MTG_Set[[#This Row],[Released On]]+tbl_MTG_Set[[#This Row],[Heavy Printing Window Month Start]]*365.25/12</f>
        <v>#VALUE!</v>
      </c>
      <c r="Q576" t="str">
        <f>_xlfn.XLOOKUP(tbl_MTG_Set[[#This Row],[Type Name]], tbl_MTG_Set_Type[Set Type], tbl_MTG_Set_Type[Heavy Printing Window Month End], "(Set Type not found)", 0, 1)</f>
        <v>(Set Type not found)</v>
      </c>
      <c r="R576" s="3" t="e">
        <f>tbl_MTG_Set[[#This Row],[Released On]]+tbl_MTG_Set[[#This Row],[Heavy Printing Window Month End]]*365.25/12</f>
        <v>#VALUE!</v>
      </c>
      <c r="S576" s="3" t="e">
        <f ca="1">AND(NOW()&gt;=tbl_MTG_Set[[#This Row],[Heavy Printing Window Start]], NOW()&lt;=tbl_MTG_Set[[#This Row],[Heavy Printing Window End]])</f>
        <v>#VALUE!</v>
      </c>
      <c r="T576" t="str">
        <f>_xlfn.XLOOKUP(tbl_MTG_Set[[#This Row],[Type Name]], tbl_MTG_Set_Type[Set Type], tbl_MTG_Set_Type[Sell Window Month Start], "(Set Type not found)", 0, 1)</f>
        <v>(Set Type not found)</v>
      </c>
      <c r="U576" s="3" t="e">
        <f>tbl_MTG_Set[[#This Row],[Released On]]+tbl_MTG_Set[[#This Row],[Sell Window Month Start]]*365.25/12</f>
        <v>#VALUE!</v>
      </c>
      <c r="V576" t="str">
        <f>_xlfn.XLOOKUP(tbl_MTG_Set[[#This Row],[Type Name]], tbl_MTG_Set_Type[Set Type], tbl_MTG_Set_Type[Sell Window Month End], "(Set Type not found)", 0, 1)</f>
        <v>(Set Type not found)</v>
      </c>
      <c r="W576" s="3" t="e">
        <f>tbl_MTG_Set[[#This Row],[Released On]]+tbl_MTG_Set[[#This Row],[Sell Window Month End]]*365.25/12</f>
        <v>#VALUE!</v>
      </c>
      <c r="X576" s="3" t="e">
        <f ca="1">AND(NOW()&gt;=tbl_MTG_Set[[#This Row],[Sell Window Start]], NOW()&lt;=tbl_MTG_Set[[#This Row],[Sell Window End]])</f>
        <v>#VALUE!</v>
      </c>
      <c r="AG576" s="10"/>
      <c r="AH576" s="10"/>
      <c r="AM576" s="10" t="str" cm="1">
        <f t="array" ref="AM5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6" s="10" t="str" cm="1">
        <f t="array" ref="AN5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6" s="4" t="e">
        <f>_xlfn.XLOOKUP(tbl_MTG_Set[[#This Row],[Play Booster Box Product Id]], tbl_Product[Product Id], tbl_Product[Pack Size])</f>
        <v>#N/A</v>
      </c>
      <c r="AP576" s="10" t="e">
        <f>(tbl_MTG_Set[[#This Row],[Play Booster Box Cost]]+v_Item_Shipping_Cost_In)/tbl_MTG_Set[[#This Row],[Play Booster Box Size]]</f>
        <v>#VALUE!</v>
      </c>
      <c r="AQ576" s="10" t="str" cm="1">
        <f t="array" ref="AQ5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6" s="10"/>
      <c r="AS576" s="10"/>
      <c r="AT576" s="17" t="e">
        <f>tbl_MTG_Set[[#This Row],[Play Booster CardMarket Profit]]/tbl_MTG_Set[[#This Row],[Play Booster Cost]]</f>
        <v>#VALUE!</v>
      </c>
      <c r="AU576" s="10" t="e">
        <f>_xlfn.XLOOKUP(tbl_MTG_Set[[#This Row],[Collector Booster Box Product Id]], tbl_Product[Product Id], tbl_Product[Min Cost])</f>
        <v>#N/A</v>
      </c>
      <c r="AV576" s="10" t="e">
        <f>_xlfn.XLOOKUP(tbl_MTG_Set[[#This Row],[Collector Booster Box Product Id]], tbl_Product[Product Id], tbl_Product[Best Source])</f>
        <v>#N/A</v>
      </c>
      <c r="AW576" s="4" t="e">
        <f>_xlfn.XLOOKUP(tbl_MTG_Set[[#This Row],[Collector Booster Box Product Id]], tbl_Product[Product Id], tbl_Product[Pack Size])</f>
        <v>#N/A</v>
      </c>
      <c r="AX576" s="10" t="e">
        <f>(tbl_MTG_Set[[#This Row],[Collector Booster Box Cost]] + v_Item_Shipping_Cost_In) / tbl_MTG_Set[[#This Row],[Collector Booster Box Size]]</f>
        <v>#N/A</v>
      </c>
      <c r="AY576" s="10" t="str" cm="1">
        <f t="array" ref="AY5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6" s="10"/>
      <c r="BA5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6" s="17" t="e">
        <f>tbl_MTG_Set[[#This Row],[Collector Booster CardMarket Profit]]/tbl_MTG_Set[[#This Row],[Collector Booster Cost]]</f>
        <v>#N/A</v>
      </c>
      <c r="BC576" s="10"/>
      <c r="BF5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6" s="11" t="e">
        <f>tbl_MTG_Set[[#This Row],[Play Singles CardMarket Profit MTG Stocks]]/tbl_MTG_Set[[#This Row],[Play Booster Cost]]</f>
        <v>#VALUE!</v>
      </c>
      <c r="BI576" s="11" t="b">
        <f>tbl_MTG_Set[[#This Row],[Play Singles CardMarket Profit MTG Stocks]]&gt;0</f>
        <v>0</v>
      </c>
      <c r="BM576" s="10" t="e">
        <f>tbl_MTG_Set[[#This Row],[Play Booster Sell Price CardMarket]]*tbl_MTG_Set[[#This Row],[Play Booster Expected Market Value BotBox]]/tbl_MTG_Set[[#This Row],[Play Booster Sealed Market Value BotBox]]</f>
        <v>#VALUE!</v>
      </c>
      <c r="BN5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6" s="10" t="e">
        <f>tbl_MTG_Set[[#This Row],[Play Singles CardMarket Profit BotBox]]/tbl_MTG_Set[[#This Row],[Play Booster Cost]]</f>
        <v>#VALUE!</v>
      </c>
      <c r="BP576" s="10" t="b">
        <f>tbl_MTG_Set[[#This Row],[Play Singles CardMarket Profit BotBox]]&gt;0</f>
        <v>0</v>
      </c>
      <c r="BQ576" s="10"/>
      <c r="BR576" s="10"/>
      <c r="BS576" s="10"/>
      <c r="BT5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6" s="19" t="e">
        <f>tbl_MTG_Set[[#This Row],[Collector Singles CardMarket Profit MTG Stocks]]/tbl_MTG_Set[[#This Row],[Collector Booster Cost]]</f>
        <v>#N/A</v>
      </c>
      <c r="BW576" s="10" t="b">
        <f>tbl_MTG_Set[[#This Row],[Collector Singles CardMarket Profit MTG Stocks]]&gt;0</f>
        <v>0</v>
      </c>
      <c r="BX576" s="10"/>
      <c r="BY576" s="10"/>
      <c r="BZ5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6" s="10" t="e">
        <f>tbl_MTG_Set[[#This Row],[Collector Singles CardMarket Profit BotBox]]/tbl_MTG_Set[[#This Row],[Collector Booster Cost]]</f>
        <v>#N/A</v>
      </c>
      <c r="CC576" s="10" t="b">
        <f>tbl_MTG_Set[[#This Row],[Collector Singles CardMarket Profit BotBox]]&gt;0</f>
        <v>0</v>
      </c>
      <c r="CD5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7" spans="1:86" hidden="1">
      <c r="A577">
        <v>609</v>
      </c>
      <c r="B577" t="s">
        <v>750</v>
      </c>
      <c r="C577">
        <v>6</v>
      </c>
      <c r="D577" s="3">
        <v>42027</v>
      </c>
      <c r="F577" t="s">
        <v>174</v>
      </c>
      <c r="G577">
        <v>1164</v>
      </c>
      <c r="H577">
        <f ca="1">MONTH(NOW())+12*YEAR(NOW())-MONTH(tbl_MTG_Set[[#This Row],[Released On]])-12*YEAR(tbl_MTG_Set[[#This Row],[Released On]])</f>
        <v>134</v>
      </c>
      <c r="I577" t="str">
        <f>_xlfn.XLOOKUP(tbl_MTG_Set[[#This Row],[Type Name]], tbl_MTG_Set_Type[Set Type], tbl_MTG_Set_Type[Index], "(Set Type not found)")</f>
        <v>(Set Type not found)</v>
      </c>
      <c r="J577" t="str">
        <f>_xlfn.XLOOKUP(tbl_MTG_Set[[#This Row],[Type Name]], tbl_MTG_Set_Type[Set Type], tbl_MTG_Set_Type[Buy Window Month Start], "(Set Type not found)")</f>
        <v>(Set Type not found)</v>
      </c>
      <c r="K577" s="3" t="e">
        <f>tbl_MTG_Set[[#This Row],[Released On]]+tbl_MTG_Set[[#This Row],[Buy Window Month Start]]*365.25/12</f>
        <v>#VALUE!</v>
      </c>
      <c r="L577" t="str">
        <f>_xlfn.XLOOKUP(tbl_MTG_Set[[#This Row],[Type Name]], tbl_MTG_Set_Type[Set Type], tbl_MTG_Set_Type[Buy Window Month End], "(Set Type not found)", 0, 1)</f>
        <v>(Set Type not found)</v>
      </c>
      <c r="M577" s="3" t="e">
        <f>tbl_MTG_Set[[#This Row],[Released On]]+tbl_MTG_Set[[#This Row],[Buy Window Month End]]*365.25/12</f>
        <v>#VALUE!</v>
      </c>
      <c r="N577" s="3" t="e">
        <f ca="1">AND(NOW()&gt;=tbl_MTG_Set[[#This Row],[Buy Window Start]], NOW()&lt;=tbl_MTG_Set[[#This Row],[Buy Window End]])</f>
        <v>#VALUE!</v>
      </c>
      <c r="O577" t="str">
        <f>_xlfn.XLOOKUP(tbl_MTG_Set[[#This Row],[Type Name]], tbl_MTG_Set_Type[Set Type], tbl_MTG_Set_Type[Heavy Printing Window Month Start], "(Set Type not found)", 0, 1)</f>
        <v>(Set Type not found)</v>
      </c>
      <c r="P577" s="3" t="e">
        <f>tbl_MTG_Set[[#This Row],[Released On]]+tbl_MTG_Set[[#This Row],[Heavy Printing Window Month Start]]*365.25/12</f>
        <v>#VALUE!</v>
      </c>
      <c r="Q577" t="str">
        <f>_xlfn.XLOOKUP(tbl_MTG_Set[[#This Row],[Type Name]], tbl_MTG_Set_Type[Set Type], tbl_MTG_Set_Type[Heavy Printing Window Month End], "(Set Type not found)", 0, 1)</f>
        <v>(Set Type not found)</v>
      </c>
      <c r="R577" s="3" t="e">
        <f>tbl_MTG_Set[[#This Row],[Released On]]+tbl_MTG_Set[[#This Row],[Heavy Printing Window Month End]]*365.25/12</f>
        <v>#VALUE!</v>
      </c>
      <c r="S577" s="3" t="e">
        <f ca="1">AND(NOW()&gt;=tbl_MTG_Set[[#This Row],[Heavy Printing Window Start]], NOW()&lt;=tbl_MTG_Set[[#This Row],[Heavy Printing Window End]])</f>
        <v>#VALUE!</v>
      </c>
      <c r="T577" t="str">
        <f>_xlfn.XLOOKUP(tbl_MTG_Set[[#This Row],[Type Name]], tbl_MTG_Set_Type[Set Type], tbl_MTG_Set_Type[Sell Window Month Start], "(Set Type not found)", 0, 1)</f>
        <v>(Set Type not found)</v>
      </c>
      <c r="U577" s="3" t="e">
        <f>tbl_MTG_Set[[#This Row],[Released On]]+tbl_MTG_Set[[#This Row],[Sell Window Month Start]]*365.25/12</f>
        <v>#VALUE!</v>
      </c>
      <c r="V577" t="str">
        <f>_xlfn.XLOOKUP(tbl_MTG_Set[[#This Row],[Type Name]], tbl_MTG_Set_Type[Set Type], tbl_MTG_Set_Type[Sell Window Month End], "(Set Type not found)", 0, 1)</f>
        <v>(Set Type not found)</v>
      </c>
      <c r="W577" s="3" t="e">
        <f>tbl_MTG_Set[[#This Row],[Released On]]+tbl_MTG_Set[[#This Row],[Sell Window Month End]]*365.25/12</f>
        <v>#VALUE!</v>
      </c>
      <c r="X577" s="3" t="e">
        <f ca="1">AND(NOW()&gt;=tbl_MTG_Set[[#This Row],[Sell Window Start]], NOW()&lt;=tbl_MTG_Set[[#This Row],[Sell Window End]])</f>
        <v>#VALUE!</v>
      </c>
      <c r="AG577" s="10"/>
      <c r="AH577" s="10"/>
      <c r="AM577" s="10" t="str" cm="1">
        <f t="array" ref="AM5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7" s="10" t="str" cm="1">
        <f t="array" ref="AN5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7" s="4" t="e">
        <f>_xlfn.XLOOKUP(tbl_MTG_Set[[#This Row],[Play Booster Box Product Id]], tbl_Product[Product Id], tbl_Product[Pack Size])</f>
        <v>#N/A</v>
      </c>
      <c r="AP577" s="10" t="e">
        <f>(tbl_MTG_Set[[#This Row],[Play Booster Box Cost]]+v_Item_Shipping_Cost_In)/tbl_MTG_Set[[#This Row],[Play Booster Box Size]]</f>
        <v>#VALUE!</v>
      </c>
      <c r="AQ577" s="10" t="str" cm="1">
        <f t="array" ref="AQ5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7" s="10"/>
      <c r="AS577" s="10"/>
      <c r="AT577" s="17" t="e">
        <f>tbl_MTG_Set[[#This Row],[Play Booster CardMarket Profit]]/tbl_MTG_Set[[#This Row],[Play Booster Cost]]</f>
        <v>#VALUE!</v>
      </c>
      <c r="AU577" s="10" t="e">
        <f>_xlfn.XLOOKUP(tbl_MTG_Set[[#This Row],[Collector Booster Box Product Id]], tbl_Product[Product Id], tbl_Product[Min Cost])</f>
        <v>#N/A</v>
      </c>
      <c r="AV577" s="10" t="e">
        <f>_xlfn.XLOOKUP(tbl_MTG_Set[[#This Row],[Collector Booster Box Product Id]], tbl_Product[Product Id], tbl_Product[Best Source])</f>
        <v>#N/A</v>
      </c>
      <c r="AW577" s="4" t="e">
        <f>_xlfn.XLOOKUP(tbl_MTG_Set[[#This Row],[Collector Booster Box Product Id]], tbl_Product[Product Id], tbl_Product[Pack Size])</f>
        <v>#N/A</v>
      </c>
      <c r="AX577" s="10" t="e">
        <f>(tbl_MTG_Set[[#This Row],[Collector Booster Box Cost]] + v_Item_Shipping_Cost_In) / tbl_MTG_Set[[#This Row],[Collector Booster Box Size]]</f>
        <v>#N/A</v>
      </c>
      <c r="AY577" s="10" t="str" cm="1">
        <f t="array" ref="AY5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7" s="10"/>
      <c r="BA5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7" s="17" t="e">
        <f>tbl_MTG_Set[[#This Row],[Collector Booster CardMarket Profit]]/tbl_MTG_Set[[#This Row],[Collector Booster Cost]]</f>
        <v>#N/A</v>
      </c>
      <c r="BC577" s="10"/>
      <c r="BF5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7" s="11" t="e">
        <f>tbl_MTG_Set[[#This Row],[Play Singles CardMarket Profit MTG Stocks]]/tbl_MTG_Set[[#This Row],[Play Booster Cost]]</f>
        <v>#VALUE!</v>
      </c>
      <c r="BI577" s="11" t="b">
        <f>tbl_MTG_Set[[#This Row],[Play Singles CardMarket Profit MTG Stocks]]&gt;0</f>
        <v>0</v>
      </c>
      <c r="BM577" s="10" t="e">
        <f>tbl_MTG_Set[[#This Row],[Play Booster Sell Price CardMarket]]*tbl_MTG_Set[[#This Row],[Play Booster Expected Market Value BotBox]]/tbl_MTG_Set[[#This Row],[Play Booster Sealed Market Value BotBox]]</f>
        <v>#VALUE!</v>
      </c>
      <c r="BN5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7" s="10" t="e">
        <f>tbl_MTG_Set[[#This Row],[Play Singles CardMarket Profit BotBox]]/tbl_MTG_Set[[#This Row],[Play Booster Cost]]</f>
        <v>#VALUE!</v>
      </c>
      <c r="BP577" s="10" t="b">
        <f>tbl_MTG_Set[[#This Row],[Play Singles CardMarket Profit BotBox]]&gt;0</f>
        <v>0</v>
      </c>
      <c r="BQ577" s="10"/>
      <c r="BR577" s="10"/>
      <c r="BS577" s="10"/>
      <c r="BT5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7" s="19" t="e">
        <f>tbl_MTG_Set[[#This Row],[Collector Singles CardMarket Profit MTG Stocks]]/tbl_MTG_Set[[#This Row],[Collector Booster Cost]]</f>
        <v>#N/A</v>
      </c>
      <c r="BW577" s="10" t="b">
        <f>tbl_MTG_Set[[#This Row],[Collector Singles CardMarket Profit MTG Stocks]]&gt;0</f>
        <v>0</v>
      </c>
      <c r="BX577" s="10"/>
      <c r="BY577" s="10"/>
      <c r="BZ5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7" s="10" t="e">
        <f>tbl_MTG_Set[[#This Row],[Collector Singles CardMarket Profit BotBox]]/tbl_MTG_Set[[#This Row],[Collector Booster Cost]]</f>
        <v>#N/A</v>
      </c>
      <c r="CC577" s="10" t="b">
        <f>tbl_MTG_Set[[#This Row],[Collector Singles CardMarket Profit BotBox]]&gt;0</f>
        <v>0</v>
      </c>
      <c r="CD5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8" spans="1:86" hidden="1">
      <c r="A578">
        <v>610</v>
      </c>
      <c r="B578" t="s">
        <v>751</v>
      </c>
      <c r="C578">
        <v>26</v>
      </c>
      <c r="D578" s="3">
        <v>42021</v>
      </c>
      <c r="F578" t="s">
        <v>174</v>
      </c>
      <c r="G578">
        <v>1166</v>
      </c>
      <c r="H578">
        <f ca="1">MONTH(NOW())+12*YEAR(NOW())-MONTH(tbl_MTG_Set[[#This Row],[Released On]])-12*YEAR(tbl_MTG_Set[[#This Row],[Released On]])</f>
        <v>134</v>
      </c>
      <c r="I578" t="str">
        <f>_xlfn.XLOOKUP(tbl_MTG_Set[[#This Row],[Type Name]], tbl_MTG_Set_Type[Set Type], tbl_MTG_Set_Type[Index], "(Set Type not found)")</f>
        <v>(Set Type not found)</v>
      </c>
      <c r="J578" t="str">
        <f>_xlfn.XLOOKUP(tbl_MTG_Set[[#This Row],[Type Name]], tbl_MTG_Set_Type[Set Type], tbl_MTG_Set_Type[Buy Window Month Start], "(Set Type not found)")</f>
        <v>(Set Type not found)</v>
      </c>
      <c r="K578" s="3" t="e">
        <f>tbl_MTG_Set[[#This Row],[Released On]]+tbl_MTG_Set[[#This Row],[Buy Window Month Start]]*365.25/12</f>
        <v>#VALUE!</v>
      </c>
      <c r="L578" t="str">
        <f>_xlfn.XLOOKUP(tbl_MTG_Set[[#This Row],[Type Name]], tbl_MTG_Set_Type[Set Type], tbl_MTG_Set_Type[Buy Window Month End], "(Set Type not found)", 0, 1)</f>
        <v>(Set Type not found)</v>
      </c>
      <c r="M578" s="3" t="e">
        <f>tbl_MTG_Set[[#This Row],[Released On]]+tbl_MTG_Set[[#This Row],[Buy Window Month End]]*365.25/12</f>
        <v>#VALUE!</v>
      </c>
      <c r="N578" s="3" t="e">
        <f ca="1">AND(NOW()&gt;=tbl_MTG_Set[[#This Row],[Buy Window Start]], NOW()&lt;=tbl_MTG_Set[[#This Row],[Buy Window End]])</f>
        <v>#VALUE!</v>
      </c>
      <c r="O578" t="str">
        <f>_xlfn.XLOOKUP(tbl_MTG_Set[[#This Row],[Type Name]], tbl_MTG_Set_Type[Set Type], tbl_MTG_Set_Type[Heavy Printing Window Month Start], "(Set Type not found)", 0, 1)</f>
        <v>(Set Type not found)</v>
      </c>
      <c r="P578" s="3" t="e">
        <f>tbl_MTG_Set[[#This Row],[Released On]]+tbl_MTG_Set[[#This Row],[Heavy Printing Window Month Start]]*365.25/12</f>
        <v>#VALUE!</v>
      </c>
      <c r="Q578" t="str">
        <f>_xlfn.XLOOKUP(tbl_MTG_Set[[#This Row],[Type Name]], tbl_MTG_Set_Type[Set Type], tbl_MTG_Set_Type[Heavy Printing Window Month End], "(Set Type not found)", 0, 1)</f>
        <v>(Set Type not found)</v>
      </c>
      <c r="R578" s="3" t="e">
        <f>tbl_MTG_Set[[#This Row],[Released On]]+tbl_MTG_Set[[#This Row],[Heavy Printing Window Month End]]*365.25/12</f>
        <v>#VALUE!</v>
      </c>
      <c r="S578" s="3" t="e">
        <f ca="1">AND(NOW()&gt;=tbl_MTG_Set[[#This Row],[Heavy Printing Window Start]], NOW()&lt;=tbl_MTG_Set[[#This Row],[Heavy Printing Window End]])</f>
        <v>#VALUE!</v>
      </c>
      <c r="T578" t="str">
        <f>_xlfn.XLOOKUP(tbl_MTG_Set[[#This Row],[Type Name]], tbl_MTG_Set_Type[Set Type], tbl_MTG_Set_Type[Sell Window Month Start], "(Set Type not found)", 0, 1)</f>
        <v>(Set Type not found)</v>
      </c>
      <c r="U578" s="3" t="e">
        <f>tbl_MTG_Set[[#This Row],[Released On]]+tbl_MTG_Set[[#This Row],[Sell Window Month Start]]*365.25/12</f>
        <v>#VALUE!</v>
      </c>
      <c r="V578" t="str">
        <f>_xlfn.XLOOKUP(tbl_MTG_Set[[#This Row],[Type Name]], tbl_MTG_Set_Type[Set Type], tbl_MTG_Set_Type[Sell Window Month End], "(Set Type not found)", 0, 1)</f>
        <v>(Set Type not found)</v>
      </c>
      <c r="W578" s="3" t="e">
        <f>tbl_MTG_Set[[#This Row],[Released On]]+tbl_MTG_Set[[#This Row],[Sell Window Month End]]*365.25/12</f>
        <v>#VALUE!</v>
      </c>
      <c r="X578" s="3" t="e">
        <f ca="1">AND(NOW()&gt;=tbl_MTG_Set[[#This Row],[Sell Window Start]], NOW()&lt;=tbl_MTG_Set[[#This Row],[Sell Window End]])</f>
        <v>#VALUE!</v>
      </c>
      <c r="AG578" s="10"/>
      <c r="AH578" s="10"/>
      <c r="AM578" s="10" t="str" cm="1">
        <f t="array" ref="AM5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8" s="10" t="str" cm="1">
        <f t="array" ref="AN5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8" s="4" t="e">
        <f>_xlfn.XLOOKUP(tbl_MTG_Set[[#This Row],[Play Booster Box Product Id]], tbl_Product[Product Id], tbl_Product[Pack Size])</f>
        <v>#N/A</v>
      </c>
      <c r="AP578" s="10" t="e">
        <f>(tbl_MTG_Set[[#This Row],[Play Booster Box Cost]]+v_Item_Shipping_Cost_In)/tbl_MTG_Set[[#This Row],[Play Booster Box Size]]</f>
        <v>#VALUE!</v>
      </c>
      <c r="AQ578" s="10" t="str" cm="1">
        <f t="array" ref="AQ5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8" s="10"/>
      <c r="AS578" s="10"/>
      <c r="AT578" s="17" t="e">
        <f>tbl_MTG_Set[[#This Row],[Play Booster CardMarket Profit]]/tbl_MTG_Set[[#This Row],[Play Booster Cost]]</f>
        <v>#VALUE!</v>
      </c>
      <c r="AU578" s="10" t="e">
        <f>_xlfn.XLOOKUP(tbl_MTG_Set[[#This Row],[Collector Booster Box Product Id]], tbl_Product[Product Id], tbl_Product[Min Cost])</f>
        <v>#N/A</v>
      </c>
      <c r="AV578" s="10" t="e">
        <f>_xlfn.XLOOKUP(tbl_MTG_Set[[#This Row],[Collector Booster Box Product Id]], tbl_Product[Product Id], tbl_Product[Best Source])</f>
        <v>#N/A</v>
      </c>
      <c r="AW578" s="4" t="e">
        <f>_xlfn.XLOOKUP(tbl_MTG_Set[[#This Row],[Collector Booster Box Product Id]], tbl_Product[Product Id], tbl_Product[Pack Size])</f>
        <v>#N/A</v>
      </c>
      <c r="AX578" s="10" t="e">
        <f>(tbl_MTG_Set[[#This Row],[Collector Booster Box Cost]] + v_Item_Shipping_Cost_In) / tbl_MTG_Set[[#This Row],[Collector Booster Box Size]]</f>
        <v>#N/A</v>
      </c>
      <c r="AY578" s="10" t="str" cm="1">
        <f t="array" ref="AY5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8" s="10"/>
      <c r="BA5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8" s="17" t="e">
        <f>tbl_MTG_Set[[#This Row],[Collector Booster CardMarket Profit]]/tbl_MTG_Set[[#This Row],[Collector Booster Cost]]</f>
        <v>#N/A</v>
      </c>
      <c r="BC578" s="10"/>
      <c r="BF5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8" s="11" t="e">
        <f>tbl_MTG_Set[[#This Row],[Play Singles CardMarket Profit MTG Stocks]]/tbl_MTG_Set[[#This Row],[Play Booster Cost]]</f>
        <v>#VALUE!</v>
      </c>
      <c r="BI578" s="11" t="b">
        <f>tbl_MTG_Set[[#This Row],[Play Singles CardMarket Profit MTG Stocks]]&gt;0</f>
        <v>0</v>
      </c>
      <c r="BM578" s="10" t="e">
        <f>tbl_MTG_Set[[#This Row],[Play Booster Sell Price CardMarket]]*tbl_MTG_Set[[#This Row],[Play Booster Expected Market Value BotBox]]/tbl_MTG_Set[[#This Row],[Play Booster Sealed Market Value BotBox]]</f>
        <v>#VALUE!</v>
      </c>
      <c r="BN5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8" s="10" t="e">
        <f>tbl_MTG_Set[[#This Row],[Play Singles CardMarket Profit BotBox]]/tbl_MTG_Set[[#This Row],[Play Booster Cost]]</f>
        <v>#VALUE!</v>
      </c>
      <c r="BP578" s="10" t="b">
        <f>tbl_MTG_Set[[#This Row],[Play Singles CardMarket Profit BotBox]]&gt;0</f>
        <v>0</v>
      </c>
      <c r="BQ578" s="10"/>
      <c r="BR578" s="10"/>
      <c r="BS578" s="10"/>
      <c r="BT5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8" s="19" t="e">
        <f>tbl_MTG_Set[[#This Row],[Collector Singles CardMarket Profit MTG Stocks]]/tbl_MTG_Set[[#This Row],[Collector Booster Cost]]</f>
        <v>#N/A</v>
      </c>
      <c r="BW578" s="10" t="b">
        <f>tbl_MTG_Set[[#This Row],[Collector Singles CardMarket Profit MTG Stocks]]&gt;0</f>
        <v>0</v>
      </c>
      <c r="BX578" s="10"/>
      <c r="BY578" s="10"/>
      <c r="BZ5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8" s="10" t="e">
        <f>tbl_MTG_Set[[#This Row],[Collector Singles CardMarket Profit BotBox]]/tbl_MTG_Set[[#This Row],[Collector Booster Cost]]</f>
        <v>#N/A</v>
      </c>
      <c r="CC578" s="10" t="b">
        <f>tbl_MTG_Set[[#This Row],[Collector Singles CardMarket Profit BotBox]]&gt;0</f>
        <v>0</v>
      </c>
      <c r="CD5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79" spans="1:86" hidden="1">
      <c r="A579">
        <v>611</v>
      </c>
      <c r="B579" t="s">
        <v>752</v>
      </c>
      <c r="C579">
        <v>1</v>
      </c>
      <c r="D579" s="3">
        <v>42005</v>
      </c>
      <c r="F579" t="s">
        <v>174</v>
      </c>
      <c r="G579">
        <v>1168</v>
      </c>
      <c r="H579">
        <f ca="1">MONTH(NOW())+12*YEAR(NOW())-MONTH(tbl_MTG_Set[[#This Row],[Released On]])-12*YEAR(tbl_MTG_Set[[#This Row],[Released On]])</f>
        <v>134</v>
      </c>
      <c r="I579" t="str">
        <f>_xlfn.XLOOKUP(tbl_MTG_Set[[#This Row],[Type Name]], tbl_MTG_Set_Type[Set Type], tbl_MTG_Set_Type[Index], "(Set Type not found)")</f>
        <v>(Set Type not found)</v>
      </c>
      <c r="J579" t="str">
        <f>_xlfn.XLOOKUP(tbl_MTG_Set[[#This Row],[Type Name]], tbl_MTG_Set_Type[Set Type], tbl_MTG_Set_Type[Buy Window Month Start], "(Set Type not found)")</f>
        <v>(Set Type not found)</v>
      </c>
      <c r="K579" s="3" t="e">
        <f>tbl_MTG_Set[[#This Row],[Released On]]+tbl_MTG_Set[[#This Row],[Buy Window Month Start]]*365.25/12</f>
        <v>#VALUE!</v>
      </c>
      <c r="L579" t="str">
        <f>_xlfn.XLOOKUP(tbl_MTG_Set[[#This Row],[Type Name]], tbl_MTG_Set_Type[Set Type], tbl_MTG_Set_Type[Buy Window Month End], "(Set Type not found)", 0, 1)</f>
        <v>(Set Type not found)</v>
      </c>
      <c r="M579" s="3" t="e">
        <f>tbl_MTG_Set[[#This Row],[Released On]]+tbl_MTG_Set[[#This Row],[Buy Window Month End]]*365.25/12</f>
        <v>#VALUE!</v>
      </c>
      <c r="N579" s="3" t="e">
        <f ca="1">AND(NOW()&gt;=tbl_MTG_Set[[#This Row],[Buy Window Start]], NOW()&lt;=tbl_MTG_Set[[#This Row],[Buy Window End]])</f>
        <v>#VALUE!</v>
      </c>
      <c r="O579" t="str">
        <f>_xlfn.XLOOKUP(tbl_MTG_Set[[#This Row],[Type Name]], tbl_MTG_Set_Type[Set Type], tbl_MTG_Set_Type[Heavy Printing Window Month Start], "(Set Type not found)", 0, 1)</f>
        <v>(Set Type not found)</v>
      </c>
      <c r="P579" s="3" t="e">
        <f>tbl_MTG_Set[[#This Row],[Released On]]+tbl_MTG_Set[[#This Row],[Heavy Printing Window Month Start]]*365.25/12</f>
        <v>#VALUE!</v>
      </c>
      <c r="Q579" t="str">
        <f>_xlfn.XLOOKUP(tbl_MTG_Set[[#This Row],[Type Name]], tbl_MTG_Set_Type[Set Type], tbl_MTG_Set_Type[Heavy Printing Window Month End], "(Set Type not found)", 0, 1)</f>
        <v>(Set Type not found)</v>
      </c>
      <c r="R579" s="3" t="e">
        <f>tbl_MTG_Set[[#This Row],[Released On]]+tbl_MTG_Set[[#This Row],[Heavy Printing Window Month End]]*365.25/12</f>
        <v>#VALUE!</v>
      </c>
      <c r="S579" s="3" t="e">
        <f ca="1">AND(NOW()&gt;=tbl_MTG_Set[[#This Row],[Heavy Printing Window Start]], NOW()&lt;=tbl_MTG_Set[[#This Row],[Heavy Printing Window End]])</f>
        <v>#VALUE!</v>
      </c>
      <c r="T579" t="str">
        <f>_xlfn.XLOOKUP(tbl_MTG_Set[[#This Row],[Type Name]], tbl_MTG_Set_Type[Set Type], tbl_MTG_Set_Type[Sell Window Month Start], "(Set Type not found)", 0, 1)</f>
        <v>(Set Type not found)</v>
      </c>
      <c r="U579" s="3" t="e">
        <f>tbl_MTG_Set[[#This Row],[Released On]]+tbl_MTG_Set[[#This Row],[Sell Window Month Start]]*365.25/12</f>
        <v>#VALUE!</v>
      </c>
      <c r="V579" t="str">
        <f>_xlfn.XLOOKUP(tbl_MTG_Set[[#This Row],[Type Name]], tbl_MTG_Set_Type[Set Type], tbl_MTG_Set_Type[Sell Window Month End], "(Set Type not found)", 0, 1)</f>
        <v>(Set Type not found)</v>
      </c>
      <c r="W579" s="3" t="e">
        <f>tbl_MTG_Set[[#This Row],[Released On]]+tbl_MTG_Set[[#This Row],[Sell Window Month End]]*365.25/12</f>
        <v>#VALUE!</v>
      </c>
      <c r="X579" s="3" t="e">
        <f ca="1">AND(NOW()&gt;=tbl_MTG_Set[[#This Row],[Sell Window Start]], NOW()&lt;=tbl_MTG_Set[[#This Row],[Sell Window End]])</f>
        <v>#VALUE!</v>
      </c>
      <c r="AG579" s="10"/>
      <c r="AH579" s="10"/>
      <c r="AM579" s="10" t="str" cm="1">
        <f t="array" ref="AM5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79" s="10" t="str" cm="1">
        <f t="array" ref="AN5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79" s="4" t="e">
        <f>_xlfn.XLOOKUP(tbl_MTG_Set[[#This Row],[Play Booster Box Product Id]], tbl_Product[Product Id], tbl_Product[Pack Size])</f>
        <v>#N/A</v>
      </c>
      <c r="AP579" s="10" t="e">
        <f>(tbl_MTG_Set[[#This Row],[Play Booster Box Cost]]+v_Item_Shipping_Cost_In)/tbl_MTG_Set[[#This Row],[Play Booster Box Size]]</f>
        <v>#VALUE!</v>
      </c>
      <c r="AQ579" s="10" t="str" cm="1">
        <f t="array" ref="AQ5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79" s="10"/>
      <c r="AS579" s="10"/>
      <c r="AT579" s="17" t="e">
        <f>tbl_MTG_Set[[#This Row],[Play Booster CardMarket Profit]]/tbl_MTG_Set[[#This Row],[Play Booster Cost]]</f>
        <v>#VALUE!</v>
      </c>
      <c r="AU579" s="10" t="e">
        <f>_xlfn.XLOOKUP(tbl_MTG_Set[[#This Row],[Collector Booster Box Product Id]], tbl_Product[Product Id], tbl_Product[Min Cost])</f>
        <v>#N/A</v>
      </c>
      <c r="AV579" s="10" t="e">
        <f>_xlfn.XLOOKUP(tbl_MTG_Set[[#This Row],[Collector Booster Box Product Id]], tbl_Product[Product Id], tbl_Product[Best Source])</f>
        <v>#N/A</v>
      </c>
      <c r="AW579" s="4" t="e">
        <f>_xlfn.XLOOKUP(tbl_MTG_Set[[#This Row],[Collector Booster Box Product Id]], tbl_Product[Product Id], tbl_Product[Pack Size])</f>
        <v>#N/A</v>
      </c>
      <c r="AX579" s="10" t="e">
        <f>(tbl_MTG_Set[[#This Row],[Collector Booster Box Cost]] + v_Item_Shipping_Cost_In) / tbl_MTG_Set[[#This Row],[Collector Booster Box Size]]</f>
        <v>#N/A</v>
      </c>
      <c r="AY579" s="10" t="str" cm="1">
        <f t="array" ref="AY5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79" s="10"/>
      <c r="BA5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79" s="17" t="e">
        <f>tbl_MTG_Set[[#This Row],[Collector Booster CardMarket Profit]]/tbl_MTG_Set[[#This Row],[Collector Booster Cost]]</f>
        <v>#N/A</v>
      </c>
      <c r="BC579" s="10"/>
      <c r="BF5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79" s="11" t="e">
        <f>tbl_MTG_Set[[#This Row],[Play Singles CardMarket Profit MTG Stocks]]/tbl_MTG_Set[[#This Row],[Play Booster Cost]]</f>
        <v>#VALUE!</v>
      </c>
      <c r="BI579" s="11" t="b">
        <f>tbl_MTG_Set[[#This Row],[Play Singles CardMarket Profit MTG Stocks]]&gt;0</f>
        <v>0</v>
      </c>
      <c r="BM579" s="10" t="e">
        <f>tbl_MTG_Set[[#This Row],[Play Booster Sell Price CardMarket]]*tbl_MTG_Set[[#This Row],[Play Booster Expected Market Value BotBox]]/tbl_MTG_Set[[#This Row],[Play Booster Sealed Market Value BotBox]]</f>
        <v>#VALUE!</v>
      </c>
      <c r="BN5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79" s="10" t="e">
        <f>tbl_MTG_Set[[#This Row],[Play Singles CardMarket Profit BotBox]]/tbl_MTG_Set[[#This Row],[Play Booster Cost]]</f>
        <v>#VALUE!</v>
      </c>
      <c r="BP579" s="10" t="b">
        <f>tbl_MTG_Set[[#This Row],[Play Singles CardMarket Profit BotBox]]&gt;0</f>
        <v>0</v>
      </c>
      <c r="BQ579" s="10"/>
      <c r="BR579" s="10"/>
      <c r="BS579" s="10"/>
      <c r="BT5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79" s="19" t="e">
        <f>tbl_MTG_Set[[#This Row],[Collector Singles CardMarket Profit MTG Stocks]]/tbl_MTG_Set[[#This Row],[Collector Booster Cost]]</f>
        <v>#N/A</v>
      </c>
      <c r="BW579" s="10" t="b">
        <f>tbl_MTG_Set[[#This Row],[Collector Singles CardMarket Profit MTG Stocks]]&gt;0</f>
        <v>0</v>
      </c>
      <c r="BX579" s="10"/>
      <c r="BY579" s="10"/>
      <c r="BZ5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79" s="10" t="e">
        <f>tbl_MTG_Set[[#This Row],[Collector Singles CardMarket Profit BotBox]]/tbl_MTG_Set[[#This Row],[Collector Booster Cost]]</f>
        <v>#N/A</v>
      </c>
      <c r="CC579" s="10" t="b">
        <f>tbl_MTG_Set[[#This Row],[Collector Singles CardMarket Profit BotBox]]&gt;0</f>
        <v>0</v>
      </c>
      <c r="CD5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0" spans="1:86" hidden="1">
      <c r="A580">
        <v>612</v>
      </c>
      <c r="B580" t="s">
        <v>753</v>
      </c>
      <c r="C580">
        <v>12</v>
      </c>
      <c r="D580" s="3">
        <v>42005</v>
      </c>
      <c r="F580" t="s">
        <v>174</v>
      </c>
      <c r="G580">
        <v>1170</v>
      </c>
      <c r="H580">
        <f ca="1">MONTH(NOW())+12*YEAR(NOW())-MONTH(tbl_MTG_Set[[#This Row],[Released On]])-12*YEAR(tbl_MTG_Set[[#This Row],[Released On]])</f>
        <v>134</v>
      </c>
      <c r="I580" t="str">
        <f>_xlfn.XLOOKUP(tbl_MTG_Set[[#This Row],[Type Name]], tbl_MTG_Set_Type[Set Type], tbl_MTG_Set_Type[Index], "(Set Type not found)")</f>
        <v>(Set Type not found)</v>
      </c>
      <c r="J580" t="str">
        <f>_xlfn.XLOOKUP(tbl_MTG_Set[[#This Row],[Type Name]], tbl_MTG_Set_Type[Set Type], tbl_MTG_Set_Type[Buy Window Month Start], "(Set Type not found)")</f>
        <v>(Set Type not found)</v>
      </c>
      <c r="K580" s="3" t="e">
        <f>tbl_MTG_Set[[#This Row],[Released On]]+tbl_MTG_Set[[#This Row],[Buy Window Month Start]]*365.25/12</f>
        <v>#VALUE!</v>
      </c>
      <c r="L580" t="str">
        <f>_xlfn.XLOOKUP(tbl_MTG_Set[[#This Row],[Type Name]], tbl_MTG_Set_Type[Set Type], tbl_MTG_Set_Type[Buy Window Month End], "(Set Type not found)", 0, 1)</f>
        <v>(Set Type not found)</v>
      </c>
      <c r="M580" s="3" t="e">
        <f>tbl_MTG_Set[[#This Row],[Released On]]+tbl_MTG_Set[[#This Row],[Buy Window Month End]]*365.25/12</f>
        <v>#VALUE!</v>
      </c>
      <c r="N580" s="3" t="e">
        <f ca="1">AND(NOW()&gt;=tbl_MTG_Set[[#This Row],[Buy Window Start]], NOW()&lt;=tbl_MTG_Set[[#This Row],[Buy Window End]])</f>
        <v>#VALUE!</v>
      </c>
      <c r="O580" t="str">
        <f>_xlfn.XLOOKUP(tbl_MTG_Set[[#This Row],[Type Name]], tbl_MTG_Set_Type[Set Type], tbl_MTG_Set_Type[Heavy Printing Window Month Start], "(Set Type not found)", 0, 1)</f>
        <v>(Set Type not found)</v>
      </c>
      <c r="P580" s="3" t="e">
        <f>tbl_MTG_Set[[#This Row],[Released On]]+tbl_MTG_Set[[#This Row],[Heavy Printing Window Month Start]]*365.25/12</f>
        <v>#VALUE!</v>
      </c>
      <c r="Q580" t="str">
        <f>_xlfn.XLOOKUP(tbl_MTG_Set[[#This Row],[Type Name]], tbl_MTG_Set_Type[Set Type], tbl_MTG_Set_Type[Heavy Printing Window Month End], "(Set Type not found)", 0, 1)</f>
        <v>(Set Type not found)</v>
      </c>
      <c r="R580" s="3" t="e">
        <f>tbl_MTG_Set[[#This Row],[Released On]]+tbl_MTG_Set[[#This Row],[Heavy Printing Window Month End]]*365.25/12</f>
        <v>#VALUE!</v>
      </c>
      <c r="S580" s="3" t="e">
        <f ca="1">AND(NOW()&gt;=tbl_MTG_Set[[#This Row],[Heavy Printing Window Start]], NOW()&lt;=tbl_MTG_Set[[#This Row],[Heavy Printing Window End]])</f>
        <v>#VALUE!</v>
      </c>
      <c r="T580" t="str">
        <f>_xlfn.XLOOKUP(tbl_MTG_Set[[#This Row],[Type Name]], tbl_MTG_Set_Type[Set Type], tbl_MTG_Set_Type[Sell Window Month Start], "(Set Type not found)", 0, 1)</f>
        <v>(Set Type not found)</v>
      </c>
      <c r="U580" s="3" t="e">
        <f>tbl_MTG_Set[[#This Row],[Released On]]+tbl_MTG_Set[[#This Row],[Sell Window Month Start]]*365.25/12</f>
        <v>#VALUE!</v>
      </c>
      <c r="V580" t="str">
        <f>_xlfn.XLOOKUP(tbl_MTG_Set[[#This Row],[Type Name]], tbl_MTG_Set_Type[Set Type], tbl_MTG_Set_Type[Sell Window Month End], "(Set Type not found)", 0, 1)</f>
        <v>(Set Type not found)</v>
      </c>
      <c r="W580" s="3" t="e">
        <f>tbl_MTG_Set[[#This Row],[Released On]]+tbl_MTG_Set[[#This Row],[Sell Window Month End]]*365.25/12</f>
        <v>#VALUE!</v>
      </c>
      <c r="X580" s="3" t="e">
        <f ca="1">AND(NOW()&gt;=tbl_MTG_Set[[#This Row],[Sell Window Start]], NOW()&lt;=tbl_MTG_Set[[#This Row],[Sell Window End]])</f>
        <v>#VALUE!</v>
      </c>
      <c r="AG580" s="10"/>
      <c r="AH580" s="10"/>
      <c r="AM580" s="10" t="str" cm="1">
        <f t="array" ref="AM5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0" s="10" t="str" cm="1">
        <f t="array" ref="AN5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0" s="4" t="e">
        <f>_xlfn.XLOOKUP(tbl_MTG_Set[[#This Row],[Play Booster Box Product Id]], tbl_Product[Product Id], tbl_Product[Pack Size])</f>
        <v>#N/A</v>
      </c>
      <c r="AP580" s="10" t="e">
        <f>(tbl_MTG_Set[[#This Row],[Play Booster Box Cost]]+v_Item_Shipping_Cost_In)/tbl_MTG_Set[[#This Row],[Play Booster Box Size]]</f>
        <v>#VALUE!</v>
      </c>
      <c r="AQ580" s="10" t="str" cm="1">
        <f t="array" ref="AQ5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0" s="10"/>
      <c r="AS580" s="10"/>
      <c r="AT580" s="17" t="e">
        <f>tbl_MTG_Set[[#This Row],[Play Booster CardMarket Profit]]/tbl_MTG_Set[[#This Row],[Play Booster Cost]]</f>
        <v>#VALUE!</v>
      </c>
      <c r="AU580" s="10" t="e">
        <f>_xlfn.XLOOKUP(tbl_MTG_Set[[#This Row],[Collector Booster Box Product Id]], tbl_Product[Product Id], tbl_Product[Min Cost])</f>
        <v>#N/A</v>
      </c>
      <c r="AV580" s="10" t="e">
        <f>_xlfn.XLOOKUP(tbl_MTG_Set[[#This Row],[Collector Booster Box Product Id]], tbl_Product[Product Id], tbl_Product[Best Source])</f>
        <v>#N/A</v>
      </c>
      <c r="AW580" s="4" t="e">
        <f>_xlfn.XLOOKUP(tbl_MTG_Set[[#This Row],[Collector Booster Box Product Id]], tbl_Product[Product Id], tbl_Product[Pack Size])</f>
        <v>#N/A</v>
      </c>
      <c r="AX580" s="10" t="e">
        <f>(tbl_MTG_Set[[#This Row],[Collector Booster Box Cost]] + v_Item_Shipping_Cost_In) / tbl_MTG_Set[[#This Row],[Collector Booster Box Size]]</f>
        <v>#N/A</v>
      </c>
      <c r="AY580" s="10" t="str" cm="1">
        <f t="array" ref="AY5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0" s="10"/>
      <c r="BA5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0" s="17" t="e">
        <f>tbl_MTG_Set[[#This Row],[Collector Booster CardMarket Profit]]/tbl_MTG_Set[[#This Row],[Collector Booster Cost]]</f>
        <v>#N/A</v>
      </c>
      <c r="BC580" s="10"/>
      <c r="BF5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0" s="11" t="e">
        <f>tbl_MTG_Set[[#This Row],[Play Singles CardMarket Profit MTG Stocks]]/tbl_MTG_Set[[#This Row],[Play Booster Cost]]</f>
        <v>#VALUE!</v>
      </c>
      <c r="BI580" s="11" t="b">
        <f>tbl_MTG_Set[[#This Row],[Play Singles CardMarket Profit MTG Stocks]]&gt;0</f>
        <v>0</v>
      </c>
      <c r="BM580" s="10" t="e">
        <f>tbl_MTG_Set[[#This Row],[Play Booster Sell Price CardMarket]]*tbl_MTG_Set[[#This Row],[Play Booster Expected Market Value BotBox]]/tbl_MTG_Set[[#This Row],[Play Booster Sealed Market Value BotBox]]</f>
        <v>#VALUE!</v>
      </c>
      <c r="BN5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0" s="10" t="e">
        <f>tbl_MTG_Set[[#This Row],[Play Singles CardMarket Profit BotBox]]/tbl_MTG_Set[[#This Row],[Play Booster Cost]]</f>
        <v>#VALUE!</v>
      </c>
      <c r="BP580" s="10" t="b">
        <f>tbl_MTG_Set[[#This Row],[Play Singles CardMarket Profit BotBox]]&gt;0</f>
        <v>0</v>
      </c>
      <c r="BQ580" s="10"/>
      <c r="BR580" s="10"/>
      <c r="BS580" s="10"/>
      <c r="BT5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0" s="19" t="e">
        <f>tbl_MTG_Set[[#This Row],[Collector Singles CardMarket Profit MTG Stocks]]/tbl_MTG_Set[[#This Row],[Collector Booster Cost]]</f>
        <v>#N/A</v>
      </c>
      <c r="BW580" s="10" t="b">
        <f>tbl_MTG_Set[[#This Row],[Collector Singles CardMarket Profit MTG Stocks]]&gt;0</f>
        <v>0</v>
      </c>
      <c r="BX580" s="10"/>
      <c r="BY580" s="10"/>
      <c r="BZ5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0" s="10" t="e">
        <f>tbl_MTG_Set[[#This Row],[Collector Singles CardMarket Profit BotBox]]/tbl_MTG_Set[[#This Row],[Collector Booster Cost]]</f>
        <v>#N/A</v>
      </c>
      <c r="CC580" s="10" t="b">
        <f>tbl_MTG_Set[[#This Row],[Collector Singles CardMarket Profit BotBox]]&gt;0</f>
        <v>0</v>
      </c>
      <c r="CD5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1" spans="1:86" hidden="1">
      <c r="A581">
        <v>613</v>
      </c>
      <c r="B581" t="s">
        <v>754</v>
      </c>
      <c r="C581">
        <v>8</v>
      </c>
      <c r="D581" s="3">
        <v>42005</v>
      </c>
      <c r="F581" t="s">
        <v>174</v>
      </c>
      <c r="G581">
        <v>1172</v>
      </c>
      <c r="H581">
        <f ca="1">MONTH(NOW())+12*YEAR(NOW())-MONTH(tbl_MTG_Set[[#This Row],[Released On]])-12*YEAR(tbl_MTG_Set[[#This Row],[Released On]])</f>
        <v>134</v>
      </c>
      <c r="I581" t="str">
        <f>_xlfn.XLOOKUP(tbl_MTG_Set[[#This Row],[Type Name]], tbl_MTG_Set_Type[Set Type], tbl_MTG_Set_Type[Index], "(Set Type not found)")</f>
        <v>(Set Type not found)</v>
      </c>
      <c r="J581" t="str">
        <f>_xlfn.XLOOKUP(tbl_MTG_Set[[#This Row],[Type Name]], tbl_MTG_Set_Type[Set Type], tbl_MTG_Set_Type[Buy Window Month Start], "(Set Type not found)")</f>
        <v>(Set Type not found)</v>
      </c>
      <c r="K581" s="3" t="e">
        <f>tbl_MTG_Set[[#This Row],[Released On]]+tbl_MTG_Set[[#This Row],[Buy Window Month Start]]*365.25/12</f>
        <v>#VALUE!</v>
      </c>
      <c r="L581" t="str">
        <f>_xlfn.XLOOKUP(tbl_MTG_Set[[#This Row],[Type Name]], tbl_MTG_Set_Type[Set Type], tbl_MTG_Set_Type[Buy Window Month End], "(Set Type not found)", 0, 1)</f>
        <v>(Set Type not found)</v>
      </c>
      <c r="M581" s="3" t="e">
        <f>tbl_MTG_Set[[#This Row],[Released On]]+tbl_MTG_Set[[#This Row],[Buy Window Month End]]*365.25/12</f>
        <v>#VALUE!</v>
      </c>
      <c r="N581" s="3" t="e">
        <f ca="1">AND(NOW()&gt;=tbl_MTG_Set[[#This Row],[Buy Window Start]], NOW()&lt;=tbl_MTG_Set[[#This Row],[Buy Window End]])</f>
        <v>#VALUE!</v>
      </c>
      <c r="O581" t="str">
        <f>_xlfn.XLOOKUP(tbl_MTG_Set[[#This Row],[Type Name]], tbl_MTG_Set_Type[Set Type], tbl_MTG_Set_Type[Heavy Printing Window Month Start], "(Set Type not found)", 0, 1)</f>
        <v>(Set Type not found)</v>
      </c>
      <c r="P581" s="3" t="e">
        <f>tbl_MTG_Set[[#This Row],[Released On]]+tbl_MTG_Set[[#This Row],[Heavy Printing Window Month Start]]*365.25/12</f>
        <v>#VALUE!</v>
      </c>
      <c r="Q581" t="str">
        <f>_xlfn.XLOOKUP(tbl_MTG_Set[[#This Row],[Type Name]], tbl_MTG_Set_Type[Set Type], tbl_MTG_Set_Type[Heavy Printing Window Month End], "(Set Type not found)", 0, 1)</f>
        <v>(Set Type not found)</v>
      </c>
      <c r="R581" s="3" t="e">
        <f>tbl_MTG_Set[[#This Row],[Released On]]+tbl_MTG_Set[[#This Row],[Heavy Printing Window Month End]]*365.25/12</f>
        <v>#VALUE!</v>
      </c>
      <c r="S581" s="3" t="e">
        <f ca="1">AND(NOW()&gt;=tbl_MTG_Set[[#This Row],[Heavy Printing Window Start]], NOW()&lt;=tbl_MTG_Set[[#This Row],[Heavy Printing Window End]])</f>
        <v>#VALUE!</v>
      </c>
      <c r="T581" t="str">
        <f>_xlfn.XLOOKUP(tbl_MTG_Set[[#This Row],[Type Name]], tbl_MTG_Set_Type[Set Type], tbl_MTG_Set_Type[Sell Window Month Start], "(Set Type not found)", 0, 1)</f>
        <v>(Set Type not found)</v>
      </c>
      <c r="U581" s="3" t="e">
        <f>tbl_MTG_Set[[#This Row],[Released On]]+tbl_MTG_Set[[#This Row],[Sell Window Month Start]]*365.25/12</f>
        <v>#VALUE!</v>
      </c>
      <c r="V581" t="str">
        <f>_xlfn.XLOOKUP(tbl_MTG_Set[[#This Row],[Type Name]], tbl_MTG_Set_Type[Set Type], tbl_MTG_Set_Type[Sell Window Month End], "(Set Type not found)", 0, 1)</f>
        <v>(Set Type not found)</v>
      </c>
      <c r="W581" s="3" t="e">
        <f>tbl_MTG_Set[[#This Row],[Released On]]+tbl_MTG_Set[[#This Row],[Sell Window Month End]]*365.25/12</f>
        <v>#VALUE!</v>
      </c>
      <c r="X581" s="3" t="e">
        <f ca="1">AND(NOW()&gt;=tbl_MTG_Set[[#This Row],[Sell Window Start]], NOW()&lt;=tbl_MTG_Set[[#This Row],[Sell Window End]])</f>
        <v>#VALUE!</v>
      </c>
      <c r="AG581" s="10"/>
      <c r="AH581" s="10"/>
      <c r="AM581" s="10" t="str" cm="1">
        <f t="array" ref="AM5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1" s="10" t="str" cm="1">
        <f t="array" ref="AN5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1" s="4" t="e">
        <f>_xlfn.XLOOKUP(tbl_MTG_Set[[#This Row],[Play Booster Box Product Id]], tbl_Product[Product Id], tbl_Product[Pack Size])</f>
        <v>#N/A</v>
      </c>
      <c r="AP581" s="10" t="e">
        <f>(tbl_MTG_Set[[#This Row],[Play Booster Box Cost]]+v_Item_Shipping_Cost_In)/tbl_MTG_Set[[#This Row],[Play Booster Box Size]]</f>
        <v>#VALUE!</v>
      </c>
      <c r="AQ581" s="10" t="str" cm="1">
        <f t="array" ref="AQ5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1" s="10"/>
      <c r="AS581" s="10"/>
      <c r="AT581" s="17" t="e">
        <f>tbl_MTG_Set[[#This Row],[Play Booster CardMarket Profit]]/tbl_MTG_Set[[#This Row],[Play Booster Cost]]</f>
        <v>#VALUE!</v>
      </c>
      <c r="AU581" s="10" t="e">
        <f>_xlfn.XLOOKUP(tbl_MTG_Set[[#This Row],[Collector Booster Box Product Id]], tbl_Product[Product Id], tbl_Product[Min Cost])</f>
        <v>#N/A</v>
      </c>
      <c r="AV581" s="10" t="e">
        <f>_xlfn.XLOOKUP(tbl_MTG_Set[[#This Row],[Collector Booster Box Product Id]], tbl_Product[Product Id], tbl_Product[Best Source])</f>
        <v>#N/A</v>
      </c>
      <c r="AW581" s="4" t="e">
        <f>_xlfn.XLOOKUP(tbl_MTG_Set[[#This Row],[Collector Booster Box Product Id]], tbl_Product[Product Id], tbl_Product[Pack Size])</f>
        <v>#N/A</v>
      </c>
      <c r="AX581" s="10" t="e">
        <f>(tbl_MTG_Set[[#This Row],[Collector Booster Box Cost]] + v_Item_Shipping_Cost_In) / tbl_MTG_Set[[#This Row],[Collector Booster Box Size]]</f>
        <v>#N/A</v>
      </c>
      <c r="AY581" s="10" t="str" cm="1">
        <f t="array" ref="AY5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1" s="10"/>
      <c r="BA5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1" s="17" t="e">
        <f>tbl_MTG_Set[[#This Row],[Collector Booster CardMarket Profit]]/tbl_MTG_Set[[#This Row],[Collector Booster Cost]]</f>
        <v>#N/A</v>
      </c>
      <c r="BC581" s="10"/>
      <c r="BF5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1" s="11" t="e">
        <f>tbl_MTG_Set[[#This Row],[Play Singles CardMarket Profit MTG Stocks]]/tbl_MTG_Set[[#This Row],[Play Booster Cost]]</f>
        <v>#VALUE!</v>
      </c>
      <c r="BI581" s="11" t="b">
        <f>tbl_MTG_Set[[#This Row],[Play Singles CardMarket Profit MTG Stocks]]&gt;0</f>
        <v>0</v>
      </c>
      <c r="BM581" s="10" t="e">
        <f>tbl_MTG_Set[[#This Row],[Play Booster Sell Price CardMarket]]*tbl_MTG_Set[[#This Row],[Play Booster Expected Market Value BotBox]]/tbl_MTG_Set[[#This Row],[Play Booster Sealed Market Value BotBox]]</f>
        <v>#VALUE!</v>
      </c>
      <c r="BN5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1" s="10" t="e">
        <f>tbl_MTG_Set[[#This Row],[Play Singles CardMarket Profit BotBox]]/tbl_MTG_Set[[#This Row],[Play Booster Cost]]</f>
        <v>#VALUE!</v>
      </c>
      <c r="BP581" s="10" t="b">
        <f>tbl_MTG_Set[[#This Row],[Play Singles CardMarket Profit BotBox]]&gt;0</f>
        <v>0</v>
      </c>
      <c r="BQ581" s="10"/>
      <c r="BR581" s="10"/>
      <c r="BS581" s="10"/>
      <c r="BT5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1" s="19" t="e">
        <f>tbl_MTG_Set[[#This Row],[Collector Singles CardMarket Profit MTG Stocks]]/tbl_MTG_Set[[#This Row],[Collector Booster Cost]]</f>
        <v>#N/A</v>
      </c>
      <c r="BW581" s="10" t="b">
        <f>tbl_MTG_Set[[#This Row],[Collector Singles CardMarket Profit MTG Stocks]]&gt;0</f>
        <v>0</v>
      </c>
      <c r="BX581" s="10"/>
      <c r="BY581" s="10"/>
      <c r="BZ5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1" s="10" t="e">
        <f>tbl_MTG_Set[[#This Row],[Collector Singles CardMarket Profit BotBox]]/tbl_MTG_Set[[#This Row],[Collector Booster Cost]]</f>
        <v>#N/A</v>
      </c>
      <c r="CC581" s="10" t="b">
        <f>tbl_MTG_Set[[#This Row],[Collector Singles CardMarket Profit BotBox]]&gt;0</f>
        <v>0</v>
      </c>
      <c r="CD5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2" spans="1:86" hidden="1">
      <c r="A582">
        <v>614</v>
      </c>
      <c r="B582" t="s">
        <v>755</v>
      </c>
      <c r="C582">
        <v>62</v>
      </c>
      <c r="D582" s="3">
        <v>41978</v>
      </c>
      <c r="F582" t="s">
        <v>174</v>
      </c>
      <c r="G582">
        <v>1174</v>
      </c>
      <c r="H582">
        <f ca="1">MONTH(NOW())+12*YEAR(NOW())-MONTH(tbl_MTG_Set[[#This Row],[Released On]])-12*YEAR(tbl_MTG_Set[[#This Row],[Released On]])</f>
        <v>135</v>
      </c>
      <c r="I582" t="str">
        <f>_xlfn.XLOOKUP(tbl_MTG_Set[[#This Row],[Type Name]], tbl_MTG_Set_Type[Set Type], tbl_MTG_Set_Type[Index], "(Set Type not found)")</f>
        <v>(Set Type not found)</v>
      </c>
      <c r="J582" t="str">
        <f>_xlfn.XLOOKUP(tbl_MTG_Set[[#This Row],[Type Name]], tbl_MTG_Set_Type[Set Type], tbl_MTG_Set_Type[Buy Window Month Start], "(Set Type not found)")</f>
        <v>(Set Type not found)</v>
      </c>
      <c r="K582" s="3" t="e">
        <f>tbl_MTG_Set[[#This Row],[Released On]]+tbl_MTG_Set[[#This Row],[Buy Window Month Start]]*365.25/12</f>
        <v>#VALUE!</v>
      </c>
      <c r="L582" t="str">
        <f>_xlfn.XLOOKUP(tbl_MTG_Set[[#This Row],[Type Name]], tbl_MTG_Set_Type[Set Type], tbl_MTG_Set_Type[Buy Window Month End], "(Set Type not found)", 0, 1)</f>
        <v>(Set Type not found)</v>
      </c>
      <c r="M582" s="3" t="e">
        <f>tbl_MTG_Set[[#This Row],[Released On]]+tbl_MTG_Set[[#This Row],[Buy Window Month End]]*365.25/12</f>
        <v>#VALUE!</v>
      </c>
      <c r="N582" s="3" t="e">
        <f ca="1">AND(NOW()&gt;=tbl_MTG_Set[[#This Row],[Buy Window Start]], NOW()&lt;=tbl_MTG_Set[[#This Row],[Buy Window End]])</f>
        <v>#VALUE!</v>
      </c>
      <c r="O582" t="str">
        <f>_xlfn.XLOOKUP(tbl_MTG_Set[[#This Row],[Type Name]], tbl_MTG_Set_Type[Set Type], tbl_MTG_Set_Type[Heavy Printing Window Month Start], "(Set Type not found)", 0, 1)</f>
        <v>(Set Type not found)</v>
      </c>
      <c r="P582" s="3" t="e">
        <f>tbl_MTG_Set[[#This Row],[Released On]]+tbl_MTG_Set[[#This Row],[Heavy Printing Window Month Start]]*365.25/12</f>
        <v>#VALUE!</v>
      </c>
      <c r="Q582" t="str">
        <f>_xlfn.XLOOKUP(tbl_MTG_Set[[#This Row],[Type Name]], tbl_MTG_Set_Type[Set Type], tbl_MTG_Set_Type[Heavy Printing Window Month End], "(Set Type not found)", 0, 1)</f>
        <v>(Set Type not found)</v>
      </c>
      <c r="R582" s="3" t="e">
        <f>tbl_MTG_Set[[#This Row],[Released On]]+tbl_MTG_Set[[#This Row],[Heavy Printing Window Month End]]*365.25/12</f>
        <v>#VALUE!</v>
      </c>
      <c r="S582" s="3" t="e">
        <f ca="1">AND(NOW()&gt;=tbl_MTG_Set[[#This Row],[Heavy Printing Window Start]], NOW()&lt;=tbl_MTG_Set[[#This Row],[Heavy Printing Window End]])</f>
        <v>#VALUE!</v>
      </c>
      <c r="T582" t="str">
        <f>_xlfn.XLOOKUP(tbl_MTG_Set[[#This Row],[Type Name]], tbl_MTG_Set_Type[Set Type], tbl_MTG_Set_Type[Sell Window Month Start], "(Set Type not found)", 0, 1)</f>
        <v>(Set Type not found)</v>
      </c>
      <c r="U582" s="3" t="e">
        <f>tbl_MTG_Set[[#This Row],[Released On]]+tbl_MTG_Set[[#This Row],[Sell Window Month Start]]*365.25/12</f>
        <v>#VALUE!</v>
      </c>
      <c r="V582" t="str">
        <f>_xlfn.XLOOKUP(tbl_MTG_Set[[#This Row],[Type Name]], tbl_MTG_Set_Type[Set Type], tbl_MTG_Set_Type[Sell Window Month End], "(Set Type not found)", 0, 1)</f>
        <v>(Set Type not found)</v>
      </c>
      <c r="W582" s="3" t="e">
        <f>tbl_MTG_Set[[#This Row],[Released On]]+tbl_MTG_Set[[#This Row],[Sell Window Month End]]*365.25/12</f>
        <v>#VALUE!</v>
      </c>
      <c r="X582" s="3" t="e">
        <f ca="1">AND(NOW()&gt;=tbl_MTG_Set[[#This Row],[Sell Window Start]], NOW()&lt;=tbl_MTG_Set[[#This Row],[Sell Window End]])</f>
        <v>#VALUE!</v>
      </c>
      <c r="AG582" s="10"/>
      <c r="AH582" s="10"/>
      <c r="AM582" s="10" t="str" cm="1">
        <f t="array" ref="AM5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2" s="10" t="str" cm="1">
        <f t="array" ref="AN5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2" s="4" t="e">
        <f>_xlfn.XLOOKUP(tbl_MTG_Set[[#This Row],[Play Booster Box Product Id]], tbl_Product[Product Id], tbl_Product[Pack Size])</f>
        <v>#N/A</v>
      </c>
      <c r="AP582" s="10" t="e">
        <f>(tbl_MTG_Set[[#This Row],[Play Booster Box Cost]]+v_Item_Shipping_Cost_In)/tbl_MTG_Set[[#This Row],[Play Booster Box Size]]</f>
        <v>#VALUE!</v>
      </c>
      <c r="AQ582" s="10" t="str" cm="1">
        <f t="array" ref="AQ5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2" s="10"/>
      <c r="AS582" s="10"/>
      <c r="AT582" s="17" t="e">
        <f>tbl_MTG_Set[[#This Row],[Play Booster CardMarket Profit]]/tbl_MTG_Set[[#This Row],[Play Booster Cost]]</f>
        <v>#VALUE!</v>
      </c>
      <c r="AU582" s="10" t="e">
        <f>_xlfn.XLOOKUP(tbl_MTG_Set[[#This Row],[Collector Booster Box Product Id]], tbl_Product[Product Id], tbl_Product[Min Cost])</f>
        <v>#N/A</v>
      </c>
      <c r="AV582" s="10" t="e">
        <f>_xlfn.XLOOKUP(tbl_MTG_Set[[#This Row],[Collector Booster Box Product Id]], tbl_Product[Product Id], tbl_Product[Best Source])</f>
        <v>#N/A</v>
      </c>
      <c r="AW582" s="4" t="e">
        <f>_xlfn.XLOOKUP(tbl_MTG_Set[[#This Row],[Collector Booster Box Product Id]], tbl_Product[Product Id], tbl_Product[Pack Size])</f>
        <v>#N/A</v>
      </c>
      <c r="AX582" s="10" t="e">
        <f>(tbl_MTG_Set[[#This Row],[Collector Booster Box Cost]] + v_Item_Shipping_Cost_In) / tbl_MTG_Set[[#This Row],[Collector Booster Box Size]]</f>
        <v>#N/A</v>
      </c>
      <c r="AY582" s="10" t="str" cm="1">
        <f t="array" ref="AY5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2" s="10"/>
      <c r="BA5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2" s="17" t="e">
        <f>tbl_MTG_Set[[#This Row],[Collector Booster CardMarket Profit]]/tbl_MTG_Set[[#This Row],[Collector Booster Cost]]</f>
        <v>#N/A</v>
      </c>
      <c r="BC582" s="10"/>
      <c r="BF5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2" s="11" t="e">
        <f>tbl_MTG_Set[[#This Row],[Play Singles CardMarket Profit MTG Stocks]]/tbl_MTG_Set[[#This Row],[Play Booster Cost]]</f>
        <v>#VALUE!</v>
      </c>
      <c r="BI582" s="11" t="b">
        <f>tbl_MTG_Set[[#This Row],[Play Singles CardMarket Profit MTG Stocks]]&gt;0</f>
        <v>0</v>
      </c>
      <c r="BM582" s="10" t="e">
        <f>tbl_MTG_Set[[#This Row],[Play Booster Sell Price CardMarket]]*tbl_MTG_Set[[#This Row],[Play Booster Expected Market Value BotBox]]/tbl_MTG_Set[[#This Row],[Play Booster Sealed Market Value BotBox]]</f>
        <v>#VALUE!</v>
      </c>
      <c r="BN5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2" s="10" t="e">
        <f>tbl_MTG_Set[[#This Row],[Play Singles CardMarket Profit BotBox]]/tbl_MTG_Set[[#This Row],[Play Booster Cost]]</f>
        <v>#VALUE!</v>
      </c>
      <c r="BP582" s="10" t="b">
        <f>tbl_MTG_Set[[#This Row],[Play Singles CardMarket Profit BotBox]]&gt;0</f>
        <v>0</v>
      </c>
      <c r="BQ582" s="10"/>
      <c r="BR582" s="10"/>
      <c r="BS582" s="10"/>
      <c r="BT5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2" s="19" t="e">
        <f>tbl_MTG_Set[[#This Row],[Collector Singles CardMarket Profit MTG Stocks]]/tbl_MTG_Set[[#This Row],[Collector Booster Cost]]</f>
        <v>#N/A</v>
      </c>
      <c r="BW582" s="10" t="b">
        <f>tbl_MTG_Set[[#This Row],[Collector Singles CardMarket Profit MTG Stocks]]&gt;0</f>
        <v>0</v>
      </c>
      <c r="BX582" s="10"/>
      <c r="BY582" s="10"/>
      <c r="BZ5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2" s="10" t="e">
        <f>tbl_MTG_Set[[#This Row],[Collector Singles CardMarket Profit BotBox]]/tbl_MTG_Set[[#This Row],[Collector Booster Cost]]</f>
        <v>#N/A</v>
      </c>
      <c r="CC582" s="10" t="b">
        <f>tbl_MTG_Set[[#This Row],[Collector Singles CardMarket Profit BotBox]]&gt;0</f>
        <v>0</v>
      </c>
      <c r="CD5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3" spans="1:86" hidden="1">
      <c r="A583">
        <v>615</v>
      </c>
      <c r="B583" t="s">
        <v>756</v>
      </c>
      <c r="C583">
        <v>3</v>
      </c>
      <c r="D583" s="3">
        <v>41978</v>
      </c>
      <c r="F583" t="s">
        <v>174</v>
      </c>
      <c r="G583">
        <v>1176</v>
      </c>
      <c r="H583">
        <f ca="1">MONTH(NOW())+12*YEAR(NOW())-MONTH(tbl_MTG_Set[[#This Row],[Released On]])-12*YEAR(tbl_MTG_Set[[#This Row],[Released On]])</f>
        <v>135</v>
      </c>
      <c r="I583" t="str">
        <f>_xlfn.XLOOKUP(tbl_MTG_Set[[#This Row],[Type Name]], tbl_MTG_Set_Type[Set Type], tbl_MTG_Set_Type[Index], "(Set Type not found)")</f>
        <v>(Set Type not found)</v>
      </c>
      <c r="J583" t="str">
        <f>_xlfn.XLOOKUP(tbl_MTG_Set[[#This Row],[Type Name]], tbl_MTG_Set_Type[Set Type], tbl_MTG_Set_Type[Buy Window Month Start], "(Set Type not found)")</f>
        <v>(Set Type not found)</v>
      </c>
      <c r="K583" s="3" t="e">
        <f>tbl_MTG_Set[[#This Row],[Released On]]+tbl_MTG_Set[[#This Row],[Buy Window Month Start]]*365.25/12</f>
        <v>#VALUE!</v>
      </c>
      <c r="L583" t="str">
        <f>_xlfn.XLOOKUP(tbl_MTG_Set[[#This Row],[Type Name]], tbl_MTG_Set_Type[Set Type], tbl_MTG_Set_Type[Buy Window Month End], "(Set Type not found)", 0, 1)</f>
        <v>(Set Type not found)</v>
      </c>
      <c r="M583" s="3" t="e">
        <f>tbl_MTG_Set[[#This Row],[Released On]]+tbl_MTG_Set[[#This Row],[Buy Window Month End]]*365.25/12</f>
        <v>#VALUE!</v>
      </c>
      <c r="N583" s="3" t="e">
        <f ca="1">AND(NOW()&gt;=tbl_MTG_Set[[#This Row],[Buy Window Start]], NOW()&lt;=tbl_MTG_Set[[#This Row],[Buy Window End]])</f>
        <v>#VALUE!</v>
      </c>
      <c r="O583" t="str">
        <f>_xlfn.XLOOKUP(tbl_MTG_Set[[#This Row],[Type Name]], tbl_MTG_Set_Type[Set Type], tbl_MTG_Set_Type[Heavy Printing Window Month Start], "(Set Type not found)", 0, 1)</f>
        <v>(Set Type not found)</v>
      </c>
      <c r="P583" s="3" t="e">
        <f>tbl_MTG_Set[[#This Row],[Released On]]+tbl_MTG_Set[[#This Row],[Heavy Printing Window Month Start]]*365.25/12</f>
        <v>#VALUE!</v>
      </c>
      <c r="Q583" t="str">
        <f>_xlfn.XLOOKUP(tbl_MTG_Set[[#This Row],[Type Name]], tbl_MTG_Set_Type[Set Type], tbl_MTG_Set_Type[Heavy Printing Window Month End], "(Set Type not found)", 0, 1)</f>
        <v>(Set Type not found)</v>
      </c>
      <c r="R583" s="3" t="e">
        <f>tbl_MTG_Set[[#This Row],[Released On]]+tbl_MTG_Set[[#This Row],[Heavy Printing Window Month End]]*365.25/12</f>
        <v>#VALUE!</v>
      </c>
      <c r="S583" s="3" t="e">
        <f ca="1">AND(NOW()&gt;=tbl_MTG_Set[[#This Row],[Heavy Printing Window Start]], NOW()&lt;=tbl_MTG_Set[[#This Row],[Heavy Printing Window End]])</f>
        <v>#VALUE!</v>
      </c>
      <c r="T583" t="str">
        <f>_xlfn.XLOOKUP(tbl_MTG_Set[[#This Row],[Type Name]], tbl_MTG_Set_Type[Set Type], tbl_MTG_Set_Type[Sell Window Month Start], "(Set Type not found)", 0, 1)</f>
        <v>(Set Type not found)</v>
      </c>
      <c r="U583" s="3" t="e">
        <f>tbl_MTG_Set[[#This Row],[Released On]]+tbl_MTG_Set[[#This Row],[Sell Window Month Start]]*365.25/12</f>
        <v>#VALUE!</v>
      </c>
      <c r="V583" t="str">
        <f>_xlfn.XLOOKUP(tbl_MTG_Set[[#This Row],[Type Name]], tbl_MTG_Set_Type[Set Type], tbl_MTG_Set_Type[Sell Window Month End], "(Set Type not found)", 0, 1)</f>
        <v>(Set Type not found)</v>
      </c>
      <c r="W583" s="3" t="e">
        <f>tbl_MTG_Set[[#This Row],[Released On]]+tbl_MTG_Set[[#This Row],[Sell Window Month End]]*365.25/12</f>
        <v>#VALUE!</v>
      </c>
      <c r="X583" s="3" t="e">
        <f ca="1">AND(NOW()&gt;=tbl_MTG_Set[[#This Row],[Sell Window Start]], NOW()&lt;=tbl_MTG_Set[[#This Row],[Sell Window End]])</f>
        <v>#VALUE!</v>
      </c>
      <c r="AG583" s="10"/>
      <c r="AH583" s="10"/>
      <c r="AM583" s="10" t="str" cm="1">
        <f t="array" ref="AM5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3" s="10" t="str" cm="1">
        <f t="array" ref="AN5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3" s="4" t="e">
        <f>_xlfn.XLOOKUP(tbl_MTG_Set[[#This Row],[Play Booster Box Product Id]], tbl_Product[Product Id], tbl_Product[Pack Size])</f>
        <v>#N/A</v>
      </c>
      <c r="AP583" s="10" t="e">
        <f>(tbl_MTG_Set[[#This Row],[Play Booster Box Cost]]+v_Item_Shipping_Cost_In)/tbl_MTG_Set[[#This Row],[Play Booster Box Size]]</f>
        <v>#VALUE!</v>
      </c>
      <c r="AQ583" s="10" t="str" cm="1">
        <f t="array" ref="AQ5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3" s="10"/>
      <c r="AS583" s="10"/>
      <c r="AT583" s="17" t="e">
        <f>tbl_MTG_Set[[#This Row],[Play Booster CardMarket Profit]]/tbl_MTG_Set[[#This Row],[Play Booster Cost]]</f>
        <v>#VALUE!</v>
      </c>
      <c r="AU583" s="10" t="e">
        <f>_xlfn.XLOOKUP(tbl_MTG_Set[[#This Row],[Collector Booster Box Product Id]], tbl_Product[Product Id], tbl_Product[Min Cost])</f>
        <v>#N/A</v>
      </c>
      <c r="AV583" s="10" t="e">
        <f>_xlfn.XLOOKUP(tbl_MTG_Set[[#This Row],[Collector Booster Box Product Id]], tbl_Product[Product Id], tbl_Product[Best Source])</f>
        <v>#N/A</v>
      </c>
      <c r="AW583" s="4" t="e">
        <f>_xlfn.XLOOKUP(tbl_MTG_Set[[#This Row],[Collector Booster Box Product Id]], tbl_Product[Product Id], tbl_Product[Pack Size])</f>
        <v>#N/A</v>
      </c>
      <c r="AX583" s="10" t="e">
        <f>(tbl_MTG_Set[[#This Row],[Collector Booster Box Cost]] + v_Item_Shipping_Cost_In) / tbl_MTG_Set[[#This Row],[Collector Booster Box Size]]</f>
        <v>#N/A</v>
      </c>
      <c r="AY583" s="10" t="str" cm="1">
        <f t="array" ref="AY5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3" s="10"/>
      <c r="BA5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3" s="17" t="e">
        <f>tbl_MTG_Set[[#This Row],[Collector Booster CardMarket Profit]]/tbl_MTG_Set[[#This Row],[Collector Booster Cost]]</f>
        <v>#N/A</v>
      </c>
      <c r="BC583" s="10"/>
      <c r="BF5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3" s="11" t="e">
        <f>tbl_MTG_Set[[#This Row],[Play Singles CardMarket Profit MTG Stocks]]/tbl_MTG_Set[[#This Row],[Play Booster Cost]]</f>
        <v>#VALUE!</v>
      </c>
      <c r="BI583" s="11" t="b">
        <f>tbl_MTG_Set[[#This Row],[Play Singles CardMarket Profit MTG Stocks]]&gt;0</f>
        <v>0</v>
      </c>
      <c r="BM583" s="10" t="e">
        <f>tbl_MTG_Set[[#This Row],[Play Booster Sell Price CardMarket]]*tbl_MTG_Set[[#This Row],[Play Booster Expected Market Value BotBox]]/tbl_MTG_Set[[#This Row],[Play Booster Sealed Market Value BotBox]]</f>
        <v>#VALUE!</v>
      </c>
      <c r="BN5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3" s="10" t="e">
        <f>tbl_MTG_Set[[#This Row],[Play Singles CardMarket Profit BotBox]]/tbl_MTG_Set[[#This Row],[Play Booster Cost]]</f>
        <v>#VALUE!</v>
      </c>
      <c r="BP583" s="10" t="b">
        <f>tbl_MTG_Set[[#This Row],[Play Singles CardMarket Profit BotBox]]&gt;0</f>
        <v>0</v>
      </c>
      <c r="BQ583" s="10"/>
      <c r="BR583" s="10"/>
      <c r="BS583" s="10"/>
      <c r="BT5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3" s="19" t="e">
        <f>tbl_MTG_Set[[#This Row],[Collector Singles CardMarket Profit MTG Stocks]]/tbl_MTG_Set[[#This Row],[Collector Booster Cost]]</f>
        <v>#N/A</v>
      </c>
      <c r="BW583" s="10" t="b">
        <f>tbl_MTG_Set[[#This Row],[Collector Singles CardMarket Profit MTG Stocks]]&gt;0</f>
        <v>0</v>
      </c>
      <c r="BX583" s="10"/>
      <c r="BY583" s="10"/>
      <c r="BZ5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3" s="10" t="e">
        <f>tbl_MTG_Set[[#This Row],[Collector Singles CardMarket Profit BotBox]]/tbl_MTG_Set[[#This Row],[Collector Booster Cost]]</f>
        <v>#N/A</v>
      </c>
      <c r="CC583" s="10" t="b">
        <f>tbl_MTG_Set[[#This Row],[Collector Singles CardMarket Profit BotBox]]&gt;0</f>
        <v>0</v>
      </c>
      <c r="CD5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4" spans="1:86" hidden="1">
      <c r="A584">
        <v>616</v>
      </c>
      <c r="B584" t="s">
        <v>757</v>
      </c>
      <c r="C584">
        <v>63</v>
      </c>
      <c r="D584" s="3">
        <v>41978</v>
      </c>
      <c r="F584" t="s">
        <v>174</v>
      </c>
      <c r="G584">
        <v>1178</v>
      </c>
      <c r="H584">
        <f ca="1">MONTH(NOW())+12*YEAR(NOW())-MONTH(tbl_MTG_Set[[#This Row],[Released On]])-12*YEAR(tbl_MTG_Set[[#This Row],[Released On]])</f>
        <v>135</v>
      </c>
      <c r="I584" t="str">
        <f>_xlfn.XLOOKUP(tbl_MTG_Set[[#This Row],[Type Name]], tbl_MTG_Set_Type[Set Type], tbl_MTG_Set_Type[Index], "(Set Type not found)")</f>
        <v>(Set Type not found)</v>
      </c>
      <c r="J584" t="str">
        <f>_xlfn.XLOOKUP(tbl_MTG_Set[[#This Row],[Type Name]], tbl_MTG_Set_Type[Set Type], tbl_MTG_Set_Type[Buy Window Month Start], "(Set Type not found)")</f>
        <v>(Set Type not found)</v>
      </c>
      <c r="K584" s="3" t="e">
        <f>tbl_MTG_Set[[#This Row],[Released On]]+tbl_MTG_Set[[#This Row],[Buy Window Month Start]]*365.25/12</f>
        <v>#VALUE!</v>
      </c>
      <c r="L584" t="str">
        <f>_xlfn.XLOOKUP(tbl_MTG_Set[[#This Row],[Type Name]], tbl_MTG_Set_Type[Set Type], tbl_MTG_Set_Type[Buy Window Month End], "(Set Type not found)", 0, 1)</f>
        <v>(Set Type not found)</v>
      </c>
      <c r="M584" s="3" t="e">
        <f>tbl_MTG_Set[[#This Row],[Released On]]+tbl_MTG_Set[[#This Row],[Buy Window Month End]]*365.25/12</f>
        <v>#VALUE!</v>
      </c>
      <c r="N584" s="3" t="e">
        <f ca="1">AND(NOW()&gt;=tbl_MTG_Set[[#This Row],[Buy Window Start]], NOW()&lt;=tbl_MTG_Set[[#This Row],[Buy Window End]])</f>
        <v>#VALUE!</v>
      </c>
      <c r="O584" t="str">
        <f>_xlfn.XLOOKUP(tbl_MTG_Set[[#This Row],[Type Name]], tbl_MTG_Set_Type[Set Type], tbl_MTG_Set_Type[Heavy Printing Window Month Start], "(Set Type not found)", 0, 1)</f>
        <v>(Set Type not found)</v>
      </c>
      <c r="P584" s="3" t="e">
        <f>tbl_MTG_Set[[#This Row],[Released On]]+tbl_MTG_Set[[#This Row],[Heavy Printing Window Month Start]]*365.25/12</f>
        <v>#VALUE!</v>
      </c>
      <c r="Q584" t="str">
        <f>_xlfn.XLOOKUP(tbl_MTG_Set[[#This Row],[Type Name]], tbl_MTG_Set_Type[Set Type], tbl_MTG_Set_Type[Heavy Printing Window Month End], "(Set Type not found)", 0, 1)</f>
        <v>(Set Type not found)</v>
      </c>
      <c r="R584" s="3" t="e">
        <f>tbl_MTG_Set[[#This Row],[Released On]]+tbl_MTG_Set[[#This Row],[Heavy Printing Window Month End]]*365.25/12</f>
        <v>#VALUE!</v>
      </c>
      <c r="S584" s="3" t="e">
        <f ca="1">AND(NOW()&gt;=tbl_MTG_Set[[#This Row],[Heavy Printing Window Start]], NOW()&lt;=tbl_MTG_Set[[#This Row],[Heavy Printing Window End]])</f>
        <v>#VALUE!</v>
      </c>
      <c r="T584" t="str">
        <f>_xlfn.XLOOKUP(tbl_MTG_Set[[#This Row],[Type Name]], tbl_MTG_Set_Type[Set Type], tbl_MTG_Set_Type[Sell Window Month Start], "(Set Type not found)", 0, 1)</f>
        <v>(Set Type not found)</v>
      </c>
      <c r="U584" s="3" t="e">
        <f>tbl_MTG_Set[[#This Row],[Released On]]+tbl_MTG_Set[[#This Row],[Sell Window Month Start]]*365.25/12</f>
        <v>#VALUE!</v>
      </c>
      <c r="V584" t="str">
        <f>_xlfn.XLOOKUP(tbl_MTG_Set[[#This Row],[Type Name]], tbl_MTG_Set_Type[Set Type], tbl_MTG_Set_Type[Sell Window Month End], "(Set Type not found)", 0, 1)</f>
        <v>(Set Type not found)</v>
      </c>
      <c r="W584" s="3" t="e">
        <f>tbl_MTG_Set[[#This Row],[Released On]]+tbl_MTG_Set[[#This Row],[Sell Window Month End]]*365.25/12</f>
        <v>#VALUE!</v>
      </c>
      <c r="X584" s="3" t="e">
        <f ca="1">AND(NOW()&gt;=tbl_MTG_Set[[#This Row],[Sell Window Start]], NOW()&lt;=tbl_MTG_Set[[#This Row],[Sell Window End]])</f>
        <v>#VALUE!</v>
      </c>
      <c r="AG584" s="10"/>
      <c r="AH584" s="10"/>
      <c r="AM584" s="10" t="str" cm="1">
        <f t="array" ref="AM5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4" s="10" t="str" cm="1">
        <f t="array" ref="AN5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4" s="4" t="e">
        <f>_xlfn.XLOOKUP(tbl_MTG_Set[[#This Row],[Play Booster Box Product Id]], tbl_Product[Product Id], tbl_Product[Pack Size])</f>
        <v>#N/A</v>
      </c>
      <c r="AP584" s="10" t="e">
        <f>(tbl_MTG_Set[[#This Row],[Play Booster Box Cost]]+v_Item_Shipping_Cost_In)/tbl_MTG_Set[[#This Row],[Play Booster Box Size]]</f>
        <v>#VALUE!</v>
      </c>
      <c r="AQ584" s="10" t="str" cm="1">
        <f t="array" ref="AQ5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4" s="10"/>
      <c r="AS584" s="10"/>
      <c r="AT584" s="17" t="e">
        <f>tbl_MTG_Set[[#This Row],[Play Booster CardMarket Profit]]/tbl_MTG_Set[[#This Row],[Play Booster Cost]]</f>
        <v>#VALUE!</v>
      </c>
      <c r="AU584" s="10" t="e">
        <f>_xlfn.XLOOKUP(tbl_MTG_Set[[#This Row],[Collector Booster Box Product Id]], tbl_Product[Product Id], tbl_Product[Min Cost])</f>
        <v>#N/A</v>
      </c>
      <c r="AV584" s="10" t="e">
        <f>_xlfn.XLOOKUP(tbl_MTG_Set[[#This Row],[Collector Booster Box Product Id]], tbl_Product[Product Id], tbl_Product[Best Source])</f>
        <v>#N/A</v>
      </c>
      <c r="AW584" s="4" t="e">
        <f>_xlfn.XLOOKUP(tbl_MTG_Set[[#This Row],[Collector Booster Box Product Id]], tbl_Product[Product Id], tbl_Product[Pack Size])</f>
        <v>#N/A</v>
      </c>
      <c r="AX584" s="10" t="e">
        <f>(tbl_MTG_Set[[#This Row],[Collector Booster Box Cost]] + v_Item_Shipping_Cost_In) / tbl_MTG_Set[[#This Row],[Collector Booster Box Size]]</f>
        <v>#N/A</v>
      </c>
      <c r="AY584" s="10" t="str" cm="1">
        <f t="array" ref="AY5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4" s="10"/>
      <c r="BA5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4" s="17" t="e">
        <f>tbl_MTG_Set[[#This Row],[Collector Booster CardMarket Profit]]/tbl_MTG_Set[[#This Row],[Collector Booster Cost]]</f>
        <v>#N/A</v>
      </c>
      <c r="BC584" s="10"/>
      <c r="BF5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4" s="11" t="e">
        <f>tbl_MTG_Set[[#This Row],[Play Singles CardMarket Profit MTG Stocks]]/tbl_MTG_Set[[#This Row],[Play Booster Cost]]</f>
        <v>#VALUE!</v>
      </c>
      <c r="BI584" s="11" t="b">
        <f>tbl_MTG_Set[[#This Row],[Play Singles CardMarket Profit MTG Stocks]]&gt;0</f>
        <v>0</v>
      </c>
      <c r="BM584" s="10" t="e">
        <f>tbl_MTG_Set[[#This Row],[Play Booster Sell Price CardMarket]]*tbl_MTG_Set[[#This Row],[Play Booster Expected Market Value BotBox]]/tbl_MTG_Set[[#This Row],[Play Booster Sealed Market Value BotBox]]</f>
        <v>#VALUE!</v>
      </c>
      <c r="BN5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4" s="10" t="e">
        <f>tbl_MTG_Set[[#This Row],[Play Singles CardMarket Profit BotBox]]/tbl_MTG_Set[[#This Row],[Play Booster Cost]]</f>
        <v>#VALUE!</v>
      </c>
      <c r="BP584" s="10" t="b">
        <f>tbl_MTG_Set[[#This Row],[Play Singles CardMarket Profit BotBox]]&gt;0</f>
        <v>0</v>
      </c>
      <c r="BQ584" s="10"/>
      <c r="BR584" s="10"/>
      <c r="BS584" s="10"/>
      <c r="BT5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4" s="19" t="e">
        <f>tbl_MTG_Set[[#This Row],[Collector Singles CardMarket Profit MTG Stocks]]/tbl_MTG_Set[[#This Row],[Collector Booster Cost]]</f>
        <v>#N/A</v>
      </c>
      <c r="BW584" s="10" t="b">
        <f>tbl_MTG_Set[[#This Row],[Collector Singles CardMarket Profit MTG Stocks]]&gt;0</f>
        <v>0</v>
      </c>
      <c r="BX584" s="10"/>
      <c r="BY584" s="10"/>
      <c r="BZ5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4" s="10" t="e">
        <f>tbl_MTG_Set[[#This Row],[Collector Singles CardMarket Profit BotBox]]/tbl_MTG_Set[[#This Row],[Collector Booster Cost]]</f>
        <v>#N/A</v>
      </c>
      <c r="CC584" s="10" t="b">
        <f>tbl_MTG_Set[[#This Row],[Collector Singles CardMarket Profit BotBox]]&gt;0</f>
        <v>0</v>
      </c>
      <c r="CD5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5" spans="1:86" hidden="1">
      <c r="A585">
        <v>617</v>
      </c>
      <c r="B585" t="s">
        <v>758</v>
      </c>
      <c r="C585">
        <v>4</v>
      </c>
      <c r="D585" s="3">
        <v>41978</v>
      </c>
      <c r="F585" t="s">
        <v>174</v>
      </c>
      <c r="G585">
        <v>1180</v>
      </c>
      <c r="H585">
        <f ca="1">MONTH(NOW())+12*YEAR(NOW())-MONTH(tbl_MTG_Set[[#This Row],[Released On]])-12*YEAR(tbl_MTG_Set[[#This Row],[Released On]])</f>
        <v>135</v>
      </c>
      <c r="I585" t="str">
        <f>_xlfn.XLOOKUP(tbl_MTG_Set[[#This Row],[Type Name]], tbl_MTG_Set_Type[Set Type], tbl_MTG_Set_Type[Index], "(Set Type not found)")</f>
        <v>(Set Type not found)</v>
      </c>
      <c r="J585" t="str">
        <f>_xlfn.XLOOKUP(tbl_MTG_Set[[#This Row],[Type Name]], tbl_MTG_Set_Type[Set Type], tbl_MTG_Set_Type[Buy Window Month Start], "(Set Type not found)")</f>
        <v>(Set Type not found)</v>
      </c>
      <c r="K585" s="3" t="e">
        <f>tbl_MTG_Set[[#This Row],[Released On]]+tbl_MTG_Set[[#This Row],[Buy Window Month Start]]*365.25/12</f>
        <v>#VALUE!</v>
      </c>
      <c r="L585" t="str">
        <f>_xlfn.XLOOKUP(tbl_MTG_Set[[#This Row],[Type Name]], tbl_MTG_Set_Type[Set Type], tbl_MTG_Set_Type[Buy Window Month End], "(Set Type not found)", 0, 1)</f>
        <v>(Set Type not found)</v>
      </c>
      <c r="M585" s="3" t="e">
        <f>tbl_MTG_Set[[#This Row],[Released On]]+tbl_MTG_Set[[#This Row],[Buy Window Month End]]*365.25/12</f>
        <v>#VALUE!</v>
      </c>
      <c r="N585" s="3" t="e">
        <f ca="1">AND(NOW()&gt;=tbl_MTG_Set[[#This Row],[Buy Window Start]], NOW()&lt;=tbl_MTG_Set[[#This Row],[Buy Window End]])</f>
        <v>#VALUE!</v>
      </c>
      <c r="O585" t="str">
        <f>_xlfn.XLOOKUP(tbl_MTG_Set[[#This Row],[Type Name]], tbl_MTG_Set_Type[Set Type], tbl_MTG_Set_Type[Heavy Printing Window Month Start], "(Set Type not found)", 0, 1)</f>
        <v>(Set Type not found)</v>
      </c>
      <c r="P585" s="3" t="e">
        <f>tbl_MTG_Set[[#This Row],[Released On]]+tbl_MTG_Set[[#This Row],[Heavy Printing Window Month Start]]*365.25/12</f>
        <v>#VALUE!</v>
      </c>
      <c r="Q585" t="str">
        <f>_xlfn.XLOOKUP(tbl_MTG_Set[[#This Row],[Type Name]], tbl_MTG_Set_Type[Set Type], tbl_MTG_Set_Type[Heavy Printing Window Month End], "(Set Type not found)", 0, 1)</f>
        <v>(Set Type not found)</v>
      </c>
      <c r="R585" s="3" t="e">
        <f>tbl_MTG_Set[[#This Row],[Released On]]+tbl_MTG_Set[[#This Row],[Heavy Printing Window Month End]]*365.25/12</f>
        <v>#VALUE!</v>
      </c>
      <c r="S585" s="3" t="e">
        <f ca="1">AND(NOW()&gt;=tbl_MTG_Set[[#This Row],[Heavy Printing Window Start]], NOW()&lt;=tbl_MTG_Set[[#This Row],[Heavy Printing Window End]])</f>
        <v>#VALUE!</v>
      </c>
      <c r="T585" t="str">
        <f>_xlfn.XLOOKUP(tbl_MTG_Set[[#This Row],[Type Name]], tbl_MTG_Set_Type[Set Type], tbl_MTG_Set_Type[Sell Window Month Start], "(Set Type not found)", 0, 1)</f>
        <v>(Set Type not found)</v>
      </c>
      <c r="U585" s="3" t="e">
        <f>tbl_MTG_Set[[#This Row],[Released On]]+tbl_MTG_Set[[#This Row],[Sell Window Month Start]]*365.25/12</f>
        <v>#VALUE!</v>
      </c>
      <c r="V585" t="str">
        <f>_xlfn.XLOOKUP(tbl_MTG_Set[[#This Row],[Type Name]], tbl_MTG_Set_Type[Set Type], tbl_MTG_Set_Type[Sell Window Month End], "(Set Type not found)", 0, 1)</f>
        <v>(Set Type not found)</v>
      </c>
      <c r="W585" s="3" t="e">
        <f>tbl_MTG_Set[[#This Row],[Released On]]+tbl_MTG_Set[[#This Row],[Sell Window Month End]]*365.25/12</f>
        <v>#VALUE!</v>
      </c>
      <c r="X585" s="3" t="e">
        <f ca="1">AND(NOW()&gt;=tbl_MTG_Set[[#This Row],[Sell Window Start]], NOW()&lt;=tbl_MTG_Set[[#This Row],[Sell Window End]])</f>
        <v>#VALUE!</v>
      </c>
      <c r="AG585" s="10"/>
      <c r="AH585" s="10"/>
      <c r="AM585" s="10" t="str" cm="1">
        <f t="array" ref="AM5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5" s="10" t="str" cm="1">
        <f t="array" ref="AN5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5" s="4" t="e">
        <f>_xlfn.XLOOKUP(tbl_MTG_Set[[#This Row],[Play Booster Box Product Id]], tbl_Product[Product Id], tbl_Product[Pack Size])</f>
        <v>#N/A</v>
      </c>
      <c r="AP585" s="10" t="e">
        <f>(tbl_MTG_Set[[#This Row],[Play Booster Box Cost]]+v_Item_Shipping_Cost_In)/tbl_MTG_Set[[#This Row],[Play Booster Box Size]]</f>
        <v>#VALUE!</v>
      </c>
      <c r="AQ585" s="10" t="str" cm="1">
        <f t="array" ref="AQ5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5" s="10"/>
      <c r="AS585" s="10"/>
      <c r="AT585" s="17" t="e">
        <f>tbl_MTG_Set[[#This Row],[Play Booster CardMarket Profit]]/tbl_MTG_Set[[#This Row],[Play Booster Cost]]</f>
        <v>#VALUE!</v>
      </c>
      <c r="AU585" s="10" t="e">
        <f>_xlfn.XLOOKUP(tbl_MTG_Set[[#This Row],[Collector Booster Box Product Id]], tbl_Product[Product Id], tbl_Product[Min Cost])</f>
        <v>#N/A</v>
      </c>
      <c r="AV585" s="10" t="e">
        <f>_xlfn.XLOOKUP(tbl_MTG_Set[[#This Row],[Collector Booster Box Product Id]], tbl_Product[Product Id], tbl_Product[Best Source])</f>
        <v>#N/A</v>
      </c>
      <c r="AW585" s="4" t="e">
        <f>_xlfn.XLOOKUP(tbl_MTG_Set[[#This Row],[Collector Booster Box Product Id]], tbl_Product[Product Id], tbl_Product[Pack Size])</f>
        <v>#N/A</v>
      </c>
      <c r="AX585" s="10" t="e">
        <f>(tbl_MTG_Set[[#This Row],[Collector Booster Box Cost]] + v_Item_Shipping_Cost_In) / tbl_MTG_Set[[#This Row],[Collector Booster Box Size]]</f>
        <v>#N/A</v>
      </c>
      <c r="AY585" s="10" t="str" cm="1">
        <f t="array" ref="AY5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5" s="10"/>
      <c r="BA5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5" s="17" t="e">
        <f>tbl_MTG_Set[[#This Row],[Collector Booster CardMarket Profit]]/tbl_MTG_Set[[#This Row],[Collector Booster Cost]]</f>
        <v>#N/A</v>
      </c>
      <c r="BC585" s="10"/>
      <c r="BF5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5" s="11" t="e">
        <f>tbl_MTG_Set[[#This Row],[Play Singles CardMarket Profit MTG Stocks]]/tbl_MTG_Set[[#This Row],[Play Booster Cost]]</f>
        <v>#VALUE!</v>
      </c>
      <c r="BI585" s="11" t="b">
        <f>tbl_MTG_Set[[#This Row],[Play Singles CardMarket Profit MTG Stocks]]&gt;0</f>
        <v>0</v>
      </c>
      <c r="BM585" s="10" t="e">
        <f>tbl_MTG_Set[[#This Row],[Play Booster Sell Price CardMarket]]*tbl_MTG_Set[[#This Row],[Play Booster Expected Market Value BotBox]]/tbl_MTG_Set[[#This Row],[Play Booster Sealed Market Value BotBox]]</f>
        <v>#VALUE!</v>
      </c>
      <c r="BN5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5" s="10" t="e">
        <f>tbl_MTG_Set[[#This Row],[Play Singles CardMarket Profit BotBox]]/tbl_MTG_Set[[#This Row],[Play Booster Cost]]</f>
        <v>#VALUE!</v>
      </c>
      <c r="BP585" s="10" t="b">
        <f>tbl_MTG_Set[[#This Row],[Play Singles CardMarket Profit BotBox]]&gt;0</f>
        <v>0</v>
      </c>
      <c r="BQ585" s="10"/>
      <c r="BR585" s="10"/>
      <c r="BS585" s="10"/>
      <c r="BT5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5" s="19" t="e">
        <f>tbl_MTG_Set[[#This Row],[Collector Singles CardMarket Profit MTG Stocks]]/tbl_MTG_Set[[#This Row],[Collector Booster Cost]]</f>
        <v>#N/A</v>
      </c>
      <c r="BW585" s="10" t="b">
        <f>tbl_MTG_Set[[#This Row],[Collector Singles CardMarket Profit MTG Stocks]]&gt;0</f>
        <v>0</v>
      </c>
      <c r="BX585" s="10"/>
      <c r="BY585" s="10"/>
      <c r="BZ5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5" s="10" t="e">
        <f>tbl_MTG_Set[[#This Row],[Collector Singles CardMarket Profit BotBox]]/tbl_MTG_Set[[#This Row],[Collector Booster Cost]]</f>
        <v>#N/A</v>
      </c>
      <c r="CC585" s="10" t="b">
        <f>tbl_MTG_Set[[#This Row],[Collector Singles CardMarket Profit BotBox]]&gt;0</f>
        <v>0</v>
      </c>
      <c r="CD5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6" spans="1:86" hidden="1">
      <c r="A586">
        <v>618</v>
      </c>
      <c r="B586" t="s">
        <v>759</v>
      </c>
      <c r="C586">
        <v>62</v>
      </c>
      <c r="D586" s="3">
        <v>41978</v>
      </c>
      <c r="F586" t="s">
        <v>174</v>
      </c>
      <c r="G586">
        <v>1182</v>
      </c>
      <c r="H586">
        <f ca="1">MONTH(NOW())+12*YEAR(NOW())-MONTH(tbl_MTG_Set[[#This Row],[Released On]])-12*YEAR(tbl_MTG_Set[[#This Row],[Released On]])</f>
        <v>135</v>
      </c>
      <c r="I586" t="str">
        <f>_xlfn.XLOOKUP(tbl_MTG_Set[[#This Row],[Type Name]], tbl_MTG_Set_Type[Set Type], tbl_MTG_Set_Type[Index], "(Set Type not found)")</f>
        <v>(Set Type not found)</v>
      </c>
      <c r="J586" t="str">
        <f>_xlfn.XLOOKUP(tbl_MTG_Set[[#This Row],[Type Name]], tbl_MTG_Set_Type[Set Type], tbl_MTG_Set_Type[Buy Window Month Start], "(Set Type not found)")</f>
        <v>(Set Type not found)</v>
      </c>
      <c r="K586" s="3" t="e">
        <f>tbl_MTG_Set[[#This Row],[Released On]]+tbl_MTG_Set[[#This Row],[Buy Window Month Start]]*365.25/12</f>
        <v>#VALUE!</v>
      </c>
      <c r="L586" t="str">
        <f>_xlfn.XLOOKUP(tbl_MTG_Set[[#This Row],[Type Name]], tbl_MTG_Set_Type[Set Type], tbl_MTG_Set_Type[Buy Window Month End], "(Set Type not found)", 0, 1)</f>
        <v>(Set Type not found)</v>
      </c>
      <c r="M586" s="3" t="e">
        <f>tbl_MTG_Set[[#This Row],[Released On]]+tbl_MTG_Set[[#This Row],[Buy Window Month End]]*365.25/12</f>
        <v>#VALUE!</v>
      </c>
      <c r="N586" s="3" t="e">
        <f ca="1">AND(NOW()&gt;=tbl_MTG_Set[[#This Row],[Buy Window Start]], NOW()&lt;=tbl_MTG_Set[[#This Row],[Buy Window End]])</f>
        <v>#VALUE!</v>
      </c>
      <c r="O586" t="str">
        <f>_xlfn.XLOOKUP(tbl_MTG_Set[[#This Row],[Type Name]], tbl_MTG_Set_Type[Set Type], tbl_MTG_Set_Type[Heavy Printing Window Month Start], "(Set Type not found)", 0, 1)</f>
        <v>(Set Type not found)</v>
      </c>
      <c r="P586" s="3" t="e">
        <f>tbl_MTG_Set[[#This Row],[Released On]]+tbl_MTG_Set[[#This Row],[Heavy Printing Window Month Start]]*365.25/12</f>
        <v>#VALUE!</v>
      </c>
      <c r="Q586" t="str">
        <f>_xlfn.XLOOKUP(tbl_MTG_Set[[#This Row],[Type Name]], tbl_MTG_Set_Type[Set Type], tbl_MTG_Set_Type[Heavy Printing Window Month End], "(Set Type not found)", 0, 1)</f>
        <v>(Set Type not found)</v>
      </c>
      <c r="R586" s="3" t="e">
        <f>tbl_MTG_Set[[#This Row],[Released On]]+tbl_MTG_Set[[#This Row],[Heavy Printing Window Month End]]*365.25/12</f>
        <v>#VALUE!</v>
      </c>
      <c r="S586" s="3" t="e">
        <f ca="1">AND(NOW()&gt;=tbl_MTG_Set[[#This Row],[Heavy Printing Window Start]], NOW()&lt;=tbl_MTG_Set[[#This Row],[Heavy Printing Window End]])</f>
        <v>#VALUE!</v>
      </c>
      <c r="T586" t="str">
        <f>_xlfn.XLOOKUP(tbl_MTG_Set[[#This Row],[Type Name]], tbl_MTG_Set_Type[Set Type], tbl_MTG_Set_Type[Sell Window Month Start], "(Set Type not found)", 0, 1)</f>
        <v>(Set Type not found)</v>
      </c>
      <c r="U586" s="3" t="e">
        <f>tbl_MTG_Set[[#This Row],[Released On]]+tbl_MTG_Set[[#This Row],[Sell Window Month Start]]*365.25/12</f>
        <v>#VALUE!</v>
      </c>
      <c r="V586" t="str">
        <f>_xlfn.XLOOKUP(tbl_MTG_Set[[#This Row],[Type Name]], tbl_MTG_Set_Type[Set Type], tbl_MTG_Set_Type[Sell Window Month End], "(Set Type not found)", 0, 1)</f>
        <v>(Set Type not found)</v>
      </c>
      <c r="W586" s="3" t="e">
        <f>tbl_MTG_Set[[#This Row],[Released On]]+tbl_MTG_Set[[#This Row],[Sell Window Month End]]*365.25/12</f>
        <v>#VALUE!</v>
      </c>
      <c r="X586" s="3" t="e">
        <f ca="1">AND(NOW()&gt;=tbl_MTG_Set[[#This Row],[Sell Window Start]], NOW()&lt;=tbl_MTG_Set[[#This Row],[Sell Window End]])</f>
        <v>#VALUE!</v>
      </c>
      <c r="AG586" s="10"/>
      <c r="AH586" s="10"/>
      <c r="AM586" s="10" t="str" cm="1">
        <f t="array" ref="AM5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6" s="10" t="str" cm="1">
        <f t="array" ref="AN5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6" s="4" t="e">
        <f>_xlfn.XLOOKUP(tbl_MTG_Set[[#This Row],[Play Booster Box Product Id]], tbl_Product[Product Id], tbl_Product[Pack Size])</f>
        <v>#N/A</v>
      </c>
      <c r="AP586" s="10" t="e">
        <f>(tbl_MTG_Set[[#This Row],[Play Booster Box Cost]]+v_Item_Shipping_Cost_In)/tbl_MTG_Set[[#This Row],[Play Booster Box Size]]</f>
        <v>#VALUE!</v>
      </c>
      <c r="AQ586" s="10" t="str" cm="1">
        <f t="array" ref="AQ5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6" s="10"/>
      <c r="AS586" s="10"/>
      <c r="AT586" s="17" t="e">
        <f>tbl_MTG_Set[[#This Row],[Play Booster CardMarket Profit]]/tbl_MTG_Set[[#This Row],[Play Booster Cost]]</f>
        <v>#VALUE!</v>
      </c>
      <c r="AU586" s="10" t="e">
        <f>_xlfn.XLOOKUP(tbl_MTG_Set[[#This Row],[Collector Booster Box Product Id]], tbl_Product[Product Id], tbl_Product[Min Cost])</f>
        <v>#N/A</v>
      </c>
      <c r="AV586" s="10" t="e">
        <f>_xlfn.XLOOKUP(tbl_MTG_Set[[#This Row],[Collector Booster Box Product Id]], tbl_Product[Product Id], tbl_Product[Best Source])</f>
        <v>#N/A</v>
      </c>
      <c r="AW586" s="4" t="e">
        <f>_xlfn.XLOOKUP(tbl_MTG_Set[[#This Row],[Collector Booster Box Product Id]], tbl_Product[Product Id], tbl_Product[Pack Size])</f>
        <v>#N/A</v>
      </c>
      <c r="AX586" s="10" t="e">
        <f>(tbl_MTG_Set[[#This Row],[Collector Booster Box Cost]] + v_Item_Shipping_Cost_In) / tbl_MTG_Set[[#This Row],[Collector Booster Box Size]]</f>
        <v>#N/A</v>
      </c>
      <c r="AY586" s="10" t="str" cm="1">
        <f t="array" ref="AY5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6" s="10"/>
      <c r="BA5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6" s="17" t="e">
        <f>tbl_MTG_Set[[#This Row],[Collector Booster CardMarket Profit]]/tbl_MTG_Set[[#This Row],[Collector Booster Cost]]</f>
        <v>#N/A</v>
      </c>
      <c r="BC586" s="10"/>
      <c r="BF5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6" s="11" t="e">
        <f>tbl_MTG_Set[[#This Row],[Play Singles CardMarket Profit MTG Stocks]]/tbl_MTG_Set[[#This Row],[Play Booster Cost]]</f>
        <v>#VALUE!</v>
      </c>
      <c r="BI586" s="11" t="b">
        <f>tbl_MTG_Set[[#This Row],[Play Singles CardMarket Profit MTG Stocks]]&gt;0</f>
        <v>0</v>
      </c>
      <c r="BM586" s="10" t="e">
        <f>tbl_MTG_Set[[#This Row],[Play Booster Sell Price CardMarket]]*tbl_MTG_Set[[#This Row],[Play Booster Expected Market Value BotBox]]/tbl_MTG_Set[[#This Row],[Play Booster Sealed Market Value BotBox]]</f>
        <v>#VALUE!</v>
      </c>
      <c r="BN5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6" s="10" t="e">
        <f>tbl_MTG_Set[[#This Row],[Play Singles CardMarket Profit BotBox]]/tbl_MTG_Set[[#This Row],[Play Booster Cost]]</f>
        <v>#VALUE!</v>
      </c>
      <c r="BP586" s="10" t="b">
        <f>tbl_MTG_Set[[#This Row],[Play Singles CardMarket Profit BotBox]]&gt;0</f>
        <v>0</v>
      </c>
      <c r="BQ586" s="10"/>
      <c r="BR586" s="10"/>
      <c r="BS586" s="10"/>
      <c r="BT5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6" s="19" t="e">
        <f>tbl_MTG_Set[[#This Row],[Collector Singles CardMarket Profit MTG Stocks]]/tbl_MTG_Set[[#This Row],[Collector Booster Cost]]</f>
        <v>#N/A</v>
      </c>
      <c r="BW586" s="10" t="b">
        <f>tbl_MTG_Set[[#This Row],[Collector Singles CardMarket Profit MTG Stocks]]&gt;0</f>
        <v>0</v>
      </c>
      <c r="BX586" s="10"/>
      <c r="BY586" s="10"/>
      <c r="BZ5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6" s="10" t="e">
        <f>tbl_MTG_Set[[#This Row],[Collector Singles CardMarket Profit BotBox]]/tbl_MTG_Set[[#This Row],[Collector Booster Cost]]</f>
        <v>#N/A</v>
      </c>
      <c r="CC586" s="10" t="b">
        <f>tbl_MTG_Set[[#This Row],[Collector Singles CardMarket Profit BotBox]]&gt;0</f>
        <v>0</v>
      </c>
      <c r="CD5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7" spans="1:86" hidden="1">
      <c r="A587">
        <v>619</v>
      </c>
      <c r="B587" t="s">
        <v>760</v>
      </c>
      <c r="C587">
        <v>1</v>
      </c>
      <c r="D587" s="3">
        <v>41978</v>
      </c>
      <c r="F587" t="s">
        <v>174</v>
      </c>
      <c r="G587">
        <v>1184</v>
      </c>
      <c r="H587">
        <f ca="1">MONTH(NOW())+12*YEAR(NOW())-MONTH(tbl_MTG_Set[[#This Row],[Released On]])-12*YEAR(tbl_MTG_Set[[#This Row],[Released On]])</f>
        <v>135</v>
      </c>
      <c r="I587" t="str">
        <f>_xlfn.XLOOKUP(tbl_MTG_Set[[#This Row],[Type Name]], tbl_MTG_Set_Type[Set Type], tbl_MTG_Set_Type[Index], "(Set Type not found)")</f>
        <v>(Set Type not found)</v>
      </c>
      <c r="J587" t="str">
        <f>_xlfn.XLOOKUP(tbl_MTG_Set[[#This Row],[Type Name]], tbl_MTG_Set_Type[Set Type], tbl_MTG_Set_Type[Buy Window Month Start], "(Set Type not found)")</f>
        <v>(Set Type not found)</v>
      </c>
      <c r="K587" s="3" t="e">
        <f>tbl_MTG_Set[[#This Row],[Released On]]+tbl_MTG_Set[[#This Row],[Buy Window Month Start]]*365.25/12</f>
        <v>#VALUE!</v>
      </c>
      <c r="L587" t="str">
        <f>_xlfn.XLOOKUP(tbl_MTG_Set[[#This Row],[Type Name]], tbl_MTG_Set_Type[Set Type], tbl_MTG_Set_Type[Buy Window Month End], "(Set Type not found)", 0, 1)</f>
        <v>(Set Type not found)</v>
      </c>
      <c r="M587" s="3" t="e">
        <f>tbl_MTG_Set[[#This Row],[Released On]]+tbl_MTG_Set[[#This Row],[Buy Window Month End]]*365.25/12</f>
        <v>#VALUE!</v>
      </c>
      <c r="N587" s="3" t="e">
        <f ca="1">AND(NOW()&gt;=tbl_MTG_Set[[#This Row],[Buy Window Start]], NOW()&lt;=tbl_MTG_Set[[#This Row],[Buy Window End]])</f>
        <v>#VALUE!</v>
      </c>
      <c r="O587" t="str">
        <f>_xlfn.XLOOKUP(tbl_MTG_Set[[#This Row],[Type Name]], tbl_MTG_Set_Type[Set Type], tbl_MTG_Set_Type[Heavy Printing Window Month Start], "(Set Type not found)", 0, 1)</f>
        <v>(Set Type not found)</v>
      </c>
      <c r="P587" s="3" t="e">
        <f>tbl_MTG_Set[[#This Row],[Released On]]+tbl_MTG_Set[[#This Row],[Heavy Printing Window Month Start]]*365.25/12</f>
        <v>#VALUE!</v>
      </c>
      <c r="Q587" t="str">
        <f>_xlfn.XLOOKUP(tbl_MTG_Set[[#This Row],[Type Name]], tbl_MTG_Set_Type[Set Type], tbl_MTG_Set_Type[Heavy Printing Window Month End], "(Set Type not found)", 0, 1)</f>
        <v>(Set Type not found)</v>
      </c>
      <c r="R587" s="3" t="e">
        <f>tbl_MTG_Set[[#This Row],[Released On]]+tbl_MTG_Set[[#This Row],[Heavy Printing Window Month End]]*365.25/12</f>
        <v>#VALUE!</v>
      </c>
      <c r="S587" s="3" t="e">
        <f ca="1">AND(NOW()&gt;=tbl_MTG_Set[[#This Row],[Heavy Printing Window Start]], NOW()&lt;=tbl_MTG_Set[[#This Row],[Heavy Printing Window End]])</f>
        <v>#VALUE!</v>
      </c>
      <c r="T587" t="str">
        <f>_xlfn.XLOOKUP(tbl_MTG_Set[[#This Row],[Type Name]], tbl_MTG_Set_Type[Set Type], tbl_MTG_Set_Type[Sell Window Month Start], "(Set Type not found)", 0, 1)</f>
        <v>(Set Type not found)</v>
      </c>
      <c r="U587" s="3" t="e">
        <f>tbl_MTG_Set[[#This Row],[Released On]]+tbl_MTG_Set[[#This Row],[Sell Window Month Start]]*365.25/12</f>
        <v>#VALUE!</v>
      </c>
      <c r="V587" t="str">
        <f>_xlfn.XLOOKUP(tbl_MTG_Set[[#This Row],[Type Name]], tbl_MTG_Set_Type[Set Type], tbl_MTG_Set_Type[Sell Window Month End], "(Set Type not found)", 0, 1)</f>
        <v>(Set Type not found)</v>
      </c>
      <c r="W587" s="3" t="e">
        <f>tbl_MTG_Set[[#This Row],[Released On]]+tbl_MTG_Set[[#This Row],[Sell Window Month End]]*365.25/12</f>
        <v>#VALUE!</v>
      </c>
      <c r="X587" s="3" t="e">
        <f ca="1">AND(NOW()&gt;=tbl_MTG_Set[[#This Row],[Sell Window Start]], NOW()&lt;=tbl_MTG_Set[[#This Row],[Sell Window End]])</f>
        <v>#VALUE!</v>
      </c>
      <c r="AG587" s="10"/>
      <c r="AH587" s="10"/>
      <c r="AM587" s="10" t="str" cm="1">
        <f t="array" ref="AM5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7" s="10" t="str" cm="1">
        <f t="array" ref="AN5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7" s="4" t="e">
        <f>_xlfn.XLOOKUP(tbl_MTG_Set[[#This Row],[Play Booster Box Product Id]], tbl_Product[Product Id], tbl_Product[Pack Size])</f>
        <v>#N/A</v>
      </c>
      <c r="AP587" s="10" t="e">
        <f>(tbl_MTG_Set[[#This Row],[Play Booster Box Cost]]+v_Item_Shipping_Cost_In)/tbl_MTG_Set[[#This Row],[Play Booster Box Size]]</f>
        <v>#VALUE!</v>
      </c>
      <c r="AQ587" s="10" t="str" cm="1">
        <f t="array" ref="AQ5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7" s="10"/>
      <c r="AS587" s="10"/>
      <c r="AT587" s="17" t="e">
        <f>tbl_MTG_Set[[#This Row],[Play Booster CardMarket Profit]]/tbl_MTG_Set[[#This Row],[Play Booster Cost]]</f>
        <v>#VALUE!</v>
      </c>
      <c r="AU587" s="10" t="e">
        <f>_xlfn.XLOOKUP(tbl_MTG_Set[[#This Row],[Collector Booster Box Product Id]], tbl_Product[Product Id], tbl_Product[Min Cost])</f>
        <v>#N/A</v>
      </c>
      <c r="AV587" s="10" t="e">
        <f>_xlfn.XLOOKUP(tbl_MTG_Set[[#This Row],[Collector Booster Box Product Id]], tbl_Product[Product Id], tbl_Product[Best Source])</f>
        <v>#N/A</v>
      </c>
      <c r="AW587" s="4" t="e">
        <f>_xlfn.XLOOKUP(tbl_MTG_Set[[#This Row],[Collector Booster Box Product Id]], tbl_Product[Product Id], tbl_Product[Pack Size])</f>
        <v>#N/A</v>
      </c>
      <c r="AX587" s="10" t="e">
        <f>(tbl_MTG_Set[[#This Row],[Collector Booster Box Cost]] + v_Item_Shipping_Cost_In) / tbl_MTG_Set[[#This Row],[Collector Booster Box Size]]</f>
        <v>#N/A</v>
      </c>
      <c r="AY587" s="10" t="str" cm="1">
        <f t="array" ref="AY5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7" s="10"/>
      <c r="BA5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7" s="17" t="e">
        <f>tbl_MTG_Set[[#This Row],[Collector Booster CardMarket Profit]]/tbl_MTG_Set[[#This Row],[Collector Booster Cost]]</f>
        <v>#N/A</v>
      </c>
      <c r="BC587" s="10"/>
      <c r="BF5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7" s="11" t="e">
        <f>tbl_MTG_Set[[#This Row],[Play Singles CardMarket Profit MTG Stocks]]/tbl_MTG_Set[[#This Row],[Play Booster Cost]]</f>
        <v>#VALUE!</v>
      </c>
      <c r="BI587" s="11" t="b">
        <f>tbl_MTG_Set[[#This Row],[Play Singles CardMarket Profit MTG Stocks]]&gt;0</f>
        <v>0</v>
      </c>
      <c r="BM587" s="10" t="e">
        <f>tbl_MTG_Set[[#This Row],[Play Booster Sell Price CardMarket]]*tbl_MTG_Set[[#This Row],[Play Booster Expected Market Value BotBox]]/tbl_MTG_Set[[#This Row],[Play Booster Sealed Market Value BotBox]]</f>
        <v>#VALUE!</v>
      </c>
      <c r="BN5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7" s="10" t="e">
        <f>tbl_MTG_Set[[#This Row],[Play Singles CardMarket Profit BotBox]]/tbl_MTG_Set[[#This Row],[Play Booster Cost]]</f>
        <v>#VALUE!</v>
      </c>
      <c r="BP587" s="10" t="b">
        <f>tbl_MTG_Set[[#This Row],[Play Singles CardMarket Profit BotBox]]&gt;0</f>
        <v>0</v>
      </c>
      <c r="BQ587" s="10"/>
      <c r="BR587" s="10"/>
      <c r="BS587" s="10"/>
      <c r="BT5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7" s="19" t="e">
        <f>tbl_MTG_Set[[#This Row],[Collector Singles CardMarket Profit MTG Stocks]]/tbl_MTG_Set[[#This Row],[Collector Booster Cost]]</f>
        <v>#N/A</v>
      </c>
      <c r="BW587" s="10" t="b">
        <f>tbl_MTG_Set[[#This Row],[Collector Singles CardMarket Profit MTG Stocks]]&gt;0</f>
        <v>0</v>
      </c>
      <c r="BX587" s="10"/>
      <c r="BY587" s="10"/>
      <c r="BZ5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7" s="10" t="e">
        <f>tbl_MTG_Set[[#This Row],[Collector Singles CardMarket Profit BotBox]]/tbl_MTG_Set[[#This Row],[Collector Booster Cost]]</f>
        <v>#N/A</v>
      </c>
      <c r="CC587" s="10" t="b">
        <f>tbl_MTG_Set[[#This Row],[Collector Singles CardMarket Profit BotBox]]&gt;0</f>
        <v>0</v>
      </c>
      <c r="CD5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8" spans="1:86" hidden="1">
      <c r="A588">
        <v>620</v>
      </c>
      <c r="B588" t="s">
        <v>761</v>
      </c>
      <c r="C588">
        <v>62</v>
      </c>
      <c r="D588" s="3">
        <v>41978</v>
      </c>
      <c r="F588" t="s">
        <v>174</v>
      </c>
      <c r="G588">
        <v>1186</v>
      </c>
      <c r="H588">
        <f ca="1">MONTH(NOW())+12*YEAR(NOW())-MONTH(tbl_MTG_Set[[#This Row],[Released On]])-12*YEAR(tbl_MTG_Set[[#This Row],[Released On]])</f>
        <v>135</v>
      </c>
      <c r="I588" t="str">
        <f>_xlfn.XLOOKUP(tbl_MTG_Set[[#This Row],[Type Name]], tbl_MTG_Set_Type[Set Type], tbl_MTG_Set_Type[Index], "(Set Type not found)")</f>
        <v>(Set Type not found)</v>
      </c>
      <c r="J588" t="str">
        <f>_xlfn.XLOOKUP(tbl_MTG_Set[[#This Row],[Type Name]], tbl_MTG_Set_Type[Set Type], tbl_MTG_Set_Type[Buy Window Month Start], "(Set Type not found)")</f>
        <v>(Set Type not found)</v>
      </c>
      <c r="K588" s="3" t="e">
        <f>tbl_MTG_Set[[#This Row],[Released On]]+tbl_MTG_Set[[#This Row],[Buy Window Month Start]]*365.25/12</f>
        <v>#VALUE!</v>
      </c>
      <c r="L588" t="str">
        <f>_xlfn.XLOOKUP(tbl_MTG_Set[[#This Row],[Type Name]], tbl_MTG_Set_Type[Set Type], tbl_MTG_Set_Type[Buy Window Month End], "(Set Type not found)", 0, 1)</f>
        <v>(Set Type not found)</v>
      </c>
      <c r="M588" s="3" t="e">
        <f>tbl_MTG_Set[[#This Row],[Released On]]+tbl_MTG_Set[[#This Row],[Buy Window Month End]]*365.25/12</f>
        <v>#VALUE!</v>
      </c>
      <c r="N588" s="3" t="e">
        <f ca="1">AND(NOW()&gt;=tbl_MTG_Set[[#This Row],[Buy Window Start]], NOW()&lt;=tbl_MTG_Set[[#This Row],[Buy Window End]])</f>
        <v>#VALUE!</v>
      </c>
      <c r="O588" t="str">
        <f>_xlfn.XLOOKUP(tbl_MTG_Set[[#This Row],[Type Name]], tbl_MTG_Set_Type[Set Type], tbl_MTG_Set_Type[Heavy Printing Window Month Start], "(Set Type not found)", 0, 1)</f>
        <v>(Set Type not found)</v>
      </c>
      <c r="P588" s="3" t="e">
        <f>tbl_MTG_Set[[#This Row],[Released On]]+tbl_MTG_Set[[#This Row],[Heavy Printing Window Month Start]]*365.25/12</f>
        <v>#VALUE!</v>
      </c>
      <c r="Q588" t="str">
        <f>_xlfn.XLOOKUP(tbl_MTG_Set[[#This Row],[Type Name]], tbl_MTG_Set_Type[Set Type], tbl_MTG_Set_Type[Heavy Printing Window Month End], "(Set Type not found)", 0, 1)</f>
        <v>(Set Type not found)</v>
      </c>
      <c r="R588" s="3" t="e">
        <f>tbl_MTG_Set[[#This Row],[Released On]]+tbl_MTG_Set[[#This Row],[Heavy Printing Window Month End]]*365.25/12</f>
        <v>#VALUE!</v>
      </c>
      <c r="S588" s="3" t="e">
        <f ca="1">AND(NOW()&gt;=tbl_MTG_Set[[#This Row],[Heavy Printing Window Start]], NOW()&lt;=tbl_MTG_Set[[#This Row],[Heavy Printing Window End]])</f>
        <v>#VALUE!</v>
      </c>
      <c r="T588" t="str">
        <f>_xlfn.XLOOKUP(tbl_MTG_Set[[#This Row],[Type Name]], tbl_MTG_Set_Type[Set Type], tbl_MTG_Set_Type[Sell Window Month Start], "(Set Type not found)", 0, 1)</f>
        <v>(Set Type not found)</v>
      </c>
      <c r="U588" s="3" t="e">
        <f>tbl_MTG_Set[[#This Row],[Released On]]+tbl_MTG_Set[[#This Row],[Sell Window Month Start]]*365.25/12</f>
        <v>#VALUE!</v>
      </c>
      <c r="V588" t="str">
        <f>_xlfn.XLOOKUP(tbl_MTG_Set[[#This Row],[Type Name]], tbl_MTG_Set_Type[Set Type], tbl_MTG_Set_Type[Sell Window Month End], "(Set Type not found)", 0, 1)</f>
        <v>(Set Type not found)</v>
      </c>
      <c r="W588" s="3" t="e">
        <f>tbl_MTG_Set[[#This Row],[Released On]]+tbl_MTG_Set[[#This Row],[Sell Window Month End]]*365.25/12</f>
        <v>#VALUE!</v>
      </c>
      <c r="X588" s="3" t="e">
        <f ca="1">AND(NOW()&gt;=tbl_MTG_Set[[#This Row],[Sell Window Start]], NOW()&lt;=tbl_MTG_Set[[#This Row],[Sell Window End]])</f>
        <v>#VALUE!</v>
      </c>
      <c r="AG588" s="10"/>
      <c r="AH588" s="10"/>
      <c r="AM588" s="10" t="str" cm="1">
        <f t="array" ref="AM5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8" s="10" t="str" cm="1">
        <f t="array" ref="AN5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8" s="4" t="e">
        <f>_xlfn.XLOOKUP(tbl_MTG_Set[[#This Row],[Play Booster Box Product Id]], tbl_Product[Product Id], tbl_Product[Pack Size])</f>
        <v>#N/A</v>
      </c>
      <c r="AP588" s="10" t="e">
        <f>(tbl_MTG_Set[[#This Row],[Play Booster Box Cost]]+v_Item_Shipping_Cost_In)/tbl_MTG_Set[[#This Row],[Play Booster Box Size]]</f>
        <v>#VALUE!</v>
      </c>
      <c r="AQ588" s="10" t="str" cm="1">
        <f t="array" ref="AQ5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8" s="10"/>
      <c r="AS588" s="10"/>
      <c r="AT588" s="17" t="e">
        <f>tbl_MTG_Set[[#This Row],[Play Booster CardMarket Profit]]/tbl_MTG_Set[[#This Row],[Play Booster Cost]]</f>
        <v>#VALUE!</v>
      </c>
      <c r="AU588" s="10" t="e">
        <f>_xlfn.XLOOKUP(tbl_MTG_Set[[#This Row],[Collector Booster Box Product Id]], tbl_Product[Product Id], tbl_Product[Min Cost])</f>
        <v>#N/A</v>
      </c>
      <c r="AV588" s="10" t="e">
        <f>_xlfn.XLOOKUP(tbl_MTG_Set[[#This Row],[Collector Booster Box Product Id]], tbl_Product[Product Id], tbl_Product[Best Source])</f>
        <v>#N/A</v>
      </c>
      <c r="AW588" s="4" t="e">
        <f>_xlfn.XLOOKUP(tbl_MTG_Set[[#This Row],[Collector Booster Box Product Id]], tbl_Product[Product Id], tbl_Product[Pack Size])</f>
        <v>#N/A</v>
      </c>
      <c r="AX588" s="10" t="e">
        <f>(tbl_MTG_Set[[#This Row],[Collector Booster Box Cost]] + v_Item_Shipping_Cost_In) / tbl_MTG_Set[[#This Row],[Collector Booster Box Size]]</f>
        <v>#N/A</v>
      </c>
      <c r="AY588" s="10" t="str" cm="1">
        <f t="array" ref="AY5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8" s="10"/>
      <c r="BA5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8" s="17" t="e">
        <f>tbl_MTG_Set[[#This Row],[Collector Booster CardMarket Profit]]/tbl_MTG_Set[[#This Row],[Collector Booster Cost]]</f>
        <v>#N/A</v>
      </c>
      <c r="BC588" s="10"/>
      <c r="BF5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8" s="11" t="e">
        <f>tbl_MTG_Set[[#This Row],[Play Singles CardMarket Profit MTG Stocks]]/tbl_MTG_Set[[#This Row],[Play Booster Cost]]</f>
        <v>#VALUE!</v>
      </c>
      <c r="BI588" s="11" t="b">
        <f>tbl_MTG_Set[[#This Row],[Play Singles CardMarket Profit MTG Stocks]]&gt;0</f>
        <v>0</v>
      </c>
      <c r="BM588" s="10" t="e">
        <f>tbl_MTG_Set[[#This Row],[Play Booster Sell Price CardMarket]]*tbl_MTG_Set[[#This Row],[Play Booster Expected Market Value BotBox]]/tbl_MTG_Set[[#This Row],[Play Booster Sealed Market Value BotBox]]</f>
        <v>#VALUE!</v>
      </c>
      <c r="BN5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8" s="10" t="e">
        <f>tbl_MTG_Set[[#This Row],[Play Singles CardMarket Profit BotBox]]/tbl_MTG_Set[[#This Row],[Play Booster Cost]]</f>
        <v>#VALUE!</v>
      </c>
      <c r="BP588" s="10" t="b">
        <f>tbl_MTG_Set[[#This Row],[Play Singles CardMarket Profit BotBox]]&gt;0</f>
        <v>0</v>
      </c>
      <c r="BQ588" s="10"/>
      <c r="BR588" s="10"/>
      <c r="BS588" s="10"/>
      <c r="BT5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8" s="19" t="e">
        <f>tbl_MTG_Set[[#This Row],[Collector Singles CardMarket Profit MTG Stocks]]/tbl_MTG_Set[[#This Row],[Collector Booster Cost]]</f>
        <v>#N/A</v>
      </c>
      <c r="BW588" s="10" t="b">
        <f>tbl_MTG_Set[[#This Row],[Collector Singles CardMarket Profit MTG Stocks]]&gt;0</f>
        <v>0</v>
      </c>
      <c r="BX588" s="10"/>
      <c r="BY588" s="10"/>
      <c r="BZ5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8" s="10" t="e">
        <f>tbl_MTG_Set[[#This Row],[Collector Singles CardMarket Profit BotBox]]/tbl_MTG_Set[[#This Row],[Collector Booster Cost]]</f>
        <v>#N/A</v>
      </c>
      <c r="CC588" s="10" t="b">
        <f>tbl_MTG_Set[[#This Row],[Collector Singles CardMarket Profit BotBox]]&gt;0</f>
        <v>0</v>
      </c>
      <c r="CD5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89" spans="1:86" hidden="1">
      <c r="A589">
        <v>621</v>
      </c>
      <c r="B589" t="s">
        <v>762</v>
      </c>
      <c r="C589">
        <v>3</v>
      </c>
      <c r="D589" s="3">
        <v>41978</v>
      </c>
      <c r="F589" t="s">
        <v>174</v>
      </c>
      <c r="G589">
        <v>1188</v>
      </c>
      <c r="H589">
        <f ca="1">MONTH(NOW())+12*YEAR(NOW())-MONTH(tbl_MTG_Set[[#This Row],[Released On]])-12*YEAR(tbl_MTG_Set[[#This Row],[Released On]])</f>
        <v>135</v>
      </c>
      <c r="I589" t="str">
        <f>_xlfn.XLOOKUP(tbl_MTG_Set[[#This Row],[Type Name]], tbl_MTG_Set_Type[Set Type], tbl_MTG_Set_Type[Index], "(Set Type not found)")</f>
        <v>(Set Type not found)</v>
      </c>
      <c r="J589" t="str">
        <f>_xlfn.XLOOKUP(tbl_MTG_Set[[#This Row],[Type Name]], tbl_MTG_Set_Type[Set Type], tbl_MTG_Set_Type[Buy Window Month Start], "(Set Type not found)")</f>
        <v>(Set Type not found)</v>
      </c>
      <c r="K589" s="3" t="e">
        <f>tbl_MTG_Set[[#This Row],[Released On]]+tbl_MTG_Set[[#This Row],[Buy Window Month Start]]*365.25/12</f>
        <v>#VALUE!</v>
      </c>
      <c r="L589" t="str">
        <f>_xlfn.XLOOKUP(tbl_MTG_Set[[#This Row],[Type Name]], tbl_MTG_Set_Type[Set Type], tbl_MTG_Set_Type[Buy Window Month End], "(Set Type not found)", 0, 1)</f>
        <v>(Set Type not found)</v>
      </c>
      <c r="M589" s="3" t="e">
        <f>tbl_MTG_Set[[#This Row],[Released On]]+tbl_MTG_Set[[#This Row],[Buy Window Month End]]*365.25/12</f>
        <v>#VALUE!</v>
      </c>
      <c r="N589" s="3" t="e">
        <f ca="1">AND(NOW()&gt;=tbl_MTG_Set[[#This Row],[Buy Window Start]], NOW()&lt;=tbl_MTG_Set[[#This Row],[Buy Window End]])</f>
        <v>#VALUE!</v>
      </c>
      <c r="O589" t="str">
        <f>_xlfn.XLOOKUP(tbl_MTG_Set[[#This Row],[Type Name]], tbl_MTG_Set_Type[Set Type], tbl_MTG_Set_Type[Heavy Printing Window Month Start], "(Set Type not found)", 0, 1)</f>
        <v>(Set Type not found)</v>
      </c>
      <c r="P589" s="3" t="e">
        <f>tbl_MTG_Set[[#This Row],[Released On]]+tbl_MTG_Set[[#This Row],[Heavy Printing Window Month Start]]*365.25/12</f>
        <v>#VALUE!</v>
      </c>
      <c r="Q589" t="str">
        <f>_xlfn.XLOOKUP(tbl_MTG_Set[[#This Row],[Type Name]], tbl_MTG_Set_Type[Set Type], tbl_MTG_Set_Type[Heavy Printing Window Month End], "(Set Type not found)", 0, 1)</f>
        <v>(Set Type not found)</v>
      </c>
      <c r="R589" s="3" t="e">
        <f>tbl_MTG_Set[[#This Row],[Released On]]+tbl_MTG_Set[[#This Row],[Heavy Printing Window Month End]]*365.25/12</f>
        <v>#VALUE!</v>
      </c>
      <c r="S589" s="3" t="e">
        <f ca="1">AND(NOW()&gt;=tbl_MTG_Set[[#This Row],[Heavy Printing Window Start]], NOW()&lt;=tbl_MTG_Set[[#This Row],[Heavy Printing Window End]])</f>
        <v>#VALUE!</v>
      </c>
      <c r="T589" t="str">
        <f>_xlfn.XLOOKUP(tbl_MTG_Set[[#This Row],[Type Name]], tbl_MTG_Set_Type[Set Type], tbl_MTG_Set_Type[Sell Window Month Start], "(Set Type not found)", 0, 1)</f>
        <v>(Set Type not found)</v>
      </c>
      <c r="U589" s="3" t="e">
        <f>tbl_MTG_Set[[#This Row],[Released On]]+tbl_MTG_Set[[#This Row],[Sell Window Month Start]]*365.25/12</f>
        <v>#VALUE!</v>
      </c>
      <c r="V589" t="str">
        <f>_xlfn.XLOOKUP(tbl_MTG_Set[[#This Row],[Type Name]], tbl_MTG_Set_Type[Set Type], tbl_MTG_Set_Type[Sell Window Month End], "(Set Type not found)", 0, 1)</f>
        <v>(Set Type not found)</v>
      </c>
      <c r="W589" s="3" t="e">
        <f>tbl_MTG_Set[[#This Row],[Released On]]+tbl_MTG_Set[[#This Row],[Sell Window Month End]]*365.25/12</f>
        <v>#VALUE!</v>
      </c>
      <c r="X589" s="3" t="e">
        <f ca="1">AND(NOW()&gt;=tbl_MTG_Set[[#This Row],[Sell Window Start]], NOW()&lt;=tbl_MTG_Set[[#This Row],[Sell Window End]])</f>
        <v>#VALUE!</v>
      </c>
      <c r="AG589" s="10"/>
      <c r="AH589" s="10"/>
      <c r="AM589" s="10" t="str" cm="1">
        <f t="array" ref="AM5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89" s="10" t="str" cm="1">
        <f t="array" ref="AN5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89" s="4" t="e">
        <f>_xlfn.XLOOKUP(tbl_MTG_Set[[#This Row],[Play Booster Box Product Id]], tbl_Product[Product Id], tbl_Product[Pack Size])</f>
        <v>#N/A</v>
      </c>
      <c r="AP589" s="10" t="e">
        <f>(tbl_MTG_Set[[#This Row],[Play Booster Box Cost]]+v_Item_Shipping_Cost_In)/tbl_MTG_Set[[#This Row],[Play Booster Box Size]]</f>
        <v>#VALUE!</v>
      </c>
      <c r="AQ589" s="10" t="str" cm="1">
        <f t="array" ref="AQ5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89" s="10"/>
      <c r="AS589" s="10"/>
      <c r="AT589" s="17" t="e">
        <f>tbl_MTG_Set[[#This Row],[Play Booster CardMarket Profit]]/tbl_MTG_Set[[#This Row],[Play Booster Cost]]</f>
        <v>#VALUE!</v>
      </c>
      <c r="AU589" s="10" t="e">
        <f>_xlfn.XLOOKUP(tbl_MTG_Set[[#This Row],[Collector Booster Box Product Id]], tbl_Product[Product Id], tbl_Product[Min Cost])</f>
        <v>#N/A</v>
      </c>
      <c r="AV589" s="10" t="e">
        <f>_xlfn.XLOOKUP(tbl_MTG_Set[[#This Row],[Collector Booster Box Product Id]], tbl_Product[Product Id], tbl_Product[Best Source])</f>
        <v>#N/A</v>
      </c>
      <c r="AW589" s="4" t="e">
        <f>_xlfn.XLOOKUP(tbl_MTG_Set[[#This Row],[Collector Booster Box Product Id]], tbl_Product[Product Id], tbl_Product[Pack Size])</f>
        <v>#N/A</v>
      </c>
      <c r="AX589" s="10" t="e">
        <f>(tbl_MTG_Set[[#This Row],[Collector Booster Box Cost]] + v_Item_Shipping_Cost_In) / tbl_MTG_Set[[#This Row],[Collector Booster Box Size]]</f>
        <v>#N/A</v>
      </c>
      <c r="AY589" s="10" t="str" cm="1">
        <f t="array" ref="AY5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89" s="10"/>
      <c r="BA5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89" s="17" t="e">
        <f>tbl_MTG_Set[[#This Row],[Collector Booster CardMarket Profit]]/tbl_MTG_Set[[#This Row],[Collector Booster Cost]]</f>
        <v>#N/A</v>
      </c>
      <c r="BC589" s="10"/>
      <c r="BF5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89" s="11" t="e">
        <f>tbl_MTG_Set[[#This Row],[Play Singles CardMarket Profit MTG Stocks]]/tbl_MTG_Set[[#This Row],[Play Booster Cost]]</f>
        <v>#VALUE!</v>
      </c>
      <c r="BI589" s="11" t="b">
        <f>tbl_MTG_Set[[#This Row],[Play Singles CardMarket Profit MTG Stocks]]&gt;0</f>
        <v>0</v>
      </c>
      <c r="BM589" s="10" t="e">
        <f>tbl_MTG_Set[[#This Row],[Play Booster Sell Price CardMarket]]*tbl_MTG_Set[[#This Row],[Play Booster Expected Market Value BotBox]]/tbl_MTG_Set[[#This Row],[Play Booster Sealed Market Value BotBox]]</f>
        <v>#VALUE!</v>
      </c>
      <c r="BN5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89" s="10" t="e">
        <f>tbl_MTG_Set[[#This Row],[Play Singles CardMarket Profit BotBox]]/tbl_MTG_Set[[#This Row],[Play Booster Cost]]</f>
        <v>#VALUE!</v>
      </c>
      <c r="BP589" s="10" t="b">
        <f>tbl_MTG_Set[[#This Row],[Play Singles CardMarket Profit BotBox]]&gt;0</f>
        <v>0</v>
      </c>
      <c r="BQ589" s="10"/>
      <c r="BR589" s="10"/>
      <c r="BS589" s="10"/>
      <c r="BT5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89" s="19" t="e">
        <f>tbl_MTG_Set[[#This Row],[Collector Singles CardMarket Profit MTG Stocks]]/tbl_MTG_Set[[#This Row],[Collector Booster Cost]]</f>
        <v>#N/A</v>
      </c>
      <c r="BW589" s="10" t="b">
        <f>tbl_MTG_Set[[#This Row],[Collector Singles CardMarket Profit MTG Stocks]]&gt;0</f>
        <v>0</v>
      </c>
      <c r="BX589" s="10"/>
      <c r="BY589" s="10"/>
      <c r="BZ5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89" s="10" t="e">
        <f>tbl_MTG_Set[[#This Row],[Collector Singles CardMarket Profit BotBox]]/tbl_MTG_Set[[#This Row],[Collector Booster Cost]]</f>
        <v>#N/A</v>
      </c>
      <c r="CC589" s="10" t="b">
        <f>tbl_MTG_Set[[#This Row],[Collector Singles CardMarket Profit BotBox]]&gt;0</f>
        <v>0</v>
      </c>
      <c r="CD5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0" spans="1:86" hidden="1">
      <c r="A590">
        <v>622</v>
      </c>
      <c r="B590" t="s">
        <v>763</v>
      </c>
      <c r="C590">
        <v>337</v>
      </c>
      <c r="D590" s="3">
        <v>41950</v>
      </c>
      <c r="F590" t="s">
        <v>174</v>
      </c>
      <c r="G590">
        <v>1190</v>
      </c>
      <c r="H590">
        <f ca="1">MONTH(NOW())+12*YEAR(NOW())-MONTH(tbl_MTG_Set[[#This Row],[Released On]])-12*YEAR(tbl_MTG_Set[[#This Row],[Released On]])</f>
        <v>136</v>
      </c>
      <c r="I590" t="str">
        <f>_xlfn.XLOOKUP(tbl_MTG_Set[[#This Row],[Type Name]], tbl_MTG_Set_Type[Set Type], tbl_MTG_Set_Type[Index], "(Set Type not found)")</f>
        <v>(Set Type not found)</v>
      </c>
      <c r="J590" t="str">
        <f>_xlfn.XLOOKUP(tbl_MTG_Set[[#This Row],[Type Name]], tbl_MTG_Set_Type[Set Type], tbl_MTG_Set_Type[Buy Window Month Start], "(Set Type not found)")</f>
        <v>(Set Type not found)</v>
      </c>
      <c r="K590" s="3" t="e">
        <f>tbl_MTG_Set[[#This Row],[Released On]]+tbl_MTG_Set[[#This Row],[Buy Window Month Start]]*365.25/12</f>
        <v>#VALUE!</v>
      </c>
      <c r="L590" t="str">
        <f>_xlfn.XLOOKUP(tbl_MTG_Set[[#This Row],[Type Name]], tbl_MTG_Set_Type[Set Type], tbl_MTG_Set_Type[Buy Window Month End], "(Set Type not found)", 0, 1)</f>
        <v>(Set Type not found)</v>
      </c>
      <c r="M590" s="3" t="e">
        <f>tbl_MTG_Set[[#This Row],[Released On]]+tbl_MTG_Set[[#This Row],[Buy Window Month End]]*365.25/12</f>
        <v>#VALUE!</v>
      </c>
      <c r="N590" s="3" t="e">
        <f ca="1">AND(NOW()&gt;=tbl_MTG_Set[[#This Row],[Buy Window Start]], NOW()&lt;=tbl_MTG_Set[[#This Row],[Buy Window End]])</f>
        <v>#VALUE!</v>
      </c>
      <c r="O590" t="str">
        <f>_xlfn.XLOOKUP(tbl_MTG_Set[[#This Row],[Type Name]], tbl_MTG_Set_Type[Set Type], tbl_MTG_Set_Type[Heavy Printing Window Month Start], "(Set Type not found)", 0, 1)</f>
        <v>(Set Type not found)</v>
      </c>
      <c r="P590" s="3" t="e">
        <f>tbl_MTG_Set[[#This Row],[Released On]]+tbl_MTG_Set[[#This Row],[Heavy Printing Window Month Start]]*365.25/12</f>
        <v>#VALUE!</v>
      </c>
      <c r="Q590" t="str">
        <f>_xlfn.XLOOKUP(tbl_MTG_Set[[#This Row],[Type Name]], tbl_MTG_Set_Type[Set Type], tbl_MTG_Set_Type[Heavy Printing Window Month End], "(Set Type not found)", 0, 1)</f>
        <v>(Set Type not found)</v>
      </c>
      <c r="R590" s="3" t="e">
        <f>tbl_MTG_Set[[#This Row],[Released On]]+tbl_MTG_Set[[#This Row],[Heavy Printing Window Month End]]*365.25/12</f>
        <v>#VALUE!</v>
      </c>
      <c r="S590" s="3" t="e">
        <f ca="1">AND(NOW()&gt;=tbl_MTG_Set[[#This Row],[Heavy Printing Window Start]], NOW()&lt;=tbl_MTG_Set[[#This Row],[Heavy Printing Window End]])</f>
        <v>#VALUE!</v>
      </c>
      <c r="T590" t="str">
        <f>_xlfn.XLOOKUP(tbl_MTG_Set[[#This Row],[Type Name]], tbl_MTG_Set_Type[Set Type], tbl_MTG_Set_Type[Sell Window Month Start], "(Set Type not found)", 0, 1)</f>
        <v>(Set Type not found)</v>
      </c>
      <c r="U590" s="3" t="e">
        <f>tbl_MTG_Set[[#This Row],[Released On]]+tbl_MTG_Set[[#This Row],[Sell Window Month Start]]*365.25/12</f>
        <v>#VALUE!</v>
      </c>
      <c r="V590" t="str">
        <f>_xlfn.XLOOKUP(tbl_MTG_Set[[#This Row],[Type Name]], tbl_MTG_Set_Type[Set Type], tbl_MTG_Set_Type[Sell Window Month End], "(Set Type not found)", 0, 1)</f>
        <v>(Set Type not found)</v>
      </c>
      <c r="W590" s="3" t="e">
        <f>tbl_MTG_Set[[#This Row],[Released On]]+tbl_MTG_Set[[#This Row],[Sell Window Month End]]*365.25/12</f>
        <v>#VALUE!</v>
      </c>
      <c r="X590" s="3" t="e">
        <f ca="1">AND(NOW()&gt;=tbl_MTG_Set[[#This Row],[Sell Window Start]], NOW()&lt;=tbl_MTG_Set[[#This Row],[Sell Window End]])</f>
        <v>#VALUE!</v>
      </c>
      <c r="AG590" s="10"/>
      <c r="AH590" s="10"/>
      <c r="AM590" s="10" t="str" cm="1">
        <f t="array" ref="AM5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0" s="10" t="str" cm="1">
        <f t="array" ref="AN5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0" s="4" t="e">
        <f>_xlfn.XLOOKUP(tbl_MTG_Set[[#This Row],[Play Booster Box Product Id]], tbl_Product[Product Id], tbl_Product[Pack Size])</f>
        <v>#N/A</v>
      </c>
      <c r="AP590" s="10" t="e">
        <f>(tbl_MTG_Set[[#This Row],[Play Booster Box Cost]]+v_Item_Shipping_Cost_In)/tbl_MTG_Set[[#This Row],[Play Booster Box Size]]</f>
        <v>#VALUE!</v>
      </c>
      <c r="AQ590" s="10" t="str" cm="1">
        <f t="array" ref="AQ5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0" s="10"/>
      <c r="AS590" s="10"/>
      <c r="AT590" s="17" t="e">
        <f>tbl_MTG_Set[[#This Row],[Play Booster CardMarket Profit]]/tbl_MTG_Set[[#This Row],[Play Booster Cost]]</f>
        <v>#VALUE!</v>
      </c>
      <c r="AU590" s="10" t="e">
        <f>_xlfn.XLOOKUP(tbl_MTG_Set[[#This Row],[Collector Booster Box Product Id]], tbl_Product[Product Id], tbl_Product[Min Cost])</f>
        <v>#N/A</v>
      </c>
      <c r="AV590" s="10" t="e">
        <f>_xlfn.XLOOKUP(tbl_MTG_Set[[#This Row],[Collector Booster Box Product Id]], tbl_Product[Product Id], tbl_Product[Best Source])</f>
        <v>#N/A</v>
      </c>
      <c r="AW590" s="4" t="e">
        <f>_xlfn.XLOOKUP(tbl_MTG_Set[[#This Row],[Collector Booster Box Product Id]], tbl_Product[Product Id], tbl_Product[Pack Size])</f>
        <v>#N/A</v>
      </c>
      <c r="AX590" s="10" t="e">
        <f>(tbl_MTG_Set[[#This Row],[Collector Booster Box Cost]] + v_Item_Shipping_Cost_In) / tbl_MTG_Set[[#This Row],[Collector Booster Box Size]]</f>
        <v>#N/A</v>
      </c>
      <c r="AY590" s="10" t="str" cm="1">
        <f t="array" ref="AY5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0" s="10"/>
      <c r="BA5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0" s="17" t="e">
        <f>tbl_MTG_Set[[#This Row],[Collector Booster CardMarket Profit]]/tbl_MTG_Set[[#This Row],[Collector Booster Cost]]</f>
        <v>#N/A</v>
      </c>
      <c r="BC590" s="10"/>
      <c r="BF5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0" s="11" t="e">
        <f>tbl_MTG_Set[[#This Row],[Play Singles CardMarket Profit MTG Stocks]]/tbl_MTG_Set[[#This Row],[Play Booster Cost]]</f>
        <v>#VALUE!</v>
      </c>
      <c r="BI590" s="11" t="b">
        <f>tbl_MTG_Set[[#This Row],[Play Singles CardMarket Profit MTG Stocks]]&gt;0</f>
        <v>0</v>
      </c>
      <c r="BM590" s="10" t="e">
        <f>tbl_MTG_Set[[#This Row],[Play Booster Sell Price CardMarket]]*tbl_MTG_Set[[#This Row],[Play Booster Expected Market Value BotBox]]/tbl_MTG_Set[[#This Row],[Play Booster Sealed Market Value BotBox]]</f>
        <v>#VALUE!</v>
      </c>
      <c r="BN5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0" s="10" t="e">
        <f>tbl_MTG_Set[[#This Row],[Play Singles CardMarket Profit BotBox]]/tbl_MTG_Set[[#This Row],[Play Booster Cost]]</f>
        <v>#VALUE!</v>
      </c>
      <c r="BP590" s="10" t="b">
        <f>tbl_MTG_Set[[#This Row],[Play Singles CardMarket Profit BotBox]]&gt;0</f>
        <v>0</v>
      </c>
      <c r="BQ590" s="10"/>
      <c r="BR590" s="10"/>
      <c r="BS590" s="10"/>
      <c r="BT5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0" s="19" t="e">
        <f>tbl_MTG_Set[[#This Row],[Collector Singles CardMarket Profit MTG Stocks]]/tbl_MTG_Set[[#This Row],[Collector Booster Cost]]</f>
        <v>#N/A</v>
      </c>
      <c r="BW590" s="10" t="b">
        <f>tbl_MTG_Set[[#This Row],[Collector Singles CardMarket Profit MTG Stocks]]&gt;0</f>
        <v>0</v>
      </c>
      <c r="BX590" s="10"/>
      <c r="BY590" s="10"/>
      <c r="BZ5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0" s="10" t="e">
        <f>tbl_MTG_Set[[#This Row],[Collector Singles CardMarket Profit BotBox]]/tbl_MTG_Set[[#This Row],[Collector Booster Cost]]</f>
        <v>#N/A</v>
      </c>
      <c r="CC590" s="10" t="b">
        <f>tbl_MTG_Set[[#This Row],[Collector Singles CardMarket Profit BotBox]]&gt;0</f>
        <v>0</v>
      </c>
      <c r="CD5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1" spans="1:86" hidden="1">
      <c r="A591">
        <v>623</v>
      </c>
      <c r="B591" t="s">
        <v>764</v>
      </c>
      <c r="C591">
        <v>36</v>
      </c>
      <c r="D591" s="3">
        <v>41950</v>
      </c>
      <c r="F591" t="s">
        <v>174</v>
      </c>
      <c r="G591">
        <v>1192</v>
      </c>
      <c r="H591">
        <f ca="1">MONTH(NOW())+12*YEAR(NOW())-MONTH(tbl_MTG_Set[[#This Row],[Released On]])-12*YEAR(tbl_MTG_Set[[#This Row],[Released On]])</f>
        <v>136</v>
      </c>
      <c r="I591" t="str">
        <f>_xlfn.XLOOKUP(tbl_MTG_Set[[#This Row],[Type Name]], tbl_MTG_Set_Type[Set Type], tbl_MTG_Set_Type[Index], "(Set Type not found)")</f>
        <v>(Set Type not found)</v>
      </c>
      <c r="J591" t="str">
        <f>_xlfn.XLOOKUP(tbl_MTG_Set[[#This Row],[Type Name]], tbl_MTG_Set_Type[Set Type], tbl_MTG_Set_Type[Buy Window Month Start], "(Set Type not found)")</f>
        <v>(Set Type not found)</v>
      </c>
      <c r="K591" s="3" t="e">
        <f>tbl_MTG_Set[[#This Row],[Released On]]+tbl_MTG_Set[[#This Row],[Buy Window Month Start]]*365.25/12</f>
        <v>#VALUE!</v>
      </c>
      <c r="L591" t="str">
        <f>_xlfn.XLOOKUP(tbl_MTG_Set[[#This Row],[Type Name]], tbl_MTG_Set_Type[Set Type], tbl_MTG_Set_Type[Buy Window Month End], "(Set Type not found)", 0, 1)</f>
        <v>(Set Type not found)</v>
      </c>
      <c r="M591" s="3" t="e">
        <f>tbl_MTG_Set[[#This Row],[Released On]]+tbl_MTG_Set[[#This Row],[Buy Window Month End]]*365.25/12</f>
        <v>#VALUE!</v>
      </c>
      <c r="N591" s="3" t="e">
        <f ca="1">AND(NOW()&gt;=tbl_MTG_Set[[#This Row],[Buy Window Start]], NOW()&lt;=tbl_MTG_Set[[#This Row],[Buy Window End]])</f>
        <v>#VALUE!</v>
      </c>
      <c r="O591" t="str">
        <f>_xlfn.XLOOKUP(tbl_MTG_Set[[#This Row],[Type Name]], tbl_MTG_Set_Type[Set Type], tbl_MTG_Set_Type[Heavy Printing Window Month Start], "(Set Type not found)", 0, 1)</f>
        <v>(Set Type not found)</v>
      </c>
      <c r="P591" s="3" t="e">
        <f>tbl_MTG_Set[[#This Row],[Released On]]+tbl_MTG_Set[[#This Row],[Heavy Printing Window Month Start]]*365.25/12</f>
        <v>#VALUE!</v>
      </c>
      <c r="Q591" t="str">
        <f>_xlfn.XLOOKUP(tbl_MTG_Set[[#This Row],[Type Name]], tbl_MTG_Set_Type[Set Type], tbl_MTG_Set_Type[Heavy Printing Window Month End], "(Set Type not found)", 0, 1)</f>
        <v>(Set Type not found)</v>
      </c>
      <c r="R591" s="3" t="e">
        <f>tbl_MTG_Set[[#This Row],[Released On]]+tbl_MTG_Set[[#This Row],[Heavy Printing Window Month End]]*365.25/12</f>
        <v>#VALUE!</v>
      </c>
      <c r="S591" s="3" t="e">
        <f ca="1">AND(NOW()&gt;=tbl_MTG_Set[[#This Row],[Heavy Printing Window Start]], NOW()&lt;=tbl_MTG_Set[[#This Row],[Heavy Printing Window End]])</f>
        <v>#VALUE!</v>
      </c>
      <c r="T591" t="str">
        <f>_xlfn.XLOOKUP(tbl_MTG_Set[[#This Row],[Type Name]], tbl_MTG_Set_Type[Set Type], tbl_MTG_Set_Type[Sell Window Month Start], "(Set Type not found)", 0, 1)</f>
        <v>(Set Type not found)</v>
      </c>
      <c r="U591" s="3" t="e">
        <f>tbl_MTG_Set[[#This Row],[Released On]]+tbl_MTG_Set[[#This Row],[Sell Window Month Start]]*365.25/12</f>
        <v>#VALUE!</v>
      </c>
      <c r="V591" t="str">
        <f>_xlfn.XLOOKUP(tbl_MTG_Set[[#This Row],[Type Name]], tbl_MTG_Set_Type[Set Type], tbl_MTG_Set_Type[Sell Window Month End], "(Set Type not found)", 0, 1)</f>
        <v>(Set Type not found)</v>
      </c>
      <c r="W591" s="3" t="e">
        <f>tbl_MTG_Set[[#This Row],[Released On]]+tbl_MTG_Set[[#This Row],[Sell Window Month End]]*365.25/12</f>
        <v>#VALUE!</v>
      </c>
      <c r="X591" s="3" t="e">
        <f ca="1">AND(NOW()&gt;=tbl_MTG_Set[[#This Row],[Sell Window Start]], NOW()&lt;=tbl_MTG_Set[[#This Row],[Sell Window End]])</f>
        <v>#VALUE!</v>
      </c>
      <c r="AG591" s="10"/>
      <c r="AH591" s="10"/>
      <c r="AM591" s="10" t="str" cm="1">
        <f t="array" ref="AM5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1" s="10" t="str" cm="1">
        <f t="array" ref="AN5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1" s="4" t="e">
        <f>_xlfn.XLOOKUP(tbl_MTG_Set[[#This Row],[Play Booster Box Product Id]], tbl_Product[Product Id], tbl_Product[Pack Size])</f>
        <v>#N/A</v>
      </c>
      <c r="AP591" s="10" t="e">
        <f>(tbl_MTG_Set[[#This Row],[Play Booster Box Cost]]+v_Item_Shipping_Cost_In)/tbl_MTG_Set[[#This Row],[Play Booster Box Size]]</f>
        <v>#VALUE!</v>
      </c>
      <c r="AQ591" s="10" t="str" cm="1">
        <f t="array" ref="AQ5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1" s="10"/>
      <c r="AS591" s="10"/>
      <c r="AT591" s="17" t="e">
        <f>tbl_MTG_Set[[#This Row],[Play Booster CardMarket Profit]]/tbl_MTG_Set[[#This Row],[Play Booster Cost]]</f>
        <v>#VALUE!</v>
      </c>
      <c r="AU591" s="10" t="e">
        <f>_xlfn.XLOOKUP(tbl_MTG_Set[[#This Row],[Collector Booster Box Product Id]], tbl_Product[Product Id], tbl_Product[Min Cost])</f>
        <v>#N/A</v>
      </c>
      <c r="AV591" s="10" t="e">
        <f>_xlfn.XLOOKUP(tbl_MTG_Set[[#This Row],[Collector Booster Box Product Id]], tbl_Product[Product Id], tbl_Product[Best Source])</f>
        <v>#N/A</v>
      </c>
      <c r="AW591" s="4" t="e">
        <f>_xlfn.XLOOKUP(tbl_MTG_Set[[#This Row],[Collector Booster Box Product Id]], tbl_Product[Product Id], tbl_Product[Pack Size])</f>
        <v>#N/A</v>
      </c>
      <c r="AX591" s="10" t="e">
        <f>(tbl_MTG_Set[[#This Row],[Collector Booster Box Cost]] + v_Item_Shipping_Cost_In) / tbl_MTG_Set[[#This Row],[Collector Booster Box Size]]</f>
        <v>#N/A</v>
      </c>
      <c r="AY591" s="10" t="str" cm="1">
        <f t="array" ref="AY5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1" s="10"/>
      <c r="BA5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1" s="17" t="e">
        <f>tbl_MTG_Set[[#This Row],[Collector Booster CardMarket Profit]]/tbl_MTG_Set[[#This Row],[Collector Booster Cost]]</f>
        <v>#N/A</v>
      </c>
      <c r="BC591" s="10"/>
      <c r="BF5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1" s="11" t="e">
        <f>tbl_MTG_Set[[#This Row],[Play Singles CardMarket Profit MTG Stocks]]/tbl_MTG_Set[[#This Row],[Play Booster Cost]]</f>
        <v>#VALUE!</v>
      </c>
      <c r="BI591" s="11" t="b">
        <f>tbl_MTG_Set[[#This Row],[Play Singles CardMarket Profit MTG Stocks]]&gt;0</f>
        <v>0</v>
      </c>
      <c r="BM591" s="10" t="e">
        <f>tbl_MTG_Set[[#This Row],[Play Booster Sell Price CardMarket]]*tbl_MTG_Set[[#This Row],[Play Booster Expected Market Value BotBox]]/tbl_MTG_Set[[#This Row],[Play Booster Sealed Market Value BotBox]]</f>
        <v>#VALUE!</v>
      </c>
      <c r="BN5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1" s="10" t="e">
        <f>tbl_MTG_Set[[#This Row],[Play Singles CardMarket Profit BotBox]]/tbl_MTG_Set[[#This Row],[Play Booster Cost]]</f>
        <v>#VALUE!</v>
      </c>
      <c r="BP591" s="10" t="b">
        <f>tbl_MTG_Set[[#This Row],[Play Singles CardMarket Profit BotBox]]&gt;0</f>
        <v>0</v>
      </c>
      <c r="BQ591" s="10"/>
      <c r="BR591" s="10"/>
      <c r="BS591" s="10"/>
      <c r="BT5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1" s="19" t="e">
        <f>tbl_MTG_Set[[#This Row],[Collector Singles CardMarket Profit MTG Stocks]]/tbl_MTG_Set[[#This Row],[Collector Booster Cost]]</f>
        <v>#N/A</v>
      </c>
      <c r="BW591" s="10" t="b">
        <f>tbl_MTG_Set[[#This Row],[Collector Singles CardMarket Profit MTG Stocks]]&gt;0</f>
        <v>0</v>
      </c>
      <c r="BX591" s="10"/>
      <c r="BY591" s="10"/>
      <c r="BZ5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1" s="10" t="e">
        <f>tbl_MTG_Set[[#This Row],[Collector Singles CardMarket Profit BotBox]]/tbl_MTG_Set[[#This Row],[Collector Booster Cost]]</f>
        <v>#N/A</v>
      </c>
      <c r="CC591" s="10" t="b">
        <f>tbl_MTG_Set[[#This Row],[Collector Singles CardMarket Profit BotBox]]&gt;0</f>
        <v>0</v>
      </c>
      <c r="CD5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2" spans="1:86" hidden="1">
      <c r="A592">
        <v>624</v>
      </c>
      <c r="B592" t="s">
        <v>765</v>
      </c>
      <c r="C592">
        <v>5</v>
      </c>
      <c r="D592" s="3">
        <v>41950</v>
      </c>
      <c r="F592" t="s">
        <v>174</v>
      </c>
      <c r="G592">
        <v>1194</v>
      </c>
      <c r="H592">
        <f ca="1">MONTH(NOW())+12*YEAR(NOW())-MONTH(tbl_MTG_Set[[#This Row],[Released On]])-12*YEAR(tbl_MTG_Set[[#This Row],[Released On]])</f>
        <v>136</v>
      </c>
      <c r="I592" t="str">
        <f>_xlfn.XLOOKUP(tbl_MTG_Set[[#This Row],[Type Name]], tbl_MTG_Set_Type[Set Type], tbl_MTG_Set_Type[Index], "(Set Type not found)")</f>
        <v>(Set Type not found)</v>
      </c>
      <c r="J592" t="str">
        <f>_xlfn.XLOOKUP(tbl_MTG_Set[[#This Row],[Type Name]], tbl_MTG_Set_Type[Set Type], tbl_MTG_Set_Type[Buy Window Month Start], "(Set Type not found)")</f>
        <v>(Set Type not found)</v>
      </c>
      <c r="K592" s="3" t="e">
        <f>tbl_MTG_Set[[#This Row],[Released On]]+tbl_MTG_Set[[#This Row],[Buy Window Month Start]]*365.25/12</f>
        <v>#VALUE!</v>
      </c>
      <c r="L592" t="str">
        <f>_xlfn.XLOOKUP(tbl_MTG_Set[[#This Row],[Type Name]], tbl_MTG_Set_Type[Set Type], tbl_MTG_Set_Type[Buy Window Month End], "(Set Type not found)", 0, 1)</f>
        <v>(Set Type not found)</v>
      </c>
      <c r="M592" s="3" t="e">
        <f>tbl_MTG_Set[[#This Row],[Released On]]+tbl_MTG_Set[[#This Row],[Buy Window Month End]]*365.25/12</f>
        <v>#VALUE!</v>
      </c>
      <c r="N592" s="3" t="e">
        <f ca="1">AND(NOW()&gt;=tbl_MTG_Set[[#This Row],[Buy Window Start]], NOW()&lt;=tbl_MTG_Set[[#This Row],[Buy Window End]])</f>
        <v>#VALUE!</v>
      </c>
      <c r="O592" t="str">
        <f>_xlfn.XLOOKUP(tbl_MTG_Set[[#This Row],[Type Name]], tbl_MTG_Set_Type[Set Type], tbl_MTG_Set_Type[Heavy Printing Window Month Start], "(Set Type not found)", 0, 1)</f>
        <v>(Set Type not found)</v>
      </c>
      <c r="P592" s="3" t="e">
        <f>tbl_MTG_Set[[#This Row],[Released On]]+tbl_MTG_Set[[#This Row],[Heavy Printing Window Month Start]]*365.25/12</f>
        <v>#VALUE!</v>
      </c>
      <c r="Q592" t="str">
        <f>_xlfn.XLOOKUP(tbl_MTG_Set[[#This Row],[Type Name]], tbl_MTG_Set_Type[Set Type], tbl_MTG_Set_Type[Heavy Printing Window Month End], "(Set Type not found)", 0, 1)</f>
        <v>(Set Type not found)</v>
      </c>
      <c r="R592" s="3" t="e">
        <f>tbl_MTG_Set[[#This Row],[Released On]]+tbl_MTG_Set[[#This Row],[Heavy Printing Window Month End]]*365.25/12</f>
        <v>#VALUE!</v>
      </c>
      <c r="S592" s="3" t="e">
        <f ca="1">AND(NOW()&gt;=tbl_MTG_Set[[#This Row],[Heavy Printing Window Start]], NOW()&lt;=tbl_MTG_Set[[#This Row],[Heavy Printing Window End]])</f>
        <v>#VALUE!</v>
      </c>
      <c r="T592" t="str">
        <f>_xlfn.XLOOKUP(tbl_MTG_Set[[#This Row],[Type Name]], tbl_MTG_Set_Type[Set Type], tbl_MTG_Set_Type[Sell Window Month Start], "(Set Type not found)", 0, 1)</f>
        <v>(Set Type not found)</v>
      </c>
      <c r="U592" s="3" t="e">
        <f>tbl_MTG_Set[[#This Row],[Released On]]+tbl_MTG_Set[[#This Row],[Sell Window Month Start]]*365.25/12</f>
        <v>#VALUE!</v>
      </c>
      <c r="V592" t="str">
        <f>_xlfn.XLOOKUP(tbl_MTG_Set[[#This Row],[Type Name]], tbl_MTG_Set_Type[Set Type], tbl_MTG_Set_Type[Sell Window Month End], "(Set Type not found)", 0, 1)</f>
        <v>(Set Type not found)</v>
      </c>
      <c r="W592" s="3" t="e">
        <f>tbl_MTG_Set[[#This Row],[Released On]]+tbl_MTG_Set[[#This Row],[Sell Window Month End]]*365.25/12</f>
        <v>#VALUE!</v>
      </c>
      <c r="X592" s="3" t="e">
        <f ca="1">AND(NOW()&gt;=tbl_MTG_Set[[#This Row],[Sell Window Start]], NOW()&lt;=tbl_MTG_Set[[#This Row],[Sell Window End]])</f>
        <v>#VALUE!</v>
      </c>
      <c r="AG592" s="10"/>
      <c r="AH592" s="10"/>
      <c r="AM592" s="10" t="str" cm="1">
        <f t="array" ref="AM5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2" s="10" t="str" cm="1">
        <f t="array" ref="AN5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2" s="4" t="e">
        <f>_xlfn.XLOOKUP(tbl_MTG_Set[[#This Row],[Play Booster Box Product Id]], tbl_Product[Product Id], tbl_Product[Pack Size])</f>
        <v>#N/A</v>
      </c>
      <c r="AP592" s="10" t="e">
        <f>(tbl_MTG_Set[[#This Row],[Play Booster Box Cost]]+v_Item_Shipping_Cost_In)/tbl_MTG_Set[[#This Row],[Play Booster Box Size]]</f>
        <v>#VALUE!</v>
      </c>
      <c r="AQ592" s="10" t="str" cm="1">
        <f t="array" ref="AQ5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2" s="10"/>
      <c r="AS592" s="10"/>
      <c r="AT592" s="17" t="e">
        <f>tbl_MTG_Set[[#This Row],[Play Booster CardMarket Profit]]/tbl_MTG_Set[[#This Row],[Play Booster Cost]]</f>
        <v>#VALUE!</v>
      </c>
      <c r="AU592" s="10" t="e">
        <f>_xlfn.XLOOKUP(tbl_MTG_Set[[#This Row],[Collector Booster Box Product Id]], tbl_Product[Product Id], tbl_Product[Min Cost])</f>
        <v>#N/A</v>
      </c>
      <c r="AV592" s="10" t="e">
        <f>_xlfn.XLOOKUP(tbl_MTG_Set[[#This Row],[Collector Booster Box Product Id]], tbl_Product[Product Id], tbl_Product[Best Source])</f>
        <v>#N/A</v>
      </c>
      <c r="AW592" s="4" t="e">
        <f>_xlfn.XLOOKUP(tbl_MTG_Set[[#This Row],[Collector Booster Box Product Id]], tbl_Product[Product Id], tbl_Product[Pack Size])</f>
        <v>#N/A</v>
      </c>
      <c r="AX592" s="10" t="e">
        <f>(tbl_MTG_Set[[#This Row],[Collector Booster Box Cost]] + v_Item_Shipping_Cost_In) / tbl_MTG_Set[[#This Row],[Collector Booster Box Size]]</f>
        <v>#N/A</v>
      </c>
      <c r="AY592" s="10" t="str" cm="1">
        <f t="array" ref="AY5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2" s="10"/>
      <c r="BA5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2" s="17" t="e">
        <f>tbl_MTG_Set[[#This Row],[Collector Booster CardMarket Profit]]/tbl_MTG_Set[[#This Row],[Collector Booster Cost]]</f>
        <v>#N/A</v>
      </c>
      <c r="BC592" s="10"/>
      <c r="BF5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2" s="11" t="e">
        <f>tbl_MTG_Set[[#This Row],[Play Singles CardMarket Profit MTG Stocks]]/tbl_MTG_Set[[#This Row],[Play Booster Cost]]</f>
        <v>#VALUE!</v>
      </c>
      <c r="BI592" s="11" t="b">
        <f>tbl_MTG_Set[[#This Row],[Play Singles CardMarket Profit MTG Stocks]]&gt;0</f>
        <v>0</v>
      </c>
      <c r="BM592" s="10" t="e">
        <f>tbl_MTG_Set[[#This Row],[Play Booster Sell Price CardMarket]]*tbl_MTG_Set[[#This Row],[Play Booster Expected Market Value BotBox]]/tbl_MTG_Set[[#This Row],[Play Booster Sealed Market Value BotBox]]</f>
        <v>#VALUE!</v>
      </c>
      <c r="BN5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2" s="10" t="e">
        <f>tbl_MTG_Set[[#This Row],[Play Singles CardMarket Profit BotBox]]/tbl_MTG_Set[[#This Row],[Play Booster Cost]]</f>
        <v>#VALUE!</v>
      </c>
      <c r="BP592" s="10" t="b">
        <f>tbl_MTG_Set[[#This Row],[Play Singles CardMarket Profit BotBox]]&gt;0</f>
        <v>0</v>
      </c>
      <c r="BQ592" s="10"/>
      <c r="BR592" s="10"/>
      <c r="BS592" s="10"/>
      <c r="BT5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2" s="19" t="e">
        <f>tbl_MTG_Set[[#This Row],[Collector Singles CardMarket Profit MTG Stocks]]/tbl_MTG_Set[[#This Row],[Collector Booster Cost]]</f>
        <v>#N/A</v>
      </c>
      <c r="BW592" s="10" t="b">
        <f>tbl_MTG_Set[[#This Row],[Collector Singles CardMarket Profit MTG Stocks]]&gt;0</f>
        <v>0</v>
      </c>
      <c r="BX592" s="10"/>
      <c r="BY592" s="10"/>
      <c r="BZ5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2" s="10" t="e">
        <f>tbl_MTG_Set[[#This Row],[Collector Singles CardMarket Profit BotBox]]/tbl_MTG_Set[[#This Row],[Collector Booster Cost]]</f>
        <v>#N/A</v>
      </c>
      <c r="CC592" s="10" t="b">
        <f>tbl_MTG_Set[[#This Row],[Collector Singles CardMarket Profit BotBox]]&gt;0</f>
        <v>0</v>
      </c>
      <c r="CD5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3" spans="1:86" hidden="1">
      <c r="A593">
        <v>625</v>
      </c>
      <c r="B593" t="s">
        <v>766</v>
      </c>
      <c r="C593">
        <v>293</v>
      </c>
      <c r="D593" s="3">
        <v>41908</v>
      </c>
      <c r="F593" t="s">
        <v>174</v>
      </c>
      <c r="G593">
        <v>1196</v>
      </c>
      <c r="H593">
        <f ca="1">MONTH(NOW())+12*YEAR(NOW())-MONTH(tbl_MTG_Set[[#This Row],[Released On]])-12*YEAR(tbl_MTG_Set[[#This Row],[Released On]])</f>
        <v>138</v>
      </c>
      <c r="I593" t="str">
        <f>_xlfn.XLOOKUP(tbl_MTG_Set[[#This Row],[Type Name]], tbl_MTG_Set_Type[Set Type], tbl_MTG_Set_Type[Index], "(Set Type not found)")</f>
        <v>(Set Type not found)</v>
      </c>
      <c r="J593" t="str">
        <f>_xlfn.XLOOKUP(tbl_MTG_Set[[#This Row],[Type Name]], tbl_MTG_Set_Type[Set Type], tbl_MTG_Set_Type[Buy Window Month Start], "(Set Type not found)")</f>
        <v>(Set Type not found)</v>
      </c>
      <c r="K593" s="3" t="e">
        <f>tbl_MTG_Set[[#This Row],[Released On]]+tbl_MTG_Set[[#This Row],[Buy Window Month Start]]*365.25/12</f>
        <v>#VALUE!</v>
      </c>
      <c r="L593" t="str">
        <f>_xlfn.XLOOKUP(tbl_MTG_Set[[#This Row],[Type Name]], tbl_MTG_Set_Type[Set Type], tbl_MTG_Set_Type[Buy Window Month End], "(Set Type not found)", 0, 1)</f>
        <v>(Set Type not found)</v>
      </c>
      <c r="M593" s="3" t="e">
        <f>tbl_MTG_Set[[#This Row],[Released On]]+tbl_MTG_Set[[#This Row],[Buy Window Month End]]*365.25/12</f>
        <v>#VALUE!</v>
      </c>
      <c r="N593" s="3" t="e">
        <f ca="1">AND(NOW()&gt;=tbl_MTG_Set[[#This Row],[Buy Window Start]], NOW()&lt;=tbl_MTG_Set[[#This Row],[Buy Window End]])</f>
        <v>#VALUE!</v>
      </c>
      <c r="O593" t="str">
        <f>_xlfn.XLOOKUP(tbl_MTG_Set[[#This Row],[Type Name]], tbl_MTG_Set_Type[Set Type], tbl_MTG_Set_Type[Heavy Printing Window Month Start], "(Set Type not found)", 0, 1)</f>
        <v>(Set Type not found)</v>
      </c>
      <c r="P593" s="3" t="e">
        <f>tbl_MTG_Set[[#This Row],[Released On]]+tbl_MTG_Set[[#This Row],[Heavy Printing Window Month Start]]*365.25/12</f>
        <v>#VALUE!</v>
      </c>
      <c r="Q593" t="str">
        <f>_xlfn.XLOOKUP(tbl_MTG_Set[[#This Row],[Type Name]], tbl_MTG_Set_Type[Set Type], tbl_MTG_Set_Type[Heavy Printing Window Month End], "(Set Type not found)", 0, 1)</f>
        <v>(Set Type not found)</v>
      </c>
      <c r="R593" s="3" t="e">
        <f>tbl_MTG_Set[[#This Row],[Released On]]+tbl_MTG_Set[[#This Row],[Heavy Printing Window Month End]]*365.25/12</f>
        <v>#VALUE!</v>
      </c>
      <c r="S593" s="3" t="e">
        <f ca="1">AND(NOW()&gt;=tbl_MTG_Set[[#This Row],[Heavy Printing Window Start]], NOW()&lt;=tbl_MTG_Set[[#This Row],[Heavy Printing Window End]])</f>
        <v>#VALUE!</v>
      </c>
      <c r="T593" t="str">
        <f>_xlfn.XLOOKUP(tbl_MTG_Set[[#This Row],[Type Name]], tbl_MTG_Set_Type[Set Type], tbl_MTG_Set_Type[Sell Window Month Start], "(Set Type not found)", 0, 1)</f>
        <v>(Set Type not found)</v>
      </c>
      <c r="U593" s="3" t="e">
        <f>tbl_MTG_Set[[#This Row],[Released On]]+tbl_MTG_Set[[#This Row],[Sell Window Month Start]]*365.25/12</f>
        <v>#VALUE!</v>
      </c>
      <c r="V593" t="str">
        <f>_xlfn.XLOOKUP(tbl_MTG_Set[[#This Row],[Type Name]], tbl_MTG_Set_Type[Set Type], tbl_MTG_Set_Type[Sell Window Month End], "(Set Type not found)", 0, 1)</f>
        <v>(Set Type not found)</v>
      </c>
      <c r="W593" s="3" t="e">
        <f>tbl_MTG_Set[[#This Row],[Released On]]+tbl_MTG_Set[[#This Row],[Sell Window Month End]]*365.25/12</f>
        <v>#VALUE!</v>
      </c>
      <c r="X593" s="3" t="e">
        <f ca="1">AND(NOW()&gt;=tbl_MTG_Set[[#This Row],[Sell Window Start]], NOW()&lt;=tbl_MTG_Set[[#This Row],[Sell Window End]])</f>
        <v>#VALUE!</v>
      </c>
      <c r="AG593" s="10"/>
      <c r="AH593" s="10"/>
      <c r="AM593" s="10" t="str" cm="1">
        <f t="array" ref="AM5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3" s="10" t="str" cm="1">
        <f t="array" ref="AN5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3" s="4" t="e">
        <f>_xlfn.XLOOKUP(tbl_MTG_Set[[#This Row],[Play Booster Box Product Id]], tbl_Product[Product Id], tbl_Product[Pack Size])</f>
        <v>#N/A</v>
      </c>
      <c r="AP593" s="10" t="e">
        <f>(tbl_MTG_Set[[#This Row],[Play Booster Box Cost]]+v_Item_Shipping_Cost_In)/tbl_MTG_Set[[#This Row],[Play Booster Box Size]]</f>
        <v>#VALUE!</v>
      </c>
      <c r="AQ593" s="10" t="str" cm="1">
        <f t="array" ref="AQ5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3" s="10"/>
      <c r="AS593" s="10"/>
      <c r="AT593" s="17" t="e">
        <f>tbl_MTG_Set[[#This Row],[Play Booster CardMarket Profit]]/tbl_MTG_Set[[#This Row],[Play Booster Cost]]</f>
        <v>#VALUE!</v>
      </c>
      <c r="AU593" s="10" t="e">
        <f>_xlfn.XLOOKUP(tbl_MTG_Set[[#This Row],[Collector Booster Box Product Id]], tbl_Product[Product Id], tbl_Product[Min Cost])</f>
        <v>#N/A</v>
      </c>
      <c r="AV593" s="10" t="e">
        <f>_xlfn.XLOOKUP(tbl_MTG_Set[[#This Row],[Collector Booster Box Product Id]], tbl_Product[Product Id], tbl_Product[Best Source])</f>
        <v>#N/A</v>
      </c>
      <c r="AW593" s="4" t="e">
        <f>_xlfn.XLOOKUP(tbl_MTG_Set[[#This Row],[Collector Booster Box Product Id]], tbl_Product[Product Id], tbl_Product[Pack Size])</f>
        <v>#N/A</v>
      </c>
      <c r="AX593" s="10" t="e">
        <f>(tbl_MTG_Set[[#This Row],[Collector Booster Box Cost]] + v_Item_Shipping_Cost_In) / tbl_MTG_Set[[#This Row],[Collector Booster Box Size]]</f>
        <v>#N/A</v>
      </c>
      <c r="AY593" s="10" t="str" cm="1">
        <f t="array" ref="AY5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3" s="10"/>
      <c r="BA5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3" s="17" t="e">
        <f>tbl_MTG_Set[[#This Row],[Collector Booster CardMarket Profit]]/tbl_MTG_Set[[#This Row],[Collector Booster Cost]]</f>
        <v>#N/A</v>
      </c>
      <c r="BC593" s="10"/>
      <c r="BF5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3" s="11" t="e">
        <f>tbl_MTG_Set[[#This Row],[Play Singles CardMarket Profit MTG Stocks]]/tbl_MTG_Set[[#This Row],[Play Booster Cost]]</f>
        <v>#VALUE!</v>
      </c>
      <c r="BI593" s="11" t="b">
        <f>tbl_MTG_Set[[#This Row],[Play Singles CardMarket Profit MTG Stocks]]&gt;0</f>
        <v>0</v>
      </c>
      <c r="BM593" s="10" t="e">
        <f>tbl_MTG_Set[[#This Row],[Play Booster Sell Price CardMarket]]*tbl_MTG_Set[[#This Row],[Play Booster Expected Market Value BotBox]]/tbl_MTG_Set[[#This Row],[Play Booster Sealed Market Value BotBox]]</f>
        <v>#VALUE!</v>
      </c>
      <c r="BN5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3" s="10" t="e">
        <f>tbl_MTG_Set[[#This Row],[Play Singles CardMarket Profit BotBox]]/tbl_MTG_Set[[#This Row],[Play Booster Cost]]</f>
        <v>#VALUE!</v>
      </c>
      <c r="BP593" s="10" t="b">
        <f>tbl_MTG_Set[[#This Row],[Play Singles CardMarket Profit BotBox]]&gt;0</f>
        <v>0</v>
      </c>
      <c r="BQ593" s="10"/>
      <c r="BR593" s="10"/>
      <c r="BS593" s="10"/>
      <c r="BT5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3" s="19" t="e">
        <f>tbl_MTG_Set[[#This Row],[Collector Singles CardMarket Profit MTG Stocks]]/tbl_MTG_Set[[#This Row],[Collector Booster Cost]]</f>
        <v>#N/A</v>
      </c>
      <c r="BW593" s="10" t="b">
        <f>tbl_MTG_Set[[#This Row],[Collector Singles CardMarket Profit MTG Stocks]]&gt;0</f>
        <v>0</v>
      </c>
      <c r="BX593" s="10"/>
      <c r="BY593" s="10"/>
      <c r="BZ5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3" s="10" t="e">
        <f>tbl_MTG_Set[[#This Row],[Collector Singles CardMarket Profit BotBox]]/tbl_MTG_Set[[#This Row],[Collector Booster Cost]]</f>
        <v>#N/A</v>
      </c>
      <c r="CC593" s="10" t="b">
        <f>tbl_MTG_Set[[#This Row],[Collector Singles CardMarket Profit BotBox]]&gt;0</f>
        <v>0</v>
      </c>
      <c r="CD5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4" spans="1:86" hidden="1">
      <c r="A594">
        <v>626</v>
      </c>
      <c r="B594" t="s">
        <v>767</v>
      </c>
      <c r="C594">
        <v>56</v>
      </c>
      <c r="D594" s="3">
        <v>41908</v>
      </c>
      <c r="F594" t="s">
        <v>174</v>
      </c>
      <c r="G594">
        <v>1198</v>
      </c>
      <c r="H594">
        <f ca="1">MONTH(NOW())+12*YEAR(NOW())-MONTH(tbl_MTG_Set[[#This Row],[Released On]])-12*YEAR(tbl_MTG_Set[[#This Row],[Released On]])</f>
        <v>138</v>
      </c>
      <c r="I594" t="str">
        <f>_xlfn.XLOOKUP(tbl_MTG_Set[[#This Row],[Type Name]], tbl_MTG_Set_Type[Set Type], tbl_MTG_Set_Type[Index], "(Set Type not found)")</f>
        <v>(Set Type not found)</v>
      </c>
      <c r="J594" t="str">
        <f>_xlfn.XLOOKUP(tbl_MTG_Set[[#This Row],[Type Name]], tbl_MTG_Set_Type[Set Type], tbl_MTG_Set_Type[Buy Window Month Start], "(Set Type not found)")</f>
        <v>(Set Type not found)</v>
      </c>
      <c r="K594" s="3" t="e">
        <f>tbl_MTG_Set[[#This Row],[Released On]]+tbl_MTG_Set[[#This Row],[Buy Window Month Start]]*365.25/12</f>
        <v>#VALUE!</v>
      </c>
      <c r="L594" t="str">
        <f>_xlfn.XLOOKUP(tbl_MTG_Set[[#This Row],[Type Name]], tbl_MTG_Set_Type[Set Type], tbl_MTG_Set_Type[Buy Window Month End], "(Set Type not found)", 0, 1)</f>
        <v>(Set Type not found)</v>
      </c>
      <c r="M594" s="3" t="e">
        <f>tbl_MTG_Set[[#This Row],[Released On]]+tbl_MTG_Set[[#This Row],[Buy Window Month End]]*365.25/12</f>
        <v>#VALUE!</v>
      </c>
      <c r="N594" s="3" t="e">
        <f ca="1">AND(NOW()&gt;=tbl_MTG_Set[[#This Row],[Buy Window Start]], NOW()&lt;=tbl_MTG_Set[[#This Row],[Buy Window End]])</f>
        <v>#VALUE!</v>
      </c>
      <c r="O594" t="str">
        <f>_xlfn.XLOOKUP(tbl_MTG_Set[[#This Row],[Type Name]], tbl_MTG_Set_Type[Set Type], tbl_MTG_Set_Type[Heavy Printing Window Month Start], "(Set Type not found)", 0, 1)</f>
        <v>(Set Type not found)</v>
      </c>
      <c r="P594" s="3" t="e">
        <f>tbl_MTG_Set[[#This Row],[Released On]]+tbl_MTG_Set[[#This Row],[Heavy Printing Window Month Start]]*365.25/12</f>
        <v>#VALUE!</v>
      </c>
      <c r="Q594" t="str">
        <f>_xlfn.XLOOKUP(tbl_MTG_Set[[#This Row],[Type Name]], tbl_MTG_Set_Type[Set Type], tbl_MTG_Set_Type[Heavy Printing Window Month End], "(Set Type not found)", 0, 1)</f>
        <v>(Set Type not found)</v>
      </c>
      <c r="R594" s="3" t="e">
        <f>tbl_MTG_Set[[#This Row],[Released On]]+tbl_MTG_Set[[#This Row],[Heavy Printing Window Month End]]*365.25/12</f>
        <v>#VALUE!</v>
      </c>
      <c r="S594" s="3" t="e">
        <f ca="1">AND(NOW()&gt;=tbl_MTG_Set[[#This Row],[Heavy Printing Window Start]], NOW()&lt;=tbl_MTG_Set[[#This Row],[Heavy Printing Window End]])</f>
        <v>#VALUE!</v>
      </c>
      <c r="T594" t="str">
        <f>_xlfn.XLOOKUP(tbl_MTG_Set[[#This Row],[Type Name]], tbl_MTG_Set_Type[Set Type], tbl_MTG_Set_Type[Sell Window Month Start], "(Set Type not found)", 0, 1)</f>
        <v>(Set Type not found)</v>
      </c>
      <c r="U594" s="3" t="e">
        <f>tbl_MTG_Set[[#This Row],[Released On]]+tbl_MTG_Set[[#This Row],[Sell Window Month Start]]*365.25/12</f>
        <v>#VALUE!</v>
      </c>
      <c r="V594" t="str">
        <f>_xlfn.XLOOKUP(tbl_MTG_Set[[#This Row],[Type Name]], tbl_MTG_Set_Type[Set Type], tbl_MTG_Set_Type[Sell Window Month End], "(Set Type not found)", 0, 1)</f>
        <v>(Set Type not found)</v>
      </c>
      <c r="W594" s="3" t="e">
        <f>tbl_MTG_Set[[#This Row],[Released On]]+tbl_MTG_Set[[#This Row],[Sell Window Month End]]*365.25/12</f>
        <v>#VALUE!</v>
      </c>
      <c r="X594" s="3" t="e">
        <f ca="1">AND(NOW()&gt;=tbl_MTG_Set[[#This Row],[Sell Window Start]], NOW()&lt;=tbl_MTG_Set[[#This Row],[Sell Window End]])</f>
        <v>#VALUE!</v>
      </c>
      <c r="AG594" s="10"/>
      <c r="AH594" s="10"/>
      <c r="AM594" s="10" t="str" cm="1">
        <f t="array" ref="AM5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4" s="10" t="str" cm="1">
        <f t="array" ref="AN5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4" s="4" t="e">
        <f>_xlfn.XLOOKUP(tbl_MTG_Set[[#This Row],[Play Booster Box Product Id]], tbl_Product[Product Id], tbl_Product[Pack Size])</f>
        <v>#N/A</v>
      </c>
      <c r="AP594" s="10" t="e">
        <f>(tbl_MTG_Set[[#This Row],[Play Booster Box Cost]]+v_Item_Shipping_Cost_In)/tbl_MTG_Set[[#This Row],[Play Booster Box Size]]</f>
        <v>#VALUE!</v>
      </c>
      <c r="AQ594" s="10" t="str" cm="1">
        <f t="array" ref="AQ5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4" s="10"/>
      <c r="AS594" s="10"/>
      <c r="AT594" s="17" t="e">
        <f>tbl_MTG_Set[[#This Row],[Play Booster CardMarket Profit]]/tbl_MTG_Set[[#This Row],[Play Booster Cost]]</f>
        <v>#VALUE!</v>
      </c>
      <c r="AU594" s="10" t="e">
        <f>_xlfn.XLOOKUP(tbl_MTG_Set[[#This Row],[Collector Booster Box Product Id]], tbl_Product[Product Id], tbl_Product[Min Cost])</f>
        <v>#N/A</v>
      </c>
      <c r="AV594" s="10" t="e">
        <f>_xlfn.XLOOKUP(tbl_MTG_Set[[#This Row],[Collector Booster Box Product Id]], tbl_Product[Product Id], tbl_Product[Best Source])</f>
        <v>#N/A</v>
      </c>
      <c r="AW594" s="4" t="e">
        <f>_xlfn.XLOOKUP(tbl_MTG_Set[[#This Row],[Collector Booster Box Product Id]], tbl_Product[Product Id], tbl_Product[Pack Size])</f>
        <v>#N/A</v>
      </c>
      <c r="AX594" s="10" t="e">
        <f>(tbl_MTG_Set[[#This Row],[Collector Booster Box Cost]] + v_Item_Shipping_Cost_In) / tbl_MTG_Set[[#This Row],[Collector Booster Box Size]]</f>
        <v>#N/A</v>
      </c>
      <c r="AY594" s="10" t="str" cm="1">
        <f t="array" ref="AY5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4" s="10"/>
      <c r="BA5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4" s="17" t="e">
        <f>tbl_MTG_Set[[#This Row],[Collector Booster CardMarket Profit]]/tbl_MTG_Set[[#This Row],[Collector Booster Cost]]</f>
        <v>#N/A</v>
      </c>
      <c r="BC594" s="10"/>
      <c r="BF5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4" s="11" t="e">
        <f>tbl_MTG_Set[[#This Row],[Play Singles CardMarket Profit MTG Stocks]]/tbl_MTG_Set[[#This Row],[Play Booster Cost]]</f>
        <v>#VALUE!</v>
      </c>
      <c r="BI594" s="11" t="b">
        <f>tbl_MTG_Set[[#This Row],[Play Singles CardMarket Profit MTG Stocks]]&gt;0</f>
        <v>0</v>
      </c>
      <c r="BM594" s="10" t="e">
        <f>tbl_MTG_Set[[#This Row],[Play Booster Sell Price CardMarket]]*tbl_MTG_Set[[#This Row],[Play Booster Expected Market Value BotBox]]/tbl_MTG_Set[[#This Row],[Play Booster Sealed Market Value BotBox]]</f>
        <v>#VALUE!</v>
      </c>
      <c r="BN5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4" s="10" t="e">
        <f>tbl_MTG_Set[[#This Row],[Play Singles CardMarket Profit BotBox]]/tbl_MTG_Set[[#This Row],[Play Booster Cost]]</f>
        <v>#VALUE!</v>
      </c>
      <c r="BP594" s="10" t="b">
        <f>tbl_MTG_Set[[#This Row],[Play Singles CardMarket Profit BotBox]]&gt;0</f>
        <v>0</v>
      </c>
      <c r="BQ594" s="10"/>
      <c r="BR594" s="10"/>
      <c r="BS594" s="10"/>
      <c r="BT5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4" s="19" t="e">
        <f>tbl_MTG_Set[[#This Row],[Collector Singles CardMarket Profit MTG Stocks]]/tbl_MTG_Set[[#This Row],[Collector Booster Cost]]</f>
        <v>#N/A</v>
      </c>
      <c r="BW594" s="10" t="b">
        <f>tbl_MTG_Set[[#This Row],[Collector Singles CardMarket Profit MTG Stocks]]&gt;0</f>
        <v>0</v>
      </c>
      <c r="BX594" s="10"/>
      <c r="BY594" s="10"/>
      <c r="BZ5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4" s="10" t="e">
        <f>tbl_MTG_Set[[#This Row],[Collector Singles CardMarket Profit BotBox]]/tbl_MTG_Set[[#This Row],[Collector Booster Cost]]</f>
        <v>#N/A</v>
      </c>
      <c r="CC594" s="10" t="b">
        <f>tbl_MTG_Set[[#This Row],[Collector Singles CardMarket Profit BotBox]]&gt;0</f>
        <v>0</v>
      </c>
      <c r="CD5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5" spans="1:86" hidden="1">
      <c r="A595">
        <v>627</v>
      </c>
      <c r="B595" t="s">
        <v>768</v>
      </c>
      <c r="C595">
        <v>13</v>
      </c>
      <c r="D595" s="3">
        <v>41908</v>
      </c>
      <c r="F595" t="s">
        <v>174</v>
      </c>
      <c r="G595">
        <v>1200</v>
      </c>
      <c r="H595">
        <f ca="1">MONTH(NOW())+12*YEAR(NOW())-MONTH(tbl_MTG_Set[[#This Row],[Released On]])-12*YEAR(tbl_MTG_Set[[#This Row],[Released On]])</f>
        <v>138</v>
      </c>
      <c r="I595" t="str">
        <f>_xlfn.XLOOKUP(tbl_MTG_Set[[#This Row],[Type Name]], tbl_MTG_Set_Type[Set Type], tbl_MTG_Set_Type[Index], "(Set Type not found)")</f>
        <v>(Set Type not found)</v>
      </c>
      <c r="J595" t="str">
        <f>_xlfn.XLOOKUP(tbl_MTG_Set[[#This Row],[Type Name]], tbl_MTG_Set_Type[Set Type], tbl_MTG_Set_Type[Buy Window Month Start], "(Set Type not found)")</f>
        <v>(Set Type not found)</v>
      </c>
      <c r="K595" s="3" t="e">
        <f>tbl_MTG_Set[[#This Row],[Released On]]+tbl_MTG_Set[[#This Row],[Buy Window Month Start]]*365.25/12</f>
        <v>#VALUE!</v>
      </c>
      <c r="L595" t="str">
        <f>_xlfn.XLOOKUP(tbl_MTG_Set[[#This Row],[Type Name]], tbl_MTG_Set_Type[Set Type], tbl_MTG_Set_Type[Buy Window Month End], "(Set Type not found)", 0, 1)</f>
        <v>(Set Type not found)</v>
      </c>
      <c r="M595" s="3" t="e">
        <f>tbl_MTG_Set[[#This Row],[Released On]]+tbl_MTG_Set[[#This Row],[Buy Window Month End]]*365.25/12</f>
        <v>#VALUE!</v>
      </c>
      <c r="N595" s="3" t="e">
        <f ca="1">AND(NOW()&gt;=tbl_MTG_Set[[#This Row],[Buy Window Start]], NOW()&lt;=tbl_MTG_Set[[#This Row],[Buy Window End]])</f>
        <v>#VALUE!</v>
      </c>
      <c r="O595" t="str">
        <f>_xlfn.XLOOKUP(tbl_MTG_Set[[#This Row],[Type Name]], tbl_MTG_Set_Type[Set Type], tbl_MTG_Set_Type[Heavy Printing Window Month Start], "(Set Type not found)", 0, 1)</f>
        <v>(Set Type not found)</v>
      </c>
      <c r="P595" s="3" t="e">
        <f>tbl_MTG_Set[[#This Row],[Released On]]+tbl_MTG_Set[[#This Row],[Heavy Printing Window Month Start]]*365.25/12</f>
        <v>#VALUE!</v>
      </c>
      <c r="Q595" t="str">
        <f>_xlfn.XLOOKUP(tbl_MTG_Set[[#This Row],[Type Name]], tbl_MTG_Set_Type[Set Type], tbl_MTG_Set_Type[Heavy Printing Window Month End], "(Set Type not found)", 0, 1)</f>
        <v>(Set Type not found)</v>
      </c>
      <c r="R595" s="3" t="e">
        <f>tbl_MTG_Set[[#This Row],[Released On]]+tbl_MTG_Set[[#This Row],[Heavy Printing Window Month End]]*365.25/12</f>
        <v>#VALUE!</v>
      </c>
      <c r="S595" s="3" t="e">
        <f ca="1">AND(NOW()&gt;=tbl_MTG_Set[[#This Row],[Heavy Printing Window Start]], NOW()&lt;=tbl_MTG_Set[[#This Row],[Heavy Printing Window End]])</f>
        <v>#VALUE!</v>
      </c>
      <c r="T595" t="str">
        <f>_xlfn.XLOOKUP(tbl_MTG_Set[[#This Row],[Type Name]], tbl_MTG_Set_Type[Set Type], tbl_MTG_Set_Type[Sell Window Month Start], "(Set Type not found)", 0, 1)</f>
        <v>(Set Type not found)</v>
      </c>
      <c r="U595" s="3" t="e">
        <f>tbl_MTG_Set[[#This Row],[Released On]]+tbl_MTG_Set[[#This Row],[Sell Window Month Start]]*365.25/12</f>
        <v>#VALUE!</v>
      </c>
      <c r="V595" t="str">
        <f>_xlfn.XLOOKUP(tbl_MTG_Set[[#This Row],[Type Name]], tbl_MTG_Set_Type[Set Type], tbl_MTG_Set_Type[Sell Window Month End], "(Set Type not found)", 0, 1)</f>
        <v>(Set Type not found)</v>
      </c>
      <c r="W595" s="3" t="e">
        <f>tbl_MTG_Set[[#This Row],[Released On]]+tbl_MTG_Set[[#This Row],[Sell Window Month End]]*365.25/12</f>
        <v>#VALUE!</v>
      </c>
      <c r="X595" s="3" t="e">
        <f ca="1">AND(NOW()&gt;=tbl_MTG_Set[[#This Row],[Sell Window Start]], NOW()&lt;=tbl_MTG_Set[[#This Row],[Sell Window End]])</f>
        <v>#VALUE!</v>
      </c>
      <c r="AG595" s="10"/>
      <c r="AH595" s="10"/>
      <c r="AM595" s="10" t="str" cm="1">
        <f t="array" ref="AM5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5" s="10" t="str" cm="1">
        <f t="array" ref="AN5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5" s="4" t="e">
        <f>_xlfn.XLOOKUP(tbl_MTG_Set[[#This Row],[Play Booster Box Product Id]], tbl_Product[Product Id], tbl_Product[Pack Size])</f>
        <v>#N/A</v>
      </c>
      <c r="AP595" s="10" t="e">
        <f>(tbl_MTG_Set[[#This Row],[Play Booster Box Cost]]+v_Item_Shipping_Cost_In)/tbl_MTG_Set[[#This Row],[Play Booster Box Size]]</f>
        <v>#VALUE!</v>
      </c>
      <c r="AQ595" s="10" t="str" cm="1">
        <f t="array" ref="AQ5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5" s="10"/>
      <c r="AS595" s="10"/>
      <c r="AT595" s="17" t="e">
        <f>tbl_MTG_Set[[#This Row],[Play Booster CardMarket Profit]]/tbl_MTG_Set[[#This Row],[Play Booster Cost]]</f>
        <v>#VALUE!</v>
      </c>
      <c r="AU595" s="10" t="e">
        <f>_xlfn.XLOOKUP(tbl_MTG_Set[[#This Row],[Collector Booster Box Product Id]], tbl_Product[Product Id], tbl_Product[Min Cost])</f>
        <v>#N/A</v>
      </c>
      <c r="AV595" s="10" t="e">
        <f>_xlfn.XLOOKUP(tbl_MTG_Set[[#This Row],[Collector Booster Box Product Id]], tbl_Product[Product Id], tbl_Product[Best Source])</f>
        <v>#N/A</v>
      </c>
      <c r="AW595" s="4" t="e">
        <f>_xlfn.XLOOKUP(tbl_MTG_Set[[#This Row],[Collector Booster Box Product Id]], tbl_Product[Product Id], tbl_Product[Pack Size])</f>
        <v>#N/A</v>
      </c>
      <c r="AX595" s="10" t="e">
        <f>(tbl_MTG_Set[[#This Row],[Collector Booster Box Cost]] + v_Item_Shipping_Cost_In) / tbl_MTG_Set[[#This Row],[Collector Booster Box Size]]</f>
        <v>#N/A</v>
      </c>
      <c r="AY595" s="10" t="str" cm="1">
        <f t="array" ref="AY5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5" s="10"/>
      <c r="BA5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5" s="17" t="e">
        <f>tbl_MTG_Set[[#This Row],[Collector Booster CardMarket Profit]]/tbl_MTG_Set[[#This Row],[Collector Booster Cost]]</f>
        <v>#N/A</v>
      </c>
      <c r="BC595" s="10"/>
      <c r="BF5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5" s="11" t="e">
        <f>tbl_MTG_Set[[#This Row],[Play Singles CardMarket Profit MTG Stocks]]/tbl_MTG_Set[[#This Row],[Play Booster Cost]]</f>
        <v>#VALUE!</v>
      </c>
      <c r="BI595" s="11" t="b">
        <f>tbl_MTG_Set[[#This Row],[Play Singles CardMarket Profit MTG Stocks]]&gt;0</f>
        <v>0</v>
      </c>
      <c r="BM595" s="10" t="e">
        <f>tbl_MTG_Set[[#This Row],[Play Booster Sell Price CardMarket]]*tbl_MTG_Set[[#This Row],[Play Booster Expected Market Value BotBox]]/tbl_MTG_Set[[#This Row],[Play Booster Sealed Market Value BotBox]]</f>
        <v>#VALUE!</v>
      </c>
      <c r="BN5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5" s="10" t="e">
        <f>tbl_MTG_Set[[#This Row],[Play Singles CardMarket Profit BotBox]]/tbl_MTG_Set[[#This Row],[Play Booster Cost]]</f>
        <v>#VALUE!</v>
      </c>
      <c r="BP595" s="10" t="b">
        <f>tbl_MTG_Set[[#This Row],[Play Singles CardMarket Profit BotBox]]&gt;0</f>
        <v>0</v>
      </c>
      <c r="BQ595" s="10"/>
      <c r="BR595" s="10"/>
      <c r="BS595" s="10"/>
      <c r="BT5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5" s="19" t="e">
        <f>tbl_MTG_Set[[#This Row],[Collector Singles CardMarket Profit MTG Stocks]]/tbl_MTG_Set[[#This Row],[Collector Booster Cost]]</f>
        <v>#N/A</v>
      </c>
      <c r="BW595" s="10" t="b">
        <f>tbl_MTG_Set[[#This Row],[Collector Singles CardMarket Profit MTG Stocks]]&gt;0</f>
        <v>0</v>
      </c>
      <c r="BX595" s="10"/>
      <c r="BY595" s="10"/>
      <c r="BZ5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5" s="10" t="e">
        <f>tbl_MTG_Set[[#This Row],[Collector Singles CardMarket Profit BotBox]]/tbl_MTG_Set[[#This Row],[Collector Booster Cost]]</f>
        <v>#N/A</v>
      </c>
      <c r="CC595" s="10" t="b">
        <f>tbl_MTG_Set[[#This Row],[Collector Singles CardMarket Profit BotBox]]&gt;0</f>
        <v>0</v>
      </c>
      <c r="CD5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6" spans="1:86" hidden="1">
      <c r="A596">
        <v>628</v>
      </c>
      <c r="B596" t="s">
        <v>769</v>
      </c>
      <c r="C596">
        <v>82</v>
      </c>
      <c r="D596" s="3">
        <v>41887</v>
      </c>
      <c r="F596" t="s">
        <v>174</v>
      </c>
      <c r="G596">
        <v>1202</v>
      </c>
      <c r="H596">
        <f ca="1">MONTH(NOW())+12*YEAR(NOW())-MONTH(tbl_MTG_Set[[#This Row],[Released On]])-12*YEAR(tbl_MTG_Set[[#This Row],[Released On]])</f>
        <v>138</v>
      </c>
      <c r="I596" t="str">
        <f>_xlfn.XLOOKUP(tbl_MTG_Set[[#This Row],[Type Name]], tbl_MTG_Set_Type[Set Type], tbl_MTG_Set_Type[Index], "(Set Type not found)")</f>
        <v>(Set Type not found)</v>
      </c>
      <c r="J596" t="str">
        <f>_xlfn.XLOOKUP(tbl_MTG_Set[[#This Row],[Type Name]], tbl_MTG_Set_Type[Set Type], tbl_MTG_Set_Type[Buy Window Month Start], "(Set Type not found)")</f>
        <v>(Set Type not found)</v>
      </c>
      <c r="K596" s="3" t="e">
        <f>tbl_MTG_Set[[#This Row],[Released On]]+tbl_MTG_Set[[#This Row],[Buy Window Month Start]]*365.25/12</f>
        <v>#VALUE!</v>
      </c>
      <c r="L596" t="str">
        <f>_xlfn.XLOOKUP(tbl_MTG_Set[[#This Row],[Type Name]], tbl_MTG_Set_Type[Set Type], tbl_MTG_Set_Type[Buy Window Month End], "(Set Type not found)", 0, 1)</f>
        <v>(Set Type not found)</v>
      </c>
      <c r="M596" s="3" t="e">
        <f>tbl_MTG_Set[[#This Row],[Released On]]+tbl_MTG_Set[[#This Row],[Buy Window Month End]]*365.25/12</f>
        <v>#VALUE!</v>
      </c>
      <c r="N596" s="3" t="e">
        <f ca="1">AND(NOW()&gt;=tbl_MTG_Set[[#This Row],[Buy Window Start]], NOW()&lt;=tbl_MTG_Set[[#This Row],[Buy Window End]])</f>
        <v>#VALUE!</v>
      </c>
      <c r="O596" t="str">
        <f>_xlfn.XLOOKUP(tbl_MTG_Set[[#This Row],[Type Name]], tbl_MTG_Set_Type[Set Type], tbl_MTG_Set_Type[Heavy Printing Window Month Start], "(Set Type not found)", 0, 1)</f>
        <v>(Set Type not found)</v>
      </c>
      <c r="P596" s="3" t="e">
        <f>tbl_MTG_Set[[#This Row],[Released On]]+tbl_MTG_Set[[#This Row],[Heavy Printing Window Month Start]]*365.25/12</f>
        <v>#VALUE!</v>
      </c>
      <c r="Q596" t="str">
        <f>_xlfn.XLOOKUP(tbl_MTG_Set[[#This Row],[Type Name]], tbl_MTG_Set_Type[Set Type], tbl_MTG_Set_Type[Heavy Printing Window Month End], "(Set Type not found)", 0, 1)</f>
        <v>(Set Type not found)</v>
      </c>
      <c r="R596" s="3" t="e">
        <f>tbl_MTG_Set[[#This Row],[Released On]]+tbl_MTG_Set[[#This Row],[Heavy Printing Window Month End]]*365.25/12</f>
        <v>#VALUE!</v>
      </c>
      <c r="S596" s="3" t="e">
        <f ca="1">AND(NOW()&gt;=tbl_MTG_Set[[#This Row],[Heavy Printing Window Start]], NOW()&lt;=tbl_MTG_Set[[#This Row],[Heavy Printing Window End]])</f>
        <v>#VALUE!</v>
      </c>
      <c r="T596" t="str">
        <f>_xlfn.XLOOKUP(tbl_MTG_Set[[#This Row],[Type Name]], tbl_MTG_Set_Type[Set Type], tbl_MTG_Set_Type[Sell Window Month Start], "(Set Type not found)", 0, 1)</f>
        <v>(Set Type not found)</v>
      </c>
      <c r="U596" s="3" t="e">
        <f>tbl_MTG_Set[[#This Row],[Released On]]+tbl_MTG_Set[[#This Row],[Sell Window Month Start]]*365.25/12</f>
        <v>#VALUE!</v>
      </c>
      <c r="V596" t="str">
        <f>_xlfn.XLOOKUP(tbl_MTG_Set[[#This Row],[Type Name]], tbl_MTG_Set_Type[Set Type], tbl_MTG_Set_Type[Sell Window Month End], "(Set Type not found)", 0, 1)</f>
        <v>(Set Type not found)</v>
      </c>
      <c r="W596" s="3" t="e">
        <f>tbl_MTG_Set[[#This Row],[Released On]]+tbl_MTG_Set[[#This Row],[Sell Window Month End]]*365.25/12</f>
        <v>#VALUE!</v>
      </c>
      <c r="X596" s="3" t="e">
        <f ca="1">AND(NOW()&gt;=tbl_MTG_Set[[#This Row],[Sell Window Start]], NOW()&lt;=tbl_MTG_Set[[#This Row],[Sell Window End]])</f>
        <v>#VALUE!</v>
      </c>
      <c r="AG596" s="10"/>
      <c r="AH596" s="10"/>
      <c r="AM596" s="10" t="str" cm="1">
        <f t="array" ref="AM5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6" s="10" t="str" cm="1">
        <f t="array" ref="AN5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6" s="4" t="e">
        <f>_xlfn.XLOOKUP(tbl_MTG_Set[[#This Row],[Play Booster Box Product Id]], tbl_Product[Product Id], tbl_Product[Pack Size])</f>
        <v>#N/A</v>
      </c>
      <c r="AP596" s="10" t="e">
        <f>(tbl_MTG_Set[[#This Row],[Play Booster Box Cost]]+v_Item_Shipping_Cost_In)/tbl_MTG_Set[[#This Row],[Play Booster Box Size]]</f>
        <v>#VALUE!</v>
      </c>
      <c r="AQ596" s="10" t="str" cm="1">
        <f t="array" ref="AQ5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6" s="10"/>
      <c r="AS596" s="10"/>
      <c r="AT596" s="17" t="e">
        <f>tbl_MTG_Set[[#This Row],[Play Booster CardMarket Profit]]/tbl_MTG_Set[[#This Row],[Play Booster Cost]]</f>
        <v>#VALUE!</v>
      </c>
      <c r="AU596" s="10" t="e">
        <f>_xlfn.XLOOKUP(tbl_MTG_Set[[#This Row],[Collector Booster Box Product Id]], tbl_Product[Product Id], tbl_Product[Min Cost])</f>
        <v>#N/A</v>
      </c>
      <c r="AV596" s="10" t="e">
        <f>_xlfn.XLOOKUP(tbl_MTG_Set[[#This Row],[Collector Booster Box Product Id]], tbl_Product[Product Id], tbl_Product[Best Source])</f>
        <v>#N/A</v>
      </c>
      <c r="AW596" s="4" t="e">
        <f>_xlfn.XLOOKUP(tbl_MTG_Set[[#This Row],[Collector Booster Box Product Id]], tbl_Product[Product Id], tbl_Product[Pack Size])</f>
        <v>#N/A</v>
      </c>
      <c r="AX596" s="10" t="e">
        <f>(tbl_MTG_Set[[#This Row],[Collector Booster Box Cost]] + v_Item_Shipping_Cost_In) / tbl_MTG_Set[[#This Row],[Collector Booster Box Size]]</f>
        <v>#N/A</v>
      </c>
      <c r="AY596" s="10" t="str" cm="1">
        <f t="array" ref="AY5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6" s="10"/>
      <c r="BA5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6" s="17" t="e">
        <f>tbl_MTG_Set[[#This Row],[Collector Booster CardMarket Profit]]/tbl_MTG_Set[[#This Row],[Collector Booster Cost]]</f>
        <v>#N/A</v>
      </c>
      <c r="BC596" s="10"/>
      <c r="BF5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6" s="11" t="e">
        <f>tbl_MTG_Set[[#This Row],[Play Singles CardMarket Profit MTG Stocks]]/tbl_MTG_Set[[#This Row],[Play Booster Cost]]</f>
        <v>#VALUE!</v>
      </c>
      <c r="BI596" s="11" t="b">
        <f>tbl_MTG_Set[[#This Row],[Play Singles CardMarket Profit MTG Stocks]]&gt;0</f>
        <v>0</v>
      </c>
      <c r="BM596" s="10" t="e">
        <f>tbl_MTG_Set[[#This Row],[Play Booster Sell Price CardMarket]]*tbl_MTG_Set[[#This Row],[Play Booster Expected Market Value BotBox]]/tbl_MTG_Set[[#This Row],[Play Booster Sealed Market Value BotBox]]</f>
        <v>#VALUE!</v>
      </c>
      <c r="BN5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6" s="10" t="e">
        <f>tbl_MTG_Set[[#This Row],[Play Singles CardMarket Profit BotBox]]/tbl_MTG_Set[[#This Row],[Play Booster Cost]]</f>
        <v>#VALUE!</v>
      </c>
      <c r="BP596" s="10" t="b">
        <f>tbl_MTG_Set[[#This Row],[Play Singles CardMarket Profit BotBox]]&gt;0</f>
        <v>0</v>
      </c>
      <c r="BQ596" s="10"/>
      <c r="BR596" s="10"/>
      <c r="BS596" s="10"/>
      <c r="BT5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6" s="19" t="e">
        <f>tbl_MTG_Set[[#This Row],[Collector Singles CardMarket Profit MTG Stocks]]/tbl_MTG_Set[[#This Row],[Collector Booster Cost]]</f>
        <v>#N/A</v>
      </c>
      <c r="BW596" s="10" t="b">
        <f>tbl_MTG_Set[[#This Row],[Collector Singles CardMarket Profit MTG Stocks]]&gt;0</f>
        <v>0</v>
      </c>
      <c r="BX596" s="10"/>
      <c r="BY596" s="10"/>
      <c r="BZ5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6" s="10" t="e">
        <f>tbl_MTG_Set[[#This Row],[Collector Singles CardMarket Profit BotBox]]/tbl_MTG_Set[[#This Row],[Collector Booster Cost]]</f>
        <v>#N/A</v>
      </c>
      <c r="CC596" s="10" t="b">
        <f>tbl_MTG_Set[[#This Row],[Collector Singles CardMarket Profit BotBox]]&gt;0</f>
        <v>0</v>
      </c>
      <c r="CD5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7" spans="1:86" hidden="1">
      <c r="A597">
        <v>629</v>
      </c>
      <c r="B597" t="s">
        <v>770</v>
      </c>
      <c r="C597">
        <v>15</v>
      </c>
      <c r="D597" s="3">
        <v>41873</v>
      </c>
      <c r="F597" t="s">
        <v>174</v>
      </c>
      <c r="G597">
        <v>1204</v>
      </c>
      <c r="H597">
        <f ca="1">MONTH(NOW())+12*YEAR(NOW())-MONTH(tbl_MTG_Set[[#This Row],[Released On]])-12*YEAR(tbl_MTG_Set[[#This Row],[Released On]])</f>
        <v>139</v>
      </c>
      <c r="I597" t="str">
        <f>_xlfn.XLOOKUP(tbl_MTG_Set[[#This Row],[Type Name]], tbl_MTG_Set_Type[Set Type], tbl_MTG_Set_Type[Index], "(Set Type not found)")</f>
        <v>(Set Type not found)</v>
      </c>
      <c r="J597" t="str">
        <f>_xlfn.XLOOKUP(tbl_MTG_Set[[#This Row],[Type Name]], tbl_MTG_Set_Type[Set Type], tbl_MTG_Set_Type[Buy Window Month Start], "(Set Type not found)")</f>
        <v>(Set Type not found)</v>
      </c>
      <c r="K597" s="3" t="e">
        <f>tbl_MTG_Set[[#This Row],[Released On]]+tbl_MTG_Set[[#This Row],[Buy Window Month Start]]*365.25/12</f>
        <v>#VALUE!</v>
      </c>
      <c r="L597" t="str">
        <f>_xlfn.XLOOKUP(tbl_MTG_Set[[#This Row],[Type Name]], tbl_MTG_Set_Type[Set Type], tbl_MTG_Set_Type[Buy Window Month End], "(Set Type not found)", 0, 1)</f>
        <v>(Set Type not found)</v>
      </c>
      <c r="M597" s="3" t="e">
        <f>tbl_MTG_Set[[#This Row],[Released On]]+tbl_MTG_Set[[#This Row],[Buy Window Month End]]*365.25/12</f>
        <v>#VALUE!</v>
      </c>
      <c r="N597" s="3" t="e">
        <f ca="1">AND(NOW()&gt;=tbl_MTG_Set[[#This Row],[Buy Window Start]], NOW()&lt;=tbl_MTG_Set[[#This Row],[Buy Window End]])</f>
        <v>#VALUE!</v>
      </c>
      <c r="O597" t="str">
        <f>_xlfn.XLOOKUP(tbl_MTG_Set[[#This Row],[Type Name]], tbl_MTG_Set_Type[Set Type], tbl_MTG_Set_Type[Heavy Printing Window Month Start], "(Set Type not found)", 0, 1)</f>
        <v>(Set Type not found)</v>
      </c>
      <c r="P597" s="3" t="e">
        <f>tbl_MTG_Set[[#This Row],[Released On]]+tbl_MTG_Set[[#This Row],[Heavy Printing Window Month Start]]*365.25/12</f>
        <v>#VALUE!</v>
      </c>
      <c r="Q597" t="str">
        <f>_xlfn.XLOOKUP(tbl_MTG_Set[[#This Row],[Type Name]], tbl_MTG_Set_Type[Set Type], tbl_MTG_Set_Type[Heavy Printing Window Month End], "(Set Type not found)", 0, 1)</f>
        <v>(Set Type not found)</v>
      </c>
      <c r="R597" s="3" t="e">
        <f>tbl_MTG_Set[[#This Row],[Released On]]+tbl_MTG_Set[[#This Row],[Heavy Printing Window Month End]]*365.25/12</f>
        <v>#VALUE!</v>
      </c>
      <c r="S597" s="3" t="e">
        <f ca="1">AND(NOW()&gt;=tbl_MTG_Set[[#This Row],[Heavy Printing Window Start]], NOW()&lt;=tbl_MTG_Set[[#This Row],[Heavy Printing Window End]])</f>
        <v>#VALUE!</v>
      </c>
      <c r="T597" t="str">
        <f>_xlfn.XLOOKUP(tbl_MTG_Set[[#This Row],[Type Name]], tbl_MTG_Set_Type[Set Type], tbl_MTG_Set_Type[Sell Window Month Start], "(Set Type not found)", 0, 1)</f>
        <v>(Set Type not found)</v>
      </c>
      <c r="U597" s="3" t="e">
        <f>tbl_MTG_Set[[#This Row],[Released On]]+tbl_MTG_Set[[#This Row],[Sell Window Month Start]]*365.25/12</f>
        <v>#VALUE!</v>
      </c>
      <c r="V597" t="str">
        <f>_xlfn.XLOOKUP(tbl_MTG_Set[[#This Row],[Type Name]], tbl_MTG_Set_Type[Set Type], tbl_MTG_Set_Type[Sell Window Month End], "(Set Type not found)", 0, 1)</f>
        <v>(Set Type not found)</v>
      </c>
      <c r="W597" s="3" t="e">
        <f>tbl_MTG_Set[[#This Row],[Released On]]+tbl_MTG_Set[[#This Row],[Sell Window Month End]]*365.25/12</f>
        <v>#VALUE!</v>
      </c>
      <c r="X597" s="3" t="e">
        <f ca="1">AND(NOW()&gt;=tbl_MTG_Set[[#This Row],[Sell Window Start]], NOW()&lt;=tbl_MTG_Set[[#This Row],[Sell Window End]])</f>
        <v>#VALUE!</v>
      </c>
      <c r="AG597" s="10"/>
      <c r="AH597" s="10"/>
      <c r="AM597" s="10" t="str" cm="1">
        <f t="array" ref="AM5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7" s="10" t="str" cm="1">
        <f t="array" ref="AN5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7" s="4" t="e">
        <f>_xlfn.XLOOKUP(tbl_MTG_Set[[#This Row],[Play Booster Box Product Id]], tbl_Product[Product Id], tbl_Product[Pack Size])</f>
        <v>#N/A</v>
      </c>
      <c r="AP597" s="10" t="e">
        <f>(tbl_MTG_Set[[#This Row],[Play Booster Box Cost]]+v_Item_Shipping_Cost_In)/tbl_MTG_Set[[#This Row],[Play Booster Box Size]]</f>
        <v>#VALUE!</v>
      </c>
      <c r="AQ597" s="10" t="str" cm="1">
        <f t="array" ref="AQ5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7" s="10"/>
      <c r="AS597" s="10"/>
      <c r="AT597" s="17" t="e">
        <f>tbl_MTG_Set[[#This Row],[Play Booster CardMarket Profit]]/tbl_MTG_Set[[#This Row],[Play Booster Cost]]</f>
        <v>#VALUE!</v>
      </c>
      <c r="AU597" s="10" t="e">
        <f>_xlfn.XLOOKUP(tbl_MTG_Set[[#This Row],[Collector Booster Box Product Id]], tbl_Product[Product Id], tbl_Product[Min Cost])</f>
        <v>#N/A</v>
      </c>
      <c r="AV597" s="10" t="e">
        <f>_xlfn.XLOOKUP(tbl_MTG_Set[[#This Row],[Collector Booster Box Product Id]], tbl_Product[Product Id], tbl_Product[Best Source])</f>
        <v>#N/A</v>
      </c>
      <c r="AW597" s="4" t="e">
        <f>_xlfn.XLOOKUP(tbl_MTG_Set[[#This Row],[Collector Booster Box Product Id]], tbl_Product[Product Id], tbl_Product[Pack Size])</f>
        <v>#N/A</v>
      </c>
      <c r="AX597" s="10" t="e">
        <f>(tbl_MTG_Set[[#This Row],[Collector Booster Box Cost]] + v_Item_Shipping_Cost_In) / tbl_MTG_Set[[#This Row],[Collector Booster Box Size]]</f>
        <v>#N/A</v>
      </c>
      <c r="AY597" s="10" t="str" cm="1">
        <f t="array" ref="AY5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7" s="10"/>
      <c r="BA5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7" s="17" t="e">
        <f>tbl_MTG_Set[[#This Row],[Collector Booster CardMarket Profit]]/tbl_MTG_Set[[#This Row],[Collector Booster Cost]]</f>
        <v>#N/A</v>
      </c>
      <c r="BC597" s="10"/>
      <c r="BF5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7" s="11" t="e">
        <f>tbl_MTG_Set[[#This Row],[Play Singles CardMarket Profit MTG Stocks]]/tbl_MTG_Set[[#This Row],[Play Booster Cost]]</f>
        <v>#VALUE!</v>
      </c>
      <c r="BI597" s="11" t="b">
        <f>tbl_MTG_Set[[#This Row],[Play Singles CardMarket Profit MTG Stocks]]&gt;0</f>
        <v>0</v>
      </c>
      <c r="BM597" s="10" t="e">
        <f>tbl_MTG_Set[[#This Row],[Play Booster Sell Price CardMarket]]*tbl_MTG_Set[[#This Row],[Play Booster Expected Market Value BotBox]]/tbl_MTG_Set[[#This Row],[Play Booster Sealed Market Value BotBox]]</f>
        <v>#VALUE!</v>
      </c>
      <c r="BN5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7" s="10" t="e">
        <f>tbl_MTG_Set[[#This Row],[Play Singles CardMarket Profit BotBox]]/tbl_MTG_Set[[#This Row],[Play Booster Cost]]</f>
        <v>#VALUE!</v>
      </c>
      <c r="BP597" s="10" t="b">
        <f>tbl_MTG_Set[[#This Row],[Play Singles CardMarket Profit BotBox]]&gt;0</f>
        <v>0</v>
      </c>
      <c r="BQ597" s="10"/>
      <c r="BR597" s="10"/>
      <c r="BS597" s="10"/>
      <c r="BT5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7" s="19" t="e">
        <f>tbl_MTG_Set[[#This Row],[Collector Singles CardMarket Profit MTG Stocks]]/tbl_MTG_Set[[#This Row],[Collector Booster Cost]]</f>
        <v>#N/A</v>
      </c>
      <c r="BW597" s="10" t="b">
        <f>tbl_MTG_Set[[#This Row],[Collector Singles CardMarket Profit MTG Stocks]]&gt;0</f>
        <v>0</v>
      </c>
      <c r="BX597" s="10"/>
      <c r="BY597" s="10"/>
      <c r="BZ5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7" s="10" t="e">
        <f>tbl_MTG_Set[[#This Row],[Collector Singles CardMarket Profit BotBox]]/tbl_MTG_Set[[#This Row],[Collector Booster Cost]]</f>
        <v>#N/A</v>
      </c>
      <c r="CC597" s="10" t="b">
        <f>tbl_MTG_Set[[#This Row],[Collector Singles CardMarket Profit BotBox]]&gt;0</f>
        <v>0</v>
      </c>
      <c r="CD5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8" spans="1:86" hidden="1">
      <c r="A598">
        <v>630</v>
      </c>
      <c r="B598" t="s">
        <v>771</v>
      </c>
      <c r="C598">
        <v>284</v>
      </c>
      <c r="D598" s="3">
        <v>41838</v>
      </c>
      <c r="F598" t="s">
        <v>174</v>
      </c>
      <c r="G598">
        <v>1206</v>
      </c>
      <c r="H598">
        <f ca="1">MONTH(NOW())+12*YEAR(NOW())-MONTH(tbl_MTG_Set[[#This Row],[Released On]])-12*YEAR(tbl_MTG_Set[[#This Row],[Released On]])</f>
        <v>140</v>
      </c>
      <c r="I598" t="str">
        <f>_xlfn.XLOOKUP(tbl_MTG_Set[[#This Row],[Type Name]], tbl_MTG_Set_Type[Set Type], tbl_MTG_Set_Type[Index], "(Set Type not found)")</f>
        <v>(Set Type not found)</v>
      </c>
      <c r="J598" t="str">
        <f>_xlfn.XLOOKUP(tbl_MTG_Set[[#This Row],[Type Name]], tbl_MTG_Set_Type[Set Type], tbl_MTG_Set_Type[Buy Window Month Start], "(Set Type not found)")</f>
        <v>(Set Type not found)</v>
      </c>
      <c r="K598" s="3" t="e">
        <f>tbl_MTG_Set[[#This Row],[Released On]]+tbl_MTG_Set[[#This Row],[Buy Window Month Start]]*365.25/12</f>
        <v>#VALUE!</v>
      </c>
      <c r="L598" t="str">
        <f>_xlfn.XLOOKUP(tbl_MTG_Set[[#This Row],[Type Name]], tbl_MTG_Set_Type[Set Type], tbl_MTG_Set_Type[Buy Window Month End], "(Set Type not found)", 0, 1)</f>
        <v>(Set Type not found)</v>
      </c>
      <c r="M598" s="3" t="e">
        <f>tbl_MTG_Set[[#This Row],[Released On]]+tbl_MTG_Set[[#This Row],[Buy Window Month End]]*365.25/12</f>
        <v>#VALUE!</v>
      </c>
      <c r="N598" s="3" t="e">
        <f ca="1">AND(NOW()&gt;=tbl_MTG_Set[[#This Row],[Buy Window Start]], NOW()&lt;=tbl_MTG_Set[[#This Row],[Buy Window End]])</f>
        <v>#VALUE!</v>
      </c>
      <c r="O598" t="str">
        <f>_xlfn.XLOOKUP(tbl_MTG_Set[[#This Row],[Type Name]], tbl_MTG_Set_Type[Set Type], tbl_MTG_Set_Type[Heavy Printing Window Month Start], "(Set Type not found)", 0, 1)</f>
        <v>(Set Type not found)</v>
      </c>
      <c r="P598" s="3" t="e">
        <f>tbl_MTG_Set[[#This Row],[Released On]]+tbl_MTG_Set[[#This Row],[Heavy Printing Window Month Start]]*365.25/12</f>
        <v>#VALUE!</v>
      </c>
      <c r="Q598" t="str">
        <f>_xlfn.XLOOKUP(tbl_MTG_Set[[#This Row],[Type Name]], tbl_MTG_Set_Type[Set Type], tbl_MTG_Set_Type[Heavy Printing Window Month End], "(Set Type not found)", 0, 1)</f>
        <v>(Set Type not found)</v>
      </c>
      <c r="R598" s="3" t="e">
        <f>tbl_MTG_Set[[#This Row],[Released On]]+tbl_MTG_Set[[#This Row],[Heavy Printing Window Month End]]*365.25/12</f>
        <v>#VALUE!</v>
      </c>
      <c r="S598" s="3" t="e">
        <f ca="1">AND(NOW()&gt;=tbl_MTG_Set[[#This Row],[Heavy Printing Window Start]], NOW()&lt;=tbl_MTG_Set[[#This Row],[Heavy Printing Window End]])</f>
        <v>#VALUE!</v>
      </c>
      <c r="T598" t="str">
        <f>_xlfn.XLOOKUP(tbl_MTG_Set[[#This Row],[Type Name]], tbl_MTG_Set_Type[Set Type], tbl_MTG_Set_Type[Sell Window Month Start], "(Set Type not found)", 0, 1)</f>
        <v>(Set Type not found)</v>
      </c>
      <c r="U598" s="3" t="e">
        <f>tbl_MTG_Set[[#This Row],[Released On]]+tbl_MTG_Set[[#This Row],[Sell Window Month Start]]*365.25/12</f>
        <v>#VALUE!</v>
      </c>
      <c r="V598" t="str">
        <f>_xlfn.XLOOKUP(tbl_MTG_Set[[#This Row],[Type Name]], tbl_MTG_Set_Type[Set Type], tbl_MTG_Set_Type[Sell Window Month End], "(Set Type not found)", 0, 1)</f>
        <v>(Set Type not found)</v>
      </c>
      <c r="W598" s="3" t="e">
        <f>tbl_MTG_Set[[#This Row],[Released On]]+tbl_MTG_Set[[#This Row],[Sell Window Month End]]*365.25/12</f>
        <v>#VALUE!</v>
      </c>
      <c r="X598" s="3" t="e">
        <f ca="1">AND(NOW()&gt;=tbl_MTG_Set[[#This Row],[Sell Window Start]], NOW()&lt;=tbl_MTG_Set[[#This Row],[Sell Window End]])</f>
        <v>#VALUE!</v>
      </c>
      <c r="AG598" s="10"/>
      <c r="AH598" s="10"/>
      <c r="AM598" s="10" t="str" cm="1">
        <f t="array" ref="AM5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8" s="10" t="str" cm="1">
        <f t="array" ref="AN5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8" s="4" t="e">
        <f>_xlfn.XLOOKUP(tbl_MTG_Set[[#This Row],[Play Booster Box Product Id]], tbl_Product[Product Id], tbl_Product[Pack Size])</f>
        <v>#N/A</v>
      </c>
      <c r="AP598" s="10" t="e">
        <f>(tbl_MTG_Set[[#This Row],[Play Booster Box Cost]]+v_Item_Shipping_Cost_In)/tbl_MTG_Set[[#This Row],[Play Booster Box Size]]</f>
        <v>#VALUE!</v>
      </c>
      <c r="AQ598" s="10" t="str" cm="1">
        <f t="array" ref="AQ5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8" s="10"/>
      <c r="AS598" s="10"/>
      <c r="AT598" s="17" t="e">
        <f>tbl_MTG_Set[[#This Row],[Play Booster CardMarket Profit]]/tbl_MTG_Set[[#This Row],[Play Booster Cost]]</f>
        <v>#VALUE!</v>
      </c>
      <c r="AU598" s="10" t="e">
        <f>_xlfn.XLOOKUP(tbl_MTG_Set[[#This Row],[Collector Booster Box Product Id]], tbl_Product[Product Id], tbl_Product[Min Cost])</f>
        <v>#N/A</v>
      </c>
      <c r="AV598" s="10" t="e">
        <f>_xlfn.XLOOKUP(tbl_MTG_Set[[#This Row],[Collector Booster Box Product Id]], tbl_Product[Product Id], tbl_Product[Best Source])</f>
        <v>#N/A</v>
      </c>
      <c r="AW598" s="4" t="e">
        <f>_xlfn.XLOOKUP(tbl_MTG_Set[[#This Row],[Collector Booster Box Product Id]], tbl_Product[Product Id], tbl_Product[Pack Size])</f>
        <v>#N/A</v>
      </c>
      <c r="AX598" s="10" t="e">
        <f>(tbl_MTG_Set[[#This Row],[Collector Booster Box Cost]] + v_Item_Shipping_Cost_In) / tbl_MTG_Set[[#This Row],[Collector Booster Box Size]]</f>
        <v>#N/A</v>
      </c>
      <c r="AY598" s="10" t="str" cm="1">
        <f t="array" ref="AY5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8" s="10"/>
      <c r="BA5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8" s="17" t="e">
        <f>tbl_MTG_Set[[#This Row],[Collector Booster CardMarket Profit]]/tbl_MTG_Set[[#This Row],[Collector Booster Cost]]</f>
        <v>#N/A</v>
      </c>
      <c r="BC598" s="10"/>
      <c r="BF5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8" s="11" t="e">
        <f>tbl_MTG_Set[[#This Row],[Play Singles CardMarket Profit MTG Stocks]]/tbl_MTG_Set[[#This Row],[Play Booster Cost]]</f>
        <v>#VALUE!</v>
      </c>
      <c r="BI598" s="11" t="b">
        <f>tbl_MTG_Set[[#This Row],[Play Singles CardMarket Profit MTG Stocks]]&gt;0</f>
        <v>0</v>
      </c>
      <c r="BM598" s="10" t="e">
        <f>tbl_MTG_Set[[#This Row],[Play Booster Sell Price CardMarket]]*tbl_MTG_Set[[#This Row],[Play Booster Expected Market Value BotBox]]/tbl_MTG_Set[[#This Row],[Play Booster Sealed Market Value BotBox]]</f>
        <v>#VALUE!</v>
      </c>
      <c r="BN5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8" s="10" t="e">
        <f>tbl_MTG_Set[[#This Row],[Play Singles CardMarket Profit BotBox]]/tbl_MTG_Set[[#This Row],[Play Booster Cost]]</f>
        <v>#VALUE!</v>
      </c>
      <c r="BP598" s="10" t="b">
        <f>tbl_MTG_Set[[#This Row],[Play Singles CardMarket Profit BotBox]]&gt;0</f>
        <v>0</v>
      </c>
      <c r="BQ598" s="10"/>
      <c r="BR598" s="10"/>
      <c r="BS598" s="10"/>
      <c r="BT5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8" s="19" t="e">
        <f>tbl_MTG_Set[[#This Row],[Collector Singles CardMarket Profit MTG Stocks]]/tbl_MTG_Set[[#This Row],[Collector Booster Cost]]</f>
        <v>#N/A</v>
      </c>
      <c r="BW598" s="10" t="b">
        <f>tbl_MTG_Set[[#This Row],[Collector Singles CardMarket Profit MTG Stocks]]&gt;0</f>
        <v>0</v>
      </c>
      <c r="BX598" s="10"/>
      <c r="BY598" s="10"/>
      <c r="BZ5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8" s="10" t="e">
        <f>tbl_MTG_Set[[#This Row],[Collector Singles CardMarket Profit BotBox]]/tbl_MTG_Set[[#This Row],[Collector Booster Cost]]</f>
        <v>#N/A</v>
      </c>
      <c r="CC598" s="10" t="b">
        <f>tbl_MTG_Set[[#This Row],[Collector Singles CardMarket Profit BotBox]]&gt;0</f>
        <v>0</v>
      </c>
      <c r="CD5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599" spans="1:86" hidden="1">
      <c r="A599">
        <v>631</v>
      </c>
      <c r="B599" t="s">
        <v>772</v>
      </c>
      <c r="C599">
        <v>14</v>
      </c>
      <c r="D599" s="3">
        <v>41837</v>
      </c>
      <c r="F599" t="s">
        <v>174</v>
      </c>
      <c r="G599">
        <v>1208</v>
      </c>
      <c r="H599">
        <f ca="1">MONTH(NOW())+12*YEAR(NOW())-MONTH(tbl_MTG_Set[[#This Row],[Released On]])-12*YEAR(tbl_MTG_Set[[#This Row],[Released On]])</f>
        <v>140</v>
      </c>
      <c r="I599" t="str">
        <f>_xlfn.XLOOKUP(tbl_MTG_Set[[#This Row],[Type Name]], tbl_MTG_Set_Type[Set Type], tbl_MTG_Set_Type[Index], "(Set Type not found)")</f>
        <v>(Set Type not found)</v>
      </c>
      <c r="J599" t="str">
        <f>_xlfn.XLOOKUP(tbl_MTG_Set[[#This Row],[Type Name]], tbl_MTG_Set_Type[Set Type], tbl_MTG_Set_Type[Buy Window Month Start], "(Set Type not found)")</f>
        <v>(Set Type not found)</v>
      </c>
      <c r="K599" s="3" t="e">
        <f>tbl_MTG_Set[[#This Row],[Released On]]+tbl_MTG_Set[[#This Row],[Buy Window Month Start]]*365.25/12</f>
        <v>#VALUE!</v>
      </c>
      <c r="L599" t="str">
        <f>_xlfn.XLOOKUP(tbl_MTG_Set[[#This Row],[Type Name]], tbl_MTG_Set_Type[Set Type], tbl_MTG_Set_Type[Buy Window Month End], "(Set Type not found)", 0, 1)</f>
        <v>(Set Type not found)</v>
      </c>
      <c r="M599" s="3" t="e">
        <f>tbl_MTG_Set[[#This Row],[Released On]]+tbl_MTG_Set[[#This Row],[Buy Window Month End]]*365.25/12</f>
        <v>#VALUE!</v>
      </c>
      <c r="N599" s="3" t="e">
        <f ca="1">AND(NOW()&gt;=tbl_MTG_Set[[#This Row],[Buy Window Start]], NOW()&lt;=tbl_MTG_Set[[#This Row],[Buy Window End]])</f>
        <v>#VALUE!</v>
      </c>
      <c r="O599" t="str">
        <f>_xlfn.XLOOKUP(tbl_MTG_Set[[#This Row],[Type Name]], tbl_MTG_Set_Type[Set Type], tbl_MTG_Set_Type[Heavy Printing Window Month Start], "(Set Type not found)", 0, 1)</f>
        <v>(Set Type not found)</v>
      </c>
      <c r="P599" s="3" t="e">
        <f>tbl_MTG_Set[[#This Row],[Released On]]+tbl_MTG_Set[[#This Row],[Heavy Printing Window Month Start]]*365.25/12</f>
        <v>#VALUE!</v>
      </c>
      <c r="Q599" t="str">
        <f>_xlfn.XLOOKUP(tbl_MTG_Set[[#This Row],[Type Name]], tbl_MTG_Set_Type[Set Type], tbl_MTG_Set_Type[Heavy Printing Window Month End], "(Set Type not found)", 0, 1)</f>
        <v>(Set Type not found)</v>
      </c>
      <c r="R599" s="3" t="e">
        <f>tbl_MTG_Set[[#This Row],[Released On]]+tbl_MTG_Set[[#This Row],[Heavy Printing Window Month End]]*365.25/12</f>
        <v>#VALUE!</v>
      </c>
      <c r="S599" s="3" t="e">
        <f ca="1">AND(NOW()&gt;=tbl_MTG_Set[[#This Row],[Heavy Printing Window Start]], NOW()&lt;=tbl_MTG_Set[[#This Row],[Heavy Printing Window End]])</f>
        <v>#VALUE!</v>
      </c>
      <c r="T599" t="str">
        <f>_xlfn.XLOOKUP(tbl_MTG_Set[[#This Row],[Type Name]], tbl_MTG_Set_Type[Set Type], tbl_MTG_Set_Type[Sell Window Month Start], "(Set Type not found)", 0, 1)</f>
        <v>(Set Type not found)</v>
      </c>
      <c r="U599" s="3" t="e">
        <f>tbl_MTG_Set[[#This Row],[Released On]]+tbl_MTG_Set[[#This Row],[Sell Window Month Start]]*365.25/12</f>
        <v>#VALUE!</v>
      </c>
      <c r="V599" t="str">
        <f>_xlfn.XLOOKUP(tbl_MTG_Set[[#This Row],[Type Name]], tbl_MTG_Set_Type[Set Type], tbl_MTG_Set_Type[Sell Window Month End], "(Set Type not found)", 0, 1)</f>
        <v>(Set Type not found)</v>
      </c>
      <c r="W599" s="3" t="e">
        <f>tbl_MTG_Set[[#This Row],[Released On]]+tbl_MTG_Set[[#This Row],[Sell Window Month End]]*365.25/12</f>
        <v>#VALUE!</v>
      </c>
      <c r="X599" s="3" t="e">
        <f ca="1">AND(NOW()&gt;=tbl_MTG_Set[[#This Row],[Sell Window Start]], NOW()&lt;=tbl_MTG_Set[[#This Row],[Sell Window End]])</f>
        <v>#VALUE!</v>
      </c>
      <c r="AG599" s="10"/>
      <c r="AH599" s="10"/>
      <c r="AM599" s="10" t="str" cm="1">
        <f t="array" ref="AM5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599" s="10" t="str" cm="1">
        <f t="array" ref="AN5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599" s="4" t="e">
        <f>_xlfn.XLOOKUP(tbl_MTG_Set[[#This Row],[Play Booster Box Product Id]], tbl_Product[Product Id], tbl_Product[Pack Size])</f>
        <v>#N/A</v>
      </c>
      <c r="AP599" s="10" t="e">
        <f>(tbl_MTG_Set[[#This Row],[Play Booster Box Cost]]+v_Item_Shipping_Cost_In)/tbl_MTG_Set[[#This Row],[Play Booster Box Size]]</f>
        <v>#VALUE!</v>
      </c>
      <c r="AQ599" s="10" t="str" cm="1">
        <f t="array" ref="AQ5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599" s="10"/>
      <c r="AS599" s="10"/>
      <c r="AT599" s="17" t="e">
        <f>tbl_MTG_Set[[#This Row],[Play Booster CardMarket Profit]]/tbl_MTG_Set[[#This Row],[Play Booster Cost]]</f>
        <v>#VALUE!</v>
      </c>
      <c r="AU599" s="10" t="e">
        <f>_xlfn.XLOOKUP(tbl_MTG_Set[[#This Row],[Collector Booster Box Product Id]], tbl_Product[Product Id], tbl_Product[Min Cost])</f>
        <v>#N/A</v>
      </c>
      <c r="AV599" s="10" t="e">
        <f>_xlfn.XLOOKUP(tbl_MTG_Set[[#This Row],[Collector Booster Box Product Id]], tbl_Product[Product Id], tbl_Product[Best Source])</f>
        <v>#N/A</v>
      </c>
      <c r="AW599" s="4" t="e">
        <f>_xlfn.XLOOKUP(tbl_MTG_Set[[#This Row],[Collector Booster Box Product Id]], tbl_Product[Product Id], tbl_Product[Pack Size])</f>
        <v>#N/A</v>
      </c>
      <c r="AX599" s="10" t="e">
        <f>(tbl_MTG_Set[[#This Row],[Collector Booster Box Cost]] + v_Item_Shipping_Cost_In) / tbl_MTG_Set[[#This Row],[Collector Booster Box Size]]</f>
        <v>#N/A</v>
      </c>
      <c r="AY599" s="10" t="str" cm="1">
        <f t="array" ref="AY5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599" s="10"/>
      <c r="BA5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599" s="17" t="e">
        <f>tbl_MTG_Set[[#This Row],[Collector Booster CardMarket Profit]]/tbl_MTG_Set[[#This Row],[Collector Booster Cost]]</f>
        <v>#N/A</v>
      </c>
      <c r="BC599" s="10"/>
      <c r="BF5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5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599" s="11" t="e">
        <f>tbl_MTG_Set[[#This Row],[Play Singles CardMarket Profit MTG Stocks]]/tbl_MTG_Set[[#This Row],[Play Booster Cost]]</f>
        <v>#VALUE!</v>
      </c>
      <c r="BI599" s="11" t="b">
        <f>tbl_MTG_Set[[#This Row],[Play Singles CardMarket Profit MTG Stocks]]&gt;0</f>
        <v>0</v>
      </c>
      <c r="BM599" s="10" t="e">
        <f>tbl_MTG_Set[[#This Row],[Play Booster Sell Price CardMarket]]*tbl_MTG_Set[[#This Row],[Play Booster Expected Market Value BotBox]]/tbl_MTG_Set[[#This Row],[Play Booster Sealed Market Value BotBox]]</f>
        <v>#VALUE!</v>
      </c>
      <c r="BN5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599" s="10" t="e">
        <f>tbl_MTG_Set[[#This Row],[Play Singles CardMarket Profit BotBox]]/tbl_MTG_Set[[#This Row],[Play Booster Cost]]</f>
        <v>#VALUE!</v>
      </c>
      <c r="BP599" s="10" t="b">
        <f>tbl_MTG_Set[[#This Row],[Play Singles CardMarket Profit BotBox]]&gt;0</f>
        <v>0</v>
      </c>
      <c r="BQ599" s="10"/>
      <c r="BR599" s="10"/>
      <c r="BS599" s="10"/>
      <c r="BT5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5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599" s="19" t="e">
        <f>tbl_MTG_Set[[#This Row],[Collector Singles CardMarket Profit MTG Stocks]]/tbl_MTG_Set[[#This Row],[Collector Booster Cost]]</f>
        <v>#N/A</v>
      </c>
      <c r="BW599" s="10" t="b">
        <f>tbl_MTG_Set[[#This Row],[Collector Singles CardMarket Profit MTG Stocks]]&gt;0</f>
        <v>0</v>
      </c>
      <c r="BX599" s="10"/>
      <c r="BY599" s="10"/>
      <c r="BZ5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5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599" s="10" t="e">
        <f>tbl_MTG_Set[[#This Row],[Collector Singles CardMarket Profit BotBox]]/tbl_MTG_Set[[#This Row],[Collector Booster Cost]]</f>
        <v>#N/A</v>
      </c>
      <c r="CC599" s="10" t="b">
        <f>tbl_MTG_Set[[#This Row],[Collector Singles CardMarket Profit BotBox]]&gt;0</f>
        <v>0</v>
      </c>
      <c r="CD5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5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5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5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5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0" spans="1:86" hidden="1">
      <c r="A600">
        <v>632</v>
      </c>
      <c r="B600" t="s">
        <v>773</v>
      </c>
      <c r="C600">
        <v>14</v>
      </c>
      <c r="D600" s="3">
        <v>41838</v>
      </c>
      <c r="F600" t="s">
        <v>174</v>
      </c>
      <c r="G600">
        <v>1210</v>
      </c>
      <c r="H600">
        <f ca="1">MONTH(NOW())+12*YEAR(NOW())-MONTH(tbl_MTG_Set[[#This Row],[Released On]])-12*YEAR(tbl_MTG_Set[[#This Row],[Released On]])</f>
        <v>140</v>
      </c>
      <c r="I600" t="str">
        <f>_xlfn.XLOOKUP(tbl_MTG_Set[[#This Row],[Type Name]], tbl_MTG_Set_Type[Set Type], tbl_MTG_Set_Type[Index], "(Set Type not found)")</f>
        <v>(Set Type not found)</v>
      </c>
      <c r="J600" t="str">
        <f>_xlfn.XLOOKUP(tbl_MTG_Set[[#This Row],[Type Name]], tbl_MTG_Set_Type[Set Type], tbl_MTG_Set_Type[Buy Window Month Start], "(Set Type not found)")</f>
        <v>(Set Type not found)</v>
      </c>
      <c r="K600" s="3" t="e">
        <f>tbl_MTG_Set[[#This Row],[Released On]]+tbl_MTG_Set[[#This Row],[Buy Window Month Start]]*365.25/12</f>
        <v>#VALUE!</v>
      </c>
      <c r="L600" t="str">
        <f>_xlfn.XLOOKUP(tbl_MTG_Set[[#This Row],[Type Name]], tbl_MTG_Set_Type[Set Type], tbl_MTG_Set_Type[Buy Window Month End], "(Set Type not found)", 0, 1)</f>
        <v>(Set Type not found)</v>
      </c>
      <c r="M600" s="3" t="e">
        <f>tbl_MTG_Set[[#This Row],[Released On]]+tbl_MTG_Set[[#This Row],[Buy Window Month End]]*365.25/12</f>
        <v>#VALUE!</v>
      </c>
      <c r="N600" s="3" t="e">
        <f ca="1">AND(NOW()&gt;=tbl_MTG_Set[[#This Row],[Buy Window Start]], NOW()&lt;=tbl_MTG_Set[[#This Row],[Buy Window End]])</f>
        <v>#VALUE!</v>
      </c>
      <c r="O600" t="str">
        <f>_xlfn.XLOOKUP(tbl_MTG_Set[[#This Row],[Type Name]], tbl_MTG_Set_Type[Set Type], tbl_MTG_Set_Type[Heavy Printing Window Month Start], "(Set Type not found)", 0, 1)</f>
        <v>(Set Type not found)</v>
      </c>
      <c r="P600" s="3" t="e">
        <f>tbl_MTG_Set[[#This Row],[Released On]]+tbl_MTG_Set[[#This Row],[Heavy Printing Window Month Start]]*365.25/12</f>
        <v>#VALUE!</v>
      </c>
      <c r="Q600" t="str">
        <f>_xlfn.XLOOKUP(tbl_MTG_Set[[#This Row],[Type Name]], tbl_MTG_Set_Type[Set Type], tbl_MTG_Set_Type[Heavy Printing Window Month End], "(Set Type not found)", 0, 1)</f>
        <v>(Set Type not found)</v>
      </c>
      <c r="R600" s="3" t="e">
        <f>tbl_MTG_Set[[#This Row],[Released On]]+tbl_MTG_Set[[#This Row],[Heavy Printing Window Month End]]*365.25/12</f>
        <v>#VALUE!</v>
      </c>
      <c r="S600" s="3" t="e">
        <f ca="1">AND(NOW()&gt;=tbl_MTG_Set[[#This Row],[Heavy Printing Window Start]], NOW()&lt;=tbl_MTG_Set[[#This Row],[Heavy Printing Window End]])</f>
        <v>#VALUE!</v>
      </c>
      <c r="T600" t="str">
        <f>_xlfn.XLOOKUP(tbl_MTG_Set[[#This Row],[Type Name]], tbl_MTG_Set_Type[Set Type], tbl_MTG_Set_Type[Sell Window Month Start], "(Set Type not found)", 0, 1)</f>
        <v>(Set Type not found)</v>
      </c>
      <c r="U600" s="3" t="e">
        <f>tbl_MTG_Set[[#This Row],[Released On]]+tbl_MTG_Set[[#This Row],[Sell Window Month Start]]*365.25/12</f>
        <v>#VALUE!</v>
      </c>
      <c r="V600" t="str">
        <f>_xlfn.XLOOKUP(tbl_MTG_Set[[#This Row],[Type Name]], tbl_MTG_Set_Type[Set Type], tbl_MTG_Set_Type[Sell Window Month End], "(Set Type not found)", 0, 1)</f>
        <v>(Set Type not found)</v>
      </c>
      <c r="W600" s="3" t="e">
        <f>tbl_MTG_Set[[#This Row],[Released On]]+tbl_MTG_Set[[#This Row],[Sell Window Month End]]*365.25/12</f>
        <v>#VALUE!</v>
      </c>
      <c r="X600" s="3" t="e">
        <f ca="1">AND(NOW()&gt;=tbl_MTG_Set[[#This Row],[Sell Window Start]], NOW()&lt;=tbl_MTG_Set[[#This Row],[Sell Window End]])</f>
        <v>#VALUE!</v>
      </c>
      <c r="AG600" s="10"/>
      <c r="AH600" s="10"/>
      <c r="AM600" s="10" t="str" cm="1">
        <f t="array" ref="AM6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0" s="10" t="str" cm="1">
        <f t="array" ref="AN6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0" s="4" t="e">
        <f>_xlfn.XLOOKUP(tbl_MTG_Set[[#This Row],[Play Booster Box Product Id]], tbl_Product[Product Id], tbl_Product[Pack Size])</f>
        <v>#N/A</v>
      </c>
      <c r="AP600" s="10" t="e">
        <f>(tbl_MTG_Set[[#This Row],[Play Booster Box Cost]]+v_Item_Shipping_Cost_In)/tbl_MTG_Set[[#This Row],[Play Booster Box Size]]</f>
        <v>#VALUE!</v>
      </c>
      <c r="AQ600" s="10" t="str" cm="1">
        <f t="array" ref="AQ6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0" s="10"/>
      <c r="AS600" s="10"/>
      <c r="AT600" s="17" t="e">
        <f>tbl_MTG_Set[[#This Row],[Play Booster CardMarket Profit]]/tbl_MTG_Set[[#This Row],[Play Booster Cost]]</f>
        <v>#VALUE!</v>
      </c>
      <c r="AU600" s="10" t="e">
        <f>_xlfn.XLOOKUP(tbl_MTG_Set[[#This Row],[Collector Booster Box Product Id]], tbl_Product[Product Id], tbl_Product[Min Cost])</f>
        <v>#N/A</v>
      </c>
      <c r="AV600" s="10" t="e">
        <f>_xlfn.XLOOKUP(tbl_MTG_Set[[#This Row],[Collector Booster Box Product Id]], tbl_Product[Product Id], tbl_Product[Best Source])</f>
        <v>#N/A</v>
      </c>
      <c r="AW600" s="4" t="e">
        <f>_xlfn.XLOOKUP(tbl_MTG_Set[[#This Row],[Collector Booster Box Product Id]], tbl_Product[Product Id], tbl_Product[Pack Size])</f>
        <v>#N/A</v>
      </c>
      <c r="AX600" s="10" t="e">
        <f>(tbl_MTG_Set[[#This Row],[Collector Booster Box Cost]] + v_Item_Shipping_Cost_In) / tbl_MTG_Set[[#This Row],[Collector Booster Box Size]]</f>
        <v>#N/A</v>
      </c>
      <c r="AY600" s="10" t="str" cm="1">
        <f t="array" ref="AY6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0" s="10"/>
      <c r="BA6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0" s="17" t="e">
        <f>tbl_MTG_Set[[#This Row],[Collector Booster CardMarket Profit]]/tbl_MTG_Set[[#This Row],[Collector Booster Cost]]</f>
        <v>#N/A</v>
      </c>
      <c r="BC600" s="10"/>
      <c r="BF6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0" s="11" t="e">
        <f>tbl_MTG_Set[[#This Row],[Play Singles CardMarket Profit MTG Stocks]]/tbl_MTG_Set[[#This Row],[Play Booster Cost]]</f>
        <v>#VALUE!</v>
      </c>
      <c r="BI600" s="11" t="b">
        <f>tbl_MTG_Set[[#This Row],[Play Singles CardMarket Profit MTG Stocks]]&gt;0</f>
        <v>0</v>
      </c>
      <c r="BM600" s="10" t="e">
        <f>tbl_MTG_Set[[#This Row],[Play Booster Sell Price CardMarket]]*tbl_MTG_Set[[#This Row],[Play Booster Expected Market Value BotBox]]/tbl_MTG_Set[[#This Row],[Play Booster Sealed Market Value BotBox]]</f>
        <v>#VALUE!</v>
      </c>
      <c r="BN6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0" s="10" t="e">
        <f>tbl_MTG_Set[[#This Row],[Play Singles CardMarket Profit BotBox]]/tbl_MTG_Set[[#This Row],[Play Booster Cost]]</f>
        <v>#VALUE!</v>
      </c>
      <c r="BP600" s="10" t="b">
        <f>tbl_MTG_Set[[#This Row],[Play Singles CardMarket Profit BotBox]]&gt;0</f>
        <v>0</v>
      </c>
      <c r="BQ600" s="10"/>
      <c r="BR600" s="10"/>
      <c r="BS600" s="10"/>
      <c r="BT6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0" s="19" t="e">
        <f>tbl_MTG_Set[[#This Row],[Collector Singles CardMarket Profit MTG Stocks]]/tbl_MTG_Set[[#This Row],[Collector Booster Cost]]</f>
        <v>#N/A</v>
      </c>
      <c r="BW600" s="10" t="b">
        <f>tbl_MTG_Set[[#This Row],[Collector Singles CardMarket Profit MTG Stocks]]&gt;0</f>
        <v>0</v>
      </c>
      <c r="BX600" s="10"/>
      <c r="BY600" s="10"/>
      <c r="BZ6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0" s="10" t="e">
        <f>tbl_MTG_Set[[#This Row],[Collector Singles CardMarket Profit BotBox]]/tbl_MTG_Set[[#This Row],[Collector Booster Cost]]</f>
        <v>#N/A</v>
      </c>
      <c r="CC600" s="10" t="b">
        <f>tbl_MTG_Set[[#This Row],[Collector Singles CardMarket Profit BotBox]]&gt;0</f>
        <v>0</v>
      </c>
      <c r="CD6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1" spans="1:86" hidden="1">
      <c r="A601">
        <v>633</v>
      </c>
      <c r="B601" t="s">
        <v>774</v>
      </c>
      <c r="C601">
        <v>6</v>
      </c>
      <c r="D601" s="3">
        <v>41838</v>
      </c>
      <c r="F601" t="s">
        <v>174</v>
      </c>
      <c r="G601">
        <v>1212</v>
      </c>
      <c r="H601">
        <f ca="1">MONTH(NOW())+12*YEAR(NOW())-MONTH(tbl_MTG_Set[[#This Row],[Released On]])-12*YEAR(tbl_MTG_Set[[#This Row],[Released On]])</f>
        <v>140</v>
      </c>
      <c r="I601" t="str">
        <f>_xlfn.XLOOKUP(tbl_MTG_Set[[#This Row],[Type Name]], tbl_MTG_Set_Type[Set Type], tbl_MTG_Set_Type[Index], "(Set Type not found)")</f>
        <v>(Set Type not found)</v>
      </c>
      <c r="J601" t="str">
        <f>_xlfn.XLOOKUP(tbl_MTG_Set[[#This Row],[Type Name]], tbl_MTG_Set_Type[Set Type], tbl_MTG_Set_Type[Buy Window Month Start], "(Set Type not found)")</f>
        <v>(Set Type not found)</v>
      </c>
      <c r="K601" s="3" t="e">
        <f>tbl_MTG_Set[[#This Row],[Released On]]+tbl_MTG_Set[[#This Row],[Buy Window Month Start]]*365.25/12</f>
        <v>#VALUE!</v>
      </c>
      <c r="L601" t="str">
        <f>_xlfn.XLOOKUP(tbl_MTG_Set[[#This Row],[Type Name]], tbl_MTG_Set_Type[Set Type], tbl_MTG_Set_Type[Buy Window Month End], "(Set Type not found)", 0, 1)</f>
        <v>(Set Type not found)</v>
      </c>
      <c r="M601" s="3" t="e">
        <f>tbl_MTG_Set[[#This Row],[Released On]]+tbl_MTG_Set[[#This Row],[Buy Window Month End]]*365.25/12</f>
        <v>#VALUE!</v>
      </c>
      <c r="N601" s="3" t="e">
        <f ca="1">AND(NOW()&gt;=tbl_MTG_Set[[#This Row],[Buy Window Start]], NOW()&lt;=tbl_MTG_Set[[#This Row],[Buy Window End]])</f>
        <v>#VALUE!</v>
      </c>
      <c r="O601" t="str">
        <f>_xlfn.XLOOKUP(tbl_MTG_Set[[#This Row],[Type Name]], tbl_MTG_Set_Type[Set Type], tbl_MTG_Set_Type[Heavy Printing Window Month Start], "(Set Type not found)", 0, 1)</f>
        <v>(Set Type not found)</v>
      </c>
      <c r="P601" s="3" t="e">
        <f>tbl_MTG_Set[[#This Row],[Released On]]+tbl_MTG_Set[[#This Row],[Heavy Printing Window Month Start]]*365.25/12</f>
        <v>#VALUE!</v>
      </c>
      <c r="Q601" t="str">
        <f>_xlfn.XLOOKUP(tbl_MTG_Set[[#This Row],[Type Name]], tbl_MTG_Set_Type[Set Type], tbl_MTG_Set_Type[Heavy Printing Window Month End], "(Set Type not found)", 0, 1)</f>
        <v>(Set Type not found)</v>
      </c>
      <c r="R601" s="3" t="e">
        <f>tbl_MTG_Set[[#This Row],[Released On]]+tbl_MTG_Set[[#This Row],[Heavy Printing Window Month End]]*365.25/12</f>
        <v>#VALUE!</v>
      </c>
      <c r="S601" s="3" t="e">
        <f ca="1">AND(NOW()&gt;=tbl_MTG_Set[[#This Row],[Heavy Printing Window Start]], NOW()&lt;=tbl_MTG_Set[[#This Row],[Heavy Printing Window End]])</f>
        <v>#VALUE!</v>
      </c>
      <c r="T601" t="str">
        <f>_xlfn.XLOOKUP(tbl_MTG_Set[[#This Row],[Type Name]], tbl_MTG_Set_Type[Set Type], tbl_MTG_Set_Type[Sell Window Month Start], "(Set Type not found)", 0, 1)</f>
        <v>(Set Type not found)</v>
      </c>
      <c r="U601" s="3" t="e">
        <f>tbl_MTG_Set[[#This Row],[Released On]]+tbl_MTG_Set[[#This Row],[Sell Window Month Start]]*365.25/12</f>
        <v>#VALUE!</v>
      </c>
      <c r="V601" t="str">
        <f>_xlfn.XLOOKUP(tbl_MTG_Set[[#This Row],[Type Name]], tbl_MTG_Set_Type[Set Type], tbl_MTG_Set_Type[Sell Window Month End], "(Set Type not found)", 0, 1)</f>
        <v>(Set Type not found)</v>
      </c>
      <c r="W601" s="3" t="e">
        <f>tbl_MTG_Set[[#This Row],[Released On]]+tbl_MTG_Set[[#This Row],[Sell Window Month End]]*365.25/12</f>
        <v>#VALUE!</v>
      </c>
      <c r="X601" s="3" t="e">
        <f ca="1">AND(NOW()&gt;=tbl_MTG_Set[[#This Row],[Sell Window Start]], NOW()&lt;=tbl_MTG_Set[[#This Row],[Sell Window End]])</f>
        <v>#VALUE!</v>
      </c>
      <c r="AG601" s="10"/>
      <c r="AH601" s="10"/>
      <c r="AM601" s="10" t="str" cm="1">
        <f t="array" ref="AM6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1" s="10" t="str" cm="1">
        <f t="array" ref="AN6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1" s="4" t="e">
        <f>_xlfn.XLOOKUP(tbl_MTG_Set[[#This Row],[Play Booster Box Product Id]], tbl_Product[Product Id], tbl_Product[Pack Size])</f>
        <v>#N/A</v>
      </c>
      <c r="AP601" s="10" t="e">
        <f>(tbl_MTG_Set[[#This Row],[Play Booster Box Cost]]+v_Item_Shipping_Cost_In)/tbl_MTG_Set[[#This Row],[Play Booster Box Size]]</f>
        <v>#VALUE!</v>
      </c>
      <c r="AQ601" s="10" t="str" cm="1">
        <f t="array" ref="AQ6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1" s="10"/>
      <c r="AS601" s="10"/>
      <c r="AT601" s="17" t="e">
        <f>tbl_MTG_Set[[#This Row],[Play Booster CardMarket Profit]]/tbl_MTG_Set[[#This Row],[Play Booster Cost]]</f>
        <v>#VALUE!</v>
      </c>
      <c r="AU601" s="10" t="e">
        <f>_xlfn.XLOOKUP(tbl_MTG_Set[[#This Row],[Collector Booster Box Product Id]], tbl_Product[Product Id], tbl_Product[Min Cost])</f>
        <v>#N/A</v>
      </c>
      <c r="AV601" s="10" t="e">
        <f>_xlfn.XLOOKUP(tbl_MTG_Set[[#This Row],[Collector Booster Box Product Id]], tbl_Product[Product Id], tbl_Product[Best Source])</f>
        <v>#N/A</v>
      </c>
      <c r="AW601" s="4" t="e">
        <f>_xlfn.XLOOKUP(tbl_MTG_Set[[#This Row],[Collector Booster Box Product Id]], tbl_Product[Product Id], tbl_Product[Pack Size])</f>
        <v>#N/A</v>
      </c>
      <c r="AX601" s="10" t="e">
        <f>(tbl_MTG_Set[[#This Row],[Collector Booster Box Cost]] + v_Item_Shipping_Cost_In) / tbl_MTG_Set[[#This Row],[Collector Booster Box Size]]</f>
        <v>#N/A</v>
      </c>
      <c r="AY601" s="10" t="str" cm="1">
        <f t="array" ref="AY6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1" s="10"/>
      <c r="BA6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1" s="17" t="e">
        <f>tbl_MTG_Set[[#This Row],[Collector Booster CardMarket Profit]]/tbl_MTG_Set[[#This Row],[Collector Booster Cost]]</f>
        <v>#N/A</v>
      </c>
      <c r="BC601" s="10"/>
      <c r="BF6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1" s="11" t="e">
        <f>tbl_MTG_Set[[#This Row],[Play Singles CardMarket Profit MTG Stocks]]/tbl_MTG_Set[[#This Row],[Play Booster Cost]]</f>
        <v>#VALUE!</v>
      </c>
      <c r="BI601" s="11" t="b">
        <f>tbl_MTG_Set[[#This Row],[Play Singles CardMarket Profit MTG Stocks]]&gt;0</f>
        <v>0</v>
      </c>
      <c r="BM601" s="10" t="e">
        <f>tbl_MTG_Set[[#This Row],[Play Booster Sell Price CardMarket]]*tbl_MTG_Set[[#This Row],[Play Booster Expected Market Value BotBox]]/tbl_MTG_Set[[#This Row],[Play Booster Sealed Market Value BotBox]]</f>
        <v>#VALUE!</v>
      </c>
      <c r="BN6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1" s="10" t="e">
        <f>tbl_MTG_Set[[#This Row],[Play Singles CardMarket Profit BotBox]]/tbl_MTG_Set[[#This Row],[Play Booster Cost]]</f>
        <v>#VALUE!</v>
      </c>
      <c r="BP601" s="10" t="b">
        <f>tbl_MTG_Set[[#This Row],[Play Singles CardMarket Profit BotBox]]&gt;0</f>
        <v>0</v>
      </c>
      <c r="BQ601" s="10"/>
      <c r="BR601" s="10"/>
      <c r="BS601" s="10"/>
      <c r="BT6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1" s="19" t="e">
        <f>tbl_MTG_Set[[#This Row],[Collector Singles CardMarket Profit MTG Stocks]]/tbl_MTG_Set[[#This Row],[Collector Booster Cost]]</f>
        <v>#N/A</v>
      </c>
      <c r="BW601" s="10" t="b">
        <f>tbl_MTG_Set[[#This Row],[Collector Singles CardMarket Profit MTG Stocks]]&gt;0</f>
        <v>0</v>
      </c>
      <c r="BX601" s="10"/>
      <c r="BY601" s="10"/>
      <c r="BZ6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1" s="10" t="e">
        <f>tbl_MTG_Set[[#This Row],[Collector Singles CardMarket Profit BotBox]]/tbl_MTG_Set[[#This Row],[Collector Booster Cost]]</f>
        <v>#N/A</v>
      </c>
      <c r="CC601" s="10" t="b">
        <f>tbl_MTG_Set[[#This Row],[Collector Singles CardMarket Profit BotBox]]&gt;0</f>
        <v>0</v>
      </c>
      <c r="CD6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2" spans="1:86" hidden="1">
      <c r="A602">
        <v>634</v>
      </c>
      <c r="B602" t="s">
        <v>775</v>
      </c>
      <c r="C602">
        <v>2</v>
      </c>
      <c r="D602" s="3">
        <v>41832</v>
      </c>
      <c r="F602" t="s">
        <v>174</v>
      </c>
      <c r="G602">
        <v>1214</v>
      </c>
      <c r="H602">
        <f ca="1">MONTH(NOW())+12*YEAR(NOW())-MONTH(tbl_MTG_Set[[#This Row],[Released On]])-12*YEAR(tbl_MTG_Set[[#This Row],[Released On]])</f>
        <v>140</v>
      </c>
      <c r="I602" t="str">
        <f>_xlfn.XLOOKUP(tbl_MTG_Set[[#This Row],[Type Name]], tbl_MTG_Set_Type[Set Type], tbl_MTG_Set_Type[Index], "(Set Type not found)")</f>
        <v>(Set Type not found)</v>
      </c>
      <c r="J602" t="str">
        <f>_xlfn.XLOOKUP(tbl_MTG_Set[[#This Row],[Type Name]], tbl_MTG_Set_Type[Set Type], tbl_MTG_Set_Type[Buy Window Month Start], "(Set Type not found)")</f>
        <v>(Set Type not found)</v>
      </c>
      <c r="K602" s="3" t="e">
        <f>tbl_MTG_Set[[#This Row],[Released On]]+tbl_MTG_Set[[#This Row],[Buy Window Month Start]]*365.25/12</f>
        <v>#VALUE!</v>
      </c>
      <c r="L602" t="str">
        <f>_xlfn.XLOOKUP(tbl_MTG_Set[[#This Row],[Type Name]], tbl_MTG_Set_Type[Set Type], tbl_MTG_Set_Type[Buy Window Month End], "(Set Type not found)", 0, 1)</f>
        <v>(Set Type not found)</v>
      </c>
      <c r="M602" s="3" t="e">
        <f>tbl_MTG_Set[[#This Row],[Released On]]+tbl_MTG_Set[[#This Row],[Buy Window Month End]]*365.25/12</f>
        <v>#VALUE!</v>
      </c>
      <c r="N602" s="3" t="e">
        <f ca="1">AND(NOW()&gt;=tbl_MTG_Set[[#This Row],[Buy Window Start]], NOW()&lt;=tbl_MTG_Set[[#This Row],[Buy Window End]])</f>
        <v>#VALUE!</v>
      </c>
      <c r="O602" t="str">
        <f>_xlfn.XLOOKUP(tbl_MTG_Set[[#This Row],[Type Name]], tbl_MTG_Set_Type[Set Type], tbl_MTG_Set_Type[Heavy Printing Window Month Start], "(Set Type not found)", 0, 1)</f>
        <v>(Set Type not found)</v>
      </c>
      <c r="P602" s="3" t="e">
        <f>tbl_MTG_Set[[#This Row],[Released On]]+tbl_MTG_Set[[#This Row],[Heavy Printing Window Month Start]]*365.25/12</f>
        <v>#VALUE!</v>
      </c>
      <c r="Q602" t="str">
        <f>_xlfn.XLOOKUP(tbl_MTG_Set[[#This Row],[Type Name]], tbl_MTG_Set_Type[Set Type], tbl_MTG_Set_Type[Heavy Printing Window Month End], "(Set Type not found)", 0, 1)</f>
        <v>(Set Type not found)</v>
      </c>
      <c r="R602" s="3" t="e">
        <f>tbl_MTG_Set[[#This Row],[Released On]]+tbl_MTG_Set[[#This Row],[Heavy Printing Window Month End]]*365.25/12</f>
        <v>#VALUE!</v>
      </c>
      <c r="S602" s="3" t="e">
        <f ca="1">AND(NOW()&gt;=tbl_MTG_Set[[#This Row],[Heavy Printing Window Start]], NOW()&lt;=tbl_MTG_Set[[#This Row],[Heavy Printing Window End]])</f>
        <v>#VALUE!</v>
      </c>
      <c r="T602" t="str">
        <f>_xlfn.XLOOKUP(tbl_MTG_Set[[#This Row],[Type Name]], tbl_MTG_Set_Type[Set Type], tbl_MTG_Set_Type[Sell Window Month Start], "(Set Type not found)", 0, 1)</f>
        <v>(Set Type not found)</v>
      </c>
      <c r="U602" s="3" t="e">
        <f>tbl_MTG_Set[[#This Row],[Released On]]+tbl_MTG_Set[[#This Row],[Sell Window Month Start]]*365.25/12</f>
        <v>#VALUE!</v>
      </c>
      <c r="V602" t="str">
        <f>_xlfn.XLOOKUP(tbl_MTG_Set[[#This Row],[Type Name]], tbl_MTG_Set_Type[Set Type], tbl_MTG_Set_Type[Sell Window Month End], "(Set Type not found)", 0, 1)</f>
        <v>(Set Type not found)</v>
      </c>
      <c r="W602" s="3" t="e">
        <f>tbl_MTG_Set[[#This Row],[Released On]]+tbl_MTG_Set[[#This Row],[Sell Window Month End]]*365.25/12</f>
        <v>#VALUE!</v>
      </c>
      <c r="X602" s="3" t="e">
        <f ca="1">AND(NOW()&gt;=tbl_MTG_Set[[#This Row],[Sell Window Start]], NOW()&lt;=tbl_MTG_Set[[#This Row],[Sell Window End]])</f>
        <v>#VALUE!</v>
      </c>
      <c r="AG602" s="10"/>
      <c r="AH602" s="10"/>
      <c r="AM602" s="10" t="str" cm="1">
        <f t="array" ref="AM6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2" s="10" t="str" cm="1">
        <f t="array" ref="AN6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2" s="4" t="e">
        <f>_xlfn.XLOOKUP(tbl_MTG_Set[[#This Row],[Play Booster Box Product Id]], tbl_Product[Product Id], tbl_Product[Pack Size])</f>
        <v>#N/A</v>
      </c>
      <c r="AP602" s="10" t="e">
        <f>(tbl_MTG_Set[[#This Row],[Play Booster Box Cost]]+v_Item_Shipping_Cost_In)/tbl_MTG_Set[[#This Row],[Play Booster Box Size]]</f>
        <v>#VALUE!</v>
      </c>
      <c r="AQ602" s="10" t="str" cm="1">
        <f t="array" ref="AQ6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2" s="10"/>
      <c r="AS602" s="10"/>
      <c r="AT602" s="17" t="e">
        <f>tbl_MTG_Set[[#This Row],[Play Booster CardMarket Profit]]/tbl_MTG_Set[[#This Row],[Play Booster Cost]]</f>
        <v>#VALUE!</v>
      </c>
      <c r="AU602" s="10" t="e">
        <f>_xlfn.XLOOKUP(tbl_MTG_Set[[#This Row],[Collector Booster Box Product Id]], tbl_Product[Product Id], tbl_Product[Min Cost])</f>
        <v>#N/A</v>
      </c>
      <c r="AV602" s="10" t="e">
        <f>_xlfn.XLOOKUP(tbl_MTG_Set[[#This Row],[Collector Booster Box Product Id]], tbl_Product[Product Id], tbl_Product[Best Source])</f>
        <v>#N/A</v>
      </c>
      <c r="AW602" s="4" t="e">
        <f>_xlfn.XLOOKUP(tbl_MTG_Set[[#This Row],[Collector Booster Box Product Id]], tbl_Product[Product Id], tbl_Product[Pack Size])</f>
        <v>#N/A</v>
      </c>
      <c r="AX602" s="10" t="e">
        <f>(tbl_MTG_Set[[#This Row],[Collector Booster Box Cost]] + v_Item_Shipping_Cost_In) / tbl_MTG_Set[[#This Row],[Collector Booster Box Size]]</f>
        <v>#N/A</v>
      </c>
      <c r="AY602" s="10" t="str" cm="1">
        <f t="array" ref="AY6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2" s="10"/>
      <c r="BA6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2" s="17" t="e">
        <f>tbl_MTG_Set[[#This Row],[Collector Booster CardMarket Profit]]/tbl_MTG_Set[[#This Row],[Collector Booster Cost]]</f>
        <v>#N/A</v>
      </c>
      <c r="BC602" s="10"/>
      <c r="BF6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2" s="11" t="e">
        <f>tbl_MTG_Set[[#This Row],[Play Singles CardMarket Profit MTG Stocks]]/tbl_MTG_Set[[#This Row],[Play Booster Cost]]</f>
        <v>#VALUE!</v>
      </c>
      <c r="BI602" s="11" t="b">
        <f>tbl_MTG_Set[[#This Row],[Play Singles CardMarket Profit MTG Stocks]]&gt;0</f>
        <v>0</v>
      </c>
      <c r="BM602" s="10" t="e">
        <f>tbl_MTG_Set[[#This Row],[Play Booster Sell Price CardMarket]]*tbl_MTG_Set[[#This Row],[Play Booster Expected Market Value BotBox]]/tbl_MTG_Set[[#This Row],[Play Booster Sealed Market Value BotBox]]</f>
        <v>#VALUE!</v>
      </c>
      <c r="BN6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2" s="10" t="e">
        <f>tbl_MTG_Set[[#This Row],[Play Singles CardMarket Profit BotBox]]/tbl_MTG_Set[[#This Row],[Play Booster Cost]]</f>
        <v>#VALUE!</v>
      </c>
      <c r="BP602" s="10" t="b">
        <f>tbl_MTG_Set[[#This Row],[Play Singles CardMarket Profit BotBox]]&gt;0</f>
        <v>0</v>
      </c>
      <c r="BQ602" s="10"/>
      <c r="BR602" s="10"/>
      <c r="BS602" s="10"/>
      <c r="BT6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2" s="19" t="e">
        <f>tbl_MTG_Set[[#This Row],[Collector Singles CardMarket Profit MTG Stocks]]/tbl_MTG_Set[[#This Row],[Collector Booster Cost]]</f>
        <v>#N/A</v>
      </c>
      <c r="BW602" s="10" t="b">
        <f>tbl_MTG_Set[[#This Row],[Collector Singles CardMarket Profit MTG Stocks]]&gt;0</f>
        <v>0</v>
      </c>
      <c r="BX602" s="10"/>
      <c r="BY602" s="10"/>
      <c r="BZ6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2" s="10" t="e">
        <f>tbl_MTG_Set[[#This Row],[Collector Singles CardMarket Profit BotBox]]/tbl_MTG_Set[[#This Row],[Collector Booster Cost]]</f>
        <v>#N/A</v>
      </c>
      <c r="CC602" s="10" t="b">
        <f>tbl_MTG_Set[[#This Row],[Collector Singles CardMarket Profit BotBox]]&gt;0</f>
        <v>0</v>
      </c>
      <c r="CD6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3" spans="1:86" hidden="1">
      <c r="A603">
        <v>635</v>
      </c>
      <c r="B603" t="s">
        <v>776</v>
      </c>
      <c r="C603">
        <v>2</v>
      </c>
      <c r="D603" s="3">
        <v>41829</v>
      </c>
      <c r="F603" t="s">
        <v>174</v>
      </c>
      <c r="G603">
        <v>1216</v>
      </c>
      <c r="H603">
        <f ca="1">MONTH(NOW())+12*YEAR(NOW())-MONTH(tbl_MTG_Set[[#This Row],[Released On]])-12*YEAR(tbl_MTG_Set[[#This Row],[Released On]])</f>
        <v>140</v>
      </c>
      <c r="I603" t="str">
        <f>_xlfn.XLOOKUP(tbl_MTG_Set[[#This Row],[Type Name]], tbl_MTG_Set_Type[Set Type], tbl_MTG_Set_Type[Index], "(Set Type not found)")</f>
        <v>(Set Type not found)</v>
      </c>
      <c r="J603" t="str">
        <f>_xlfn.XLOOKUP(tbl_MTG_Set[[#This Row],[Type Name]], tbl_MTG_Set_Type[Set Type], tbl_MTG_Set_Type[Buy Window Month Start], "(Set Type not found)")</f>
        <v>(Set Type not found)</v>
      </c>
      <c r="K603" s="3" t="e">
        <f>tbl_MTG_Set[[#This Row],[Released On]]+tbl_MTG_Set[[#This Row],[Buy Window Month Start]]*365.25/12</f>
        <v>#VALUE!</v>
      </c>
      <c r="L603" t="str">
        <f>_xlfn.XLOOKUP(tbl_MTG_Set[[#This Row],[Type Name]], tbl_MTG_Set_Type[Set Type], tbl_MTG_Set_Type[Buy Window Month End], "(Set Type not found)", 0, 1)</f>
        <v>(Set Type not found)</v>
      </c>
      <c r="M603" s="3" t="e">
        <f>tbl_MTG_Set[[#This Row],[Released On]]+tbl_MTG_Set[[#This Row],[Buy Window Month End]]*365.25/12</f>
        <v>#VALUE!</v>
      </c>
      <c r="N603" s="3" t="e">
        <f ca="1">AND(NOW()&gt;=tbl_MTG_Set[[#This Row],[Buy Window Start]], NOW()&lt;=tbl_MTG_Set[[#This Row],[Buy Window End]])</f>
        <v>#VALUE!</v>
      </c>
      <c r="O603" t="str">
        <f>_xlfn.XLOOKUP(tbl_MTG_Set[[#This Row],[Type Name]], tbl_MTG_Set_Type[Set Type], tbl_MTG_Set_Type[Heavy Printing Window Month Start], "(Set Type not found)", 0, 1)</f>
        <v>(Set Type not found)</v>
      </c>
      <c r="P603" s="3" t="e">
        <f>tbl_MTG_Set[[#This Row],[Released On]]+tbl_MTG_Set[[#This Row],[Heavy Printing Window Month Start]]*365.25/12</f>
        <v>#VALUE!</v>
      </c>
      <c r="Q603" t="str">
        <f>_xlfn.XLOOKUP(tbl_MTG_Set[[#This Row],[Type Name]], tbl_MTG_Set_Type[Set Type], tbl_MTG_Set_Type[Heavy Printing Window Month End], "(Set Type not found)", 0, 1)</f>
        <v>(Set Type not found)</v>
      </c>
      <c r="R603" s="3" t="e">
        <f>tbl_MTG_Set[[#This Row],[Released On]]+tbl_MTG_Set[[#This Row],[Heavy Printing Window Month End]]*365.25/12</f>
        <v>#VALUE!</v>
      </c>
      <c r="S603" s="3" t="e">
        <f ca="1">AND(NOW()&gt;=tbl_MTG_Set[[#This Row],[Heavy Printing Window Start]], NOW()&lt;=tbl_MTG_Set[[#This Row],[Heavy Printing Window End]])</f>
        <v>#VALUE!</v>
      </c>
      <c r="T603" t="str">
        <f>_xlfn.XLOOKUP(tbl_MTG_Set[[#This Row],[Type Name]], tbl_MTG_Set_Type[Set Type], tbl_MTG_Set_Type[Sell Window Month Start], "(Set Type not found)", 0, 1)</f>
        <v>(Set Type not found)</v>
      </c>
      <c r="U603" s="3" t="e">
        <f>tbl_MTG_Set[[#This Row],[Released On]]+tbl_MTG_Set[[#This Row],[Sell Window Month Start]]*365.25/12</f>
        <v>#VALUE!</v>
      </c>
      <c r="V603" t="str">
        <f>_xlfn.XLOOKUP(tbl_MTG_Set[[#This Row],[Type Name]], tbl_MTG_Set_Type[Set Type], tbl_MTG_Set_Type[Sell Window Month End], "(Set Type not found)", 0, 1)</f>
        <v>(Set Type not found)</v>
      </c>
      <c r="W603" s="3" t="e">
        <f>tbl_MTG_Set[[#This Row],[Released On]]+tbl_MTG_Set[[#This Row],[Sell Window Month End]]*365.25/12</f>
        <v>#VALUE!</v>
      </c>
      <c r="X603" s="3" t="e">
        <f ca="1">AND(NOW()&gt;=tbl_MTG_Set[[#This Row],[Sell Window Start]], NOW()&lt;=tbl_MTG_Set[[#This Row],[Sell Window End]])</f>
        <v>#VALUE!</v>
      </c>
      <c r="AG603" s="10"/>
      <c r="AH603" s="10"/>
      <c r="AM603" s="10" t="str" cm="1">
        <f t="array" ref="AM6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3" s="10" t="str" cm="1">
        <f t="array" ref="AN6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3" s="4" t="e">
        <f>_xlfn.XLOOKUP(tbl_MTG_Set[[#This Row],[Play Booster Box Product Id]], tbl_Product[Product Id], tbl_Product[Pack Size])</f>
        <v>#N/A</v>
      </c>
      <c r="AP603" s="10" t="e">
        <f>(tbl_MTG_Set[[#This Row],[Play Booster Box Cost]]+v_Item_Shipping_Cost_In)/tbl_MTG_Set[[#This Row],[Play Booster Box Size]]</f>
        <v>#VALUE!</v>
      </c>
      <c r="AQ603" s="10" t="str" cm="1">
        <f t="array" ref="AQ6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3" s="10"/>
      <c r="AS603" s="10"/>
      <c r="AT603" s="17" t="e">
        <f>tbl_MTG_Set[[#This Row],[Play Booster CardMarket Profit]]/tbl_MTG_Set[[#This Row],[Play Booster Cost]]</f>
        <v>#VALUE!</v>
      </c>
      <c r="AU603" s="10" t="e">
        <f>_xlfn.XLOOKUP(tbl_MTG_Set[[#This Row],[Collector Booster Box Product Id]], tbl_Product[Product Id], tbl_Product[Min Cost])</f>
        <v>#N/A</v>
      </c>
      <c r="AV603" s="10" t="e">
        <f>_xlfn.XLOOKUP(tbl_MTG_Set[[#This Row],[Collector Booster Box Product Id]], tbl_Product[Product Id], tbl_Product[Best Source])</f>
        <v>#N/A</v>
      </c>
      <c r="AW603" s="4" t="e">
        <f>_xlfn.XLOOKUP(tbl_MTG_Set[[#This Row],[Collector Booster Box Product Id]], tbl_Product[Product Id], tbl_Product[Pack Size])</f>
        <v>#N/A</v>
      </c>
      <c r="AX603" s="10" t="e">
        <f>(tbl_MTG_Set[[#This Row],[Collector Booster Box Cost]] + v_Item_Shipping_Cost_In) / tbl_MTG_Set[[#This Row],[Collector Booster Box Size]]</f>
        <v>#N/A</v>
      </c>
      <c r="AY603" s="10" t="str" cm="1">
        <f t="array" ref="AY6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3" s="10"/>
      <c r="BA6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3" s="17" t="e">
        <f>tbl_MTG_Set[[#This Row],[Collector Booster CardMarket Profit]]/tbl_MTG_Set[[#This Row],[Collector Booster Cost]]</f>
        <v>#N/A</v>
      </c>
      <c r="BC603" s="10"/>
      <c r="BF6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3" s="11" t="e">
        <f>tbl_MTG_Set[[#This Row],[Play Singles CardMarket Profit MTG Stocks]]/tbl_MTG_Set[[#This Row],[Play Booster Cost]]</f>
        <v>#VALUE!</v>
      </c>
      <c r="BI603" s="11" t="b">
        <f>tbl_MTG_Set[[#This Row],[Play Singles CardMarket Profit MTG Stocks]]&gt;0</f>
        <v>0</v>
      </c>
      <c r="BM603" s="10" t="e">
        <f>tbl_MTG_Set[[#This Row],[Play Booster Sell Price CardMarket]]*tbl_MTG_Set[[#This Row],[Play Booster Expected Market Value BotBox]]/tbl_MTG_Set[[#This Row],[Play Booster Sealed Market Value BotBox]]</f>
        <v>#VALUE!</v>
      </c>
      <c r="BN6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3" s="10" t="e">
        <f>tbl_MTG_Set[[#This Row],[Play Singles CardMarket Profit BotBox]]/tbl_MTG_Set[[#This Row],[Play Booster Cost]]</f>
        <v>#VALUE!</v>
      </c>
      <c r="BP603" s="10" t="b">
        <f>tbl_MTG_Set[[#This Row],[Play Singles CardMarket Profit BotBox]]&gt;0</f>
        <v>0</v>
      </c>
      <c r="BQ603" s="10"/>
      <c r="BR603" s="10"/>
      <c r="BS603" s="10"/>
      <c r="BT6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3" s="19" t="e">
        <f>tbl_MTG_Set[[#This Row],[Collector Singles CardMarket Profit MTG Stocks]]/tbl_MTG_Set[[#This Row],[Collector Booster Cost]]</f>
        <v>#N/A</v>
      </c>
      <c r="BW603" s="10" t="b">
        <f>tbl_MTG_Set[[#This Row],[Collector Singles CardMarket Profit MTG Stocks]]&gt;0</f>
        <v>0</v>
      </c>
      <c r="BX603" s="10"/>
      <c r="BY603" s="10"/>
      <c r="BZ6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3" s="10" t="e">
        <f>tbl_MTG_Set[[#This Row],[Collector Singles CardMarket Profit BotBox]]/tbl_MTG_Set[[#This Row],[Collector Booster Cost]]</f>
        <v>#N/A</v>
      </c>
      <c r="CC603" s="10" t="b">
        <f>tbl_MTG_Set[[#This Row],[Collector Singles CardMarket Profit BotBox]]&gt;0</f>
        <v>0</v>
      </c>
      <c r="CD6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4" spans="1:86" hidden="1">
      <c r="A604">
        <v>636</v>
      </c>
      <c r="B604" t="s">
        <v>777</v>
      </c>
      <c r="C604">
        <v>6</v>
      </c>
      <c r="D604" s="3">
        <v>41828</v>
      </c>
      <c r="F604" t="s">
        <v>174</v>
      </c>
      <c r="G604">
        <v>1218</v>
      </c>
      <c r="H604">
        <f ca="1">MONTH(NOW())+12*YEAR(NOW())-MONTH(tbl_MTG_Set[[#This Row],[Released On]])-12*YEAR(tbl_MTG_Set[[#This Row],[Released On]])</f>
        <v>140</v>
      </c>
      <c r="I604" t="str">
        <f>_xlfn.XLOOKUP(tbl_MTG_Set[[#This Row],[Type Name]], tbl_MTG_Set_Type[Set Type], tbl_MTG_Set_Type[Index], "(Set Type not found)")</f>
        <v>(Set Type not found)</v>
      </c>
      <c r="J604" t="str">
        <f>_xlfn.XLOOKUP(tbl_MTG_Set[[#This Row],[Type Name]], tbl_MTG_Set_Type[Set Type], tbl_MTG_Set_Type[Buy Window Month Start], "(Set Type not found)")</f>
        <v>(Set Type not found)</v>
      </c>
      <c r="K604" s="3" t="e">
        <f>tbl_MTG_Set[[#This Row],[Released On]]+tbl_MTG_Set[[#This Row],[Buy Window Month Start]]*365.25/12</f>
        <v>#VALUE!</v>
      </c>
      <c r="L604" t="str">
        <f>_xlfn.XLOOKUP(tbl_MTG_Set[[#This Row],[Type Name]], tbl_MTG_Set_Type[Set Type], tbl_MTG_Set_Type[Buy Window Month End], "(Set Type not found)", 0, 1)</f>
        <v>(Set Type not found)</v>
      </c>
      <c r="M604" s="3" t="e">
        <f>tbl_MTG_Set[[#This Row],[Released On]]+tbl_MTG_Set[[#This Row],[Buy Window Month End]]*365.25/12</f>
        <v>#VALUE!</v>
      </c>
      <c r="N604" s="3" t="e">
        <f ca="1">AND(NOW()&gt;=tbl_MTG_Set[[#This Row],[Buy Window Start]], NOW()&lt;=tbl_MTG_Set[[#This Row],[Buy Window End]])</f>
        <v>#VALUE!</v>
      </c>
      <c r="O604" t="str">
        <f>_xlfn.XLOOKUP(tbl_MTG_Set[[#This Row],[Type Name]], tbl_MTG_Set_Type[Set Type], tbl_MTG_Set_Type[Heavy Printing Window Month Start], "(Set Type not found)", 0, 1)</f>
        <v>(Set Type not found)</v>
      </c>
      <c r="P604" s="3" t="e">
        <f>tbl_MTG_Set[[#This Row],[Released On]]+tbl_MTG_Set[[#This Row],[Heavy Printing Window Month Start]]*365.25/12</f>
        <v>#VALUE!</v>
      </c>
      <c r="Q604" t="str">
        <f>_xlfn.XLOOKUP(tbl_MTG_Set[[#This Row],[Type Name]], tbl_MTG_Set_Type[Set Type], tbl_MTG_Set_Type[Heavy Printing Window Month End], "(Set Type not found)", 0, 1)</f>
        <v>(Set Type not found)</v>
      </c>
      <c r="R604" s="3" t="e">
        <f>tbl_MTG_Set[[#This Row],[Released On]]+tbl_MTG_Set[[#This Row],[Heavy Printing Window Month End]]*365.25/12</f>
        <v>#VALUE!</v>
      </c>
      <c r="S604" s="3" t="e">
        <f ca="1">AND(NOW()&gt;=tbl_MTG_Set[[#This Row],[Heavy Printing Window Start]], NOW()&lt;=tbl_MTG_Set[[#This Row],[Heavy Printing Window End]])</f>
        <v>#VALUE!</v>
      </c>
      <c r="T604" t="str">
        <f>_xlfn.XLOOKUP(tbl_MTG_Set[[#This Row],[Type Name]], tbl_MTG_Set_Type[Set Type], tbl_MTG_Set_Type[Sell Window Month Start], "(Set Type not found)", 0, 1)</f>
        <v>(Set Type not found)</v>
      </c>
      <c r="U604" s="3" t="e">
        <f>tbl_MTG_Set[[#This Row],[Released On]]+tbl_MTG_Set[[#This Row],[Sell Window Month Start]]*365.25/12</f>
        <v>#VALUE!</v>
      </c>
      <c r="V604" t="str">
        <f>_xlfn.XLOOKUP(tbl_MTG_Set[[#This Row],[Type Name]], tbl_MTG_Set_Type[Set Type], tbl_MTG_Set_Type[Sell Window Month End], "(Set Type not found)", 0, 1)</f>
        <v>(Set Type not found)</v>
      </c>
      <c r="W604" s="3" t="e">
        <f>tbl_MTG_Set[[#This Row],[Released On]]+tbl_MTG_Set[[#This Row],[Sell Window Month End]]*365.25/12</f>
        <v>#VALUE!</v>
      </c>
      <c r="X604" s="3" t="e">
        <f ca="1">AND(NOW()&gt;=tbl_MTG_Set[[#This Row],[Sell Window Start]], NOW()&lt;=tbl_MTG_Set[[#This Row],[Sell Window End]])</f>
        <v>#VALUE!</v>
      </c>
      <c r="AG604" s="10"/>
      <c r="AH604" s="10"/>
      <c r="AM604" s="10" t="str" cm="1">
        <f t="array" ref="AM6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4" s="10" t="str" cm="1">
        <f t="array" ref="AN6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4" s="4" t="e">
        <f>_xlfn.XLOOKUP(tbl_MTG_Set[[#This Row],[Play Booster Box Product Id]], tbl_Product[Product Id], tbl_Product[Pack Size])</f>
        <v>#N/A</v>
      </c>
      <c r="AP604" s="10" t="e">
        <f>(tbl_MTG_Set[[#This Row],[Play Booster Box Cost]]+v_Item_Shipping_Cost_In)/tbl_MTG_Set[[#This Row],[Play Booster Box Size]]</f>
        <v>#VALUE!</v>
      </c>
      <c r="AQ604" s="10" t="str" cm="1">
        <f t="array" ref="AQ6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4" s="10"/>
      <c r="AS604" s="10"/>
      <c r="AT604" s="17" t="e">
        <f>tbl_MTG_Set[[#This Row],[Play Booster CardMarket Profit]]/tbl_MTG_Set[[#This Row],[Play Booster Cost]]</f>
        <v>#VALUE!</v>
      </c>
      <c r="AU604" s="10" t="e">
        <f>_xlfn.XLOOKUP(tbl_MTG_Set[[#This Row],[Collector Booster Box Product Id]], tbl_Product[Product Id], tbl_Product[Min Cost])</f>
        <v>#N/A</v>
      </c>
      <c r="AV604" s="10" t="e">
        <f>_xlfn.XLOOKUP(tbl_MTG_Set[[#This Row],[Collector Booster Box Product Id]], tbl_Product[Product Id], tbl_Product[Best Source])</f>
        <v>#N/A</v>
      </c>
      <c r="AW604" s="4" t="e">
        <f>_xlfn.XLOOKUP(tbl_MTG_Set[[#This Row],[Collector Booster Box Product Id]], tbl_Product[Product Id], tbl_Product[Pack Size])</f>
        <v>#N/A</v>
      </c>
      <c r="AX604" s="10" t="e">
        <f>(tbl_MTG_Set[[#This Row],[Collector Booster Box Cost]] + v_Item_Shipping_Cost_In) / tbl_MTG_Set[[#This Row],[Collector Booster Box Size]]</f>
        <v>#N/A</v>
      </c>
      <c r="AY604" s="10" t="str" cm="1">
        <f t="array" ref="AY6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4" s="10"/>
      <c r="BA6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4" s="17" t="e">
        <f>tbl_MTG_Set[[#This Row],[Collector Booster CardMarket Profit]]/tbl_MTG_Set[[#This Row],[Collector Booster Cost]]</f>
        <v>#N/A</v>
      </c>
      <c r="BC604" s="10"/>
      <c r="BF6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4" s="11" t="e">
        <f>tbl_MTG_Set[[#This Row],[Play Singles CardMarket Profit MTG Stocks]]/tbl_MTG_Set[[#This Row],[Play Booster Cost]]</f>
        <v>#VALUE!</v>
      </c>
      <c r="BI604" s="11" t="b">
        <f>tbl_MTG_Set[[#This Row],[Play Singles CardMarket Profit MTG Stocks]]&gt;0</f>
        <v>0</v>
      </c>
      <c r="BM604" s="10" t="e">
        <f>tbl_MTG_Set[[#This Row],[Play Booster Sell Price CardMarket]]*tbl_MTG_Set[[#This Row],[Play Booster Expected Market Value BotBox]]/tbl_MTG_Set[[#This Row],[Play Booster Sealed Market Value BotBox]]</f>
        <v>#VALUE!</v>
      </c>
      <c r="BN6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4" s="10" t="e">
        <f>tbl_MTG_Set[[#This Row],[Play Singles CardMarket Profit BotBox]]/tbl_MTG_Set[[#This Row],[Play Booster Cost]]</f>
        <v>#VALUE!</v>
      </c>
      <c r="BP604" s="10" t="b">
        <f>tbl_MTG_Set[[#This Row],[Play Singles CardMarket Profit BotBox]]&gt;0</f>
        <v>0</v>
      </c>
      <c r="BQ604" s="10"/>
      <c r="BR604" s="10"/>
      <c r="BS604" s="10"/>
      <c r="BT6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4" s="19" t="e">
        <f>tbl_MTG_Set[[#This Row],[Collector Singles CardMarket Profit MTG Stocks]]/tbl_MTG_Set[[#This Row],[Collector Booster Cost]]</f>
        <v>#N/A</v>
      </c>
      <c r="BW604" s="10" t="b">
        <f>tbl_MTG_Set[[#This Row],[Collector Singles CardMarket Profit MTG Stocks]]&gt;0</f>
        <v>0</v>
      </c>
      <c r="BX604" s="10"/>
      <c r="BY604" s="10"/>
      <c r="BZ6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4" s="10" t="e">
        <f>tbl_MTG_Set[[#This Row],[Collector Singles CardMarket Profit BotBox]]/tbl_MTG_Set[[#This Row],[Collector Booster Cost]]</f>
        <v>#N/A</v>
      </c>
      <c r="CC604" s="10" t="b">
        <f>tbl_MTG_Set[[#This Row],[Collector Singles CardMarket Profit BotBox]]&gt;0</f>
        <v>0</v>
      </c>
      <c r="CD6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5" spans="1:86" hidden="1">
      <c r="A605">
        <v>637</v>
      </c>
      <c r="B605" t="s">
        <v>778</v>
      </c>
      <c r="C605">
        <v>325</v>
      </c>
      <c r="D605" s="3">
        <v>41806</v>
      </c>
      <c r="F605" t="s">
        <v>174</v>
      </c>
      <c r="G605">
        <v>1220</v>
      </c>
      <c r="H605">
        <f ca="1">MONTH(NOW())+12*YEAR(NOW())-MONTH(tbl_MTG_Set[[#This Row],[Released On]])-12*YEAR(tbl_MTG_Set[[#This Row],[Released On]])</f>
        <v>141</v>
      </c>
      <c r="I605" t="str">
        <f>_xlfn.XLOOKUP(tbl_MTG_Set[[#This Row],[Type Name]], tbl_MTG_Set_Type[Set Type], tbl_MTG_Set_Type[Index], "(Set Type not found)")</f>
        <v>(Set Type not found)</v>
      </c>
      <c r="J605" t="str">
        <f>_xlfn.XLOOKUP(tbl_MTG_Set[[#This Row],[Type Name]], tbl_MTG_Set_Type[Set Type], tbl_MTG_Set_Type[Buy Window Month Start], "(Set Type not found)")</f>
        <v>(Set Type not found)</v>
      </c>
      <c r="K605" s="3" t="e">
        <f>tbl_MTG_Set[[#This Row],[Released On]]+tbl_MTG_Set[[#This Row],[Buy Window Month Start]]*365.25/12</f>
        <v>#VALUE!</v>
      </c>
      <c r="L605" t="str">
        <f>_xlfn.XLOOKUP(tbl_MTG_Set[[#This Row],[Type Name]], tbl_MTG_Set_Type[Set Type], tbl_MTG_Set_Type[Buy Window Month End], "(Set Type not found)", 0, 1)</f>
        <v>(Set Type not found)</v>
      </c>
      <c r="M605" s="3" t="e">
        <f>tbl_MTG_Set[[#This Row],[Released On]]+tbl_MTG_Set[[#This Row],[Buy Window Month End]]*365.25/12</f>
        <v>#VALUE!</v>
      </c>
      <c r="N605" s="3" t="e">
        <f ca="1">AND(NOW()&gt;=tbl_MTG_Set[[#This Row],[Buy Window Start]], NOW()&lt;=tbl_MTG_Set[[#This Row],[Buy Window End]])</f>
        <v>#VALUE!</v>
      </c>
      <c r="O605" t="str">
        <f>_xlfn.XLOOKUP(tbl_MTG_Set[[#This Row],[Type Name]], tbl_MTG_Set_Type[Set Type], tbl_MTG_Set_Type[Heavy Printing Window Month Start], "(Set Type not found)", 0, 1)</f>
        <v>(Set Type not found)</v>
      </c>
      <c r="P605" s="3" t="e">
        <f>tbl_MTG_Set[[#This Row],[Released On]]+tbl_MTG_Set[[#This Row],[Heavy Printing Window Month Start]]*365.25/12</f>
        <v>#VALUE!</v>
      </c>
      <c r="Q605" t="str">
        <f>_xlfn.XLOOKUP(tbl_MTG_Set[[#This Row],[Type Name]], tbl_MTG_Set_Type[Set Type], tbl_MTG_Set_Type[Heavy Printing Window Month End], "(Set Type not found)", 0, 1)</f>
        <v>(Set Type not found)</v>
      </c>
      <c r="R605" s="3" t="e">
        <f>tbl_MTG_Set[[#This Row],[Released On]]+tbl_MTG_Set[[#This Row],[Heavy Printing Window Month End]]*365.25/12</f>
        <v>#VALUE!</v>
      </c>
      <c r="S605" s="3" t="e">
        <f ca="1">AND(NOW()&gt;=tbl_MTG_Set[[#This Row],[Heavy Printing Window Start]], NOW()&lt;=tbl_MTG_Set[[#This Row],[Heavy Printing Window End]])</f>
        <v>#VALUE!</v>
      </c>
      <c r="T605" t="str">
        <f>_xlfn.XLOOKUP(tbl_MTG_Set[[#This Row],[Type Name]], tbl_MTG_Set_Type[Set Type], tbl_MTG_Set_Type[Sell Window Month Start], "(Set Type not found)", 0, 1)</f>
        <v>(Set Type not found)</v>
      </c>
      <c r="U605" s="3" t="e">
        <f>tbl_MTG_Set[[#This Row],[Released On]]+tbl_MTG_Set[[#This Row],[Sell Window Month Start]]*365.25/12</f>
        <v>#VALUE!</v>
      </c>
      <c r="V605" t="str">
        <f>_xlfn.XLOOKUP(tbl_MTG_Set[[#This Row],[Type Name]], tbl_MTG_Set_Type[Set Type], tbl_MTG_Set_Type[Sell Window Month End], "(Set Type not found)", 0, 1)</f>
        <v>(Set Type not found)</v>
      </c>
      <c r="W605" s="3" t="e">
        <f>tbl_MTG_Set[[#This Row],[Released On]]+tbl_MTG_Set[[#This Row],[Sell Window Month End]]*365.25/12</f>
        <v>#VALUE!</v>
      </c>
      <c r="X605" s="3" t="e">
        <f ca="1">AND(NOW()&gt;=tbl_MTG_Set[[#This Row],[Sell Window Start]], NOW()&lt;=tbl_MTG_Set[[#This Row],[Sell Window End]])</f>
        <v>#VALUE!</v>
      </c>
      <c r="AG605" s="10"/>
      <c r="AH605" s="10"/>
      <c r="AM605" s="10" t="str" cm="1">
        <f t="array" ref="AM6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5" s="10" t="str" cm="1">
        <f t="array" ref="AN6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5" s="4" t="e">
        <f>_xlfn.XLOOKUP(tbl_MTG_Set[[#This Row],[Play Booster Box Product Id]], tbl_Product[Product Id], tbl_Product[Pack Size])</f>
        <v>#N/A</v>
      </c>
      <c r="AP605" s="10" t="e">
        <f>(tbl_MTG_Set[[#This Row],[Play Booster Box Cost]]+v_Item_Shipping_Cost_In)/tbl_MTG_Set[[#This Row],[Play Booster Box Size]]</f>
        <v>#VALUE!</v>
      </c>
      <c r="AQ605" s="10" t="str" cm="1">
        <f t="array" ref="AQ6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5" s="10"/>
      <c r="AS605" s="10"/>
      <c r="AT605" s="17" t="e">
        <f>tbl_MTG_Set[[#This Row],[Play Booster CardMarket Profit]]/tbl_MTG_Set[[#This Row],[Play Booster Cost]]</f>
        <v>#VALUE!</v>
      </c>
      <c r="AU605" s="10" t="e">
        <f>_xlfn.XLOOKUP(tbl_MTG_Set[[#This Row],[Collector Booster Box Product Id]], tbl_Product[Product Id], tbl_Product[Min Cost])</f>
        <v>#N/A</v>
      </c>
      <c r="AV605" s="10" t="e">
        <f>_xlfn.XLOOKUP(tbl_MTG_Set[[#This Row],[Collector Booster Box Product Id]], tbl_Product[Product Id], tbl_Product[Best Source])</f>
        <v>#N/A</v>
      </c>
      <c r="AW605" s="4" t="e">
        <f>_xlfn.XLOOKUP(tbl_MTG_Set[[#This Row],[Collector Booster Box Product Id]], tbl_Product[Product Id], tbl_Product[Pack Size])</f>
        <v>#N/A</v>
      </c>
      <c r="AX605" s="10" t="e">
        <f>(tbl_MTG_Set[[#This Row],[Collector Booster Box Cost]] + v_Item_Shipping_Cost_In) / tbl_MTG_Set[[#This Row],[Collector Booster Box Size]]</f>
        <v>#N/A</v>
      </c>
      <c r="AY605" s="10" t="str" cm="1">
        <f t="array" ref="AY6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5" s="10"/>
      <c r="BA6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5" s="17" t="e">
        <f>tbl_MTG_Set[[#This Row],[Collector Booster CardMarket Profit]]/tbl_MTG_Set[[#This Row],[Collector Booster Cost]]</f>
        <v>#N/A</v>
      </c>
      <c r="BC605" s="10"/>
      <c r="BF6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5" s="11" t="e">
        <f>tbl_MTG_Set[[#This Row],[Play Singles CardMarket Profit MTG Stocks]]/tbl_MTG_Set[[#This Row],[Play Booster Cost]]</f>
        <v>#VALUE!</v>
      </c>
      <c r="BI605" s="11" t="b">
        <f>tbl_MTG_Set[[#This Row],[Play Singles CardMarket Profit MTG Stocks]]&gt;0</f>
        <v>0</v>
      </c>
      <c r="BM605" s="10" t="e">
        <f>tbl_MTG_Set[[#This Row],[Play Booster Sell Price CardMarket]]*tbl_MTG_Set[[#This Row],[Play Booster Expected Market Value BotBox]]/tbl_MTG_Set[[#This Row],[Play Booster Sealed Market Value BotBox]]</f>
        <v>#VALUE!</v>
      </c>
      <c r="BN6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5" s="10" t="e">
        <f>tbl_MTG_Set[[#This Row],[Play Singles CardMarket Profit BotBox]]/tbl_MTG_Set[[#This Row],[Play Booster Cost]]</f>
        <v>#VALUE!</v>
      </c>
      <c r="BP605" s="10" t="b">
        <f>tbl_MTG_Set[[#This Row],[Play Singles CardMarket Profit BotBox]]&gt;0</f>
        <v>0</v>
      </c>
      <c r="BQ605" s="10"/>
      <c r="BR605" s="10"/>
      <c r="BS605" s="10"/>
      <c r="BT6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5" s="19" t="e">
        <f>tbl_MTG_Set[[#This Row],[Collector Singles CardMarket Profit MTG Stocks]]/tbl_MTG_Set[[#This Row],[Collector Booster Cost]]</f>
        <v>#N/A</v>
      </c>
      <c r="BW605" s="10" t="b">
        <f>tbl_MTG_Set[[#This Row],[Collector Singles CardMarket Profit MTG Stocks]]&gt;0</f>
        <v>0</v>
      </c>
      <c r="BX605" s="10"/>
      <c r="BY605" s="10"/>
      <c r="BZ6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5" s="10" t="e">
        <f>tbl_MTG_Set[[#This Row],[Collector Singles CardMarket Profit BotBox]]/tbl_MTG_Set[[#This Row],[Collector Booster Cost]]</f>
        <v>#N/A</v>
      </c>
      <c r="CC605" s="10" t="b">
        <f>tbl_MTG_Set[[#This Row],[Collector Singles CardMarket Profit BotBox]]&gt;0</f>
        <v>0</v>
      </c>
      <c r="CD6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6" spans="1:86" hidden="1">
      <c r="A606">
        <v>638</v>
      </c>
      <c r="B606" t="s">
        <v>779</v>
      </c>
      <c r="C606">
        <v>210</v>
      </c>
      <c r="D606" s="3">
        <v>41796</v>
      </c>
      <c r="F606" t="s">
        <v>174</v>
      </c>
      <c r="G606">
        <v>1222</v>
      </c>
      <c r="H606">
        <f ca="1">MONTH(NOW())+12*YEAR(NOW())-MONTH(tbl_MTG_Set[[#This Row],[Released On]])-12*YEAR(tbl_MTG_Set[[#This Row],[Released On]])</f>
        <v>141</v>
      </c>
      <c r="I606" t="str">
        <f>_xlfn.XLOOKUP(tbl_MTG_Set[[#This Row],[Type Name]], tbl_MTG_Set_Type[Set Type], tbl_MTG_Set_Type[Index], "(Set Type not found)")</f>
        <v>(Set Type not found)</v>
      </c>
      <c r="J606" t="str">
        <f>_xlfn.XLOOKUP(tbl_MTG_Set[[#This Row],[Type Name]], tbl_MTG_Set_Type[Set Type], tbl_MTG_Set_Type[Buy Window Month Start], "(Set Type not found)")</f>
        <v>(Set Type not found)</v>
      </c>
      <c r="K606" s="3" t="e">
        <f>tbl_MTG_Set[[#This Row],[Released On]]+tbl_MTG_Set[[#This Row],[Buy Window Month Start]]*365.25/12</f>
        <v>#VALUE!</v>
      </c>
      <c r="L606" t="str">
        <f>_xlfn.XLOOKUP(tbl_MTG_Set[[#This Row],[Type Name]], tbl_MTG_Set_Type[Set Type], tbl_MTG_Set_Type[Buy Window Month End], "(Set Type not found)", 0, 1)</f>
        <v>(Set Type not found)</v>
      </c>
      <c r="M606" s="3" t="e">
        <f>tbl_MTG_Set[[#This Row],[Released On]]+tbl_MTG_Set[[#This Row],[Buy Window Month End]]*365.25/12</f>
        <v>#VALUE!</v>
      </c>
      <c r="N606" s="3" t="e">
        <f ca="1">AND(NOW()&gt;=tbl_MTG_Set[[#This Row],[Buy Window Start]], NOW()&lt;=tbl_MTG_Set[[#This Row],[Buy Window End]])</f>
        <v>#VALUE!</v>
      </c>
      <c r="O606" t="str">
        <f>_xlfn.XLOOKUP(tbl_MTG_Set[[#This Row],[Type Name]], tbl_MTG_Set_Type[Set Type], tbl_MTG_Set_Type[Heavy Printing Window Month Start], "(Set Type not found)", 0, 1)</f>
        <v>(Set Type not found)</v>
      </c>
      <c r="P606" s="3" t="e">
        <f>tbl_MTG_Set[[#This Row],[Released On]]+tbl_MTG_Set[[#This Row],[Heavy Printing Window Month Start]]*365.25/12</f>
        <v>#VALUE!</v>
      </c>
      <c r="Q606" t="str">
        <f>_xlfn.XLOOKUP(tbl_MTG_Set[[#This Row],[Type Name]], tbl_MTG_Set_Type[Set Type], tbl_MTG_Set_Type[Heavy Printing Window Month End], "(Set Type not found)", 0, 1)</f>
        <v>(Set Type not found)</v>
      </c>
      <c r="R606" s="3" t="e">
        <f>tbl_MTG_Set[[#This Row],[Released On]]+tbl_MTG_Set[[#This Row],[Heavy Printing Window Month End]]*365.25/12</f>
        <v>#VALUE!</v>
      </c>
      <c r="S606" s="3" t="e">
        <f ca="1">AND(NOW()&gt;=tbl_MTG_Set[[#This Row],[Heavy Printing Window Start]], NOW()&lt;=tbl_MTG_Set[[#This Row],[Heavy Printing Window End]])</f>
        <v>#VALUE!</v>
      </c>
      <c r="T606" t="str">
        <f>_xlfn.XLOOKUP(tbl_MTG_Set[[#This Row],[Type Name]], tbl_MTG_Set_Type[Set Type], tbl_MTG_Set_Type[Sell Window Month Start], "(Set Type not found)", 0, 1)</f>
        <v>(Set Type not found)</v>
      </c>
      <c r="U606" s="3" t="e">
        <f>tbl_MTG_Set[[#This Row],[Released On]]+tbl_MTG_Set[[#This Row],[Sell Window Month Start]]*365.25/12</f>
        <v>#VALUE!</v>
      </c>
      <c r="V606" t="str">
        <f>_xlfn.XLOOKUP(tbl_MTG_Set[[#This Row],[Type Name]], tbl_MTG_Set_Type[Set Type], tbl_MTG_Set_Type[Sell Window Month End], "(Set Type not found)", 0, 1)</f>
        <v>(Set Type not found)</v>
      </c>
      <c r="W606" s="3" t="e">
        <f>tbl_MTG_Set[[#This Row],[Released On]]+tbl_MTG_Set[[#This Row],[Sell Window Month End]]*365.25/12</f>
        <v>#VALUE!</v>
      </c>
      <c r="X606" s="3" t="e">
        <f ca="1">AND(NOW()&gt;=tbl_MTG_Set[[#This Row],[Sell Window Start]], NOW()&lt;=tbl_MTG_Set[[#This Row],[Sell Window End]])</f>
        <v>#VALUE!</v>
      </c>
      <c r="AG606" s="10"/>
      <c r="AH606" s="10"/>
      <c r="AM606" s="10" t="str" cm="1">
        <f t="array" ref="AM6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6" s="10" t="str" cm="1">
        <f t="array" ref="AN6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6" s="4" t="e">
        <f>_xlfn.XLOOKUP(tbl_MTG_Set[[#This Row],[Play Booster Box Product Id]], tbl_Product[Product Id], tbl_Product[Pack Size])</f>
        <v>#N/A</v>
      </c>
      <c r="AP606" s="10" t="e">
        <f>(tbl_MTG_Set[[#This Row],[Play Booster Box Cost]]+v_Item_Shipping_Cost_In)/tbl_MTG_Set[[#This Row],[Play Booster Box Size]]</f>
        <v>#VALUE!</v>
      </c>
      <c r="AQ606" s="10" t="str" cm="1">
        <f t="array" ref="AQ6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6" s="10"/>
      <c r="AS606" s="10"/>
      <c r="AT606" s="17" t="e">
        <f>tbl_MTG_Set[[#This Row],[Play Booster CardMarket Profit]]/tbl_MTG_Set[[#This Row],[Play Booster Cost]]</f>
        <v>#VALUE!</v>
      </c>
      <c r="AU606" s="10" t="e">
        <f>_xlfn.XLOOKUP(tbl_MTG_Set[[#This Row],[Collector Booster Box Product Id]], tbl_Product[Product Id], tbl_Product[Min Cost])</f>
        <v>#N/A</v>
      </c>
      <c r="AV606" s="10" t="e">
        <f>_xlfn.XLOOKUP(tbl_MTG_Set[[#This Row],[Collector Booster Box Product Id]], tbl_Product[Product Id], tbl_Product[Best Source])</f>
        <v>#N/A</v>
      </c>
      <c r="AW606" s="4" t="e">
        <f>_xlfn.XLOOKUP(tbl_MTG_Set[[#This Row],[Collector Booster Box Product Id]], tbl_Product[Product Id], tbl_Product[Pack Size])</f>
        <v>#N/A</v>
      </c>
      <c r="AX606" s="10" t="e">
        <f>(tbl_MTG_Set[[#This Row],[Collector Booster Box Cost]] + v_Item_Shipping_Cost_In) / tbl_MTG_Set[[#This Row],[Collector Booster Box Size]]</f>
        <v>#N/A</v>
      </c>
      <c r="AY606" s="10" t="str" cm="1">
        <f t="array" ref="AY6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6" s="10"/>
      <c r="BA6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6" s="17" t="e">
        <f>tbl_MTG_Set[[#This Row],[Collector Booster CardMarket Profit]]/tbl_MTG_Set[[#This Row],[Collector Booster Cost]]</f>
        <v>#N/A</v>
      </c>
      <c r="BC606" s="10"/>
      <c r="BF6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6" s="11" t="e">
        <f>tbl_MTG_Set[[#This Row],[Play Singles CardMarket Profit MTG Stocks]]/tbl_MTG_Set[[#This Row],[Play Booster Cost]]</f>
        <v>#VALUE!</v>
      </c>
      <c r="BI606" s="11" t="b">
        <f>tbl_MTG_Set[[#This Row],[Play Singles CardMarket Profit MTG Stocks]]&gt;0</f>
        <v>0</v>
      </c>
      <c r="BM606" s="10" t="e">
        <f>tbl_MTG_Set[[#This Row],[Play Booster Sell Price CardMarket]]*tbl_MTG_Set[[#This Row],[Play Booster Expected Market Value BotBox]]/tbl_MTG_Set[[#This Row],[Play Booster Sealed Market Value BotBox]]</f>
        <v>#VALUE!</v>
      </c>
      <c r="BN6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6" s="10" t="e">
        <f>tbl_MTG_Set[[#This Row],[Play Singles CardMarket Profit BotBox]]/tbl_MTG_Set[[#This Row],[Play Booster Cost]]</f>
        <v>#VALUE!</v>
      </c>
      <c r="BP606" s="10" t="b">
        <f>tbl_MTG_Set[[#This Row],[Play Singles CardMarket Profit BotBox]]&gt;0</f>
        <v>0</v>
      </c>
      <c r="BQ606" s="10"/>
      <c r="BR606" s="10"/>
      <c r="BS606" s="10"/>
      <c r="BT6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6" s="19" t="e">
        <f>tbl_MTG_Set[[#This Row],[Collector Singles CardMarket Profit MTG Stocks]]/tbl_MTG_Set[[#This Row],[Collector Booster Cost]]</f>
        <v>#N/A</v>
      </c>
      <c r="BW606" s="10" t="b">
        <f>tbl_MTG_Set[[#This Row],[Collector Singles CardMarket Profit MTG Stocks]]&gt;0</f>
        <v>0</v>
      </c>
      <c r="BX606" s="10"/>
      <c r="BY606" s="10"/>
      <c r="BZ6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6" s="10" t="e">
        <f>tbl_MTG_Set[[#This Row],[Collector Singles CardMarket Profit BotBox]]/tbl_MTG_Set[[#This Row],[Collector Booster Cost]]</f>
        <v>#N/A</v>
      </c>
      <c r="CC606" s="10" t="b">
        <f>tbl_MTG_Set[[#This Row],[Collector Singles CardMarket Profit BotBox]]&gt;0</f>
        <v>0</v>
      </c>
      <c r="CD6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7" spans="1:86" hidden="1">
      <c r="A607">
        <v>639</v>
      </c>
      <c r="B607" t="s">
        <v>780</v>
      </c>
      <c r="C607">
        <v>1</v>
      </c>
      <c r="D607" s="3">
        <v>41796</v>
      </c>
      <c r="F607" t="s">
        <v>174</v>
      </c>
      <c r="G607">
        <v>1224</v>
      </c>
      <c r="H607">
        <f ca="1">MONTH(NOW())+12*YEAR(NOW())-MONTH(tbl_MTG_Set[[#This Row],[Released On]])-12*YEAR(tbl_MTG_Set[[#This Row],[Released On]])</f>
        <v>141</v>
      </c>
      <c r="I607" t="str">
        <f>_xlfn.XLOOKUP(tbl_MTG_Set[[#This Row],[Type Name]], tbl_MTG_Set_Type[Set Type], tbl_MTG_Set_Type[Index], "(Set Type not found)")</f>
        <v>(Set Type not found)</v>
      </c>
      <c r="J607" t="str">
        <f>_xlfn.XLOOKUP(tbl_MTG_Set[[#This Row],[Type Name]], tbl_MTG_Set_Type[Set Type], tbl_MTG_Set_Type[Buy Window Month Start], "(Set Type not found)")</f>
        <v>(Set Type not found)</v>
      </c>
      <c r="K607" s="3" t="e">
        <f>tbl_MTG_Set[[#This Row],[Released On]]+tbl_MTG_Set[[#This Row],[Buy Window Month Start]]*365.25/12</f>
        <v>#VALUE!</v>
      </c>
      <c r="L607" t="str">
        <f>_xlfn.XLOOKUP(tbl_MTG_Set[[#This Row],[Type Name]], tbl_MTG_Set_Type[Set Type], tbl_MTG_Set_Type[Buy Window Month End], "(Set Type not found)", 0, 1)</f>
        <v>(Set Type not found)</v>
      </c>
      <c r="M607" s="3" t="e">
        <f>tbl_MTG_Set[[#This Row],[Released On]]+tbl_MTG_Set[[#This Row],[Buy Window Month End]]*365.25/12</f>
        <v>#VALUE!</v>
      </c>
      <c r="N607" s="3" t="e">
        <f ca="1">AND(NOW()&gt;=tbl_MTG_Set[[#This Row],[Buy Window Start]], NOW()&lt;=tbl_MTG_Set[[#This Row],[Buy Window End]])</f>
        <v>#VALUE!</v>
      </c>
      <c r="O607" t="str">
        <f>_xlfn.XLOOKUP(tbl_MTG_Set[[#This Row],[Type Name]], tbl_MTG_Set_Type[Set Type], tbl_MTG_Set_Type[Heavy Printing Window Month Start], "(Set Type not found)", 0, 1)</f>
        <v>(Set Type not found)</v>
      </c>
      <c r="P607" s="3" t="e">
        <f>tbl_MTG_Set[[#This Row],[Released On]]+tbl_MTG_Set[[#This Row],[Heavy Printing Window Month Start]]*365.25/12</f>
        <v>#VALUE!</v>
      </c>
      <c r="Q607" t="str">
        <f>_xlfn.XLOOKUP(tbl_MTG_Set[[#This Row],[Type Name]], tbl_MTG_Set_Type[Set Type], tbl_MTG_Set_Type[Heavy Printing Window Month End], "(Set Type not found)", 0, 1)</f>
        <v>(Set Type not found)</v>
      </c>
      <c r="R607" s="3" t="e">
        <f>tbl_MTG_Set[[#This Row],[Released On]]+tbl_MTG_Set[[#This Row],[Heavy Printing Window Month End]]*365.25/12</f>
        <v>#VALUE!</v>
      </c>
      <c r="S607" s="3" t="e">
        <f ca="1">AND(NOW()&gt;=tbl_MTG_Set[[#This Row],[Heavy Printing Window Start]], NOW()&lt;=tbl_MTG_Set[[#This Row],[Heavy Printing Window End]])</f>
        <v>#VALUE!</v>
      </c>
      <c r="T607" t="str">
        <f>_xlfn.XLOOKUP(tbl_MTG_Set[[#This Row],[Type Name]], tbl_MTG_Set_Type[Set Type], tbl_MTG_Set_Type[Sell Window Month Start], "(Set Type not found)", 0, 1)</f>
        <v>(Set Type not found)</v>
      </c>
      <c r="U607" s="3" t="e">
        <f>tbl_MTG_Set[[#This Row],[Released On]]+tbl_MTG_Set[[#This Row],[Sell Window Month Start]]*365.25/12</f>
        <v>#VALUE!</v>
      </c>
      <c r="V607" t="str">
        <f>_xlfn.XLOOKUP(tbl_MTG_Set[[#This Row],[Type Name]], tbl_MTG_Set_Type[Set Type], tbl_MTG_Set_Type[Sell Window Month End], "(Set Type not found)", 0, 1)</f>
        <v>(Set Type not found)</v>
      </c>
      <c r="W607" s="3" t="e">
        <f>tbl_MTG_Set[[#This Row],[Released On]]+tbl_MTG_Set[[#This Row],[Sell Window Month End]]*365.25/12</f>
        <v>#VALUE!</v>
      </c>
      <c r="X607" s="3" t="e">
        <f ca="1">AND(NOW()&gt;=tbl_MTG_Set[[#This Row],[Sell Window Start]], NOW()&lt;=tbl_MTG_Set[[#This Row],[Sell Window End]])</f>
        <v>#VALUE!</v>
      </c>
      <c r="AG607" s="10"/>
      <c r="AH607" s="10"/>
      <c r="AM607" s="10" t="str" cm="1">
        <f t="array" ref="AM6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7" s="10" t="str" cm="1">
        <f t="array" ref="AN6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7" s="4" t="e">
        <f>_xlfn.XLOOKUP(tbl_MTG_Set[[#This Row],[Play Booster Box Product Id]], tbl_Product[Product Id], tbl_Product[Pack Size])</f>
        <v>#N/A</v>
      </c>
      <c r="AP607" s="10" t="e">
        <f>(tbl_MTG_Set[[#This Row],[Play Booster Box Cost]]+v_Item_Shipping_Cost_In)/tbl_MTG_Set[[#This Row],[Play Booster Box Size]]</f>
        <v>#VALUE!</v>
      </c>
      <c r="AQ607" s="10" t="str" cm="1">
        <f t="array" ref="AQ6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7" s="10"/>
      <c r="AS607" s="10"/>
      <c r="AT607" s="17" t="e">
        <f>tbl_MTG_Set[[#This Row],[Play Booster CardMarket Profit]]/tbl_MTG_Set[[#This Row],[Play Booster Cost]]</f>
        <v>#VALUE!</v>
      </c>
      <c r="AU607" s="10" t="e">
        <f>_xlfn.XLOOKUP(tbl_MTG_Set[[#This Row],[Collector Booster Box Product Id]], tbl_Product[Product Id], tbl_Product[Min Cost])</f>
        <v>#N/A</v>
      </c>
      <c r="AV607" s="10" t="e">
        <f>_xlfn.XLOOKUP(tbl_MTG_Set[[#This Row],[Collector Booster Box Product Id]], tbl_Product[Product Id], tbl_Product[Best Source])</f>
        <v>#N/A</v>
      </c>
      <c r="AW607" s="4" t="e">
        <f>_xlfn.XLOOKUP(tbl_MTG_Set[[#This Row],[Collector Booster Box Product Id]], tbl_Product[Product Id], tbl_Product[Pack Size])</f>
        <v>#N/A</v>
      </c>
      <c r="AX607" s="10" t="e">
        <f>(tbl_MTG_Set[[#This Row],[Collector Booster Box Cost]] + v_Item_Shipping_Cost_In) / tbl_MTG_Set[[#This Row],[Collector Booster Box Size]]</f>
        <v>#N/A</v>
      </c>
      <c r="AY607" s="10" t="str" cm="1">
        <f t="array" ref="AY6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7" s="10"/>
      <c r="BA6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7" s="17" t="e">
        <f>tbl_MTG_Set[[#This Row],[Collector Booster CardMarket Profit]]/tbl_MTG_Set[[#This Row],[Collector Booster Cost]]</f>
        <v>#N/A</v>
      </c>
      <c r="BC607" s="10"/>
      <c r="BF6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7" s="11" t="e">
        <f>tbl_MTG_Set[[#This Row],[Play Singles CardMarket Profit MTG Stocks]]/tbl_MTG_Set[[#This Row],[Play Booster Cost]]</f>
        <v>#VALUE!</v>
      </c>
      <c r="BI607" s="11" t="b">
        <f>tbl_MTG_Set[[#This Row],[Play Singles CardMarket Profit MTG Stocks]]&gt;0</f>
        <v>0</v>
      </c>
      <c r="BM607" s="10" t="e">
        <f>tbl_MTG_Set[[#This Row],[Play Booster Sell Price CardMarket]]*tbl_MTG_Set[[#This Row],[Play Booster Expected Market Value BotBox]]/tbl_MTG_Set[[#This Row],[Play Booster Sealed Market Value BotBox]]</f>
        <v>#VALUE!</v>
      </c>
      <c r="BN6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7" s="10" t="e">
        <f>tbl_MTG_Set[[#This Row],[Play Singles CardMarket Profit BotBox]]/tbl_MTG_Set[[#This Row],[Play Booster Cost]]</f>
        <v>#VALUE!</v>
      </c>
      <c r="BP607" s="10" t="b">
        <f>tbl_MTG_Set[[#This Row],[Play Singles CardMarket Profit BotBox]]&gt;0</f>
        <v>0</v>
      </c>
      <c r="BQ607" s="10"/>
      <c r="BR607" s="10"/>
      <c r="BS607" s="10"/>
      <c r="BT6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7" s="19" t="e">
        <f>tbl_MTG_Set[[#This Row],[Collector Singles CardMarket Profit MTG Stocks]]/tbl_MTG_Set[[#This Row],[Collector Booster Cost]]</f>
        <v>#N/A</v>
      </c>
      <c r="BW607" s="10" t="b">
        <f>tbl_MTG_Set[[#This Row],[Collector Singles CardMarket Profit MTG Stocks]]&gt;0</f>
        <v>0</v>
      </c>
      <c r="BX607" s="10"/>
      <c r="BY607" s="10"/>
      <c r="BZ6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7" s="10" t="e">
        <f>tbl_MTG_Set[[#This Row],[Collector Singles CardMarket Profit BotBox]]/tbl_MTG_Set[[#This Row],[Collector Booster Cost]]</f>
        <v>#N/A</v>
      </c>
      <c r="CC607" s="10" t="b">
        <f>tbl_MTG_Set[[#This Row],[Collector Singles CardMarket Profit BotBox]]&gt;0</f>
        <v>0</v>
      </c>
      <c r="CD6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8" spans="1:86" hidden="1">
      <c r="A608">
        <v>640</v>
      </c>
      <c r="B608" t="s">
        <v>781</v>
      </c>
      <c r="C608">
        <v>9</v>
      </c>
      <c r="D608" s="3">
        <v>41796</v>
      </c>
      <c r="F608" t="s">
        <v>174</v>
      </c>
      <c r="G608">
        <v>1226</v>
      </c>
      <c r="H608">
        <f ca="1">MONTH(NOW())+12*YEAR(NOW())-MONTH(tbl_MTG_Set[[#This Row],[Released On]])-12*YEAR(tbl_MTG_Set[[#This Row],[Released On]])</f>
        <v>141</v>
      </c>
      <c r="I608" t="str">
        <f>_xlfn.XLOOKUP(tbl_MTG_Set[[#This Row],[Type Name]], tbl_MTG_Set_Type[Set Type], tbl_MTG_Set_Type[Index], "(Set Type not found)")</f>
        <v>(Set Type not found)</v>
      </c>
      <c r="J608" t="str">
        <f>_xlfn.XLOOKUP(tbl_MTG_Set[[#This Row],[Type Name]], tbl_MTG_Set_Type[Set Type], tbl_MTG_Set_Type[Buy Window Month Start], "(Set Type not found)")</f>
        <v>(Set Type not found)</v>
      </c>
      <c r="K608" s="3" t="e">
        <f>tbl_MTG_Set[[#This Row],[Released On]]+tbl_MTG_Set[[#This Row],[Buy Window Month Start]]*365.25/12</f>
        <v>#VALUE!</v>
      </c>
      <c r="L608" t="str">
        <f>_xlfn.XLOOKUP(tbl_MTG_Set[[#This Row],[Type Name]], tbl_MTG_Set_Type[Set Type], tbl_MTG_Set_Type[Buy Window Month End], "(Set Type not found)", 0, 1)</f>
        <v>(Set Type not found)</v>
      </c>
      <c r="M608" s="3" t="e">
        <f>tbl_MTG_Set[[#This Row],[Released On]]+tbl_MTG_Set[[#This Row],[Buy Window Month End]]*365.25/12</f>
        <v>#VALUE!</v>
      </c>
      <c r="N608" s="3" t="e">
        <f ca="1">AND(NOW()&gt;=tbl_MTG_Set[[#This Row],[Buy Window Start]], NOW()&lt;=tbl_MTG_Set[[#This Row],[Buy Window End]])</f>
        <v>#VALUE!</v>
      </c>
      <c r="O608" t="str">
        <f>_xlfn.XLOOKUP(tbl_MTG_Set[[#This Row],[Type Name]], tbl_MTG_Set_Type[Set Type], tbl_MTG_Set_Type[Heavy Printing Window Month Start], "(Set Type not found)", 0, 1)</f>
        <v>(Set Type not found)</v>
      </c>
      <c r="P608" s="3" t="e">
        <f>tbl_MTG_Set[[#This Row],[Released On]]+tbl_MTG_Set[[#This Row],[Heavy Printing Window Month Start]]*365.25/12</f>
        <v>#VALUE!</v>
      </c>
      <c r="Q608" t="str">
        <f>_xlfn.XLOOKUP(tbl_MTG_Set[[#This Row],[Type Name]], tbl_MTG_Set_Type[Set Type], tbl_MTG_Set_Type[Heavy Printing Window Month End], "(Set Type not found)", 0, 1)</f>
        <v>(Set Type not found)</v>
      </c>
      <c r="R608" s="3" t="e">
        <f>tbl_MTG_Set[[#This Row],[Released On]]+tbl_MTG_Set[[#This Row],[Heavy Printing Window Month End]]*365.25/12</f>
        <v>#VALUE!</v>
      </c>
      <c r="S608" s="3" t="e">
        <f ca="1">AND(NOW()&gt;=tbl_MTG_Set[[#This Row],[Heavy Printing Window Start]], NOW()&lt;=tbl_MTG_Set[[#This Row],[Heavy Printing Window End]])</f>
        <v>#VALUE!</v>
      </c>
      <c r="T608" t="str">
        <f>_xlfn.XLOOKUP(tbl_MTG_Set[[#This Row],[Type Name]], tbl_MTG_Set_Type[Set Type], tbl_MTG_Set_Type[Sell Window Month Start], "(Set Type not found)", 0, 1)</f>
        <v>(Set Type not found)</v>
      </c>
      <c r="U608" s="3" t="e">
        <f>tbl_MTG_Set[[#This Row],[Released On]]+tbl_MTG_Set[[#This Row],[Sell Window Month Start]]*365.25/12</f>
        <v>#VALUE!</v>
      </c>
      <c r="V608" t="str">
        <f>_xlfn.XLOOKUP(tbl_MTG_Set[[#This Row],[Type Name]], tbl_MTG_Set_Type[Set Type], tbl_MTG_Set_Type[Sell Window Month End], "(Set Type not found)", 0, 1)</f>
        <v>(Set Type not found)</v>
      </c>
      <c r="W608" s="3" t="e">
        <f>tbl_MTG_Set[[#This Row],[Released On]]+tbl_MTG_Set[[#This Row],[Sell Window Month End]]*365.25/12</f>
        <v>#VALUE!</v>
      </c>
      <c r="X608" s="3" t="e">
        <f ca="1">AND(NOW()&gt;=tbl_MTG_Set[[#This Row],[Sell Window Start]], NOW()&lt;=tbl_MTG_Set[[#This Row],[Sell Window End]])</f>
        <v>#VALUE!</v>
      </c>
      <c r="AG608" s="10"/>
      <c r="AH608" s="10"/>
      <c r="AM608" s="10" t="str" cm="1">
        <f t="array" ref="AM6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8" s="10" t="str" cm="1">
        <f t="array" ref="AN6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8" s="4" t="e">
        <f>_xlfn.XLOOKUP(tbl_MTG_Set[[#This Row],[Play Booster Box Product Id]], tbl_Product[Product Id], tbl_Product[Pack Size])</f>
        <v>#N/A</v>
      </c>
      <c r="AP608" s="10" t="e">
        <f>(tbl_MTG_Set[[#This Row],[Play Booster Box Cost]]+v_Item_Shipping_Cost_In)/tbl_MTG_Set[[#This Row],[Play Booster Box Size]]</f>
        <v>#VALUE!</v>
      </c>
      <c r="AQ608" s="10" t="str" cm="1">
        <f t="array" ref="AQ6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8" s="10"/>
      <c r="AS608" s="10"/>
      <c r="AT608" s="17" t="e">
        <f>tbl_MTG_Set[[#This Row],[Play Booster CardMarket Profit]]/tbl_MTG_Set[[#This Row],[Play Booster Cost]]</f>
        <v>#VALUE!</v>
      </c>
      <c r="AU608" s="10" t="e">
        <f>_xlfn.XLOOKUP(tbl_MTG_Set[[#This Row],[Collector Booster Box Product Id]], tbl_Product[Product Id], tbl_Product[Min Cost])</f>
        <v>#N/A</v>
      </c>
      <c r="AV608" s="10" t="e">
        <f>_xlfn.XLOOKUP(tbl_MTG_Set[[#This Row],[Collector Booster Box Product Id]], tbl_Product[Product Id], tbl_Product[Best Source])</f>
        <v>#N/A</v>
      </c>
      <c r="AW608" s="4" t="e">
        <f>_xlfn.XLOOKUP(tbl_MTG_Set[[#This Row],[Collector Booster Box Product Id]], tbl_Product[Product Id], tbl_Product[Pack Size])</f>
        <v>#N/A</v>
      </c>
      <c r="AX608" s="10" t="e">
        <f>(tbl_MTG_Set[[#This Row],[Collector Booster Box Cost]] + v_Item_Shipping_Cost_In) / tbl_MTG_Set[[#This Row],[Collector Booster Box Size]]</f>
        <v>#N/A</v>
      </c>
      <c r="AY608" s="10" t="str" cm="1">
        <f t="array" ref="AY6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8" s="10"/>
      <c r="BA6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8" s="17" t="e">
        <f>tbl_MTG_Set[[#This Row],[Collector Booster CardMarket Profit]]/tbl_MTG_Set[[#This Row],[Collector Booster Cost]]</f>
        <v>#N/A</v>
      </c>
      <c r="BC608" s="10"/>
      <c r="BF6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8" s="11" t="e">
        <f>tbl_MTG_Set[[#This Row],[Play Singles CardMarket Profit MTG Stocks]]/tbl_MTG_Set[[#This Row],[Play Booster Cost]]</f>
        <v>#VALUE!</v>
      </c>
      <c r="BI608" s="11" t="b">
        <f>tbl_MTG_Set[[#This Row],[Play Singles CardMarket Profit MTG Stocks]]&gt;0</f>
        <v>0</v>
      </c>
      <c r="BM608" s="10" t="e">
        <f>tbl_MTG_Set[[#This Row],[Play Booster Sell Price CardMarket]]*tbl_MTG_Set[[#This Row],[Play Booster Expected Market Value BotBox]]/tbl_MTG_Set[[#This Row],[Play Booster Sealed Market Value BotBox]]</f>
        <v>#VALUE!</v>
      </c>
      <c r="BN6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8" s="10" t="e">
        <f>tbl_MTG_Set[[#This Row],[Play Singles CardMarket Profit BotBox]]/tbl_MTG_Set[[#This Row],[Play Booster Cost]]</f>
        <v>#VALUE!</v>
      </c>
      <c r="BP608" s="10" t="b">
        <f>tbl_MTG_Set[[#This Row],[Play Singles CardMarket Profit BotBox]]&gt;0</f>
        <v>0</v>
      </c>
      <c r="BQ608" s="10"/>
      <c r="BR608" s="10"/>
      <c r="BS608" s="10"/>
      <c r="BT6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8" s="19" t="e">
        <f>tbl_MTG_Set[[#This Row],[Collector Singles CardMarket Profit MTG Stocks]]/tbl_MTG_Set[[#This Row],[Collector Booster Cost]]</f>
        <v>#N/A</v>
      </c>
      <c r="BW608" s="10" t="b">
        <f>tbl_MTG_Set[[#This Row],[Collector Singles CardMarket Profit MTG Stocks]]&gt;0</f>
        <v>0</v>
      </c>
      <c r="BX608" s="10"/>
      <c r="BY608" s="10"/>
      <c r="BZ6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8" s="10" t="e">
        <f>tbl_MTG_Set[[#This Row],[Collector Singles CardMarket Profit BotBox]]/tbl_MTG_Set[[#This Row],[Collector Booster Cost]]</f>
        <v>#N/A</v>
      </c>
      <c r="CC608" s="10" t="b">
        <f>tbl_MTG_Set[[#This Row],[Collector Singles CardMarket Profit BotBox]]&gt;0</f>
        <v>0</v>
      </c>
      <c r="CD6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09" spans="1:86" hidden="1">
      <c r="A609">
        <v>641</v>
      </c>
      <c r="B609" t="s">
        <v>782</v>
      </c>
      <c r="C609">
        <v>26</v>
      </c>
      <c r="D609" s="3">
        <v>41789</v>
      </c>
      <c r="F609" t="s">
        <v>174</v>
      </c>
      <c r="G609">
        <v>1228</v>
      </c>
      <c r="H609">
        <f ca="1">MONTH(NOW())+12*YEAR(NOW())-MONTH(tbl_MTG_Set[[#This Row],[Released On]])-12*YEAR(tbl_MTG_Set[[#This Row],[Released On]])</f>
        <v>142</v>
      </c>
      <c r="I609" t="str">
        <f>_xlfn.XLOOKUP(tbl_MTG_Set[[#This Row],[Type Name]], tbl_MTG_Set_Type[Set Type], tbl_MTG_Set_Type[Index], "(Set Type not found)")</f>
        <v>(Set Type not found)</v>
      </c>
      <c r="J609" t="str">
        <f>_xlfn.XLOOKUP(tbl_MTG_Set[[#This Row],[Type Name]], tbl_MTG_Set_Type[Set Type], tbl_MTG_Set_Type[Buy Window Month Start], "(Set Type not found)")</f>
        <v>(Set Type not found)</v>
      </c>
      <c r="K609" s="3" t="e">
        <f>tbl_MTG_Set[[#This Row],[Released On]]+tbl_MTG_Set[[#This Row],[Buy Window Month Start]]*365.25/12</f>
        <v>#VALUE!</v>
      </c>
      <c r="L609" t="str">
        <f>_xlfn.XLOOKUP(tbl_MTG_Set[[#This Row],[Type Name]], tbl_MTG_Set_Type[Set Type], tbl_MTG_Set_Type[Buy Window Month End], "(Set Type not found)", 0, 1)</f>
        <v>(Set Type not found)</v>
      </c>
      <c r="M609" s="3" t="e">
        <f>tbl_MTG_Set[[#This Row],[Released On]]+tbl_MTG_Set[[#This Row],[Buy Window Month End]]*365.25/12</f>
        <v>#VALUE!</v>
      </c>
      <c r="N609" s="3" t="e">
        <f ca="1">AND(NOW()&gt;=tbl_MTG_Set[[#This Row],[Buy Window Start]], NOW()&lt;=tbl_MTG_Set[[#This Row],[Buy Window End]])</f>
        <v>#VALUE!</v>
      </c>
      <c r="O609" t="str">
        <f>_xlfn.XLOOKUP(tbl_MTG_Set[[#This Row],[Type Name]], tbl_MTG_Set_Type[Set Type], tbl_MTG_Set_Type[Heavy Printing Window Month Start], "(Set Type not found)", 0, 1)</f>
        <v>(Set Type not found)</v>
      </c>
      <c r="P609" s="3" t="e">
        <f>tbl_MTG_Set[[#This Row],[Released On]]+tbl_MTG_Set[[#This Row],[Heavy Printing Window Month Start]]*365.25/12</f>
        <v>#VALUE!</v>
      </c>
      <c r="Q609" t="str">
        <f>_xlfn.XLOOKUP(tbl_MTG_Set[[#This Row],[Type Name]], tbl_MTG_Set_Type[Set Type], tbl_MTG_Set_Type[Heavy Printing Window Month End], "(Set Type not found)", 0, 1)</f>
        <v>(Set Type not found)</v>
      </c>
      <c r="R609" s="3" t="e">
        <f>tbl_MTG_Set[[#This Row],[Released On]]+tbl_MTG_Set[[#This Row],[Heavy Printing Window Month End]]*365.25/12</f>
        <v>#VALUE!</v>
      </c>
      <c r="S609" s="3" t="e">
        <f ca="1">AND(NOW()&gt;=tbl_MTG_Set[[#This Row],[Heavy Printing Window Start]], NOW()&lt;=tbl_MTG_Set[[#This Row],[Heavy Printing Window End]])</f>
        <v>#VALUE!</v>
      </c>
      <c r="T609" t="str">
        <f>_xlfn.XLOOKUP(tbl_MTG_Set[[#This Row],[Type Name]], tbl_MTG_Set_Type[Set Type], tbl_MTG_Set_Type[Sell Window Month Start], "(Set Type not found)", 0, 1)</f>
        <v>(Set Type not found)</v>
      </c>
      <c r="U609" s="3" t="e">
        <f>tbl_MTG_Set[[#This Row],[Released On]]+tbl_MTG_Set[[#This Row],[Sell Window Month Start]]*365.25/12</f>
        <v>#VALUE!</v>
      </c>
      <c r="V609" t="str">
        <f>_xlfn.XLOOKUP(tbl_MTG_Set[[#This Row],[Type Name]], tbl_MTG_Set_Type[Set Type], tbl_MTG_Set_Type[Sell Window Month End], "(Set Type not found)", 0, 1)</f>
        <v>(Set Type not found)</v>
      </c>
      <c r="W609" s="3" t="e">
        <f>tbl_MTG_Set[[#This Row],[Released On]]+tbl_MTG_Set[[#This Row],[Sell Window Month End]]*365.25/12</f>
        <v>#VALUE!</v>
      </c>
      <c r="X609" s="3" t="e">
        <f ca="1">AND(NOW()&gt;=tbl_MTG_Set[[#This Row],[Sell Window Start]], NOW()&lt;=tbl_MTG_Set[[#This Row],[Sell Window End]])</f>
        <v>#VALUE!</v>
      </c>
      <c r="AG609" s="10"/>
      <c r="AH609" s="10"/>
      <c r="AM609" s="10" t="str" cm="1">
        <f t="array" ref="AM6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09" s="10" t="str" cm="1">
        <f t="array" ref="AN6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09" s="4" t="e">
        <f>_xlfn.XLOOKUP(tbl_MTG_Set[[#This Row],[Play Booster Box Product Id]], tbl_Product[Product Id], tbl_Product[Pack Size])</f>
        <v>#N/A</v>
      </c>
      <c r="AP609" s="10" t="e">
        <f>(tbl_MTG_Set[[#This Row],[Play Booster Box Cost]]+v_Item_Shipping_Cost_In)/tbl_MTG_Set[[#This Row],[Play Booster Box Size]]</f>
        <v>#VALUE!</v>
      </c>
      <c r="AQ609" s="10" t="str" cm="1">
        <f t="array" ref="AQ6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09" s="10"/>
      <c r="AS609" s="10"/>
      <c r="AT609" s="17" t="e">
        <f>tbl_MTG_Set[[#This Row],[Play Booster CardMarket Profit]]/tbl_MTG_Set[[#This Row],[Play Booster Cost]]</f>
        <v>#VALUE!</v>
      </c>
      <c r="AU609" s="10" t="e">
        <f>_xlfn.XLOOKUP(tbl_MTG_Set[[#This Row],[Collector Booster Box Product Id]], tbl_Product[Product Id], tbl_Product[Min Cost])</f>
        <v>#N/A</v>
      </c>
      <c r="AV609" s="10" t="e">
        <f>_xlfn.XLOOKUP(tbl_MTG_Set[[#This Row],[Collector Booster Box Product Id]], tbl_Product[Product Id], tbl_Product[Best Source])</f>
        <v>#N/A</v>
      </c>
      <c r="AW609" s="4" t="e">
        <f>_xlfn.XLOOKUP(tbl_MTG_Set[[#This Row],[Collector Booster Box Product Id]], tbl_Product[Product Id], tbl_Product[Pack Size])</f>
        <v>#N/A</v>
      </c>
      <c r="AX609" s="10" t="e">
        <f>(tbl_MTG_Set[[#This Row],[Collector Booster Box Cost]] + v_Item_Shipping_Cost_In) / tbl_MTG_Set[[#This Row],[Collector Booster Box Size]]</f>
        <v>#N/A</v>
      </c>
      <c r="AY609" s="10" t="str" cm="1">
        <f t="array" ref="AY6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09" s="10"/>
      <c r="BA6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09" s="17" t="e">
        <f>tbl_MTG_Set[[#This Row],[Collector Booster CardMarket Profit]]/tbl_MTG_Set[[#This Row],[Collector Booster Cost]]</f>
        <v>#N/A</v>
      </c>
      <c r="BC609" s="10"/>
      <c r="BF6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09" s="11" t="e">
        <f>tbl_MTG_Set[[#This Row],[Play Singles CardMarket Profit MTG Stocks]]/tbl_MTG_Set[[#This Row],[Play Booster Cost]]</f>
        <v>#VALUE!</v>
      </c>
      <c r="BI609" s="11" t="b">
        <f>tbl_MTG_Set[[#This Row],[Play Singles CardMarket Profit MTG Stocks]]&gt;0</f>
        <v>0</v>
      </c>
      <c r="BM609" s="10" t="e">
        <f>tbl_MTG_Set[[#This Row],[Play Booster Sell Price CardMarket]]*tbl_MTG_Set[[#This Row],[Play Booster Expected Market Value BotBox]]/tbl_MTG_Set[[#This Row],[Play Booster Sealed Market Value BotBox]]</f>
        <v>#VALUE!</v>
      </c>
      <c r="BN6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09" s="10" t="e">
        <f>tbl_MTG_Set[[#This Row],[Play Singles CardMarket Profit BotBox]]/tbl_MTG_Set[[#This Row],[Play Booster Cost]]</f>
        <v>#VALUE!</v>
      </c>
      <c r="BP609" s="10" t="b">
        <f>tbl_MTG_Set[[#This Row],[Play Singles CardMarket Profit BotBox]]&gt;0</f>
        <v>0</v>
      </c>
      <c r="BQ609" s="10"/>
      <c r="BR609" s="10"/>
      <c r="BS609" s="10"/>
      <c r="BT6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09" s="19" t="e">
        <f>tbl_MTG_Set[[#This Row],[Collector Singles CardMarket Profit MTG Stocks]]/tbl_MTG_Set[[#This Row],[Collector Booster Cost]]</f>
        <v>#N/A</v>
      </c>
      <c r="BW609" s="10" t="b">
        <f>tbl_MTG_Set[[#This Row],[Collector Singles CardMarket Profit MTG Stocks]]&gt;0</f>
        <v>0</v>
      </c>
      <c r="BX609" s="10"/>
      <c r="BY609" s="10"/>
      <c r="BZ6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09" s="10" t="e">
        <f>tbl_MTG_Set[[#This Row],[Collector Singles CardMarket Profit BotBox]]/tbl_MTG_Set[[#This Row],[Collector Booster Cost]]</f>
        <v>#N/A</v>
      </c>
      <c r="CC609" s="10" t="b">
        <f>tbl_MTG_Set[[#This Row],[Collector Singles CardMarket Profit BotBox]]&gt;0</f>
        <v>0</v>
      </c>
      <c r="CD6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0" spans="1:86" hidden="1">
      <c r="A610">
        <v>642</v>
      </c>
      <c r="B610" t="s">
        <v>783</v>
      </c>
      <c r="C610">
        <v>4</v>
      </c>
      <c r="D610" s="3">
        <v>41789</v>
      </c>
      <c r="F610" t="s">
        <v>174</v>
      </c>
      <c r="G610">
        <v>1230</v>
      </c>
      <c r="H610">
        <f ca="1">MONTH(NOW())+12*YEAR(NOW())-MONTH(tbl_MTG_Set[[#This Row],[Released On]])-12*YEAR(tbl_MTG_Set[[#This Row],[Released On]])</f>
        <v>142</v>
      </c>
      <c r="I610" t="str">
        <f>_xlfn.XLOOKUP(tbl_MTG_Set[[#This Row],[Type Name]], tbl_MTG_Set_Type[Set Type], tbl_MTG_Set_Type[Index], "(Set Type not found)")</f>
        <v>(Set Type not found)</v>
      </c>
      <c r="J610" t="str">
        <f>_xlfn.XLOOKUP(tbl_MTG_Set[[#This Row],[Type Name]], tbl_MTG_Set_Type[Set Type], tbl_MTG_Set_Type[Buy Window Month Start], "(Set Type not found)")</f>
        <v>(Set Type not found)</v>
      </c>
      <c r="K610" s="3" t="e">
        <f>tbl_MTG_Set[[#This Row],[Released On]]+tbl_MTG_Set[[#This Row],[Buy Window Month Start]]*365.25/12</f>
        <v>#VALUE!</v>
      </c>
      <c r="L610" t="str">
        <f>_xlfn.XLOOKUP(tbl_MTG_Set[[#This Row],[Type Name]], tbl_MTG_Set_Type[Set Type], tbl_MTG_Set_Type[Buy Window Month End], "(Set Type not found)", 0, 1)</f>
        <v>(Set Type not found)</v>
      </c>
      <c r="M610" s="3" t="e">
        <f>tbl_MTG_Set[[#This Row],[Released On]]+tbl_MTG_Set[[#This Row],[Buy Window Month End]]*365.25/12</f>
        <v>#VALUE!</v>
      </c>
      <c r="N610" s="3" t="e">
        <f ca="1">AND(NOW()&gt;=tbl_MTG_Set[[#This Row],[Buy Window Start]], NOW()&lt;=tbl_MTG_Set[[#This Row],[Buy Window End]])</f>
        <v>#VALUE!</v>
      </c>
      <c r="O610" t="str">
        <f>_xlfn.XLOOKUP(tbl_MTG_Set[[#This Row],[Type Name]], tbl_MTG_Set_Type[Set Type], tbl_MTG_Set_Type[Heavy Printing Window Month Start], "(Set Type not found)", 0, 1)</f>
        <v>(Set Type not found)</v>
      </c>
      <c r="P610" s="3" t="e">
        <f>tbl_MTG_Set[[#This Row],[Released On]]+tbl_MTG_Set[[#This Row],[Heavy Printing Window Month Start]]*365.25/12</f>
        <v>#VALUE!</v>
      </c>
      <c r="Q610" t="str">
        <f>_xlfn.XLOOKUP(tbl_MTG_Set[[#This Row],[Type Name]], tbl_MTG_Set_Type[Set Type], tbl_MTG_Set_Type[Heavy Printing Window Month End], "(Set Type not found)", 0, 1)</f>
        <v>(Set Type not found)</v>
      </c>
      <c r="R610" s="3" t="e">
        <f>tbl_MTG_Set[[#This Row],[Released On]]+tbl_MTG_Set[[#This Row],[Heavy Printing Window Month End]]*365.25/12</f>
        <v>#VALUE!</v>
      </c>
      <c r="S610" s="3" t="e">
        <f ca="1">AND(NOW()&gt;=tbl_MTG_Set[[#This Row],[Heavy Printing Window Start]], NOW()&lt;=tbl_MTG_Set[[#This Row],[Heavy Printing Window End]])</f>
        <v>#VALUE!</v>
      </c>
      <c r="T610" t="str">
        <f>_xlfn.XLOOKUP(tbl_MTG_Set[[#This Row],[Type Name]], tbl_MTG_Set_Type[Set Type], tbl_MTG_Set_Type[Sell Window Month Start], "(Set Type not found)", 0, 1)</f>
        <v>(Set Type not found)</v>
      </c>
      <c r="U610" s="3" t="e">
        <f>tbl_MTG_Set[[#This Row],[Released On]]+tbl_MTG_Set[[#This Row],[Sell Window Month Start]]*365.25/12</f>
        <v>#VALUE!</v>
      </c>
      <c r="V610" t="str">
        <f>_xlfn.XLOOKUP(tbl_MTG_Set[[#This Row],[Type Name]], tbl_MTG_Set_Type[Set Type], tbl_MTG_Set_Type[Sell Window Month End], "(Set Type not found)", 0, 1)</f>
        <v>(Set Type not found)</v>
      </c>
      <c r="W610" s="3" t="e">
        <f>tbl_MTG_Set[[#This Row],[Released On]]+tbl_MTG_Set[[#This Row],[Sell Window Month End]]*365.25/12</f>
        <v>#VALUE!</v>
      </c>
      <c r="X610" s="3" t="e">
        <f ca="1">AND(NOW()&gt;=tbl_MTG_Set[[#This Row],[Sell Window Start]], NOW()&lt;=tbl_MTG_Set[[#This Row],[Sell Window End]])</f>
        <v>#VALUE!</v>
      </c>
      <c r="AG610" s="10"/>
      <c r="AH610" s="10"/>
      <c r="AM610" s="10" t="str" cm="1">
        <f t="array" ref="AM6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0" s="10" t="str" cm="1">
        <f t="array" ref="AN6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0" s="4" t="e">
        <f>_xlfn.XLOOKUP(tbl_MTG_Set[[#This Row],[Play Booster Box Product Id]], tbl_Product[Product Id], tbl_Product[Pack Size])</f>
        <v>#N/A</v>
      </c>
      <c r="AP610" s="10" t="e">
        <f>(tbl_MTG_Set[[#This Row],[Play Booster Box Cost]]+v_Item_Shipping_Cost_In)/tbl_MTG_Set[[#This Row],[Play Booster Box Size]]</f>
        <v>#VALUE!</v>
      </c>
      <c r="AQ610" s="10" t="str" cm="1">
        <f t="array" ref="AQ6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0" s="10"/>
      <c r="AS610" s="10"/>
      <c r="AT610" s="17" t="e">
        <f>tbl_MTG_Set[[#This Row],[Play Booster CardMarket Profit]]/tbl_MTG_Set[[#This Row],[Play Booster Cost]]</f>
        <v>#VALUE!</v>
      </c>
      <c r="AU610" s="10" t="e">
        <f>_xlfn.XLOOKUP(tbl_MTG_Set[[#This Row],[Collector Booster Box Product Id]], tbl_Product[Product Id], tbl_Product[Min Cost])</f>
        <v>#N/A</v>
      </c>
      <c r="AV610" s="10" t="e">
        <f>_xlfn.XLOOKUP(tbl_MTG_Set[[#This Row],[Collector Booster Box Product Id]], tbl_Product[Product Id], tbl_Product[Best Source])</f>
        <v>#N/A</v>
      </c>
      <c r="AW610" s="4" t="e">
        <f>_xlfn.XLOOKUP(tbl_MTG_Set[[#This Row],[Collector Booster Box Product Id]], tbl_Product[Product Id], tbl_Product[Pack Size])</f>
        <v>#N/A</v>
      </c>
      <c r="AX610" s="10" t="e">
        <f>(tbl_MTG_Set[[#This Row],[Collector Booster Box Cost]] + v_Item_Shipping_Cost_In) / tbl_MTG_Set[[#This Row],[Collector Booster Box Size]]</f>
        <v>#N/A</v>
      </c>
      <c r="AY610" s="10" t="str" cm="1">
        <f t="array" ref="AY6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0" s="10"/>
      <c r="BA6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0" s="17" t="e">
        <f>tbl_MTG_Set[[#This Row],[Collector Booster CardMarket Profit]]/tbl_MTG_Set[[#This Row],[Collector Booster Cost]]</f>
        <v>#N/A</v>
      </c>
      <c r="BC610" s="10"/>
      <c r="BF6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0" s="11" t="e">
        <f>tbl_MTG_Set[[#This Row],[Play Singles CardMarket Profit MTG Stocks]]/tbl_MTG_Set[[#This Row],[Play Booster Cost]]</f>
        <v>#VALUE!</v>
      </c>
      <c r="BI610" s="11" t="b">
        <f>tbl_MTG_Set[[#This Row],[Play Singles CardMarket Profit MTG Stocks]]&gt;0</f>
        <v>0</v>
      </c>
      <c r="BM610" s="10" t="e">
        <f>tbl_MTG_Set[[#This Row],[Play Booster Sell Price CardMarket]]*tbl_MTG_Set[[#This Row],[Play Booster Expected Market Value BotBox]]/tbl_MTG_Set[[#This Row],[Play Booster Sealed Market Value BotBox]]</f>
        <v>#VALUE!</v>
      </c>
      <c r="BN6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0" s="10" t="e">
        <f>tbl_MTG_Set[[#This Row],[Play Singles CardMarket Profit BotBox]]/tbl_MTG_Set[[#This Row],[Play Booster Cost]]</f>
        <v>#VALUE!</v>
      </c>
      <c r="BP610" s="10" t="b">
        <f>tbl_MTG_Set[[#This Row],[Play Singles CardMarket Profit BotBox]]&gt;0</f>
        <v>0</v>
      </c>
      <c r="BQ610" s="10"/>
      <c r="BR610" s="10"/>
      <c r="BS610" s="10"/>
      <c r="BT6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0" s="19" t="e">
        <f>tbl_MTG_Set[[#This Row],[Collector Singles CardMarket Profit MTG Stocks]]/tbl_MTG_Set[[#This Row],[Collector Booster Cost]]</f>
        <v>#N/A</v>
      </c>
      <c r="BW610" s="10" t="b">
        <f>tbl_MTG_Set[[#This Row],[Collector Singles CardMarket Profit MTG Stocks]]&gt;0</f>
        <v>0</v>
      </c>
      <c r="BX610" s="10"/>
      <c r="BY610" s="10"/>
      <c r="BZ6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0" s="10" t="e">
        <f>tbl_MTG_Set[[#This Row],[Collector Singles CardMarket Profit BotBox]]/tbl_MTG_Set[[#This Row],[Collector Booster Cost]]</f>
        <v>#N/A</v>
      </c>
      <c r="CC610" s="10" t="b">
        <f>tbl_MTG_Set[[#This Row],[Collector Singles CardMarket Profit BotBox]]&gt;0</f>
        <v>0</v>
      </c>
      <c r="CD6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1" spans="1:86" hidden="1">
      <c r="A611">
        <v>643</v>
      </c>
      <c r="B611" t="s">
        <v>784</v>
      </c>
      <c r="C611">
        <v>165</v>
      </c>
      <c r="D611" s="3">
        <v>41761</v>
      </c>
      <c r="F611" t="s">
        <v>174</v>
      </c>
      <c r="G611">
        <v>1232</v>
      </c>
      <c r="H611">
        <f ca="1">MONTH(NOW())+12*YEAR(NOW())-MONTH(tbl_MTG_Set[[#This Row],[Released On]])-12*YEAR(tbl_MTG_Set[[#This Row],[Released On]])</f>
        <v>142</v>
      </c>
      <c r="I611" t="str">
        <f>_xlfn.XLOOKUP(tbl_MTG_Set[[#This Row],[Type Name]], tbl_MTG_Set_Type[Set Type], tbl_MTG_Set_Type[Index], "(Set Type not found)")</f>
        <v>(Set Type not found)</v>
      </c>
      <c r="J611" t="str">
        <f>_xlfn.XLOOKUP(tbl_MTG_Set[[#This Row],[Type Name]], tbl_MTG_Set_Type[Set Type], tbl_MTG_Set_Type[Buy Window Month Start], "(Set Type not found)")</f>
        <v>(Set Type not found)</v>
      </c>
      <c r="K611" s="3" t="e">
        <f>tbl_MTG_Set[[#This Row],[Released On]]+tbl_MTG_Set[[#This Row],[Buy Window Month Start]]*365.25/12</f>
        <v>#VALUE!</v>
      </c>
      <c r="L611" t="str">
        <f>_xlfn.XLOOKUP(tbl_MTG_Set[[#This Row],[Type Name]], tbl_MTG_Set_Type[Set Type], tbl_MTG_Set_Type[Buy Window Month End], "(Set Type not found)", 0, 1)</f>
        <v>(Set Type not found)</v>
      </c>
      <c r="M611" s="3" t="e">
        <f>tbl_MTG_Set[[#This Row],[Released On]]+tbl_MTG_Set[[#This Row],[Buy Window Month End]]*365.25/12</f>
        <v>#VALUE!</v>
      </c>
      <c r="N611" s="3" t="e">
        <f ca="1">AND(NOW()&gt;=tbl_MTG_Set[[#This Row],[Buy Window Start]], NOW()&lt;=tbl_MTG_Set[[#This Row],[Buy Window End]])</f>
        <v>#VALUE!</v>
      </c>
      <c r="O611" t="str">
        <f>_xlfn.XLOOKUP(tbl_MTG_Set[[#This Row],[Type Name]], tbl_MTG_Set_Type[Set Type], tbl_MTG_Set_Type[Heavy Printing Window Month Start], "(Set Type not found)", 0, 1)</f>
        <v>(Set Type not found)</v>
      </c>
      <c r="P611" s="3" t="e">
        <f>tbl_MTG_Set[[#This Row],[Released On]]+tbl_MTG_Set[[#This Row],[Heavy Printing Window Month Start]]*365.25/12</f>
        <v>#VALUE!</v>
      </c>
      <c r="Q611" t="str">
        <f>_xlfn.XLOOKUP(tbl_MTG_Set[[#This Row],[Type Name]], tbl_MTG_Set_Type[Set Type], tbl_MTG_Set_Type[Heavy Printing Window Month End], "(Set Type not found)", 0, 1)</f>
        <v>(Set Type not found)</v>
      </c>
      <c r="R611" s="3" t="e">
        <f>tbl_MTG_Set[[#This Row],[Released On]]+tbl_MTG_Set[[#This Row],[Heavy Printing Window Month End]]*365.25/12</f>
        <v>#VALUE!</v>
      </c>
      <c r="S611" s="3" t="e">
        <f ca="1">AND(NOW()&gt;=tbl_MTG_Set[[#This Row],[Heavy Printing Window Start]], NOW()&lt;=tbl_MTG_Set[[#This Row],[Heavy Printing Window End]])</f>
        <v>#VALUE!</v>
      </c>
      <c r="T611" t="str">
        <f>_xlfn.XLOOKUP(tbl_MTG_Set[[#This Row],[Type Name]], tbl_MTG_Set_Type[Set Type], tbl_MTG_Set_Type[Sell Window Month Start], "(Set Type not found)", 0, 1)</f>
        <v>(Set Type not found)</v>
      </c>
      <c r="U611" s="3" t="e">
        <f>tbl_MTG_Set[[#This Row],[Released On]]+tbl_MTG_Set[[#This Row],[Sell Window Month Start]]*365.25/12</f>
        <v>#VALUE!</v>
      </c>
      <c r="V611" t="str">
        <f>_xlfn.XLOOKUP(tbl_MTG_Set[[#This Row],[Type Name]], tbl_MTG_Set_Type[Set Type], tbl_MTG_Set_Type[Sell Window Month End], "(Set Type not found)", 0, 1)</f>
        <v>(Set Type not found)</v>
      </c>
      <c r="W611" s="3" t="e">
        <f>tbl_MTG_Set[[#This Row],[Released On]]+tbl_MTG_Set[[#This Row],[Sell Window Month End]]*365.25/12</f>
        <v>#VALUE!</v>
      </c>
      <c r="X611" s="3" t="e">
        <f ca="1">AND(NOW()&gt;=tbl_MTG_Set[[#This Row],[Sell Window Start]], NOW()&lt;=tbl_MTG_Set[[#This Row],[Sell Window End]])</f>
        <v>#VALUE!</v>
      </c>
      <c r="AG611" s="10"/>
      <c r="AH611" s="10"/>
      <c r="AM611" s="10" t="str" cm="1">
        <f t="array" ref="AM6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1" s="10" t="str" cm="1">
        <f t="array" ref="AN6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1" s="4" t="e">
        <f>_xlfn.XLOOKUP(tbl_MTG_Set[[#This Row],[Play Booster Box Product Id]], tbl_Product[Product Id], tbl_Product[Pack Size])</f>
        <v>#N/A</v>
      </c>
      <c r="AP611" s="10" t="e">
        <f>(tbl_MTG_Set[[#This Row],[Play Booster Box Cost]]+v_Item_Shipping_Cost_In)/tbl_MTG_Set[[#This Row],[Play Booster Box Size]]</f>
        <v>#VALUE!</v>
      </c>
      <c r="AQ611" s="10" t="str" cm="1">
        <f t="array" ref="AQ6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1" s="10"/>
      <c r="AS611" s="10"/>
      <c r="AT611" s="17" t="e">
        <f>tbl_MTG_Set[[#This Row],[Play Booster CardMarket Profit]]/tbl_MTG_Set[[#This Row],[Play Booster Cost]]</f>
        <v>#VALUE!</v>
      </c>
      <c r="AU611" s="10" t="e">
        <f>_xlfn.XLOOKUP(tbl_MTG_Set[[#This Row],[Collector Booster Box Product Id]], tbl_Product[Product Id], tbl_Product[Min Cost])</f>
        <v>#N/A</v>
      </c>
      <c r="AV611" s="10" t="e">
        <f>_xlfn.XLOOKUP(tbl_MTG_Set[[#This Row],[Collector Booster Box Product Id]], tbl_Product[Product Id], tbl_Product[Best Source])</f>
        <v>#N/A</v>
      </c>
      <c r="AW611" s="4" t="e">
        <f>_xlfn.XLOOKUP(tbl_MTG_Set[[#This Row],[Collector Booster Box Product Id]], tbl_Product[Product Id], tbl_Product[Pack Size])</f>
        <v>#N/A</v>
      </c>
      <c r="AX611" s="10" t="e">
        <f>(tbl_MTG_Set[[#This Row],[Collector Booster Box Cost]] + v_Item_Shipping_Cost_In) / tbl_MTG_Set[[#This Row],[Collector Booster Box Size]]</f>
        <v>#N/A</v>
      </c>
      <c r="AY611" s="10" t="str" cm="1">
        <f t="array" ref="AY6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1" s="10"/>
      <c r="BA6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1" s="17" t="e">
        <f>tbl_MTG_Set[[#This Row],[Collector Booster CardMarket Profit]]/tbl_MTG_Set[[#This Row],[Collector Booster Cost]]</f>
        <v>#N/A</v>
      </c>
      <c r="BC611" s="10"/>
      <c r="BF6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1" s="11" t="e">
        <f>tbl_MTG_Set[[#This Row],[Play Singles CardMarket Profit MTG Stocks]]/tbl_MTG_Set[[#This Row],[Play Booster Cost]]</f>
        <v>#VALUE!</v>
      </c>
      <c r="BI611" s="11" t="b">
        <f>tbl_MTG_Set[[#This Row],[Play Singles CardMarket Profit MTG Stocks]]&gt;0</f>
        <v>0</v>
      </c>
      <c r="BM611" s="10" t="e">
        <f>tbl_MTG_Set[[#This Row],[Play Booster Sell Price CardMarket]]*tbl_MTG_Set[[#This Row],[Play Booster Expected Market Value BotBox]]/tbl_MTG_Set[[#This Row],[Play Booster Sealed Market Value BotBox]]</f>
        <v>#VALUE!</v>
      </c>
      <c r="BN6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1" s="10" t="e">
        <f>tbl_MTG_Set[[#This Row],[Play Singles CardMarket Profit BotBox]]/tbl_MTG_Set[[#This Row],[Play Booster Cost]]</f>
        <v>#VALUE!</v>
      </c>
      <c r="BP611" s="10" t="b">
        <f>tbl_MTG_Set[[#This Row],[Play Singles CardMarket Profit BotBox]]&gt;0</f>
        <v>0</v>
      </c>
      <c r="BQ611" s="10"/>
      <c r="BR611" s="10"/>
      <c r="BS611" s="10"/>
      <c r="BT6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1" s="19" t="e">
        <f>tbl_MTG_Set[[#This Row],[Collector Singles CardMarket Profit MTG Stocks]]/tbl_MTG_Set[[#This Row],[Collector Booster Cost]]</f>
        <v>#N/A</v>
      </c>
      <c r="BW611" s="10" t="b">
        <f>tbl_MTG_Set[[#This Row],[Collector Singles CardMarket Profit MTG Stocks]]&gt;0</f>
        <v>0</v>
      </c>
      <c r="BX611" s="10"/>
      <c r="BY611" s="10"/>
      <c r="BZ6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1" s="10" t="e">
        <f>tbl_MTG_Set[[#This Row],[Collector Singles CardMarket Profit BotBox]]/tbl_MTG_Set[[#This Row],[Collector Booster Cost]]</f>
        <v>#N/A</v>
      </c>
      <c r="CC611" s="10" t="b">
        <f>tbl_MTG_Set[[#This Row],[Collector Singles CardMarket Profit BotBox]]&gt;0</f>
        <v>0</v>
      </c>
      <c r="CD6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2" spans="1:86" hidden="1">
      <c r="A612">
        <v>644</v>
      </c>
      <c r="B612" t="s">
        <v>785</v>
      </c>
      <c r="C612">
        <v>10</v>
      </c>
      <c r="D612" s="3">
        <v>41755</v>
      </c>
      <c r="F612" t="s">
        <v>174</v>
      </c>
      <c r="G612">
        <v>1234</v>
      </c>
      <c r="H612">
        <f ca="1">MONTH(NOW())+12*YEAR(NOW())-MONTH(tbl_MTG_Set[[#This Row],[Released On]])-12*YEAR(tbl_MTG_Set[[#This Row],[Released On]])</f>
        <v>143</v>
      </c>
      <c r="I612" t="str">
        <f>_xlfn.XLOOKUP(tbl_MTG_Set[[#This Row],[Type Name]], tbl_MTG_Set_Type[Set Type], tbl_MTG_Set_Type[Index], "(Set Type not found)")</f>
        <v>(Set Type not found)</v>
      </c>
      <c r="J612" t="str">
        <f>_xlfn.XLOOKUP(tbl_MTG_Set[[#This Row],[Type Name]], tbl_MTG_Set_Type[Set Type], tbl_MTG_Set_Type[Buy Window Month Start], "(Set Type not found)")</f>
        <v>(Set Type not found)</v>
      </c>
      <c r="K612" s="3" t="e">
        <f>tbl_MTG_Set[[#This Row],[Released On]]+tbl_MTG_Set[[#This Row],[Buy Window Month Start]]*365.25/12</f>
        <v>#VALUE!</v>
      </c>
      <c r="L612" t="str">
        <f>_xlfn.XLOOKUP(tbl_MTG_Set[[#This Row],[Type Name]], tbl_MTG_Set_Type[Set Type], tbl_MTG_Set_Type[Buy Window Month End], "(Set Type not found)", 0, 1)</f>
        <v>(Set Type not found)</v>
      </c>
      <c r="M612" s="3" t="e">
        <f>tbl_MTG_Set[[#This Row],[Released On]]+tbl_MTG_Set[[#This Row],[Buy Window Month End]]*365.25/12</f>
        <v>#VALUE!</v>
      </c>
      <c r="N612" s="3" t="e">
        <f ca="1">AND(NOW()&gt;=tbl_MTG_Set[[#This Row],[Buy Window Start]], NOW()&lt;=tbl_MTG_Set[[#This Row],[Buy Window End]])</f>
        <v>#VALUE!</v>
      </c>
      <c r="O612" t="str">
        <f>_xlfn.XLOOKUP(tbl_MTG_Set[[#This Row],[Type Name]], tbl_MTG_Set_Type[Set Type], tbl_MTG_Set_Type[Heavy Printing Window Month Start], "(Set Type not found)", 0, 1)</f>
        <v>(Set Type not found)</v>
      </c>
      <c r="P612" s="3" t="e">
        <f>tbl_MTG_Set[[#This Row],[Released On]]+tbl_MTG_Set[[#This Row],[Heavy Printing Window Month Start]]*365.25/12</f>
        <v>#VALUE!</v>
      </c>
      <c r="Q612" t="str">
        <f>_xlfn.XLOOKUP(tbl_MTG_Set[[#This Row],[Type Name]], tbl_MTG_Set_Type[Set Type], tbl_MTG_Set_Type[Heavy Printing Window Month End], "(Set Type not found)", 0, 1)</f>
        <v>(Set Type not found)</v>
      </c>
      <c r="R612" s="3" t="e">
        <f>tbl_MTG_Set[[#This Row],[Released On]]+tbl_MTG_Set[[#This Row],[Heavy Printing Window Month End]]*365.25/12</f>
        <v>#VALUE!</v>
      </c>
      <c r="S612" s="3" t="e">
        <f ca="1">AND(NOW()&gt;=tbl_MTG_Set[[#This Row],[Heavy Printing Window Start]], NOW()&lt;=tbl_MTG_Set[[#This Row],[Heavy Printing Window End]])</f>
        <v>#VALUE!</v>
      </c>
      <c r="T612" t="str">
        <f>_xlfn.XLOOKUP(tbl_MTG_Set[[#This Row],[Type Name]], tbl_MTG_Set_Type[Set Type], tbl_MTG_Set_Type[Sell Window Month Start], "(Set Type not found)", 0, 1)</f>
        <v>(Set Type not found)</v>
      </c>
      <c r="U612" s="3" t="e">
        <f>tbl_MTG_Set[[#This Row],[Released On]]+tbl_MTG_Set[[#This Row],[Sell Window Month Start]]*365.25/12</f>
        <v>#VALUE!</v>
      </c>
      <c r="V612" t="str">
        <f>_xlfn.XLOOKUP(tbl_MTG_Set[[#This Row],[Type Name]], tbl_MTG_Set_Type[Set Type], tbl_MTG_Set_Type[Sell Window Month End], "(Set Type not found)", 0, 1)</f>
        <v>(Set Type not found)</v>
      </c>
      <c r="W612" s="3" t="e">
        <f>tbl_MTG_Set[[#This Row],[Released On]]+tbl_MTG_Set[[#This Row],[Sell Window Month End]]*365.25/12</f>
        <v>#VALUE!</v>
      </c>
      <c r="X612" s="3" t="e">
        <f ca="1">AND(NOW()&gt;=tbl_MTG_Set[[#This Row],[Sell Window Start]], NOW()&lt;=tbl_MTG_Set[[#This Row],[Sell Window End]])</f>
        <v>#VALUE!</v>
      </c>
      <c r="AG612" s="10"/>
      <c r="AH612" s="10"/>
      <c r="AM612" s="10" t="str" cm="1">
        <f t="array" ref="AM6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2" s="10" t="str" cm="1">
        <f t="array" ref="AN6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2" s="4" t="e">
        <f>_xlfn.XLOOKUP(tbl_MTG_Set[[#This Row],[Play Booster Box Product Id]], tbl_Product[Product Id], tbl_Product[Pack Size])</f>
        <v>#N/A</v>
      </c>
      <c r="AP612" s="10" t="e">
        <f>(tbl_MTG_Set[[#This Row],[Play Booster Box Cost]]+v_Item_Shipping_Cost_In)/tbl_MTG_Set[[#This Row],[Play Booster Box Size]]</f>
        <v>#VALUE!</v>
      </c>
      <c r="AQ612" s="10" t="str" cm="1">
        <f t="array" ref="AQ6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2" s="10"/>
      <c r="AS612" s="10"/>
      <c r="AT612" s="17" t="e">
        <f>tbl_MTG_Set[[#This Row],[Play Booster CardMarket Profit]]/tbl_MTG_Set[[#This Row],[Play Booster Cost]]</f>
        <v>#VALUE!</v>
      </c>
      <c r="AU612" s="10" t="e">
        <f>_xlfn.XLOOKUP(tbl_MTG_Set[[#This Row],[Collector Booster Box Product Id]], tbl_Product[Product Id], tbl_Product[Min Cost])</f>
        <v>#N/A</v>
      </c>
      <c r="AV612" s="10" t="e">
        <f>_xlfn.XLOOKUP(tbl_MTG_Set[[#This Row],[Collector Booster Box Product Id]], tbl_Product[Product Id], tbl_Product[Best Source])</f>
        <v>#N/A</v>
      </c>
      <c r="AW612" s="4" t="e">
        <f>_xlfn.XLOOKUP(tbl_MTG_Set[[#This Row],[Collector Booster Box Product Id]], tbl_Product[Product Id], tbl_Product[Pack Size])</f>
        <v>#N/A</v>
      </c>
      <c r="AX612" s="10" t="e">
        <f>(tbl_MTG_Set[[#This Row],[Collector Booster Box Cost]] + v_Item_Shipping_Cost_In) / tbl_MTG_Set[[#This Row],[Collector Booster Box Size]]</f>
        <v>#N/A</v>
      </c>
      <c r="AY612" s="10" t="str" cm="1">
        <f t="array" ref="AY6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2" s="10"/>
      <c r="BA6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2" s="17" t="e">
        <f>tbl_MTG_Set[[#This Row],[Collector Booster CardMarket Profit]]/tbl_MTG_Set[[#This Row],[Collector Booster Cost]]</f>
        <v>#N/A</v>
      </c>
      <c r="BC612" s="10"/>
      <c r="BF6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2" s="11" t="e">
        <f>tbl_MTG_Set[[#This Row],[Play Singles CardMarket Profit MTG Stocks]]/tbl_MTG_Set[[#This Row],[Play Booster Cost]]</f>
        <v>#VALUE!</v>
      </c>
      <c r="BI612" s="11" t="b">
        <f>tbl_MTG_Set[[#This Row],[Play Singles CardMarket Profit MTG Stocks]]&gt;0</f>
        <v>0</v>
      </c>
      <c r="BM612" s="10" t="e">
        <f>tbl_MTG_Set[[#This Row],[Play Booster Sell Price CardMarket]]*tbl_MTG_Set[[#This Row],[Play Booster Expected Market Value BotBox]]/tbl_MTG_Set[[#This Row],[Play Booster Sealed Market Value BotBox]]</f>
        <v>#VALUE!</v>
      </c>
      <c r="BN6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2" s="10" t="e">
        <f>tbl_MTG_Set[[#This Row],[Play Singles CardMarket Profit BotBox]]/tbl_MTG_Set[[#This Row],[Play Booster Cost]]</f>
        <v>#VALUE!</v>
      </c>
      <c r="BP612" s="10" t="b">
        <f>tbl_MTG_Set[[#This Row],[Play Singles CardMarket Profit BotBox]]&gt;0</f>
        <v>0</v>
      </c>
      <c r="BQ612" s="10"/>
      <c r="BR612" s="10"/>
      <c r="BS612" s="10"/>
      <c r="BT6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2" s="19" t="e">
        <f>tbl_MTG_Set[[#This Row],[Collector Singles CardMarket Profit MTG Stocks]]/tbl_MTG_Set[[#This Row],[Collector Booster Cost]]</f>
        <v>#N/A</v>
      </c>
      <c r="BW612" s="10" t="b">
        <f>tbl_MTG_Set[[#This Row],[Collector Singles CardMarket Profit MTG Stocks]]&gt;0</f>
        <v>0</v>
      </c>
      <c r="BX612" s="10"/>
      <c r="BY612" s="10"/>
      <c r="BZ6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2" s="10" t="e">
        <f>tbl_MTG_Set[[#This Row],[Collector Singles CardMarket Profit BotBox]]/tbl_MTG_Set[[#This Row],[Collector Booster Cost]]</f>
        <v>#N/A</v>
      </c>
      <c r="CC612" s="10" t="b">
        <f>tbl_MTG_Set[[#This Row],[Collector Singles CardMarket Profit BotBox]]&gt;0</f>
        <v>0</v>
      </c>
      <c r="CD6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3" spans="1:86" hidden="1">
      <c r="A613">
        <v>645</v>
      </c>
      <c r="B613" t="s">
        <v>786</v>
      </c>
      <c r="C613">
        <v>6</v>
      </c>
      <c r="D613" s="3">
        <v>41761</v>
      </c>
      <c r="F613" t="s">
        <v>174</v>
      </c>
      <c r="G613">
        <v>1236</v>
      </c>
      <c r="H613">
        <f ca="1">MONTH(NOW())+12*YEAR(NOW())-MONTH(tbl_MTG_Set[[#This Row],[Released On]])-12*YEAR(tbl_MTG_Set[[#This Row],[Released On]])</f>
        <v>142</v>
      </c>
      <c r="I613" t="str">
        <f>_xlfn.XLOOKUP(tbl_MTG_Set[[#This Row],[Type Name]], tbl_MTG_Set_Type[Set Type], tbl_MTG_Set_Type[Index], "(Set Type not found)")</f>
        <v>(Set Type not found)</v>
      </c>
      <c r="J613" t="str">
        <f>_xlfn.XLOOKUP(tbl_MTG_Set[[#This Row],[Type Name]], tbl_MTG_Set_Type[Set Type], tbl_MTG_Set_Type[Buy Window Month Start], "(Set Type not found)")</f>
        <v>(Set Type not found)</v>
      </c>
      <c r="K613" s="3" t="e">
        <f>tbl_MTG_Set[[#This Row],[Released On]]+tbl_MTG_Set[[#This Row],[Buy Window Month Start]]*365.25/12</f>
        <v>#VALUE!</v>
      </c>
      <c r="L613" t="str">
        <f>_xlfn.XLOOKUP(tbl_MTG_Set[[#This Row],[Type Name]], tbl_MTG_Set_Type[Set Type], tbl_MTG_Set_Type[Buy Window Month End], "(Set Type not found)", 0, 1)</f>
        <v>(Set Type not found)</v>
      </c>
      <c r="M613" s="3" t="e">
        <f>tbl_MTG_Set[[#This Row],[Released On]]+tbl_MTG_Set[[#This Row],[Buy Window Month End]]*365.25/12</f>
        <v>#VALUE!</v>
      </c>
      <c r="N613" s="3" t="e">
        <f ca="1">AND(NOW()&gt;=tbl_MTG_Set[[#This Row],[Buy Window Start]], NOW()&lt;=tbl_MTG_Set[[#This Row],[Buy Window End]])</f>
        <v>#VALUE!</v>
      </c>
      <c r="O613" t="str">
        <f>_xlfn.XLOOKUP(tbl_MTG_Set[[#This Row],[Type Name]], tbl_MTG_Set_Type[Set Type], tbl_MTG_Set_Type[Heavy Printing Window Month Start], "(Set Type not found)", 0, 1)</f>
        <v>(Set Type not found)</v>
      </c>
      <c r="P613" s="3" t="e">
        <f>tbl_MTG_Set[[#This Row],[Released On]]+tbl_MTG_Set[[#This Row],[Heavy Printing Window Month Start]]*365.25/12</f>
        <v>#VALUE!</v>
      </c>
      <c r="Q613" t="str">
        <f>_xlfn.XLOOKUP(tbl_MTG_Set[[#This Row],[Type Name]], tbl_MTG_Set_Type[Set Type], tbl_MTG_Set_Type[Heavy Printing Window Month End], "(Set Type not found)", 0, 1)</f>
        <v>(Set Type not found)</v>
      </c>
      <c r="R613" s="3" t="e">
        <f>tbl_MTG_Set[[#This Row],[Released On]]+tbl_MTG_Set[[#This Row],[Heavy Printing Window Month End]]*365.25/12</f>
        <v>#VALUE!</v>
      </c>
      <c r="S613" s="3" t="e">
        <f ca="1">AND(NOW()&gt;=tbl_MTG_Set[[#This Row],[Heavy Printing Window Start]], NOW()&lt;=tbl_MTG_Set[[#This Row],[Heavy Printing Window End]])</f>
        <v>#VALUE!</v>
      </c>
      <c r="T613" t="str">
        <f>_xlfn.XLOOKUP(tbl_MTG_Set[[#This Row],[Type Name]], tbl_MTG_Set_Type[Set Type], tbl_MTG_Set_Type[Sell Window Month Start], "(Set Type not found)", 0, 1)</f>
        <v>(Set Type not found)</v>
      </c>
      <c r="U613" s="3" t="e">
        <f>tbl_MTG_Set[[#This Row],[Released On]]+tbl_MTG_Set[[#This Row],[Sell Window Month Start]]*365.25/12</f>
        <v>#VALUE!</v>
      </c>
      <c r="V613" t="str">
        <f>_xlfn.XLOOKUP(tbl_MTG_Set[[#This Row],[Type Name]], tbl_MTG_Set_Type[Set Type], tbl_MTG_Set_Type[Sell Window Month End], "(Set Type not found)", 0, 1)</f>
        <v>(Set Type not found)</v>
      </c>
      <c r="W613" s="3" t="e">
        <f>tbl_MTG_Set[[#This Row],[Released On]]+tbl_MTG_Set[[#This Row],[Sell Window Month End]]*365.25/12</f>
        <v>#VALUE!</v>
      </c>
      <c r="X613" s="3" t="e">
        <f ca="1">AND(NOW()&gt;=tbl_MTG_Set[[#This Row],[Sell Window Start]], NOW()&lt;=tbl_MTG_Set[[#This Row],[Sell Window End]])</f>
        <v>#VALUE!</v>
      </c>
      <c r="AG613" s="10"/>
      <c r="AH613" s="10"/>
      <c r="AM613" s="10" t="str" cm="1">
        <f t="array" ref="AM6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3" s="10" t="str" cm="1">
        <f t="array" ref="AN6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3" s="4" t="e">
        <f>_xlfn.XLOOKUP(tbl_MTG_Set[[#This Row],[Play Booster Box Product Id]], tbl_Product[Product Id], tbl_Product[Pack Size])</f>
        <v>#N/A</v>
      </c>
      <c r="AP613" s="10" t="e">
        <f>(tbl_MTG_Set[[#This Row],[Play Booster Box Cost]]+v_Item_Shipping_Cost_In)/tbl_MTG_Set[[#This Row],[Play Booster Box Size]]</f>
        <v>#VALUE!</v>
      </c>
      <c r="AQ613" s="10" t="str" cm="1">
        <f t="array" ref="AQ6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3" s="10"/>
      <c r="AS613" s="10"/>
      <c r="AT613" s="17" t="e">
        <f>tbl_MTG_Set[[#This Row],[Play Booster CardMarket Profit]]/tbl_MTG_Set[[#This Row],[Play Booster Cost]]</f>
        <v>#VALUE!</v>
      </c>
      <c r="AU613" s="10" t="e">
        <f>_xlfn.XLOOKUP(tbl_MTG_Set[[#This Row],[Collector Booster Box Product Id]], tbl_Product[Product Id], tbl_Product[Min Cost])</f>
        <v>#N/A</v>
      </c>
      <c r="AV613" s="10" t="e">
        <f>_xlfn.XLOOKUP(tbl_MTG_Set[[#This Row],[Collector Booster Box Product Id]], tbl_Product[Product Id], tbl_Product[Best Source])</f>
        <v>#N/A</v>
      </c>
      <c r="AW613" s="4" t="e">
        <f>_xlfn.XLOOKUP(tbl_MTG_Set[[#This Row],[Collector Booster Box Product Id]], tbl_Product[Product Id], tbl_Product[Pack Size])</f>
        <v>#N/A</v>
      </c>
      <c r="AX613" s="10" t="e">
        <f>(tbl_MTG_Set[[#This Row],[Collector Booster Box Cost]] + v_Item_Shipping_Cost_In) / tbl_MTG_Set[[#This Row],[Collector Booster Box Size]]</f>
        <v>#N/A</v>
      </c>
      <c r="AY613" s="10" t="str" cm="1">
        <f t="array" ref="AY6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3" s="10"/>
      <c r="BA6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3" s="17" t="e">
        <f>tbl_MTG_Set[[#This Row],[Collector Booster CardMarket Profit]]/tbl_MTG_Set[[#This Row],[Collector Booster Cost]]</f>
        <v>#N/A</v>
      </c>
      <c r="BC613" s="10"/>
      <c r="BF6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3" s="11" t="e">
        <f>tbl_MTG_Set[[#This Row],[Play Singles CardMarket Profit MTG Stocks]]/tbl_MTG_Set[[#This Row],[Play Booster Cost]]</f>
        <v>#VALUE!</v>
      </c>
      <c r="BI613" s="11" t="b">
        <f>tbl_MTG_Set[[#This Row],[Play Singles CardMarket Profit MTG Stocks]]&gt;0</f>
        <v>0</v>
      </c>
      <c r="BM613" s="10" t="e">
        <f>tbl_MTG_Set[[#This Row],[Play Booster Sell Price CardMarket]]*tbl_MTG_Set[[#This Row],[Play Booster Expected Market Value BotBox]]/tbl_MTG_Set[[#This Row],[Play Booster Sealed Market Value BotBox]]</f>
        <v>#VALUE!</v>
      </c>
      <c r="BN6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3" s="10" t="e">
        <f>tbl_MTG_Set[[#This Row],[Play Singles CardMarket Profit BotBox]]/tbl_MTG_Set[[#This Row],[Play Booster Cost]]</f>
        <v>#VALUE!</v>
      </c>
      <c r="BP613" s="10" t="b">
        <f>tbl_MTG_Set[[#This Row],[Play Singles CardMarket Profit BotBox]]&gt;0</f>
        <v>0</v>
      </c>
      <c r="BQ613" s="10"/>
      <c r="BR613" s="10"/>
      <c r="BS613" s="10"/>
      <c r="BT6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3" s="19" t="e">
        <f>tbl_MTG_Set[[#This Row],[Collector Singles CardMarket Profit MTG Stocks]]/tbl_MTG_Set[[#This Row],[Collector Booster Cost]]</f>
        <v>#N/A</v>
      </c>
      <c r="BW613" s="10" t="b">
        <f>tbl_MTG_Set[[#This Row],[Collector Singles CardMarket Profit MTG Stocks]]&gt;0</f>
        <v>0</v>
      </c>
      <c r="BX613" s="10"/>
      <c r="BY613" s="10"/>
      <c r="BZ6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3" s="10" t="e">
        <f>tbl_MTG_Set[[#This Row],[Collector Singles CardMarket Profit BotBox]]/tbl_MTG_Set[[#This Row],[Collector Booster Cost]]</f>
        <v>#N/A</v>
      </c>
      <c r="CC613" s="10" t="b">
        <f>tbl_MTG_Set[[#This Row],[Collector Singles CardMarket Profit BotBox]]&gt;0</f>
        <v>0</v>
      </c>
      <c r="CD6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4" spans="1:86" hidden="1">
      <c r="A614">
        <v>646</v>
      </c>
      <c r="B614" t="s">
        <v>787</v>
      </c>
      <c r="C614">
        <v>15</v>
      </c>
      <c r="D614" s="3">
        <v>41784</v>
      </c>
      <c r="F614" t="s">
        <v>174</v>
      </c>
      <c r="G614">
        <v>1238</v>
      </c>
      <c r="H614">
        <f ca="1">MONTH(NOW())+12*YEAR(NOW())-MONTH(tbl_MTG_Set[[#This Row],[Released On]])-12*YEAR(tbl_MTG_Set[[#This Row],[Released On]])</f>
        <v>142</v>
      </c>
      <c r="I614" t="str">
        <f>_xlfn.XLOOKUP(tbl_MTG_Set[[#This Row],[Type Name]], tbl_MTG_Set_Type[Set Type], tbl_MTG_Set_Type[Index], "(Set Type not found)")</f>
        <v>(Set Type not found)</v>
      </c>
      <c r="J614" t="str">
        <f>_xlfn.XLOOKUP(tbl_MTG_Set[[#This Row],[Type Name]], tbl_MTG_Set_Type[Set Type], tbl_MTG_Set_Type[Buy Window Month Start], "(Set Type not found)")</f>
        <v>(Set Type not found)</v>
      </c>
      <c r="K614" s="3" t="e">
        <f>tbl_MTG_Set[[#This Row],[Released On]]+tbl_MTG_Set[[#This Row],[Buy Window Month Start]]*365.25/12</f>
        <v>#VALUE!</v>
      </c>
      <c r="L614" t="str">
        <f>_xlfn.XLOOKUP(tbl_MTG_Set[[#This Row],[Type Name]], tbl_MTG_Set_Type[Set Type], tbl_MTG_Set_Type[Buy Window Month End], "(Set Type not found)", 0, 1)</f>
        <v>(Set Type not found)</v>
      </c>
      <c r="M614" s="3" t="e">
        <f>tbl_MTG_Set[[#This Row],[Released On]]+tbl_MTG_Set[[#This Row],[Buy Window Month End]]*365.25/12</f>
        <v>#VALUE!</v>
      </c>
      <c r="N614" s="3" t="e">
        <f ca="1">AND(NOW()&gt;=tbl_MTG_Set[[#This Row],[Buy Window Start]], NOW()&lt;=tbl_MTG_Set[[#This Row],[Buy Window End]])</f>
        <v>#VALUE!</v>
      </c>
      <c r="O614" t="str">
        <f>_xlfn.XLOOKUP(tbl_MTG_Set[[#This Row],[Type Name]], tbl_MTG_Set_Type[Set Type], tbl_MTG_Set_Type[Heavy Printing Window Month Start], "(Set Type not found)", 0, 1)</f>
        <v>(Set Type not found)</v>
      </c>
      <c r="P614" s="3" t="e">
        <f>tbl_MTG_Set[[#This Row],[Released On]]+tbl_MTG_Set[[#This Row],[Heavy Printing Window Month Start]]*365.25/12</f>
        <v>#VALUE!</v>
      </c>
      <c r="Q614" t="str">
        <f>_xlfn.XLOOKUP(tbl_MTG_Set[[#This Row],[Type Name]], tbl_MTG_Set_Type[Set Type], tbl_MTG_Set_Type[Heavy Printing Window Month End], "(Set Type not found)", 0, 1)</f>
        <v>(Set Type not found)</v>
      </c>
      <c r="R614" s="3" t="e">
        <f>tbl_MTG_Set[[#This Row],[Released On]]+tbl_MTG_Set[[#This Row],[Heavy Printing Window Month End]]*365.25/12</f>
        <v>#VALUE!</v>
      </c>
      <c r="S614" s="3" t="e">
        <f ca="1">AND(NOW()&gt;=tbl_MTG_Set[[#This Row],[Heavy Printing Window Start]], NOW()&lt;=tbl_MTG_Set[[#This Row],[Heavy Printing Window End]])</f>
        <v>#VALUE!</v>
      </c>
      <c r="T614" t="str">
        <f>_xlfn.XLOOKUP(tbl_MTG_Set[[#This Row],[Type Name]], tbl_MTG_Set_Type[Set Type], tbl_MTG_Set_Type[Sell Window Month Start], "(Set Type not found)", 0, 1)</f>
        <v>(Set Type not found)</v>
      </c>
      <c r="U614" s="3" t="e">
        <f>tbl_MTG_Set[[#This Row],[Released On]]+tbl_MTG_Set[[#This Row],[Sell Window Month Start]]*365.25/12</f>
        <v>#VALUE!</v>
      </c>
      <c r="V614" t="str">
        <f>_xlfn.XLOOKUP(tbl_MTG_Set[[#This Row],[Type Name]], tbl_MTG_Set_Type[Set Type], tbl_MTG_Set_Type[Sell Window Month End], "(Set Type not found)", 0, 1)</f>
        <v>(Set Type not found)</v>
      </c>
      <c r="W614" s="3" t="e">
        <f>tbl_MTG_Set[[#This Row],[Released On]]+tbl_MTG_Set[[#This Row],[Sell Window Month End]]*365.25/12</f>
        <v>#VALUE!</v>
      </c>
      <c r="X614" s="3" t="e">
        <f ca="1">AND(NOW()&gt;=tbl_MTG_Set[[#This Row],[Sell Window Start]], NOW()&lt;=tbl_MTG_Set[[#This Row],[Sell Window End]])</f>
        <v>#VALUE!</v>
      </c>
      <c r="AG614" s="10"/>
      <c r="AH614" s="10"/>
      <c r="AM614" s="10" t="str" cm="1">
        <f t="array" ref="AM6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4" s="10" t="str" cm="1">
        <f t="array" ref="AN6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4" s="4" t="e">
        <f>_xlfn.XLOOKUP(tbl_MTG_Set[[#This Row],[Play Booster Box Product Id]], tbl_Product[Product Id], tbl_Product[Pack Size])</f>
        <v>#N/A</v>
      </c>
      <c r="AP614" s="10" t="e">
        <f>(tbl_MTG_Set[[#This Row],[Play Booster Box Cost]]+v_Item_Shipping_Cost_In)/tbl_MTG_Set[[#This Row],[Play Booster Box Size]]</f>
        <v>#VALUE!</v>
      </c>
      <c r="AQ614" s="10" t="str" cm="1">
        <f t="array" ref="AQ6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4" s="10"/>
      <c r="AS614" s="10"/>
      <c r="AT614" s="17" t="e">
        <f>tbl_MTG_Set[[#This Row],[Play Booster CardMarket Profit]]/tbl_MTG_Set[[#This Row],[Play Booster Cost]]</f>
        <v>#VALUE!</v>
      </c>
      <c r="AU614" s="10" t="e">
        <f>_xlfn.XLOOKUP(tbl_MTG_Set[[#This Row],[Collector Booster Box Product Id]], tbl_Product[Product Id], tbl_Product[Min Cost])</f>
        <v>#N/A</v>
      </c>
      <c r="AV614" s="10" t="e">
        <f>_xlfn.XLOOKUP(tbl_MTG_Set[[#This Row],[Collector Booster Box Product Id]], tbl_Product[Product Id], tbl_Product[Best Source])</f>
        <v>#N/A</v>
      </c>
      <c r="AW614" s="4" t="e">
        <f>_xlfn.XLOOKUP(tbl_MTG_Set[[#This Row],[Collector Booster Box Product Id]], tbl_Product[Product Id], tbl_Product[Pack Size])</f>
        <v>#N/A</v>
      </c>
      <c r="AX614" s="10" t="e">
        <f>(tbl_MTG_Set[[#This Row],[Collector Booster Box Cost]] + v_Item_Shipping_Cost_In) / tbl_MTG_Set[[#This Row],[Collector Booster Box Size]]</f>
        <v>#N/A</v>
      </c>
      <c r="AY614" s="10" t="str" cm="1">
        <f t="array" ref="AY6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4" s="10"/>
      <c r="BA6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4" s="17" t="e">
        <f>tbl_MTG_Set[[#This Row],[Collector Booster CardMarket Profit]]/tbl_MTG_Set[[#This Row],[Collector Booster Cost]]</f>
        <v>#N/A</v>
      </c>
      <c r="BC614" s="10"/>
      <c r="BF6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4" s="11" t="e">
        <f>tbl_MTG_Set[[#This Row],[Play Singles CardMarket Profit MTG Stocks]]/tbl_MTG_Set[[#This Row],[Play Booster Cost]]</f>
        <v>#VALUE!</v>
      </c>
      <c r="BI614" s="11" t="b">
        <f>tbl_MTG_Set[[#This Row],[Play Singles CardMarket Profit MTG Stocks]]&gt;0</f>
        <v>0</v>
      </c>
      <c r="BM614" s="10" t="e">
        <f>tbl_MTG_Set[[#This Row],[Play Booster Sell Price CardMarket]]*tbl_MTG_Set[[#This Row],[Play Booster Expected Market Value BotBox]]/tbl_MTG_Set[[#This Row],[Play Booster Sealed Market Value BotBox]]</f>
        <v>#VALUE!</v>
      </c>
      <c r="BN6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4" s="10" t="e">
        <f>tbl_MTG_Set[[#This Row],[Play Singles CardMarket Profit BotBox]]/tbl_MTG_Set[[#This Row],[Play Booster Cost]]</f>
        <v>#VALUE!</v>
      </c>
      <c r="BP614" s="10" t="b">
        <f>tbl_MTG_Set[[#This Row],[Play Singles CardMarket Profit BotBox]]&gt;0</f>
        <v>0</v>
      </c>
      <c r="BQ614" s="10"/>
      <c r="BR614" s="10"/>
      <c r="BS614" s="10"/>
      <c r="BT6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4" s="19" t="e">
        <f>tbl_MTG_Set[[#This Row],[Collector Singles CardMarket Profit MTG Stocks]]/tbl_MTG_Set[[#This Row],[Collector Booster Cost]]</f>
        <v>#N/A</v>
      </c>
      <c r="BW614" s="10" t="b">
        <f>tbl_MTG_Set[[#This Row],[Collector Singles CardMarket Profit MTG Stocks]]&gt;0</f>
        <v>0</v>
      </c>
      <c r="BX614" s="10"/>
      <c r="BY614" s="10"/>
      <c r="BZ6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4" s="10" t="e">
        <f>tbl_MTG_Set[[#This Row],[Collector Singles CardMarket Profit BotBox]]/tbl_MTG_Set[[#This Row],[Collector Booster Cost]]</f>
        <v>#N/A</v>
      </c>
      <c r="CC614" s="10" t="b">
        <f>tbl_MTG_Set[[#This Row],[Collector Singles CardMarket Profit BotBox]]&gt;0</f>
        <v>0</v>
      </c>
      <c r="CD6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5" spans="1:86" hidden="1">
      <c r="A615">
        <v>647</v>
      </c>
      <c r="B615" t="s">
        <v>788</v>
      </c>
      <c r="C615">
        <v>8</v>
      </c>
      <c r="D615" s="3">
        <v>41761</v>
      </c>
      <c r="F615" t="s">
        <v>174</v>
      </c>
      <c r="G615">
        <v>1240</v>
      </c>
      <c r="H615">
        <f ca="1">MONTH(NOW())+12*YEAR(NOW())-MONTH(tbl_MTG_Set[[#This Row],[Released On]])-12*YEAR(tbl_MTG_Set[[#This Row],[Released On]])</f>
        <v>142</v>
      </c>
      <c r="I615" t="str">
        <f>_xlfn.XLOOKUP(tbl_MTG_Set[[#This Row],[Type Name]], tbl_MTG_Set_Type[Set Type], tbl_MTG_Set_Type[Index], "(Set Type not found)")</f>
        <v>(Set Type not found)</v>
      </c>
      <c r="J615" t="str">
        <f>_xlfn.XLOOKUP(tbl_MTG_Set[[#This Row],[Type Name]], tbl_MTG_Set_Type[Set Type], tbl_MTG_Set_Type[Buy Window Month Start], "(Set Type not found)")</f>
        <v>(Set Type not found)</v>
      </c>
      <c r="K615" s="3" t="e">
        <f>tbl_MTG_Set[[#This Row],[Released On]]+tbl_MTG_Set[[#This Row],[Buy Window Month Start]]*365.25/12</f>
        <v>#VALUE!</v>
      </c>
      <c r="L615" t="str">
        <f>_xlfn.XLOOKUP(tbl_MTG_Set[[#This Row],[Type Name]], tbl_MTG_Set_Type[Set Type], tbl_MTG_Set_Type[Buy Window Month End], "(Set Type not found)", 0, 1)</f>
        <v>(Set Type not found)</v>
      </c>
      <c r="M615" s="3" t="e">
        <f>tbl_MTG_Set[[#This Row],[Released On]]+tbl_MTG_Set[[#This Row],[Buy Window Month End]]*365.25/12</f>
        <v>#VALUE!</v>
      </c>
      <c r="N615" s="3" t="e">
        <f ca="1">AND(NOW()&gt;=tbl_MTG_Set[[#This Row],[Buy Window Start]], NOW()&lt;=tbl_MTG_Set[[#This Row],[Buy Window End]])</f>
        <v>#VALUE!</v>
      </c>
      <c r="O615" t="str">
        <f>_xlfn.XLOOKUP(tbl_MTG_Set[[#This Row],[Type Name]], tbl_MTG_Set_Type[Set Type], tbl_MTG_Set_Type[Heavy Printing Window Month Start], "(Set Type not found)", 0, 1)</f>
        <v>(Set Type not found)</v>
      </c>
      <c r="P615" s="3" t="e">
        <f>tbl_MTG_Set[[#This Row],[Released On]]+tbl_MTG_Set[[#This Row],[Heavy Printing Window Month Start]]*365.25/12</f>
        <v>#VALUE!</v>
      </c>
      <c r="Q615" t="str">
        <f>_xlfn.XLOOKUP(tbl_MTG_Set[[#This Row],[Type Name]], tbl_MTG_Set_Type[Set Type], tbl_MTG_Set_Type[Heavy Printing Window Month End], "(Set Type not found)", 0, 1)</f>
        <v>(Set Type not found)</v>
      </c>
      <c r="R615" s="3" t="e">
        <f>tbl_MTG_Set[[#This Row],[Released On]]+tbl_MTG_Set[[#This Row],[Heavy Printing Window Month End]]*365.25/12</f>
        <v>#VALUE!</v>
      </c>
      <c r="S615" s="3" t="e">
        <f ca="1">AND(NOW()&gt;=tbl_MTG_Set[[#This Row],[Heavy Printing Window Start]], NOW()&lt;=tbl_MTG_Set[[#This Row],[Heavy Printing Window End]])</f>
        <v>#VALUE!</v>
      </c>
      <c r="T615" t="str">
        <f>_xlfn.XLOOKUP(tbl_MTG_Set[[#This Row],[Type Name]], tbl_MTG_Set_Type[Set Type], tbl_MTG_Set_Type[Sell Window Month Start], "(Set Type not found)", 0, 1)</f>
        <v>(Set Type not found)</v>
      </c>
      <c r="U615" s="3" t="e">
        <f>tbl_MTG_Set[[#This Row],[Released On]]+tbl_MTG_Set[[#This Row],[Sell Window Month Start]]*365.25/12</f>
        <v>#VALUE!</v>
      </c>
      <c r="V615" t="str">
        <f>_xlfn.XLOOKUP(tbl_MTG_Set[[#This Row],[Type Name]], tbl_MTG_Set_Type[Set Type], tbl_MTG_Set_Type[Sell Window Month End], "(Set Type not found)", 0, 1)</f>
        <v>(Set Type not found)</v>
      </c>
      <c r="W615" s="3" t="e">
        <f>tbl_MTG_Set[[#This Row],[Released On]]+tbl_MTG_Set[[#This Row],[Sell Window Month End]]*365.25/12</f>
        <v>#VALUE!</v>
      </c>
      <c r="X615" s="3" t="e">
        <f ca="1">AND(NOW()&gt;=tbl_MTG_Set[[#This Row],[Sell Window Start]], NOW()&lt;=tbl_MTG_Set[[#This Row],[Sell Window End]])</f>
        <v>#VALUE!</v>
      </c>
      <c r="AG615" s="10"/>
      <c r="AH615" s="10"/>
      <c r="AM615" s="10" t="str" cm="1">
        <f t="array" ref="AM6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5" s="10" t="str" cm="1">
        <f t="array" ref="AN6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5" s="4" t="e">
        <f>_xlfn.XLOOKUP(tbl_MTG_Set[[#This Row],[Play Booster Box Product Id]], tbl_Product[Product Id], tbl_Product[Pack Size])</f>
        <v>#N/A</v>
      </c>
      <c r="AP615" s="10" t="e">
        <f>(tbl_MTG_Set[[#This Row],[Play Booster Box Cost]]+v_Item_Shipping_Cost_In)/tbl_MTG_Set[[#This Row],[Play Booster Box Size]]</f>
        <v>#VALUE!</v>
      </c>
      <c r="AQ615" s="10" t="str" cm="1">
        <f t="array" ref="AQ6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5" s="10"/>
      <c r="AS615" s="10"/>
      <c r="AT615" s="17" t="e">
        <f>tbl_MTG_Set[[#This Row],[Play Booster CardMarket Profit]]/tbl_MTG_Set[[#This Row],[Play Booster Cost]]</f>
        <v>#VALUE!</v>
      </c>
      <c r="AU615" s="10" t="e">
        <f>_xlfn.XLOOKUP(tbl_MTG_Set[[#This Row],[Collector Booster Box Product Id]], tbl_Product[Product Id], tbl_Product[Min Cost])</f>
        <v>#N/A</v>
      </c>
      <c r="AV615" s="10" t="e">
        <f>_xlfn.XLOOKUP(tbl_MTG_Set[[#This Row],[Collector Booster Box Product Id]], tbl_Product[Product Id], tbl_Product[Best Source])</f>
        <v>#N/A</v>
      </c>
      <c r="AW615" s="4" t="e">
        <f>_xlfn.XLOOKUP(tbl_MTG_Set[[#This Row],[Collector Booster Box Product Id]], tbl_Product[Product Id], tbl_Product[Pack Size])</f>
        <v>#N/A</v>
      </c>
      <c r="AX615" s="10" t="e">
        <f>(tbl_MTG_Set[[#This Row],[Collector Booster Box Cost]] + v_Item_Shipping_Cost_In) / tbl_MTG_Set[[#This Row],[Collector Booster Box Size]]</f>
        <v>#N/A</v>
      </c>
      <c r="AY615" s="10" t="str" cm="1">
        <f t="array" ref="AY6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5" s="10"/>
      <c r="BA6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5" s="17" t="e">
        <f>tbl_MTG_Set[[#This Row],[Collector Booster CardMarket Profit]]/tbl_MTG_Set[[#This Row],[Collector Booster Cost]]</f>
        <v>#N/A</v>
      </c>
      <c r="BC615" s="10"/>
      <c r="BF6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5" s="11" t="e">
        <f>tbl_MTG_Set[[#This Row],[Play Singles CardMarket Profit MTG Stocks]]/tbl_MTG_Set[[#This Row],[Play Booster Cost]]</f>
        <v>#VALUE!</v>
      </c>
      <c r="BI615" s="11" t="b">
        <f>tbl_MTG_Set[[#This Row],[Play Singles CardMarket Profit MTG Stocks]]&gt;0</f>
        <v>0</v>
      </c>
      <c r="BM615" s="10" t="e">
        <f>tbl_MTG_Set[[#This Row],[Play Booster Sell Price CardMarket]]*tbl_MTG_Set[[#This Row],[Play Booster Expected Market Value BotBox]]/tbl_MTG_Set[[#This Row],[Play Booster Sealed Market Value BotBox]]</f>
        <v>#VALUE!</v>
      </c>
      <c r="BN6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5" s="10" t="e">
        <f>tbl_MTG_Set[[#This Row],[Play Singles CardMarket Profit BotBox]]/tbl_MTG_Set[[#This Row],[Play Booster Cost]]</f>
        <v>#VALUE!</v>
      </c>
      <c r="BP615" s="10" t="b">
        <f>tbl_MTG_Set[[#This Row],[Play Singles CardMarket Profit BotBox]]&gt;0</f>
        <v>0</v>
      </c>
      <c r="BQ615" s="10"/>
      <c r="BR615" s="10"/>
      <c r="BS615" s="10"/>
      <c r="BT6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5" s="19" t="e">
        <f>tbl_MTG_Set[[#This Row],[Collector Singles CardMarket Profit MTG Stocks]]/tbl_MTG_Set[[#This Row],[Collector Booster Cost]]</f>
        <v>#N/A</v>
      </c>
      <c r="BW615" s="10" t="b">
        <f>tbl_MTG_Set[[#This Row],[Collector Singles CardMarket Profit MTG Stocks]]&gt;0</f>
        <v>0</v>
      </c>
      <c r="BX615" s="10"/>
      <c r="BY615" s="10"/>
      <c r="BZ6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5" s="10" t="e">
        <f>tbl_MTG_Set[[#This Row],[Collector Singles CardMarket Profit BotBox]]/tbl_MTG_Set[[#This Row],[Collector Booster Cost]]</f>
        <v>#N/A</v>
      </c>
      <c r="CC615" s="10" t="b">
        <f>tbl_MTG_Set[[#This Row],[Collector Singles CardMarket Profit BotBox]]&gt;0</f>
        <v>0</v>
      </c>
      <c r="CD6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6" spans="1:86" hidden="1">
      <c r="A616">
        <v>648</v>
      </c>
      <c r="B616" t="s">
        <v>789</v>
      </c>
      <c r="C616">
        <v>88</v>
      </c>
      <c r="D616" s="3">
        <v>41712</v>
      </c>
      <c r="F616" t="s">
        <v>174</v>
      </c>
      <c r="G616">
        <v>1242</v>
      </c>
      <c r="H616">
        <f ca="1">MONTH(NOW())+12*YEAR(NOW())-MONTH(tbl_MTG_Set[[#This Row],[Released On]])-12*YEAR(tbl_MTG_Set[[#This Row],[Released On]])</f>
        <v>144</v>
      </c>
      <c r="I616" t="str">
        <f>_xlfn.XLOOKUP(tbl_MTG_Set[[#This Row],[Type Name]], tbl_MTG_Set_Type[Set Type], tbl_MTG_Set_Type[Index], "(Set Type not found)")</f>
        <v>(Set Type not found)</v>
      </c>
      <c r="J616" t="str">
        <f>_xlfn.XLOOKUP(tbl_MTG_Set[[#This Row],[Type Name]], tbl_MTG_Set_Type[Set Type], tbl_MTG_Set_Type[Buy Window Month Start], "(Set Type not found)")</f>
        <v>(Set Type not found)</v>
      </c>
      <c r="K616" s="3" t="e">
        <f>tbl_MTG_Set[[#This Row],[Released On]]+tbl_MTG_Set[[#This Row],[Buy Window Month Start]]*365.25/12</f>
        <v>#VALUE!</v>
      </c>
      <c r="L616" t="str">
        <f>_xlfn.XLOOKUP(tbl_MTG_Set[[#This Row],[Type Name]], tbl_MTG_Set_Type[Set Type], tbl_MTG_Set_Type[Buy Window Month End], "(Set Type not found)", 0, 1)</f>
        <v>(Set Type not found)</v>
      </c>
      <c r="M616" s="3" t="e">
        <f>tbl_MTG_Set[[#This Row],[Released On]]+tbl_MTG_Set[[#This Row],[Buy Window Month End]]*365.25/12</f>
        <v>#VALUE!</v>
      </c>
      <c r="N616" s="3" t="e">
        <f ca="1">AND(NOW()&gt;=tbl_MTG_Set[[#This Row],[Buy Window Start]], NOW()&lt;=tbl_MTG_Set[[#This Row],[Buy Window End]])</f>
        <v>#VALUE!</v>
      </c>
      <c r="O616" t="str">
        <f>_xlfn.XLOOKUP(tbl_MTG_Set[[#This Row],[Type Name]], tbl_MTG_Set_Type[Set Type], tbl_MTG_Set_Type[Heavy Printing Window Month Start], "(Set Type not found)", 0, 1)</f>
        <v>(Set Type not found)</v>
      </c>
      <c r="P616" s="3" t="e">
        <f>tbl_MTG_Set[[#This Row],[Released On]]+tbl_MTG_Set[[#This Row],[Heavy Printing Window Month Start]]*365.25/12</f>
        <v>#VALUE!</v>
      </c>
      <c r="Q616" t="str">
        <f>_xlfn.XLOOKUP(tbl_MTG_Set[[#This Row],[Type Name]], tbl_MTG_Set_Type[Set Type], tbl_MTG_Set_Type[Heavy Printing Window Month End], "(Set Type not found)", 0, 1)</f>
        <v>(Set Type not found)</v>
      </c>
      <c r="R616" s="3" t="e">
        <f>tbl_MTG_Set[[#This Row],[Released On]]+tbl_MTG_Set[[#This Row],[Heavy Printing Window Month End]]*365.25/12</f>
        <v>#VALUE!</v>
      </c>
      <c r="S616" s="3" t="e">
        <f ca="1">AND(NOW()&gt;=tbl_MTG_Set[[#This Row],[Heavy Printing Window Start]], NOW()&lt;=tbl_MTG_Set[[#This Row],[Heavy Printing Window End]])</f>
        <v>#VALUE!</v>
      </c>
      <c r="T616" t="str">
        <f>_xlfn.XLOOKUP(tbl_MTG_Set[[#This Row],[Type Name]], tbl_MTG_Set_Type[Set Type], tbl_MTG_Set_Type[Sell Window Month Start], "(Set Type not found)", 0, 1)</f>
        <v>(Set Type not found)</v>
      </c>
      <c r="U616" s="3" t="e">
        <f>tbl_MTG_Set[[#This Row],[Released On]]+tbl_MTG_Set[[#This Row],[Sell Window Month Start]]*365.25/12</f>
        <v>#VALUE!</v>
      </c>
      <c r="V616" t="str">
        <f>_xlfn.XLOOKUP(tbl_MTG_Set[[#This Row],[Type Name]], tbl_MTG_Set_Type[Set Type], tbl_MTG_Set_Type[Sell Window Month End], "(Set Type not found)", 0, 1)</f>
        <v>(Set Type not found)</v>
      </c>
      <c r="W616" s="3" t="e">
        <f>tbl_MTG_Set[[#This Row],[Released On]]+tbl_MTG_Set[[#This Row],[Sell Window Month End]]*365.25/12</f>
        <v>#VALUE!</v>
      </c>
      <c r="X616" s="3" t="e">
        <f ca="1">AND(NOW()&gt;=tbl_MTG_Set[[#This Row],[Sell Window Start]], NOW()&lt;=tbl_MTG_Set[[#This Row],[Sell Window End]])</f>
        <v>#VALUE!</v>
      </c>
      <c r="AG616" s="10"/>
      <c r="AH616" s="10"/>
      <c r="AM616" s="10" t="str" cm="1">
        <f t="array" ref="AM6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6" s="10" t="str" cm="1">
        <f t="array" ref="AN6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6" s="4" t="e">
        <f>_xlfn.XLOOKUP(tbl_MTG_Set[[#This Row],[Play Booster Box Product Id]], tbl_Product[Product Id], tbl_Product[Pack Size])</f>
        <v>#N/A</v>
      </c>
      <c r="AP616" s="10" t="e">
        <f>(tbl_MTG_Set[[#This Row],[Play Booster Box Cost]]+v_Item_Shipping_Cost_In)/tbl_MTG_Set[[#This Row],[Play Booster Box Size]]</f>
        <v>#VALUE!</v>
      </c>
      <c r="AQ616" s="10" t="str" cm="1">
        <f t="array" ref="AQ6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6" s="10"/>
      <c r="AS616" s="10"/>
      <c r="AT616" s="17" t="e">
        <f>tbl_MTG_Set[[#This Row],[Play Booster CardMarket Profit]]/tbl_MTG_Set[[#This Row],[Play Booster Cost]]</f>
        <v>#VALUE!</v>
      </c>
      <c r="AU616" s="10" t="e">
        <f>_xlfn.XLOOKUP(tbl_MTG_Set[[#This Row],[Collector Booster Box Product Id]], tbl_Product[Product Id], tbl_Product[Min Cost])</f>
        <v>#N/A</v>
      </c>
      <c r="AV616" s="10" t="e">
        <f>_xlfn.XLOOKUP(tbl_MTG_Set[[#This Row],[Collector Booster Box Product Id]], tbl_Product[Product Id], tbl_Product[Best Source])</f>
        <v>#N/A</v>
      </c>
      <c r="AW616" s="4" t="e">
        <f>_xlfn.XLOOKUP(tbl_MTG_Set[[#This Row],[Collector Booster Box Product Id]], tbl_Product[Product Id], tbl_Product[Pack Size])</f>
        <v>#N/A</v>
      </c>
      <c r="AX616" s="10" t="e">
        <f>(tbl_MTG_Set[[#This Row],[Collector Booster Box Cost]] + v_Item_Shipping_Cost_In) / tbl_MTG_Set[[#This Row],[Collector Booster Box Size]]</f>
        <v>#N/A</v>
      </c>
      <c r="AY616" s="10" t="str" cm="1">
        <f t="array" ref="AY6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6" s="10"/>
      <c r="BA6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6" s="17" t="e">
        <f>tbl_MTG_Set[[#This Row],[Collector Booster CardMarket Profit]]/tbl_MTG_Set[[#This Row],[Collector Booster Cost]]</f>
        <v>#N/A</v>
      </c>
      <c r="BC616" s="10"/>
      <c r="BF6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6" s="11" t="e">
        <f>tbl_MTG_Set[[#This Row],[Play Singles CardMarket Profit MTG Stocks]]/tbl_MTG_Set[[#This Row],[Play Booster Cost]]</f>
        <v>#VALUE!</v>
      </c>
      <c r="BI616" s="11" t="b">
        <f>tbl_MTG_Set[[#This Row],[Play Singles CardMarket Profit MTG Stocks]]&gt;0</f>
        <v>0</v>
      </c>
      <c r="BM616" s="10" t="e">
        <f>tbl_MTG_Set[[#This Row],[Play Booster Sell Price CardMarket]]*tbl_MTG_Set[[#This Row],[Play Booster Expected Market Value BotBox]]/tbl_MTG_Set[[#This Row],[Play Booster Sealed Market Value BotBox]]</f>
        <v>#VALUE!</v>
      </c>
      <c r="BN6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6" s="10" t="e">
        <f>tbl_MTG_Set[[#This Row],[Play Singles CardMarket Profit BotBox]]/tbl_MTG_Set[[#This Row],[Play Booster Cost]]</f>
        <v>#VALUE!</v>
      </c>
      <c r="BP616" s="10" t="b">
        <f>tbl_MTG_Set[[#This Row],[Play Singles CardMarket Profit BotBox]]&gt;0</f>
        <v>0</v>
      </c>
      <c r="BQ616" s="10"/>
      <c r="BR616" s="10"/>
      <c r="BS616" s="10"/>
      <c r="BT6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6" s="19" t="e">
        <f>tbl_MTG_Set[[#This Row],[Collector Singles CardMarket Profit MTG Stocks]]/tbl_MTG_Set[[#This Row],[Collector Booster Cost]]</f>
        <v>#N/A</v>
      </c>
      <c r="BW616" s="10" t="b">
        <f>tbl_MTG_Set[[#This Row],[Collector Singles CardMarket Profit MTG Stocks]]&gt;0</f>
        <v>0</v>
      </c>
      <c r="BX616" s="10"/>
      <c r="BY616" s="10"/>
      <c r="BZ6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6" s="10" t="e">
        <f>tbl_MTG_Set[[#This Row],[Collector Singles CardMarket Profit BotBox]]/tbl_MTG_Set[[#This Row],[Collector Booster Cost]]</f>
        <v>#N/A</v>
      </c>
      <c r="CC616" s="10" t="b">
        <f>tbl_MTG_Set[[#This Row],[Collector Singles CardMarket Profit BotBox]]&gt;0</f>
        <v>0</v>
      </c>
      <c r="CD6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7" spans="1:86" hidden="1">
      <c r="A617">
        <v>649</v>
      </c>
      <c r="B617" t="s">
        <v>790</v>
      </c>
      <c r="C617">
        <v>1</v>
      </c>
      <c r="D617" s="3">
        <v>41712</v>
      </c>
      <c r="F617" t="s">
        <v>174</v>
      </c>
      <c r="G617">
        <v>1244</v>
      </c>
      <c r="H617">
        <f ca="1">MONTH(NOW())+12*YEAR(NOW())-MONTH(tbl_MTG_Set[[#This Row],[Released On]])-12*YEAR(tbl_MTG_Set[[#This Row],[Released On]])</f>
        <v>144</v>
      </c>
      <c r="I617" t="str">
        <f>_xlfn.XLOOKUP(tbl_MTG_Set[[#This Row],[Type Name]], tbl_MTG_Set_Type[Set Type], tbl_MTG_Set_Type[Index], "(Set Type not found)")</f>
        <v>(Set Type not found)</v>
      </c>
      <c r="J617" t="str">
        <f>_xlfn.XLOOKUP(tbl_MTG_Set[[#This Row],[Type Name]], tbl_MTG_Set_Type[Set Type], tbl_MTG_Set_Type[Buy Window Month Start], "(Set Type not found)")</f>
        <v>(Set Type not found)</v>
      </c>
      <c r="K617" s="3" t="e">
        <f>tbl_MTG_Set[[#This Row],[Released On]]+tbl_MTG_Set[[#This Row],[Buy Window Month Start]]*365.25/12</f>
        <v>#VALUE!</v>
      </c>
      <c r="L617" t="str">
        <f>_xlfn.XLOOKUP(tbl_MTG_Set[[#This Row],[Type Name]], tbl_MTG_Set_Type[Set Type], tbl_MTG_Set_Type[Buy Window Month End], "(Set Type not found)", 0, 1)</f>
        <v>(Set Type not found)</v>
      </c>
      <c r="M617" s="3" t="e">
        <f>tbl_MTG_Set[[#This Row],[Released On]]+tbl_MTG_Set[[#This Row],[Buy Window Month End]]*365.25/12</f>
        <v>#VALUE!</v>
      </c>
      <c r="N617" s="3" t="e">
        <f ca="1">AND(NOW()&gt;=tbl_MTG_Set[[#This Row],[Buy Window Start]], NOW()&lt;=tbl_MTG_Set[[#This Row],[Buy Window End]])</f>
        <v>#VALUE!</v>
      </c>
      <c r="O617" t="str">
        <f>_xlfn.XLOOKUP(tbl_MTG_Set[[#This Row],[Type Name]], tbl_MTG_Set_Type[Set Type], tbl_MTG_Set_Type[Heavy Printing Window Month Start], "(Set Type not found)", 0, 1)</f>
        <v>(Set Type not found)</v>
      </c>
      <c r="P617" s="3" t="e">
        <f>tbl_MTG_Set[[#This Row],[Released On]]+tbl_MTG_Set[[#This Row],[Heavy Printing Window Month Start]]*365.25/12</f>
        <v>#VALUE!</v>
      </c>
      <c r="Q617" t="str">
        <f>_xlfn.XLOOKUP(tbl_MTG_Set[[#This Row],[Type Name]], tbl_MTG_Set_Type[Set Type], tbl_MTG_Set_Type[Heavy Printing Window Month End], "(Set Type not found)", 0, 1)</f>
        <v>(Set Type not found)</v>
      </c>
      <c r="R617" s="3" t="e">
        <f>tbl_MTG_Set[[#This Row],[Released On]]+tbl_MTG_Set[[#This Row],[Heavy Printing Window Month End]]*365.25/12</f>
        <v>#VALUE!</v>
      </c>
      <c r="S617" s="3" t="e">
        <f ca="1">AND(NOW()&gt;=tbl_MTG_Set[[#This Row],[Heavy Printing Window Start]], NOW()&lt;=tbl_MTG_Set[[#This Row],[Heavy Printing Window End]])</f>
        <v>#VALUE!</v>
      </c>
      <c r="T617" t="str">
        <f>_xlfn.XLOOKUP(tbl_MTG_Set[[#This Row],[Type Name]], tbl_MTG_Set_Type[Set Type], tbl_MTG_Set_Type[Sell Window Month Start], "(Set Type not found)", 0, 1)</f>
        <v>(Set Type not found)</v>
      </c>
      <c r="U617" s="3" t="e">
        <f>tbl_MTG_Set[[#This Row],[Released On]]+tbl_MTG_Set[[#This Row],[Sell Window Month Start]]*365.25/12</f>
        <v>#VALUE!</v>
      </c>
      <c r="V617" t="str">
        <f>_xlfn.XLOOKUP(tbl_MTG_Set[[#This Row],[Type Name]], tbl_MTG_Set_Type[Set Type], tbl_MTG_Set_Type[Sell Window Month End], "(Set Type not found)", 0, 1)</f>
        <v>(Set Type not found)</v>
      </c>
      <c r="W617" s="3" t="e">
        <f>tbl_MTG_Set[[#This Row],[Released On]]+tbl_MTG_Set[[#This Row],[Sell Window Month End]]*365.25/12</f>
        <v>#VALUE!</v>
      </c>
      <c r="X617" s="3" t="e">
        <f ca="1">AND(NOW()&gt;=tbl_MTG_Set[[#This Row],[Sell Window Start]], NOW()&lt;=tbl_MTG_Set[[#This Row],[Sell Window End]])</f>
        <v>#VALUE!</v>
      </c>
      <c r="AG617" s="10"/>
      <c r="AH617" s="10"/>
      <c r="AM617" s="10" t="str" cm="1">
        <f t="array" ref="AM6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7" s="10" t="str" cm="1">
        <f t="array" ref="AN6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7" s="4" t="e">
        <f>_xlfn.XLOOKUP(tbl_MTG_Set[[#This Row],[Play Booster Box Product Id]], tbl_Product[Product Id], tbl_Product[Pack Size])</f>
        <v>#N/A</v>
      </c>
      <c r="AP617" s="10" t="e">
        <f>(tbl_MTG_Set[[#This Row],[Play Booster Box Cost]]+v_Item_Shipping_Cost_In)/tbl_MTG_Set[[#This Row],[Play Booster Box Size]]</f>
        <v>#VALUE!</v>
      </c>
      <c r="AQ617" s="10" t="str" cm="1">
        <f t="array" ref="AQ6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7" s="10"/>
      <c r="AS617" s="10"/>
      <c r="AT617" s="17" t="e">
        <f>tbl_MTG_Set[[#This Row],[Play Booster CardMarket Profit]]/tbl_MTG_Set[[#This Row],[Play Booster Cost]]</f>
        <v>#VALUE!</v>
      </c>
      <c r="AU617" s="10" t="e">
        <f>_xlfn.XLOOKUP(tbl_MTG_Set[[#This Row],[Collector Booster Box Product Id]], tbl_Product[Product Id], tbl_Product[Min Cost])</f>
        <v>#N/A</v>
      </c>
      <c r="AV617" s="10" t="e">
        <f>_xlfn.XLOOKUP(tbl_MTG_Set[[#This Row],[Collector Booster Box Product Id]], tbl_Product[Product Id], tbl_Product[Best Source])</f>
        <v>#N/A</v>
      </c>
      <c r="AW617" s="4" t="e">
        <f>_xlfn.XLOOKUP(tbl_MTG_Set[[#This Row],[Collector Booster Box Product Id]], tbl_Product[Product Id], tbl_Product[Pack Size])</f>
        <v>#N/A</v>
      </c>
      <c r="AX617" s="10" t="e">
        <f>(tbl_MTG_Set[[#This Row],[Collector Booster Box Cost]] + v_Item_Shipping_Cost_In) / tbl_MTG_Set[[#This Row],[Collector Booster Box Size]]</f>
        <v>#N/A</v>
      </c>
      <c r="AY617" s="10" t="str" cm="1">
        <f t="array" ref="AY6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7" s="10"/>
      <c r="BA6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7" s="17" t="e">
        <f>tbl_MTG_Set[[#This Row],[Collector Booster CardMarket Profit]]/tbl_MTG_Set[[#This Row],[Collector Booster Cost]]</f>
        <v>#N/A</v>
      </c>
      <c r="BC617" s="10"/>
      <c r="BF6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7" s="11" t="e">
        <f>tbl_MTG_Set[[#This Row],[Play Singles CardMarket Profit MTG Stocks]]/tbl_MTG_Set[[#This Row],[Play Booster Cost]]</f>
        <v>#VALUE!</v>
      </c>
      <c r="BI617" s="11" t="b">
        <f>tbl_MTG_Set[[#This Row],[Play Singles CardMarket Profit MTG Stocks]]&gt;0</f>
        <v>0</v>
      </c>
      <c r="BM617" s="10" t="e">
        <f>tbl_MTG_Set[[#This Row],[Play Booster Sell Price CardMarket]]*tbl_MTG_Set[[#This Row],[Play Booster Expected Market Value BotBox]]/tbl_MTG_Set[[#This Row],[Play Booster Sealed Market Value BotBox]]</f>
        <v>#VALUE!</v>
      </c>
      <c r="BN6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7" s="10" t="e">
        <f>tbl_MTG_Set[[#This Row],[Play Singles CardMarket Profit BotBox]]/tbl_MTG_Set[[#This Row],[Play Booster Cost]]</f>
        <v>#VALUE!</v>
      </c>
      <c r="BP617" s="10" t="b">
        <f>tbl_MTG_Set[[#This Row],[Play Singles CardMarket Profit BotBox]]&gt;0</f>
        <v>0</v>
      </c>
      <c r="BQ617" s="10"/>
      <c r="BR617" s="10"/>
      <c r="BS617" s="10"/>
      <c r="BT6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7" s="19" t="e">
        <f>tbl_MTG_Set[[#This Row],[Collector Singles CardMarket Profit MTG Stocks]]/tbl_MTG_Set[[#This Row],[Collector Booster Cost]]</f>
        <v>#N/A</v>
      </c>
      <c r="BW617" s="10" t="b">
        <f>tbl_MTG_Set[[#This Row],[Collector Singles CardMarket Profit MTG Stocks]]&gt;0</f>
        <v>0</v>
      </c>
      <c r="BX617" s="10"/>
      <c r="BY617" s="10"/>
      <c r="BZ6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7" s="10" t="e">
        <f>tbl_MTG_Set[[#This Row],[Collector Singles CardMarket Profit BotBox]]/tbl_MTG_Set[[#This Row],[Collector Booster Cost]]</f>
        <v>#N/A</v>
      </c>
      <c r="CC617" s="10" t="b">
        <f>tbl_MTG_Set[[#This Row],[Collector Singles CardMarket Profit BotBox]]&gt;0</f>
        <v>0</v>
      </c>
      <c r="CD6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8" spans="1:86" hidden="1">
      <c r="A618">
        <v>650</v>
      </c>
      <c r="B618" t="s">
        <v>791</v>
      </c>
      <c r="C618">
        <v>165</v>
      </c>
      <c r="D618" s="3">
        <v>41677</v>
      </c>
      <c r="F618" t="s">
        <v>174</v>
      </c>
      <c r="G618">
        <v>1246</v>
      </c>
      <c r="H618">
        <f ca="1">MONTH(NOW())+12*YEAR(NOW())-MONTH(tbl_MTG_Set[[#This Row],[Released On]])-12*YEAR(tbl_MTG_Set[[#This Row],[Released On]])</f>
        <v>145</v>
      </c>
      <c r="I618" t="str">
        <f>_xlfn.XLOOKUP(tbl_MTG_Set[[#This Row],[Type Name]], tbl_MTG_Set_Type[Set Type], tbl_MTG_Set_Type[Index], "(Set Type not found)")</f>
        <v>(Set Type not found)</v>
      </c>
      <c r="J618" t="str">
        <f>_xlfn.XLOOKUP(tbl_MTG_Set[[#This Row],[Type Name]], tbl_MTG_Set_Type[Set Type], tbl_MTG_Set_Type[Buy Window Month Start], "(Set Type not found)")</f>
        <v>(Set Type not found)</v>
      </c>
      <c r="K618" s="3" t="e">
        <f>tbl_MTG_Set[[#This Row],[Released On]]+tbl_MTG_Set[[#This Row],[Buy Window Month Start]]*365.25/12</f>
        <v>#VALUE!</v>
      </c>
      <c r="L618" t="str">
        <f>_xlfn.XLOOKUP(tbl_MTG_Set[[#This Row],[Type Name]], tbl_MTG_Set_Type[Set Type], tbl_MTG_Set_Type[Buy Window Month End], "(Set Type not found)", 0, 1)</f>
        <v>(Set Type not found)</v>
      </c>
      <c r="M618" s="3" t="e">
        <f>tbl_MTG_Set[[#This Row],[Released On]]+tbl_MTG_Set[[#This Row],[Buy Window Month End]]*365.25/12</f>
        <v>#VALUE!</v>
      </c>
      <c r="N618" s="3" t="e">
        <f ca="1">AND(NOW()&gt;=tbl_MTG_Set[[#This Row],[Buy Window Start]], NOW()&lt;=tbl_MTG_Set[[#This Row],[Buy Window End]])</f>
        <v>#VALUE!</v>
      </c>
      <c r="O618" t="str">
        <f>_xlfn.XLOOKUP(tbl_MTG_Set[[#This Row],[Type Name]], tbl_MTG_Set_Type[Set Type], tbl_MTG_Set_Type[Heavy Printing Window Month Start], "(Set Type not found)", 0, 1)</f>
        <v>(Set Type not found)</v>
      </c>
      <c r="P618" s="3" t="e">
        <f>tbl_MTG_Set[[#This Row],[Released On]]+tbl_MTG_Set[[#This Row],[Heavy Printing Window Month Start]]*365.25/12</f>
        <v>#VALUE!</v>
      </c>
      <c r="Q618" t="str">
        <f>_xlfn.XLOOKUP(tbl_MTG_Set[[#This Row],[Type Name]], tbl_MTG_Set_Type[Set Type], tbl_MTG_Set_Type[Heavy Printing Window Month End], "(Set Type not found)", 0, 1)</f>
        <v>(Set Type not found)</v>
      </c>
      <c r="R618" s="3" t="e">
        <f>tbl_MTG_Set[[#This Row],[Released On]]+tbl_MTG_Set[[#This Row],[Heavy Printing Window Month End]]*365.25/12</f>
        <v>#VALUE!</v>
      </c>
      <c r="S618" s="3" t="e">
        <f ca="1">AND(NOW()&gt;=tbl_MTG_Set[[#This Row],[Heavy Printing Window Start]], NOW()&lt;=tbl_MTG_Set[[#This Row],[Heavy Printing Window End]])</f>
        <v>#VALUE!</v>
      </c>
      <c r="T618" t="str">
        <f>_xlfn.XLOOKUP(tbl_MTG_Set[[#This Row],[Type Name]], tbl_MTG_Set_Type[Set Type], tbl_MTG_Set_Type[Sell Window Month Start], "(Set Type not found)", 0, 1)</f>
        <v>(Set Type not found)</v>
      </c>
      <c r="U618" s="3" t="e">
        <f>tbl_MTG_Set[[#This Row],[Released On]]+tbl_MTG_Set[[#This Row],[Sell Window Month Start]]*365.25/12</f>
        <v>#VALUE!</v>
      </c>
      <c r="V618" t="str">
        <f>_xlfn.XLOOKUP(tbl_MTG_Set[[#This Row],[Type Name]], tbl_MTG_Set_Type[Set Type], tbl_MTG_Set_Type[Sell Window Month End], "(Set Type not found)", 0, 1)</f>
        <v>(Set Type not found)</v>
      </c>
      <c r="W618" s="3" t="e">
        <f>tbl_MTG_Set[[#This Row],[Released On]]+tbl_MTG_Set[[#This Row],[Sell Window Month End]]*365.25/12</f>
        <v>#VALUE!</v>
      </c>
      <c r="X618" s="3" t="e">
        <f ca="1">AND(NOW()&gt;=tbl_MTG_Set[[#This Row],[Sell Window Start]], NOW()&lt;=tbl_MTG_Set[[#This Row],[Sell Window End]])</f>
        <v>#VALUE!</v>
      </c>
      <c r="AG618" s="10"/>
      <c r="AH618" s="10"/>
      <c r="AM618" s="10" t="str" cm="1">
        <f t="array" ref="AM6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8" s="10" t="str" cm="1">
        <f t="array" ref="AN6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8" s="4" t="e">
        <f>_xlfn.XLOOKUP(tbl_MTG_Set[[#This Row],[Play Booster Box Product Id]], tbl_Product[Product Id], tbl_Product[Pack Size])</f>
        <v>#N/A</v>
      </c>
      <c r="AP618" s="10" t="e">
        <f>(tbl_MTG_Set[[#This Row],[Play Booster Box Cost]]+v_Item_Shipping_Cost_In)/tbl_MTG_Set[[#This Row],[Play Booster Box Size]]</f>
        <v>#VALUE!</v>
      </c>
      <c r="AQ618" s="10" t="str" cm="1">
        <f t="array" ref="AQ6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8" s="10"/>
      <c r="AS618" s="10"/>
      <c r="AT618" s="17" t="e">
        <f>tbl_MTG_Set[[#This Row],[Play Booster CardMarket Profit]]/tbl_MTG_Set[[#This Row],[Play Booster Cost]]</f>
        <v>#VALUE!</v>
      </c>
      <c r="AU618" s="10" t="e">
        <f>_xlfn.XLOOKUP(tbl_MTG_Set[[#This Row],[Collector Booster Box Product Id]], tbl_Product[Product Id], tbl_Product[Min Cost])</f>
        <v>#N/A</v>
      </c>
      <c r="AV618" s="10" t="e">
        <f>_xlfn.XLOOKUP(tbl_MTG_Set[[#This Row],[Collector Booster Box Product Id]], tbl_Product[Product Id], tbl_Product[Best Source])</f>
        <v>#N/A</v>
      </c>
      <c r="AW618" s="4" t="e">
        <f>_xlfn.XLOOKUP(tbl_MTG_Set[[#This Row],[Collector Booster Box Product Id]], tbl_Product[Product Id], tbl_Product[Pack Size])</f>
        <v>#N/A</v>
      </c>
      <c r="AX618" s="10" t="e">
        <f>(tbl_MTG_Set[[#This Row],[Collector Booster Box Cost]] + v_Item_Shipping_Cost_In) / tbl_MTG_Set[[#This Row],[Collector Booster Box Size]]</f>
        <v>#N/A</v>
      </c>
      <c r="AY618" s="10" t="str" cm="1">
        <f t="array" ref="AY6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8" s="10"/>
      <c r="BA6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8" s="17" t="e">
        <f>tbl_MTG_Set[[#This Row],[Collector Booster CardMarket Profit]]/tbl_MTG_Set[[#This Row],[Collector Booster Cost]]</f>
        <v>#N/A</v>
      </c>
      <c r="BC618" s="10"/>
      <c r="BF6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8" s="11" t="e">
        <f>tbl_MTG_Set[[#This Row],[Play Singles CardMarket Profit MTG Stocks]]/tbl_MTG_Set[[#This Row],[Play Booster Cost]]</f>
        <v>#VALUE!</v>
      </c>
      <c r="BI618" s="11" t="b">
        <f>tbl_MTG_Set[[#This Row],[Play Singles CardMarket Profit MTG Stocks]]&gt;0</f>
        <v>0</v>
      </c>
      <c r="BM618" s="10" t="e">
        <f>tbl_MTG_Set[[#This Row],[Play Booster Sell Price CardMarket]]*tbl_MTG_Set[[#This Row],[Play Booster Expected Market Value BotBox]]/tbl_MTG_Set[[#This Row],[Play Booster Sealed Market Value BotBox]]</f>
        <v>#VALUE!</v>
      </c>
      <c r="BN6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8" s="10" t="e">
        <f>tbl_MTG_Set[[#This Row],[Play Singles CardMarket Profit BotBox]]/tbl_MTG_Set[[#This Row],[Play Booster Cost]]</f>
        <v>#VALUE!</v>
      </c>
      <c r="BP618" s="10" t="b">
        <f>tbl_MTG_Set[[#This Row],[Play Singles CardMarket Profit BotBox]]&gt;0</f>
        <v>0</v>
      </c>
      <c r="BQ618" s="10"/>
      <c r="BR618" s="10"/>
      <c r="BS618" s="10"/>
      <c r="BT6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8" s="19" t="e">
        <f>tbl_MTG_Set[[#This Row],[Collector Singles CardMarket Profit MTG Stocks]]/tbl_MTG_Set[[#This Row],[Collector Booster Cost]]</f>
        <v>#N/A</v>
      </c>
      <c r="BW618" s="10" t="b">
        <f>tbl_MTG_Set[[#This Row],[Collector Singles CardMarket Profit MTG Stocks]]&gt;0</f>
        <v>0</v>
      </c>
      <c r="BX618" s="10"/>
      <c r="BY618" s="10"/>
      <c r="BZ6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8" s="10" t="e">
        <f>tbl_MTG_Set[[#This Row],[Collector Singles CardMarket Profit BotBox]]/tbl_MTG_Set[[#This Row],[Collector Booster Cost]]</f>
        <v>#N/A</v>
      </c>
      <c r="CC618" s="10" t="b">
        <f>tbl_MTG_Set[[#This Row],[Collector Singles CardMarket Profit BotBox]]&gt;0</f>
        <v>0</v>
      </c>
      <c r="CD6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19" spans="1:86" hidden="1">
      <c r="A619">
        <v>651</v>
      </c>
      <c r="B619" t="s">
        <v>792</v>
      </c>
      <c r="C619">
        <v>9</v>
      </c>
      <c r="D619" s="3">
        <v>41671</v>
      </c>
      <c r="F619" t="s">
        <v>174</v>
      </c>
      <c r="G619">
        <v>1248</v>
      </c>
      <c r="H619">
        <f ca="1">MONTH(NOW())+12*YEAR(NOW())-MONTH(tbl_MTG_Set[[#This Row],[Released On]])-12*YEAR(tbl_MTG_Set[[#This Row],[Released On]])</f>
        <v>145</v>
      </c>
      <c r="I619" t="str">
        <f>_xlfn.XLOOKUP(tbl_MTG_Set[[#This Row],[Type Name]], tbl_MTG_Set_Type[Set Type], tbl_MTG_Set_Type[Index], "(Set Type not found)")</f>
        <v>(Set Type not found)</v>
      </c>
      <c r="J619" t="str">
        <f>_xlfn.XLOOKUP(tbl_MTG_Set[[#This Row],[Type Name]], tbl_MTG_Set_Type[Set Type], tbl_MTG_Set_Type[Buy Window Month Start], "(Set Type not found)")</f>
        <v>(Set Type not found)</v>
      </c>
      <c r="K619" s="3" t="e">
        <f>tbl_MTG_Set[[#This Row],[Released On]]+tbl_MTG_Set[[#This Row],[Buy Window Month Start]]*365.25/12</f>
        <v>#VALUE!</v>
      </c>
      <c r="L619" t="str">
        <f>_xlfn.XLOOKUP(tbl_MTG_Set[[#This Row],[Type Name]], tbl_MTG_Set_Type[Set Type], tbl_MTG_Set_Type[Buy Window Month End], "(Set Type not found)", 0, 1)</f>
        <v>(Set Type not found)</v>
      </c>
      <c r="M619" s="3" t="e">
        <f>tbl_MTG_Set[[#This Row],[Released On]]+tbl_MTG_Set[[#This Row],[Buy Window Month End]]*365.25/12</f>
        <v>#VALUE!</v>
      </c>
      <c r="N619" s="3" t="e">
        <f ca="1">AND(NOW()&gt;=tbl_MTG_Set[[#This Row],[Buy Window Start]], NOW()&lt;=tbl_MTG_Set[[#This Row],[Buy Window End]])</f>
        <v>#VALUE!</v>
      </c>
      <c r="O619" t="str">
        <f>_xlfn.XLOOKUP(tbl_MTG_Set[[#This Row],[Type Name]], tbl_MTG_Set_Type[Set Type], tbl_MTG_Set_Type[Heavy Printing Window Month Start], "(Set Type not found)", 0, 1)</f>
        <v>(Set Type not found)</v>
      </c>
      <c r="P619" s="3" t="e">
        <f>tbl_MTG_Set[[#This Row],[Released On]]+tbl_MTG_Set[[#This Row],[Heavy Printing Window Month Start]]*365.25/12</f>
        <v>#VALUE!</v>
      </c>
      <c r="Q619" t="str">
        <f>_xlfn.XLOOKUP(tbl_MTG_Set[[#This Row],[Type Name]], tbl_MTG_Set_Type[Set Type], tbl_MTG_Set_Type[Heavy Printing Window Month End], "(Set Type not found)", 0, 1)</f>
        <v>(Set Type not found)</v>
      </c>
      <c r="R619" s="3" t="e">
        <f>tbl_MTG_Set[[#This Row],[Released On]]+tbl_MTG_Set[[#This Row],[Heavy Printing Window Month End]]*365.25/12</f>
        <v>#VALUE!</v>
      </c>
      <c r="S619" s="3" t="e">
        <f ca="1">AND(NOW()&gt;=tbl_MTG_Set[[#This Row],[Heavy Printing Window Start]], NOW()&lt;=tbl_MTG_Set[[#This Row],[Heavy Printing Window End]])</f>
        <v>#VALUE!</v>
      </c>
      <c r="T619" t="str">
        <f>_xlfn.XLOOKUP(tbl_MTG_Set[[#This Row],[Type Name]], tbl_MTG_Set_Type[Set Type], tbl_MTG_Set_Type[Sell Window Month Start], "(Set Type not found)", 0, 1)</f>
        <v>(Set Type not found)</v>
      </c>
      <c r="U619" s="3" t="e">
        <f>tbl_MTG_Set[[#This Row],[Released On]]+tbl_MTG_Set[[#This Row],[Sell Window Month Start]]*365.25/12</f>
        <v>#VALUE!</v>
      </c>
      <c r="V619" t="str">
        <f>_xlfn.XLOOKUP(tbl_MTG_Set[[#This Row],[Type Name]], tbl_MTG_Set_Type[Set Type], tbl_MTG_Set_Type[Sell Window Month End], "(Set Type not found)", 0, 1)</f>
        <v>(Set Type not found)</v>
      </c>
      <c r="W619" s="3" t="e">
        <f>tbl_MTG_Set[[#This Row],[Released On]]+tbl_MTG_Set[[#This Row],[Sell Window Month End]]*365.25/12</f>
        <v>#VALUE!</v>
      </c>
      <c r="X619" s="3" t="e">
        <f ca="1">AND(NOW()&gt;=tbl_MTG_Set[[#This Row],[Sell Window Start]], NOW()&lt;=tbl_MTG_Set[[#This Row],[Sell Window End]])</f>
        <v>#VALUE!</v>
      </c>
      <c r="AG619" s="10"/>
      <c r="AH619" s="10"/>
      <c r="AM619" s="10" t="str" cm="1">
        <f t="array" ref="AM6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19" s="10" t="str" cm="1">
        <f t="array" ref="AN6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19" s="4" t="e">
        <f>_xlfn.XLOOKUP(tbl_MTG_Set[[#This Row],[Play Booster Box Product Id]], tbl_Product[Product Id], tbl_Product[Pack Size])</f>
        <v>#N/A</v>
      </c>
      <c r="AP619" s="10" t="e">
        <f>(tbl_MTG_Set[[#This Row],[Play Booster Box Cost]]+v_Item_Shipping_Cost_In)/tbl_MTG_Set[[#This Row],[Play Booster Box Size]]</f>
        <v>#VALUE!</v>
      </c>
      <c r="AQ619" s="10" t="str" cm="1">
        <f t="array" ref="AQ6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19" s="10"/>
      <c r="AS619" s="10"/>
      <c r="AT619" s="17" t="e">
        <f>tbl_MTG_Set[[#This Row],[Play Booster CardMarket Profit]]/tbl_MTG_Set[[#This Row],[Play Booster Cost]]</f>
        <v>#VALUE!</v>
      </c>
      <c r="AU619" s="10" t="e">
        <f>_xlfn.XLOOKUP(tbl_MTG_Set[[#This Row],[Collector Booster Box Product Id]], tbl_Product[Product Id], tbl_Product[Min Cost])</f>
        <v>#N/A</v>
      </c>
      <c r="AV619" s="10" t="e">
        <f>_xlfn.XLOOKUP(tbl_MTG_Set[[#This Row],[Collector Booster Box Product Id]], tbl_Product[Product Id], tbl_Product[Best Source])</f>
        <v>#N/A</v>
      </c>
      <c r="AW619" s="4" t="e">
        <f>_xlfn.XLOOKUP(tbl_MTG_Set[[#This Row],[Collector Booster Box Product Id]], tbl_Product[Product Id], tbl_Product[Pack Size])</f>
        <v>#N/A</v>
      </c>
      <c r="AX619" s="10" t="e">
        <f>(tbl_MTG_Set[[#This Row],[Collector Booster Box Cost]] + v_Item_Shipping_Cost_In) / tbl_MTG_Set[[#This Row],[Collector Booster Box Size]]</f>
        <v>#N/A</v>
      </c>
      <c r="AY619" s="10" t="str" cm="1">
        <f t="array" ref="AY6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19" s="10"/>
      <c r="BA6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19" s="17" t="e">
        <f>tbl_MTG_Set[[#This Row],[Collector Booster CardMarket Profit]]/tbl_MTG_Set[[#This Row],[Collector Booster Cost]]</f>
        <v>#N/A</v>
      </c>
      <c r="BC619" s="10"/>
      <c r="BF6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19" s="11" t="e">
        <f>tbl_MTG_Set[[#This Row],[Play Singles CardMarket Profit MTG Stocks]]/tbl_MTG_Set[[#This Row],[Play Booster Cost]]</f>
        <v>#VALUE!</v>
      </c>
      <c r="BI619" s="11" t="b">
        <f>tbl_MTG_Set[[#This Row],[Play Singles CardMarket Profit MTG Stocks]]&gt;0</f>
        <v>0</v>
      </c>
      <c r="BM619" s="10" t="e">
        <f>tbl_MTG_Set[[#This Row],[Play Booster Sell Price CardMarket]]*tbl_MTG_Set[[#This Row],[Play Booster Expected Market Value BotBox]]/tbl_MTG_Set[[#This Row],[Play Booster Sealed Market Value BotBox]]</f>
        <v>#VALUE!</v>
      </c>
      <c r="BN6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19" s="10" t="e">
        <f>tbl_MTG_Set[[#This Row],[Play Singles CardMarket Profit BotBox]]/tbl_MTG_Set[[#This Row],[Play Booster Cost]]</f>
        <v>#VALUE!</v>
      </c>
      <c r="BP619" s="10" t="b">
        <f>tbl_MTG_Set[[#This Row],[Play Singles CardMarket Profit BotBox]]&gt;0</f>
        <v>0</v>
      </c>
      <c r="BQ619" s="10"/>
      <c r="BR619" s="10"/>
      <c r="BS619" s="10"/>
      <c r="BT6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19" s="19" t="e">
        <f>tbl_MTG_Set[[#This Row],[Collector Singles CardMarket Profit MTG Stocks]]/tbl_MTG_Set[[#This Row],[Collector Booster Cost]]</f>
        <v>#N/A</v>
      </c>
      <c r="BW619" s="10" t="b">
        <f>tbl_MTG_Set[[#This Row],[Collector Singles CardMarket Profit MTG Stocks]]&gt;0</f>
        <v>0</v>
      </c>
      <c r="BX619" s="10"/>
      <c r="BY619" s="10"/>
      <c r="BZ6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19" s="10" t="e">
        <f>tbl_MTG_Set[[#This Row],[Collector Singles CardMarket Profit BotBox]]/tbl_MTG_Set[[#This Row],[Collector Booster Cost]]</f>
        <v>#N/A</v>
      </c>
      <c r="CC619" s="10" t="b">
        <f>tbl_MTG_Set[[#This Row],[Collector Singles CardMarket Profit BotBox]]&gt;0</f>
        <v>0</v>
      </c>
      <c r="CD6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0" spans="1:86" hidden="1">
      <c r="A620">
        <v>652</v>
      </c>
      <c r="B620" t="s">
        <v>793</v>
      </c>
      <c r="C620">
        <v>11</v>
      </c>
      <c r="D620" s="3">
        <v>41677</v>
      </c>
      <c r="F620" t="s">
        <v>174</v>
      </c>
      <c r="G620">
        <v>1250</v>
      </c>
      <c r="H620">
        <f ca="1">MONTH(NOW())+12*YEAR(NOW())-MONTH(tbl_MTG_Set[[#This Row],[Released On]])-12*YEAR(tbl_MTG_Set[[#This Row],[Released On]])</f>
        <v>145</v>
      </c>
      <c r="I620" t="str">
        <f>_xlfn.XLOOKUP(tbl_MTG_Set[[#This Row],[Type Name]], tbl_MTG_Set_Type[Set Type], tbl_MTG_Set_Type[Index], "(Set Type not found)")</f>
        <v>(Set Type not found)</v>
      </c>
      <c r="J620" t="str">
        <f>_xlfn.XLOOKUP(tbl_MTG_Set[[#This Row],[Type Name]], tbl_MTG_Set_Type[Set Type], tbl_MTG_Set_Type[Buy Window Month Start], "(Set Type not found)")</f>
        <v>(Set Type not found)</v>
      </c>
      <c r="K620" s="3" t="e">
        <f>tbl_MTG_Set[[#This Row],[Released On]]+tbl_MTG_Set[[#This Row],[Buy Window Month Start]]*365.25/12</f>
        <v>#VALUE!</v>
      </c>
      <c r="L620" t="str">
        <f>_xlfn.XLOOKUP(tbl_MTG_Set[[#This Row],[Type Name]], tbl_MTG_Set_Type[Set Type], tbl_MTG_Set_Type[Buy Window Month End], "(Set Type not found)", 0, 1)</f>
        <v>(Set Type not found)</v>
      </c>
      <c r="M620" s="3" t="e">
        <f>tbl_MTG_Set[[#This Row],[Released On]]+tbl_MTG_Set[[#This Row],[Buy Window Month End]]*365.25/12</f>
        <v>#VALUE!</v>
      </c>
      <c r="N620" s="3" t="e">
        <f ca="1">AND(NOW()&gt;=tbl_MTG_Set[[#This Row],[Buy Window Start]], NOW()&lt;=tbl_MTG_Set[[#This Row],[Buy Window End]])</f>
        <v>#VALUE!</v>
      </c>
      <c r="O620" t="str">
        <f>_xlfn.XLOOKUP(tbl_MTG_Set[[#This Row],[Type Name]], tbl_MTG_Set_Type[Set Type], tbl_MTG_Set_Type[Heavy Printing Window Month Start], "(Set Type not found)", 0, 1)</f>
        <v>(Set Type not found)</v>
      </c>
      <c r="P620" s="3" t="e">
        <f>tbl_MTG_Set[[#This Row],[Released On]]+tbl_MTG_Set[[#This Row],[Heavy Printing Window Month Start]]*365.25/12</f>
        <v>#VALUE!</v>
      </c>
      <c r="Q620" t="str">
        <f>_xlfn.XLOOKUP(tbl_MTG_Set[[#This Row],[Type Name]], tbl_MTG_Set_Type[Set Type], tbl_MTG_Set_Type[Heavy Printing Window Month End], "(Set Type not found)", 0, 1)</f>
        <v>(Set Type not found)</v>
      </c>
      <c r="R620" s="3" t="e">
        <f>tbl_MTG_Set[[#This Row],[Released On]]+tbl_MTG_Set[[#This Row],[Heavy Printing Window Month End]]*365.25/12</f>
        <v>#VALUE!</v>
      </c>
      <c r="S620" s="3" t="e">
        <f ca="1">AND(NOW()&gt;=tbl_MTG_Set[[#This Row],[Heavy Printing Window Start]], NOW()&lt;=tbl_MTG_Set[[#This Row],[Heavy Printing Window End]])</f>
        <v>#VALUE!</v>
      </c>
      <c r="T620" t="str">
        <f>_xlfn.XLOOKUP(tbl_MTG_Set[[#This Row],[Type Name]], tbl_MTG_Set_Type[Set Type], tbl_MTG_Set_Type[Sell Window Month Start], "(Set Type not found)", 0, 1)</f>
        <v>(Set Type not found)</v>
      </c>
      <c r="U620" s="3" t="e">
        <f>tbl_MTG_Set[[#This Row],[Released On]]+tbl_MTG_Set[[#This Row],[Sell Window Month Start]]*365.25/12</f>
        <v>#VALUE!</v>
      </c>
      <c r="V620" t="str">
        <f>_xlfn.XLOOKUP(tbl_MTG_Set[[#This Row],[Type Name]], tbl_MTG_Set_Type[Set Type], tbl_MTG_Set_Type[Sell Window Month End], "(Set Type not found)", 0, 1)</f>
        <v>(Set Type not found)</v>
      </c>
      <c r="W620" s="3" t="e">
        <f>tbl_MTG_Set[[#This Row],[Released On]]+tbl_MTG_Set[[#This Row],[Sell Window Month End]]*365.25/12</f>
        <v>#VALUE!</v>
      </c>
      <c r="X620" s="3" t="e">
        <f ca="1">AND(NOW()&gt;=tbl_MTG_Set[[#This Row],[Sell Window Start]], NOW()&lt;=tbl_MTG_Set[[#This Row],[Sell Window End]])</f>
        <v>#VALUE!</v>
      </c>
      <c r="AG620" s="10"/>
      <c r="AH620" s="10"/>
      <c r="AM620" s="10" t="str" cm="1">
        <f t="array" ref="AM6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0" s="10" t="str" cm="1">
        <f t="array" ref="AN6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0" s="4" t="e">
        <f>_xlfn.XLOOKUP(tbl_MTG_Set[[#This Row],[Play Booster Box Product Id]], tbl_Product[Product Id], tbl_Product[Pack Size])</f>
        <v>#N/A</v>
      </c>
      <c r="AP620" s="10" t="e">
        <f>(tbl_MTG_Set[[#This Row],[Play Booster Box Cost]]+v_Item_Shipping_Cost_In)/tbl_MTG_Set[[#This Row],[Play Booster Box Size]]</f>
        <v>#VALUE!</v>
      </c>
      <c r="AQ620" s="10" t="str" cm="1">
        <f t="array" ref="AQ6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0" s="10"/>
      <c r="AS620" s="10"/>
      <c r="AT620" s="17" t="e">
        <f>tbl_MTG_Set[[#This Row],[Play Booster CardMarket Profit]]/tbl_MTG_Set[[#This Row],[Play Booster Cost]]</f>
        <v>#VALUE!</v>
      </c>
      <c r="AU620" s="10" t="e">
        <f>_xlfn.XLOOKUP(tbl_MTG_Set[[#This Row],[Collector Booster Box Product Id]], tbl_Product[Product Id], tbl_Product[Min Cost])</f>
        <v>#N/A</v>
      </c>
      <c r="AV620" s="10" t="e">
        <f>_xlfn.XLOOKUP(tbl_MTG_Set[[#This Row],[Collector Booster Box Product Id]], tbl_Product[Product Id], tbl_Product[Best Source])</f>
        <v>#N/A</v>
      </c>
      <c r="AW620" s="4" t="e">
        <f>_xlfn.XLOOKUP(tbl_MTG_Set[[#This Row],[Collector Booster Box Product Id]], tbl_Product[Product Id], tbl_Product[Pack Size])</f>
        <v>#N/A</v>
      </c>
      <c r="AX620" s="10" t="e">
        <f>(tbl_MTG_Set[[#This Row],[Collector Booster Box Cost]] + v_Item_Shipping_Cost_In) / tbl_MTG_Set[[#This Row],[Collector Booster Box Size]]</f>
        <v>#N/A</v>
      </c>
      <c r="AY620" s="10" t="str" cm="1">
        <f t="array" ref="AY6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0" s="10"/>
      <c r="BA6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0" s="17" t="e">
        <f>tbl_MTG_Set[[#This Row],[Collector Booster CardMarket Profit]]/tbl_MTG_Set[[#This Row],[Collector Booster Cost]]</f>
        <v>#N/A</v>
      </c>
      <c r="BC620" s="10"/>
      <c r="BF6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0" s="11" t="e">
        <f>tbl_MTG_Set[[#This Row],[Play Singles CardMarket Profit MTG Stocks]]/tbl_MTG_Set[[#This Row],[Play Booster Cost]]</f>
        <v>#VALUE!</v>
      </c>
      <c r="BI620" s="11" t="b">
        <f>tbl_MTG_Set[[#This Row],[Play Singles CardMarket Profit MTG Stocks]]&gt;0</f>
        <v>0</v>
      </c>
      <c r="BM620" s="10" t="e">
        <f>tbl_MTG_Set[[#This Row],[Play Booster Sell Price CardMarket]]*tbl_MTG_Set[[#This Row],[Play Booster Expected Market Value BotBox]]/tbl_MTG_Set[[#This Row],[Play Booster Sealed Market Value BotBox]]</f>
        <v>#VALUE!</v>
      </c>
      <c r="BN6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0" s="10" t="e">
        <f>tbl_MTG_Set[[#This Row],[Play Singles CardMarket Profit BotBox]]/tbl_MTG_Set[[#This Row],[Play Booster Cost]]</f>
        <v>#VALUE!</v>
      </c>
      <c r="BP620" s="10" t="b">
        <f>tbl_MTG_Set[[#This Row],[Play Singles CardMarket Profit BotBox]]&gt;0</f>
        <v>0</v>
      </c>
      <c r="BQ620" s="10"/>
      <c r="BR620" s="10"/>
      <c r="BS620" s="10"/>
      <c r="BT6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0" s="19" t="e">
        <f>tbl_MTG_Set[[#This Row],[Collector Singles CardMarket Profit MTG Stocks]]/tbl_MTG_Set[[#This Row],[Collector Booster Cost]]</f>
        <v>#N/A</v>
      </c>
      <c r="BW620" s="10" t="b">
        <f>tbl_MTG_Set[[#This Row],[Collector Singles CardMarket Profit MTG Stocks]]&gt;0</f>
        <v>0</v>
      </c>
      <c r="BX620" s="10"/>
      <c r="BY620" s="10"/>
      <c r="BZ6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0" s="10" t="e">
        <f>tbl_MTG_Set[[#This Row],[Collector Singles CardMarket Profit BotBox]]/tbl_MTG_Set[[#This Row],[Collector Booster Cost]]</f>
        <v>#N/A</v>
      </c>
      <c r="CC620" s="10" t="b">
        <f>tbl_MTG_Set[[#This Row],[Collector Singles CardMarket Profit BotBox]]&gt;0</f>
        <v>0</v>
      </c>
      <c r="CD6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1" spans="1:86" hidden="1">
      <c r="A621">
        <v>653</v>
      </c>
      <c r="B621" t="s">
        <v>794</v>
      </c>
      <c r="C621">
        <v>15</v>
      </c>
      <c r="D621" s="3">
        <v>41699</v>
      </c>
      <c r="F621" t="s">
        <v>174</v>
      </c>
      <c r="G621">
        <v>1252</v>
      </c>
      <c r="H621">
        <f ca="1">MONTH(NOW())+12*YEAR(NOW())-MONTH(tbl_MTG_Set[[#This Row],[Released On]])-12*YEAR(tbl_MTG_Set[[#This Row],[Released On]])</f>
        <v>144</v>
      </c>
      <c r="I621" t="str">
        <f>_xlfn.XLOOKUP(tbl_MTG_Set[[#This Row],[Type Name]], tbl_MTG_Set_Type[Set Type], tbl_MTG_Set_Type[Index], "(Set Type not found)")</f>
        <v>(Set Type not found)</v>
      </c>
      <c r="J621" t="str">
        <f>_xlfn.XLOOKUP(tbl_MTG_Set[[#This Row],[Type Name]], tbl_MTG_Set_Type[Set Type], tbl_MTG_Set_Type[Buy Window Month Start], "(Set Type not found)")</f>
        <v>(Set Type not found)</v>
      </c>
      <c r="K621" s="3" t="e">
        <f>tbl_MTG_Set[[#This Row],[Released On]]+tbl_MTG_Set[[#This Row],[Buy Window Month Start]]*365.25/12</f>
        <v>#VALUE!</v>
      </c>
      <c r="L621" t="str">
        <f>_xlfn.XLOOKUP(tbl_MTG_Set[[#This Row],[Type Name]], tbl_MTG_Set_Type[Set Type], tbl_MTG_Set_Type[Buy Window Month End], "(Set Type not found)", 0, 1)</f>
        <v>(Set Type not found)</v>
      </c>
      <c r="M621" s="3" t="e">
        <f>tbl_MTG_Set[[#This Row],[Released On]]+tbl_MTG_Set[[#This Row],[Buy Window Month End]]*365.25/12</f>
        <v>#VALUE!</v>
      </c>
      <c r="N621" s="3" t="e">
        <f ca="1">AND(NOW()&gt;=tbl_MTG_Set[[#This Row],[Buy Window Start]], NOW()&lt;=tbl_MTG_Set[[#This Row],[Buy Window End]])</f>
        <v>#VALUE!</v>
      </c>
      <c r="O621" t="str">
        <f>_xlfn.XLOOKUP(tbl_MTG_Set[[#This Row],[Type Name]], tbl_MTG_Set_Type[Set Type], tbl_MTG_Set_Type[Heavy Printing Window Month Start], "(Set Type not found)", 0, 1)</f>
        <v>(Set Type not found)</v>
      </c>
      <c r="P621" s="3" t="e">
        <f>tbl_MTG_Set[[#This Row],[Released On]]+tbl_MTG_Set[[#This Row],[Heavy Printing Window Month Start]]*365.25/12</f>
        <v>#VALUE!</v>
      </c>
      <c r="Q621" t="str">
        <f>_xlfn.XLOOKUP(tbl_MTG_Set[[#This Row],[Type Name]], tbl_MTG_Set_Type[Set Type], tbl_MTG_Set_Type[Heavy Printing Window Month End], "(Set Type not found)", 0, 1)</f>
        <v>(Set Type not found)</v>
      </c>
      <c r="R621" s="3" t="e">
        <f>tbl_MTG_Set[[#This Row],[Released On]]+tbl_MTG_Set[[#This Row],[Heavy Printing Window Month End]]*365.25/12</f>
        <v>#VALUE!</v>
      </c>
      <c r="S621" s="3" t="e">
        <f ca="1">AND(NOW()&gt;=tbl_MTG_Set[[#This Row],[Heavy Printing Window Start]], NOW()&lt;=tbl_MTG_Set[[#This Row],[Heavy Printing Window End]])</f>
        <v>#VALUE!</v>
      </c>
      <c r="T621" t="str">
        <f>_xlfn.XLOOKUP(tbl_MTG_Set[[#This Row],[Type Name]], tbl_MTG_Set_Type[Set Type], tbl_MTG_Set_Type[Sell Window Month Start], "(Set Type not found)", 0, 1)</f>
        <v>(Set Type not found)</v>
      </c>
      <c r="U621" s="3" t="e">
        <f>tbl_MTG_Set[[#This Row],[Released On]]+tbl_MTG_Set[[#This Row],[Sell Window Month Start]]*365.25/12</f>
        <v>#VALUE!</v>
      </c>
      <c r="V621" t="str">
        <f>_xlfn.XLOOKUP(tbl_MTG_Set[[#This Row],[Type Name]], tbl_MTG_Set_Type[Set Type], tbl_MTG_Set_Type[Sell Window Month End], "(Set Type not found)", 0, 1)</f>
        <v>(Set Type not found)</v>
      </c>
      <c r="W621" s="3" t="e">
        <f>tbl_MTG_Set[[#This Row],[Released On]]+tbl_MTG_Set[[#This Row],[Sell Window Month End]]*365.25/12</f>
        <v>#VALUE!</v>
      </c>
      <c r="X621" s="3" t="e">
        <f ca="1">AND(NOW()&gt;=tbl_MTG_Set[[#This Row],[Sell Window Start]], NOW()&lt;=tbl_MTG_Set[[#This Row],[Sell Window End]])</f>
        <v>#VALUE!</v>
      </c>
      <c r="AG621" s="10"/>
      <c r="AH621" s="10"/>
      <c r="AM621" s="10" t="str" cm="1">
        <f t="array" ref="AM6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1" s="10" t="str" cm="1">
        <f t="array" ref="AN6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1" s="4" t="e">
        <f>_xlfn.XLOOKUP(tbl_MTG_Set[[#This Row],[Play Booster Box Product Id]], tbl_Product[Product Id], tbl_Product[Pack Size])</f>
        <v>#N/A</v>
      </c>
      <c r="AP621" s="10" t="e">
        <f>(tbl_MTG_Set[[#This Row],[Play Booster Box Cost]]+v_Item_Shipping_Cost_In)/tbl_MTG_Set[[#This Row],[Play Booster Box Size]]</f>
        <v>#VALUE!</v>
      </c>
      <c r="AQ621" s="10" t="str" cm="1">
        <f t="array" ref="AQ6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1" s="10"/>
      <c r="AS621" s="10"/>
      <c r="AT621" s="17" t="e">
        <f>tbl_MTG_Set[[#This Row],[Play Booster CardMarket Profit]]/tbl_MTG_Set[[#This Row],[Play Booster Cost]]</f>
        <v>#VALUE!</v>
      </c>
      <c r="AU621" s="10" t="e">
        <f>_xlfn.XLOOKUP(tbl_MTG_Set[[#This Row],[Collector Booster Box Product Id]], tbl_Product[Product Id], tbl_Product[Min Cost])</f>
        <v>#N/A</v>
      </c>
      <c r="AV621" s="10" t="e">
        <f>_xlfn.XLOOKUP(tbl_MTG_Set[[#This Row],[Collector Booster Box Product Id]], tbl_Product[Product Id], tbl_Product[Best Source])</f>
        <v>#N/A</v>
      </c>
      <c r="AW621" s="4" t="e">
        <f>_xlfn.XLOOKUP(tbl_MTG_Set[[#This Row],[Collector Booster Box Product Id]], tbl_Product[Product Id], tbl_Product[Pack Size])</f>
        <v>#N/A</v>
      </c>
      <c r="AX621" s="10" t="e">
        <f>(tbl_MTG_Set[[#This Row],[Collector Booster Box Cost]] + v_Item_Shipping_Cost_In) / tbl_MTG_Set[[#This Row],[Collector Booster Box Size]]</f>
        <v>#N/A</v>
      </c>
      <c r="AY621" s="10" t="str" cm="1">
        <f t="array" ref="AY6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1" s="10"/>
      <c r="BA6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1" s="17" t="e">
        <f>tbl_MTG_Set[[#This Row],[Collector Booster CardMarket Profit]]/tbl_MTG_Set[[#This Row],[Collector Booster Cost]]</f>
        <v>#N/A</v>
      </c>
      <c r="BC621" s="10"/>
      <c r="BF6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1" s="11" t="e">
        <f>tbl_MTG_Set[[#This Row],[Play Singles CardMarket Profit MTG Stocks]]/tbl_MTG_Set[[#This Row],[Play Booster Cost]]</f>
        <v>#VALUE!</v>
      </c>
      <c r="BI621" s="11" t="b">
        <f>tbl_MTG_Set[[#This Row],[Play Singles CardMarket Profit MTG Stocks]]&gt;0</f>
        <v>0</v>
      </c>
      <c r="BM621" s="10" t="e">
        <f>tbl_MTG_Set[[#This Row],[Play Booster Sell Price CardMarket]]*tbl_MTG_Set[[#This Row],[Play Booster Expected Market Value BotBox]]/tbl_MTG_Set[[#This Row],[Play Booster Sealed Market Value BotBox]]</f>
        <v>#VALUE!</v>
      </c>
      <c r="BN6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1" s="10" t="e">
        <f>tbl_MTG_Set[[#This Row],[Play Singles CardMarket Profit BotBox]]/tbl_MTG_Set[[#This Row],[Play Booster Cost]]</f>
        <v>#VALUE!</v>
      </c>
      <c r="BP621" s="10" t="b">
        <f>tbl_MTG_Set[[#This Row],[Play Singles CardMarket Profit BotBox]]&gt;0</f>
        <v>0</v>
      </c>
      <c r="BQ621" s="10"/>
      <c r="BR621" s="10"/>
      <c r="BS621" s="10"/>
      <c r="BT6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1" s="19" t="e">
        <f>tbl_MTG_Set[[#This Row],[Collector Singles CardMarket Profit MTG Stocks]]/tbl_MTG_Set[[#This Row],[Collector Booster Cost]]</f>
        <v>#N/A</v>
      </c>
      <c r="BW621" s="10" t="b">
        <f>tbl_MTG_Set[[#This Row],[Collector Singles CardMarket Profit MTG Stocks]]&gt;0</f>
        <v>0</v>
      </c>
      <c r="BX621" s="10"/>
      <c r="BY621" s="10"/>
      <c r="BZ6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1" s="10" t="e">
        <f>tbl_MTG_Set[[#This Row],[Collector Singles CardMarket Profit BotBox]]/tbl_MTG_Set[[#This Row],[Collector Booster Cost]]</f>
        <v>#N/A</v>
      </c>
      <c r="CC621" s="10" t="b">
        <f>tbl_MTG_Set[[#This Row],[Collector Singles CardMarket Profit BotBox]]&gt;0</f>
        <v>0</v>
      </c>
      <c r="CD6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2" spans="1:86" hidden="1">
      <c r="A622">
        <v>654</v>
      </c>
      <c r="B622" t="s">
        <v>795</v>
      </c>
      <c r="C622">
        <v>7</v>
      </c>
      <c r="D622" s="3">
        <v>41677</v>
      </c>
      <c r="F622" t="s">
        <v>174</v>
      </c>
      <c r="G622">
        <v>1254</v>
      </c>
      <c r="H622">
        <f ca="1">MONTH(NOW())+12*YEAR(NOW())-MONTH(tbl_MTG_Set[[#This Row],[Released On]])-12*YEAR(tbl_MTG_Set[[#This Row],[Released On]])</f>
        <v>145</v>
      </c>
      <c r="I622" t="str">
        <f>_xlfn.XLOOKUP(tbl_MTG_Set[[#This Row],[Type Name]], tbl_MTG_Set_Type[Set Type], tbl_MTG_Set_Type[Index], "(Set Type not found)")</f>
        <v>(Set Type not found)</v>
      </c>
      <c r="J622" t="str">
        <f>_xlfn.XLOOKUP(tbl_MTG_Set[[#This Row],[Type Name]], tbl_MTG_Set_Type[Set Type], tbl_MTG_Set_Type[Buy Window Month Start], "(Set Type not found)")</f>
        <v>(Set Type not found)</v>
      </c>
      <c r="K622" s="3" t="e">
        <f>tbl_MTG_Set[[#This Row],[Released On]]+tbl_MTG_Set[[#This Row],[Buy Window Month Start]]*365.25/12</f>
        <v>#VALUE!</v>
      </c>
      <c r="L622" t="str">
        <f>_xlfn.XLOOKUP(tbl_MTG_Set[[#This Row],[Type Name]], tbl_MTG_Set_Type[Set Type], tbl_MTG_Set_Type[Buy Window Month End], "(Set Type not found)", 0, 1)</f>
        <v>(Set Type not found)</v>
      </c>
      <c r="M622" s="3" t="e">
        <f>tbl_MTG_Set[[#This Row],[Released On]]+tbl_MTG_Set[[#This Row],[Buy Window Month End]]*365.25/12</f>
        <v>#VALUE!</v>
      </c>
      <c r="N622" s="3" t="e">
        <f ca="1">AND(NOW()&gt;=tbl_MTG_Set[[#This Row],[Buy Window Start]], NOW()&lt;=tbl_MTG_Set[[#This Row],[Buy Window End]])</f>
        <v>#VALUE!</v>
      </c>
      <c r="O622" t="str">
        <f>_xlfn.XLOOKUP(tbl_MTG_Set[[#This Row],[Type Name]], tbl_MTG_Set_Type[Set Type], tbl_MTG_Set_Type[Heavy Printing Window Month Start], "(Set Type not found)", 0, 1)</f>
        <v>(Set Type not found)</v>
      </c>
      <c r="P622" s="3" t="e">
        <f>tbl_MTG_Set[[#This Row],[Released On]]+tbl_MTG_Set[[#This Row],[Heavy Printing Window Month Start]]*365.25/12</f>
        <v>#VALUE!</v>
      </c>
      <c r="Q622" t="str">
        <f>_xlfn.XLOOKUP(tbl_MTG_Set[[#This Row],[Type Name]], tbl_MTG_Set_Type[Set Type], tbl_MTG_Set_Type[Heavy Printing Window Month End], "(Set Type not found)", 0, 1)</f>
        <v>(Set Type not found)</v>
      </c>
      <c r="R622" s="3" t="e">
        <f>tbl_MTG_Set[[#This Row],[Released On]]+tbl_MTG_Set[[#This Row],[Heavy Printing Window Month End]]*365.25/12</f>
        <v>#VALUE!</v>
      </c>
      <c r="S622" s="3" t="e">
        <f ca="1">AND(NOW()&gt;=tbl_MTG_Set[[#This Row],[Heavy Printing Window Start]], NOW()&lt;=tbl_MTG_Set[[#This Row],[Heavy Printing Window End]])</f>
        <v>#VALUE!</v>
      </c>
      <c r="T622" t="str">
        <f>_xlfn.XLOOKUP(tbl_MTG_Set[[#This Row],[Type Name]], tbl_MTG_Set_Type[Set Type], tbl_MTG_Set_Type[Sell Window Month Start], "(Set Type not found)", 0, 1)</f>
        <v>(Set Type not found)</v>
      </c>
      <c r="U622" s="3" t="e">
        <f>tbl_MTG_Set[[#This Row],[Released On]]+tbl_MTG_Set[[#This Row],[Sell Window Month Start]]*365.25/12</f>
        <v>#VALUE!</v>
      </c>
      <c r="V622" t="str">
        <f>_xlfn.XLOOKUP(tbl_MTG_Set[[#This Row],[Type Name]], tbl_MTG_Set_Type[Set Type], tbl_MTG_Set_Type[Sell Window Month End], "(Set Type not found)", 0, 1)</f>
        <v>(Set Type not found)</v>
      </c>
      <c r="W622" s="3" t="e">
        <f>tbl_MTG_Set[[#This Row],[Released On]]+tbl_MTG_Set[[#This Row],[Sell Window Month End]]*365.25/12</f>
        <v>#VALUE!</v>
      </c>
      <c r="X622" s="3" t="e">
        <f ca="1">AND(NOW()&gt;=tbl_MTG_Set[[#This Row],[Sell Window Start]], NOW()&lt;=tbl_MTG_Set[[#This Row],[Sell Window End]])</f>
        <v>#VALUE!</v>
      </c>
      <c r="AG622" s="10"/>
      <c r="AH622" s="10"/>
      <c r="AM622" s="10" t="str" cm="1">
        <f t="array" ref="AM6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2" s="10" t="str" cm="1">
        <f t="array" ref="AN6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2" s="4" t="e">
        <f>_xlfn.XLOOKUP(tbl_MTG_Set[[#This Row],[Play Booster Box Product Id]], tbl_Product[Product Id], tbl_Product[Pack Size])</f>
        <v>#N/A</v>
      </c>
      <c r="AP622" s="10" t="e">
        <f>(tbl_MTG_Set[[#This Row],[Play Booster Box Cost]]+v_Item_Shipping_Cost_In)/tbl_MTG_Set[[#This Row],[Play Booster Box Size]]</f>
        <v>#VALUE!</v>
      </c>
      <c r="AQ622" s="10" t="str" cm="1">
        <f t="array" ref="AQ6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2" s="10"/>
      <c r="AS622" s="10"/>
      <c r="AT622" s="17" t="e">
        <f>tbl_MTG_Set[[#This Row],[Play Booster CardMarket Profit]]/tbl_MTG_Set[[#This Row],[Play Booster Cost]]</f>
        <v>#VALUE!</v>
      </c>
      <c r="AU622" s="10" t="e">
        <f>_xlfn.XLOOKUP(tbl_MTG_Set[[#This Row],[Collector Booster Box Product Id]], tbl_Product[Product Id], tbl_Product[Min Cost])</f>
        <v>#N/A</v>
      </c>
      <c r="AV622" s="10" t="e">
        <f>_xlfn.XLOOKUP(tbl_MTG_Set[[#This Row],[Collector Booster Box Product Id]], tbl_Product[Product Id], tbl_Product[Best Source])</f>
        <v>#N/A</v>
      </c>
      <c r="AW622" s="4" t="e">
        <f>_xlfn.XLOOKUP(tbl_MTG_Set[[#This Row],[Collector Booster Box Product Id]], tbl_Product[Product Id], tbl_Product[Pack Size])</f>
        <v>#N/A</v>
      </c>
      <c r="AX622" s="10" t="e">
        <f>(tbl_MTG_Set[[#This Row],[Collector Booster Box Cost]] + v_Item_Shipping_Cost_In) / tbl_MTG_Set[[#This Row],[Collector Booster Box Size]]</f>
        <v>#N/A</v>
      </c>
      <c r="AY622" s="10" t="str" cm="1">
        <f t="array" ref="AY6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2" s="10"/>
      <c r="BA6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2" s="17" t="e">
        <f>tbl_MTG_Set[[#This Row],[Collector Booster CardMarket Profit]]/tbl_MTG_Set[[#This Row],[Collector Booster Cost]]</f>
        <v>#N/A</v>
      </c>
      <c r="BC622" s="10"/>
      <c r="BF6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2" s="11" t="e">
        <f>tbl_MTG_Set[[#This Row],[Play Singles CardMarket Profit MTG Stocks]]/tbl_MTG_Set[[#This Row],[Play Booster Cost]]</f>
        <v>#VALUE!</v>
      </c>
      <c r="BI622" s="11" t="b">
        <f>tbl_MTG_Set[[#This Row],[Play Singles CardMarket Profit MTG Stocks]]&gt;0</f>
        <v>0</v>
      </c>
      <c r="BM622" s="10" t="e">
        <f>tbl_MTG_Set[[#This Row],[Play Booster Sell Price CardMarket]]*tbl_MTG_Set[[#This Row],[Play Booster Expected Market Value BotBox]]/tbl_MTG_Set[[#This Row],[Play Booster Sealed Market Value BotBox]]</f>
        <v>#VALUE!</v>
      </c>
      <c r="BN6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2" s="10" t="e">
        <f>tbl_MTG_Set[[#This Row],[Play Singles CardMarket Profit BotBox]]/tbl_MTG_Set[[#This Row],[Play Booster Cost]]</f>
        <v>#VALUE!</v>
      </c>
      <c r="BP622" s="10" t="b">
        <f>tbl_MTG_Set[[#This Row],[Play Singles CardMarket Profit BotBox]]&gt;0</f>
        <v>0</v>
      </c>
      <c r="BQ622" s="10"/>
      <c r="BR622" s="10"/>
      <c r="BS622" s="10"/>
      <c r="BT6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2" s="19" t="e">
        <f>tbl_MTG_Set[[#This Row],[Collector Singles CardMarket Profit MTG Stocks]]/tbl_MTG_Set[[#This Row],[Collector Booster Cost]]</f>
        <v>#N/A</v>
      </c>
      <c r="BW622" s="10" t="b">
        <f>tbl_MTG_Set[[#This Row],[Collector Singles CardMarket Profit MTG Stocks]]&gt;0</f>
        <v>0</v>
      </c>
      <c r="BX622" s="10"/>
      <c r="BY622" s="10"/>
      <c r="BZ6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2" s="10" t="e">
        <f>tbl_MTG_Set[[#This Row],[Collector Singles CardMarket Profit BotBox]]/tbl_MTG_Set[[#This Row],[Collector Booster Cost]]</f>
        <v>#N/A</v>
      </c>
      <c r="CC622" s="10" t="b">
        <f>tbl_MTG_Set[[#This Row],[Collector Singles CardMarket Profit BotBox]]&gt;0</f>
        <v>0</v>
      </c>
      <c r="CD6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3" spans="1:86" hidden="1">
      <c r="A623">
        <v>655</v>
      </c>
      <c r="B623" t="s">
        <v>796</v>
      </c>
      <c r="C623">
        <v>4</v>
      </c>
      <c r="D623" s="3">
        <v>41640</v>
      </c>
      <c r="F623" t="s">
        <v>174</v>
      </c>
      <c r="G623">
        <v>1256</v>
      </c>
      <c r="H623">
        <f ca="1">MONTH(NOW())+12*YEAR(NOW())-MONTH(tbl_MTG_Set[[#This Row],[Released On]])-12*YEAR(tbl_MTG_Set[[#This Row],[Released On]])</f>
        <v>146</v>
      </c>
      <c r="I623" t="str">
        <f>_xlfn.XLOOKUP(tbl_MTG_Set[[#This Row],[Type Name]], tbl_MTG_Set_Type[Set Type], tbl_MTG_Set_Type[Index], "(Set Type not found)")</f>
        <v>(Set Type not found)</v>
      </c>
      <c r="J623" t="str">
        <f>_xlfn.XLOOKUP(tbl_MTG_Set[[#This Row],[Type Name]], tbl_MTG_Set_Type[Set Type], tbl_MTG_Set_Type[Buy Window Month Start], "(Set Type not found)")</f>
        <v>(Set Type not found)</v>
      </c>
      <c r="K623" s="3" t="e">
        <f>tbl_MTG_Set[[#This Row],[Released On]]+tbl_MTG_Set[[#This Row],[Buy Window Month Start]]*365.25/12</f>
        <v>#VALUE!</v>
      </c>
      <c r="L623" t="str">
        <f>_xlfn.XLOOKUP(tbl_MTG_Set[[#This Row],[Type Name]], tbl_MTG_Set_Type[Set Type], tbl_MTG_Set_Type[Buy Window Month End], "(Set Type not found)", 0, 1)</f>
        <v>(Set Type not found)</v>
      </c>
      <c r="M623" s="3" t="e">
        <f>tbl_MTG_Set[[#This Row],[Released On]]+tbl_MTG_Set[[#This Row],[Buy Window Month End]]*365.25/12</f>
        <v>#VALUE!</v>
      </c>
      <c r="N623" s="3" t="e">
        <f ca="1">AND(NOW()&gt;=tbl_MTG_Set[[#This Row],[Buy Window Start]], NOW()&lt;=tbl_MTG_Set[[#This Row],[Buy Window End]])</f>
        <v>#VALUE!</v>
      </c>
      <c r="O623" t="str">
        <f>_xlfn.XLOOKUP(tbl_MTG_Set[[#This Row],[Type Name]], tbl_MTG_Set_Type[Set Type], tbl_MTG_Set_Type[Heavy Printing Window Month Start], "(Set Type not found)", 0, 1)</f>
        <v>(Set Type not found)</v>
      </c>
      <c r="P623" s="3" t="e">
        <f>tbl_MTG_Set[[#This Row],[Released On]]+tbl_MTG_Set[[#This Row],[Heavy Printing Window Month Start]]*365.25/12</f>
        <v>#VALUE!</v>
      </c>
      <c r="Q623" t="str">
        <f>_xlfn.XLOOKUP(tbl_MTG_Set[[#This Row],[Type Name]], tbl_MTG_Set_Type[Set Type], tbl_MTG_Set_Type[Heavy Printing Window Month End], "(Set Type not found)", 0, 1)</f>
        <v>(Set Type not found)</v>
      </c>
      <c r="R623" s="3" t="e">
        <f>tbl_MTG_Set[[#This Row],[Released On]]+tbl_MTG_Set[[#This Row],[Heavy Printing Window Month End]]*365.25/12</f>
        <v>#VALUE!</v>
      </c>
      <c r="S623" s="3" t="e">
        <f ca="1">AND(NOW()&gt;=tbl_MTG_Set[[#This Row],[Heavy Printing Window Start]], NOW()&lt;=tbl_MTG_Set[[#This Row],[Heavy Printing Window End]])</f>
        <v>#VALUE!</v>
      </c>
      <c r="T623" t="str">
        <f>_xlfn.XLOOKUP(tbl_MTG_Set[[#This Row],[Type Name]], tbl_MTG_Set_Type[Set Type], tbl_MTG_Set_Type[Sell Window Month Start], "(Set Type not found)", 0, 1)</f>
        <v>(Set Type not found)</v>
      </c>
      <c r="U623" s="3" t="e">
        <f>tbl_MTG_Set[[#This Row],[Released On]]+tbl_MTG_Set[[#This Row],[Sell Window Month Start]]*365.25/12</f>
        <v>#VALUE!</v>
      </c>
      <c r="V623" t="str">
        <f>_xlfn.XLOOKUP(tbl_MTG_Set[[#This Row],[Type Name]], tbl_MTG_Set_Type[Set Type], tbl_MTG_Set_Type[Sell Window Month End], "(Set Type not found)", 0, 1)</f>
        <v>(Set Type not found)</v>
      </c>
      <c r="W623" s="3" t="e">
        <f>tbl_MTG_Set[[#This Row],[Released On]]+tbl_MTG_Set[[#This Row],[Sell Window Month End]]*365.25/12</f>
        <v>#VALUE!</v>
      </c>
      <c r="X623" s="3" t="e">
        <f ca="1">AND(NOW()&gt;=tbl_MTG_Set[[#This Row],[Sell Window Start]], NOW()&lt;=tbl_MTG_Set[[#This Row],[Sell Window End]])</f>
        <v>#VALUE!</v>
      </c>
      <c r="AG623" s="10"/>
      <c r="AH623" s="10"/>
      <c r="AM623" s="10" t="str" cm="1">
        <f t="array" ref="AM6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3" s="10" t="str" cm="1">
        <f t="array" ref="AN6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3" s="4" t="e">
        <f>_xlfn.XLOOKUP(tbl_MTG_Set[[#This Row],[Play Booster Box Product Id]], tbl_Product[Product Id], tbl_Product[Pack Size])</f>
        <v>#N/A</v>
      </c>
      <c r="AP623" s="10" t="e">
        <f>(tbl_MTG_Set[[#This Row],[Play Booster Box Cost]]+v_Item_Shipping_Cost_In)/tbl_MTG_Set[[#This Row],[Play Booster Box Size]]</f>
        <v>#VALUE!</v>
      </c>
      <c r="AQ623" s="10" t="str" cm="1">
        <f t="array" ref="AQ6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3" s="10"/>
      <c r="AS623" s="10"/>
      <c r="AT623" s="17" t="e">
        <f>tbl_MTG_Set[[#This Row],[Play Booster CardMarket Profit]]/tbl_MTG_Set[[#This Row],[Play Booster Cost]]</f>
        <v>#VALUE!</v>
      </c>
      <c r="AU623" s="10" t="e">
        <f>_xlfn.XLOOKUP(tbl_MTG_Set[[#This Row],[Collector Booster Box Product Id]], tbl_Product[Product Id], tbl_Product[Min Cost])</f>
        <v>#N/A</v>
      </c>
      <c r="AV623" s="10" t="e">
        <f>_xlfn.XLOOKUP(tbl_MTG_Set[[#This Row],[Collector Booster Box Product Id]], tbl_Product[Product Id], tbl_Product[Best Source])</f>
        <v>#N/A</v>
      </c>
      <c r="AW623" s="4" t="e">
        <f>_xlfn.XLOOKUP(tbl_MTG_Set[[#This Row],[Collector Booster Box Product Id]], tbl_Product[Product Id], tbl_Product[Pack Size])</f>
        <v>#N/A</v>
      </c>
      <c r="AX623" s="10" t="e">
        <f>(tbl_MTG_Set[[#This Row],[Collector Booster Box Cost]] + v_Item_Shipping_Cost_In) / tbl_MTG_Set[[#This Row],[Collector Booster Box Size]]</f>
        <v>#N/A</v>
      </c>
      <c r="AY623" s="10" t="str" cm="1">
        <f t="array" ref="AY6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3" s="10"/>
      <c r="BA6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3" s="17" t="e">
        <f>tbl_MTG_Set[[#This Row],[Collector Booster CardMarket Profit]]/tbl_MTG_Set[[#This Row],[Collector Booster Cost]]</f>
        <v>#N/A</v>
      </c>
      <c r="BC623" s="10"/>
      <c r="BF6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3" s="11" t="e">
        <f>tbl_MTG_Set[[#This Row],[Play Singles CardMarket Profit MTG Stocks]]/tbl_MTG_Set[[#This Row],[Play Booster Cost]]</f>
        <v>#VALUE!</v>
      </c>
      <c r="BI623" s="11" t="b">
        <f>tbl_MTG_Set[[#This Row],[Play Singles CardMarket Profit MTG Stocks]]&gt;0</f>
        <v>0</v>
      </c>
      <c r="BM623" s="10" t="e">
        <f>tbl_MTG_Set[[#This Row],[Play Booster Sell Price CardMarket]]*tbl_MTG_Set[[#This Row],[Play Booster Expected Market Value BotBox]]/tbl_MTG_Set[[#This Row],[Play Booster Sealed Market Value BotBox]]</f>
        <v>#VALUE!</v>
      </c>
      <c r="BN6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3" s="10" t="e">
        <f>tbl_MTG_Set[[#This Row],[Play Singles CardMarket Profit BotBox]]/tbl_MTG_Set[[#This Row],[Play Booster Cost]]</f>
        <v>#VALUE!</v>
      </c>
      <c r="BP623" s="10" t="b">
        <f>tbl_MTG_Set[[#This Row],[Play Singles CardMarket Profit BotBox]]&gt;0</f>
        <v>0</v>
      </c>
      <c r="BQ623" s="10"/>
      <c r="BR623" s="10"/>
      <c r="BS623" s="10"/>
      <c r="BT6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3" s="19" t="e">
        <f>tbl_MTG_Set[[#This Row],[Collector Singles CardMarket Profit MTG Stocks]]/tbl_MTG_Set[[#This Row],[Collector Booster Cost]]</f>
        <v>#N/A</v>
      </c>
      <c r="BW623" s="10" t="b">
        <f>tbl_MTG_Set[[#This Row],[Collector Singles CardMarket Profit MTG Stocks]]&gt;0</f>
        <v>0</v>
      </c>
      <c r="BX623" s="10"/>
      <c r="BY623" s="10"/>
      <c r="BZ6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3" s="10" t="e">
        <f>tbl_MTG_Set[[#This Row],[Collector Singles CardMarket Profit BotBox]]/tbl_MTG_Set[[#This Row],[Collector Booster Cost]]</f>
        <v>#N/A</v>
      </c>
      <c r="CC623" s="10" t="b">
        <f>tbl_MTG_Set[[#This Row],[Collector Singles CardMarket Profit BotBox]]&gt;0</f>
        <v>0</v>
      </c>
      <c r="CD6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4" spans="1:86" hidden="1">
      <c r="A624">
        <v>656</v>
      </c>
      <c r="B624" t="s">
        <v>797</v>
      </c>
      <c r="C624">
        <v>14</v>
      </c>
      <c r="D624" s="3">
        <v>41640</v>
      </c>
      <c r="F624" t="s">
        <v>174</v>
      </c>
      <c r="G624">
        <v>1258</v>
      </c>
      <c r="H624">
        <f ca="1">MONTH(NOW())+12*YEAR(NOW())-MONTH(tbl_MTG_Set[[#This Row],[Released On]])-12*YEAR(tbl_MTG_Set[[#This Row],[Released On]])</f>
        <v>146</v>
      </c>
      <c r="I624" t="str">
        <f>_xlfn.XLOOKUP(tbl_MTG_Set[[#This Row],[Type Name]], tbl_MTG_Set_Type[Set Type], tbl_MTG_Set_Type[Index], "(Set Type not found)")</f>
        <v>(Set Type not found)</v>
      </c>
      <c r="J624" t="str">
        <f>_xlfn.XLOOKUP(tbl_MTG_Set[[#This Row],[Type Name]], tbl_MTG_Set_Type[Set Type], tbl_MTG_Set_Type[Buy Window Month Start], "(Set Type not found)")</f>
        <v>(Set Type not found)</v>
      </c>
      <c r="K624" s="3" t="e">
        <f>tbl_MTG_Set[[#This Row],[Released On]]+tbl_MTG_Set[[#This Row],[Buy Window Month Start]]*365.25/12</f>
        <v>#VALUE!</v>
      </c>
      <c r="L624" t="str">
        <f>_xlfn.XLOOKUP(tbl_MTG_Set[[#This Row],[Type Name]], tbl_MTG_Set_Type[Set Type], tbl_MTG_Set_Type[Buy Window Month End], "(Set Type not found)", 0, 1)</f>
        <v>(Set Type not found)</v>
      </c>
      <c r="M624" s="3" t="e">
        <f>tbl_MTG_Set[[#This Row],[Released On]]+tbl_MTG_Set[[#This Row],[Buy Window Month End]]*365.25/12</f>
        <v>#VALUE!</v>
      </c>
      <c r="N624" s="3" t="e">
        <f ca="1">AND(NOW()&gt;=tbl_MTG_Set[[#This Row],[Buy Window Start]], NOW()&lt;=tbl_MTG_Set[[#This Row],[Buy Window End]])</f>
        <v>#VALUE!</v>
      </c>
      <c r="O624" t="str">
        <f>_xlfn.XLOOKUP(tbl_MTG_Set[[#This Row],[Type Name]], tbl_MTG_Set_Type[Set Type], tbl_MTG_Set_Type[Heavy Printing Window Month Start], "(Set Type not found)", 0, 1)</f>
        <v>(Set Type not found)</v>
      </c>
      <c r="P624" s="3" t="e">
        <f>tbl_MTG_Set[[#This Row],[Released On]]+tbl_MTG_Set[[#This Row],[Heavy Printing Window Month Start]]*365.25/12</f>
        <v>#VALUE!</v>
      </c>
      <c r="Q624" t="str">
        <f>_xlfn.XLOOKUP(tbl_MTG_Set[[#This Row],[Type Name]], tbl_MTG_Set_Type[Set Type], tbl_MTG_Set_Type[Heavy Printing Window Month End], "(Set Type not found)", 0, 1)</f>
        <v>(Set Type not found)</v>
      </c>
      <c r="R624" s="3" t="e">
        <f>tbl_MTG_Set[[#This Row],[Released On]]+tbl_MTG_Set[[#This Row],[Heavy Printing Window Month End]]*365.25/12</f>
        <v>#VALUE!</v>
      </c>
      <c r="S624" s="3" t="e">
        <f ca="1">AND(NOW()&gt;=tbl_MTG_Set[[#This Row],[Heavy Printing Window Start]], NOW()&lt;=tbl_MTG_Set[[#This Row],[Heavy Printing Window End]])</f>
        <v>#VALUE!</v>
      </c>
      <c r="T624" t="str">
        <f>_xlfn.XLOOKUP(tbl_MTG_Set[[#This Row],[Type Name]], tbl_MTG_Set_Type[Set Type], tbl_MTG_Set_Type[Sell Window Month Start], "(Set Type not found)", 0, 1)</f>
        <v>(Set Type not found)</v>
      </c>
      <c r="U624" s="3" t="e">
        <f>tbl_MTG_Set[[#This Row],[Released On]]+tbl_MTG_Set[[#This Row],[Sell Window Month Start]]*365.25/12</f>
        <v>#VALUE!</v>
      </c>
      <c r="V624" t="str">
        <f>_xlfn.XLOOKUP(tbl_MTG_Set[[#This Row],[Type Name]], tbl_MTG_Set_Type[Set Type], tbl_MTG_Set_Type[Sell Window Month End], "(Set Type not found)", 0, 1)</f>
        <v>(Set Type not found)</v>
      </c>
      <c r="W624" s="3" t="e">
        <f>tbl_MTG_Set[[#This Row],[Released On]]+tbl_MTG_Set[[#This Row],[Sell Window Month End]]*365.25/12</f>
        <v>#VALUE!</v>
      </c>
      <c r="X624" s="3" t="e">
        <f ca="1">AND(NOW()&gt;=tbl_MTG_Set[[#This Row],[Sell Window Start]], NOW()&lt;=tbl_MTG_Set[[#This Row],[Sell Window End]])</f>
        <v>#VALUE!</v>
      </c>
      <c r="AG624" s="10"/>
      <c r="AH624" s="10"/>
      <c r="AM624" s="10" t="str" cm="1">
        <f t="array" ref="AM6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4" s="10" t="str" cm="1">
        <f t="array" ref="AN6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4" s="4" t="e">
        <f>_xlfn.XLOOKUP(tbl_MTG_Set[[#This Row],[Play Booster Box Product Id]], tbl_Product[Product Id], tbl_Product[Pack Size])</f>
        <v>#N/A</v>
      </c>
      <c r="AP624" s="10" t="e">
        <f>(tbl_MTG_Set[[#This Row],[Play Booster Box Cost]]+v_Item_Shipping_Cost_In)/tbl_MTG_Set[[#This Row],[Play Booster Box Size]]</f>
        <v>#VALUE!</v>
      </c>
      <c r="AQ624" s="10" t="str" cm="1">
        <f t="array" ref="AQ6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4" s="10"/>
      <c r="AS624" s="10"/>
      <c r="AT624" s="17" t="e">
        <f>tbl_MTG_Set[[#This Row],[Play Booster CardMarket Profit]]/tbl_MTG_Set[[#This Row],[Play Booster Cost]]</f>
        <v>#VALUE!</v>
      </c>
      <c r="AU624" s="10" t="e">
        <f>_xlfn.XLOOKUP(tbl_MTG_Set[[#This Row],[Collector Booster Box Product Id]], tbl_Product[Product Id], tbl_Product[Min Cost])</f>
        <v>#N/A</v>
      </c>
      <c r="AV624" s="10" t="e">
        <f>_xlfn.XLOOKUP(tbl_MTG_Set[[#This Row],[Collector Booster Box Product Id]], tbl_Product[Product Id], tbl_Product[Best Source])</f>
        <v>#N/A</v>
      </c>
      <c r="AW624" s="4" t="e">
        <f>_xlfn.XLOOKUP(tbl_MTG_Set[[#This Row],[Collector Booster Box Product Id]], tbl_Product[Product Id], tbl_Product[Pack Size])</f>
        <v>#N/A</v>
      </c>
      <c r="AX624" s="10" t="e">
        <f>(tbl_MTG_Set[[#This Row],[Collector Booster Box Cost]] + v_Item_Shipping_Cost_In) / tbl_MTG_Set[[#This Row],[Collector Booster Box Size]]</f>
        <v>#N/A</v>
      </c>
      <c r="AY624" s="10" t="str" cm="1">
        <f t="array" ref="AY6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4" s="10"/>
      <c r="BA6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4" s="17" t="e">
        <f>tbl_MTG_Set[[#This Row],[Collector Booster CardMarket Profit]]/tbl_MTG_Set[[#This Row],[Collector Booster Cost]]</f>
        <v>#N/A</v>
      </c>
      <c r="BC624" s="10"/>
      <c r="BF6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4" s="11" t="e">
        <f>tbl_MTG_Set[[#This Row],[Play Singles CardMarket Profit MTG Stocks]]/tbl_MTG_Set[[#This Row],[Play Booster Cost]]</f>
        <v>#VALUE!</v>
      </c>
      <c r="BI624" s="11" t="b">
        <f>tbl_MTG_Set[[#This Row],[Play Singles CardMarket Profit MTG Stocks]]&gt;0</f>
        <v>0</v>
      </c>
      <c r="BM624" s="10" t="e">
        <f>tbl_MTG_Set[[#This Row],[Play Booster Sell Price CardMarket]]*tbl_MTG_Set[[#This Row],[Play Booster Expected Market Value BotBox]]/tbl_MTG_Set[[#This Row],[Play Booster Sealed Market Value BotBox]]</f>
        <v>#VALUE!</v>
      </c>
      <c r="BN6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4" s="10" t="e">
        <f>tbl_MTG_Set[[#This Row],[Play Singles CardMarket Profit BotBox]]/tbl_MTG_Set[[#This Row],[Play Booster Cost]]</f>
        <v>#VALUE!</v>
      </c>
      <c r="BP624" s="10" t="b">
        <f>tbl_MTG_Set[[#This Row],[Play Singles CardMarket Profit BotBox]]&gt;0</f>
        <v>0</v>
      </c>
      <c r="BQ624" s="10"/>
      <c r="BR624" s="10"/>
      <c r="BS624" s="10"/>
      <c r="BT6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4" s="19" t="e">
        <f>tbl_MTG_Set[[#This Row],[Collector Singles CardMarket Profit MTG Stocks]]/tbl_MTG_Set[[#This Row],[Collector Booster Cost]]</f>
        <v>#N/A</v>
      </c>
      <c r="BW624" s="10" t="b">
        <f>tbl_MTG_Set[[#This Row],[Collector Singles CardMarket Profit MTG Stocks]]&gt;0</f>
        <v>0</v>
      </c>
      <c r="BX624" s="10"/>
      <c r="BY624" s="10"/>
      <c r="BZ6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4" s="10" t="e">
        <f>tbl_MTG_Set[[#This Row],[Collector Singles CardMarket Profit BotBox]]/tbl_MTG_Set[[#This Row],[Collector Booster Cost]]</f>
        <v>#N/A</v>
      </c>
      <c r="CC624" s="10" t="b">
        <f>tbl_MTG_Set[[#This Row],[Collector Singles CardMarket Profit BotBox]]&gt;0</f>
        <v>0</v>
      </c>
      <c r="CD6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5" spans="1:86" hidden="1">
      <c r="A625">
        <v>657</v>
      </c>
      <c r="B625" t="s">
        <v>798</v>
      </c>
      <c r="C625">
        <v>12</v>
      </c>
      <c r="D625" s="3">
        <v>41640</v>
      </c>
      <c r="F625" t="s">
        <v>174</v>
      </c>
      <c r="G625">
        <v>1260</v>
      </c>
      <c r="H625">
        <f ca="1">MONTH(NOW())+12*YEAR(NOW())-MONTH(tbl_MTG_Set[[#This Row],[Released On]])-12*YEAR(tbl_MTG_Set[[#This Row],[Released On]])</f>
        <v>146</v>
      </c>
      <c r="I625" t="str">
        <f>_xlfn.XLOOKUP(tbl_MTG_Set[[#This Row],[Type Name]], tbl_MTG_Set_Type[Set Type], tbl_MTG_Set_Type[Index], "(Set Type not found)")</f>
        <v>(Set Type not found)</v>
      </c>
      <c r="J625" t="str">
        <f>_xlfn.XLOOKUP(tbl_MTG_Set[[#This Row],[Type Name]], tbl_MTG_Set_Type[Set Type], tbl_MTG_Set_Type[Buy Window Month Start], "(Set Type not found)")</f>
        <v>(Set Type not found)</v>
      </c>
      <c r="K625" s="3" t="e">
        <f>tbl_MTG_Set[[#This Row],[Released On]]+tbl_MTG_Set[[#This Row],[Buy Window Month Start]]*365.25/12</f>
        <v>#VALUE!</v>
      </c>
      <c r="L625" t="str">
        <f>_xlfn.XLOOKUP(tbl_MTG_Set[[#This Row],[Type Name]], tbl_MTG_Set_Type[Set Type], tbl_MTG_Set_Type[Buy Window Month End], "(Set Type not found)", 0, 1)</f>
        <v>(Set Type not found)</v>
      </c>
      <c r="M625" s="3" t="e">
        <f>tbl_MTG_Set[[#This Row],[Released On]]+tbl_MTG_Set[[#This Row],[Buy Window Month End]]*365.25/12</f>
        <v>#VALUE!</v>
      </c>
      <c r="N625" s="3" t="e">
        <f ca="1">AND(NOW()&gt;=tbl_MTG_Set[[#This Row],[Buy Window Start]], NOW()&lt;=tbl_MTG_Set[[#This Row],[Buy Window End]])</f>
        <v>#VALUE!</v>
      </c>
      <c r="O625" t="str">
        <f>_xlfn.XLOOKUP(tbl_MTG_Set[[#This Row],[Type Name]], tbl_MTG_Set_Type[Set Type], tbl_MTG_Set_Type[Heavy Printing Window Month Start], "(Set Type not found)", 0, 1)</f>
        <v>(Set Type not found)</v>
      </c>
      <c r="P625" s="3" t="e">
        <f>tbl_MTG_Set[[#This Row],[Released On]]+tbl_MTG_Set[[#This Row],[Heavy Printing Window Month Start]]*365.25/12</f>
        <v>#VALUE!</v>
      </c>
      <c r="Q625" t="str">
        <f>_xlfn.XLOOKUP(tbl_MTG_Set[[#This Row],[Type Name]], tbl_MTG_Set_Type[Set Type], tbl_MTG_Set_Type[Heavy Printing Window Month End], "(Set Type not found)", 0, 1)</f>
        <v>(Set Type not found)</v>
      </c>
      <c r="R625" s="3" t="e">
        <f>tbl_MTG_Set[[#This Row],[Released On]]+tbl_MTG_Set[[#This Row],[Heavy Printing Window Month End]]*365.25/12</f>
        <v>#VALUE!</v>
      </c>
      <c r="S625" s="3" t="e">
        <f ca="1">AND(NOW()&gt;=tbl_MTG_Set[[#This Row],[Heavy Printing Window Start]], NOW()&lt;=tbl_MTG_Set[[#This Row],[Heavy Printing Window End]])</f>
        <v>#VALUE!</v>
      </c>
      <c r="T625" t="str">
        <f>_xlfn.XLOOKUP(tbl_MTG_Set[[#This Row],[Type Name]], tbl_MTG_Set_Type[Set Type], tbl_MTG_Set_Type[Sell Window Month Start], "(Set Type not found)", 0, 1)</f>
        <v>(Set Type not found)</v>
      </c>
      <c r="U625" s="3" t="e">
        <f>tbl_MTG_Set[[#This Row],[Released On]]+tbl_MTG_Set[[#This Row],[Sell Window Month Start]]*365.25/12</f>
        <v>#VALUE!</v>
      </c>
      <c r="V625" t="str">
        <f>_xlfn.XLOOKUP(tbl_MTG_Set[[#This Row],[Type Name]], tbl_MTG_Set_Type[Set Type], tbl_MTG_Set_Type[Sell Window Month End], "(Set Type not found)", 0, 1)</f>
        <v>(Set Type not found)</v>
      </c>
      <c r="W625" s="3" t="e">
        <f>tbl_MTG_Set[[#This Row],[Released On]]+tbl_MTG_Set[[#This Row],[Sell Window Month End]]*365.25/12</f>
        <v>#VALUE!</v>
      </c>
      <c r="X625" s="3" t="e">
        <f ca="1">AND(NOW()&gt;=tbl_MTG_Set[[#This Row],[Sell Window Start]], NOW()&lt;=tbl_MTG_Set[[#This Row],[Sell Window End]])</f>
        <v>#VALUE!</v>
      </c>
      <c r="AG625" s="10"/>
      <c r="AH625" s="10"/>
      <c r="AM625" s="10" t="str" cm="1">
        <f t="array" ref="AM6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5" s="10" t="str" cm="1">
        <f t="array" ref="AN6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5" s="4" t="e">
        <f>_xlfn.XLOOKUP(tbl_MTG_Set[[#This Row],[Play Booster Box Product Id]], tbl_Product[Product Id], tbl_Product[Pack Size])</f>
        <v>#N/A</v>
      </c>
      <c r="AP625" s="10" t="e">
        <f>(tbl_MTG_Set[[#This Row],[Play Booster Box Cost]]+v_Item_Shipping_Cost_In)/tbl_MTG_Set[[#This Row],[Play Booster Box Size]]</f>
        <v>#VALUE!</v>
      </c>
      <c r="AQ625" s="10" t="str" cm="1">
        <f t="array" ref="AQ6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5" s="10"/>
      <c r="AS625" s="10"/>
      <c r="AT625" s="17" t="e">
        <f>tbl_MTG_Set[[#This Row],[Play Booster CardMarket Profit]]/tbl_MTG_Set[[#This Row],[Play Booster Cost]]</f>
        <v>#VALUE!</v>
      </c>
      <c r="AU625" s="10" t="e">
        <f>_xlfn.XLOOKUP(tbl_MTG_Set[[#This Row],[Collector Booster Box Product Id]], tbl_Product[Product Id], tbl_Product[Min Cost])</f>
        <v>#N/A</v>
      </c>
      <c r="AV625" s="10" t="e">
        <f>_xlfn.XLOOKUP(tbl_MTG_Set[[#This Row],[Collector Booster Box Product Id]], tbl_Product[Product Id], tbl_Product[Best Source])</f>
        <v>#N/A</v>
      </c>
      <c r="AW625" s="4" t="e">
        <f>_xlfn.XLOOKUP(tbl_MTG_Set[[#This Row],[Collector Booster Box Product Id]], tbl_Product[Product Id], tbl_Product[Pack Size])</f>
        <v>#N/A</v>
      </c>
      <c r="AX625" s="10" t="e">
        <f>(tbl_MTG_Set[[#This Row],[Collector Booster Box Cost]] + v_Item_Shipping_Cost_In) / tbl_MTG_Set[[#This Row],[Collector Booster Box Size]]</f>
        <v>#N/A</v>
      </c>
      <c r="AY625" s="10" t="str" cm="1">
        <f t="array" ref="AY6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5" s="10"/>
      <c r="BA6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5" s="17" t="e">
        <f>tbl_MTG_Set[[#This Row],[Collector Booster CardMarket Profit]]/tbl_MTG_Set[[#This Row],[Collector Booster Cost]]</f>
        <v>#N/A</v>
      </c>
      <c r="BC625" s="10"/>
      <c r="BF6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5" s="11" t="e">
        <f>tbl_MTG_Set[[#This Row],[Play Singles CardMarket Profit MTG Stocks]]/tbl_MTG_Set[[#This Row],[Play Booster Cost]]</f>
        <v>#VALUE!</v>
      </c>
      <c r="BI625" s="11" t="b">
        <f>tbl_MTG_Set[[#This Row],[Play Singles CardMarket Profit MTG Stocks]]&gt;0</f>
        <v>0</v>
      </c>
      <c r="BM625" s="10" t="e">
        <f>tbl_MTG_Set[[#This Row],[Play Booster Sell Price CardMarket]]*tbl_MTG_Set[[#This Row],[Play Booster Expected Market Value BotBox]]/tbl_MTG_Set[[#This Row],[Play Booster Sealed Market Value BotBox]]</f>
        <v>#VALUE!</v>
      </c>
      <c r="BN6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5" s="10" t="e">
        <f>tbl_MTG_Set[[#This Row],[Play Singles CardMarket Profit BotBox]]/tbl_MTG_Set[[#This Row],[Play Booster Cost]]</f>
        <v>#VALUE!</v>
      </c>
      <c r="BP625" s="10" t="b">
        <f>tbl_MTG_Set[[#This Row],[Play Singles CardMarket Profit BotBox]]&gt;0</f>
        <v>0</v>
      </c>
      <c r="BQ625" s="10"/>
      <c r="BR625" s="10"/>
      <c r="BS625" s="10"/>
      <c r="BT6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5" s="19" t="e">
        <f>tbl_MTG_Set[[#This Row],[Collector Singles CardMarket Profit MTG Stocks]]/tbl_MTG_Set[[#This Row],[Collector Booster Cost]]</f>
        <v>#N/A</v>
      </c>
      <c r="BW625" s="10" t="b">
        <f>tbl_MTG_Set[[#This Row],[Collector Singles CardMarket Profit MTG Stocks]]&gt;0</f>
        <v>0</v>
      </c>
      <c r="BX625" s="10"/>
      <c r="BY625" s="10"/>
      <c r="BZ6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5" s="10" t="e">
        <f>tbl_MTG_Set[[#This Row],[Collector Singles CardMarket Profit BotBox]]/tbl_MTG_Set[[#This Row],[Collector Booster Cost]]</f>
        <v>#N/A</v>
      </c>
      <c r="CC625" s="10" t="b">
        <f>tbl_MTG_Set[[#This Row],[Collector Singles CardMarket Profit BotBox]]&gt;0</f>
        <v>0</v>
      </c>
      <c r="CD6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6" spans="1:86" hidden="1">
      <c r="A626">
        <v>658</v>
      </c>
      <c r="B626" t="s">
        <v>799</v>
      </c>
      <c r="C626">
        <v>356</v>
      </c>
      <c r="D626" s="3">
        <v>41579</v>
      </c>
      <c r="F626" t="s">
        <v>174</v>
      </c>
      <c r="G626">
        <v>1262</v>
      </c>
      <c r="H626">
        <f ca="1">MONTH(NOW())+12*YEAR(NOW())-MONTH(tbl_MTG_Set[[#This Row],[Released On]])-12*YEAR(tbl_MTG_Set[[#This Row],[Released On]])</f>
        <v>148</v>
      </c>
      <c r="I626" t="str">
        <f>_xlfn.XLOOKUP(tbl_MTG_Set[[#This Row],[Type Name]], tbl_MTG_Set_Type[Set Type], tbl_MTG_Set_Type[Index], "(Set Type not found)")</f>
        <v>(Set Type not found)</v>
      </c>
      <c r="J626" t="str">
        <f>_xlfn.XLOOKUP(tbl_MTG_Set[[#This Row],[Type Name]], tbl_MTG_Set_Type[Set Type], tbl_MTG_Set_Type[Buy Window Month Start], "(Set Type not found)")</f>
        <v>(Set Type not found)</v>
      </c>
      <c r="K626" s="3" t="e">
        <f>tbl_MTG_Set[[#This Row],[Released On]]+tbl_MTG_Set[[#This Row],[Buy Window Month Start]]*365.25/12</f>
        <v>#VALUE!</v>
      </c>
      <c r="L626" t="str">
        <f>_xlfn.XLOOKUP(tbl_MTG_Set[[#This Row],[Type Name]], tbl_MTG_Set_Type[Set Type], tbl_MTG_Set_Type[Buy Window Month End], "(Set Type not found)", 0, 1)</f>
        <v>(Set Type not found)</v>
      </c>
      <c r="M626" s="3" t="e">
        <f>tbl_MTG_Set[[#This Row],[Released On]]+tbl_MTG_Set[[#This Row],[Buy Window Month End]]*365.25/12</f>
        <v>#VALUE!</v>
      </c>
      <c r="N626" s="3" t="e">
        <f ca="1">AND(NOW()&gt;=tbl_MTG_Set[[#This Row],[Buy Window Start]], NOW()&lt;=tbl_MTG_Set[[#This Row],[Buy Window End]])</f>
        <v>#VALUE!</v>
      </c>
      <c r="O626" t="str">
        <f>_xlfn.XLOOKUP(tbl_MTG_Set[[#This Row],[Type Name]], tbl_MTG_Set_Type[Set Type], tbl_MTG_Set_Type[Heavy Printing Window Month Start], "(Set Type not found)", 0, 1)</f>
        <v>(Set Type not found)</v>
      </c>
      <c r="P626" s="3" t="e">
        <f>tbl_MTG_Set[[#This Row],[Released On]]+tbl_MTG_Set[[#This Row],[Heavy Printing Window Month Start]]*365.25/12</f>
        <v>#VALUE!</v>
      </c>
      <c r="Q626" t="str">
        <f>_xlfn.XLOOKUP(tbl_MTG_Set[[#This Row],[Type Name]], tbl_MTG_Set_Type[Set Type], tbl_MTG_Set_Type[Heavy Printing Window Month End], "(Set Type not found)", 0, 1)</f>
        <v>(Set Type not found)</v>
      </c>
      <c r="R626" s="3" t="e">
        <f>tbl_MTG_Set[[#This Row],[Released On]]+tbl_MTG_Set[[#This Row],[Heavy Printing Window Month End]]*365.25/12</f>
        <v>#VALUE!</v>
      </c>
      <c r="S626" s="3" t="e">
        <f ca="1">AND(NOW()&gt;=tbl_MTG_Set[[#This Row],[Heavy Printing Window Start]], NOW()&lt;=tbl_MTG_Set[[#This Row],[Heavy Printing Window End]])</f>
        <v>#VALUE!</v>
      </c>
      <c r="T626" t="str">
        <f>_xlfn.XLOOKUP(tbl_MTG_Set[[#This Row],[Type Name]], tbl_MTG_Set_Type[Set Type], tbl_MTG_Set_Type[Sell Window Month Start], "(Set Type not found)", 0, 1)</f>
        <v>(Set Type not found)</v>
      </c>
      <c r="U626" s="3" t="e">
        <f>tbl_MTG_Set[[#This Row],[Released On]]+tbl_MTG_Set[[#This Row],[Sell Window Month Start]]*365.25/12</f>
        <v>#VALUE!</v>
      </c>
      <c r="V626" t="str">
        <f>_xlfn.XLOOKUP(tbl_MTG_Set[[#This Row],[Type Name]], tbl_MTG_Set_Type[Set Type], tbl_MTG_Set_Type[Sell Window Month End], "(Set Type not found)", 0, 1)</f>
        <v>(Set Type not found)</v>
      </c>
      <c r="W626" s="3" t="e">
        <f>tbl_MTG_Set[[#This Row],[Released On]]+tbl_MTG_Set[[#This Row],[Sell Window Month End]]*365.25/12</f>
        <v>#VALUE!</v>
      </c>
      <c r="X626" s="3" t="e">
        <f ca="1">AND(NOW()&gt;=tbl_MTG_Set[[#This Row],[Sell Window Start]], NOW()&lt;=tbl_MTG_Set[[#This Row],[Sell Window End]])</f>
        <v>#VALUE!</v>
      </c>
      <c r="AG626" s="10"/>
      <c r="AH626" s="10"/>
      <c r="AM626" s="10" t="str" cm="1">
        <f t="array" ref="AM6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6" s="10" t="str" cm="1">
        <f t="array" ref="AN6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6" s="4" t="e">
        <f>_xlfn.XLOOKUP(tbl_MTG_Set[[#This Row],[Play Booster Box Product Id]], tbl_Product[Product Id], tbl_Product[Pack Size])</f>
        <v>#N/A</v>
      </c>
      <c r="AP626" s="10" t="e">
        <f>(tbl_MTG_Set[[#This Row],[Play Booster Box Cost]]+v_Item_Shipping_Cost_In)/tbl_MTG_Set[[#This Row],[Play Booster Box Size]]</f>
        <v>#VALUE!</v>
      </c>
      <c r="AQ626" s="10" t="str" cm="1">
        <f t="array" ref="AQ6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6" s="10"/>
      <c r="AS626" s="10"/>
      <c r="AT626" s="17" t="e">
        <f>tbl_MTG_Set[[#This Row],[Play Booster CardMarket Profit]]/tbl_MTG_Set[[#This Row],[Play Booster Cost]]</f>
        <v>#VALUE!</v>
      </c>
      <c r="AU626" s="10" t="e">
        <f>_xlfn.XLOOKUP(tbl_MTG_Set[[#This Row],[Collector Booster Box Product Id]], tbl_Product[Product Id], tbl_Product[Min Cost])</f>
        <v>#N/A</v>
      </c>
      <c r="AV626" s="10" t="e">
        <f>_xlfn.XLOOKUP(tbl_MTG_Set[[#This Row],[Collector Booster Box Product Id]], tbl_Product[Product Id], tbl_Product[Best Source])</f>
        <v>#N/A</v>
      </c>
      <c r="AW626" s="4" t="e">
        <f>_xlfn.XLOOKUP(tbl_MTG_Set[[#This Row],[Collector Booster Box Product Id]], tbl_Product[Product Id], tbl_Product[Pack Size])</f>
        <v>#N/A</v>
      </c>
      <c r="AX626" s="10" t="e">
        <f>(tbl_MTG_Set[[#This Row],[Collector Booster Box Cost]] + v_Item_Shipping_Cost_In) / tbl_MTG_Set[[#This Row],[Collector Booster Box Size]]</f>
        <v>#N/A</v>
      </c>
      <c r="AY626" s="10" t="str" cm="1">
        <f t="array" ref="AY6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6" s="10"/>
      <c r="BA6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6" s="17" t="e">
        <f>tbl_MTG_Set[[#This Row],[Collector Booster CardMarket Profit]]/tbl_MTG_Set[[#This Row],[Collector Booster Cost]]</f>
        <v>#N/A</v>
      </c>
      <c r="BC626" s="10"/>
      <c r="BF6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6" s="11" t="e">
        <f>tbl_MTG_Set[[#This Row],[Play Singles CardMarket Profit MTG Stocks]]/tbl_MTG_Set[[#This Row],[Play Booster Cost]]</f>
        <v>#VALUE!</v>
      </c>
      <c r="BI626" s="11" t="b">
        <f>tbl_MTG_Set[[#This Row],[Play Singles CardMarket Profit MTG Stocks]]&gt;0</f>
        <v>0</v>
      </c>
      <c r="BM626" s="10" t="e">
        <f>tbl_MTG_Set[[#This Row],[Play Booster Sell Price CardMarket]]*tbl_MTG_Set[[#This Row],[Play Booster Expected Market Value BotBox]]/tbl_MTG_Set[[#This Row],[Play Booster Sealed Market Value BotBox]]</f>
        <v>#VALUE!</v>
      </c>
      <c r="BN6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6" s="10" t="e">
        <f>tbl_MTG_Set[[#This Row],[Play Singles CardMarket Profit BotBox]]/tbl_MTG_Set[[#This Row],[Play Booster Cost]]</f>
        <v>#VALUE!</v>
      </c>
      <c r="BP626" s="10" t="b">
        <f>tbl_MTG_Set[[#This Row],[Play Singles CardMarket Profit BotBox]]&gt;0</f>
        <v>0</v>
      </c>
      <c r="BQ626" s="10"/>
      <c r="BR626" s="10"/>
      <c r="BS626" s="10"/>
      <c r="BT6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6" s="19" t="e">
        <f>tbl_MTG_Set[[#This Row],[Collector Singles CardMarket Profit MTG Stocks]]/tbl_MTG_Set[[#This Row],[Collector Booster Cost]]</f>
        <v>#N/A</v>
      </c>
      <c r="BW626" s="10" t="b">
        <f>tbl_MTG_Set[[#This Row],[Collector Singles CardMarket Profit MTG Stocks]]&gt;0</f>
        <v>0</v>
      </c>
      <c r="BX626" s="10"/>
      <c r="BY626" s="10"/>
      <c r="BZ6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6" s="10" t="e">
        <f>tbl_MTG_Set[[#This Row],[Collector Singles CardMarket Profit BotBox]]/tbl_MTG_Set[[#This Row],[Collector Booster Cost]]</f>
        <v>#N/A</v>
      </c>
      <c r="CC626" s="10" t="b">
        <f>tbl_MTG_Set[[#This Row],[Collector Singles CardMarket Profit BotBox]]&gt;0</f>
        <v>0</v>
      </c>
      <c r="CD6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7" spans="1:86" hidden="1">
      <c r="A627">
        <v>659</v>
      </c>
      <c r="B627" t="s">
        <v>800</v>
      </c>
      <c r="C627">
        <v>15</v>
      </c>
      <c r="D627" s="3">
        <v>41579</v>
      </c>
      <c r="F627" t="s">
        <v>174</v>
      </c>
      <c r="G627">
        <v>1264</v>
      </c>
      <c r="H627">
        <f ca="1">MONTH(NOW())+12*YEAR(NOW())-MONTH(tbl_MTG_Set[[#This Row],[Released On]])-12*YEAR(tbl_MTG_Set[[#This Row],[Released On]])</f>
        <v>148</v>
      </c>
      <c r="I627" t="str">
        <f>_xlfn.XLOOKUP(tbl_MTG_Set[[#This Row],[Type Name]], tbl_MTG_Set_Type[Set Type], tbl_MTG_Set_Type[Index], "(Set Type not found)")</f>
        <v>(Set Type not found)</v>
      </c>
      <c r="J627" t="str">
        <f>_xlfn.XLOOKUP(tbl_MTG_Set[[#This Row],[Type Name]], tbl_MTG_Set_Type[Set Type], tbl_MTG_Set_Type[Buy Window Month Start], "(Set Type not found)")</f>
        <v>(Set Type not found)</v>
      </c>
      <c r="K627" s="3" t="e">
        <f>tbl_MTG_Set[[#This Row],[Released On]]+tbl_MTG_Set[[#This Row],[Buy Window Month Start]]*365.25/12</f>
        <v>#VALUE!</v>
      </c>
      <c r="L627" t="str">
        <f>_xlfn.XLOOKUP(tbl_MTG_Set[[#This Row],[Type Name]], tbl_MTG_Set_Type[Set Type], tbl_MTG_Set_Type[Buy Window Month End], "(Set Type not found)", 0, 1)</f>
        <v>(Set Type not found)</v>
      </c>
      <c r="M627" s="3" t="e">
        <f>tbl_MTG_Set[[#This Row],[Released On]]+tbl_MTG_Set[[#This Row],[Buy Window Month End]]*365.25/12</f>
        <v>#VALUE!</v>
      </c>
      <c r="N627" s="3" t="e">
        <f ca="1">AND(NOW()&gt;=tbl_MTG_Set[[#This Row],[Buy Window Start]], NOW()&lt;=tbl_MTG_Set[[#This Row],[Buy Window End]])</f>
        <v>#VALUE!</v>
      </c>
      <c r="O627" t="str">
        <f>_xlfn.XLOOKUP(tbl_MTG_Set[[#This Row],[Type Name]], tbl_MTG_Set_Type[Set Type], tbl_MTG_Set_Type[Heavy Printing Window Month Start], "(Set Type not found)", 0, 1)</f>
        <v>(Set Type not found)</v>
      </c>
      <c r="P627" s="3" t="e">
        <f>tbl_MTG_Set[[#This Row],[Released On]]+tbl_MTG_Set[[#This Row],[Heavy Printing Window Month Start]]*365.25/12</f>
        <v>#VALUE!</v>
      </c>
      <c r="Q627" t="str">
        <f>_xlfn.XLOOKUP(tbl_MTG_Set[[#This Row],[Type Name]], tbl_MTG_Set_Type[Set Type], tbl_MTG_Set_Type[Heavy Printing Window Month End], "(Set Type not found)", 0, 1)</f>
        <v>(Set Type not found)</v>
      </c>
      <c r="R627" s="3" t="e">
        <f>tbl_MTG_Set[[#This Row],[Released On]]+tbl_MTG_Set[[#This Row],[Heavy Printing Window Month End]]*365.25/12</f>
        <v>#VALUE!</v>
      </c>
      <c r="S627" s="3" t="e">
        <f ca="1">AND(NOW()&gt;=tbl_MTG_Set[[#This Row],[Heavy Printing Window Start]], NOW()&lt;=tbl_MTG_Set[[#This Row],[Heavy Printing Window End]])</f>
        <v>#VALUE!</v>
      </c>
      <c r="T627" t="str">
        <f>_xlfn.XLOOKUP(tbl_MTG_Set[[#This Row],[Type Name]], tbl_MTG_Set_Type[Set Type], tbl_MTG_Set_Type[Sell Window Month Start], "(Set Type not found)", 0, 1)</f>
        <v>(Set Type not found)</v>
      </c>
      <c r="U627" s="3" t="e">
        <f>tbl_MTG_Set[[#This Row],[Released On]]+tbl_MTG_Set[[#This Row],[Sell Window Month Start]]*365.25/12</f>
        <v>#VALUE!</v>
      </c>
      <c r="V627" t="str">
        <f>_xlfn.XLOOKUP(tbl_MTG_Set[[#This Row],[Type Name]], tbl_MTG_Set_Type[Set Type], tbl_MTG_Set_Type[Sell Window Month End], "(Set Type not found)", 0, 1)</f>
        <v>(Set Type not found)</v>
      </c>
      <c r="W627" s="3" t="e">
        <f>tbl_MTG_Set[[#This Row],[Released On]]+tbl_MTG_Set[[#This Row],[Sell Window Month End]]*365.25/12</f>
        <v>#VALUE!</v>
      </c>
      <c r="X627" s="3" t="e">
        <f ca="1">AND(NOW()&gt;=tbl_MTG_Set[[#This Row],[Sell Window Start]], NOW()&lt;=tbl_MTG_Set[[#This Row],[Sell Window End]])</f>
        <v>#VALUE!</v>
      </c>
      <c r="AG627" s="10"/>
      <c r="AH627" s="10"/>
      <c r="AM627" s="10" t="str" cm="1">
        <f t="array" ref="AM6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7" s="10" t="str" cm="1">
        <f t="array" ref="AN6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7" s="4" t="e">
        <f>_xlfn.XLOOKUP(tbl_MTG_Set[[#This Row],[Play Booster Box Product Id]], tbl_Product[Product Id], tbl_Product[Pack Size])</f>
        <v>#N/A</v>
      </c>
      <c r="AP627" s="10" t="e">
        <f>(tbl_MTG_Set[[#This Row],[Play Booster Box Cost]]+v_Item_Shipping_Cost_In)/tbl_MTG_Set[[#This Row],[Play Booster Box Size]]</f>
        <v>#VALUE!</v>
      </c>
      <c r="AQ627" s="10" t="str" cm="1">
        <f t="array" ref="AQ6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7" s="10"/>
      <c r="AS627" s="10"/>
      <c r="AT627" s="17" t="e">
        <f>tbl_MTG_Set[[#This Row],[Play Booster CardMarket Profit]]/tbl_MTG_Set[[#This Row],[Play Booster Cost]]</f>
        <v>#VALUE!</v>
      </c>
      <c r="AU627" s="10" t="e">
        <f>_xlfn.XLOOKUP(tbl_MTG_Set[[#This Row],[Collector Booster Box Product Id]], tbl_Product[Product Id], tbl_Product[Min Cost])</f>
        <v>#N/A</v>
      </c>
      <c r="AV627" s="10" t="e">
        <f>_xlfn.XLOOKUP(tbl_MTG_Set[[#This Row],[Collector Booster Box Product Id]], tbl_Product[Product Id], tbl_Product[Best Source])</f>
        <v>#N/A</v>
      </c>
      <c r="AW627" s="4" t="e">
        <f>_xlfn.XLOOKUP(tbl_MTG_Set[[#This Row],[Collector Booster Box Product Id]], tbl_Product[Product Id], tbl_Product[Pack Size])</f>
        <v>#N/A</v>
      </c>
      <c r="AX627" s="10" t="e">
        <f>(tbl_MTG_Set[[#This Row],[Collector Booster Box Cost]] + v_Item_Shipping_Cost_In) / tbl_MTG_Set[[#This Row],[Collector Booster Box Size]]</f>
        <v>#N/A</v>
      </c>
      <c r="AY627" s="10" t="str" cm="1">
        <f t="array" ref="AY6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7" s="10"/>
      <c r="BA6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7" s="17" t="e">
        <f>tbl_MTG_Set[[#This Row],[Collector Booster CardMarket Profit]]/tbl_MTG_Set[[#This Row],[Collector Booster Cost]]</f>
        <v>#N/A</v>
      </c>
      <c r="BC627" s="10"/>
      <c r="BF6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7" s="11" t="e">
        <f>tbl_MTG_Set[[#This Row],[Play Singles CardMarket Profit MTG Stocks]]/tbl_MTG_Set[[#This Row],[Play Booster Cost]]</f>
        <v>#VALUE!</v>
      </c>
      <c r="BI627" s="11" t="b">
        <f>tbl_MTG_Set[[#This Row],[Play Singles CardMarket Profit MTG Stocks]]&gt;0</f>
        <v>0</v>
      </c>
      <c r="BM627" s="10" t="e">
        <f>tbl_MTG_Set[[#This Row],[Play Booster Sell Price CardMarket]]*tbl_MTG_Set[[#This Row],[Play Booster Expected Market Value BotBox]]/tbl_MTG_Set[[#This Row],[Play Booster Sealed Market Value BotBox]]</f>
        <v>#VALUE!</v>
      </c>
      <c r="BN6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7" s="10" t="e">
        <f>tbl_MTG_Set[[#This Row],[Play Singles CardMarket Profit BotBox]]/tbl_MTG_Set[[#This Row],[Play Booster Cost]]</f>
        <v>#VALUE!</v>
      </c>
      <c r="BP627" s="10" t="b">
        <f>tbl_MTG_Set[[#This Row],[Play Singles CardMarket Profit BotBox]]&gt;0</f>
        <v>0</v>
      </c>
      <c r="BQ627" s="10"/>
      <c r="BR627" s="10"/>
      <c r="BS627" s="10"/>
      <c r="BT6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7" s="19" t="e">
        <f>tbl_MTG_Set[[#This Row],[Collector Singles CardMarket Profit MTG Stocks]]/tbl_MTG_Set[[#This Row],[Collector Booster Cost]]</f>
        <v>#N/A</v>
      </c>
      <c r="BW627" s="10" t="b">
        <f>tbl_MTG_Set[[#This Row],[Collector Singles CardMarket Profit MTG Stocks]]&gt;0</f>
        <v>0</v>
      </c>
      <c r="BX627" s="10"/>
      <c r="BY627" s="10"/>
      <c r="BZ6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7" s="10" t="e">
        <f>tbl_MTG_Set[[#This Row],[Collector Singles CardMarket Profit BotBox]]/tbl_MTG_Set[[#This Row],[Collector Booster Cost]]</f>
        <v>#N/A</v>
      </c>
      <c r="CC627" s="10" t="b">
        <f>tbl_MTG_Set[[#This Row],[Collector Singles CardMarket Profit BotBox]]&gt;0</f>
        <v>0</v>
      </c>
      <c r="CD6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8" spans="1:86" hidden="1">
      <c r="A628">
        <v>660</v>
      </c>
      <c r="B628" t="s">
        <v>801</v>
      </c>
      <c r="C628">
        <v>249</v>
      </c>
      <c r="D628" s="3">
        <v>41544</v>
      </c>
      <c r="E628" t="s">
        <v>59</v>
      </c>
      <c r="F628" t="s">
        <v>174</v>
      </c>
      <c r="G628">
        <v>1266</v>
      </c>
      <c r="H628">
        <f ca="1">MONTH(NOW())+12*YEAR(NOW())-MONTH(tbl_MTG_Set[[#This Row],[Released On]])-12*YEAR(tbl_MTG_Set[[#This Row],[Released On]])</f>
        <v>150</v>
      </c>
      <c r="I628">
        <f>_xlfn.XLOOKUP(tbl_MTG_Set[[#This Row],[Type Name]], tbl_MTG_Set_Type[Set Type], tbl_MTG_Set_Type[Index], "(Set Type not found)")</f>
        <v>1</v>
      </c>
      <c r="J628">
        <f>_xlfn.XLOOKUP(tbl_MTG_Set[[#This Row],[Type Name]], tbl_MTG_Set_Type[Set Type], tbl_MTG_Set_Type[Buy Window Month Start], "(Set Type not found)")</f>
        <v>18</v>
      </c>
      <c r="K628" s="3">
        <f>tbl_MTG_Set[[#This Row],[Released On]]+tbl_MTG_Set[[#This Row],[Buy Window Month Start]]*365.25/12</f>
        <v>42091.875</v>
      </c>
      <c r="L628">
        <f>_xlfn.XLOOKUP(tbl_MTG_Set[[#This Row],[Type Name]], tbl_MTG_Set_Type[Set Type], tbl_MTG_Set_Type[Buy Window Month End], "(Set Type not found)", 0, 1)</f>
        <v>24</v>
      </c>
      <c r="M628" s="3">
        <f>tbl_MTG_Set[[#This Row],[Released On]]+tbl_MTG_Set[[#This Row],[Buy Window Month End]]*365.25/12</f>
        <v>42274.5</v>
      </c>
      <c r="N628" s="3" t="b">
        <f ca="1">AND(NOW()&gt;=tbl_MTG_Set[[#This Row],[Buy Window Start]], NOW()&lt;=tbl_MTG_Set[[#This Row],[Buy Window End]])</f>
        <v>0</v>
      </c>
      <c r="O628">
        <f>_xlfn.XLOOKUP(tbl_MTG_Set[[#This Row],[Type Name]], tbl_MTG_Set_Type[Set Type], tbl_MTG_Set_Type[Heavy Printing Window Month Start], "(Set Type not found)", 0, 1)</f>
        <v>1</v>
      </c>
      <c r="P628" s="3">
        <f>tbl_MTG_Set[[#This Row],[Released On]]+tbl_MTG_Set[[#This Row],[Heavy Printing Window Month Start]]*365.25/12</f>
        <v>41574.4375</v>
      </c>
      <c r="Q628">
        <f>_xlfn.XLOOKUP(tbl_MTG_Set[[#This Row],[Type Name]], tbl_MTG_Set_Type[Set Type], tbl_MTG_Set_Type[Heavy Printing Window Month End], "(Set Type not found)", 0, 1)</f>
        <v>18</v>
      </c>
      <c r="R628" s="3">
        <f>tbl_MTG_Set[[#This Row],[Released On]]+tbl_MTG_Set[[#This Row],[Heavy Printing Window Month End]]*365.25/12</f>
        <v>42091.875</v>
      </c>
      <c r="S628" s="3" t="b">
        <f ca="1">AND(NOW()&gt;=tbl_MTG_Set[[#This Row],[Heavy Printing Window Start]], NOW()&lt;=tbl_MTG_Set[[#This Row],[Heavy Printing Window End]])</f>
        <v>0</v>
      </c>
      <c r="T628">
        <f>_xlfn.XLOOKUP(tbl_MTG_Set[[#This Row],[Type Name]], tbl_MTG_Set_Type[Set Type], tbl_MTG_Set_Type[Sell Window Month Start], "(Set Type not found)", 0, 1)</f>
        <v>36</v>
      </c>
      <c r="U628" s="3">
        <f>tbl_MTG_Set[[#This Row],[Released On]]+tbl_MTG_Set[[#This Row],[Sell Window Month Start]]*365.25/12</f>
        <v>42639.75</v>
      </c>
      <c r="V628">
        <f>_xlfn.XLOOKUP(tbl_MTG_Set[[#This Row],[Type Name]], tbl_MTG_Set_Type[Set Type], tbl_MTG_Set_Type[Sell Window Month End], "(Set Type not found)", 0, 1)</f>
        <v>48</v>
      </c>
      <c r="W628" s="3">
        <f>tbl_MTG_Set[[#This Row],[Released On]]+tbl_MTG_Set[[#This Row],[Sell Window Month End]]*365.25/12</f>
        <v>43005</v>
      </c>
      <c r="X628" s="3" t="b">
        <f ca="1">AND(NOW()&gt;=tbl_MTG_Set[[#This Row],[Sell Window Start]], NOW()&lt;=tbl_MTG_Set[[#This Row],[Sell Window End]])</f>
        <v>0</v>
      </c>
      <c r="AG628" s="10"/>
      <c r="AH628" s="10"/>
      <c r="AM628" s="10" t="str" cm="1">
        <f t="array" ref="AM6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8" s="10" t="str" cm="1">
        <f t="array" ref="AN6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8" s="4" t="e">
        <f>_xlfn.XLOOKUP(tbl_MTG_Set[[#This Row],[Play Booster Box Product Id]], tbl_Product[Product Id], tbl_Product[Pack Size])</f>
        <v>#N/A</v>
      </c>
      <c r="AP628" s="10" t="e">
        <f>(tbl_MTG_Set[[#This Row],[Play Booster Box Cost]]+v_Item_Shipping_Cost_In)/tbl_MTG_Set[[#This Row],[Play Booster Box Size]]</f>
        <v>#VALUE!</v>
      </c>
      <c r="AQ628" s="10" t="str" cm="1">
        <f t="array" ref="AQ6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8" s="10"/>
      <c r="AS628" s="10"/>
      <c r="AT628" s="17" t="e">
        <f>tbl_MTG_Set[[#This Row],[Play Booster CardMarket Profit]]/tbl_MTG_Set[[#This Row],[Play Booster Cost]]</f>
        <v>#VALUE!</v>
      </c>
      <c r="AU628" s="10" t="e">
        <f>_xlfn.XLOOKUP(tbl_MTG_Set[[#This Row],[Collector Booster Box Product Id]], tbl_Product[Product Id], tbl_Product[Min Cost])</f>
        <v>#N/A</v>
      </c>
      <c r="AV628" s="10" t="e">
        <f>_xlfn.XLOOKUP(tbl_MTG_Set[[#This Row],[Collector Booster Box Product Id]], tbl_Product[Product Id], tbl_Product[Best Source])</f>
        <v>#N/A</v>
      </c>
      <c r="AW628" s="4" t="e">
        <f>_xlfn.XLOOKUP(tbl_MTG_Set[[#This Row],[Collector Booster Box Product Id]], tbl_Product[Product Id], tbl_Product[Pack Size])</f>
        <v>#N/A</v>
      </c>
      <c r="AX628" s="10" t="e">
        <f>(tbl_MTG_Set[[#This Row],[Collector Booster Box Cost]] + v_Item_Shipping_Cost_In) / tbl_MTG_Set[[#This Row],[Collector Booster Box Size]]</f>
        <v>#N/A</v>
      </c>
      <c r="AY628" s="10" t="str" cm="1">
        <f t="array" ref="AY6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8" s="10"/>
      <c r="BA6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8" s="17" t="e">
        <f>tbl_MTG_Set[[#This Row],[Collector Booster CardMarket Profit]]/tbl_MTG_Set[[#This Row],[Collector Booster Cost]]</f>
        <v>#N/A</v>
      </c>
      <c r="BC628" s="10"/>
      <c r="BF6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8" s="11" t="e">
        <f>tbl_MTG_Set[[#This Row],[Play Singles CardMarket Profit MTG Stocks]]/tbl_MTG_Set[[#This Row],[Play Booster Cost]]</f>
        <v>#VALUE!</v>
      </c>
      <c r="BI628" s="11" t="b">
        <f>tbl_MTG_Set[[#This Row],[Play Singles CardMarket Profit MTG Stocks]]&gt;0</f>
        <v>0</v>
      </c>
      <c r="BM628" s="10" t="e">
        <f>tbl_MTG_Set[[#This Row],[Play Booster Sell Price CardMarket]]*tbl_MTG_Set[[#This Row],[Play Booster Expected Market Value BotBox]]/tbl_MTG_Set[[#This Row],[Play Booster Sealed Market Value BotBox]]</f>
        <v>#VALUE!</v>
      </c>
      <c r="BN6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8" s="10" t="e">
        <f>tbl_MTG_Set[[#This Row],[Play Singles CardMarket Profit BotBox]]/tbl_MTG_Set[[#This Row],[Play Booster Cost]]</f>
        <v>#VALUE!</v>
      </c>
      <c r="BP628" s="10" t="b">
        <f>tbl_MTG_Set[[#This Row],[Play Singles CardMarket Profit BotBox]]&gt;0</f>
        <v>0</v>
      </c>
      <c r="BQ628" s="10"/>
      <c r="BR628" s="10"/>
      <c r="BS628" s="10"/>
      <c r="BT6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8" s="19" t="e">
        <f>tbl_MTG_Set[[#This Row],[Collector Singles CardMarket Profit MTG Stocks]]/tbl_MTG_Set[[#This Row],[Collector Booster Cost]]</f>
        <v>#N/A</v>
      </c>
      <c r="BW628" s="10" t="b">
        <f>tbl_MTG_Set[[#This Row],[Collector Singles CardMarket Profit MTG Stocks]]&gt;0</f>
        <v>0</v>
      </c>
      <c r="BX628" s="10"/>
      <c r="BY628" s="10"/>
      <c r="BZ6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8" s="10" t="e">
        <f>tbl_MTG_Set[[#This Row],[Collector Singles CardMarket Profit BotBox]]/tbl_MTG_Set[[#This Row],[Collector Booster Cost]]</f>
        <v>#N/A</v>
      </c>
      <c r="CC628" s="10" t="b">
        <f>tbl_MTG_Set[[#This Row],[Collector Singles CardMarket Profit BotBox]]&gt;0</f>
        <v>0</v>
      </c>
      <c r="CD6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29" spans="1:86" hidden="1">
      <c r="A629">
        <v>661</v>
      </c>
      <c r="B629" t="s">
        <v>802</v>
      </c>
      <c r="C629">
        <v>10</v>
      </c>
      <c r="D629" s="3">
        <v>41538</v>
      </c>
      <c r="E629" t="s">
        <v>59</v>
      </c>
      <c r="F629" t="s">
        <v>174</v>
      </c>
      <c r="G629">
        <v>1268</v>
      </c>
      <c r="H629">
        <f ca="1">MONTH(NOW())+12*YEAR(NOW())-MONTH(tbl_MTG_Set[[#This Row],[Released On]])-12*YEAR(tbl_MTG_Set[[#This Row],[Released On]])</f>
        <v>150</v>
      </c>
      <c r="I629">
        <f>_xlfn.XLOOKUP(tbl_MTG_Set[[#This Row],[Type Name]], tbl_MTG_Set_Type[Set Type], tbl_MTG_Set_Type[Index], "(Set Type not found)")</f>
        <v>1</v>
      </c>
      <c r="J629">
        <f>_xlfn.XLOOKUP(tbl_MTG_Set[[#This Row],[Type Name]], tbl_MTG_Set_Type[Set Type], tbl_MTG_Set_Type[Buy Window Month Start], "(Set Type not found)")</f>
        <v>18</v>
      </c>
      <c r="K629" s="3">
        <f>tbl_MTG_Set[[#This Row],[Released On]]+tbl_MTG_Set[[#This Row],[Buy Window Month Start]]*365.25/12</f>
        <v>42085.875</v>
      </c>
      <c r="L629">
        <f>_xlfn.XLOOKUP(tbl_MTG_Set[[#This Row],[Type Name]], tbl_MTG_Set_Type[Set Type], tbl_MTG_Set_Type[Buy Window Month End], "(Set Type not found)", 0, 1)</f>
        <v>24</v>
      </c>
      <c r="M629" s="3">
        <f>tbl_MTG_Set[[#This Row],[Released On]]+tbl_MTG_Set[[#This Row],[Buy Window Month End]]*365.25/12</f>
        <v>42268.5</v>
      </c>
      <c r="N629" s="3" t="b">
        <f ca="1">AND(NOW()&gt;=tbl_MTG_Set[[#This Row],[Buy Window Start]], NOW()&lt;=tbl_MTG_Set[[#This Row],[Buy Window End]])</f>
        <v>0</v>
      </c>
      <c r="O629">
        <f>_xlfn.XLOOKUP(tbl_MTG_Set[[#This Row],[Type Name]], tbl_MTG_Set_Type[Set Type], tbl_MTG_Set_Type[Heavy Printing Window Month Start], "(Set Type not found)", 0, 1)</f>
        <v>1</v>
      </c>
      <c r="P629" s="3">
        <f>tbl_MTG_Set[[#This Row],[Released On]]+tbl_MTG_Set[[#This Row],[Heavy Printing Window Month Start]]*365.25/12</f>
        <v>41568.4375</v>
      </c>
      <c r="Q629">
        <f>_xlfn.XLOOKUP(tbl_MTG_Set[[#This Row],[Type Name]], tbl_MTG_Set_Type[Set Type], tbl_MTG_Set_Type[Heavy Printing Window Month End], "(Set Type not found)", 0, 1)</f>
        <v>18</v>
      </c>
      <c r="R629" s="3">
        <f>tbl_MTG_Set[[#This Row],[Released On]]+tbl_MTG_Set[[#This Row],[Heavy Printing Window Month End]]*365.25/12</f>
        <v>42085.875</v>
      </c>
      <c r="S629" s="3" t="b">
        <f ca="1">AND(NOW()&gt;=tbl_MTG_Set[[#This Row],[Heavy Printing Window Start]], NOW()&lt;=tbl_MTG_Set[[#This Row],[Heavy Printing Window End]])</f>
        <v>0</v>
      </c>
      <c r="T629">
        <f>_xlfn.XLOOKUP(tbl_MTG_Set[[#This Row],[Type Name]], tbl_MTG_Set_Type[Set Type], tbl_MTG_Set_Type[Sell Window Month Start], "(Set Type not found)", 0, 1)</f>
        <v>36</v>
      </c>
      <c r="U629" s="3">
        <f>tbl_MTG_Set[[#This Row],[Released On]]+tbl_MTG_Set[[#This Row],[Sell Window Month Start]]*365.25/12</f>
        <v>42633.75</v>
      </c>
      <c r="V629">
        <f>_xlfn.XLOOKUP(tbl_MTG_Set[[#This Row],[Type Name]], tbl_MTG_Set_Type[Set Type], tbl_MTG_Set_Type[Sell Window Month End], "(Set Type not found)", 0, 1)</f>
        <v>48</v>
      </c>
      <c r="W629" s="3">
        <f>tbl_MTG_Set[[#This Row],[Released On]]+tbl_MTG_Set[[#This Row],[Sell Window Month End]]*365.25/12</f>
        <v>42999</v>
      </c>
      <c r="X629" s="3" t="b">
        <f ca="1">AND(NOW()&gt;=tbl_MTG_Set[[#This Row],[Sell Window Start]], NOW()&lt;=tbl_MTG_Set[[#This Row],[Sell Window End]])</f>
        <v>0</v>
      </c>
      <c r="AG629" s="10"/>
      <c r="AH629" s="10"/>
      <c r="AM629" s="10" t="str" cm="1">
        <f t="array" ref="AM6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29" s="10" t="str" cm="1">
        <f t="array" ref="AN6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29" s="4" t="e">
        <f>_xlfn.XLOOKUP(tbl_MTG_Set[[#This Row],[Play Booster Box Product Id]], tbl_Product[Product Id], tbl_Product[Pack Size])</f>
        <v>#N/A</v>
      </c>
      <c r="AP629" s="10" t="e">
        <f>(tbl_MTG_Set[[#This Row],[Play Booster Box Cost]]+v_Item_Shipping_Cost_In)/tbl_MTG_Set[[#This Row],[Play Booster Box Size]]</f>
        <v>#VALUE!</v>
      </c>
      <c r="AQ629" s="10" t="str" cm="1">
        <f t="array" ref="AQ6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29" s="10"/>
      <c r="AS629" s="10"/>
      <c r="AT629" s="17" t="e">
        <f>tbl_MTG_Set[[#This Row],[Play Booster CardMarket Profit]]/tbl_MTG_Set[[#This Row],[Play Booster Cost]]</f>
        <v>#VALUE!</v>
      </c>
      <c r="AU629" s="10" t="e">
        <f>_xlfn.XLOOKUP(tbl_MTG_Set[[#This Row],[Collector Booster Box Product Id]], tbl_Product[Product Id], tbl_Product[Min Cost])</f>
        <v>#N/A</v>
      </c>
      <c r="AV629" s="10" t="e">
        <f>_xlfn.XLOOKUP(tbl_MTG_Set[[#This Row],[Collector Booster Box Product Id]], tbl_Product[Product Id], tbl_Product[Best Source])</f>
        <v>#N/A</v>
      </c>
      <c r="AW629" s="4" t="e">
        <f>_xlfn.XLOOKUP(tbl_MTG_Set[[#This Row],[Collector Booster Box Product Id]], tbl_Product[Product Id], tbl_Product[Pack Size])</f>
        <v>#N/A</v>
      </c>
      <c r="AX629" s="10" t="e">
        <f>(tbl_MTG_Set[[#This Row],[Collector Booster Box Cost]] + v_Item_Shipping_Cost_In) / tbl_MTG_Set[[#This Row],[Collector Booster Box Size]]</f>
        <v>#N/A</v>
      </c>
      <c r="AY629" s="10" t="str" cm="1">
        <f t="array" ref="AY6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29" s="10"/>
      <c r="BA6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29" s="17" t="e">
        <f>tbl_MTG_Set[[#This Row],[Collector Booster CardMarket Profit]]/tbl_MTG_Set[[#This Row],[Collector Booster Cost]]</f>
        <v>#N/A</v>
      </c>
      <c r="BC629" s="10"/>
      <c r="BF6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29" s="11" t="e">
        <f>tbl_MTG_Set[[#This Row],[Play Singles CardMarket Profit MTG Stocks]]/tbl_MTG_Set[[#This Row],[Play Booster Cost]]</f>
        <v>#VALUE!</v>
      </c>
      <c r="BI629" s="11" t="b">
        <f>tbl_MTG_Set[[#This Row],[Play Singles CardMarket Profit MTG Stocks]]&gt;0</f>
        <v>0</v>
      </c>
      <c r="BM629" s="10" t="e">
        <f>tbl_MTG_Set[[#This Row],[Play Booster Sell Price CardMarket]]*tbl_MTG_Set[[#This Row],[Play Booster Expected Market Value BotBox]]/tbl_MTG_Set[[#This Row],[Play Booster Sealed Market Value BotBox]]</f>
        <v>#VALUE!</v>
      </c>
      <c r="BN6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29" s="10" t="e">
        <f>tbl_MTG_Set[[#This Row],[Play Singles CardMarket Profit BotBox]]/tbl_MTG_Set[[#This Row],[Play Booster Cost]]</f>
        <v>#VALUE!</v>
      </c>
      <c r="BP629" s="10" t="b">
        <f>tbl_MTG_Set[[#This Row],[Play Singles CardMarket Profit BotBox]]&gt;0</f>
        <v>0</v>
      </c>
      <c r="BQ629" s="10"/>
      <c r="BR629" s="10"/>
      <c r="BS629" s="10"/>
      <c r="BT6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29" s="19" t="e">
        <f>tbl_MTG_Set[[#This Row],[Collector Singles CardMarket Profit MTG Stocks]]/tbl_MTG_Set[[#This Row],[Collector Booster Cost]]</f>
        <v>#N/A</v>
      </c>
      <c r="BW629" s="10" t="b">
        <f>tbl_MTG_Set[[#This Row],[Collector Singles CardMarket Profit MTG Stocks]]&gt;0</f>
        <v>0</v>
      </c>
      <c r="BX629" s="10"/>
      <c r="BY629" s="10"/>
      <c r="BZ6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29" s="10" t="e">
        <f>tbl_MTG_Set[[#This Row],[Collector Singles CardMarket Profit BotBox]]/tbl_MTG_Set[[#This Row],[Collector Booster Cost]]</f>
        <v>#N/A</v>
      </c>
      <c r="CC629" s="10" t="b">
        <f>tbl_MTG_Set[[#This Row],[Collector Singles CardMarket Profit BotBox]]&gt;0</f>
        <v>0</v>
      </c>
      <c r="CD6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0" spans="1:86" hidden="1">
      <c r="A630">
        <v>662</v>
      </c>
      <c r="B630" t="s">
        <v>803</v>
      </c>
      <c r="C630">
        <v>11</v>
      </c>
      <c r="D630" s="3">
        <v>41544</v>
      </c>
      <c r="E630" t="s">
        <v>59</v>
      </c>
      <c r="F630" t="s">
        <v>174</v>
      </c>
      <c r="G630">
        <v>1270</v>
      </c>
      <c r="H630">
        <f ca="1">MONTH(NOW())+12*YEAR(NOW())-MONTH(tbl_MTG_Set[[#This Row],[Released On]])-12*YEAR(tbl_MTG_Set[[#This Row],[Released On]])</f>
        <v>150</v>
      </c>
      <c r="I630">
        <f>_xlfn.XLOOKUP(tbl_MTG_Set[[#This Row],[Type Name]], tbl_MTG_Set_Type[Set Type], tbl_MTG_Set_Type[Index], "(Set Type not found)")</f>
        <v>1</v>
      </c>
      <c r="J630">
        <f>_xlfn.XLOOKUP(tbl_MTG_Set[[#This Row],[Type Name]], tbl_MTG_Set_Type[Set Type], tbl_MTG_Set_Type[Buy Window Month Start], "(Set Type not found)")</f>
        <v>18</v>
      </c>
      <c r="K630" s="3">
        <f>tbl_MTG_Set[[#This Row],[Released On]]+tbl_MTG_Set[[#This Row],[Buy Window Month Start]]*365.25/12</f>
        <v>42091.875</v>
      </c>
      <c r="L630">
        <f>_xlfn.XLOOKUP(tbl_MTG_Set[[#This Row],[Type Name]], tbl_MTG_Set_Type[Set Type], tbl_MTG_Set_Type[Buy Window Month End], "(Set Type not found)", 0, 1)</f>
        <v>24</v>
      </c>
      <c r="M630" s="3">
        <f>tbl_MTG_Set[[#This Row],[Released On]]+tbl_MTG_Set[[#This Row],[Buy Window Month End]]*365.25/12</f>
        <v>42274.5</v>
      </c>
      <c r="N630" s="3" t="b">
        <f ca="1">AND(NOW()&gt;=tbl_MTG_Set[[#This Row],[Buy Window Start]], NOW()&lt;=tbl_MTG_Set[[#This Row],[Buy Window End]])</f>
        <v>0</v>
      </c>
      <c r="O630">
        <f>_xlfn.XLOOKUP(tbl_MTG_Set[[#This Row],[Type Name]], tbl_MTG_Set_Type[Set Type], tbl_MTG_Set_Type[Heavy Printing Window Month Start], "(Set Type not found)", 0, 1)</f>
        <v>1</v>
      </c>
      <c r="P630" s="3">
        <f>tbl_MTG_Set[[#This Row],[Released On]]+tbl_MTG_Set[[#This Row],[Heavy Printing Window Month Start]]*365.25/12</f>
        <v>41574.4375</v>
      </c>
      <c r="Q630">
        <f>_xlfn.XLOOKUP(tbl_MTG_Set[[#This Row],[Type Name]], tbl_MTG_Set_Type[Set Type], tbl_MTG_Set_Type[Heavy Printing Window Month End], "(Set Type not found)", 0, 1)</f>
        <v>18</v>
      </c>
      <c r="R630" s="3">
        <f>tbl_MTG_Set[[#This Row],[Released On]]+tbl_MTG_Set[[#This Row],[Heavy Printing Window Month End]]*365.25/12</f>
        <v>42091.875</v>
      </c>
      <c r="S630" s="3" t="b">
        <f ca="1">AND(NOW()&gt;=tbl_MTG_Set[[#This Row],[Heavy Printing Window Start]], NOW()&lt;=tbl_MTG_Set[[#This Row],[Heavy Printing Window End]])</f>
        <v>0</v>
      </c>
      <c r="T630">
        <f>_xlfn.XLOOKUP(tbl_MTG_Set[[#This Row],[Type Name]], tbl_MTG_Set_Type[Set Type], tbl_MTG_Set_Type[Sell Window Month Start], "(Set Type not found)", 0, 1)</f>
        <v>36</v>
      </c>
      <c r="U630" s="3">
        <f>tbl_MTG_Set[[#This Row],[Released On]]+tbl_MTG_Set[[#This Row],[Sell Window Month Start]]*365.25/12</f>
        <v>42639.75</v>
      </c>
      <c r="V630">
        <f>_xlfn.XLOOKUP(tbl_MTG_Set[[#This Row],[Type Name]], tbl_MTG_Set_Type[Set Type], tbl_MTG_Set_Type[Sell Window Month End], "(Set Type not found)", 0, 1)</f>
        <v>48</v>
      </c>
      <c r="W630" s="3">
        <f>tbl_MTG_Set[[#This Row],[Released On]]+tbl_MTG_Set[[#This Row],[Sell Window Month End]]*365.25/12</f>
        <v>43005</v>
      </c>
      <c r="X630" s="3" t="b">
        <f ca="1">AND(NOW()&gt;=tbl_MTG_Set[[#This Row],[Sell Window Start]], NOW()&lt;=tbl_MTG_Set[[#This Row],[Sell Window End]])</f>
        <v>0</v>
      </c>
      <c r="AG630" s="10"/>
      <c r="AH630" s="10"/>
      <c r="AM630" s="10" t="str" cm="1">
        <f t="array" ref="AM6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0" s="10" t="str" cm="1">
        <f t="array" ref="AN6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0" s="4" t="e">
        <f>_xlfn.XLOOKUP(tbl_MTG_Set[[#This Row],[Play Booster Box Product Id]], tbl_Product[Product Id], tbl_Product[Pack Size])</f>
        <v>#N/A</v>
      </c>
      <c r="AP630" s="10" t="e">
        <f>(tbl_MTG_Set[[#This Row],[Play Booster Box Cost]]+v_Item_Shipping_Cost_In)/tbl_MTG_Set[[#This Row],[Play Booster Box Size]]</f>
        <v>#VALUE!</v>
      </c>
      <c r="AQ630" s="10" t="str" cm="1">
        <f t="array" ref="AQ6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0" s="10"/>
      <c r="AS630" s="10"/>
      <c r="AT630" s="17" t="e">
        <f>tbl_MTG_Set[[#This Row],[Play Booster CardMarket Profit]]/tbl_MTG_Set[[#This Row],[Play Booster Cost]]</f>
        <v>#VALUE!</v>
      </c>
      <c r="AU630" s="10" t="e">
        <f>_xlfn.XLOOKUP(tbl_MTG_Set[[#This Row],[Collector Booster Box Product Id]], tbl_Product[Product Id], tbl_Product[Min Cost])</f>
        <v>#N/A</v>
      </c>
      <c r="AV630" s="10" t="e">
        <f>_xlfn.XLOOKUP(tbl_MTG_Set[[#This Row],[Collector Booster Box Product Id]], tbl_Product[Product Id], tbl_Product[Best Source])</f>
        <v>#N/A</v>
      </c>
      <c r="AW630" s="4" t="e">
        <f>_xlfn.XLOOKUP(tbl_MTG_Set[[#This Row],[Collector Booster Box Product Id]], tbl_Product[Product Id], tbl_Product[Pack Size])</f>
        <v>#N/A</v>
      </c>
      <c r="AX630" s="10" t="e">
        <f>(tbl_MTG_Set[[#This Row],[Collector Booster Box Cost]] + v_Item_Shipping_Cost_In) / tbl_MTG_Set[[#This Row],[Collector Booster Box Size]]</f>
        <v>#N/A</v>
      </c>
      <c r="AY630" s="10" t="str" cm="1">
        <f t="array" ref="AY6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0" s="10"/>
      <c r="BA6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0" s="17" t="e">
        <f>tbl_MTG_Set[[#This Row],[Collector Booster CardMarket Profit]]/tbl_MTG_Set[[#This Row],[Collector Booster Cost]]</f>
        <v>#N/A</v>
      </c>
      <c r="BC630" s="10"/>
      <c r="BF6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0" s="11" t="e">
        <f>tbl_MTG_Set[[#This Row],[Play Singles CardMarket Profit MTG Stocks]]/tbl_MTG_Set[[#This Row],[Play Booster Cost]]</f>
        <v>#VALUE!</v>
      </c>
      <c r="BI630" s="11" t="b">
        <f>tbl_MTG_Set[[#This Row],[Play Singles CardMarket Profit MTG Stocks]]&gt;0</f>
        <v>0</v>
      </c>
      <c r="BM630" s="10" t="e">
        <f>tbl_MTG_Set[[#This Row],[Play Booster Sell Price CardMarket]]*tbl_MTG_Set[[#This Row],[Play Booster Expected Market Value BotBox]]/tbl_MTG_Set[[#This Row],[Play Booster Sealed Market Value BotBox]]</f>
        <v>#VALUE!</v>
      </c>
      <c r="BN6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0" s="10" t="e">
        <f>tbl_MTG_Set[[#This Row],[Play Singles CardMarket Profit BotBox]]/tbl_MTG_Set[[#This Row],[Play Booster Cost]]</f>
        <v>#VALUE!</v>
      </c>
      <c r="BP630" s="10" t="b">
        <f>tbl_MTG_Set[[#This Row],[Play Singles CardMarket Profit BotBox]]&gt;0</f>
        <v>0</v>
      </c>
      <c r="BQ630" s="10"/>
      <c r="BR630" s="10"/>
      <c r="BS630" s="10"/>
      <c r="BT6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0" s="19" t="e">
        <f>tbl_MTG_Set[[#This Row],[Collector Singles CardMarket Profit MTG Stocks]]/tbl_MTG_Set[[#This Row],[Collector Booster Cost]]</f>
        <v>#N/A</v>
      </c>
      <c r="BW630" s="10" t="b">
        <f>tbl_MTG_Set[[#This Row],[Collector Singles CardMarket Profit MTG Stocks]]&gt;0</f>
        <v>0</v>
      </c>
      <c r="BX630" s="10"/>
      <c r="BY630" s="10"/>
      <c r="BZ6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0" s="10" t="e">
        <f>tbl_MTG_Set[[#This Row],[Collector Singles CardMarket Profit BotBox]]/tbl_MTG_Set[[#This Row],[Collector Booster Cost]]</f>
        <v>#N/A</v>
      </c>
      <c r="CC630" s="10" t="b">
        <f>tbl_MTG_Set[[#This Row],[Collector Singles CardMarket Profit BotBox]]&gt;0</f>
        <v>0</v>
      </c>
      <c r="CD6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1" spans="1:86" hidden="1">
      <c r="A631">
        <v>663</v>
      </c>
      <c r="B631" t="s">
        <v>804</v>
      </c>
      <c r="C631">
        <v>15</v>
      </c>
      <c r="D631" s="3">
        <v>41566</v>
      </c>
      <c r="F631" t="s">
        <v>174</v>
      </c>
      <c r="G631">
        <v>1272</v>
      </c>
      <c r="H631">
        <f ca="1">MONTH(NOW())+12*YEAR(NOW())-MONTH(tbl_MTG_Set[[#This Row],[Released On]])-12*YEAR(tbl_MTG_Set[[#This Row],[Released On]])</f>
        <v>149</v>
      </c>
      <c r="I631" t="str">
        <f>_xlfn.XLOOKUP(tbl_MTG_Set[[#This Row],[Type Name]], tbl_MTG_Set_Type[Set Type], tbl_MTG_Set_Type[Index], "(Set Type not found)")</f>
        <v>(Set Type not found)</v>
      </c>
      <c r="J631" t="str">
        <f>_xlfn.XLOOKUP(tbl_MTG_Set[[#This Row],[Type Name]], tbl_MTG_Set_Type[Set Type], tbl_MTG_Set_Type[Buy Window Month Start], "(Set Type not found)")</f>
        <v>(Set Type not found)</v>
      </c>
      <c r="K631" s="3" t="e">
        <f>tbl_MTG_Set[[#This Row],[Released On]]+tbl_MTG_Set[[#This Row],[Buy Window Month Start]]*365.25/12</f>
        <v>#VALUE!</v>
      </c>
      <c r="L631" t="str">
        <f>_xlfn.XLOOKUP(tbl_MTG_Set[[#This Row],[Type Name]], tbl_MTG_Set_Type[Set Type], tbl_MTG_Set_Type[Buy Window Month End], "(Set Type not found)", 0, 1)</f>
        <v>(Set Type not found)</v>
      </c>
      <c r="M631" s="3" t="e">
        <f>tbl_MTG_Set[[#This Row],[Released On]]+tbl_MTG_Set[[#This Row],[Buy Window Month End]]*365.25/12</f>
        <v>#VALUE!</v>
      </c>
      <c r="N631" s="3" t="e">
        <f ca="1">AND(NOW()&gt;=tbl_MTG_Set[[#This Row],[Buy Window Start]], NOW()&lt;=tbl_MTG_Set[[#This Row],[Buy Window End]])</f>
        <v>#VALUE!</v>
      </c>
      <c r="O631" t="str">
        <f>_xlfn.XLOOKUP(tbl_MTG_Set[[#This Row],[Type Name]], tbl_MTG_Set_Type[Set Type], tbl_MTG_Set_Type[Heavy Printing Window Month Start], "(Set Type not found)", 0, 1)</f>
        <v>(Set Type not found)</v>
      </c>
      <c r="P631" s="3" t="e">
        <f>tbl_MTG_Set[[#This Row],[Released On]]+tbl_MTG_Set[[#This Row],[Heavy Printing Window Month Start]]*365.25/12</f>
        <v>#VALUE!</v>
      </c>
      <c r="Q631" t="str">
        <f>_xlfn.XLOOKUP(tbl_MTG_Set[[#This Row],[Type Name]], tbl_MTG_Set_Type[Set Type], tbl_MTG_Set_Type[Heavy Printing Window Month End], "(Set Type not found)", 0, 1)</f>
        <v>(Set Type not found)</v>
      </c>
      <c r="R631" s="3" t="e">
        <f>tbl_MTG_Set[[#This Row],[Released On]]+tbl_MTG_Set[[#This Row],[Heavy Printing Window Month End]]*365.25/12</f>
        <v>#VALUE!</v>
      </c>
      <c r="S631" s="3" t="e">
        <f ca="1">AND(NOW()&gt;=tbl_MTG_Set[[#This Row],[Heavy Printing Window Start]], NOW()&lt;=tbl_MTG_Set[[#This Row],[Heavy Printing Window End]])</f>
        <v>#VALUE!</v>
      </c>
      <c r="T631" t="str">
        <f>_xlfn.XLOOKUP(tbl_MTG_Set[[#This Row],[Type Name]], tbl_MTG_Set_Type[Set Type], tbl_MTG_Set_Type[Sell Window Month Start], "(Set Type not found)", 0, 1)</f>
        <v>(Set Type not found)</v>
      </c>
      <c r="U631" s="3" t="e">
        <f>tbl_MTG_Set[[#This Row],[Released On]]+tbl_MTG_Set[[#This Row],[Sell Window Month Start]]*365.25/12</f>
        <v>#VALUE!</v>
      </c>
      <c r="V631" t="str">
        <f>_xlfn.XLOOKUP(tbl_MTG_Set[[#This Row],[Type Name]], tbl_MTG_Set_Type[Set Type], tbl_MTG_Set_Type[Sell Window Month End], "(Set Type not found)", 0, 1)</f>
        <v>(Set Type not found)</v>
      </c>
      <c r="W631" s="3" t="e">
        <f>tbl_MTG_Set[[#This Row],[Released On]]+tbl_MTG_Set[[#This Row],[Sell Window Month End]]*365.25/12</f>
        <v>#VALUE!</v>
      </c>
      <c r="X631" s="3" t="e">
        <f ca="1">AND(NOW()&gt;=tbl_MTG_Set[[#This Row],[Sell Window Start]], NOW()&lt;=tbl_MTG_Set[[#This Row],[Sell Window End]])</f>
        <v>#VALUE!</v>
      </c>
      <c r="AG631" s="10"/>
      <c r="AH631" s="10"/>
      <c r="AM631" s="10" t="str" cm="1">
        <f t="array" ref="AM6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1" s="10" t="str" cm="1">
        <f t="array" ref="AN6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1" s="4" t="e">
        <f>_xlfn.XLOOKUP(tbl_MTG_Set[[#This Row],[Play Booster Box Product Id]], tbl_Product[Product Id], tbl_Product[Pack Size])</f>
        <v>#N/A</v>
      </c>
      <c r="AP631" s="10" t="e">
        <f>(tbl_MTG_Set[[#This Row],[Play Booster Box Cost]]+v_Item_Shipping_Cost_In)/tbl_MTG_Set[[#This Row],[Play Booster Box Size]]</f>
        <v>#VALUE!</v>
      </c>
      <c r="AQ631" s="10" t="str" cm="1">
        <f t="array" ref="AQ6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1" s="10"/>
      <c r="AS631" s="10"/>
      <c r="AT631" s="17" t="e">
        <f>tbl_MTG_Set[[#This Row],[Play Booster CardMarket Profit]]/tbl_MTG_Set[[#This Row],[Play Booster Cost]]</f>
        <v>#VALUE!</v>
      </c>
      <c r="AU631" s="10" t="e">
        <f>_xlfn.XLOOKUP(tbl_MTG_Set[[#This Row],[Collector Booster Box Product Id]], tbl_Product[Product Id], tbl_Product[Min Cost])</f>
        <v>#N/A</v>
      </c>
      <c r="AV631" s="10" t="e">
        <f>_xlfn.XLOOKUP(tbl_MTG_Set[[#This Row],[Collector Booster Box Product Id]], tbl_Product[Product Id], tbl_Product[Best Source])</f>
        <v>#N/A</v>
      </c>
      <c r="AW631" s="4" t="e">
        <f>_xlfn.XLOOKUP(tbl_MTG_Set[[#This Row],[Collector Booster Box Product Id]], tbl_Product[Product Id], tbl_Product[Pack Size])</f>
        <v>#N/A</v>
      </c>
      <c r="AX631" s="10" t="e">
        <f>(tbl_MTG_Set[[#This Row],[Collector Booster Box Cost]] + v_Item_Shipping_Cost_In) / tbl_MTG_Set[[#This Row],[Collector Booster Box Size]]</f>
        <v>#N/A</v>
      </c>
      <c r="AY631" s="10" t="str" cm="1">
        <f t="array" ref="AY6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1" s="10"/>
      <c r="BA6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1" s="17" t="e">
        <f>tbl_MTG_Set[[#This Row],[Collector Booster CardMarket Profit]]/tbl_MTG_Set[[#This Row],[Collector Booster Cost]]</f>
        <v>#N/A</v>
      </c>
      <c r="BC631" s="10"/>
      <c r="BF6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1" s="11" t="e">
        <f>tbl_MTG_Set[[#This Row],[Play Singles CardMarket Profit MTG Stocks]]/tbl_MTG_Set[[#This Row],[Play Booster Cost]]</f>
        <v>#VALUE!</v>
      </c>
      <c r="BI631" s="11" t="b">
        <f>tbl_MTG_Set[[#This Row],[Play Singles CardMarket Profit MTG Stocks]]&gt;0</f>
        <v>0</v>
      </c>
      <c r="BM631" s="10" t="e">
        <f>tbl_MTG_Set[[#This Row],[Play Booster Sell Price CardMarket]]*tbl_MTG_Set[[#This Row],[Play Booster Expected Market Value BotBox]]/tbl_MTG_Set[[#This Row],[Play Booster Sealed Market Value BotBox]]</f>
        <v>#VALUE!</v>
      </c>
      <c r="BN6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1" s="10" t="e">
        <f>tbl_MTG_Set[[#This Row],[Play Singles CardMarket Profit BotBox]]/tbl_MTG_Set[[#This Row],[Play Booster Cost]]</f>
        <v>#VALUE!</v>
      </c>
      <c r="BP631" s="10" t="b">
        <f>tbl_MTG_Set[[#This Row],[Play Singles CardMarket Profit BotBox]]&gt;0</f>
        <v>0</v>
      </c>
      <c r="BQ631" s="10"/>
      <c r="BR631" s="10"/>
      <c r="BS631" s="10"/>
      <c r="BT6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1" s="19" t="e">
        <f>tbl_MTG_Set[[#This Row],[Collector Singles CardMarket Profit MTG Stocks]]/tbl_MTG_Set[[#This Row],[Collector Booster Cost]]</f>
        <v>#N/A</v>
      </c>
      <c r="BW631" s="10" t="b">
        <f>tbl_MTG_Set[[#This Row],[Collector Singles CardMarket Profit MTG Stocks]]&gt;0</f>
        <v>0</v>
      </c>
      <c r="BX631" s="10"/>
      <c r="BY631" s="10"/>
      <c r="BZ6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1" s="10" t="e">
        <f>tbl_MTG_Set[[#This Row],[Collector Singles CardMarket Profit BotBox]]/tbl_MTG_Set[[#This Row],[Collector Booster Cost]]</f>
        <v>#N/A</v>
      </c>
      <c r="CC631" s="10" t="b">
        <f>tbl_MTG_Set[[#This Row],[Collector Singles CardMarket Profit BotBox]]&gt;0</f>
        <v>0</v>
      </c>
      <c r="CD6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2" spans="1:86" hidden="1">
      <c r="A632">
        <v>664</v>
      </c>
      <c r="B632" t="s">
        <v>805</v>
      </c>
      <c r="C632">
        <v>7</v>
      </c>
      <c r="D632" s="3">
        <v>41544</v>
      </c>
      <c r="E632" t="s">
        <v>59</v>
      </c>
      <c r="F632" t="s">
        <v>174</v>
      </c>
      <c r="G632">
        <v>1274</v>
      </c>
      <c r="H632">
        <f ca="1">MONTH(NOW())+12*YEAR(NOW())-MONTH(tbl_MTG_Set[[#This Row],[Released On]])-12*YEAR(tbl_MTG_Set[[#This Row],[Released On]])</f>
        <v>150</v>
      </c>
      <c r="I632">
        <f>_xlfn.XLOOKUP(tbl_MTG_Set[[#This Row],[Type Name]], tbl_MTG_Set_Type[Set Type], tbl_MTG_Set_Type[Index], "(Set Type not found)")</f>
        <v>1</v>
      </c>
      <c r="J632">
        <f>_xlfn.XLOOKUP(tbl_MTG_Set[[#This Row],[Type Name]], tbl_MTG_Set_Type[Set Type], tbl_MTG_Set_Type[Buy Window Month Start], "(Set Type not found)")</f>
        <v>18</v>
      </c>
      <c r="K632" s="3">
        <f>tbl_MTG_Set[[#This Row],[Released On]]+tbl_MTG_Set[[#This Row],[Buy Window Month Start]]*365.25/12</f>
        <v>42091.875</v>
      </c>
      <c r="L632">
        <f>_xlfn.XLOOKUP(tbl_MTG_Set[[#This Row],[Type Name]], tbl_MTG_Set_Type[Set Type], tbl_MTG_Set_Type[Buy Window Month End], "(Set Type not found)", 0, 1)</f>
        <v>24</v>
      </c>
      <c r="M632" s="3">
        <f>tbl_MTG_Set[[#This Row],[Released On]]+tbl_MTG_Set[[#This Row],[Buy Window Month End]]*365.25/12</f>
        <v>42274.5</v>
      </c>
      <c r="N632" s="3" t="b">
        <f ca="1">AND(NOW()&gt;=tbl_MTG_Set[[#This Row],[Buy Window Start]], NOW()&lt;=tbl_MTG_Set[[#This Row],[Buy Window End]])</f>
        <v>0</v>
      </c>
      <c r="O632">
        <f>_xlfn.XLOOKUP(tbl_MTG_Set[[#This Row],[Type Name]], tbl_MTG_Set_Type[Set Type], tbl_MTG_Set_Type[Heavy Printing Window Month Start], "(Set Type not found)", 0, 1)</f>
        <v>1</v>
      </c>
      <c r="P632" s="3">
        <f>tbl_MTG_Set[[#This Row],[Released On]]+tbl_MTG_Set[[#This Row],[Heavy Printing Window Month Start]]*365.25/12</f>
        <v>41574.4375</v>
      </c>
      <c r="Q632">
        <f>_xlfn.XLOOKUP(tbl_MTG_Set[[#This Row],[Type Name]], tbl_MTG_Set_Type[Set Type], tbl_MTG_Set_Type[Heavy Printing Window Month End], "(Set Type not found)", 0, 1)</f>
        <v>18</v>
      </c>
      <c r="R632" s="3">
        <f>tbl_MTG_Set[[#This Row],[Released On]]+tbl_MTG_Set[[#This Row],[Heavy Printing Window Month End]]*365.25/12</f>
        <v>42091.875</v>
      </c>
      <c r="S632" s="3" t="b">
        <f ca="1">AND(NOW()&gt;=tbl_MTG_Set[[#This Row],[Heavy Printing Window Start]], NOW()&lt;=tbl_MTG_Set[[#This Row],[Heavy Printing Window End]])</f>
        <v>0</v>
      </c>
      <c r="T632">
        <f>_xlfn.XLOOKUP(tbl_MTG_Set[[#This Row],[Type Name]], tbl_MTG_Set_Type[Set Type], tbl_MTG_Set_Type[Sell Window Month Start], "(Set Type not found)", 0, 1)</f>
        <v>36</v>
      </c>
      <c r="U632" s="3">
        <f>tbl_MTG_Set[[#This Row],[Released On]]+tbl_MTG_Set[[#This Row],[Sell Window Month Start]]*365.25/12</f>
        <v>42639.75</v>
      </c>
      <c r="V632">
        <f>_xlfn.XLOOKUP(tbl_MTG_Set[[#This Row],[Type Name]], tbl_MTG_Set_Type[Set Type], tbl_MTG_Set_Type[Sell Window Month End], "(Set Type not found)", 0, 1)</f>
        <v>48</v>
      </c>
      <c r="W632" s="3">
        <f>tbl_MTG_Set[[#This Row],[Released On]]+tbl_MTG_Set[[#This Row],[Sell Window Month End]]*365.25/12</f>
        <v>43005</v>
      </c>
      <c r="X632" s="3" t="b">
        <f ca="1">AND(NOW()&gt;=tbl_MTG_Set[[#This Row],[Sell Window Start]], NOW()&lt;=tbl_MTG_Set[[#This Row],[Sell Window End]])</f>
        <v>0</v>
      </c>
      <c r="AG632" s="10"/>
      <c r="AH632" s="10"/>
      <c r="AM632" s="10" t="str" cm="1">
        <f t="array" ref="AM6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2" s="10" t="str" cm="1">
        <f t="array" ref="AN6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2" s="4" t="e">
        <f>_xlfn.XLOOKUP(tbl_MTG_Set[[#This Row],[Play Booster Box Product Id]], tbl_Product[Product Id], tbl_Product[Pack Size])</f>
        <v>#N/A</v>
      </c>
      <c r="AP632" s="10" t="e">
        <f>(tbl_MTG_Set[[#This Row],[Play Booster Box Cost]]+v_Item_Shipping_Cost_In)/tbl_MTG_Set[[#This Row],[Play Booster Box Size]]</f>
        <v>#VALUE!</v>
      </c>
      <c r="AQ632" s="10" t="str" cm="1">
        <f t="array" ref="AQ6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2" s="10"/>
      <c r="AS632" s="10"/>
      <c r="AT632" s="17" t="e">
        <f>tbl_MTG_Set[[#This Row],[Play Booster CardMarket Profit]]/tbl_MTG_Set[[#This Row],[Play Booster Cost]]</f>
        <v>#VALUE!</v>
      </c>
      <c r="AU632" s="10" t="e">
        <f>_xlfn.XLOOKUP(tbl_MTG_Set[[#This Row],[Collector Booster Box Product Id]], tbl_Product[Product Id], tbl_Product[Min Cost])</f>
        <v>#N/A</v>
      </c>
      <c r="AV632" s="10" t="e">
        <f>_xlfn.XLOOKUP(tbl_MTG_Set[[#This Row],[Collector Booster Box Product Id]], tbl_Product[Product Id], tbl_Product[Best Source])</f>
        <v>#N/A</v>
      </c>
      <c r="AW632" s="4" t="e">
        <f>_xlfn.XLOOKUP(tbl_MTG_Set[[#This Row],[Collector Booster Box Product Id]], tbl_Product[Product Id], tbl_Product[Pack Size])</f>
        <v>#N/A</v>
      </c>
      <c r="AX632" s="10" t="e">
        <f>(tbl_MTG_Set[[#This Row],[Collector Booster Box Cost]] + v_Item_Shipping_Cost_In) / tbl_MTG_Set[[#This Row],[Collector Booster Box Size]]</f>
        <v>#N/A</v>
      </c>
      <c r="AY632" s="10" t="str" cm="1">
        <f t="array" ref="AY6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2" s="10"/>
      <c r="BA6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2" s="17" t="e">
        <f>tbl_MTG_Set[[#This Row],[Collector Booster CardMarket Profit]]/tbl_MTG_Set[[#This Row],[Collector Booster Cost]]</f>
        <v>#N/A</v>
      </c>
      <c r="BC632" s="10"/>
      <c r="BF6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2" s="11" t="e">
        <f>tbl_MTG_Set[[#This Row],[Play Singles CardMarket Profit MTG Stocks]]/tbl_MTG_Set[[#This Row],[Play Booster Cost]]</f>
        <v>#VALUE!</v>
      </c>
      <c r="BI632" s="11" t="b">
        <f>tbl_MTG_Set[[#This Row],[Play Singles CardMarket Profit MTG Stocks]]&gt;0</f>
        <v>0</v>
      </c>
      <c r="BM632" s="10" t="e">
        <f>tbl_MTG_Set[[#This Row],[Play Booster Sell Price CardMarket]]*tbl_MTG_Set[[#This Row],[Play Booster Expected Market Value BotBox]]/tbl_MTG_Set[[#This Row],[Play Booster Sealed Market Value BotBox]]</f>
        <v>#VALUE!</v>
      </c>
      <c r="BN6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2" s="10" t="e">
        <f>tbl_MTG_Set[[#This Row],[Play Singles CardMarket Profit BotBox]]/tbl_MTG_Set[[#This Row],[Play Booster Cost]]</f>
        <v>#VALUE!</v>
      </c>
      <c r="BP632" s="10" t="b">
        <f>tbl_MTG_Set[[#This Row],[Play Singles CardMarket Profit BotBox]]&gt;0</f>
        <v>0</v>
      </c>
      <c r="BQ632" s="10"/>
      <c r="BR632" s="10"/>
      <c r="BS632" s="10"/>
      <c r="BT6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2" s="19" t="e">
        <f>tbl_MTG_Set[[#This Row],[Collector Singles CardMarket Profit MTG Stocks]]/tbl_MTG_Set[[#This Row],[Collector Booster Cost]]</f>
        <v>#N/A</v>
      </c>
      <c r="BW632" s="10" t="b">
        <f>tbl_MTG_Set[[#This Row],[Collector Singles CardMarket Profit MTG Stocks]]&gt;0</f>
        <v>0</v>
      </c>
      <c r="BX632" s="10"/>
      <c r="BY632" s="10"/>
      <c r="BZ6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2" s="10" t="e">
        <f>tbl_MTG_Set[[#This Row],[Collector Singles CardMarket Profit BotBox]]/tbl_MTG_Set[[#This Row],[Collector Booster Cost]]</f>
        <v>#N/A</v>
      </c>
      <c r="CC632" s="10" t="b">
        <f>tbl_MTG_Set[[#This Row],[Collector Singles CardMarket Profit BotBox]]&gt;0</f>
        <v>0</v>
      </c>
      <c r="CD6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3" spans="1:86" hidden="1">
      <c r="A633">
        <v>665</v>
      </c>
      <c r="B633" t="s">
        <v>806</v>
      </c>
      <c r="C633">
        <v>81</v>
      </c>
      <c r="D633" s="3">
        <v>41523</v>
      </c>
      <c r="F633" t="s">
        <v>174</v>
      </c>
      <c r="G633">
        <v>1276</v>
      </c>
      <c r="H633">
        <f ca="1">MONTH(NOW())+12*YEAR(NOW())-MONTH(tbl_MTG_Set[[#This Row],[Released On]])-12*YEAR(tbl_MTG_Set[[#This Row],[Released On]])</f>
        <v>150</v>
      </c>
      <c r="I633" t="str">
        <f>_xlfn.XLOOKUP(tbl_MTG_Set[[#This Row],[Type Name]], tbl_MTG_Set_Type[Set Type], tbl_MTG_Set_Type[Index], "(Set Type not found)")</f>
        <v>(Set Type not found)</v>
      </c>
      <c r="J633" t="str">
        <f>_xlfn.XLOOKUP(tbl_MTG_Set[[#This Row],[Type Name]], tbl_MTG_Set_Type[Set Type], tbl_MTG_Set_Type[Buy Window Month Start], "(Set Type not found)")</f>
        <v>(Set Type not found)</v>
      </c>
      <c r="K633" s="3" t="e">
        <f>tbl_MTG_Set[[#This Row],[Released On]]+tbl_MTG_Set[[#This Row],[Buy Window Month Start]]*365.25/12</f>
        <v>#VALUE!</v>
      </c>
      <c r="L633" t="str">
        <f>_xlfn.XLOOKUP(tbl_MTG_Set[[#This Row],[Type Name]], tbl_MTG_Set_Type[Set Type], tbl_MTG_Set_Type[Buy Window Month End], "(Set Type not found)", 0, 1)</f>
        <v>(Set Type not found)</v>
      </c>
      <c r="M633" s="3" t="e">
        <f>tbl_MTG_Set[[#This Row],[Released On]]+tbl_MTG_Set[[#This Row],[Buy Window Month End]]*365.25/12</f>
        <v>#VALUE!</v>
      </c>
      <c r="N633" s="3" t="e">
        <f ca="1">AND(NOW()&gt;=tbl_MTG_Set[[#This Row],[Buy Window Start]], NOW()&lt;=tbl_MTG_Set[[#This Row],[Buy Window End]])</f>
        <v>#VALUE!</v>
      </c>
      <c r="O633" t="str">
        <f>_xlfn.XLOOKUP(tbl_MTG_Set[[#This Row],[Type Name]], tbl_MTG_Set_Type[Set Type], tbl_MTG_Set_Type[Heavy Printing Window Month Start], "(Set Type not found)", 0, 1)</f>
        <v>(Set Type not found)</v>
      </c>
      <c r="P633" s="3" t="e">
        <f>tbl_MTG_Set[[#This Row],[Released On]]+tbl_MTG_Set[[#This Row],[Heavy Printing Window Month Start]]*365.25/12</f>
        <v>#VALUE!</v>
      </c>
      <c r="Q633" t="str">
        <f>_xlfn.XLOOKUP(tbl_MTG_Set[[#This Row],[Type Name]], tbl_MTG_Set_Type[Set Type], tbl_MTG_Set_Type[Heavy Printing Window Month End], "(Set Type not found)", 0, 1)</f>
        <v>(Set Type not found)</v>
      </c>
      <c r="R633" s="3" t="e">
        <f>tbl_MTG_Set[[#This Row],[Released On]]+tbl_MTG_Set[[#This Row],[Heavy Printing Window Month End]]*365.25/12</f>
        <v>#VALUE!</v>
      </c>
      <c r="S633" s="3" t="e">
        <f ca="1">AND(NOW()&gt;=tbl_MTG_Set[[#This Row],[Heavy Printing Window Start]], NOW()&lt;=tbl_MTG_Set[[#This Row],[Heavy Printing Window End]])</f>
        <v>#VALUE!</v>
      </c>
      <c r="T633" t="str">
        <f>_xlfn.XLOOKUP(tbl_MTG_Set[[#This Row],[Type Name]], tbl_MTG_Set_Type[Set Type], tbl_MTG_Set_Type[Sell Window Month Start], "(Set Type not found)", 0, 1)</f>
        <v>(Set Type not found)</v>
      </c>
      <c r="U633" s="3" t="e">
        <f>tbl_MTG_Set[[#This Row],[Released On]]+tbl_MTG_Set[[#This Row],[Sell Window Month Start]]*365.25/12</f>
        <v>#VALUE!</v>
      </c>
      <c r="V633" t="str">
        <f>_xlfn.XLOOKUP(tbl_MTG_Set[[#This Row],[Type Name]], tbl_MTG_Set_Type[Set Type], tbl_MTG_Set_Type[Sell Window Month End], "(Set Type not found)", 0, 1)</f>
        <v>(Set Type not found)</v>
      </c>
      <c r="W633" s="3" t="e">
        <f>tbl_MTG_Set[[#This Row],[Released On]]+tbl_MTG_Set[[#This Row],[Sell Window Month End]]*365.25/12</f>
        <v>#VALUE!</v>
      </c>
      <c r="X633" s="3" t="e">
        <f ca="1">AND(NOW()&gt;=tbl_MTG_Set[[#This Row],[Sell Window Start]], NOW()&lt;=tbl_MTG_Set[[#This Row],[Sell Window End]])</f>
        <v>#VALUE!</v>
      </c>
      <c r="AG633" s="10"/>
      <c r="AH633" s="10"/>
      <c r="AM633" s="10" t="str" cm="1">
        <f t="array" ref="AM6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3" s="10" t="str" cm="1">
        <f t="array" ref="AN6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3" s="4" t="e">
        <f>_xlfn.XLOOKUP(tbl_MTG_Set[[#This Row],[Play Booster Box Product Id]], tbl_Product[Product Id], tbl_Product[Pack Size])</f>
        <v>#N/A</v>
      </c>
      <c r="AP633" s="10" t="e">
        <f>(tbl_MTG_Set[[#This Row],[Play Booster Box Cost]]+v_Item_Shipping_Cost_In)/tbl_MTG_Set[[#This Row],[Play Booster Box Size]]</f>
        <v>#VALUE!</v>
      </c>
      <c r="AQ633" s="10" t="str" cm="1">
        <f t="array" ref="AQ6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3" s="10"/>
      <c r="AS633" s="10"/>
      <c r="AT633" s="17" t="e">
        <f>tbl_MTG_Set[[#This Row],[Play Booster CardMarket Profit]]/tbl_MTG_Set[[#This Row],[Play Booster Cost]]</f>
        <v>#VALUE!</v>
      </c>
      <c r="AU633" s="10" t="e">
        <f>_xlfn.XLOOKUP(tbl_MTG_Set[[#This Row],[Collector Booster Box Product Id]], tbl_Product[Product Id], tbl_Product[Min Cost])</f>
        <v>#N/A</v>
      </c>
      <c r="AV633" s="10" t="e">
        <f>_xlfn.XLOOKUP(tbl_MTG_Set[[#This Row],[Collector Booster Box Product Id]], tbl_Product[Product Id], tbl_Product[Best Source])</f>
        <v>#N/A</v>
      </c>
      <c r="AW633" s="4" t="e">
        <f>_xlfn.XLOOKUP(tbl_MTG_Set[[#This Row],[Collector Booster Box Product Id]], tbl_Product[Product Id], tbl_Product[Pack Size])</f>
        <v>#N/A</v>
      </c>
      <c r="AX633" s="10" t="e">
        <f>(tbl_MTG_Set[[#This Row],[Collector Booster Box Cost]] + v_Item_Shipping_Cost_In) / tbl_MTG_Set[[#This Row],[Collector Booster Box Size]]</f>
        <v>#N/A</v>
      </c>
      <c r="AY633" s="10" t="str" cm="1">
        <f t="array" ref="AY6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3" s="10"/>
      <c r="BA6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3" s="17" t="e">
        <f>tbl_MTG_Set[[#This Row],[Collector Booster CardMarket Profit]]/tbl_MTG_Set[[#This Row],[Collector Booster Cost]]</f>
        <v>#N/A</v>
      </c>
      <c r="BC633" s="10"/>
      <c r="BF6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3" s="11" t="e">
        <f>tbl_MTG_Set[[#This Row],[Play Singles CardMarket Profit MTG Stocks]]/tbl_MTG_Set[[#This Row],[Play Booster Cost]]</f>
        <v>#VALUE!</v>
      </c>
      <c r="BI633" s="11" t="b">
        <f>tbl_MTG_Set[[#This Row],[Play Singles CardMarket Profit MTG Stocks]]&gt;0</f>
        <v>0</v>
      </c>
      <c r="BM633" s="10" t="e">
        <f>tbl_MTG_Set[[#This Row],[Play Booster Sell Price CardMarket]]*tbl_MTG_Set[[#This Row],[Play Booster Expected Market Value BotBox]]/tbl_MTG_Set[[#This Row],[Play Booster Sealed Market Value BotBox]]</f>
        <v>#VALUE!</v>
      </c>
      <c r="BN6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3" s="10" t="e">
        <f>tbl_MTG_Set[[#This Row],[Play Singles CardMarket Profit BotBox]]/tbl_MTG_Set[[#This Row],[Play Booster Cost]]</f>
        <v>#VALUE!</v>
      </c>
      <c r="BP633" s="10" t="b">
        <f>tbl_MTG_Set[[#This Row],[Play Singles CardMarket Profit BotBox]]&gt;0</f>
        <v>0</v>
      </c>
      <c r="BQ633" s="10"/>
      <c r="BR633" s="10"/>
      <c r="BS633" s="10"/>
      <c r="BT6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3" s="19" t="e">
        <f>tbl_MTG_Set[[#This Row],[Collector Singles CardMarket Profit MTG Stocks]]/tbl_MTG_Set[[#This Row],[Collector Booster Cost]]</f>
        <v>#N/A</v>
      </c>
      <c r="BW633" s="10" t="b">
        <f>tbl_MTG_Set[[#This Row],[Collector Singles CardMarket Profit MTG Stocks]]&gt;0</f>
        <v>0</v>
      </c>
      <c r="BX633" s="10"/>
      <c r="BY633" s="10"/>
      <c r="BZ6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3" s="10" t="e">
        <f>tbl_MTG_Set[[#This Row],[Collector Singles CardMarket Profit BotBox]]/tbl_MTG_Set[[#This Row],[Collector Booster Cost]]</f>
        <v>#N/A</v>
      </c>
      <c r="CC633" s="10" t="b">
        <f>tbl_MTG_Set[[#This Row],[Collector Singles CardMarket Profit BotBox]]&gt;0</f>
        <v>0</v>
      </c>
      <c r="CD6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4" spans="1:86" hidden="1">
      <c r="A634">
        <v>666</v>
      </c>
      <c r="B634" t="s">
        <v>807</v>
      </c>
      <c r="C634">
        <v>2</v>
      </c>
      <c r="D634" s="3">
        <v>41523</v>
      </c>
      <c r="F634" t="s">
        <v>174</v>
      </c>
      <c r="G634">
        <v>1278</v>
      </c>
      <c r="H634">
        <f ca="1">MONTH(NOW())+12*YEAR(NOW())-MONTH(tbl_MTG_Set[[#This Row],[Released On]])-12*YEAR(tbl_MTG_Set[[#This Row],[Released On]])</f>
        <v>150</v>
      </c>
      <c r="I634" t="str">
        <f>_xlfn.XLOOKUP(tbl_MTG_Set[[#This Row],[Type Name]], tbl_MTG_Set_Type[Set Type], tbl_MTG_Set_Type[Index], "(Set Type not found)")</f>
        <v>(Set Type not found)</v>
      </c>
      <c r="J634" t="str">
        <f>_xlfn.XLOOKUP(tbl_MTG_Set[[#This Row],[Type Name]], tbl_MTG_Set_Type[Set Type], tbl_MTG_Set_Type[Buy Window Month Start], "(Set Type not found)")</f>
        <v>(Set Type not found)</v>
      </c>
      <c r="K634" s="3" t="e">
        <f>tbl_MTG_Set[[#This Row],[Released On]]+tbl_MTG_Set[[#This Row],[Buy Window Month Start]]*365.25/12</f>
        <v>#VALUE!</v>
      </c>
      <c r="L634" t="str">
        <f>_xlfn.XLOOKUP(tbl_MTG_Set[[#This Row],[Type Name]], tbl_MTG_Set_Type[Set Type], tbl_MTG_Set_Type[Buy Window Month End], "(Set Type not found)", 0, 1)</f>
        <v>(Set Type not found)</v>
      </c>
      <c r="M634" s="3" t="e">
        <f>tbl_MTG_Set[[#This Row],[Released On]]+tbl_MTG_Set[[#This Row],[Buy Window Month End]]*365.25/12</f>
        <v>#VALUE!</v>
      </c>
      <c r="N634" s="3" t="e">
        <f ca="1">AND(NOW()&gt;=tbl_MTG_Set[[#This Row],[Buy Window Start]], NOW()&lt;=tbl_MTG_Set[[#This Row],[Buy Window End]])</f>
        <v>#VALUE!</v>
      </c>
      <c r="O634" t="str">
        <f>_xlfn.XLOOKUP(tbl_MTG_Set[[#This Row],[Type Name]], tbl_MTG_Set_Type[Set Type], tbl_MTG_Set_Type[Heavy Printing Window Month Start], "(Set Type not found)", 0, 1)</f>
        <v>(Set Type not found)</v>
      </c>
      <c r="P634" s="3" t="e">
        <f>tbl_MTG_Set[[#This Row],[Released On]]+tbl_MTG_Set[[#This Row],[Heavy Printing Window Month Start]]*365.25/12</f>
        <v>#VALUE!</v>
      </c>
      <c r="Q634" t="str">
        <f>_xlfn.XLOOKUP(tbl_MTG_Set[[#This Row],[Type Name]], tbl_MTG_Set_Type[Set Type], tbl_MTG_Set_Type[Heavy Printing Window Month End], "(Set Type not found)", 0, 1)</f>
        <v>(Set Type not found)</v>
      </c>
      <c r="R634" s="3" t="e">
        <f>tbl_MTG_Set[[#This Row],[Released On]]+tbl_MTG_Set[[#This Row],[Heavy Printing Window Month End]]*365.25/12</f>
        <v>#VALUE!</v>
      </c>
      <c r="S634" s="3" t="e">
        <f ca="1">AND(NOW()&gt;=tbl_MTG_Set[[#This Row],[Heavy Printing Window Start]], NOW()&lt;=tbl_MTG_Set[[#This Row],[Heavy Printing Window End]])</f>
        <v>#VALUE!</v>
      </c>
      <c r="T634" t="str">
        <f>_xlfn.XLOOKUP(tbl_MTG_Set[[#This Row],[Type Name]], tbl_MTG_Set_Type[Set Type], tbl_MTG_Set_Type[Sell Window Month Start], "(Set Type not found)", 0, 1)</f>
        <v>(Set Type not found)</v>
      </c>
      <c r="U634" s="3" t="e">
        <f>tbl_MTG_Set[[#This Row],[Released On]]+tbl_MTG_Set[[#This Row],[Sell Window Month Start]]*365.25/12</f>
        <v>#VALUE!</v>
      </c>
      <c r="V634" t="str">
        <f>_xlfn.XLOOKUP(tbl_MTG_Set[[#This Row],[Type Name]], tbl_MTG_Set_Type[Set Type], tbl_MTG_Set_Type[Sell Window Month End], "(Set Type not found)", 0, 1)</f>
        <v>(Set Type not found)</v>
      </c>
      <c r="W634" s="3" t="e">
        <f>tbl_MTG_Set[[#This Row],[Released On]]+tbl_MTG_Set[[#This Row],[Sell Window Month End]]*365.25/12</f>
        <v>#VALUE!</v>
      </c>
      <c r="X634" s="3" t="e">
        <f ca="1">AND(NOW()&gt;=tbl_MTG_Set[[#This Row],[Sell Window Start]], NOW()&lt;=tbl_MTG_Set[[#This Row],[Sell Window End]])</f>
        <v>#VALUE!</v>
      </c>
      <c r="AG634" s="10"/>
      <c r="AH634" s="10"/>
      <c r="AM634" s="10" t="str" cm="1">
        <f t="array" ref="AM6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4" s="10" t="str" cm="1">
        <f t="array" ref="AN6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4" s="4" t="e">
        <f>_xlfn.XLOOKUP(tbl_MTG_Set[[#This Row],[Play Booster Box Product Id]], tbl_Product[Product Id], tbl_Product[Pack Size])</f>
        <v>#N/A</v>
      </c>
      <c r="AP634" s="10" t="e">
        <f>(tbl_MTG_Set[[#This Row],[Play Booster Box Cost]]+v_Item_Shipping_Cost_In)/tbl_MTG_Set[[#This Row],[Play Booster Box Size]]</f>
        <v>#VALUE!</v>
      </c>
      <c r="AQ634" s="10" t="str" cm="1">
        <f t="array" ref="AQ6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4" s="10"/>
      <c r="AS634" s="10"/>
      <c r="AT634" s="17" t="e">
        <f>tbl_MTG_Set[[#This Row],[Play Booster CardMarket Profit]]/tbl_MTG_Set[[#This Row],[Play Booster Cost]]</f>
        <v>#VALUE!</v>
      </c>
      <c r="AU634" s="10" t="e">
        <f>_xlfn.XLOOKUP(tbl_MTG_Set[[#This Row],[Collector Booster Box Product Id]], tbl_Product[Product Id], tbl_Product[Min Cost])</f>
        <v>#N/A</v>
      </c>
      <c r="AV634" s="10" t="e">
        <f>_xlfn.XLOOKUP(tbl_MTG_Set[[#This Row],[Collector Booster Box Product Id]], tbl_Product[Product Id], tbl_Product[Best Source])</f>
        <v>#N/A</v>
      </c>
      <c r="AW634" s="4" t="e">
        <f>_xlfn.XLOOKUP(tbl_MTG_Set[[#This Row],[Collector Booster Box Product Id]], tbl_Product[Product Id], tbl_Product[Pack Size])</f>
        <v>#N/A</v>
      </c>
      <c r="AX634" s="10" t="e">
        <f>(tbl_MTG_Set[[#This Row],[Collector Booster Box Cost]] + v_Item_Shipping_Cost_In) / tbl_MTG_Set[[#This Row],[Collector Booster Box Size]]</f>
        <v>#N/A</v>
      </c>
      <c r="AY634" s="10" t="str" cm="1">
        <f t="array" ref="AY6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4" s="10"/>
      <c r="BA6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4" s="17" t="e">
        <f>tbl_MTG_Set[[#This Row],[Collector Booster CardMarket Profit]]/tbl_MTG_Set[[#This Row],[Collector Booster Cost]]</f>
        <v>#N/A</v>
      </c>
      <c r="BC634" s="10"/>
      <c r="BF6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4" s="11" t="e">
        <f>tbl_MTG_Set[[#This Row],[Play Singles CardMarket Profit MTG Stocks]]/tbl_MTG_Set[[#This Row],[Play Booster Cost]]</f>
        <v>#VALUE!</v>
      </c>
      <c r="BI634" s="11" t="b">
        <f>tbl_MTG_Set[[#This Row],[Play Singles CardMarket Profit MTG Stocks]]&gt;0</f>
        <v>0</v>
      </c>
      <c r="BM634" s="10" t="e">
        <f>tbl_MTG_Set[[#This Row],[Play Booster Sell Price CardMarket]]*tbl_MTG_Set[[#This Row],[Play Booster Expected Market Value BotBox]]/tbl_MTG_Set[[#This Row],[Play Booster Sealed Market Value BotBox]]</f>
        <v>#VALUE!</v>
      </c>
      <c r="BN6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4" s="10" t="e">
        <f>tbl_MTG_Set[[#This Row],[Play Singles CardMarket Profit BotBox]]/tbl_MTG_Set[[#This Row],[Play Booster Cost]]</f>
        <v>#VALUE!</v>
      </c>
      <c r="BP634" s="10" t="b">
        <f>tbl_MTG_Set[[#This Row],[Play Singles CardMarket Profit BotBox]]&gt;0</f>
        <v>0</v>
      </c>
      <c r="BQ634" s="10"/>
      <c r="BR634" s="10"/>
      <c r="BS634" s="10"/>
      <c r="BT6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4" s="19" t="e">
        <f>tbl_MTG_Set[[#This Row],[Collector Singles CardMarket Profit MTG Stocks]]/tbl_MTG_Set[[#This Row],[Collector Booster Cost]]</f>
        <v>#N/A</v>
      </c>
      <c r="BW634" s="10" t="b">
        <f>tbl_MTG_Set[[#This Row],[Collector Singles CardMarket Profit MTG Stocks]]&gt;0</f>
        <v>0</v>
      </c>
      <c r="BX634" s="10"/>
      <c r="BY634" s="10"/>
      <c r="BZ6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4" s="10" t="e">
        <f>tbl_MTG_Set[[#This Row],[Collector Singles CardMarket Profit BotBox]]/tbl_MTG_Set[[#This Row],[Collector Booster Cost]]</f>
        <v>#N/A</v>
      </c>
      <c r="CC634" s="10" t="b">
        <f>tbl_MTG_Set[[#This Row],[Collector Singles CardMarket Profit BotBox]]&gt;0</f>
        <v>0</v>
      </c>
      <c r="CD6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5" spans="1:86" hidden="1">
      <c r="A635">
        <v>667</v>
      </c>
      <c r="B635" t="s">
        <v>808</v>
      </c>
      <c r="C635">
        <v>20</v>
      </c>
      <c r="D635" s="3">
        <v>41509</v>
      </c>
      <c r="F635" t="s">
        <v>174</v>
      </c>
      <c r="G635">
        <v>1280</v>
      </c>
      <c r="H635">
        <f ca="1">MONTH(NOW())+12*YEAR(NOW())-MONTH(tbl_MTG_Set[[#This Row],[Released On]])-12*YEAR(tbl_MTG_Set[[#This Row],[Released On]])</f>
        <v>151</v>
      </c>
      <c r="I635" t="str">
        <f>_xlfn.XLOOKUP(tbl_MTG_Set[[#This Row],[Type Name]], tbl_MTG_Set_Type[Set Type], tbl_MTG_Set_Type[Index], "(Set Type not found)")</f>
        <v>(Set Type not found)</v>
      </c>
      <c r="J635" t="str">
        <f>_xlfn.XLOOKUP(tbl_MTG_Set[[#This Row],[Type Name]], tbl_MTG_Set_Type[Set Type], tbl_MTG_Set_Type[Buy Window Month Start], "(Set Type not found)")</f>
        <v>(Set Type not found)</v>
      </c>
      <c r="K635" s="3" t="e">
        <f>tbl_MTG_Set[[#This Row],[Released On]]+tbl_MTG_Set[[#This Row],[Buy Window Month Start]]*365.25/12</f>
        <v>#VALUE!</v>
      </c>
      <c r="L635" t="str">
        <f>_xlfn.XLOOKUP(tbl_MTG_Set[[#This Row],[Type Name]], tbl_MTG_Set_Type[Set Type], tbl_MTG_Set_Type[Buy Window Month End], "(Set Type not found)", 0, 1)</f>
        <v>(Set Type not found)</v>
      </c>
      <c r="M635" s="3" t="e">
        <f>tbl_MTG_Set[[#This Row],[Released On]]+tbl_MTG_Set[[#This Row],[Buy Window Month End]]*365.25/12</f>
        <v>#VALUE!</v>
      </c>
      <c r="N635" s="3" t="e">
        <f ca="1">AND(NOW()&gt;=tbl_MTG_Set[[#This Row],[Buy Window Start]], NOW()&lt;=tbl_MTG_Set[[#This Row],[Buy Window End]])</f>
        <v>#VALUE!</v>
      </c>
      <c r="O635" t="str">
        <f>_xlfn.XLOOKUP(tbl_MTG_Set[[#This Row],[Type Name]], tbl_MTG_Set_Type[Set Type], tbl_MTG_Set_Type[Heavy Printing Window Month Start], "(Set Type not found)", 0, 1)</f>
        <v>(Set Type not found)</v>
      </c>
      <c r="P635" s="3" t="e">
        <f>tbl_MTG_Set[[#This Row],[Released On]]+tbl_MTG_Set[[#This Row],[Heavy Printing Window Month Start]]*365.25/12</f>
        <v>#VALUE!</v>
      </c>
      <c r="Q635" t="str">
        <f>_xlfn.XLOOKUP(tbl_MTG_Set[[#This Row],[Type Name]], tbl_MTG_Set_Type[Set Type], tbl_MTG_Set_Type[Heavy Printing Window Month End], "(Set Type not found)", 0, 1)</f>
        <v>(Set Type not found)</v>
      </c>
      <c r="R635" s="3" t="e">
        <f>tbl_MTG_Set[[#This Row],[Released On]]+tbl_MTG_Set[[#This Row],[Heavy Printing Window Month End]]*365.25/12</f>
        <v>#VALUE!</v>
      </c>
      <c r="S635" s="3" t="e">
        <f ca="1">AND(NOW()&gt;=tbl_MTG_Set[[#This Row],[Heavy Printing Window Start]], NOW()&lt;=tbl_MTG_Set[[#This Row],[Heavy Printing Window End]])</f>
        <v>#VALUE!</v>
      </c>
      <c r="T635" t="str">
        <f>_xlfn.XLOOKUP(tbl_MTG_Set[[#This Row],[Type Name]], tbl_MTG_Set_Type[Set Type], tbl_MTG_Set_Type[Sell Window Month Start], "(Set Type not found)", 0, 1)</f>
        <v>(Set Type not found)</v>
      </c>
      <c r="U635" s="3" t="e">
        <f>tbl_MTG_Set[[#This Row],[Released On]]+tbl_MTG_Set[[#This Row],[Sell Window Month Start]]*365.25/12</f>
        <v>#VALUE!</v>
      </c>
      <c r="V635" t="str">
        <f>_xlfn.XLOOKUP(tbl_MTG_Set[[#This Row],[Type Name]], tbl_MTG_Set_Type[Set Type], tbl_MTG_Set_Type[Sell Window Month End], "(Set Type not found)", 0, 1)</f>
        <v>(Set Type not found)</v>
      </c>
      <c r="W635" s="3" t="e">
        <f>tbl_MTG_Set[[#This Row],[Released On]]+tbl_MTG_Set[[#This Row],[Sell Window Month End]]*365.25/12</f>
        <v>#VALUE!</v>
      </c>
      <c r="X635" s="3" t="e">
        <f ca="1">AND(NOW()&gt;=tbl_MTG_Set[[#This Row],[Sell Window Start]], NOW()&lt;=tbl_MTG_Set[[#This Row],[Sell Window End]])</f>
        <v>#VALUE!</v>
      </c>
      <c r="AG635" s="10"/>
      <c r="AH635" s="10"/>
      <c r="AM635" s="10" t="str" cm="1">
        <f t="array" ref="AM6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5" s="10" t="str" cm="1">
        <f t="array" ref="AN6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5" s="4" t="e">
        <f>_xlfn.XLOOKUP(tbl_MTG_Set[[#This Row],[Play Booster Box Product Id]], tbl_Product[Product Id], tbl_Product[Pack Size])</f>
        <v>#N/A</v>
      </c>
      <c r="AP635" s="10" t="e">
        <f>(tbl_MTG_Set[[#This Row],[Play Booster Box Cost]]+v_Item_Shipping_Cost_In)/tbl_MTG_Set[[#This Row],[Play Booster Box Size]]</f>
        <v>#VALUE!</v>
      </c>
      <c r="AQ635" s="10" t="str" cm="1">
        <f t="array" ref="AQ6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5" s="10"/>
      <c r="AS635" s="10"/>
      <c r="AT635" s="17" t="e">
        <f>tbl_MTG_Set[[#This Row],[Play Booster CardMarket Profit]]/tbl_MTG_Set[[#This Row],[Play Booster Cost]]</f>
        <v>#VALUE!</v>
      </c>
      <c r="AU635" s="10" t="e">
        <f>_xlfn.XLOOKUP(tbl_MTG_Set[[#This Row],[Collector Booster Box Product Id]], tbl_Product[Product Id], tbl_Product[Min Cost])</f>
        <v>#N/A</v>
      </c>
      <c r="AV635" s="10" t="e">
        <f>_xlfn.XLOOKUP(tbl_MTG_Set[[#This Row],[Collector Booster Box Product Id]], tbl_Product[Product Id], tbl_Product[Best Source])</f>
        <v>#N/A</v>
      </c>
      <c r="AW635" s="4" t="e">
        <f>_xlfn.XLOOKUP(tbl_MTG_Set[[#This Row],[Collector Booster Box Product Id]], tbl_Product[Product Id], tbl_Product[Pack Size])</f>
        <v>#N/A</v>
      </c>
      <c r="AX635" s="10" t="e">
        <f>(tbl_MTG_Set[[#This Row],[Collector Booster Box Cost]] + v_Item_Shipping_Cost_In) / tbl_MTG_Set[[#This Row],[Collector Booster Box Size]]</f>
        <v>#N/A</v>
      </c>
      <c r="AY635" s="10" t="str" cm="1">
        <f t="array" ref="AY6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5" s="10"/>
      <c r="BA6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5" s="17" t="e">
        <f>tbl_MTG_Set[[#This Row],[Collector Booster CardMarket Profit]]/tbl_MTG_Set[[#This Row],[Collector Booster Cost]]</f>
        <v>#N/A</v>
      </c>
      <c r="BC635" s="10"/>
      <c r="BF6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5" s="11" t="e">
        <f>tbl_MTG_Set[[#This Row],[Play Singles CardMarket Profit MTG Stocks]]/tbl_MTG_Set[[#This Row],[Play Booster Cost]]</f>
        <v>#VALUE!</v>
      </c>
      <c r="BI635" s="11" t="b">
        <f>tbl_MTG_Set[[#This Row],[Play Singles CardMarket Profit MTG Stocks]]&gt;0</f>
        <v>0</v>
      </c>
      <c r="BM635" s="10" t="e">
        <f>tbl_MTG_Set[[#This Row],[Play Booster Sell Price CardMarket]]*tbl_MTG_Set[[#This Row],[Play Booster Expected Market Value BotBox]]/tbl_MTG_Set[[#This Row],[Play Booster Sealed Market Value BotBox]]</f>
        <v>#VALUE!</v>
      </c>
      <c r="BN6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5" s="10" t="e">
        <f>tbl_MTG_Set[[#This Row],[Play Singles CardMarket Profit BotBox]]/tbl_MTG_Set[[#This Row],[Play Booster Cost]]</f>
        <v>#VALUE!</v>
      </c>
      <c r="BP635" s="10" t="b">
        <f>tbl_MTG_Set[[#This Row],[Play Singles CardMarket Profit BotBox]]&gt;0</f>
        <v>0</v>
      </c>
      <c r="BQ635" s="10"/>
      <c r="BR635" s="10"/>
      <c r="BS635" s="10"/>
      <c r="BT6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5" s="19" t="e">
        <f>tbl_MTG_Set[[#This Row],[Collector Singles CardMarket Profit MTG Stocks]]/tbl_MTG_Set[[#This Row],[Collector Booster Cost]]</f>
        <v>#N/A</v>
      </c>
      <c r="BW635" s="10" t="b">
        <f>tbl_MTG_Set[[#This Row],[Collector Singles CardMarket Profit MTG Stocks]]&gt;0</f>
        <v>0</v>
      </c>
      <c r="BX635" s="10"/>
      <c r="BY635" s="10"/>
      <c r="BZ6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5" s="10" t="e">
        <f>tbl_MTG_Set[[#This Row],[Collector Singles CardMarket Profit BotBox]]/tbl_MTG_Set[[#This Row],[Collector Booster Cost]]</f>
        <v>#N/A</v>
      </c>
      <c r="CC635" s="10" t="b">
        <f>tbl_MTG_Set[[#This Row],[Collector Singles CardMarket Profit BotBox]]&gt;0</f>
        <v>0</v>
      </c>
      <c r="CD6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6" spans="1:86" hidden="1">
      <c r="A636">
        <v>668</v>
      </c>
      <c r="B636" t="s">
        <v>809</v>
      </c>
      <c r="C636">
        <v>249</v>
      </c>
      <c r="D636" s="3">
        <v>41474</v>
      </c>
      <c r="F636" t="s">
        <v>174</v>
      </c>
      <c r="G636">
        <v>1282</v>
      </c>
      <c r="H636">
        <f ca="1">MONTH(NOW())+12*YEAR(NOW())-MONTH(tbl_MTG_Set[[#This Row],[Released On]])-12*YEAR(tbl_MTG_Set[[#This Row],[Released On]])</f>
        <v>152</v>
      </c>
      <c r="I636" t="str">
        <f>_xlfn.XLOOKUP(tbl_MTG_Set[[#This Row],[Type Name]], tbl_MTG_Set_Type[Set Type], tbl_MTG_Set_Type[Index], "(Set Type not found)")</f>
        <v>(Set Type not found)</v>
      </c>
      <c r="J636" t="str">
        <f>_xlfn.XLOOKUP(tbl_MTG_Set[[#This Row],[Type Name]], tbl_MTG_Set_Type[Set Type], tbl_MTG_Set_Type[Buy Window Month Start], "(Set Type not found)")</f>
        <v>(Set Type not found)</v>
      </c>
      <c r="K636" s="3" t="e">
        <f>tbl_MTG_Set[[#This Row],[Released On]]+tbl_MTG_Set[[#This Row],[Buy Window Month Start]]*365.25/12</f>
        <v>#VALUE!</v>
      </c>
      <c r="L636" t="str">
        <f>_xlfn.XLOOKUP(tbl_MTG_Set[[#This Row],[Type Name]], tbl_MTG_Set_Type[Set Type], tbl_MTG_Set_Type[Buy Window Month End], "(Set Type not found)", 0, 1)</f>
        <v>(Set Type not found)</v>
      </c>
      <c r="M636" s="3" t="e">
        <f>tbl_MTG_Set[[#This Row],[Released On]]+tbl_MTG_Set[[#This Row],[Buy Window Month End]]*365.25/12</f>
        <v>#VALUE!</v>
      </c>
      <c r="N636" s="3" t="e">
        <f ca="1">AND(NOW()&gt;=tbl_MTG_Set[[#This Row],[Buy Window Start]], NOW()&lt;=tbl_MTG_Set[[#This Row],[Buy Window End]])</f>
        <v>#VALUE!</v>
      </c>
      <c r="O636" t="str">
        <f>_xlfn.XLOOKUP(tbl_MTG_Set[[#This Row],[Type Name]], tbl_MTG_Set_Type[Set Type], tbl_MTG_Set_Type[Heavy Printing Window Month Start], "(Set Type not found)", 0, 1)</f>
        <v>(Set Type not found)</v>
      </c>
      <c r="P636" s="3" t="e">
        <f>tbl_MTG_Set[[#This Row],[Released On]]+tbl_MTG_Set[[#This Row],[Heavy Printing Window Month Start]]*365.25/12</f>
        <v>#VALUE!</v>
      </c>
      <c r="Q636" t="str">
        <f>_xlfn.XLOOKUP(tbl_MTG_Set[[#This Row],[Type Name]], tbl_MTG_Set_Type[Set Type], tbl_MTG_Set_Type[Heavy Printing Window Month End], "(Set Type not found)", 0, 1)</f>
        <v>(Set Type not found)</v>
      </c>
      <c r="R636" s="3" t="e">
        <f>tbl_MTG_Set[[#This Row],[Released On]]+tbl_MTG_Set[[#This Row],[Heavy Printing Window Month End]]*365.25/12</f>
        <v>#VALUE!</v>
      </c>
      <c r="S636" s="3" t="e">
        <f ca="1">AND(NOW()&gt;=tbl_MTG_Set[[#This Row],[Heavy Printing Window Start]], NOW()&lt;=tbl_MTG_Set[[#This Row],[Heavy Printing Window End]])</f>
        <v>#VALUE!</v>
      </c>
      <c r="T636" t="str">
        <f>_xlfn.XLOOKUP(tbl_MTG_Set[[#This Row],[Type Name]], tbl_MTG_Set_Type[Set Type], tbl_MTG_Set_Type[Sell Window Month Start], "(Set Type not found)", 0, 1)</f>
        <v>(Set Type not found)</v>
      </c>
      <c r="U636" s="3" t="e">
        <f>tbl_MTG_Set[[#This Row],[Released On]]+tbl_MTG_Set[[#This Row],[Sell Window Month Start]]*365.25/12</f>
        <v>#VALUE!</v>
      </c>
      <c r="V636" t="str">
        <f>_xlfn.XLOOKUP(tbl_MTG_Set[[#This Row],[Type Name]], tbl_MTG_Set_Type[Set Type], tbl_MTG_Set_Type[Sell Window Month End], "(Set Type not found)", 0, 1)</f>
        <v>(Set Type not found)</v>
      </c>
      <c r="W636" s="3" t="e">
        <f>tbl_MTG_Set[[#This Row],[Released On]]+tbl_MTG_Set[[#This Row],[Sell Window Month End]]*365.25/12</f>
        <v>#VALUE!</v>
      </c>
      <c r="X636" s="3" t="e">
        <f ca="1">AND(NOW()&gt;=tbl_MTG_Set[[#This Row],[Sell Window Start]], NOW()&lt;=tbl_MTG_Set[[#This Row],[Sell Window End]])</f>
        <v>#VALUE!</v>
      </c>
      <c r="AG636" s="10"/>
      <c r="AH636" s="10"/>
      <c r="AM636" s="10" t="str" cm="1">
        <f t="array" ref="AM6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6" s="10" t="str" cm="1">
        <f t="array" ref="AN6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6" s="4" t="e">
        <f>_xlfn.XLOOKUP(tbl_MTG_Set[[#This Row],[Play Booster Box Product Id]], tbl_Product[Product Id], tbl_Product[Pack Size])</f>
        <v>#N/A</v>
      </c>
      <c r="AP636" s="10" t="e">
        <f>(tbl_MTG_Set[[#This Row],[Play Booster Box Cost]]+v_Item_Shipping_Cost_In)/tbl_MTG_Set[[#This Row],[Play Booster Box Size]]</f>
        <v>#VALUE!</v>
      </c>
      <c r="AQ636" s="10" t="str" cm="1">
        <f t="array" ref="AQ6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6" s="10"/>
      <c r="AS636" s="10"/>
      <c r="AT636" s="17" t="e">
        <f>tbl_MTG_Set[[#This Row],[Play Booster CardMarket Profit]]/tbl_MTG_Set[[#This Row],[Play Booster Cost]]</f>
        <v>#VALUE!</v>
      </c>
      <c r="AU636" s="10" t="e">
        <f>_xlfn.XLOOKUP(tbl_MTG_Set[[#This Row],[Collector Booster Box Product Id]], tbl_Product[Product Id], tbl_Product[Min Cost])</f>
        <v>#N/A</v>
      </c>
      <c r="AV636" s="10" t="e">
        <f>_xlfn.XLOOKUP(tbl_MTG_Set[[#This Row],[Collector Booster Box Product Id]], tbl_Product[Product Id], tbl_Product[Best Source])</f>
        <v>#N/A</v>
      </c>
      <c r="AW636" s="4" t="e">
        <f>_xlfn.XLOOKUP(tbl_MTG_Set[[#This Row],[Collector Booster Box Product Id]], tbl_Product[Product Id], tbl_Product[Pack Size])</f>
        <v>#N/A</v>
      </c>
      <c r="AX636" s="10" t="e">
        <f>(tbl_MTG_Set[[#This Row],[Collector Booster Box Cost]] + v_Item_Shipping_Cost_In) / tbl_MTG_Set[[#This Row],[Collector Booster Box Size]]</f>
        <v>#N/A</v>
      </c>
      <c r="AY636" s="10" t="str" cm="1">
        <f t="array" ref="AY6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6" s="10"/>
      <c r="BA6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6" s="17" t="e">
        <f>tbl_MTG_Set[[#This Row],[Collector Booster CardMarket Profit]]/tbl_MTG_Set[[#This Row],[Collector Booster Cost]]</f>
        <v>#N/A</v>
      </c>
      <c r="BC636" s="10"/>
      <c r="BF6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6" s="11" t="e">
        <f>tbl_MTG_Set[[#This Row],[Play Singles CardMarket Profit MTG Stocks]]/tbl_MTG_Set[[#This Row],[Play Booster Cost]]</f>
        <v>#VALUE!</v>
      </c>
      <c r="BI636" s="11" t="b">
        <f>tbl_MTG_Set[[#This Row],[Play Singles CardMarket Profit MTG Stocks]]&gt;0</f>
        <v>0</v>
      </c>
      <c r="BM636" s="10" t="e">
        <f>tbl_MTG_Set[[#This Row],[Play Booster Sell Price CardMarket]]*tbl_MTG_Set[[#This Row],[Play Booster Expected Market Value BotBox]]/tbl_MTG_Set[[#This Row],[Play Booster Sealed Market Value BotBox]]</f>
        <v>#VALUE!</v>
      </c>
      <c r="BN6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6" s="10" t="e">
        <f>tbl_MTG_Set[[#This Row],[Play Singles CardMarket Profit BotBox]]/tbl_MTG_Set[[#This Row],[Play Booster Cost]]</f>
        <v>#VALUE!</v>
      </c>
      <c r="BP636" s="10" t="b">
        <f>tbl_MTG_Set[[#This Row],[Play Singles CardMarket Profit BotBox]]&gt;0</f>
        <v>0</v>
      </c>
      <c r="BQ636" s="10"/>
      <c r="BR636" s="10"/>
      <c r="BS636" s="10"/>
      <c r="BT6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6" s="19" t="e">
        <f>tbl_MTG_Set[[#This Row],[Collector Singles CardMarket Profit MTG Stocks]]/tbl_MTG_Set[[#This Row],[Collector Booster Cost]]</f>
        <v>#N/A</v>
      </c>
      <c r="BW636" s="10" t="b">
        <f>tbl_MTG_Set[[#This Row],[Collector Singles CardMarket Profit MTG Stocks]]&gt;0</f>
        <v>0</v>
      </c>
      <c r="BX636" s="10"/>
      <c r="BY636" s="10"/>
      <c r="BZ6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6" s="10" t="e">
        <f>tbl_MTG_Set[[#This Row],[Collector Singles CardMarket Profit BotBox]]/tbl_MTG_Set[[#This Row],[Collector Booster Cost]]</f>
        <v>#N/A</v>
      </c>
      <c r="CC636" s="10" t="b">
        <f>tbl_MTG_Set[[#This Row],[Collector Singles CardMarket Profit BotBox]]&gt;0</f>
        <v>0</v>
      </c>
      <c r="CD6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7" spans="1:86" hidden="1">
      <c r="A637">
        <v>669</v>
      </c>
      <c r="B637" t="s">
        <v>810</v>
      </c>
      <c r="C637">
        <v>6</v>
      </c>
      <c r="D637" s="3">
        <v>41473</v>
      </c>
      <c r="F637" t="s">
        <v>174</v>
      </c>
      <c r="G637">
        <v>1284</v>
      </c>
      <c r="H637">
        <f ca="1">MONTH(NOW())+12*YEAR(NOW())-MONTH(tbl_MTG_Set[[#This Row],[Released On]])-12*YEAR(tbl_MTG_Set[[#This Row],[Released On]])</f>
        <v>152</v>
      </c>
      <c r="I637" t="str">
        <f>_xlfn.XLOOKUP(tbl_MTG_Set[[#This Row],[Type Name]], tbl_MTG_Set_Type[Set Type], tbl_MTG_Set_Type[Index], "(Set Type not found)")</f>
        <v>(Set Type not found)</v>
      </c>
      <c r="J637" t="str">
        <f>_xlfn.XLOOKUP(tbl_MTG_Set[[#This Row],[Type Name]], tbl_MTG_Set_Type[Set Type], tbl_MTG_Set_Type[Buy Window Month Start], "(Set Type not found)")</f>
        <v>(Set Type not found)</v>
      </c>
      <c r="K637" s="3" t="e">
        <f>tbl_MTG_Set[[#This Row],[Released On]]+tbl_MTG_Set[[#This Row],[Buy Window Month Start]]*365.25/12</f>
        <v>#VALUE!</v>
      </c>
      <c r="L637" t="str">
        <f>_xlfn.XLOOKUP(tbl_MTG_Set[[#This Row],[Type Name]], tbl_MTG_Set_Type[Set Type], tbl_MTG_Set_Type[Buy Window Month End], "(Set Type not found)", 0, 1)</f>
        <v>(Set Type not found)</v>
      </c>
      <c r="M637" s="3" t="e">
        <f>tbl_MTG_Set[[#This Row],[Released On]]+tbl_MTG_Set[[#This Row],[Buy Window Month End]]*365.25/12</f>
        <v>#VALUE!</v>
      </c>
      <c r="N637" s="3" t="e">
        <f ca="1">AND(NOW()&gt;=tbl_MTG_Set[[#This Row],[Buy Window Start]], NOW()&lt;=tbl_MTG_Set[[#This Row],[Buy Window End]])</f>
        <v>#VALUE!</v>
      </c>
      <c r="O637" t="str">
        <f>_xlfn.XLOOKUP(tbl_MTG_Set[[#This Row],[Type Name]], tbl_MTG_Set_Type[Set Type], tbl_MTG_Set_Type[Heavy Printing Window Month Start], "(Set Type not found)", 0, 1)</f>
        <v>(Set Type not found)</v>
      </c>
      <c r="P637" s="3" t="e">
        <f>tbl_MTG_Set[[#This Row],[Released On]]+tbl_MTG_Set[[#This Row],[Heavy Printing Window Month Start]]*365.25/12</f>
        <v>#VALUE!</v>
      </c>
      <c r="Q637" t="str">
        <f>_xlfn.XLOOKUP(tbl_MTG_Set[[#This Row],[Type Name]], tbl_MTG_Set_Type[Set Type], tbl_MTG_Set_Type[Heavy Printing Window Month End], "(Set Type not found)", 0, 1)</f>
        <v>(Set Type not found)</v>
      </c>
      <c r="R637" s="3" t="e">
        <f>tbl_MTG_Set[[#This Row],[Released On]]+tbl_MTG_Set[[#This Row],[Heavy Printing Window Month End]]*365.25/12</f>
        <v>#VALUE!</v>
      </c>
      <c r="S637" s="3" t="e">
        <f ca="1">AND(NOW()&gt;=tbl_MTG_Set[[#This Row],[Heavy Printing Window Start]], NOW()&lt;=tbl_MTG_Set[[#This Row],[Heavy Printing Window End]])</f>
        <v>#VALUE!</v>
      </c>
      <c r="T637" t="str">
        <f>_xlfn.XLOOKUP(tbl_MTG_Set[[#This Row],[Type Name]], tbl_MTG_Set_Type[Set Type], tbl_MTG_Set_Type[Sell Window Month Start], "(Set Type not found)", 0, 1)</f>
        <v>(Set Type not found)</v>
      </c>
      <c r="U637" s="3" t="e">
        <f>tbl_MTG_Set[[#This Row],[Released On]]+tbl_MTG_Set[[#This Row],[Sell Window Month Start]]*365.25/12</f>
        <v>#VALUE!</v>
      </c>
      <c r="V637" t="str">
        <f>_xlfn.XLOOKUP(tbl_MTG_Set[[#This Row],[Type Name]], tbl_MTG_Set_Type[Set Type], tbl_MTG_Set_Type[Sell Window Month End], "(Set Type not found)", 0, 1)</f>
        <v>(Set Type not found)</v>
      </c>
      <c r="W637" s="3" t="e">
        <f>tbl_MTG_Set[[#This Row],[Released On]]+tbl_MTG_Set[[#This Row],[Sell Window Month End]]*365.25/12</f>
        <v>#VALUE!</v>
      </c>
      <c r="X637" s="3" t="e">
        <f ca="1">AND(NOW()&gt;=tbl_MTG_Set[[#This Row],[Sell Window Start]], NOW()&lt;=tbl_MTG_Set[[#This Row],[Sell Window End]])</f>
        <v>#VALUE!</v>
      </c>
      <c r="AG637" s="10"/>
      <c r="AH637" s="10"/>
      <c r="AM637" s="10" t="str" cm="1">
        <f t="array" ref="AM6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7" s="10" t="str" cm="1">
        <f t="array" ref="AN6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7" s="4" t="e">
        <f>_xlfn.XLOOKUP(tbl_MTG_Set[[#This Row],[Play Booster Box Product Id]], tbl_Product[Product Id], tbl_Product[Pack Size])</f>
        <v>#N/A</v>
      </c>
      <c r="AP637" s="10" t="e">
        <f>(tbl_MTG_Set[[#This Row],[Play Booster Box Cost]]+v_Item_Shipping_Cost_In)/tbl_MTG_Set[[#This Row],[Play Booster Box Size]]</f>
        <v>#VALUE!</v>
      </c>
      <c r="AQ637" s="10" t="str" cm="1">
        <f t="array" ref="AQ6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7" s="10"/>
      <c r="AS637" s="10"/>
      <c r="AT637" s="17" t="e">
        <f>tbl_MTG_Set[[#This Row],[Play Booster CardMarket Profit]]/tbl_MTG_Set[[#This Row],[Play Booster Cost]]</f>
        <v>#VALUE!</v>
      </c>
      <c r="AU637" s="10" t="e">
        <f>_xlfn.XLOOKUP(tbl_MTG_Set[[#This Row],[Collector Booster Box Product Id]], tbl_Product[Product Id], tbl_Product[Min Cost])</f>
        <v>#N/A</v>
      </c>
      <c r="AV637" s="10" t="e">
        <f>_xlfn.XLOOKUP(tbl_MTG_Set[[#This Row],[Collector Booster Box Product Id]], tbl_Product[Product Id], tbl_Product[Best Source])</f>
        <v>#N/A</v>
      </c>
      <c r="AW637" s="4" t="e">
        <f>_xlfn.XLOOKUP(tbl_MTG_Set[[#This Row],[Collector Booster Box Product Id]], tbl_Product[Product Id], tbl_Product[Pack Size])</f>
        <v>#N/A</v>
      </c>
      <c r="AX637" s="10" t="e">
        <f>(tbl_MTG_Set[[#This Row],[Collector Booster Box Cost]] + v_Item_Shipping_Cost_In) / tbl_MTG_Set[[#This Row],[Collector Booster Box Size]]</f>
        <v>#N/A</v>
      </c>
      <c r="AY637" s="10" t="str" cm="1">
        <f t="array" ref="AY6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7" s="10"/>
      <c r="BA6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7" s="17" t="e">
        <f>tbl_MTG_Set[[#This Row],[Collector Booster CardMarket Profit]]/tbl_MTG_Set[[#This Row],[Collector Booster Cost]]</f>
        <v>#N/A</v>
      </c>
      <c r="BC637" s="10"/>
      <c r="BF6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7" s="11" t="e">
        <f>tbl_MTG_Set[[#This Row],[Play Singles CardMarket Profit MTG Stocks]]/tbl_MTG_Set[[#This Row],[Play Booster Cost]]</f>
        <v>#VALUE!</v>
      </c>
      <c r="BI637" s="11" t="b">
        <f>tbl_MTG_Set[[#This Row],[Play Singles CardMarket Profit MTG Stocks]]&gt;0</f>
        <v>0</v>
      </c>
      <c r="BM637" s="10" t="e">
        <f>tbl_MTG_Set[[#This Row],[Play Booster Sell Price CardMarket]]*tbl_MTG_Set[[#This Row],[Play Booster Expected Market Value BotBox]]/tbl_MTG_Set[[#This Row],[Play Booster Sealed Market Value BotBox]]</f>
        <v>#VALUE!</v>
      </c>
      <c r="BN6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7" s="10" t="e">
        <f>tbl_MTG_Set[[#This Row],[Play Singles CardMarket Profit BotBox]]/tbl_MTG_Set[[#This Row],[Play Booster Cost]]</f>
        <v>#VALUE!</v>
      </c>
      <c r="BP637" s="10" t="b">
        <f>tbl_MTG_Set[[#This Row],[Play Singles CardMarket Profit BotBox]]&gt;0</f>
        <v>0</v>
      </c>
      <c r="BQ637" s="10"/>
      <c r="BR637" s="10"/>
      <c r="BS637" s="10"/>
      <c r="BT6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7" s="19" t="e">
        <f>tbl_MTG_Set[[#This Row],[Collector Singles CardMarket Profit MTG Stocks]]/tbl_MTG_Set[[#This Row],[Collector Booster Cost]]</f>
        <v>#N/A</v>
      </c>
      <c r="BW637" s="10" t="b">
        <f>tbl_MTG_Set[[#This Row],[Collector Singles CardMarket Profit MTG Stocks]]&gt;0</f>
        <v>0</v>
      </c>
      <c r="BX637" s="10"/>
      <c r="BY637" s="10"/>
      <c r="BZ6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7" s="10" t="e">
        <f>tbl_MTG_Set[[#This Row],[Collector Singles CardMarket Profit BotBox]]/tbl_MTG_Set[[#This Row],[Collector Booster Cost]]</f>
        <v>#N/A</v>
      </c>
      <c r="CC637" s="10" t="b">
        <f>tbl_MTG_Set[[#This Row],[Collector Singles CardMarket Profit BotBox]]&gt;0</f>
        <v>0</v>
      </c>
      <c r="CD6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8" spans="1:86" hidden="1">
      <c r="A638">
        <v>670</v>
      </c>
      <c r="B638" t="s">
        <v>811</v>
      </c>
      <c r="C638">
        <v>13</v>
      </c>
      <c r="D638" s="3">
        <v>41474</v>
      </c>
      <c r="F638" t="s">
        <v>174</v>
      </c>
      <c r="G638">
        <v>1286</v>
      </c>
      <c r="H638">
        <f ca="1">MONTH(NOW())+12*YEAR(NOW())-MONTH(tbl_MTG_Set[[#This Row],[Released On]])-12*YEAR(tbl_MTG_Set[[#This Row],[Released On]])</f>
        <v>152</v>
      </c>
      <c r="I638" t="str">
        <f>_xlfn.XLOOKUP(tbl_MTG_Set[[#This Row],[Type Name]], tbl_MTG_Set_Type[Set Type], tbl_MTG_Set_Type[Index], "(Set Type not found)")</f>
        <v>(Set Type not found)</v>
      </c>
      <c r="J638" t="str">
        <f>_xlfn.XLOOKUP(tbl_MTG_Set[[#This Row],[Type Name]], tbl_MTG_Set_Type[Set Type], tbl_MTG_Set_Type[Buy Window Month Start], "(Set Type not found)")</f>
        <v>(Set Type not found)</v>
      </c>
      <c r="K638" s="3" t="e">
        <f>tbl_MTG_Set[[#This Row],[Released On]]+tbl_MTG_Set[[#This Row],[Buy Window Month Start]]*365.25/12</f>
        <v>#VALUE!</v>
      </c>
      <c r="L638" t="str">
        <f>_xlfn.XLOOKUP(tbl_MTG_Set[[#This Row],[Type Name]], tbl_MTG_Set_Type[Set Type], tbl_MTG_Set_Type[Buy Window Month End], "(Set Type not found)", 0, 1)</f>
        <v>(Set Type not found)</v>
      </c>
      <c r="M638" s="3" t="e">
        <f>tbl_MTG_Set[[#This Row],[Released On]]+tbl_MTG_Set[[#This Row],[Buy Window Month End]]*365.25/12</f>
        <v>#VALUE!</v>
      </c>
      <c r="N638" s="3" t="e">
        <f ca="1">AND(NOW()&gt;=tbl_MTG_Set[[#This Row],[Buy Window Start]], NOW()&lt;=tbl_MTG_Set[[#This Row],[Buy Window End]])</f>
        <v>#VALUE!</v>
      </c>
      <c r="O638" t="str">
        <f>_xlfn.XLOOKUP(tbl_MTG_Set[[#This Row],[Type Name]], tbl_MTG_Set_Type[Set Type], tbl_MTG_Set_Type[Heavy Printing Window Month Start], "(Set Type not found)", 0, 1)</f>
        <v>(Set Type not found)</v>
      </c>
      <c r="P638" s="3" t="e">
        <f>tbl_MTG_Set[[#This Row],[Released On]]+tbl_MTG_Set[[#This Row],[Heavy Printing Window Month Start]]*365.25/12</f>
        <v>#VALUE!</v>
      </c>
      <c r="Q638" t="str">
        <f>_xlfn.XLOOKUP(tbl_MTG_Set[[#This Row],[Type Name]], tbl_MTG_Set_Type[Set Type], tbl_MTG_Set_Type[Heavy Printing Window Month End], "(Set Type not found)", 0, 1)</f>
        <v>(Set Type not found)</v>
      </c>
      <c r="R638" s="3" t="e">
        <f>tbl_MTG_Set[[#This Row],[Released On]]+tbl_MTG_Set[[#This Row],[Heavy Printing Window Month End]]*365.25/12</f>
        <v>#VALUE!</v>
      </c>
      <c r="S638" s="3" t="e">
        <f ca="1">AND(NOW()&gt;=tbl_MTG_Set[[#This Row],[Heavy Printing Window Start]], NOW()&lt;=tbl_MTG_Set[[#This Row],[Heavy Printing Window End]])</f>
        <v>#VALUE!</v>
      </c>
      <c r="T638" t="str">
        <f>_xlfn.XLOOKUP(tbl_MTG_Set[[#This Row],[Type Name]], tbl_MTG_Set_Type[Set Type], tbl_MTG_Set_Type[Sell Window Month Start], "(Set Type not found)", 0, 1)</f>
        <v>(Set Type not found)</v>
      </c>
      <c r="U638" s="3" t="e">
        <f>tbl_MTG_Set[[#This Row],[Released On]]+tbl_MTG_Set[[#This Row],[Sell Window Month Start]]*365.25/12</f>
        <v>#VALUE!</v>
      </c>
      <c r="V638" t="str">
        <f>_xlfn.XLOOKUP(tbl_MTG_Set[[#This Row],[Type Name]], tbl_MTG_Set_Type[Set Type], tbl_MTG_Set_Type[Sell Window Month End], "(Set Type not found)", 0, 1)</f>
        <v>(Set Type not found)</v>
      </c>
      <c r="W638" s="3" t="e">
        <f>tbl_MTG_Set[[#This Row],[Released On]]+tbl_MTG_Set[[#This Row],[Sell Window Month End]]*365.25/12</f>
        <v>#VALUE!</v>
      </c>
      <c r="X638" s="3" t="e">
        <f ca="1">AND(NOW()&gt;=tbl_MTG_Set[[#This Row],[Sell Window Start]], NOW()&lt;=tbl_MTG_Set[[#This Row],[Sell Window End]])</f>
        <v>#VALUE!</v>
      </c>
      <c r="AG638" s="10"/>
      <c r="AH638" s="10"/>
      <c r="AM638" s="10" t="str" cm="1">
        <f t="array" ref="AM6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8" s="10" t="str" cm="1">
        <f t="array" ref="AN6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8" s="4" t="e">
        <f>_xlfn.XLOOKUP(tbl_MTG_Set[[#This Row],[Play Booster Box Product Id]], tbl_Product[Product Id], tbl_Product[Pack Size])</f>
        <v>#N/A</v>
      </c>
      <c r="AP638" s="10" t="e">
        <f>(tbl_MTG_Set[[#This Row],[Play Booster Box Cost]]+v_Item_Shipping_Cost_In)/tbl_MTG_Set[[#This Row],[Play Booster Box Size]]</f>
        <v>#VALUE!</v>
      </c>
      <c r="AQ638" s="10" t="str" cm="1">
        <f t="array" ref="AQ6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8" s="10"/>
      <c r="AS638" s="10"/>
      <c r="AT638" s="17" t="e">
        <f>tbl_MTG_Set[[#This Row],[Play Booster CardMarket Profit]]/tbl_MTG_Set[[#This Row],[Play Booster Cost]]</f>
        <v>#VALUE!</v>
      </c>
      <c r="AU638" s="10" t="e">
        <f>_xlfn.XLOOKUP(tbl_MTG_Set[[#This Row],[Collector Booster Box Product Id]], tbl_Product[Product Id], tbl_Product[Min Cost])</f>
        <v>#N/A</v>
      </c>
      <c r="AV638" s="10" t="e">
        <f>_xlfn.XLOOKUP(tbl_MTG_Set[[#This Row],[Collector Booster Box Product Id]], tbl_Product[Product Id], tbl_Product[Best Source])</f>
        <v>#N/A</v>
      </c>
      <c r="AW638" s="4" t="e">
        <f>_xlfn.XLOOKUP(tbl_MTG_Set[[#This Row],[Collector Booster Box Product Id]], tbl_Product[Product Id], tbl_Product[Pack Size])</f>
        <v>#N/A</v>
      </c>
      <c r="AX638" s="10" t="e">
        <f>(tbl_MTG_Set[[#This Row],[Collector Booster Box Cost]] + v_Item_Shipping_Cost_In) / tbl_MTG_Set[[#This Row],[Collector Booster Box Size]]</f>
        <v>#N/A</v>
      </c>
      <c r="AY638" s="10" t="str" cm="1">
        <f t="array" ref="AY6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8" s="10"/>
      <c r="BA6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8" s="17" t="e">
        <f>tbl_MTG_Set[[#This Row],[Collector Booster CardMarket Profit]]/tbl_MTG_Set[[#This Row],[Collector Booster Cost]]</f>
        <v>#N/A</v>
      </c>
      <c r="BC638" s="10"/>
      <c r="BF6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8" s="11" t="e">
        <f>tbl_MTG_Set[[#This Row],[Play Singles CardMarket Profit MTG Stocks]]/tbl_MTG_Set[[#This Row],[Play Booster Cost]]</f>
        <v>#VALUE!</v>
      </c>
      <c r="BI638" s="11" t="b">
        <f>tbl_MTG_Set[[#This Row],[Play Singles CardMarket Profit MTG Stocks]]&gt;0</f>
        <v>0</v>
      </c>
      <c r="BM638" s="10" t="e">
        <f>tbl_MTG_Set[[#This Row],[Play Booster Sell Price CardMarket]]*tbl_MTG_Set[[#This Row],[Play Booster Expected Market Value BotBox]]/tbl_MTG_Set[[#This Row],[Play Booster Sealed Market Value BotBox]]</f>
        <v>#VALUE!</v>
      </c>
      <c r="BN6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8" s="10" t="e">
        <f>tbl_MTG_Set[[#This Row],[Play Singles CardMarket Profit BotBox]]/tbl_MTG_Set[[#This Row],[Play Booster Cost]]</f>
        <v>#VALUE!</v>
      </c>
      <c r="BP638" s="10" t="b">
        <f>tbl_MTG_Set[[#This Row],[Play Singles CardMarket Profit BotBox]]&gt;0</f>
        <v>0</v>
      </c>
      <c r="BQ638" s="10"/>
      <c r="BR638" s="10"/>
      <c r="BS638" s="10"/>
      <c r="BT6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8" s="19" t="e">
        <f>tbl_MTG_Set[[#This Row],[Collector Singles CardMarket Profit MTG Stocks]]/tbl_MTG_Set[[#This Row],[Collector Booster Cost]]</f>
        <v>#N/A</v>
      </c>
      <c r="BW638" s="10" t="b">
        <f>tbl_MTG_Set[[#This Row],[Collector Singles CardMarket Profit MTG Stocks]]&gt;0</f>
        <v>0</v>
      </c>
      <c r="BX638" s="10"/>
      <c r="BY638" s="10"/>
      <c r="BZ6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8" s="10" t="e">
        <f>tbl_MTG_Set[[#This Row],[Collector Singles CardMarket Profit BotBox]]/tbl_MTG_Set[[#This Row],[Collector Booster Cost]]</f>
        <v>#N/A</v>
      </c>
      <c r="CC638" s="10" t="b">
        <f>tbl_MTG_Set[[#This Row],[Collector Singles CardMarket Profit BotBox]]&gt;0</f>
        <v>0</v>
      </c>
      <c r="CD6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39" spans="1:86" hidden="1">
      <c r="A639">
        <v>671</v>
      </c>
      <c r="B639" t="s">
        <v>812</v>
      </c>
      <c r="C639">
        <v>5</v>
      </c>
      <c r="D639" s="3">
        <v>41473</v>
      </c>
      <c r="F639" t="s">
        <v>174</v>
      </c>
      <c r="G639">
        <v>1288</v>
      </c>
      <c r="H639">
        <f ca="1">MONTH(NOW())+12*YEAR(NOW())-MONTH(tbl_MTG_Set[[#This Row],[Released On]])-12*YEAR(tbl_MTG_Set[[#This Row],[Released On]])</f>
        <v>152</v>
      </c>
      <c r="I639" t="str">
        <f>_xlfn.XLOOKUP(tbl_MTG_Set[[#This Row],[Type Name]], tbl_MTG_Set_Type[Set Type], tbl_MTG_Set_Type[Index], "(Set Type not found)")</f>
        <v>(Set Type not found)</v>
      </c>
      <c r="J639" t="str">
        <f>_xlfn.XLOOKUP(tbl_MTG_Set[[#This Row],[Type Name]], tbl_MTG_Set_Type[Set Type], tbl_MTG_Set_Type[Buy Window Month Start], "(Set Type not found)")</f>
        <v>(Set Type not found)</v>
      </c>
      <c r="K639" s="3" t="e">
        <f>tbl_MTG_Set[[#This Row],[Released On]]+tbl_MTG_Set[[#This Row],[Buy Window Month Start]]*365.25/12</f>
        <v>#VALUE!</v>
      </c>
      <c r="L639" t="str">
        <f>_xlfn.XLOOKUP(tbl_MTG_Set[[#This Row],[Type Name]], tbl_MTG_Set_Type[Set Type], tbl_MTG_Set_Type[Buy Window Month End], "(Set Type not found)", 0, 1)</f>
        <v>(Set Type not found)</v>
      </c>
      <c r="M639" s="3" t="e">
        <f>tbl_MTG_Set[[#This Row],[Released On]]+tbl_MTG_Set[[#This Row],[Buy Window Month End]]*365.25/12</f>
        <v>#VALUE!</v>
      </c>
      <c r="N639" s="3" t="e">
        <f ca="1">AND(NOW()&gt;=tbl_MTG_Set[[#This Row],[Buy Window Start]], NOW()&lt;=tbl_MTG_Set[[#This Row],[Buy Window End]])</f>
        <v>#VALUE!</v>
      </c>
      <c r="O639" t="str">
        <f>_xlfn.XLOOKUP(tbl_MTG_Set[[#This Row],[Type Name]], tbl_MTG_Set_Type[Set Type], tbl_MTG_Set_Type[Heavy Printing Window Month Start], "(Set Type not found)", 0, 1)</f>
        <v>(Set Type not found)</v>
      </c>
      <c r="P639" s="3" t="e">
        <f>tbl_MTG_Set[[#This Row],[Released On]]+tbl_MTG_Set[[#This Row],[Heavy Printing Window Month Start]]*365.25/12</f>
        <v>#VALUE!</v>
      </c>
      <c r="Q639" t="str">
        <f>_xlfn.XLOOKUP(tbl_MTG_Set[[#This Row],[Type Name]], tbl_MTG_Set_Type[Set Type], tbl_MTG_Set_Type[Heavy Printing Window Month End], "(Set Type not found)", 0, 1)</f>
        <v>(Set Type not found)</v>
      </c>
      <c r="R639" s="3" t="e">
        <f>tbl_MTG_Set[[#This Row],[Released On]]+tbl_MTG_Set[[#This Row],[Heavy Printing Window Month End]]*365.25/12</f>
        <v>#VALUE!</v>
      </c>
      <c r="S639" s="3" t="e">
        <f ca="1">AND(NOW()&gt;=tbl_MTG_Set[[#This Row],[Heavy Printing Window Start]], NOW()&lt;=tbl_MTG_Set[[#This Row],[Heavy Printing Window End]])</f>
        <v>#VALUE!</v>
      </c>
      <c r="T639" t="str">
        <f>_xlfn.XLOOKUP(tbl_MTG_Set[[#This Row],[Type Name]], tbl_MTG_Set_Type[Set Type], tbl_MTG_Set_Type[Sell Window Month Start], "(Set Type not found)", 0, 1)</f>
        <v>(Set Type not found)</v>
      </c>
      <c r="U639" s="3" t="e">
        <f>tbl_MTG_Set[[#This Row],[Released On]]+tbl_MTG_Set[[#This Row],[Sell Window Month Start]]*365.25/12</f>
        <v>#VALUE!</v>
      </c>
      <c r="V639" t="str">
        <f>_xlfn.XLOOKUP(tbl_MTG_Set[[#This Row],[Type Name]], tbl_MTG_Set_Type[Set Type], tbl_MTG_Set_Type[Sell Window Month End], "(Set Type not found)", 0, 1)</f>
        <v>(Set Type not found)</v>
      </c>
      <c r="W639" s="3" t="e">
        <f>tbl_MTG_Set[[#This Row],[Released On]]+tbl_MTG_Set[[#This Row],[Sell Window Month End]]*365.25/12</f>
        <v>#VALUE!</v>
      </c>
      <c r="X639" s="3" t="e">
        <f ca="1">AND(NOW()&gt;=tbl_MTG_Set[[#This Row],[Sell Window Start]], NOW()&lt;=tbl_MTG_Set[[#This Row],[Sell Window End]])</f>
        <v>#VALUE!</v>
      </c>
      <c r="AG639" s="10"/>
      <c r="AH639" s="10"/>
      <c r="AM639" s="10" t="str" cm="1">
        <f t="array" ref="AM6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39" s="10" t="str" cm="1">
        <f t="array" ref="AN6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39" s="4" t="e">
        <f>_xlfn.XLOOKUP(tbl_MTG_Set[[#This Row],[Play Booster Box Product Id]], tbl_Product[Product Id], tbl_Product[Pack Size])</f>
        <v>#N/A</v>
      </c>
      <c r="AP639" s="10" t="e">
        <f>(tbl_MTG_Set[[#This Row],[Play Booster Box Cost]]+v_Item_Shipping_Cost_In)/tbl_MTG_Set[[#This Row],[Play Booster Box Size]]</f>
        <v>#VALUE!</v>
      </c>
      <c r="AQ639" s="10" t="str" cm="1">
        <f t="array" ref="AQ6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39" s="10"/>
      <c r="AS639" s="10"/>
      <c r="AT639" s="17" t="e">
        <f>tbl_MTG_Set[[#This Row],[Play Booster CardMarket Profit]]/tbl_MTG_Set[[#This Row],[Play Booster Cost]]</f>
        <v>#VALUE!</v>
      </c>
      <c r="AU639" s="10" t="e">
        <f>_xlfn.XLOOKUP(tbl_MTG_Set[[#This Row],[Collector Booster Box Product Id]], tbl_Product[Product Id], tbl_Product[Min Cost])</f>
        <v>#N/A</v>
      </c>
      <c r="AV639" s="10" t="e">
        <f>_xlfn.XLOOKUP(tbl_MTG_Set[[#This Row],[Collector Booster Box Product Id]], tbl_Product[Product Id], tbl_Product[Best Source])</f>
        <v>#N/A</v>
      </c>
      <c r="AW639" s="4" t="e">
        <f>_xlfn.XLOOKUP(tbl_MTG_Set[[#This Row],[Collector Booster Box Product Id]], tbl_Product[Product Id], tbl_Product[Pack Size])</f>
        <v>#N/A</v>
      </c>
      <c r="AX639" s="10" t="e">
        <f>(tbl_MTG_Set[[#This Row],[Collector Booster Box Cost]] + v_Item_Shipping_Cost_In) / tbl_MTG_Set[[#This Row],[Collector Booster Box Size]]</f>
        <v>#N/A</v>
      </c>
      <c r="AY639" s="10" t="str" cm="1">
        <f t="array" ref="AY6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39" s="10"/>
      <c r="BA6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39" s="17" t="e">
        <f>tbl_MTG_Set[[#This Row],[Collector Booster CardMarket Profit]]/tbl_MTG_Set[[#This Row],[Collector Booster Cost]]</f>
        <v>#N/A</v>
      </c>
      <c r="BC639" s="10"/>
      <c r="BF6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39" s="11" t="e">
        <f>tbl_MTG_Set[[#This Row],[Play Singles CardMarket Profit MTG Stocks]]/tbl_MTG_Set[[#This Row],[Play Booster Cost]]</f>
        <v>#VALUE!</v>
      </c>
      <c r="BI639" s="11" t="b">
        <f>tbl_MTG_Set[[#This Row],[Play Singles CardMarket Profit MTG Stocks]]&gt;0</f>
        <v>0</v>
      </c>
      <c r="BM639" s="10" t="e">
        <f>tbl_MTG_Set[[#This Row],[Play Booster Sell Price CardMarket]]*tbl_MTG_Set[[#This Row],[Play Booster Expected Market Value BotBox]]/tbl_MTG_Set[[#This Row],[Play Booster Sealed Market Value BotBox]]</f>
        <v>#VALUE!</v>
      </c>
      <c r="BN6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39" s="10" t="e">
        <f>tbl_MTG_Set[[#This Row],[Play Singles CardMarket Profit BotBox]]/tbl_MTG_Set[[#This Row],[Play Booster Cost]]</f>
        <v>#VALUE!</v>
      </c>
      <c r="BP639" s="10" t="b">
        <f>tbl_MTG_Set[[#This Row],[Play Singles CardMarket Profit BotBox]]&gt;0</f>
        <v>0</v>
      </c>
      <c r="BQ639" s="10"/>
      <c r="BR639" s="10"/>
      <c r="BS639" s="10"/>
      <c r="BT6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39" s="19" t="e">
        <f>tbl_MTG_Set[[#This Row],[Collector Singles CardMarket Profit MTG Stocks]]/tbl_MTG_Set[[#This Row],[Collector Booster Cost]]</f>
        <v>#N/A</v>
      </c>
      <c r="BW639" s="10" t="b">
        <f>tbl_MTG_Set[[#This Row],[Collector Singles CardMarket Profit MTG Stocks]]&gt;0</f>
        <v>0</v>
      </c>
      <c r="BX639" s="10"/>
      <c r="BY639" s="10"/>
      <c r="BZ6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39" s="10" t="e">
        <f>tbl_MTG_Set[[#This Row],[Collector Singles CardMarket Profit BotBox]]/tbl_MTG_Set[[#This Row],[Collector Booster Cost]]</f>
        <v>#N/A</v>
      </c>
      <c r="CC639" s="10" t="b">
        <f>tbl_MTG_Set[[#This Row],[Collector Singles CardMarket Profit BotBox]]&gt;0</f>
        <v>0</v>
      </c>
      <c r="CD6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0" spans="1:86" hidden="1">
      <c r="A640">
        <v>672</v>
      </c>
      <c r="B640" t="s">
        <v>813</v>
      </c>
      <c r="C640">
        <v>229</v>
      </c>
      <c r="D640" s="3">
        <v>41432</v>
      </c>
      <c r="F640" t="s">
        <v>174</v>
      </c>
      <c r="G640">
        <v>1290</v>
      </c>
      <c r="H640">
        <f ca="1">MONTH(NOW())+12*YEAR(NOW())-MONTH(tbl_MTG_Set[[#This Row],[Released On]])-12*YEAR(tbl_MTG_Set[[#This Row],[Released On]])</f>
        <v>153</v>
      </c>
      <c r="I640" t="str">
        <f>_xlfn.XLOOKUP(tbl_MTG_Set[[#This Row],[Type Name]], tbl_MTG_Set_Type[Set Type], tbl_MTG_Set_Type[Index], "(Set Type not found)")</f>
        <v>(Set Type not found)</v>
      </c>
      <c r="J640" t="str">
        <f>_xlfn.XLOOKUP(tbl_MTG_Set[[#This Row],[Type Name]], tbl_MTG_Set_Type[Set Type], tbl_MTG_Set_Type[Buy Window Month Start], "(Set Type not found)")</f>
        <v>(Set Type not found)</v>
      </c>
      <c r="K640" s="3" t="e">
        <f>tbl_MTG_Set[[#This Row],[Released On]]+tbl_MTG_Set[[#This Row],[Buy Window Month Start]]*365.25/12</f>
        <v>#VALUE!</v>
      </c>
      <c r="L640" t="str">
        <f>_xlfn.XLOOKUP(tbl_MTG_Set[[#This Row],[Type Name]], tbl_MTG_Set_Type[Set Type], tbl_MTG_Set_Type[Buy Window Month End], "(Set Type not found)", 0, 1)</f>
        <v>(Set Type not found)</v>
      </c>
      <c r="M640" s="3" t="e">
        <f>tbl_MTG_Set[[#This Row],[Released On]]+tbl_MTG_Set[[#This Row],[Buy Window Month End]]*365.25/12</f>
        <v>#VALUE!</v>
      </c>
      <c r="N640" s="3" t="e">
        <f ca="1">AND(NOW()&gt;=tbl_MTG_Set[[#This Row],[Buy Window Start]], NOW()&lt;=tbl_MTG_Set[[#This Row],[Buy Window End]])</f>
        <v>#VALUE!</v>
      </c>
      <c r="O640" t="str">
        <f>_xlfn.XLOOKUP(tbl_MTG_Set[[#This Row],[Type Name]], tbl_MTG_Set_Type[Set Type], tbl_MTG_Set_Type[Heavy Printing Window Month Start], "(Set Type not found)", 0, 1)</f>
        <v>(Set Type not found)</v>
      </c>
      <c r="P640" s="3" t="e">
        <f>tbl_MTG_Set[[#This Row],[Released On]]+tbl_MTG_Set[[#This Row],[Heavy Printing Window Month Start]]*365.25/12</f>
        <v>#VALUE!</v>
      </c>
      <c r="Q640" t="str">
        <f>_xlfn.XLOOKUP(tbl_MTG_Set[[#This Row],[Type Name]], tbl_MTG_Set_Type[Set Type], tbl_MTG_Set_Type[Heavy Printing Window Month End], "(Set Type not found)", 0, 1)</f>
        <v>(Set Type not found)</v>
      </c>
      <c r="R640" s="3" t="e">
        <f>tbl_MTG_Set[[#This Row],[Released On]]+tbl_MTG_Set[[#This Row],[Heavy Printing Window Month End]]*365.25/12</f>
        <v>#VALUE!</v>
      </c>
      <c r="S640" s="3" t="e">
        <f ca="1">AND(NOW()&gt;=tbl_MTG_Set[[#This Row],[Heavy Printing Window Start]], NOW()&lt;=tbl_MTG_Set[[#This Row],[Heavy Printing Window End]])</f>
        <v>#VALUE!</v>
      </c>
      <c r="T640" t="str">
        <f>_xlfn.XLOOKUP(tbl_MTG_Set[[#This Row],[Type Name]], tbl_MTG_Set_Type[Set Type], tbl_MTG_Set_Type[Sell Window Month Start], "(Set Type not found)", 0, 1)</f>
        <v>(Set Type not found)</v>
      </c>
      <c r="U640" s="3" t="e">
        <f>tbl_MTG_Set[[#This Row],[Released On]]+tbl_MTG_Set[[#This Row],[Sell Window Month Start]]*365.25/12</f>
        <v>#VALUE!</v>
      </c>
      <c r="V640" t="str">
        <f>_xlfn.XLOOKUP(tbl_MTG_Set[[#This Row],[Type Name]], tbl_MTG_Set_Type[Set Type], tbl_MTG_Set_Type[Sell Window Month End], "(Set Type not found)", 0, 1)</f>
        <v>(Set Type not found)</v>
      </c>
      <c r="W640" s="3" t="e">
        <f>tbl_MTG_Set[[#This Row],[Released On]]+tbl_MTG_Set[[#This Row],[Sell Window Month End]]*365.25/12</f>
        <v>#VALUE!</v>
      </c>
      <c r="X640" s="3" t="e">
        <f ca="1">AND(NOW()&gt;=tbl_MTG_Set[[#This Row],[Sell Window Start]], NOW()&lt;=tbl_MTG_Set[[#This Row],[Sell Window End]])</f>
        <v>#VALUE!</v>
      </c>
      <c r="AG640" s="10"/>
      <c r="AH640" s="10"/>
      <c r="AM640" s="10" t="str" cm="1">
        <f t="array" ref="AM6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0" s="10" t="str" cm="1">
        <f t="array" ref="AN6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0" s="4" t="e">
        <f>_xlfn.XLOOKUP(tbl_MTG_Set[[#This Row],[Play Booster Box Product Id]], tbl_Product[Product Id], tbl_Product[Pack Size])</f>
        <v>#N/A</v>
      </c>
      <c r="AP640" s="10" t="e">
        <f>(tbl_MTG_Set[[#This Row],[Play Booster Box Cost]]+v_Item_Shipping_Cost_In)/tbl_MTG_Set[[#This Row],[Play Booster Box Size]]</f>
        <v>#VALUE!</v>
      </c>
      <c r="AQ640" s="10" t="str" cm="1">
        <f t="array" ref="AQ6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0" s="10"/>
      <c r="AS640" s="10"/>
      <c r="AT640" s="17" t="e">
        <f>tbl_MTG_Set[[#This Row],[Play Booster CardMarket Profit]]/tbl_MTG_Set[[#This Row],[Play Booster Cost]]</f>
        <v>#VALUE!</v>
      </c>
      <c r="AU640" s="10" t="e">
        <f>_xlfn.XLOOKUP(tbl_MTG_Set[[#This Row],[Collector Booster Box Product Id]], tbl_Product[Product Id], tbl_Product[Min Cost])</f>
        <v>#N/A</v>
      </c>
      <c r="AV640" s="10" t="e">
        <f>_xlfn.XLOOKUP(tbl_MTG_Set[[#This Row],[Collector Booster Box Product Id]], tbl_Product[Product Id], tbl_Product[Best Source])</f>
        <v>#N/A</v>
      </c>
      <c r="AW640" s="4" t="e">
        <f>_xlfn.XLOOKUP(tbl_MTG_Set[[#This Row],[Collector Booster Box Product Id]], tbl_Product[Product Id], tbl_Product[Pack Size])</f>
        <v>#N/A</v>
      </c>
      <c r="AX640" s="10" t="e">
        <f>(tbl_MTG_Set[[#This Row],[Collector Booster Box Cost]] + v_Item_Shipping_Cost_In) / tbl_MTG_Set[[#This Row],[Collector Booster Box Size]]</f>
        <v>#N/A</v>
      </c>
      <c r="AY640" s="10" t="str" cm="1">
        <f t="array" ref="AY6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0" s="10"/>
      <c r="BA6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0" s="17" t="e">
        <f>tbl_MTG_Set[[#This Row],[Collector Booster CardMarket Profit]]/tbl_MTG_Set[[#This Row],[Collector Booster Cost]]</f>
        <v>#N/A</v>
      </c>
      <c r="BC640" s="10"/>
      <c r="BF6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0" s="11" t="e">
        <f>tbl_MTG_Set[[#This Row],[Play Singles CardMarket Profit MTG Stocks]]/tbl_MTG_Set[[#This Row],[Play Booster Cost]]</f>
        <v>#VALUE!</v>
      </c>
      <c r="BI640" s="11" t="b">
        <f>tbl_MTG_Set[[#This Row],[Play Singles CardMarket Profit MTG Stocks]]&gt;0</f>
        <v>0</v>
      </c>
      <c r="BM640" s="10" t="e">
        <f>tbl_MTG_Set[[#This Row],[Play Booster Sell Price CardMarket]]*tbl_MTG_Set[[#This Row],[Play Booster Expected Market Value BotBox]]/tbl_MTG_Set[[#This Row],[Play Booster Sealed Market Value BotBox]]</f>
        <v>#VALUE!</v>
      </c>
      <c r="BN6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0" s="10" t="e">
        <f>tbl_MTG_Set[[#This Row],[Play Singles CardMarket Profit BotBox]]/tbl_MTG_Set[[#This Row],[Play Booster Cost]]</f>
        <v>#VALUE!</v>
      </c>
      <c r="BP640" s="10" t="b">
        <f>tbl_MTG_Set[[#This Row],[Play Singles CardMarket Profit BotBox]]&gt;0</f>
        <v>0</v>
      </c>
      <c r="BQ640" s="10"/>
      <c r="BR640" s="10"/>
      <c r="BS640" s="10"/>
      <c r="BT6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0" s="19" t="e">
        <f>tbl_MTG_Set[[#This Row],[Collector Singles CardMarket Profit MTG Stocks]]/tbl_MTG_Set[[#This Row],[Collector Booster Cost]]</f>
        <v>#N/A</v>
      </c>
      <c r="BW640" s="10" t="b">
        <f>tbl_MTG_Set[[#This Row],[Collector Singles CardMarket Profit MTG Stocks]]&gt;0</f>
        <v>0</v>
      </c>
      <c r="BX640" s="10"/>
      <c r="BY640" s="10"/>
      <c r="BZ6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0" s="10" t="e">
        <f>tbl_MTG_Set[[#This Row],[Collector Singles CardMarket Profit BotBox]]/tbl_MTG_Set[[#This Row],[Collector Booster Cost]]</f>
        <v>#N/A</v>
      </c>
      <c r="CC640" s="10" t="b">
        <f>tbl_MTG_Set[[#This Row],[Collector Singles CardMarket Profit BotBox]]&gt;0</f>
        <v>0</v>
      </c>
      <c r="CD6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1" spans="1:86" hidden="1">
      <c r="A641">
        <v>673</v>
      </c>
      <c r="B641" t="s">
        <v>814</v>
      </c>
      <c r="C641">
        <v>16</v>
      </c>
      <c r="D641" s="3">
        <v>41432</v>
      </c>
      <c r="F641" t="s">
        <v>174</v>
      </c>
      <c r="G641">
        <v>1292</v>
      </c>
      <c r="H641">
        <f ca="1">MONTH(NOW())+12*YEAR(NOW())-MONTH(tbl_MTG_Set[[#This Row],[Released On]])-12*YEAR(tbl_MTG_Set[[#This Row],[Released On]])</f>
        <v>153</v>
      </c>
      <c r="I641" t="str">
        <f>_xlfn.XLOOKUP(tbl_MTG_Set[[#This Row],[Type Name]], tbl_MTG_Set_Type[Set Type], tbl_MTG_Set_Type[Index], "(Set Type not found)")</f>
        <v>(Set Type not found)</v>
      </c>
      <c r="J641" t="str">
        <f>_xlfn.XLOOKUP(tbl_MTG_Set[[#This Row],[Type Name]], tbl_MTG_Set_Type[Set Type], tbl_MTG_Set_Type[Buy Window Month Start], "(Set Type not found)")</f>
        <v>(Set Type not found)</v>
      </c>
      <c r="K641" s="3" t="e">
        <f>tbl_MTG_Set[[#This Row],[Released On]]+tbl_MTG_Set[[#This Row],[Buy Window Month Start]]*365.25/12</f>
        <v>#VALUE!</v>
      </c>
      <c r="L641" t="str">
        <f>_xlfn.XLOOKUP(tbl_MTG_Set[[#This Row],[Type Name]], tbl_MTG_Set_Type[Set Type], tbl_MTG_Set_Type[Buy Window Month End], "(Set Type not found)", 0, 1)</f>
        <v>(Set Type not found)</v>
      </c>
      <c r="M641" s="3" t="e">
        <f>tbl_MTG_Set[[#This Row],[Released On]]+tbl_MTG_Set[[#This Row],[Buy Window Month End]]*365.25/12</f>
        <v>#VALUE!</v>
      </c>
      <c r="N641" s="3" t="e">
        <f ca="1">AND(NOW()&gt;=tbl_MTG_Set[[#This Row],[Buy Window Start]], NOW()&lt;=tbl_MTG_Set[[#This Row],[Buy Window End]])</f>
        <v>#VALUE!</v>
      </c>
      <c r="O641" t="str">
        <f>_xlfn.XLOOKUP(tbl_MTG_Set[[#This Row],[Type Name]], tbl_MTG_Set_Type[Set Type], tbl_MTG_Set_Type[Heavy Printing Window Month Start], "(Set Type not found)", 0, 1)</f>
        <v>(Set Type not found)</v>
      </c>
      <c r="P641" s="3" t="e">
        <f>tbl_MTG_Set[[#This Row],[Released On]]+tbl_MTG_Set[[#This Row],[Heavy Printing Window Month Start]]*365.25/12</f>
        <v>#VALUE!</v>
      </c>
      <c r="Q641" t="str">
        <f>_xlfn.XLOOKUP(tbl_MTG_Set[[#This Row],[Type Name]], tbl_MTG_Set_Type[Set Type], tbl_MTG_Set_Type[Heavy Printing Window Month End], "(Set Type not found)", 0, 1)</f>
        <v>(Set Type not found)</v>
      </c>
      <c r="R641" s="3" t="e">
        <f>tbl_MTG_Set[[#This Row],[Released On]]+tbl_MTG_Set[[#This Row],[Heavy Printing Window Month End]]*365.25/12</f>
        <v>#VALUE!</v>
      </c>
      <c r="S641" s="3" t="e">
        <f ca="1">AND(NOW()&gt;=tbl_MTG_Set[[#This Row],[Heavy Printing Window Start]], NOW()&lt;=tbl_MTG_Set[[#This Row],[Heavy Printing Window End]])</f>
        <v>#VALUE!</v>
      </c>
      <c r="T641" t="str">
        <f>_xlfn.XLOOKUP(tbl_MTG_Set[[#This Row],[Type Name]], tbl_MTG_Set_Type[Set Type], tbl_MTG_Set_Type[Sell Window Month Start], "(Set Type not found)", 0, 1)</f>
        <v>(Set Type not found)</v>
      </c>
      <c r="U641" s="3" t="e">
        <f>tbl_MTG_Set[[#This Row],[Released On]]+tbl_MTG_Set[[#This Row],[Sell Window Month Start]]*365.25/12</f>
        <v>#VALUE!</v>
      </c>
      <c r="V641" t="str">
        <f>_xlfn.XLOOKUP(tbl_MTG_Set[[#This Row],[Type Name]], tbl_MTG_Set_Type[Set Type], tbl_MTG_Set_Type[Sell Window Month End], "(Set Type not found)", 0, 1)</f>
        <v>(Set Type not found)</v>
      </c>
      <c r="W641" s="3" t="e">
        <f>tbl_MTG_Set[[#This Row],[Released On]]+tbl_MTG_Set[[#This Row],[Sell Window Month End]]*365.25/12</f>
        <v>#VALUE!</v>
      </c>
      <c r="X641" s="3" t="e">
        <f ca="1">AND(NOW()&gt;=tbl_MTG_Set[[#This Row],[Sell Window Start]], NOW()&lt;=tbl_MTG_Set[[#This Row],[Sell Window End]])</f>
        <v>#VALUE!</v>
      </c>
      <c r="AG641" s="10"/>
      <c r="AH641" s="10"/>
      <c r="AM641" s="10" t="str" cm="1">
        <f t="array" ref="AM6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1" s="10" t="str" cm="1">
        <f t="array" ref="AN6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1" s="4" t="e">
        <f>_xlfn.XLOOKUP(tbl_MTG_Set[[#This Row],[Play Booster Box Product Id]], tbl_Product[Product Id], tbl_Product[Pack Size])</f>
        <v>#N/A</v>
      </c>
      <c r="AP641" s="10" t="e">
        <f>(tbl_MTG_Set[[#This Row],[Play Booster Box Cost]]+v_Item_Shipping_Cost_In)/tbl_MTG_Set[[#This Row],[Play Booster Box Size]]</f>
        <v>#VALUE!</v>
      </c>
      <c r="AQ641" s="10" t="str" cm="1">
        <f t="array" ref="AQ6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1" s="10"/>
      <c r="AS641" s="10"/>
      <c r="AT641" s="17" t="e">
        <f>tbl_MTG_Set[[#This Row],[Play Booster CardMarket Profit]]/tbl_MTG_Set[[#This Row],[Play Booster Cost]]</f>
        <v>#VALUE!</v>
      </c>
      <c r="AU641" s="10" t="e">
        <f>_xlfn.XLOOKUP(tbl_MTG_Set[[#This Row],[Collector Booster Box Product Id]], tbl_Product[Product Id], tbl_Product[Min Cost])</f>
        <v>#N/A</v>
      </c>
      <c r="AV641" s="10" t="e">
        <f>_xlfn.XLOOKUP(tbl_MTG_Set[[#This Row],[Collector Booster Box Product Id]], tbl_Product[Product Id], tbl_Product[Best Source])</f>
        <v>#N/A</v>
      </c>
      <c r="AW641" s="4" t="e">
        <f>_xlfn.XLOOKUP(tbl_MTG_Set[[#This Row],[Collector Booster Box Product Id]], tbl_Product[Product Id], tbl_Product[Pack Size])</f>
        <v>#N/A</v>
      </c>
      <c r="AX641" s="10" t="e">
        <f>(tbl_MTG_Set[[#This Row],[Collector Booster Box Cost]] + v_Item_Shipping_Cost_In) / tbl_MTG_Set[[#This Row],[Collector Booster Box Size]]</f>
        <v>#N/A</v>
      </c>
      <c r="AY641" s="10" t="str" cm="1">
        <f t="array" ref="AY6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1" s="10"/>
      <c r="BA6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1" s="17" t="e">
        <f>tbl_MTG_Set[[#This Row],[Collector Booster CardMarket Profit]]/tbl_MTG_Set[[#This Row],[Collector Booster Cost]]</f>
        <v>#N/A</v>
      </c>
      <c r="BC641" s="10"/>
      <c r="BF6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1" s="11" t="e">
        <f>tbl_MTG_Set[[#This Row],[Play Singles CardMarket Profit MTG Stocks]]/tbl_MTG_Set[[#This Row],[Play Booster Cost]]</f>
        <v>#VALUE!</v>
      </c>
      <c r="BI641" s="11" t="b">
        <f>tbl_MTG_Set[[#This Row],[Play Singles CardMarket Profit MTG Stocks]]&gt;0</f>
        <v>0</v>
      </c>
      <c r="BM641" s="10" t="e">
        <f>tbl_MTG_Set[[#This Row],[Play Booster Sell Price CardMarket]]*tbl_MTG_Set[[#This Row],[Play Booster Expected Market Value BotBox]]/tbl_MTG_Set[[#This Row],[Play Booster Sealed Market Value BotBox]]</f>
        <v>#VALUE!</v>
      </c>
      <c r="BN6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1" s="10" t="e">
        <f>tbl_MTG_Set[[#This Row],[Play Singles CardMarket Profit BotBox]]/tbl_MTG_Set[[#This Row],[Play Booster Cost]]</f>
        <v>#VALUE!</v>
      </c>
      <c r="BP641" s="10" t="b">
        <f>tbl_MTG_Set[[#This Row],[Play Singles CardMarket Profit BotBox]]&gt;0</f>
        <v>0</v>
      </c>
      <c r="BQ641" s="10"/>
      <c r="BR641" s="10"/>
      <c r="BS641" s="10"/>
      <c r="BT6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1" s="19" t="e">
        <f>tbl_MTG_Set[[#This Row],[Collector Singles CardMarket Profit MTG Stocks]]/tbl_MTG_Set[[#This Row],[Collector Booster Cost]]</f>
        <v>#N/A</v>
      </c>
      <c r="BW641" s="10" t="b">
        <f>tbl_MTG_Set[[#This Row],[Collector Singles CardMarket Profit MTG Stocks]]&gt;0</f>
        <v>0</v>
      </c>
      <c r="BX641" s="10"/>
      <c r="BY641" s="10"/>
      <c r="BZ6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1" s="10" t="e">
        <f>tbl_MTG_Set[[#This Row],[Collector Singles CardMarket Profit BotBox]]/tbl_MTG_Set[[#This Row],[Collector Booster Cost]]</f>
        <v>#N/A</v>
      </c>
      <c r="CC641" s="10" t="b">
        <f>tbl_MTG_Set[[#This Row],[Collector Singles CardMarket Profit BotBox]]&gt;0</f>
        <v>0</v>
      </c>
      <c r="CD6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2" spans="1:86" hidden="1">
      <c r="A642">
        <v>674</v>
      </c>
      <c r="B642" t="s">
        <v>815</v>
      </c>
      <c r="C642">
        <v>156</v>
      </c>
      <c r="D642" s="3">
        <v>41397</v>
      </c>
      <c r="F642" t="s">
        <v>174</v>
      </c>
      <c r="G642">
        <v>1294</v>
      </c>
      <c r="H642">
        <f ca="1">MONTH(NOW())+12*YEAR(NOW())-MONTH(tbl_MTG_Set[[#This Row],[Released On]])-12*YEAR(tbl_MTG_Set[[#This Row],[Released On]])</f>
        <v>154</v>
      </c>
      <c r="I642" t="str">
        <f>_xlfn.XLOOKUP(tbl_MTG_Set[[#This Row],[Type Name]], tbl_MTG_Set_Type[Set Type], tbl_MTG_Set_Type[Index], "(Set Type not found)")</f>
        <v>(Set Type not found)</v>
      </c>
      <c r="J642" t="str">
        <f>_xlfn.XLOOKUP(tbl_MTG_Set[[#This Row],[Type Name]], tbl_MTG_Set_Type[Set Type], tbl_MTG_Set_Type[Buy Window Month Start], "(Set Type not found)")</f>
        <v>(Set Type not found)</v>
      </c>
      <c r="K642" s="3" t="e">
        <f>tbl_MTG_Set[[#This Row],[Released On]]+tbl_MTG_Set[[#This Row],[Buy Window Month Start]]*365.25/12</f>
        <v>#VALUE!</v>
      </c>
      <c r="L642" t="str">
        <f>_xlfn.XLOOKUP(tbl_MTG_Set[[#This Row],[Type Name]], tbl_MTG_Set_Type[Set Type], tbl_MTG_Set_Type[Buy Window Month End], "(Set Type not found)", 0, 1)</f>
        <v>(Set Type not found)</v>
      </c>
      <c r="M642" s="3" t="e">
        <f>tbl_MTG_Set[[#This Row],[Released On]]+tbl_MTG_Set[[#This Row],[Buy Window Month End]]*365.25/12</f>
        <v>#VALUE!</v>
      </c>
      <c r="N642" s="3" t="e">
        <f ca="1">AND(NOW()&gt;=tbl_MTG_Set[[#This Row],[Buy Window Start]], NOW()&lt;=tbl_MTG_Set[[#This Row],[Buy Window End]])</f>
        <v>#VALUE!</v>
      </c>
      <c r="O642" t="str">
        <f>_xlfn.XLOOKUP(tbl_MTG_Set[[#This Row],[Type Name]], tbl_MTG_Set_Type[Set Type], tbl_MTG_Set_Type[Heavy Printing Window Month Start], "(Set Type not found)", 0, 1)</f>
        <v>(Set Type not found)</v>
      </c>
      <c r="P642" s="3" t="e">
        <f>tbl_MTG_Set[[#This Row],[Released On]]+tbl_MTG_Set[[#This Row],[Heavy Printing Window Month Start]]*365.25/12</f>
        <v>#VALUE!</v>
      </c>
      <c r="Q642" t="str">
        <f>_xlfn.XLOOKUP(tbl_MTG_Set[[#This Row],[Type Name]], tbl_MTG_Set_Type[Set Type], tbl_MTG_Set_Type[Heavy Printing Window Month End], "(Set Type not found)", 0, 1)</f>
        <v>(Set Type not found)</v>
      </c>
      <c r="R642" s="3" t="e">
        <f>tbl_MTG_Set[[#This Row],[Released On]]+tbl_MTG_Set[[#This Row],[Heavy Printing Window Month End]]*365.25/12</f>
        <v>#VALUE!</v>
      </c>
      <c r="S642" s="3" t="e">
        <f ca="1">AND(NOW()&gt;=tbl_MTG_Set[[#This Row],[Heavy Printing Window Start]], NOW()&lt;=tbl_MTG_Set[[#This Row],[Heavy Printing Window End]])</f>
        <v>#VALUE!</v>
      </c>
      <c r="T642" t="str">
        <f>_xlfn.XLOOKUP(tbl_MTG_Set[[#This Row],[Type Name]], tbl_MTG_Set_Type[Set Type], tbl_MTG_Set_Type[Sell Window Month Start], "(Set Type not found)", 0, 1)</f>
        <v>(Set Type not found)</v>
      </c>
      <c r="U642" s="3" t="e">
        <f>tbl_MTG_Set[[#This Row],[Released On]]+tbl_MTG_Set[[#This Row],[Sell Window Month Start]]*365.25/12</f>
        <v>#VALUE!</v>
      </c>
      <c r="V642" t="str">
        <f>_xlfn.XLOOKUP(tbl_MTG_Set[[#This Row],[Type Name]], tbl_MTG_Set_Type[Set Type], tbl_MTG_Set_Type[Sell Window Month End], "(Set Type not found)", 0, 1)</f>
        <v>(Set Type not found)</v>
      </c>
      <c r="W642" s="3" t="e">
        <f>tbl_MTG_Set[[#This Row],[Released On]]+tbl_MTG_Set[[#This Row],[Sell Window Month End]]*365.25/12</f>
        <v>#VALUE!</v>
      </c>
      <c r="X642" s="3" t="e">
        <f ca="1">AND(NOW()&gt;=tbl_MTG_Set[[#This Row],[Sell Window Start]], NOW()&lt;=tbl_MTG_Set[[#This Row],[Sell Window End]])</f>
        <v>#VALUE!</v>
      </c>
      <c r="AG642" s="10"/>
      <c r="AH642" s="10"/>
      <c r="AM642" s="10" t="str" cm="1">
        <f t="array" ref="AM6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2" s="10" t="str" cm="1">
        <f t="array" ref="AN6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2" s="4" t="e">
        <f>_xlfn.XLOOKUP(tbl_MTG_Set[[#This Row],[Play Booster Box Product Id]], tbl_Product[Product Id], tbl_Product[Pack Size])</f>
        <v>#N/A</v>
      </c>
      <c r="AP642" s="10" t="e">
        <f>(tbl_MTG_Set[[#This Row],[Play Booster Box Cost]]+v_Item_Shipping_Cost_In)/tbl_MTG_Set[[#This Row],[Play Booster Box Size]]</f>
        <v>#VALUE!</v>
      </c>
      <c r="AQ642" s="10" t="str" cm="1">
        <f t="array" ref="AQ6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2" s="10"/>
      <c r="AS642" s="10"/>
      <c r="AT642" s="17" t="e">
        <f>tbl_MTG_Set[[#This Row],[Play Booster CardMarket Profit]]/tbl_MTG_Set[[#This Row],[Play Booster Cost]]</f>
        <v>#VALUE!</v>
      </c>
      <c r="AU642" s="10" t="e">
        <f>_xlfn.XLOOKUP(tbl_MTG_Set[[#This Row],[Collector Booster Box Product Id]], tbl_Product[Product Id], tbl_Product[Min Cost])</f>
        <v>#N/A</v>
      </c>
      <c r="AV642" s="10" t="e">
        <f>_xlfn.XLOOKUP(tbl_MTG_Set[[#This Row],[Collector Booster Box Product Id]], tbl_Product[Product Id], tbl_Product[Best Source])</f>
        <v>#N/A</v>
      </c>
      <c r="AW642" s="4" t="e">
        <f>_xlfn.XLOOKUP(tbl_MTG_Set[[#This Row],[Collector Booster Box Product Id]], tbl_Product[Product Id], tbl_Product[Pack Size])</f>
        <v>#N/A</v>
      </c>
      <c r="AX642" s="10" t="e">
        <f>(tbl_MTG_Set[[#This Row],[Collector Booster Box Cost]] + v_Item_Shipping_Cost_In) / tbl_MTG_Set[[#This Row],[Collector Booster Box Size]]</f>
        <v>#N/A</v>
      </c>
      <c r="AY642" s="10" t="str" cm="1">
        <f t="array" ref="AY6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2" s="10"/>
      <c r="BA6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2" s="17" t="e">
        <f>tbl_MTG_Set[[#This Row],[Collector Booster CardMarket Profit]]/tbl_MTG_Set[[#This Row],[Collector Booster Cost]]</f>
        <v>#N/A</v>
      </c>
      <c r="BC642" s="10"/>
      <c r="BF6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2" s="11" t="e">
        <f>tbl_MTG_Set[[#This Row],[Play Singles CardMarket Profit MTG Stocks]]/tbl_MTG_Set[[#This Row],[Play Booster Cost]]</f>
        <v>#VALUE!</v>
      </c>
      <c r="BI642" s="11" t="b">
        <f>tbl_MTG_Set[[#This Row],[Play Singles CardMarket Profit MTG Stocks]]&gt;0</f>
        <v>0</v>
      </c>
      <c r="BM642" s="10" t="e">
        <f>tbl_MTG_Set[[#This Row],[Play Booster Sell Price CardMarket]]*tbl_MTG_Set[[#This Row],[Play Booster Expected Market Value BotBox]]/tbl_MTG_Set[[#This Row],[Play Booster Sealed Market Value BotBox]]</f>
        <v>#VALUE!</v>
      </c>
      <c r="BN6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2" s="10" t="e">
        <f>tbl_MTG_Set[[#This Row],[Play Singles CardMarket Profit BotBox]]/tbl_MTG_Set[[#This Row],[Play Booster Cost]]</f>
        <v>#VALUE!</v>
      </c>
      <c r="BP642" s="10" t="b">
        <f>tbl_MTG_Set[[#This Row],[Play Singles CardMarket Profit BotBox]]&gt;0</f>
        <v>0</v>
      </c>
      <c r="BQ642" s="10"/>
      <c r="BR642" s="10"/>
      <c r="BS642" s="10"/>
      <c r="BT6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2" s="19" t="e">
        <f>tbl_MTG_Set[[#This Row],[Collector Singles CardMarket Profit MTG Stocks]]/tbl_MTG_Set[[#This Row],[Collector Booster Cost]]</f>
        <v>#N/A</v>
      </c>
      <c r="BW642" s="10" t="b">
        <f>tbl_MTG_Set[[#This Row],[Collector Singles CardMarket Profit MTG Stocks]]&gt;0</f>
        <v>0</v>
      </c>
      <c r="BX642" s="10"/>
      <c r="BY642" s="10"/>
      <c r="BZ6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2" s="10" t="e">
        <f>tbl_MTG_Set[[#This Row],[Collector Singles CardMarket Profit BotBox]]/tbl_MTG_Set[[#This Row],[Collector Booster Cost]]</f>
        <v>#N/A</v>
      </c>
      <c r="CC642" s="10" t="b">
        <f>tbl_MTG_Set[[#This Row],[Collector Singles CardMarket Profit BotBox]]&gt;0</f>
        <v>0</v>
      </c>
      <c r="CD6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3" spans="1:86" hidden="1">
      <c r="A643">
        <v>675</v>
      </c>
      <c r="B643" t="s">
        <v>816</v>
      </c>
      <c r="C643">
        <v>6</v>
      </c>
      <c r="D643" s="3">
        <v>41391</v>
      </c>
      <c r="F643" t="s">
        <v>174</v>
      </c>
      <c r="G643">
        <v>1296</v>
      </c>
      <c r="H643">
        <f ca="1">MONTH(NOW())+12*YEAR(NOW())-MONTH(tbl_MTG_Set[[#This Row],[Released On]])-12*YEAR(tbl_MTG_Set[[#This Row],[Released On]])</f>
        <v>155</v>
      </c>
      <c r="I643" t="str">
        <f>_xlfn.XLOOKUP(tbl_MTG_Set[[#This Row],[Type Name]], tbl_MTG_Set_Type[Set Type], tbl_MTG_Set_Type[Index], "(Set Type not found)")</f>
        <v>(Set Type not found)</v>
      </c>
      <c r="J643" t="str">
        <f>_xlfn.XLOOKUP(tbl_MTG_Set[[#This Row],[Type Name]], tbl_MTG_Set_Type[Set Type], tbl_MTG_Set_Type[Buy Window Month Start], "(Set Type not found)")</f>
        <v>(Set Type not found)</v>
      </c>
      <c r="K643" s="3" t="e">
        <f>tbl_MTG_Set[[#This Row],[Released On]]+tbl_MTG_Set[[#This Row],[Buy Window Month Start]]*365.25/12</f>
        <v>#VALUE!</v>
      </c>
      <c r="L643" t="str">
        <f>_xlfn.XLOOKUP(tbl_MTG_Set[[#This Row],[Type Name]], tbl_MTG_Set_Type[Set Type], tbl_MTG_Set_Type[Buy Window Month End], "(Set Type not found)", 0, 1)</f>
        <v>(Set Type not found)</v>
      </c>
      <c r="M643" s="3" t="e">
        <f>tbl_MTG_Set[[#This Row],[Released On]]+tbl_MTG_Set[[#This Row],[Buy Window Month End]]*365.25/12</f>
        <v>#VALUE!</v>
      </c>
      <c r="N643" s="3" t="e">
        <f ca="1">AND(NOW()&gt;=tbl_MTG_Set[[#This Row],[Buy Window Start]], NOW()&lt;=tbl_MTG_Set[[#This Row],[Buy Window End]])</f>
        <v>#VALUE!</v>
      </c>
      <c r="O643" t="str">
        <f>_xlfn.XLOOKUP(tbl_MTG_Set[[#This Row],[Type Name]], tbl_MTG_Set_Type[Set Type], tbl_MTG_Set_Type[Heavy Printing Window Month Start], "(Set Type not found)", 0, 1)</f>
        <v>(Set Type not found)</v>
      </c>
      <c r="P643" s="3" t="e">
        <f>tbl_MTG_Set[[#This Row],[Released On]]+tbl_MTG_Set[[#This Row],[Heavy Printing Window Month Start]]*365.25/12</f>
        <v>#VALUE!</v>
      </c>
      <c r="Q643" t="str">
        <f>_xlfn.XLOOKUP(tbl_MTG_Set[[#This Row],[Type Name]], tbl_MTG_Set_Type[Set Type], tbl_MTG_Set_Type[Heavy Printing Window Month End], "(Set Type not found)", 0, 1)</f>
        <v>(Set Type not found)</v>
      </c>
      <c r="R643" s="3" t="e">
        <f>tbl_MTG_Set[[#This Row],[Released On]]+tbl_MTG_Set[[#This Row],[Heavy Printing Window Month End]]*365.25/12</f>
        <v>#VALUE!</v>
      </c>
      <c r="S643" s="3" t="e">
        <f ca="1">AND(NOW()&gt;=tbl_MTG_Set[[#This Row],[Heavy Printing Window Start]], NOW()&lt;=tbl_MTG_Set[[#This Row],[Heavy Printing Window End]])</f>
        <v>#VALUE!</v>
      </c>
      <c r="T643" t="str">
        <f>_xlfn.XLOOKUP(tbl_MTG_Set[[#This Row],[Type Name]], tbl_MTG_Set_Type[Set Type], tbl_MTG_Set_Type[Sell Window Month Start], "(Set Type not found)", 0, 1)</f>
        <v>(Set Type not found)</v>
      </c>
      <c r="U643" s="3" t="e">
        <f>tbl_MTG_Set[[#This Row],[Released On]]+tbl_MTG_Set[[#This Row],[Sell Window Month Start]]*365.25/12</f>
        <v>#VALUE!</v>
      </c>
      <c r="V643" t="str">
        <f>_xlfn.XLOOKUP(tbl_MTG_Set[[#This Row],[Type Name]], tbl_MTG_Set_Type[Set Type], tbl_MTG_Set_Type[Sell Window Month End], "(Set Type not found)", 0, 1)</f>
        <v>(Set Type not found)</v>
      </c>
      <c r="W643" s="3" t="e">
        <f>tbl_MTG_Set[[#This Row],[Released On]]+tbl_MTG_Set[[#This Row],[Sell Window Month End]]*365.25/12</f>
        <v>#VALUE!</v>
      </c>
      <c r="X643" s="3" t="e">
        <f ca="1">AND(NOW()&gt;=tbl_MTG_Set[[#This Row],[Sell Window Start]], NOW()&lt;=tbl_MTG_Set[[#This Row],[Sell Window End]])</f>
        <v>#VALUE!</v>
      </c>
      <c r="AG643" s="10"/>
      <c r="AH643" s="10"/>
      <c r="AM643" s="10" t="str" cm="1">
        <f t="array" ref="AM6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3" s="10" t="str" cm="1">
        <f t="array" ref="AN6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3" s="4" t="e">
        <f>_xlfn.XLOOKUP(tbl_MTG_Set[[#This Row],[Play Booster Box Product Id]], tbl_Product[Product Id], tbl_Product[Pack Size])</f>
        <v>#N/A</v>
      </c>
      <c r="AP643" s="10" t="e">
        <f>(tbl_MTG_Set[[#This Row],[Play Booster Box Cost]]+v_Item_Shipping_Cost_In)/tbl_MTG_Set[[#This Row],[Play Booster Box Size]]</f>
        <v>#VALUE!</v>
      </c>
      <c r="AQ643" s="10" t="str" cm="1">
        <f t="array" ref="AQ6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3" s="10"/>
      <c r="AS643" s="10"/>
      <c r="AT643" s="17" t="e">
        <f>tbl_MTG_Set[[#This Row],[Play Booster CardMarket Profit]]/tbl_MTG_Set[[#This Row],[Play Booster Cost]]</f>
        <v>#VALUE!</v>
      </c>
      <c r="AU643" s="10" t="e">
        <f>_xlfn.XLOOKUP(tbl_MTG_Set[[#This Row],[Collector Booster Box Product Id]], tbl_Product[Product Id], tbl_Product[Min Cost])</f>
        <v>#N/A</v>
      </c>
      <c r="AV643" s="10" t="e">
        <f>_xlfn.XLOOKUP(tbl_MTG_Set[[#This Row],[Collector Booster Box Product Id]], tbl_Product[Product Id], tbl_Product[Best Source])</f>
        <v>#N/A</v>
      </c>
      <c r="AW643" s="4" t="e">
        <f>_xlfn.XLOOKUP(tbl_MTG_Set[[#This Row],[Collector Booster Box Product Id]], tbl_Product[Product Id], tbl_Product[Pack Size])</f>
        <v>#N/A</v>
      </c>
      <c r="AX643" s="10" t="e">
        <f>(tbl_MTG_Set[[#This Row],[Collector Booster Box Cost]] + v_Item_Shipping_Cost_In) / tbl_MTG_Set[[#This Row],[Collector Booster Box Size]]</f>
        <v>#N/A</v>
      </c>
      <c r="AY643" s="10" t="str" cm="1">
        <f t="array" ref="AY6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3" s="10"/>
      <c r="BA6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3" s="17" t="e">
        <f>tbl_MTG_Set[[#This Row],[Collector Booster CardMarket Profit]]/tbl_MTG_Set[[#This Row],[Collector Booster Cost]]</f>
        <v>#N/A</v>
      </c>
      <c r="BC643" s="10"/>
      <c r="BF6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3" s="11" t="e">
        <f>tbl_MTG_Set[[#This Row],[Play Singles CardMarket Profit MTG Stocks]]/tbl_MTG_Set[[#This Row],[Play Booster Cost]]</f>
        <v>#VALUE!</v>
      </c>
      <c r="BI643" s="11" t="b">
        <f>tbl_MTG_Set[[#This Row],[Play Singles CardMarket Profit MTG Stocks]]&gt;0</f>
        <v>0</v>
      </c>
      <c r="BM643" s="10" t="e">
        <f>tbl_MTG_Set[[#This Row],[Play Booster Sell Price CardMarket]]*tbl_MTG_Set[[#This Row],[Play Booster Expected Market Value BotBox]]/tbl_MTG_Set[[#This Row],[Play Booster Sealed Market Value BotBox]]</f>
        <v>#VALUE!</v>
      </c>
      <c r="BN6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3" s="10" t="e">
        <f>tbl_MTG_Set[[#This Row],[Play Singles CardMarket Profit BotBox]]/tbl_MTG_Set[[#This Row],[Play Booster Cost]]</f>
        <v>#VALUE!</v>
      </c>
      <c r="BP643" s="10" t="b">
        <f>tbl_MTG_Set[[#This Row],[Play Singles CardMarket Profit BotBox]]&gt;0</f>
        <v>0</v>
      </c>
      <c r="BQ643" s="10"/>
      <c r="BR643" s="10"/>
      <c r="BS643" s="10"/>
      <c r="BT6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3" s="19" t="e">
        <f>tbl_MTG_Set[[#This Row],[Collector Singles CardMarket Profit MTG Stocks]]/tbl_MTG_Set[[#This Row],[Collector Booster Cost]]</f>
        <v>#N/A</v>
      </c>
      <c r="BW643" s="10" t="b">
        <f>tbl_MTG_Set[[#This Row],[Collector Singles CardMarket Profit MTG Stocks]]&gt;0</f>
        <v>0</v>
      </c>
      <c r="BX643" s="10"/>
      <c r="BY643" s="10"/>
      <c r="BZ6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3" s="10" t="e">
        <f>tbl_MTG_Set[[#This Row],[Collector Singles CardMarket Profit BotBox]]/tbl_MTG_Set[[#This Row],[Collector Booster Cost]]</f>
        <v>#N/A</v>
      </c>
      <c r="CC643" s="10" t="b">
        <f>tbl_MTG_Set[[#This Row],[Collector Singles CardMarket Profit BotBox]]&gt;0</f>
        <v>0</v>
      </c>
      <c r="CD6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4" spans="1:86" hidden="1">
      <c r="A644">
        <v>676</v>
      </c>
      <c r="B644" t="s">
        <v>817</v>
      </c>
      <c r="C644">
        <v>1</v>
      </c>
      <c r="D644" s="3">
        <v>41397</v>
      </c>
      <c r="F644" t="s">
        <v>174</v>
      </c>
      <c r="G644">
        <v>1298</v>
      </c>
      <c r="H644">
        <f ca="1">MONTH(NOW())+12*YEAR(NOW())-MONTH(tbl_MTG_Set[[#This Row],[Released On]])-12*YEAR(tbl_MTG_Set[[#This Row],[Released On]])</f>
        <v>154</v>
      </c>
      <c r="I644" t="str">
        <f>_xlfn.XLOOKUP(tbl_MTG_Set[[#This Row],[Type Name]], tbl_MTG_Set_Type[Set Type], tbl_MTG_Set_Type[Index], "(Set Type not found)")</f>
        <v>(Set Type not found)</v>
      </c>
      <c r="J644" t="str">
        <f>_xlfn.XLOOKUP(tbl_MTG_Set[[#This Row],[Type Name]], tbl_MTG_Set_Type[Set Type], tbl_MTG_Set_Type[Buy Window Month Start], "(Set Type not found)")</f>
        <v>(Set Type not found)</v>
      </c>
      <c r="K644" s="3" t="e">
        <f>tbl_MTG_Set[[#This Row],[Released On]]+tbl_MTG_Set[[#This Row],[Buy Window Month Start]]*365.25/12</f>
        <v>#VALUE!</v>
      </c>
      <c r="L644" t="str">
        <f>_xlfn.XLOOKUP(tbl_MTG_Set[[#This Row],[Type Name]], tbl_MTG_Set_Type[Set Type], tbl_MTG_Set_Type[Buy Window Month End], "(Set Type not found)", 0, 1)</f>
        <v>(Set Type not found)</v>
      </c>
      <c r="M644" s="3" t="e">
        <f>tbl_MTG_Set[[#This Row],[Released On]]+tbl_MTG_Set[[#This Row],[Buy Window Month End]]*365.25/12</f>
        <v>#VALUE!</v>
      </c>
      <c r="N644" s="3" t="e">
        <f ca="1">AND(NOW()&gt;=tbl_MTG_Set[[#This Row],[Buy Window Start]], NOW()&lt;=tbl_MTG_Set[[#This Row],[Buy Window End]])</f>
        <v>#VALUE!</v>
      </c>
      <c r="O644" t="str">
        <f>_xlfn.XLOOKUP(tbl_MTG_Set[[#This Row],[Type Name]], tbl_MTG_Set_Type[Set Type], tbl_MTG_Set_Type[Heavy Printing Window Month Start], "(Set Type not found)", 0, 1)</f>
        <v>(Set Type not found)</v>
      </c>
      <c r="P644" s="3" t="e">
        <f>tbl_MTG_Set[[#This Row],[Released On]]+tbl_MTG_Set[[#This Row],[Heavy Printing Window Month Start]]*365.25/12</f>
        <v>#VALUE!</v>
      </c>
      <c r="Q644" t="str">
        <f>_xlfn.XLOOKUP(tbl_MTG_Set[[#This Row],[Type Name]], tbl_MTG_Set_Type[Set Type], tbl_MTG_Set_Type[Heavy Printing Window Month End], "(Set Type not found)", 0, 1)</f>
        <v>(Set Type not found)</v>
      </c>
      <c r="R644" s="3" t="e">
        <f>tbl_MTG_Set[[#This Row],[Released On]]+tbl_MTG_Set[[#This Row],[Heavy Printing Window Month End]]*365.25/12</f>
        <v>#VALUE!</v>
      </c>
      <c r="S644" s="3" t="e">
        <f ca="1">AND(NOW()&gt;=tbl_MTG_Set[[#This Row],[Heavy Printing Window Start]], NOW()&lt;=tbl_MTG_Set[[#This Row],[Heavy Printing Window End]])</f>
        <v>#VALUE!</v>
      </c>
      <c r="T644" t="str">
        <f>_xlfn.XLOOKUP(tbl_MTG_Set[[#This Row],[Type Name]], tbl_MTG_Set_Type[Set Type], tbl_MTG_Set_Type[Sell Window Month Start], "(Set Type not found)", 0, 1)</f>
        <v>(Set Type not found)</v>
      </c>
      <c r="U644" s="3" t="e">
        <f>tbl_MTG_Set[[#This Row],[Released On]]+tbl_MTG_Set[[#This Row],[Sell Window Month Start]]*365.25/12</f>
        <v>#VALUE!</v>
      </c>
      <c r="V644" t="str">
        <f>_xlfn.XLOOKUP(tbl_MTG_Set[[#This Row],[Type Name]], tbl_MTG_Set_Type[Set Type], tbl_MTG_Set_Type[Sell Window Month End], "(Set Type not found)", 0, 1)</f>
        <v>(Set Type not found)</v>
      </c>
      <c r="W644" s="3" t="e">
        <f>tbl_MTG_Set[[#This Row],[Released On]]+tbl_MTG_Set[[#This Row],[Sell Window Month End]]*365.25/12</f>
        <v>#VALUE!</v>
      </c>
      <c r="X644" s="3" t="e">
        <f ca="1">AND(NOW()&gt;=tbl_MTG_Set[[#This Row],[Sell Window Start]], NOW()&lt;=tbl_MTG_Set[[#This Row],[Sell Window End]])</f>
        <v>#VALUE!</v>
      </c>
      <c r="AG644" s="10"/>
      <c r="AH644" s="10"/>
      <c r="AM644" s="10" t="str" cm="1">
        <f t="array" ref="AM6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4" s="10" t="str" cm="1">
        <f t="array" ref="AN6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4" s="4" t="e">
        <f>_xlfn.XLOOKUP(tbl_MTG_Set[[#This Row],[Play Booster Box Product Id]], tbl_Product[Product Id], tbl_Product[Pack Size])</f>
        <v>#N/A</v>
      </c>
      <c r="AP644" s="10" t="e">
        <f>(tbl_MTG_Set[[#This Row],[Play Booster Box Cost]]+v_Item_Shipping_Cost_In)/tbl_MTG_Set[[#This Row],[Play Booster Box Size]]</f>
        <v>#VALUE!</v>
      </c>
      <c r="AQ644" s="10" t="str" cm="1">
        <f t="array" ref="AQ6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4" s="10"/>
      <c r="AS644" s="10"/>
      <c r="AT644" s="17" t="e">
        <f>tbl_MTG_Set[[#This Row],[Play Booster CardMarket Profit]]/tbl_MTG_Set[[#This Row],[Play Booster Cost]]</f>
        <v>#VALUE!</v>
      </c>
      <c r="AU644" s="10" t="e">
        <f>_xlfn.XLOOKUP(tbl_MTG_Set[[#This Row],[Collector Booster Box Product Id]], tbl_Product[Product Id], tbl_Product[Min Cost])</f>
        <v>#N/A</v>
      </c>
      <c r="AV644" s="10" t="e">
        <f>_xlfn.XLOOKUP(tbl_MTG_Set[[#This Row],[Collector Booster Box Product Id]], tbl_Product[Product Id], tbl_Product[Best Source])</f>
        <v>#N/A</v>
      </c>
      <c r="AW644" s="4" t="e">
        <f>_xlfn.XLOOKUP(tbl_MTG_Set[[#This Row],[Collector Booster Box Product Id]], tbl_Product[Product Id], tbl_Product[Pack Size])</f>
        <v>#N/A</v>
      </c>
      <c r="AX644" s="10" t="e">
        <f>(tbl_MTG_Set[[#This Row],[Collector Booster Box Cost]] + v_Item_Shipping_Cost_In) / tbl_MTG_Set[[#This Row],[Collector Booster Box Size]]</f>
        <v>#N/A</v>
      </c>
      <c r="AY644" s="10" t="str" cm="1">
        <f t="array" ref="AY6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4" s="10"/>
      <c r="BA6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4" s="17" t="e">
        <f>tbl_MTG_Set[[#This Row],[Collector Booster CardMarket Profit]]/tbl_MTG_Set[[#This Row],[Collector Booster Cost]]</f>
        <v>#N/A</v>
      </c>
      <c r="BC644" s="10"/>
      <c r="BF6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4" s="11" t="e">
        <f>tbl_MTG_Set[[#This Row],[Play Singles CardMarket Profit MTG Stocks]]/tbl_MTG_Set[[#This Row],[Play Booster Cost]]</f>
        <v>#VALUE!</v>
      </c>
      <c r="BI644" s="11" t="b">
        <f>tbl_MTG_Set[[#This Row],[Play Singles CardMarket Profit MTG Stocks]]&gt;0</f>
        <v>0</v>
      </c>
      <c r="BM644" s="10" t="e">
        <f>tbl_MTG_Set[[#This Row],[Play Booster Sell Price CardMarket]]*tbl_MTG_Set[[#This Row],[Play Booster Expected Market Value BotBox]]/tbl_MTG_Set[[#This Row],[Play Booster Sealed Market Value BotBox]]</f>
        <v>#VALUE!</v>
      </c>
      <c r="BN6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4" s="10" t="e">
        <f>tbl_MTG_Set[[#This Row],[Play Singles CardMarket Profit BotBox]]/tbl_MTG_Set[[#This Row],[Play Booster Cost]]</f>
        <v>#VALUE!</v>
      </c>
      <c r="BP644" s="10" t="b">
        <f>tbl_MTG_Set[[#This Row],[Play Singles CardMarket Profit BotBox]]&gt;0</f>
        <v>0</v>
      </c>
      <c r="BQ644" s="10"/>
      <c r="BR644" s="10"/>
      <c r="BS644" s="10"/>
      <c r="BT6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4" s="19" t="e">
        <f>tbl_MTG_Set[[#This Row],[Collector Singles CardMarket Profit MTG Stocks]]/tbl_MTG_Set[[#This Row],[Collector Booster Cost]]</f>
        <v>#N/A</v>
      </c>
      <c r="BW644" s="10" t="b">
        <f>tbl_MTG_Set[[#This Row],[Collector Singles CardMarket Profit MTG Stocks]]&gt;0</f>
        <v>0</v>
      </c>
      <c r="BX644" s="10"/>
      <c r="BY644" s="10"/>
      <c r="BZ6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4" s="10" t="e">
        <f>tbl_MTG_Set[[#This Row],[Collector Singles CardMarket Profit BotBox]]/tbl_MTG_Set[[#This Row],[Collector Booster Cost]]</f>
        <v>#N/A</v>
      </c>
      <c r="CC644" s="10" t="b">
        <f>tbl_MTG_Set[[#This Row],[Collector Singles CardMarket Profit BotBox]]&gt;0</f>
        <v>0</v>
      </c>
      <c r="CD6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5" spans="1:86" hidden="1">
      <c r="A645">
        <v>677</v>
      </c>
      <c r="B645" t="s">
        <v>818</v>
      </c>
      <c r="C645">
        <v>5</v>
      </c>
      <c r="D645" s="3">
        <v>41370</v>
      </c>
      <c r="F645" t="s">
        <v>174</v>
      </c>
      <c r="G645">
        <v>1300</v>
      </c>
      <c r="H645">
        <f ca="1">MONTH(NOW())+12*YEAR(NOW())-MONTH(tbl_MTG_Set[[#This Row],[Released On]])-12*YEAR(tbl_MTG_Set[[#This Row],[Released On]])</f>
        <v>155</v>
      </c>
      <c r="I645" t="str">
        <f>_xlfn.XLOOKUP(tbl_MTG_Set[[#This Row],[Type Name]], tbl_MTG_Set_Type[Set Type], tbl_MTG_Set_Type[Index], "(Set Type not found)")</f>
        <v>(Set Type not found)</v>
      </c>
      <c r="J645" t="str">
        <f>_xlfn.XLOOKUP(tbl_MTG_Set[[#This Row],[Type Name]], tbl_MTG_Set_Type[Set Type], tbl_MTG_Set_Type[Buy Window Month Start], "(Set Type not found)")</f>
        <v>(Set Type not found)</v>
      </c>
      <c r="K645" s="3" t="e">
        <f>tbl_MTG_Set[[#This Row],[Released On]]+tbl_MTG_Set[[#This Row],[Buy Window Month Start]]*365.25/12</f>
        <v>#VALUE!</v>
      </c>
      <c r="L645" t="str">
        <f>_xlfn.XLOOKUP(tbl_MTG_Set[[#This Row],[Type Name]], tbl_MTG_Set_Type[Set Type], tbl_MTG_Set_Type[Buy Window Month End], "(Set Type not found)", 0, 1)</f>
        <v>(Set Type not found)</v>
      </c>
      <c r="M645" s="3" t="e">
        <f>tbl_MTG_Set[[#This Row],[Released On]]+tbl_MTG_Set[[#This Row],[Buy Window Month End]]*365.25/12</f>
        <v>#VALUE!</v>
      </c>
      <c r="N645" s="3" t="e">
        <f ca="1">AND(NOW()&gt;=tbl_MTG_Set[[#This Row],[Buy Window Start]], NOW()&lt;=tbl_MTG_Set[[#This Row],[Buy Window End]])</f>
        <v>#VALUE!</v>
      </c>
      <c r="O645" t="str">
        <f>_xlfn.XLOOKUP(tbl_MTG_Set[[#This Row],[Type Name]], tbl_MTG_Set_Type[Set Type], tbl_MTG_Set_Type[Heavy Printing Window Month Start], "(Set Type not found)", 0, 1)</f>
        <v>(Set Type not found)</v>
      </c>
      <c r="P645" s="3" t="e">
        <f>tbl_MTG_Set[[#This Row],[Released On]]+tbl_MTG_Set[[#This Row],[Heavy Printing Window Month Start]]*365.25/12</f>
        <v>#VALUE!</v>
      </c>
      <c r="Q645" t="str">
        <f>_xlfn.XLOOKUP(tbl_MTG_Set[[#This Row],[Type Name]], tbl_MTG_Set_Type[Set Type], tbl_MTG_Set_Type[Heavy Printing Window Month End], "(Set Type not found)", 0, 1)</f>
        <v>(Set Type not found)</v>
      </c>
      <c r="R645" s="3" t="e">
        <f>tbl_MTG_Set[[#This Row],[Released On]]+tbl_MTG_Set[[#This Row],[Heavy Printing Window Month End]]*365.25/12</f>
        <v>#VALUE!</v>
      </c>
      <c r="S645" s="3" t="e">
        <f ca="1">AND(NOW()&gt;=tbl_MTG_Set[[#This Row],[Heavy Printing Window Start]], NOW()&lt;=tbl_MTG_Set[[#This Row],[Heavy Printing Window End]])</f>
        <v>#VALUE!</v>
      </c>
      <c r="T645" t="str">
        <f>_xlfn.XLOOKUP(tbl_MTG_Set[[#This Row],[Type Name]], tbl_MTG_Set_Type[Set Type], tbl_MTG_Set_Type[Sell Window Month Start], "(Set Type not found)", 0, 1)</f>
        <v>(Set Type not found)</v>
      </c>
      <c r="U645" s="3" t="e">
        <f>tbl_MTG_Set[[#This Row],[Released On]]+tbl_MTG_Set[[#This Row],[Sell Window Month Start]]*365.25/12</f>
        <v>#VALUE!</v>
      </c>
      <c r="V645" t="str">
        <f>_xlfn.XLOOKUP(tbl_MTG_Set[[#This Row],[Type Name]], tbl_MTG_Set_Type[Set Type], tbl_MTG_Set_Type[Sell Window Month End], "(Set Type not found)", 0, 1)</f>
        <v>(Set Type not found)</v>
      </c>
      <c r="W645" s="3" t="e">
        <f>tbl_MTG_Set[[#This Row],[Released On]]+tbl_MTG_Set[[#This Row],[Sell Window Month End]]*365.25/12</f>
        <v>#VALUE!</v>
      </c>
      <c r="X645" s="3" t="e">
        <f ca="1">AND(NOW()&gt;=tbl_MTG_Set[[#This Row],[Sell Window Start]], NOW()&lt;=tbl_MTG_Set[[#This Row],[Sell Window End]])</f>
        <v>#VALUE!</v>
      </c>
      <c r="AG645" s="10"/>
      <c r="AH645" s="10"/>
      <c r="AM645" s="10" t="str" cm="1">
        <f t="array" ref="AM6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5" s="10" t="str" cm="1">
        <f t="array" ref="AN6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5" s="4" t="e">
        <f>_xlfn.XLOOKUP(tbl_MTG_Set[[#This Row],[Play Booster Box Product Id]], tbl_Product[Product Id], tbl_Product[Pack Size])</f>
        <v>#N/A</v>
      </c>
      <c r="AP645" s="10" t="e">
        <f>(tbl_MTG_Set[[#This Row],[Play Booster Box Cost]]+v_Item_Shipping_Cost_In)/tbl_MTG_Set[[#This Row],[Play Booster Box Size]]</f>
        <v>#VALUE!</v>
      </c>
      <c r="AQ645" s="10" t="str" cm="1">
        <f t="array" ref="AQ6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5" s="10"/>
      <c r="AS645" s="10"/>
      <c r="AT645" s="17" t="e">
        <f>tbl_MTG_Set[[#This Row],[Play Booster CardMarket Profit]]/tbl_MTG_Set[[#This Row],[Play Booster Cost]]</f>
        <v>#VALUE!</v>
      </c>
      <c r="AU645" s="10" t="e">
        <f>_xlfn.XLOOKUP(tbl_MTG_Set[[#This Row],[Collector Booster Box Product Id]], tbl_Product[Product Id], tbl_Product[Min Cost])</f>
        <v>#N/A</v>
      </c>
      <c r="AV645" s="10" t="e">
        <f>_xlfn.XLOOKUP(tbl_MTG_Set[[#This Row],[Collector Booster Box Product Id]], tbl_Product[Product Id], tbl_Product[Best Source])</f>
        <v>#N/A</v>
      </c>
      <c r="AW645" s="4" t="e">
        <f>_xlfn.XLOOKUP(tbl_MTG_Set[[#This Row],[Collector Booster Box Product Id]], tbl_Product[Product Id], tbl_Product[Pack Size])</f>
        <v>#N/A</v>
      </c>
      <c r="AX645" s="10" t="e">
        <f>(tbl_MTG_Set[[#This Row],[Collector Booster Box Cost]] + v_Item_Shipping_Cost_In) / tbl_MTG_Set[[#This Row],[Collector Booster Box Size]]</f>
        <v>#N/A</v>
      </c>
      <c r="AY645" s="10" t="str" cm="1">
        <f t="array" ref="AY6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5" s="10"/>
      <c r="BA6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5" s="17" t="e">
        <f>tbl_MTG_Set[[#This Row],[Collector Booster CardMarket Profit]]/tbl_MTG_Set[[#This Row],[Collector Booster Cost]]</f>
        <v>#N/A</v>
      </c>
      <c r="BC645" s="10"/>
      <c r="BF6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5" s="11" t="e">
        <f>tbl_MTG_Set[[#This Row],[Play Singles CardMarket Profit MTG Stocks]]/tbl_MTG_Set[[#This Row],[Play Booster Cost]]</f>
        <v>#VALUE!</v>
      </c>
      <c r="BI645" s="11" t="b">
        <f>tbl_MTG_Set[[#This Row],[Play Singles CardMarket Profit MTG Stocks]]&gt;0</f>
        <v>0</v>
      </c>
      <c r="BM645" s="10" t="e">
        <f>tbl_MTG_Set[[#This Row],[Play Booster Sell Price CardMarket]]*tbl_MTG_Set[[#This Row],[Play Booster Expected Market Value BotBox]]/tbl_MTG_Set[[#This Row],[Play Booster Sealed Market Value BotBox]]</f>
        <v>#VALUE!</v>
      </c>
      <c r="BN6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5" s="10" t="e">
        <f>tbl_MTG_Set[[#This Row],[Play Singles CardMarket Profit BotBox]]/tbl_MTG_Set[[#This Row],[Play Booster Cost]]</f>
        <v>#VALUE!</v>
      </c>
      <c r="BP645" s="10" t="b">
        <f>tbl_MTG_Set[[#This Row],[Play Singles CardMarket Profit BotBox]]&gt;0</f>
        <v>0</v>
      </c>
      <c r="BQ645" s="10"/>
      <c r="BR645" s="10"/>
      <c r="BS645" s="10"/>
      <c r="BT6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5" s="19" t="e">
        <f>tbl_MTG_Set[[#This Row],[Collector Singles CardMarket Profit MTG Stocks]]/tbl_MTG_Set[[#This Row],[Collector Booster Cost]]</f>
        <v>#N/A</v>
      </c>
      <c r="BW645" s="10" t="b">
        <f>tbl_MTG_Set[[#This Row],[Collector Singles CardMarket Profit MTG Stocks]]&gt;0</f>
        <v>0</v>
      </c>
      <c r="BX645" s="10"/>
      <c r="BY645" s="10"/>
      <c r="BZ6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5" s="10" t="e">
        <f>tbl_MTG_Set[[#This Row],[Collector Singles CardMarket Profit BotBox]]/tbl_MTG_Set[[#This Row],[Collector Booster Cost]]</f>
        <v>#N/A</v>
      </c>
      <c r="CC645" s="10" t="b">
        <f>tbl_MTG_Set[[#This Row],[Collector Singles CardMarket Profit BotBox]]&gt;0</f>
        <v>0</v>
      </c>
      <c r="CD6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6" spans="1:86" hidden="1">
      <c r="A646">
        <v>678</v>
      </c>
      <c r="B646" t="s">
        <v>819</v>
      </c>
      <c r="C646">
        <v>80</v>
      </c>
      <c r="D646" s="3">
        <v>41348</v>
      </c>
      <c r="F646" t="s">
        <v>174</v>
      </c>
      <c r="G646">
        <v>1302</v>
      </c>
      <c r="H646">
        <f ca="1">MONTH(NOW())+12*YEAR(NOW())-MONTH(tbl_MTG_Set[[#This Row],[Released On]])-12*YEAR(tbl_MTG_Set[[#This Row],[Released On]])</f>
        <v>156</v>
      </c>
      <c r="I646" t="str">
        <f>_xlfn.XLOOKUP(tbl_MTG_Set[[#This Row],[Type Name]], tbl_MTG_Set_Type[Set Type], tbl_MTG_Set_Type[Index], "(Set Type not found)")</f>
        <v>(Set Type not found)</v>
      </c>
      <c r="J646" t="str">
        <f>_xlfn.XLOOKUP(tbl_MTG_Set[[#This Row],[Type Name]], tbl_MTG_Set_Type[Set Type], tbl_MTG_Set_Type[Buy Window Month Start], "(Set Type not found)")</f>
        <v>(Set Type not found)</v>
      </c>
      <c r="K646" s="3" t="e">
        <f>tbl_MTG_Set[[#This Row],[Released On]]+tbl_MTG_Set[[#This Row],[Buy Window Month Start]]*365.25/12</f>
        <v>#VALUE!</v>
      </c>
      <c r="L646" t="str">
        <f>_xlfn.XLOOKUP(tbl_MTG_Set[[#This Row],[Type Name]], tbl_MTG_Set_Type[Set Type], tbl_MTG_Set_Type[Buy Window Month End], "(Set Type not found)", 0, 1)</f>
        <v>(Set Type not found)</v>
      </c>
      <c r="M646" s="3" t="e">
        <f>tbl_MTG_Set[[#This Row],[Released On]]+tbl_MTG_Set[[#This Row],[Buy Window Month End]]*365.25/12</f>
        <v>#VALUE!</v>
      </c>
      <c r="N646" s="3" t="e">
        <f ca="1">AND(NOW()&gt;=tbl_MTG_Set[[#This Row],[Buy Window Start]], NOW()&lt;=tbl_MTG_Set[[#This Row],[Buy Window End]])</f>
        <v>#VALUE!</v>
      </c>
      <c r="O646" t="str">
        <f>_xlfn.XLOOKUP(tbl_MTG_Set[[#This Row],[Type Name]], tbl_MTG_Set_Type[Set Type], tbl_MTG_Set_Type[Heavy Printing Window Month Start], "(Set Type not found)", 0, 1)</f>
        <v>(Set Type not found)</v>
      </c>
      <c r="P646" s="3" t="e">
        <f>tbl_MTG_Set[[#This Row],[Released On]]+tbl_MTG_Set[[#This Row],[Heavy Printing Window Month Start]]*365.25/12</f>
        <v>#VALUE!</v>
      </c>
      <c r="Q646" t="str">
        <f>_xlfn.XLOOKUP(tbl_MTG_Set[[#This Row],[Type Name]], tbl_MTG_Set_Type[Set Type], tbl_MTG_Set_Type[Heavy Printing Window Month End], "(Set Type not found)", 0, 1)</f>
        <v>(Set Type not found)</v>
      </c>
      <c r="R646" s="3" t="e">
        <f>tbl_MTG_Set[[#This Row],[Released On]]+tbl_MTG_Set[[#This Row],[Heavy Printing Window Month End]]*365.25/12</f>
        <v>#VALUE!</v>
      </c>
      <c r="S646" s="3" t="e">
        <f ca="1">AND(NOW()&gt;=tbl_MTG_Set[[#This Row],[Heavy Printing Window Start]], NOW()&lt;=tbl_MTG_Set[[#This Row],[Heavy Printing Window End]])</f>
        <v>#VALUE!</v>
      </c>
      <c r="T646" t="str">
        <f>_xlfn.XLOOKUP(tbl_MTG_Set[[#This Row],[Type Name]], tbl_MTG_Set_Type[Set Type], tbl_MTG_Set_Type[Sell Window Month Start], "(Set Type not found)", 0, 1)</f>
        <v>(Set Type not found)</v>
      </c>
      <c r="U646" s="3" t="e">
        <f>tbl_MTG_Set[[#This Row],[Released On]]+tbl_MTG_Set[[#This Row],[Sell Window Month Start]]*365.25/12</f>
        <v>#VALUE!</v>
      </c>
      <c r="V646" t="str">
        <f>_xlfn.XLOOKUP(tbl_MTG_Set[[#This Row],[Type Name]], tbl_MTG_Set_Type[Set Type], tbl_MTG_Set_Type[Sell Window Month End], "(Set Type not found)", 0, 1)</f>
        <v>(Set Type not found)</v>
      </c>
      <c r="W646" s="3" t="e">
        <f>tbl_MTG_Set[[#This Row],[Released On]]+tbl_MTG_Set[[#This Row],[Sell Window Month End]]*365.25/12</f>
        <v>#VALUE!</v>
      </c>
      <c r="X646" s="3" t="e">
        <f ca="1">AND(NOW()&gt;=tbl_MTG_Set[[#This Row],[Sell Window Start]], NOW()&lt;=tbl_MTG_Set[[#This Row],[Sell Window End]])</f>
        <v>#VALUE!</v>
      </c>
      <c r="AG646" s="10"/>
      <c r="AH646" s="10"/>
      <c r="AM646" s="10" t="str" cm="1">
        <f t="array" ref="AM6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6" s="10" t="str" cm="1">
        <f t="array" ref="AN6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6" s="4" t="e">
        <f>_xlfn.XLOOKUP(tbl_MTG_Set[[#This Row],[Play Booster Box Product Id]], tbl_Product[Product Id], tbl_Product[Pack Size])</f>
        <v>#N/A</v>
      </c>
      <c r="AP646" s="10" t="e">
        <f>(tbl_MTG_Set[[#This Row],[Play Booster Box Cost]]+v_Item_Shipping_Cost_In)/tbl_MTG_Set[[#This Row],[Play Booster Box Size]]</f>
        <v>#VALUE!</v>
      </c>
      <c r="AQ646" s="10" t="str" cm="1">
        <f t="array" ref="AQ6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6" s="10"/>
      <c r="AS646" s="10"/>
      <c r="AT646" s="17" t="e">
        <f>tbl_MTG_Set[[#This Row],[Play Booster CardMarket Profit]]/tbl_MTG_Set[[#This Row],[Play Booster Cost]]</f>
        <v>#VALUE!</v>
      </c>
      <c r="AU646" s="10" t="e">
        <f>_xlfn.XLOOKUP(tbl_MTG_Set[[#This Row],[Collector Booster Box Product Id]], tbl_Product[Product Id], tbl_Product[Min Cost])</f>
        <v>#N/A</v>
      </c>
      <c r="AV646" s="10" t="e">
        <f>_xlfn.XLOOKUP(tbl_MTG_Set[[#This Row],[Collector Booster Box Product Id]], tbl_Product[Product Id], tbl_Product[Best Source])</f>
        <v>#N/A</v>
      </c>
      <c r="AW646" s="4" t="e">
        <f>_xlfn.XLOOKUP(tbl_MTG_Set[[#This Row],[Collector Booster Box Product Id]], tbl_Product[Product Id], tbl_Product[Pack Size])</f>
        <v>#N/A</v>
      </c>
      <c r="AX646" s="10" t="e">
        <f>(tbl_MTG_Set[[#This Row],[Collector Booster Box Cost]] + v_Item_Shipping_Cost_In) / tbl_MTG_Set[[#This Row],[Collector Booster Box Size]]</f>
        <v>#N/A</v>
      </c>
      <c r="AY646" s="10" t="str" cm="1">
        <f t="array" ref="AY6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6" s="10"/>
      <c r="BA6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6" s="17" t="e">
        <f>tbl_MTG_Set[[#This Row],[Collector Booster CardMarket Profit]]/tbl_MTG_Set[[#This Row],[Collector Booster Cost]]</f>
        <v>#N/A</v>
      </c>
      <c r="BC646" s="10"/>
      <c r="BF6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6" s="11" t="e">
        <f>tbl_MTG_Set[[#This Row],[Play Singles CardMarket Profit MTG Stocks]]/tbl_MTG_Set[[#This Row],[Play Booster Cost]]</f>
        <v>#VALUE!</v>
      </c>
      <c r="BI646" s="11" t="b">
        <f>tbl_MTG_Set[[#This Row],[Play Singles CardMarket Profit MTG Stocks]]&gt;0</f>
        <v>0</v>
      </c>
      <c r="BM646" s="10" t="e">
        <f>tbl_MTG_Set[[#This Row],[Play Booster Sell Price CardMarket]]*tbl_MTG_Set[[#This Row],[Play Booster Expected Market Value BotBox]]/tbl_MTG_Set[[#This Row],[Play Booster Sealed Market Value BotBox]]</f>
        <v>#VALUE!</v>
      </c>
      <c r="BN6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6" s="10" t="e">
        <f>tbl_MTG_Set[[#This Row],[Play Singles CardMarket Profit BotBox]]/tbl_MTG_Set[[#This Row],[Play Booster Cost]]</f>
        <v>#VALUE!</v>
      </c>
      <c r="BP646" s="10" t="b">
        <f>tbl_MTG_Set[[#This Row],[Play Singles CardMarket Profit BotBox]]&gt;0</f>
        <v>0</v>
      </c>
      <c r="BQ646" s="10"/>
      <c r="BR646" s="10"/>
      <c r="BS646" s="10"/>
      <c r="BT6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6" s="19" t="e">
        <f>tbl_MTG_Set[[#This Row],[Collector Singles CardMarket Profit MTG Stocks]]/tbl_MTG_Set[[#This Row],[Collector Booster Cost]]</f>
        <v>#N/A</v>
      </c>
      <c r="BW646" s="10" t="b">
        <f>tbl_MTG_Set[[#This Row],[Collector Singles CardMarket Profit MTG Stocks]]&gt;0</f>
        <v>0</v>
      </c>
      <c r="BX646" s="10"/>
      <c r="BY646" s="10"/>
      <c r="BZ6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6" s="10" t="e">
        <f>tbl_MTG_Set[[#This Row],[Collector Singles CardMarket Profit BotBox]]/tbl_MTG_Set[[#This Row],[Collector Booster Cost]]</f>
        <v>#N/A</v>
      </c>
      <c r="CC646" s="10" t="b">
        <f>tbl_MTG_Set[[#This Row],[Collector Singles CardMarket Profit BotBox]]&gt;0</f>
        <v>0</v>
      </c>
      <c r="CD6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7" spans="1:86" hidden="1">
      <c r="A647">
        <v>679</v>
      </c>
      <c r="B647" t="s">
        <v>820</v>
      </c>
      <c r="C647">
        <v>1</v>
      </c>
      <c r="D647" s="3">
        <v>41348</v>
      </c>
      <c r="F647" t="s">
        <v>174</v>
      </c>
      <c r="G647">
        <v>1304</v>
      </c>
      <c r="H647">
        <f ca="1">MONTH(NOW())+12*YEAR(NOW())-MONTH(tbl_MTG_Set[[#This Row],[Released On]])-12*YEAR(tbl_MTG_Set[[#This Row],[Released On]])</f>
        <v>156</v>
      </c>
      <c r="I647" t="str">
        <f>_xlfn.XLOOKUP(tbl_MTG_Set[[#This Row],[Type Name]], tbl_MTG_Set_Type[Set Type], tbl_MTG_Set_Type[Index], "(Set Type not found)")</f>
        <v>(Set Type not found)</v>
      </c>
      <c r="J647" t="str">
        <f>_xlfn.XLOOKUP(tbl_MTG_Set[[#This Row],[Type Name]], tbl_MTG_Set_Type[Set Type], tbl_MTG_Set_Type[Buy Window Month Start], "(Set Type not found)")</f>
        <v>(Set Type not found)</v>
      </c>
      <c r="K647" s="3" t="e">
        <f>tbl_MTG_Set[[#This Row],[Released On]]+tbl_MTG_Set[[#This Row],[Buy Window Month Start]]*365.25/12</f>
        <v>#VALUE!</v>
      </c>
      <c r="L647" t="str">
        <f>_xlfn.XLOOKUP(tbl_MTG_Set[[#This Row],[Type Name]], tbl_MTG_Set_Type[Set Type], tbl_MTG_Set_Type[Buy Window Month End], "(Set Type not found)", 0, 1)</f>
        <v>(Set Type not found)</v>
      </c>
      <c r="M647" s="3" t="e">
        <f>tbl_MTG_Set[[#This Row],[Released On]]+tbl_MTG_Set[[#This Row],[Buy Window Month End]]*365.25/12</f>
        <v>#VALUE!</v>
      </c>
      <c r="N647" s="3" t="e">
        <f ca="1">AND(NOW()&gt;=tbl_MTG_Set[[#This Row],[Buy Window Start]], NOW()&lt;=tbl_MTG_Set[[#This Row],[Buy Window End]])</f>
        <v>#VALUE!</v>
      </c>
      <c r="O647" t="str">
        <f>_xlfn.XLOOKUP(tbl_MTG_Set[[#This Row],[Type Name]], tbl_MTG_Set_Type[Set Type], tbl_MTG_Set_Type[Heavy Printing Window Month Start], "(Set Type not found)", 0, 1)</f>
        <v>(Set Type not found)</v>
      </c>
      <c r="P647" s="3" t="e">
        <f>tbl_MTG_Set[[#This Row],[Released On]]+tbl_MTG_Set[[#This Row],[Heavy Printing Window Month Start]]*365.25/12</f>
        <v>#VALUE!</v>
      </c>
      <c r="Q647" t="str">
        <f>_xlfn.XLOOKUP(tbl_MTG_Set[[#This Row],[Type Name]], tbl_MTG_Set_Type[Set Type], tbl_MTG_Set_Type[Heavy Printing Window Month End], "(Set Type not found)", 0, 1)</f>
        <v>(Set Type not found)</v>
      </c>
      <c r="R647" s="3" t="e">
        <f>tbl_MTG_Set[[#This Row],[Released On]]+tbl_MTG_Set[[#This Row],[Heavy Printing Window Month End]]*365.25/12</f>
        <v>#VALUE!</v>
      </c>
      <c r="S647" s="3" t="e">
        <f ca="1">AND(NOW()&gt;=tbl_MTG_Set[[#This Row],[Heavy Printing Window Start]], NOW()&lt;=tbl_MTG_Set[[#This Row],[Heavy Printing Window End]])</f>
        <v>#VALUE!</v>
      </c>
      <c r="T647" t="str">
        <f>_xlfn.XLOOKUP(tbl_MTG_Set[[#This Row],[Type Name]], tbl_MTG_Set_Type[Set Type], tbl_MTG_Set_Type[Sell Window Month Start], "(Set Type not found)", 0, 1)</f>
        <v>(Set Type not found)</v>
      </c>
      <c r="U647" s="3" t="e">
        <f>tbl_MTG_Set[[#This Row],[Released On]]+tbl_MTG_Set[[#This Row],[Sell Window Month Start]]*365.25/12</f>
        <v>#VALUE!</v>
      </c>
      <c r="V647" t="str">
        <f>_xlfn.XLOOKUP(tbl_MTG_Set[[#This Row],[Type Name]], tbl_MTG_Set_Type[Set Type], tbl_MTG_Set_Type[Sell Window Month End], "(Set Type not found)", 0, 1)</f>
        <v>(Set Type not found)</v>
      </c>
      <c r="W647" s="3" t="e">
        <f>tbl_MTG_Set[[#This Row],[Released On]]+tbl_MTG_Set[[#This Row],[Sell Window Month End]]*365.25/12</f>
        <v>#VALUE!</v>
      </c>
      <c r="X647" s="3" t="e">
        <f ca="1">AND(NOW()&gt;=tbl_MTG_Set[[#This Row],[Sell Window Start]], NOW()&lt;=tbl_MTG_Set[[#This Row],[Sell Window End]])</f>
        <v>#VALUE!</v>
      </c>
      <c r="AG647" s="10"/>
      <c r="AH647" s="10"/>
      <c r="AM647" s="10" t="str" cm="1">
        <f t="array" ref="AM6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7" s="10" t="str" cm="1">
        <f t="array" ref="AN6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7" s="4" t="e">
        <f>_xlfn.XLOOKUP(tbl_MTG_Set[[#This Row],[Play Booster Box Product Id]], tbl_Product[Product Id], tbl_Product[Pack Size])</f>
        <v>#N/A</v>
      </c>
      <c r="AP647" s="10" t="e">
        <f>(tbl_MTG_Set[[#This Row],[Play Booster Box Cost]]+v_Item_Shipping_Cost_In)/tbl_MTG_Set[[#This Row],[Play Booster Box Size]]</f>
        <v>#VALUE!</v>
      </c>
      <c r="AQ647" s="10" t="str" cm="1">
        <f t="array" ref="AQ6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7" s="10"/>
      <c r="AS647" s="10"/>
      <c r="AT647" s="17" t="e">
        <f>tbl_MTG_Set[[#This Row],[Play Booster CardMarket Profit]]/tbl_MTG_Set[[#This Row],[Play Booster Cost]]</f>
        <v>#VALUE!</v>
      </c>
      <c r="AU647" s="10" t="e">
        <f>_xlfn.XLOOKUP(tbl_MTG_Set[[#This Row],[Collector Booster Box Product Id]], tbl_Product[Product Id], tbl_Product[Min Cost])</f>
        <v>#N/A</v>
      </c>
      <c r="AV647" s="10" t="e">
        <f>_xlfn.XLOOKUP(tbl_MTG_Set[[#This Row],[Collector Booster Box Product Id]], tbl_Product[Product Id], tbl_Product[Best Source])</f>
        <v>#N/A</v>
      </c>
      <c r="AW647" s="4" t="e">
        <f>_xlfn.XLOOKUP(tbl_MTG_Set[[#This Row],[Collector Booster Box Product Id]], tbl_Product[Product Id], tbl_Product[Pack Size])</f>
        <v>#N/A</v>
      </c>
      <c r="AX647" s="10" t="e">
        <f>(tbl_MTG_Set[[#This Row],[Collector Booster Box Cost]] + v_Item_Shipping_Cost_In) / tbl_MTG_Set[[#This Row],[Collector Booster Box Size]]</f>
        <v>#N/A</v>
      </c>
      <c r="AY647" s="10" t="str" cm="1">
        <f t="array" ref="AY6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7" s="10"/>
      <c r="BA6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7" s="17" t="e">
        <f>tbl_MTG_Set[[#This Row],[Collector Booster CardMarket Profit]]/tbl_MTG_Set[[#This Row],[Collector Booster Cost]]</f>
        <v>#N/A</v>
      </c>
      <c r="BC647" s="10"/>
      <c r="BF6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7" s="11" t="e">
        <f>tbl_MTG_Set[[#This Row],[Play Singles CardMarket Profit MTG Stocks]]/tbl_MTG_Set[[#This Row],[Play Booster Cost]]</f>
        <v>#VALUE!</v>
      </c>
      <c r="BI647" s="11" t="b">
        <f>tbl_MTG_Set[[#This Row],[Play Singles CardMarket Profit MTG Stocks]]&gt;0</f>
        <v>0</v>
      </c>
      <c r="BM647" s="10" t="e">
        <f>tbl_MTG_Set[[#This Row],[Play Booster Sell Price CardMarket]]*tbl_MTG_Set[[#This Row],[Play Booster Expected Market Value BotBox]]/tbl_MTG_Set[[#This Row],[Play Booster Sealed Market Value BotBox]]</f>
        <v>#VALUE!</v>
      </c>
      <c r="BN6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7" s="10" t="e">
        <f>tbl_MTG_Set[[#This Row],[Play Singles CardMarket Profit BotBox]]/tbl_MTG_Set[[#This Row],[Play Booster Cost]]</f>
        <v>#VALUE!</v>
      </c>
      <c r="BP647" s="10" t="b">
        <f>tbl_MTG_Set[[#This Row],[Play Singles CardMarket Profit BotBox]]&gt;0</f>
        <v>0</v>
      </c>
      <c r="BQ647" s="10"/>
      <c r="BR647" s="10"/>
      <c r="BS647" s="10"/>
      <c r="BT6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7" s="19" t="e">
        <f>tbl_MTG_Set[[#This Row],[Collector Singles CardMarket Profit MTG Stocks]]/tbl_MTG_Set[[#This Row],[Collector Booster Cost]]</f>
        <v>#N/A</v>
      </c>
      <c r="BW647" s="10" t="b">
        <f>tbl_MTG_Set[[#This Row],[Collector Singles CardMarket Profit MTG Stocks]]&gt;0</f>
        <v>0</v>
      </c>
      <c r="BX647" s="10"/>
      <c r="BY647" s="10"/>
      <c r="BZ6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7" s="10" t="e">
        <f>tbl_MTG_Set[[#This Row],[Collector Singles CardMarket Profit BotBox]]/tbl_MTG_Set[[#This Row],[Collector Booster Cost]]</f>
        <v>#N/A</v>
      </c>
      <c r="CC647" s="10" t="b">
        <f>tbl_MTG_Set[[#This Row],[Collector Singles CardMarket Profit BotBox]]&gt;0</f>
        <v>0</v>
      </c>
      <c r="CD6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8" spans="1:86" hidden="1">
      <c r="A648">
        <v>680</v>
      </c>
      <c r="B648" t="s">
        <v>821</v>
      </c>
      <c r="C648">
        <v>249</v>
      </c>
      <c r="D648" s="3">
        <v>41306</v>
      </c>
      <c r="F648" t="s">
        <v>174</v>
      </c>
      <c r="G648">
        <v>1306</v>
      </c>
      <c r="H648">
        <f ca="1">MONTH(NOW())+12*YEAR(NOW())-MONTH(tbl_MTG_Set[[#This Row],[Released On]])-12*YEAR(tbl_MTG_Set[[#This Row],[Released On]])</f>
        <v>157</v>
      </c>
      <c r="I648" t="str">
        <f>_xlfn.XLOOKUP(tbl_MTG_Set[[#This Row],[Type Name]], tbl_MTG_Set_Type[Set Type], tbl_MTG_Set_Type[Index], "(Set Type not found)")</f>
        <v>(Set Type not found)</v>
      </c>
      <c r="J648" t="str">
        <f>_xlfn.XLOOKUP(tbl_MTG_Set[[#This Row],[Type Name]], tbl_MTG_Set_Type[Set Type], tbl_MTG_Set_Type[Buy Window Month Start], "(Set Type not found)")</f>
        <v>(Set Type not found)</v>
      </c>
      <c r="K648" s="3" t="e">
        <f>tbl_MTG_Set[[#This Row],[Released On]]+tbl_MTG_Set[[#This Row],[Buy Window Month Start]]*365.25/12</f>
        <v>#VALUE!</v>
      </c>
      <c r="L648" t="str">
        <f>_xlfn.XLOOKUP(tbl_MTG_Set[[#This Row],[Type Name]], tbl_MTG_Set_Type[Set Type], tbl_MTG_Set_Type[Buy Window Month End], "(Set Type not found)", 0, 1)</f>
        <v>(Set Type not found)</v>
      </c>
      <c r="M648" s="3" t="e">
        <f>tbl_MTG_Set[[#This Row],[Released On]]+tbl_MTG_Set[[#This Row],[Buy Window Month End]]*365.25/12</f>
        <v>#VALUE!</v>
      </c>
      <c r="N648" s="3" t="e">
        <f ca="1">AND(NOW()&gt;=tbl_MTG_Set[[#This Row],[Buy Window Start]], NOW()&lt;=tbl_MTG_Set[[#This Row],[Buy Window End]])</f>
        <v>#VALUE!</v>
      </c>
      <c r="O648" t="str">
        <f>_xlfn.XLOOKUP(tbl_MTG_Set[[#This Row],[Type Name]], tbl_MTG_Set_Type[Set Type], tbl_MTG_Set_Type[Heavy Printing Window Month Start], "(Set Type not found)", 0, 1)</f>
        <v>(Set Type not found)</v>
      </c>
      <c r="P648" s="3" t="e">
        <f>tbl_MTG_Set[[#This Row],[Released On]]+tbl_MTG_Set[[#This Row],[Heavy Printing Window Month Start]]*365.25/12</f>
        <v>#VALUE!</v>
      </c>
      <c r="Q648" t="str">
        <f>_xlfn.XLOOKUP(tbl_MTG_Set[[#This Row],[Type Name]], tbl_MTG_Set_Type[Set Type], tbl_MTG_Set_Type[Heavy Printing Window Month End], "(Set Type not found)", 0, 1)</f>
        <v>(Set Type not found)</v>
      </c>
      <c r="R648" s="3" t="e">
        <f>tbl_MTG_Set[[#This Row],[Released On]]+tbl_MTG_Set[[#This Row],[Heavy Printing Window Month End]]*365.25/12</f>
        <v>#VALUE!</v>
      </c>
      <c r="S648" s="3" t="e">
        <f ca="1">AND(NOW()&gt;=tbl_MTG_Set[[#This Row],[Heavy Printing Window Start]], NOW()&lt;=tbl_MTG_Set[[#This Row],[Heavy Printing Window End]])</f>
        <v>#VALUE!</v>
      </c>
      <c r="T648" t="str">
        <f>_xlfn.XLOOKUP(tbl_MTG_Set[[#This Row],[Type Name]], tbl_MTG_Set_Type[Set Type], tbl_MTG_Set_Type[Sell Window Month Start], "(Set Type not found)", 0, 1)</f>
        <v>(Set Type not found)</v>
      </c>
      <c r="U648" s="3" t="e">
        <f>tbl_MTG_Set[[#This Row],[Released On]]+tbl_MTG_Set[[#This Row],[Sell Window Month Start]]*365.25/12</f>
        <v>#VALUE!</v>
      </c>
      <c r="V648" t="str">
        <f>_xlfn.XLOOKUP(tbl_MTG_Set[[#This Row],[Type Name]], tbl_MTG_Set_Type[Set Type], tbl_MTG_Set_Type[Sell Window Month End], "(Set Type not found)", 0, 1)</f>
        <v>(Set Type not found)</v>
      </c>
      <c r="W648" s="3" t="e">
        <f>tbl_MTG_Set[[#This Row],[Released On]]+tbl_MTG_Set[[#This Row],[Sell Window Month End]]*365.25/12</f>
        <v>#VALUE!</v>
      </c>
      <c r="X648" s="3" t="e">
        <f ca="1">AND(NOW()&gt;=tbl_MTG_Set[[#This Row],[Sell Window Start]], NOW()&lt;=tbl_MTG_Set[[#This Row],[Sell Window End]])</f>
        <v>#VALUE!</v>
      </c>
      <c r="AG648" s="10"/>
      <c r="AH648" s="10"/>
      <c r="AM648" s="10" t="str" cm="1">
        <f t="array" ref="AM6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8" s="10" t="str" cm="1">
        <f t="array" ref="AN6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8" s="4" t="e">
        <f>_xlfn.XLOOKUP(tbl_MTG_Set[[#This Row],[Play Booster Box Product Id]], tbl_Product[Product Id], tbl_Product[Pack Size])</f>
        <v>#N/A</v>
      </c>
      <c r="AP648" s="10" t="e">
        <f>(tbl_MTG_Set[[#This Row],[Play Booster Box Cost]]+v_Item_Shipping_Cost_In)/tbl_MTG_Set[[#This Row],[Play Booster Box Size]]</f>
        <v>#VALUE!</v>
      </c>
      <c r="AQ648" s="10" t="str" cm="1">
        <f t="array" ref="AQ6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8" s="10"/>
      <c r="AS648" s="10"/>
      <c r="AT648" s="17" t="e">
        <f>tbl_MTG_Set[[#This Row],[Play Booster CardMarket Profit]]/tbl_MTG_Set[[#This Row],[Play Booster Cost]]</f>
        <v>#VALUE!</v>
      </c>
      <c r="AU648" s="10" t="e">
        <f>_xlfn.XLOOKUP(tbl_MTG_Set[[#This Row],[Collector Booster Box Product Id]], tbl_Product[Product Id], tbl_Product[Min Cost])</f>
        <v>#N/A</v>
      </c>
      <c r="AV648" s="10" t="e">
        <f>_xlfn.XLOOKUP(tbl_MTG_Set[[#This Row],[Collector Booster Box Product Id]], tbl_Product[Product Id], tbl_Product[Best Source])</f>
        <v>#N/A</v>
      </c>
      <c r="AW648" s="4" t="e">
        <f>_xlfn.XLOOKUP(tbl_MTG_Set[[#This Row],[Collector Booster Box Product Id]], tbl_Product[Product Id], tbl_Product[Pack Size])</f>
        <v>#N/A</v>
      </c>
      <c r="AX648" s="10" t="e">
        <f>(tbl_MTG_Set[[#This Row],[Collector Booster Box Cost]] + v_Item_Shipping_Cost_In) / tbl_MTG_Set[[#This Row],[Collector Booster Box Size]]</f>
        <v>#N/A</v>
      </c>
      <c r="AY648" s="10" t="str" cm="1">
        <f t="array" ref="AY6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8" s="10"/>
      <c r="BA6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8" s="17" t="e">
        <f>tbl_MTG_Set[[#This Row],[Collector Booster CardMarket Profit]]/tbl_MTG_Set[[#This Row],[Collector Booster Cost]]</f>
        <v>#N/A</v>
      </c>
      <c r="BC648" s="10"/>
      <c r="BF6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8" s="11" t="e">
        <f>tbl_MTG_Set[[#This Row],[Play Singles CardMarket Profit MTG Stocks]]/tbl_MTG_Set[[#This Row],[Play Booster Cost]]</f>
        <v>#VALUE!</v>
      </c>
      <c r="BI648" s="11" t="b">
        <f>tbl_MTG_Set[[#This Row],[Play Singles CardMarket Profit MTG Stocks]]&gt;0</f>
        <v>0</v>
      </c>
      <c r="BM648" s="10" t="e">
        <f>tbl_MTG_Set[[#This Row],[Play Booster Sell Price CardMarket]]*tbl_MTG_Set[[#This Row],[Play Booster Expected Market Value BotBox]]/tbl_MTG_Set[[#This Row],[Play Booster Sealed Market Value BotBox]]</f>
        <v>#VALUE!</v>
      </c>
      <c r="BN6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8" s="10" t="e">
        <f>tbl_MTG_Set[[#This Row],[Play Singles CardMarket Profit BotBox]]/tbl_MTG_Set[[#This Row],[Play Booster Cost]]</f>
        <v>#VALUE!</v>
      </c>
      <c r="BP648" s="10" t="b">
        <f>tbl_MTG_Set[[#This Row],[Play Singles CardMarket Profit BotBox]]&gt;0</f>
        <v>0</v>
      </c>
      <c r="BQ648" s="10"/>
      <c r="BR648" s="10"/>
      <c r="BS648" s="10"/>
      <c r="BT6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8" s="19" t="e">
        <f>tbl_MTG_Set[[#This Row],[Collector Singles CardMarket Profit MTG Stocks]]/tbl_MTG_Set[[#This Row],[Collector Booster Cost]]</f>
        <v>#N/A</v>
      </c>
      <c r="BW648" s="10" t="b">
        <f>tbl_MTG_Set[[#This Row],[Collector Singles CardMarket Profit MTG Stocks]]&gt;0</f>
        <v>0</v>
      </c>
      <c r="BX648" s="10"/>
      <c r="BY648" s="10"/>
      <c r="BZ6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8" s="10" t="e">
        <f>tbl_MTG_Set[[#This Row],[Collector Singles CardMarket Profit BotBox]]/tbl_MTG_Set[[#This Row],[Collector Booster Cost]]</f>
        <v>#N/A</v>
      </c>
      <c r="CC648" s="10" t="b">
        <f>tbl_MTG_Set[[#This Row],[Collector Singles CardMarket Profit BotBox]]&gt;0</f>
        <v>0</v>
      </c>
      <c r="CD6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49" spans="1:86" hidden="1">
      <c r="A649">
        <v>681</v>
      </c>
      <c r="B649" t="s">
        <v>822</v>
      </c>
      <c r="C649">
        <v>10</v>
      </c>
      <c r="D649" s="3">
        <v>41300</v>
      </c>
      <c r="F649" t="s">
        <v>174</v>
      </c>
      <c r="G649">
        <v>1308</v>
      </c>
      <c r="H649">
        <f ca="1">MONTH(NOW())+12*YEAR(NOW())-MONTH(tbl_MTG_Set[[#This Row],[Released On]])-12*YEAR(tbl_MTG_Set[[#This Row],[Released On]])</f>
        <v>158</v>
      </c>
      <c r="I649" t="str">
        <f>_xlfn.XLOOKUP(tbl_MTG_Set[[#This Row],[Type Name]], tbl_MTG_Set_Type[Set Type], tbl_MTG_Set_Type[Index], "(Set Type not found)")</f>
        <v>(Set Type not found)</v>
      </c>
      <c r="J649" t="str">
        <f>_xlfn.XLOOKUP(tbl_MTG_Set[[#This Row],[Type Name]], tbl_MTG_Set_Type[Set Type], tbl_MTG_Set_Type[Buy Window Month Start], "(Set Type not found)")</f>
        <v>(Set Type not found)</v>
      </c>
      <c r="K649" s="3" t="e">
        <f>tbl_MTG_Set[[#This Row],[Released On]]+tbl_MTG_Set[[#This Row],[Buy Window Month Start]]*365.25/12</f>
        <v>#VALUE!</v>
      </c>
      <c r="L649" t="str">
        <f>_xlfn.XLOOKUP(tbl_MTG_Set[[#This Row],[Type Name]], tbl_MTG_Set_Type[Set Type], tbl_MTG_Set_Type[Buy Window Month End], "(Set Type not found)", 0, 1)</f>
        <v>(Set Type not found)</v>
      </c>
      <c r="M649" s="3" t="e">
        <f>tbl_MTG_Set[[#This Row],[Released On]]+tbl_MTG_Set[[#This Row],[Buy Window Month End]]*365.25/12</f>
        <v>#VALUE!</v>
      </c>
      <c r="N649" s="3" t="e">
        <f ca="1">AND(NOW()&gt;=tbl_MTG_Set[[#This Row],[Buy Window Start]], NOW()&lt;=tbl_MTG_Set[[#This Row],[Buy Window End]])</f>
        <v>#VALUE!</v>
      </c>
      <c r="O649" t="str">
        <f>_xlfn.XLOOKUP(tbl_MTG_Set[[#This Row],[Type Name]], tbl_MTG_Set_Type[Set Type], tbl_MTG_Set_Type[Heavy Printing Window Month Start], "(Set Type not found)", 0, 1)</f>
        <v>(Set Type not found)</v>
      </c>
      <c r="P649" s="3" t="e">
        <f>tbl_MTG_Set[[#This Row],[Released On]]+tbl_MTG_Set[[#This Row],[Heavy Printing Window Month Start]]*365.25/12</f>
        <v>#VALUE!</v>
      </c>
      <c r="Q649" t="str">
        <f>_xlfn.XLOOKUP(tbl_MTG_Set[[#This Row],[Type Name]], tbl_MTG_Set_Type[Set Type], tbl_MTG_Set_Type[Heavy Printing Window Month End], "(Set Type not found)", 0, 1)</f>
        <v>(Set Type not found)</v>
      </c>
      <c r="R649" s="3" t="e">
        <f>tbl_MTG_Set[[#This Row],[Released On]]+tbl_MTG_Set[[#This Row],[Heavy Printing Window Month End]]*365.25/12</f>
        <v>#VALUE!</v>
      </c>
      <c r="S649" s="3" t="e">
        <f ca="1">AND(NOW()&gt;=tbl_MTG_Set[[#This Row],[Heavy Printing Window Start]], NOW()&lt;=tbl_MTG_Set[[#This Row],[Heavy Printing Window End]])</f>
        <v>#VALUE!</v>
      </c>
      <c r="T649" t="str">
        <f>_xlfn.XLOOKUP(tbl_MTG_Set[[#This Row],[Type Name]], tbl_MTG_Set_Type[Set Type], tbl_MTG_Set_Type[Sell Window Month Start], "(Set Type not found)", 0, 1)</f>
        <v>(Set Type not found)</v>
      </c>
      <c r="U649" s="3" t="e">
        <f>tbl_MTG_Set[[#This Row],[Released On]]+tbl_MTG_Set[[#This Row],[Sell Window Month Start]]*365.25/12</f>
        <v>#VALUE!</v>
      </c>
      <c r="V649" t="str">
        <f>_xlfn.XLOOKUP(tbl_MTG_Set[[#This Row],[Type Name]], tbl_MTG_Set_Type[Set Type], tbl_MTG_Set_Type[Sell Window Month End], "(Set Type not found)", 0, 1)</f>
        <v>(Set Type not found)</v>
      </c>
      <c r="W649" s="3" t="e">
        <f>tbl_MTG_Set[[#This Row],[Released On]]+tbl_MTG_Set[[#This Row],[Sell Window Month End]]*365.25/12</f>
        <v>#VALUE!</v>
      </c>
      <c r="X649" s="3" t="e">
        <f ca="1">AND(NOW()&gt;=tbl_MTG_Set[[#This Row],[Sell Window Start]], NOW()&lt;=tbl_MTG_Set[[#This Row],[Sell Window End]])</f>
        <v>#VALUE!</v>
      </c>
      <c r="AG649" s="10"/>
      <c r="AH649" s="10"/>
      <c r="AM649" s="10" t="str" cm="1">
        <f t="array" ref="AM6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49" s="10" t="str" cm="1">
        <f t="array" ref="AN6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49" s="4" t="e">
        <f>_xlfn.XLOOKUP(tbl_MTG_Set[[#This Row],[Play Booster Box Product Id]], tbl_Product[Product Id], tbl_Product[Pack Size])</f>
        <v>#N/A</v>
      </c>
      <c r="AP649" s="10" t="e">
        <f>(tbl_MTG_Set[[#This Row],[Play Booster Box Cost]]+v_Item_Shipping_Cost_In)/tbl_MTG_Set[[#This Row],[Play Booster Box Size]]</f>
        <v>#VALUE!</v>
      </c>
      <c r="AQ649" s="10" t="str" cm="1">
        <f t="array" ref="AQ6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49" s="10"/>
      <c r="AS649" s="10"/>
      <c r="AT649" s="17" t="e">
        <f>tbl_MTG_Set[[#This Row],[Play Booster CardMarket Profit]]/tbl_MTG_Set[[#This Row],[Play Booster Cost]]</f>
        <v>#VALUE!</v>
      </c>
      <c r="AU649" s="10" t="e">
        <f>_xlfn.XLOOKUP(tbl_MTG_Set[[#This Row],[Collector Booster Box Product Id]], tbl_Product[Product Id], tbl_Product[Min Cost])</f>
        <v>#N/A</v>
      </c>
      <c r="AV649" s="10" t="e">
        <f>_xlfn.XLOOKUP(tbl_MTG_Set[[#This Row],[Collector Booster Box Product Id]], tbl_Product[Product Id], tbl_Product[Best Source])</f>
        <v>#N/A</v>
      </c>
      <c r="AW649" s="4" t="e">
        <f>_xlfn.XLOOKUP(tbl_MTG_Set[[#This Row],[Collector Booster Box Product Id]], tbl_Product[Product Id], tbl_Product[Pack Size])</f>
        <v>#N/A</v>
      </c>
      <c r="AX649" s="10" t="e">
        <f>(tbl_MTG_Set[[#This Row],[Collector Booster Box Cost]] + v_Item_Shipping_Cost_In) / tbl_MTG_Set[[#This Row],[Collector Booster Box Size]]</f>
        <v>#N/A</v>
      </c>
      <c r="AY649" s="10" t="str" cm="1">
        <f t="array" ref="AY6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49" s="10"/>
      <c r="BA6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49" s="17" t="e">
        <f>tbl_MTG_Set[[#This Row],[Collector Booster CardMarket Profit]]/tbl_MTG_Set[[#This Row],[Collector Booster Cost]]</f>
        <v>#N/A</v>
      </c>
      <c r="BC649" s="10"/>
      <c r="BF6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49" s="11" t="e">
        <f>tbl_MTG_Set[[#This Row],[Play Singles CardMarket Profit MTG Stocks]]/tbl_MTG_Set[[#This Row],[Play Booster Cost]]</f>
        <v>#VALUE!</v>
      </c>
      <c r="BI649" s="11" t="b">
        <f>tbl_MTG_Set[[#This Row],[Play Singles CardMarket Profit MTG Stocks]]&gt;0</f>
        <v>0</v>
      </c>
      <c r="BM649" s="10" t="e">
        <f>tbl_MTG_Set[[#This Row],[Play Booster Sell Price CardMarket]]*tbl_MTG_Set[[#This Row],[Play Booster Expected Market Value BotBox]]/tbl_MTG_Set[[#This Row],[Play Booster Sealed Market Value BotBox]]</f>
        <v>#VALUE!</v>
      </c>
      <c r="BN6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49" s="10" t="e">
        <f>tbl_MTG_Set[[#This Row],[Play Singles CardMarket Profit BotBox]]/tbl_MTG_Set[[#This Row],[Play Booster Cost]]</f>
        <v>#VALUE!</v>
      </c>
      <c r="BP649" s="10" t="b">
        <f>tbl_MTG_Set[[#This Row],[Play Singles CardMarket Profit BotBox]]&gt;0</f>
        <v>0</v>
      </c>
      <c r="BQ649" s="10"/>
      <c r="BR649" s="10"/>
      <c r="BS649" s="10"/>
      <c r="BT6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49" s="19" t="e">
        <f>tbl_MTG_Set[[#This Row],[Collector Singles CardMarket Profit MTG Stocks]]/tbl_MTG_Set[[#This Row],[Collector Booster Cost]]</f>
        <v>#N/A</v>
      </c>
      <c r="BW649" s="10" t="b">
        <f>tbl_MTG_Set[[#This Row],[Collector Singles CardMarket Profit MTG Stocks]]&gt;0</f>
        <v>0</v>
      </c>
      <c r="BX649" s="10"/>
      <c r="BY649" s="10"/>
      <c r="BZ6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49" s="10" t="e">
        <f>tbl_MTG_Set[[#This Row],[Collector Singles CardMarket Profit BotBox]]/tbl_MTG_Set[[#This Row],[Collector Booster Cost]]</f>
        <v>#N/A</v>
      </c>
      <c r="CC649" s="10" t="b">
        <f>tbl_MTG_Set[[#This Row],[Collector Singles CardMarket Profit BotBox]]&gt;0</f>
        <v>0</v>
      </c>
      <c r="CD6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0" spans="1:86" hidden="1">
      <c r="A650">
        <v>682</v>
      </c>
      <c r="B650" t="s">
        <v>823</v>
      </c>
      <c r="C650">
        <v>8</v>
      </c>
      <c r="D650" s="3">
        <v>41306</v>
      </c>
      <c r="F650" t="s">
        <v>174</v>
      </c>
      <c r="G650">
        <v>1310</v>
      </c>
      <c r="H650">
        <f ca="1">MONTH(NOW())+12*YEAR(NOW())-MONTH(tbl_MTG_Set[[#This Row],[Released On]])-12*YEAR(tbl_MTG_Set[[#This Row],[Released On]])</f>
        <v>157</v>
      </c>
      <c r="I650" t="str">
        <f>_xlfn.XLOOKUP(tbl_MTG_Set[[#This Row],[Type Name]], tbl_MTG_Set_Type[Set Type], tbl_MTG_Set_Type[Index], "(Set Type not found)")</f>
        <v>(Set Type not found)</v>
      </c>
      <c r="J650" t="str">
        <f>_xlfn.XLOOKUP(tbl_MTG_Set[[#This Row],[Type Name]], tbl_MTG_Set_Type[Set Type], tbl_MTG_Set_Type[Buy Window Month Start], "(Set Type not found)")</f>
        <v>(Set Type not found)</v>
      </c>
      <c r="K650" s="3" t="e">
        <f>tbl_MTG_Set[[#This Row],[Released On]]+tbl_MTG_Set[[#This Row],[Buy Window Month Start]]*365.25/12</f>
        <v>#VALUE!</v>
      </c>
      <c r="L650" t="str">
        <f>_xlfn.XLOOKUP(tbl_MTG_Set[[#This Row],[Type Name]], tbl_MTG_Set_Type[Set Type], tbl_MTG_Set_Type[Buy Window Month End], "(Set Type not found)", 0, 1)</f>
        <v>(Set Type not found)</v>
      </c>
      <c r="M650" s="3" t="e">
        <f>tbl_MTG_Set[[#This Row],[Released On]]+tbl_MTG_Set[[#This Row],[Buy Window Month End]]*365.25/12</f>
        <v>#VALUE!</v>
      </c>
      <c r="N650" s="3" t="e">
        <f ca="1">AND(NOW()&gt;=tbl_MTG_Set[[#This Row],[Buy Window Start]], NOW()&lt;=tbl_MTG_Set[[#This Row],[Buy Window End]])</f>
        <v>#VALUE!</v>
      </c>
      <c r="O650" t="str">
        <f>_xlfn.XLOOKUP(tbl_MTG_Set[[#This Row],[Type Name]], tbl_MTG_Set_Type[Set Type], tbl_MTG_Set_Type[Heavy Printing Window Month Start], "(Set Type not found)", 0, 1)</f>
        <v>(Set Type not found)</v>
      </c>
      <c r="P650" s="3" t="e">
        <f>tbl_MTG_Set[[#This Row],[Released On]]+tbl_MTG_Set[[#This Row],[Heavy Printing Window Month Start]]*365.25/12</f>
        <v>#VALUE!</v>
      </c>
      <c r="Q650" t="str">
        <f>_xlfn.XLOOKUP(tbl_MTG_Set[[#This Row],[Type Name]], tbl_MTG_Set_Type[Set Type], tbl_MTG_Set_Type[Heavy Printing Window Month End], "(Set Type not found)", 0, 1)</f>
        <v>(Set Type not found)</v>
      </c>
      <c r="R650" s="3" t="e">
        <f>tbl_MTG_Set[[#This Row],[Released On]]+tbl_MTG_Set[[#This Row],[Heavy Printing Window Month End]]*365.25/12</f>
        <v>#VALUE!</v>
      </c>
      <c r="S650" s="3" t="e">
        <f ca="1">AND(NOW()&gt;=tbl_MTG_Set[[#This Row],[Heavy Printing Window Start]], NOW()&lt;=tbl_MTG_Set[[#This Row],[Heavy Printing Window End]])</f>
        <v>#VALUE!</v>
      </c>
      <c r="T650" t="str">
        <f>_xlfn.XLOOKUP(tbl_MTG_Set[[#This Row],[Type Name]], tbl_MTG_Set_Type[Set Type], tbl_MTG_Set_Type[Sell Window Month Start], "(Set Type not found)", 0, 1)</f>
        <v>(Set Type not found)</v>
      </c>
      <c r="U650" s="3" t="e">
        <f>tbl_MTG_Set[[#This Row],[Released On]]+tbl_MTG_Set[[#This Row],[Sell Window Month Start]]*365.25/12</f>
        <v>#VALUE!</v>
      </c>
      <c r="V650" t="str">
        <f>_xlfn.XLOOKUP(tbl_MTG_Set[[#This Row],[Type Name]], tbl_MTG_Set_Type[Set Type], tbl_MTG_Set_Type[Sell Window Month End], "(Set Type not found)", 0, 1)</f>
        <v>(Set Type not found)</v>
      </c>
      <c r="W650" s="3" t="e">
        <f>tbl_MTG_Set[[#This Row],[Released On]]+tbl_MTG_Set[[#This Row],[Sell Window Month End]]*365.25/12</f>
        <v>#VALUE!</v>
      </c>
      <c r="X650" s="3" t="e">
        <f ca="1">AND(NOW()&gt;=tbl_MTG_Set[[#This Row],[Sell Window Start]], NOW()&lt;=tbl_MTG_Set[[#This Row],[Sell Window End]])</f>
        <v>#VALUE!</v>
      </c>
      <c r="AG650" s="10"/>
      <c r="AH650" s="10"/>
      <c r="AM650" s="10" t="str" cm="1">
        <f t="array" ref="AM6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0" s="10" t="str" cm="1">
        <f t="array" ref="AN6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0" s="4" t="e">
        <f>_xlfn.XLOOKUP(tbl_MTG_Set[[#This Row],[Play Booster Box Product Id]], tbl_Product[Product Id], tbl_Product[Pack Size])</f>
        <v>#N/A</v>
      </c>
      <c r="AP650" s="10" t="e">
        <f>(tbl_MTG_Set[[#This Row],[Play Booster Box Cost]]+v_Item_Shipping_Cost_In)/tbl_MTG_Set[[#This Row],[Play Booster Box Size]]</f>
        <v>#VALUE!</v>
      </c>
      <c r="AQ650" s="10" t="str" cm="1">
        <f t="array" ref="AQ6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0" s="10"/>
      <c r="AS650" s="10"/>
      <c r="AT650" s="17" t="e">
        <f>tbl_MTG_Set[[#This Row],[Play Booster CardMarket Profit]]/tbl_MTG_Set[[#This Row],[Play Booster Cost]]</f>
        <v>#VALUE!</v>
      </c>
      <c r="AU650" s="10" t="e">
        <f>_xlfn.XLOOKUP(tbl_MTG_Set[[#This Row],[Collector Booster Box Product Id]], tbl_Product[Product Id], tbl_Product[Min Cost])</f>
        <v>#N/A</v>
      </c>
      <c r="AV650" s="10" t="e">
        <f>_xlfn.XLOOKUP(tbl_MTG_Set[[#This Row],[Collector Booster Box Product Id]], tbl_Product[Product Id], tbl_Product[Best Source])</f>
        <v>#N/A</v>
      </c>
      <c r="AW650" s="4" t="e">
        <f>_xlfn.XLOOKUP(tbl_MTG_Set[[#This Row],[Collector Booster Box Product Id]], tbl_Product[Product Id], tbl_Product[Pack Size])</f>
        <v>#N/A</v>
      </c>
      <c r="AX650" s="10" t="e">
        <f>(tbl_MTG_Set[[#This Row],[Collector Booster Box Cost]] + v_Item_Shipping_Cost_In) / tbl_MTG_Set[[#This Row],[Collector Booster Box Size]]</f>
        <v>#N/A</v>
      </c>
      <c r="AY650" s="10" t="str" cm="1">
        <f t="array" ref="AY6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0" s="10"/>
      <c r="BA6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0" s="17" t="e">
        <f>tbl_MTG_Set[[#This Row],[Collector Booster CardMarket Profit]]/tbl_MTG_Set[[#This Row],[Collector Booster Cost]]</f>
        <v>#N/A</v>
      </c>
      <c r="BC650" s="10"/>
      <c r="BF6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0" s="11" t="e">
        <f>tbl_MTG_Set[[#This Row],[Play Singles CardMarket Profit MTG Stocks]]/tbl_MTG_Set[[#This Row],[Play Booster Cost]]</f>
        <v>#VALUE!</v>
      </c>
      <c r="BI650" s="11" t="b">
        <f>tbl_MTG_Set[[#This Row],[Play Singles CardMarket Profit MTG Stocks]]&gt;0</f>
        <v>0</v>
      </c>
      <c r="BM650" s="10" t="e">
        <f>tbl_MTG_Set[[#This Row],[Play Booster Sell Price CardMarket]]*tbl_MTG_Set[[#This Row],[Play Booster Expected Market Value BotBox]]/tbl_MTG_Set[[#This Row],[Play Booster Sealed Market Value BotBox]]</f>
        <v>#VALUE!</v>
      </c>
      <c r="BN6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0" s="10" t="e">
        <f>tbl_MTG_Set[[#This Row],[Play Singles CardMarket Profit BotBox]]/tbl_MTG_Set[[#This Row],[Play Booster Cost]]</f>
        <v>#VALUE!</v>
      </c>
      <c r="BP650" s="10" t="b">
        <f>tbl_MTG_Set[[#This Row],[Play Singles CardMarket Profit BotBox]]&gt;0</f>
        <v>0</v>
      </c>
      <c r="BQ650" s="10"/>
      <c r="BR650" s="10"/>
      <c r="BS650" s="10"/>
      <c r="BT6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0" s="19" t="e">
        <f>tbl_MTG_Set[[#This Row],[Collector Singles CardMarket Profit MTG Stocks]]/tbl_MTG_Set[[#This Row],[Collector Booster Cost]]</f>
        <v>#N/A</v>
      </c>
      <c r="BW650" s="10" t="b">
        <f>tbl_MTG_Set[[#This Row],[Collector Singles CardMarket Profit MTG Stocks]]&gt;0</f>
        <v>0</v>
      </c>
      <c r="BX650" s="10"/>
      <c r="BY650" s="10"/>
      <c r="BZ6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0" s="10" t="e">
        <f>tbl_MTG_Set[[#This Row],[Collector Singles CardMarket Profit BotBox]]/tbl_MTG_Set[[#This Row],[Collector Booster Cost]]</f>
        <v>#N/A</v>
      </c>
      <c r="CC650" s="10" t="b">
        <f>tbl_MTG_Set[[#This Row],[Collector Singles CardMarket Profit BotBox]]&gt;0</f>
        <v>0</v>
      </c>
      <c r="CD6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1" spans="1:86" hidden="1">
      <c r="A651">
        <v>683</v>
      </c>
      <c r="B651" t="s">
        <v>824</v>
      </c>
      <c r="C651">
        <v>3</v>
      </c>
      <c r="D651" s="3">
        <v>41275</v>
      </c>
      <c r="F651" t="s">
        <v>174</v>
      </c>
      <c r="G651">
        <v>1312</v>
      </c>
      <c r="H651">
        <f ca="1">MONTH(NOW())+12*YEAR(NOW())-MONTH(tbl_MTG_Set[[#This Row],[Released On]])-12*YEAR(tbl_MTG_Set[[#This Row],[Released On]])</f>
        <v>158</v>
      </c>
      <c r="I651" t="str">
        <f>_xlfn.XLOOKUP(tbl_MTG_Set[[#This Row],[Type Name]], tbl_MTG_Set_Type[Set Type], tbl_MTG_Set_Type[Index], "(Set Type not found)")</f>
        <v>(Set Type not found)</v>
      </c>
      <c r="J651" t="str">
        <f>_xlfn.XLOOKUP(tbl_MTG_Set[[#This Row],[Type Name]], tbl_MTG_Set_Type[Set Type], tbl_MTG_Set_Type[Buy Window Month Start], "(Set Type not found)")</f>
        <v>(Set Type not found)</v>
      </c>
      <c r="K651" s="3" t="e">
        <f>tbl_MTG_Set[[#This Row],[Released On]]+tbl_MTG_Set[[#This Row],[Buy Window Month Start]]*365.25/12</f>
        <v>#VALUE!</v>
      </c>
      <c r="L651" t="str">
        <f>_xlfn.XLOOKUP(tbl_MTG_Set[[#This Row],[Type Name]], tbl_MTG_Set_Type[Set Type], tbl_MTG_Set_Type[Buy Window Month End], "(Set Type not found)", 0, 1)</f>
        <v>(Set Type not found)</v>
      </c>
      <c r="M651" s="3" t="e">
        <f>tbl_MTG_Set[[#This Row],[Released On]]+tbl_MTG_Set[[#This Row],[Buy Window Month End]]*365.25/12</f>
        <v>#VALUE!</v>
      </c>
      <c r="N651" s="3" t="e">
        <f ca="1">AND(NOW()&gt;=tbl_MTG_Set[[#This Row],[Buy Window Start]], NOW()&lt;=tbl_MTG_Set[[#This Row],[Buy Window End]])</f>
        <v>#VALUE!</v>
      </c>
      <c r="O651" t="str">
        <f>_xlfn.XLOOKUP(tbl_MTG_Set[[#This Row],[Type Name]], tbl_MTG_Set_Type[Set Type], tbl_MTG_Set_Type[Heavy Printing Window Month Start], "(Set Type not found)", 0, 1)</f>
        <v>(Set Type not found)</v>
      </c>
      <c r="P651" s="3" t="e">
        <f>tbl_MTG_Set[[#This Row],[Released On]]+tbl_MTG_Set[[#This Row],[Heavy Printing Window Month Start]]*365.25/12</f>
        <v>#VALUE!</v>
      </c>
      <c r="Q651" t="str">
        <f>_xlfn.XLOOKUP(tbl_MTG_Set[[#This Row],[Type Name]], tbl_MTG_Set_Type[Set Type], tbl_MTG_Set_Type[Heavy Printing Window Month End], "(Set Type not found)", 0, 1)</f>
        <v>(Set Type not found)</v>
      </c>
      <c r="R651" s="3" t="e">
        <f>tbl_MTG_Set[[#This Row],[Released On]]+tbl_MTG_Set[[#This Row],[Heavy Printing Window Month End]]*365.25/12</f>
        <v>#VALUE!</v>
      </c>
      <c r="S651" s="3" t="e">
        <f ca="1">AND(NOW()&gt;=tbl_MTG_Set[[#This Row],[Heavy Printing Window Start]], NOW()&lt;=tbl_MTG_Set[[#This Row],[Heavy Printing Window End]])</f>
        <v>#VALUE!</v>
      </c>
      <c r="T651" t="str">
        <f>_xlfn.XLOOKUP(tbl_MTG_Set[[#This Row],[Type Name]], tbl_MTG_Set_Type[Set Type], tbl_MTG_Set_Type[Sell Window Month Start], "(Set Type not found)", 0, 1)</f>
        <v>(Set Type not found)</v>
      </c>
      <c r="U651" s="3" t="e">
        <f>tbl_MTG_Set[[#This Row],[Released On]]+tbl_MTG_Set[[#This Row],[Sell Window Month Start]]*365.25/12</f>
        <v>#VALUE!</v>
      </c>
      <c r="V651" t="str">
        <f>_xlfn.XLOOKUP(tbl_MTG_Set[[#This Row],[Type Name]], tbl_MTG_Set_Type[Set Type], tbl_MTG_Set_Type[Sell Window Month End], "(Set Type not found)", 0, 1)</f>
        <v>(Set Type not found)</v>
      </c>
      <c r="W651" s="3" t="e">
        <f>tbl_MTG_Set[[#This Row],[Released On]]+tbl_MTG_Set[[#This Row],[Sell Window Month End]]*365.25/12</f>
        <v>#VALUE!</v>
      </c>
      <c r="X651" s="3" t="e">
        <f ca="1">AND(NOW()&gt;=tbl_MTG_Set[[#This Row],[Sell Window Start]], NOW()&lt;=tbl_MTG_Set[[#This Row],[Sell Window End]])</f>
        <v>#VALUE!</v>
      </c>
      <c r="AG651" s="10"/>
      <c r="AH651" s="10"/>
      <c r="AM651" s="10" t="str" cm="1">
        <f t="array" ref="AM6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1" s="10" t="str" cm="1">
        <f t="array" ref="AN6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1" s="4" t="e">
        <f>_xlfn.XLOOKUP(tbl_MTG_Set[[#This Row],[Play Booster Box Product Id]], tbl_Product[Product Id], tbl_Product[Pack Size])</f>
        <v>#N/A</v>
      </c>
      <c r="AP651" s="10" t="e">
        <f>(tbl_MTG_Set[[#This Row],[Play Booster Box Cost]]+v_Item_Shipping_Cost_In)/tbl_MTG_Set[[#This Row],[Play Booster Box Size]]</f>
        <v>#VALUE!</v>
      </c>
      <c r="AQ651" s="10" t="str" cm="1">
        <f t="array" ref="AQ6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1" s="10"/>
      <c r="AS651" s="10"/>
      <c r="AT651" s="17" t="e">
        <f>tbl_MTG_Set[[#This Row],[Play Booster CardMarket Profit]]/tbl_MTG_Set[[#This Row],[Play Booster Cost]]</f>
        <v>#VALUE!</v>
      </c>
      <c r="AU651" s="10" t="e">
        <f>_xlfn.XLOOKUP(tbl_MTG_Set[[#This Row],[Collector Booster Box Product Id]], tbl_Product[Product Id], tbl_Product[Min Cost])</f>
        <v>#N/A</v>
      </c>
      <c r="AV651" s="10" t="e">
        <f>_xlfn.XLOOKUP(tbl_MTG_Set[[#This Row],[Collector Booster Box Product Id]], tbl_Product[Product Id], tbl_Product[Best Source])</f>
        <v>#N/A</v>
      </c>
      <c r="AW651" s="4" t="e">
        <f>_xlfn.XLOOKUP(tbl_MTG_Set[[#This Row],[Collector Booster Box Product Id]], tbl_Product[Product Id], tbl_Product[Pack Size])</f>
        <v>#N/A</v>
      </c>
      <c r="AX651" s="10" t="e">
        <f>(tbl_MTG_Set[[#This Row],[Collector Booster Box Cost]] + v_Item_Shipping_Cost_In) / tbl_MTG_Set[[#This Row],[Collector Booster Box Size]]</f>
        <v>#N/A</v>
      </c>
      <c r="AY651" s="10" t="str" cm="1">
        <f t="array" ref="AY6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1" s="10"/>
      <c r="BA6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1" s="17" t="e">
        <f>tbl_MTG_Set[[#This Row],[Collector Booster CardMarket Profit]]/tbl_MTG_Set[[#This Row],[Collector Booster Cost]]</f>
        <v>#N/A</v>
      </c>
      <c r="BC651" s="10"/>
      <c r="BF6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1" s="11" t="e">
        <f>tbl_MTG_Set[[#This Row],[Play Singles CardMarket Profit MTG Stocks]]/tbl_MTG_Set[[#This Row],[Play Booster Cost]]</f>
        <v>#VALUE!</v>
      </c>
      <c r="BI651" s="11" t="b">
        <f>tbl_MTG_Set[[#This Row],[Play Singles CardMarket Profit MTG Stocks]]&gt;0</f>
        <v>0</v>
      </c>
      <c r="BM651" s="10" t="e">
        <f>tbl_MTG_Set[[#This Row],[Play Booster Sell Price CardMarket]]*tbl_MTG_Set[[#This Row],[Play Booster Expected Market Value BotBox]]/tbl_MTG_Set[[#This Row],[Play Booster Sealed Market Value BotBox]]</f>
        <v>#VALUE!</v>
      </c>
      <c r="BN6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1" s="10" t="e">
        <f>tbl_MTG_Set[[#This Row],[Play Singles CardMarket Profit BotBox]]/tbl_MTG_Set[[#This Row],[Play Booster Cost]]</f>
        <v>#VALUE!</v>
      </c>
      <c r="BP651" s="10" t="b">
        <f>tbl_MTG_Set[[#This Row],[Play Singles CardMarket Profit BotBox]]&gt;0</f>
        <v>0</v>
      </c>
      <c r="BQ651" s="10"/>
      <c r="BR651" s="10"/>
      <c r="BS651" s="10"/>
      <c r="BT6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1" s="19" t="e">
        <f>tbl_MTG_Set[[#This Row],[Collector Singles CardMarket Profit MTG Stocks]]/tbl_MTG_Set[[#This Row],[Collector Booster Cost]]</f>
        <v>#N/A</v>
      </c>
      <c r="BW651" s="10" t="b">
        <f>tbl_MTG_Set[[#This Row],[Collector Singles CardMarket Profit MTG Stocks]]&gt;0</f>
        <v>0</v>
      </c>
      <c r="BX651" s="10"/>
      <c r="BY651" s="10"/>
      <c r="BZ6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1" s="10" t="e">
        <f>tbl_MTG_Set[[#This Row],[Collector Singles CardMarket Profit BotBox]]/tbl_MTG_Set[[#This Row],[Collector Booster Cost]]</f>
        <v>#N/A</v>
      </c>
      <c r="CC651" s="10" t="b">
        <f>tbl_MTG_Set[[#This Row],[Collector Singles CardMarket Profit BotBox]]&gt;0</f>
        <v>0</v>
      </c>
      <c r="CD6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2" spans="1:86" hidden="1">
      <c r="A652">
        <v>684</v>
      </c>
      <c r="B652" t="s">
        <v>825</v>
      </c>
      <c r="C652">
        <v>4</v>
      </c>
      <c r="D652" s="3">
        <v>41275</v>
      </c>
      <c r="F652" t="s">
        <v>174</v>
      </c>
      <c r="G652">
        <v>1314</v>
      </c>
      <c r="H652">
        <f ca="1">MONTH(NOW())+12*YEAR(NOW())-MONTH(tbl_MTG_Set[[#This Row],[Released On]])-12*YEAR(tbl_MTG_Set[[#This Row],[Released On]])</f>
        <v>158</v>
      </c>
      <c r="I652" t="str">
        <f>_xlfn.XLOOKUP(tbl_MTG_Set[[#This Row],[Type Name]], tbl_MTG_Set_Type[Set Type], tbl_MTG_Set_Type[Index], "(Set Type not found)")</f>
        <v>(Set Type not found)</v>
      </c>
      <c r="J652" t="str">
        <f>_xlfn.XLOOKUP(tbl_MTG_Set[[#This Row],[Type Name]], tbl_MTG_Set_Type[Set Type], tbl_MTG_Set_Type[Buy Window Month Start], "(Set Type not found)")</f>
        <v>(Set Type not found)</v>
      </c>
      <c r="K652" s="3" t="e">
        <f>tbl_MTG_Set[[#This Row],[Released On]]+tbl_MTG_Set[[#This Row],[Buy Window Month Start]]*365.25/12</f>
        <v>#VALUE!</v>
      </c>
      <c r="L652" t="str">
        <f>_xlfn.XLOOKUP(tbl_MTG_Set[[#This Row],[Type Name]], tbl_MTG_Set_Type[Set Type], tbl_MTG_Set_Type[Buy Window Month End], "(Set Type not found)", 0, 1)</f>
        <v>(Set Type not found)</v>
      </c>
      <c r="M652" s="3" t="e">
        <f>tbl_MTG_Set[[#This Row],[Released On]]+tbl_MTG_Set[[#This Row],[Buy Window Month End]]*365.25/12</f>
        <v>#VALUE!</v>
      </c>
      <c r="N652" s="3" t="e">
        <f ca="1">AND(NOW()&gt;=tbl_MTG_Set[[#This Row],[Buy Window Start]], NOW()&lt;=tbl_MTG_Set[[#This Row],[Buy Window End]])</f>
        <v>#VALUE!</v>
      </c>
      <c r="O652" t="str">
        <f>_xlfn.XLOOKUP(tbl_MTG_Set[[#This Row],[Type Name]], tbl_MTG_Set_Type[Set Type], tbl_MTG_Set_Type[Heavy Printing Window Month Start], "(Set Type not found)", 0, 1)</f>
        <v>(Set Type not found)</v>
      </c>
      <c r="P652" s="3" t="e">
        <f>tbl_MTG_Set[[#This Row],[Released On]]+tbl_MTG_Set[[#This Row],[Heavy Printing Window Month Start]]*365.25/12</f>
        <v>#VALUE!</v>
      </c>
      <c r="Q652" t="str">
        <f>_xlfn.XLOOKUP(tbl_MTG_Set[[#This Row],[Type Name]], tbl_MTG_Set_Type[Set Type], tbl_MTG_Set_Type[Heavy Printing Window Month End], "(Set Type not found)", 0, 1)</f>
        <v>(Set Type not found)</v>
      </c>
      <c r="R652" s="3" t="e">
        <f>tbl_MTG_Set[[#This Row],[Released On]]+tbl_MTG_Set[[#This Row],[Heavy Printing Window Month End]]*365.25/12</f>
        <v>#VALUE!</v>
      </c>
      <c r="S652" s="3" t="e">
        <f ca="1">AND(NOW()&gt;=tbl_MTG_Set[[#This Row],[Heavy Printing Window Start]], NOW()&lt;=tbl_MTG_Set[[#This Row],[Heavy Printing Window End]])</f>
        <v>#VALUE!</v>
      </c>
      <c r="T652" t="str">
        <f>_xlfn.XLOOKUP(tbl_MTG_Set[[#This Row],[Type Name]], tbl_MTG_Set_Type[Set Type], tbl_MTG_Set_Type[Sell Window Month Start], "(Set Type not found)", 0, 1)</f>
        <v>(Set Type not found)</v>
      </c>
      <c r="U652" s="3" t="e">
        <f>tbl_MTG_Set[[#This Row],[Released On]]+tbl_MTG_Set[[#This Row],[Sell Window Month Start]]*365.25/12</f>
        <v>#VALUE!</v>
      </c>
      <c r="V652" t="str">
        <f>_xlfn.XLOOKUP(tbl_MTG_Set[[#This Row],[Type Name]], tbl_MTG_Set_Type[Set Type], tbl_MTG_Set_Type[Sell Window Month End], "(Set Type not found)", 0, 1)</f>
        <v>(Set Type not found)</v>
      </c>
      <c r="W652" s="3" t="e">
        <f>tbl_MTG_Set[[#This Row],[Released On]]+tbl_MTG_Set[[#This Row],[Sell Window Month End]]*365.25/12</f>
        <v>#VALUE!</v>
      </c>
      <c r="X652" s="3" t="e">
        <f ca="1">AND(NOW()&gt;=tbl_MTG_Set[[#This Row],[Sell Window Start]], NOW()&lt;=tbl_MTG_Set[[#This Row],[Sell Window End]])</f>
        <v>#VALUE!</v>
      </c>
      <c r="AG652" s="10"/>
      <c r="AH652" s="10"/>
      <c r="AM652" s="10" t="str" cm="1">
        <f t="array" ref="AM6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2" s="10" t="str" cm="1">
        <f t="array" ref="AN6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2" s="4" t="e">
        <f>_xlfn.XLOOKUP(tbl_MTG_Set[[#This Row],[Play Booster Box Product Id]], tbl_Product[Product Id], tbl_Product[Pack Size])</f>
        <v>#N/A</v>
      </c>
      <c r="AP652" s="10" t="e">
        <f>(tbl_MTG_Set[[#This Row],[Play Booster Box Cost]]+v_Item_Shipping_Cost_In)/tbl_MTG_Set[[#This Row],[Play Booster Box Size]]</f>
        <v>#VALUE!</v>
      </c>
      <c r="AQ652" s="10" t="str" cm="1">
        <f t="array" ref="AQ6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2" s="10"/>
      <c r="AS652" s="10"/>
      <c r="AT652" s="17" t="e">
        <f>tbl_MTG_Set[[#This Row],[Play Booster CardMarket Profit]]/tbl_MTG_Set[[#This Row],[Play Booster Cost]]</f>
        <v>#VALUE!</v>
      </c>
      <c r="AU652" s="10" t="e">
        <f>_xlfn.XLOOKUP(tbl_MTG_Set[[#This Row],[Collector Booster Box Product Id]], tbl_Product[Product Id], tbl_Product[Min Cost])</f>
        <v>#N/A</v>
      </c>
      <c r="AV652" s="10" t="e">
        <f>_xlfn.XLOOKUP(tbl_MTG_Set[[#This Row],[Collector Booster Box Product Id]], tbl_Product[Product Id], tbl_Product[Best Source])</f>
        <v>#N/A</v>
      </c>
      <c r="AW652" s="4" t="e">
        <f>_xlfn.XLOOKUP(tbl_MTG_Set[[#This Row],[Collector Booster Box Product Id]], tbl_Product[Product Id], tbl_Product[Pack Size])</f>
        <v>#N/A</v>
      </c>
      <c r="AX652" s="10" t="e">
        <f>(tbl_MTG_Set[[#This Row],[Collector Booster Box Cost]] + v_Item_Shipping_Cost_In) / tbl_MTG_Set[[#This Row],[Collector Booster Box Size]]</f>
        <v>#N/A</v>
      </c>
      <c r="AY652" s="10" t="str" cm="1">
        <f t="array" ref="AY6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2" s="10"/>
      <c r="BA6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2" s="17" t="e">
        <f>tbl_MTG_Set[[#This Row],[Collector Booster CardMarket Profit]]/tbl_MTG_Set[[#This Row],[Collector Booster Cost]]</f>
        <v>#N/A</v>
      </c>
      <c r="BC652" s="10"/>
      <c r="BF6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2" s="11" t="e">
        <f>tbl_MTG_Set[[#This Row],[Play Singles CardMarket Profit MTG Stocks]]/tbl_MTG_Set[[#This Row],[Play Booster Cost]]</f>
        <v>#VALUE!</v>
      </c>
      <c r="BI652" s="11" t="b">
        <f>tbl_MTG_Set[[#This Row],[Play Singles CardMarket Profit MTG Stocks]]&gt;0</f>
        <v>0</v>
      </c>
      <c r="BM652" s="10" t="e">
        <f>tbl_MTG_Set[[#This Row],[Play Booster Sell Price CardMarket]]*tbl_MTG_Set[[#This Row],[Play Booster Expected Market Value BotBox]]/tbl_MTG_Set[[#This Row],[Play Booster Sealed Market Value BotBox]]</f>
        <v>#VALUE!</v>
      </c>
      <c r="BN6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2" s="10" t="e">
        <f>tbl_MTG_Set[[#This Row],[Play Singles CardMarket Profit BotBox]]/tbl_MTG_Set[[#This Row],[Play Booster Cost]]</f>
        <v>#VALUE!</v>
      </c>
      <c r="BP652" s="10" t="b">
        <f>tbl_MTG_Set[[#This Row],[Play Singles CardMarket Profit BotBox]]&gt;0</f>
        <v>0</v>
      </c>
      <c r="BQ652" s="10"/>
      <c r="BR652" s="10"/>
      <c r="BS652" s="10"/>
      <c r="BT6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2" s="19" t="e">
        <f>tbl_MTG_Set[[#This Row],[Collector Singles CardMarket Profit MTG Stocks]]/tbl_MTG_Set[[#This Row],[Collector Booster Cost]]</f>
        <v>#N/A</v>
      </c>
      <c r="BW652" s="10" t="b">
        <f>tbl_MTG_Set[[#This Row],[Collector Singles CardMarket Profit MTG Stocks]]&gt;0</f>
        <v>0</v>
      </c>
      <c r="BX652" s="10"/>
      <c r="BY652" s="10"/>
      <c r="BZ6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2" s="10" t="e">
        <f>tbl_MTG_Set[[#This Row],[Collector Singles CardMarket Profit BotBox]]/tbl_MTG_Set[[#This Row],[Collector Booster Cost]]</f>
        <v>#N/A</v>
      </c>
      <c r="CC652" s="10" t="b">
        <f>tbl_MTG_Set[[#This Row],[Collector Singles CardMarket Profit BotBox]]&gt;0</f>
        <v>0</v>
      </c>
      <c r="CD6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3" spans="1:86" hidden="1">
      <c r="A653">
        <v>685</v>
      </c>
      <c r="B653" t="s">
        <v>826</v>
      </c>
      <c r="C653">
        <v>9</v>
      </c>
      <c r="D653" s="3">
        <v>41275</v>
      </c>
      <c r="F653" t="s">
        <v>174</v>
      </c>
      <c r="G653">
        <v>1316</v>
      </c>
      <c r="H653">
        <f ca="1">MONTH(NOW())+12*YEAR(NOW())-MONTH(tbl_MTG_Set[[#This Row],[Released On]])-12*YEAR(tbl_MTG_Set[[#This Row],[Released On]])</f>
        <v>158</v>
      </c>
      <c r="I653" t="str">
        <f>_xlfn.XLOOKUP(tbl_MTG_Set[[#This Row],[Type Name]], tbl_MTG_Set_Type[Set Type], tbl_MTG_Set_Type[Index], "(Set Type not found)")</f>
        <v>(Set Type not found)</v>
      </c>
      <c r="J653" t="str">
        <f>_xlfn.XLOOKUP(tbl_MTG_Set[[#This Row],[Type Name]], tbl_MTG_Set_Type[Set Type], tbl_MTG_Set_Type[Buy Window Month Start], "(Set Type not found)")</f>
        <v>(Set Type not found)</v>
      </c>
      <c r="K653" s="3" t="e">
        <f>tbl_MTG_Set[[#This Row],[Released On]]+tbl_MTG_Set[[#This Row],[Buy Window Month Start]]*365.25/12</f>
        <v>#VALUE!</v>
      </c>
      <c r="L653" t="str">
        <f>_xlfn.XLOOKUP(tbl_MTG_Set[[#This Row],[Type Name]], tbl_MTG_Set_Type[Set Type], tbl_MTG_Set_Type[Buy Window Month End], "(Set Type not found)", 0, 1)</f>
        <v>(Set Type not found)</v>
      </c>
      <c r="M653" s="3" t="e">
        <f>tbl_MTG_Set[[#This Row],[Released On]]+tbl_MTG_Set[[#This Row],[Buy Window Month End]]*365.25/12</f>
        <v>#VALUE!</v>
      </c>
      <c r="N653" s="3" t="e">
        <f ca="1">AND(NOW()&gt;=tbl_MTG_Set[[#This Row],[Buy Window Start]], NOW()&lt;=tbl_MTG_Set[[#This Row],[Buy Window End]])</f>
        <v>#VALUE!</v>
      </c>
      <c r="O653" t="str">
        <f>_xlfn.XLOOKUP(tbl_MTG_Set[[#This Row],[Type Name]], tbl_MTG_Set_Type[Set Type], tbl_MTG_Set_Type[Heavy Printing Window Month Start], "(Set Type not found)", 0, 1)</f>
        <v>(Set Type not found)</v>
      </c>
      <c r="P653" s="3" t="e">
        <f>tbl_MTG_Set[[#This Row],[Released On]]+tbl_MTG_Set[[#This Row],[Heavy Printing Window Month Start]]*365.25/12</f>
        <v>#VALUE!</v>
      </c>
      <c r="Q653" t="str">
        <f>_xlfn.XLOOKUP(tbl_MTG_Set[[#This Row],[Type Name]], tbl_MTG_Set_Type[Set Type], tbl_MTG_Set_Type[Heavy Printing Window Month End], "(Set Type not found)", 0, 1)</f>
        <v>(Set Type not found)</v>
      </c>
      <c r="R653" s="3" t="e">
        <f>tbl_MTG_Set[[#This Row],[Released On]]+tbl_MTG_Set[[#This Row],[Heavy Printing Window Month End]]*365.25/12</f>
        <v>#VALUE!</v>
      </c>
      <c r="S653" s="3" t="e">
        <f ca="1">AND(NOW()&gt;=tbl_MTG_Set[[#This Row],[Heavy Printing Window Start]], NOW()&lt;=tbl_MTG_Set[[#This Row],[Heavy Printing Window End]])</f>
        <v>#VALUE!</v>
      </c>
      <c r="T653" t="str">
        <f>_xlfn.XLOOKUP(tbl_MTG_Set[[#This Row],[Type Name]], tbl_MTG_Set_Type[Set Type], tbl_MTG_Set_Type[Sell Window Month Start], "(Set Type not found)", 0, 1)</f>
        <v>(Set Type not found)</v>
      </c>
      <c r="U653" s="3" t="e">
        <f>tbl_MTG_Set[[#This Row],[Released On]]+tbl_MTG_Set[[#This Row],[Sell Window Month Start]]*365.25/12</f>
        <v>#VALUE!</v>
      </c>
      <c r="V653" t="str">
        <f>_xlfn.XLOOKUP(tbl_MTG_Set[[#This Row],[Type Name]], tbl_MTG_Set_Type[Set Type], tbl_MTG_Set_Type[Sell Window Month End], "(Set Type not found)", 0, 1)</f>
        <v>(Set Type not found)</v>
      </c>
      <c r="W653" s="3" t="e">
        <f>tbl_MTG_Set[[#This Row],[Released On]]+tbl_MTG_Set[[#This Row],[Sell Window Month End]]*365.25/12</f>
        <v>#VALUE!</v>
      </c>
      <c r="X653" s="3" t="e">
        <f ca="1">AND(NOW()&gt;=tbl_MTG_Set[[#This Row],[Sell Window Start]], NOW()&lt;=tbl_MTG_Set[[#This Row],[Sell Window End]])</f>
        <v>#VALUE!</v>
      </c>
      <c r="AG653" s="10"/>
      <c r="AH653" s="10"/>
      <c r="AM653" s="10" t="str" cm="1">
        <f t="array" ref="AM6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3" s="10" t="str" cm="1">
        <f t="array" ref="AN6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3" s="4" t="e">
        <f>_xlfn.XLOOKUP(tbl_MTG_Set[[#This Row],[Play Booster Box Product Id]], tbl_Product[Product Id], tbl_Product[Pack Size])</f>
        <v>#N/A</v>
      </c>
      <c r="AP653" s="10" t="e">
        <f>(tbl_MTG_Set[[#This Row],[Play Booster Box Cost]]+v_Item_Shipping_Cost_In)/tbl_MTG_Set[[#This Row],[Play Booster Box Size]]</f>
        <v>#VALUE!</v>
      </c>
      <c r="AQ653" s="10" t="str" cm="1">
        <f t="array" ref="AQ6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3" s="10"/>
      <c r="AS653" s="10"/>
      <c r="AT653" s="17" t="e">
        <f>tbl_MTG_Set[[#This Row],[Play Booster CardMarket Profit]]/tbl_MTG_Set[[#This Row],[Play Booster Cost]]</f>
        <v>#VALUE!</v>
      </c>
      <c r="AU653" s="10" t="e">
        <f>_xlfn.XLOOKUP(tbl_MTG_Set[[#This Row],[Collector Booster Box Product Id]], tbl_Product[Product Id], tbl_Product[Min Cost])</f>
        <v>#N/A</v>
      </c>
      <c r="AV653" s="10" t="e">
        <f>_xlfn.XLOOKUP(tbl_MTG_Set[[#This Row],[Collector Booster Box Product Id]], tbl_Product[Product Id], tbl_Product[Best Source])</f>
        <v>#N/A</v>
      </c>
      <c r="AW653" s="4" t="e">
        <f>_xlfn.XLOOKUP(tbl_MTG_Set[[#This Row],[Collector Booster Box Product Id]], tbl_Product[Product Id], tbl_Product[Pack Size])</f>
        <v>#N/A</v>
      </c>
      <c r="AX653" s="10" t="e">
        <f>(tbl_MTG_Set[[#This Row],[Collector Booster Box Cost]] + v_Item_Shipping_Cost_In) / tbl_MTG_Set[[#This Row],[Collector Booster Box Size]]</f>
        <v>#N/A</v>
      </c>
      <c r="AY653" s="10" t="str" cm="1">
        <f t="array" ref="AY6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3" s="10"/>
      <c r="BA6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3" s="17" t="e">
        <f>tbl_MTG_Set[[#This Row],[Collector Booster CardMarket Profit]]/tbl_MTG_Set[[#This Row],[Collector Booster Cost]]</f>
        <v>#N/A</v>
      </c>
      <c r="BC653" s="10"/>
      <c r="BF6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3" s="11" t="e">
        <f>tbl_MTG_Set[[#This Row],[Play Singles CardMarket Profit MTG Stocks]]/tbl_MTG_Set[[#This Row],[Play Booster Cost]]</f>
        <v>#VALUE!</v>
      </c>
      <c r="BI653" s="11" t="b">
        <f>tbl_MTG_Set[[#This Row],[Play Singles CardMarket Profit MTG Stocks]]&gt;0</f>
        <v>0</v>
      </c>
      <c r="BM653" s="10" t="e">
        <f>tbl_MTG_Set[[#This Row],[Play Booster Sell Price CardMarket]]*tbl_MTG_Set[[#This Row],[Play Booster Expected Market Value BotBox]]/tbl_MTG_Set[[#This Row],[Play Booster Sealed Market Value BotBox]]</f>
        <v>#VALUE!</v>
      </c>
      <c r="BN6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3" s="10" t="e">
        <f>tbl_MTG_Set[[#This Row],[Play Singles CardMarket Profit BotBox]]/tbl_MTG_Set[[#This Row],[Play Booster Cost]]</f>
        <v>#VALUE!</v>
      </c>
      <c r="BP653" s="10" t="b">
        <f>tbl_MTG_Set[[#This Row],[Play Singles CardMarket Profit BotBox]]&gt;0</f>
        <v>0</v>
      </c>
      <c r="BQ653" s="10"/>
      <c r="BR653" s="10"/>
      <c r="BS653" s="10"/>
      <c r="BT6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3" s="19" t="e">
        <f>tbl_MTG_Set[[#This Row],[Collector Singles CardMarket Profit MTG Stocks]]/tbl_MTG_Set[[#This Row],[Collector Booster Cost]]</f>
        <v>#N/A</v>
      </c>
      <c r="BW653" s="10" t="b">
        <f>tbl_MTG_Set[[#This Row],[Collector Singles CardMarket Profit MTG Stocks]]&gt;0</f>
        <v>0</v>
      </c>
      <c r="BX653" s="10"/>
      <c r="BY653" s="10"/>
      <c r="BZ6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3" s="10" t="e">
        <f>tbl_MTG_Set[[#This Row],[Collector Singles CardMarket Profit BotBox]]/tbl_MTG_Set[[#This Row],[Collector Booster Cost]]</f>
        <v>#N/A</v>
      </c>
      <c r="CC653" s="10" t="b">
        <f>tbl_MTG_Set[[#This Row],[Collector Singles CardMarket Profit BotBox]]&gt;0</f>
        <v>0</v>
      </c>
      <c r="CD6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4" spans="1:86" hidden="1">
      <c r="A654">
        <v>686</v>
      </c>
      <c r="B654" t="s">
        <v>827</v>
      </c>
      <c r="C654">
        <v>12</v>
      </c>
      <c r="D654" s="3">
        <v>41275</v>
      </c>
      <c r="F654" t="s">
        <v>174</v>
      </c>
      <c r="G654">
        <v>1318</v>
      </c>
      <c r="H654">
        <f ca="1">MONTH(NOW())+12*YEAR(NOW())-MONTH(tbl_MTG_Set[[#This Row],[Released On]])-12*YEAR(tbl_MTG_Set[[#This Row],[Released On]])</f>
        <v>158</v>
      </c>
      <c r="I654" t="str">
        <f>_xlfn.XLOOKUP(tbl_MTG_Set[[#This Row],[Type Name]], tbl_MTG_Set_Type[Set Type], tbl_MTG_Set_Type[Index], "(Set Type not found)")</f>
        <v>(Set Type not found)</v>
      </c>
      <c r="J654" t="str">
        <f>_xlfn.XLOOKUP(tbl_MTG_Set[[#This Row],[Type Name]], tbl_MTG_Set_Type[Set Type], tbl_MTG_Set_Type[Buy Window Month Start], "(Set Type not found)")</f>
        <v>(Set Type not found)</v>
      </c>
      <c r="K654" s="3" t="e">
        <f>tbl_MTG_Set[[#This Row],[Released On]]+tbl_MTG_Set[[#This Row],[Buy Window Month Start]]*365.25/12</f>
        <v>#VALUE!</v>
      </c>
      <c r="L654" t="str">
        <f>_xlfn.XLOOKUP(tbl_MTG_Set[[#This Row],[Type Name]], tbl_MTG_Set_Type[Set Type], tbl_MTG_Set_Type[Buy Window Month End], "(Set Type not found)", 0, 1)</f>
        <v>(Set Type not found)</v>
      </c>
      <c r="M654" s="3" t="e">
        <f>tbl_MTG_Set[[#This Row],[Released On]]+tbl_MTG_Set[[#This Row],[Buy Window Month End]]*365.25/12</f>
        <v>#VALUE!</v>
      </c>
      <c r="N654" s="3" t="e">
        <f ca="1">AND(NOW()&gt;=tbl_MTG_Set[[#This Row],[Buy Window Start]], NOW()&lt;=tbl_MTG_Set[[#This Row],[Buy Window End]])</f>
        <v>#VALUE!</v>
      </c>
      <c r="O654" t="str">
        <f>_xlfn.XLOOKUP(tbl_MTG_Set[[#This Row],[Type Name]], tbl_MTG_Set_Type[Set Type], tbl_MTG_Set_Type[Heavy Printing Window Month Start], "(Set Type not found)", 0, 1)</f>
        <v>(Set Type not found)</v>
      </c>
      <c r="P654" s="3" t="e">
        <f>tbl_MTG_Set[[#This Row],[Released On]]+tbl_MTG_Set[[#This Row],[Heavy Printing Window Month Start]]*365.25/12</f>
        <v>#VALUE!</v>
      </c>
      <c r="Q654" t="str">
        <f>_xlfn.XLOOKUP(tbl_MTG_Set[[#This Row],[Type Name]], tbl_MTG_Set_Type[Set Type], tbl_MTG_Set_Type[Heavy Printing Window Month End], "(Set Type not found)", 0, 1)</f>
        <v>(Set Type not found)</v>
      </c>
      <c r="R654" s="3" t="e">
        <f>tbl_MTG_Set[[#This Row],[Released On]]+tbl_MTG_Set[[#This Row],[Heavy Printing Window Month End]]*365.25/12</f>
        <v>#VALUE!</v>
      </c>
      <c r="S654" s="3" t="e">
        <f ca="1">AND(NOW()&gt;=tbl_MTG_Set[[#This Row],[Heavy Printing Window Start]], NOW()&lt;=tbl_MTG_Set[[#This Row],[Heavy Printing Window End]])</f>
        <v>#VALUE!</v>
      </c>
      <c r="T654" t="str">
        <f>_xlfn.XLOOKUP(tbl_MTG_Set[[#This Row],[Type Name]], tbl_MTG_Set_Type[Set Type], tbl_MTG_Set_Type[Sell Window Month Start], "(Set Type not found)", 0, 1)</f>
        <v>(Set Type not found)</v>
      </c>
      <c r="U654" s="3" t="e">
        <f>tbl_MTG_Set[[#This Row],[Released On]]+tbl_MTG_Set[[#This Row],[Sell Window Month Start]]*365.25/12</f>
        <v>#VALUE!</v>
      </c>
      <c r="V654" t="str">
        <f>_xlfn.XLOOKUP(tbl_MTG_Set[[#This Row],[Type Name]], tbl_MTG_Set_Type[Set Type], tbl_MTG_Set_Type[Sell Window Month End], "(Set Type not found)", 0, 1)</f>
        <v>(Set Type not found)</v>
      </c>
      <c r="W654" s="3" t="e">
        <f>tbl_MTG_Set[[#This Row],[Released On]]+tbl_MTG_Set[[#This Row],[Sell Window Month End]]*365.25/12</f>
        <v>#VALUE!</v>
      </c>
      <c r="X654" s="3" t="e">
        <f ca="1">AND(NOW()&gt;=tbl_MTG_Set[[#This Row],[Sell Window Start]], NOW()&lt;=tbl_MTG_Set[[#This Row],[Sell Window End]])</f>
        <v>#VALUE!</v>
      </c>
      <c r="AG654" s="10"/>
      <c r="AH654" s="10"/>
      <c r="AM654" s="10" t="str" cm="1">
        <f t="array" ref="AM6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4" s="10" t="str" cm="1">
        <f t="array" ref="AN6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4" s="4" t="e">
        <f>_xlfn.XLOOKUP(tbl_MTG_Set[[#This Row],[Play Booster Box Product Id]], tbl_Product[Product Id], tbl_Product[Pack Size])</f>
        <v>#N/A</v>
      </c>
      <c r="AP654" s="10" t="e">
        <f>(tbl_MTG_Set[[#This Row],[Play Booster Box Cost]]+v_Item_Shipping_Cost_In)/tbl_MTG_Set[[#This Row],[Play Booster Box Size]]</f>
        <v>#VALUE!</v>
      </c>
      <c r="AQ654" s="10" t="str" cm="1">
        <f t="array" ref="AQ6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4" s="10"/>
      <c r="AS654" s="10"/>
      <c r="AT654" s="17" t="e">
        <f>tbl_MTG_Set[[#This Row],[Play Booster CardMarket Profit]]/tbl_MTG_Set[[#This Row],[Play Booster Cost]]</f>
        <v>#VALUE!</v>
      </c>
      <c r="AU654" s="10" t="e">
        <f>_xlfn.XLOOKUP(tbl_MTG_Set[[#This Row],[Collector Booster Box Product Id]], tbl_Product[Product Id], tbl_Product[Min Cost])</f>
        <v>#N/A</v>
      </c>
      <c r="AV654" s="10" t="e">
        <f>_xlfn.XLOOKUP(tbl_MTG_Set[[#This Row],[Collector Booster Box Product Id]], tbl_Product[Product Id], tbl_Product[Best Source])</f>
        <v>#N/A</v>
      </c>
      <c r="AW654" s="4" t="e">
        <f>_xlfn.XLOOKUP(tbl_MTG_Set[[#This Row],[Collector Booster Box Product Id]], tbl_Product[Product Id], tbl_Product[Pack Size])</f>
        <v>#N/A</v>
      </c>
      <c r="AX654" s="10" t="e">
        <f>(tbl_MTG_Set[[#This Row],[Collector Booster Box Cost]] + v_Item_Shipping_Cost_In) / tbl_MTG_Set[[#This Row],[Collector Booster Box Size]]</f>
        <v>#N/A</v>
      </c>
      <c r="AY654" s="10" t="str" cm="1">
        <f t="array" ref="AY6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4" s="10"/>
      <c r="BA6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4" s="17" t="e">
        <f>tbl_MTG_Set[[#This Row],[Collector Booster CardMarket Profit]]/tbl_MTG_Set[[#This Row],[Collector Booster Cost]]</f>
        <v>#N/A</v>
      </c>
      <c r="BC654" s="10"/>
      <c r="BF6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4" s="11" t="e">
        <f>tbl_MTG_Set[[#This Row],[Play Singles CardMarket Profit MTG Stocks]]/tbl_MTG_Set[[#This Row],[Play Booster Cost]]</f>
        <v>#VALUE!</v>
      </c>
      <c r="BI654" s="11" t="b">
        <f>tbl_MTG_Set[[#This Row],[Play Singles CardMarket Profit MTG Stocks]]&gt;0</f>
        <v>0</v>
      </c>
      <c r="BM654" s="10" t="e">
        <f>tbl_MTG_Set[[#This Row],[Play Booster Sell Price CardMarket]]*tbl_MTG_Set[[#This Row],[Play Booster Expected Market Value BotBox]]/tbl_MTG_Set[[#This Row],[Play Booster Sealed Market Value BotBox]]</f>
        <v>#VALUE!</v>
      </c>
      <c r="BN6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4" s="10" t="e">
        <f>tbl_MTG_Set[[#This Row],[Play Singles CardMarket Profit BotBox]]/tbl_MTG_Set[[#This Row],[Play Booster Cost]]</f>
        <v>#VALUE!</v>
      </c>
      <c r="BP654" s="10" t="b">
        <f>tbl_MTG_Set[[#This Row],[Play Singles CardMarket Profit BotBox]]&gt;0</f>
        <v>0</v>
      </c>
      <c r="BQ654" s="10"/>
      <c r="BR654" s="10"/>
      <c r="BS654" s="10"/>
      <c r="BT6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4" s="19" t="e">
        <f>tbl_MTG_Set[[#This Row],[Collector Singles CardMarket Profit MTG Stocks]]/tbl_MTG_Set[[#This Row],[Collector Booster Cost]]</f>
        <v>#N/A</v>
      </c>
      <c r="BW654" s="10" t="b">
        <f>tbl_MTG_Set[[#This Row],[Collector Singles CardMarket Profit MTG Stocks]]&gt;0</f>
        <v>0</v>
      </c>
      <c r="BX654" s="10"/>
      <c r="BY654" s="10"/>
      <c r="BZ6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4" s="10" t="e">
        <f>tbl_MTG_Set[[#This Row],[Collector Singles CardMarket Profit BotBox]]/tbl_MTG_Set[[#This Row],[Collector Booster Cost]]</f>
        <v>#N/A</v>
      </c>
      <c r="CC654" s="10" t="b">
        <f>tbl_MTG_Set[[#This Row],[Collector Singles CardMarket Profit BotBox]]&gt;0</f>
        <v>0</v>
      </c>
      <c r="CD6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5" spans="1:86" hidden="1">
      <c r="A655">
        <v>687</v>
      </c>
      <c r="B655" t="s">
        <v>828</v>
      </c>
      <c r="C655">
        <v>18</v>
      </c>
      <c r="D655" s="3">
        <v>41215</v>
      </c>
      <c r="F655" t="s">
        <v>174</v>
      </c>
      <c r="G655">
        <v>1320</v>
      </c>
      <c r="H655">
        <f ca="1">MONTH(NOW())+12*YEAR(NOW())-MONTH(tbl_MTG_Set[[#This Row],[Released On]])-12*YEAR(tbl_MTG_Set[[#This Row],[Released On]])</f>
        <v>160</v>
      </c>
      <c r="I655" t="str">
        <f>_xlfn.XLOOKUP(tbl_MTG_Set[[#This Row],[Type Name]], tbl_MTG_Set_Type[Set Type], tbl_MTG_Set_Type[Index], "(Set Type not found)")</f>
        <v>(Set Type not found)</v>
      </c>
      <c r="J655" t="str">
        <f>_xlfn.XLOOKUP(tbl_MTG_Set[[#This Row],[Type Name]], tbl_MTG_Set_Type[Set Type], tbl_MTG_Set_Type[Buy Window Month Start], "(Set Type not found)")</f>
        <v>(Set Type not found)</v>
      </c>
      <c r="K655" s="3" t="e">
        <f>tbl_MTG_Set[[#This Row],[Released On]]+tbl_MTG_Set[[#This Row],[Buy Window Month Start]]*365.25/12</f>
        <v>#VALUE!</v>
      </c>
      <c r="L655" t="str">
        <f>_xlfn.XLOOKUP(tbl_MTG_Set[[#This Row],[Type Name]], tbl_MTG_Set_Type[Set Type], tbl_MTG_Set_Type[Buy Window Month End], "(Set Type not found)", 0, 1)</f>
        <v>(Set Type not found)</v>
      </c>
      <c r="M655" s="3" t="e">
        <f>tbl_MTG_Set[[#This Row],[Released On]]+tbl_MTG_Set[[#This Row],[Buy Window Month End]]*365.25/12</f>
        <v>#VALUE!</v>
      </c>
      <c r="N655" s="3" t="e">
        <f ca="1">AND(NOW()&gt;=tbl_MTG_Set[[#This Row],[Buy Window Start]], NOW()&lt;=tbl_MTG_Set[[#This Row],[Buy Window End]])</f>
        <v>#VALUE!</v>
      </c>
      <c r="O655" t="str">
        <f>_xlfn.XLOOKUP(tbl_MTG_Set[[#This Row],[Type Name]], tbl_MTG_Set_Type[Set Type], tbl_MTG_Set_Type[Heavy Printing Window Month Start], "(Set Type not found)", 0, 1)</f>
        <v>(Set Type not found)</v>
      </c>
      <c r="P655" s="3" t="e">
        <f>tbl_MTG_Set[[#This Row],[Released On]]+tbl_MTG_Set[[#This Row],[Heavy Printing Window Month Start]]*365.25/12</f>
        <v>#VALUE!</v>
      </c>
      <c r="Q655" t="str">
        <f>_xlfn.XLOOKUP(tbl_MTG_Set[[#This Row],[Type Name]], tbl_MTG_Set_Type[Set Type], tbl_MTG_Set_Type[Heavy Printing Window Month End], "(Set Type not found)", 0, 1)</f>
        <v>(Set Type not found)</v>
      </c>
      <c r="R655" s="3" t="e">
        <f>tbl_MTG_Set[[#This Row],[Released On]]+tbl_MTG_Set[[#This Row],[Heavy Printing Window Month End]]*365.25/12</f>
        <v>#VALUE!</v>
      </c>
      <c r="S655" s="3" t="e">
        <f ca="1">AND(NOW()&gt;=tbl_MTG_Set[[#This Row],[Heavy Printing Window Start]], NOW()&lt;=tbl_MTG_Set[[#This Row],[Heavy Printing Window End]])</f>
        <v>#VALUE!</v>
      </c>
      <c r="T655" t="str">
        <f>_xlfn.XLOOKUP(tbl_MTG_Set[[#This Row],[Type Name]], tbl_MTG_Set_Type[Set Type], tbl_MTG_Set_Type[Sell Window Month Start], "(Set Type not found)", 0, 1)</f>
        <v>(Set Type not found)</v>
      </c>
      <c r="U655" s="3" t="e">
        <f>tbl_MTG_Set[[#This Row],[Released On]]+tbl_MTG_Set[[#This Row],[Sell Window Month Start]]*365.25/12</f>
        <v>#VALUE!</v>
      </c>
      <c r="V655" t="str">
        <f>_xlfn.XLOOKUP(tbl_MTG_Set[[#This Row],[Type Name]], tbl_MTG_Set_Type[Set Type], tbl_MTG_Set_Type[Sell Window Month End], "(Set Type not found)", 0, 1)</f>
        <v>(Set Type not found)</v>
      </c>
      <c r="W655" s="3" t="e">
        <f>tbl_MTG_Set[[#This Row],[Released On]]+tbl_MTG_Set[[#This Row],[Sell Window Month End]]*365.25/12</f>
        <v>#VALUE!</v>
      </c>
      <c r="X655" s="3" t="e">
        <f ca="1">AND(NOW()&gt;=tbl_MTG_Set[[#This Row],[Sell Window Start]], NOW()&lt;=tbl_MTG_Set[[#This Row],[Sell Window End]])</f>
        <v>#VALUE!</v>
      </c>
      <c r="AG655" s="10"/>
      <c r="AH655" s="10"/>
      <c r="AM655" s="10" t="str" cm="1">
        <f t="array" ref="AM6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5" s="10" t="str" cm="1">
        <f t="array" ref="AN6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5" s="4" t="e">
        <f>_xlfn.XLOOKUP(tbl_MTG_Set[[#This Row],[Play Booster Box Product Id]], tbl_Product[Product Id], tbl_Product[Pack Size])</f>
        <v>#N/A</v>
      </c>
      <c r="AP655" s="10" t="e">
        <f>(tbl_MTG_Set[[#This Row],[Play Booster Box Cost]]+v_Item_Shipping_Cost_In)/tbl_MTG_Set[[#This Row],[Play Booster Box Size]]</f>
        <v>#VALUE!</v>
      </c>
      <c r="AQ655" s="10" t="str" cm="1">
        <f t="array" ref="AQ6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5" s="10"/>
      <c r="AS655" s="10"/>
      <c r="AT655" s="17" t="e">
        <f>tbl_MTG_Set[[#This Row],[Play Booster CardMarket Profit]]/tbl_MTG_Set[[#This Row],[Play Booster Cost]]</f>
        <v>#VALUE!</v>
      </c>
      <c r="AU655" s="10" t="e">
        <f>_xlfn.XLOOKUP(tbl_MTG_Set[[#This Row],[Collector Booster Box Product Id]], tbl_Product[Product Id], tbl_Product[Min Cost])</f>
        <v>#N/A</v>
      </c>
      <c r="AV655" s="10" t="e">
        <f>_xlfn.XLOOKUP(tbl_MTG_Set[[#This Row],[Collector Booster Box Product Id]], tbl_Product[Product Id], tbl_Product[Best Source])</f>
        <v>#N/A</v>
      </c>
      <c r="AW655" s="4" t="e">
        <f>_xlfn.XLOOKUP(tbl_MTG_Set[[#This Row],[Collector Booster Box Product Id]], tbl_Product[Product Id], tbl_Product[Pack Size])</f>
        <v>#N/A</v>
      </c>
      <c r="AX655" s="10" t="e">
        <f>(tbl_MTG_Set[[#This Row],[Collector Booster Box Cost]] + v_Item_Shipping_Cost_In) / tbl_MTG_Set[[#This Row],[Collector Booster Box Size]]</f>
        <v>#N/A</v>
      </c>
      <c r="AY655" s="10" t="str" cm="1">
        <f t="array" ref="AY6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5" s="10"/>
      <c r="BA6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5" s="17" t="e">
        <f>tbl_MTG_Set[[#This Row],[Collector Booster CardMarket Profit]]/tbl_MTG_Set[[#This Row],[Collector Booster Cost]]</f>
        <v>#N/A</v>
      </c>
      <c r="BC655" s="10"/>
      <c r="BF6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5" s="11" t="e">
        <f>tbl_MTG_Set[[#This Row],[Play Singles CardMarket Profit MTG Stocks]]/tbl_MTG_Set[[#This Row],[Play Booster Cost]]</f>
        <v>#VALUE!</v>
      </c>
      <c r="BI655" s="11" t="b">
        <f>tbl_MTG_Set[[#This Row],[Play Singles CardMarket Profit MTG Stocks]]&gt;0</f>
        <v>0</v>
      </c>
      <c r="BM655" s="10" t="e">
        <f>tbl_MTG_Set[[#This Row],[Play Booster Sell Price CardMarket]]*tbl_MTG_Set[[#This Row],[Play Booster Expected Market Value BotBox]]/tbl_MTG_Set[[#This Row],[Play Booster Sealed Market Value BotBox]]</f>
        <v>#VALUE!</v>
      </c>
      <c r="BN6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5" s="10" t="e">
        <f>tbl_MTG_Set[[#This Row],[Play Singles CardMarket Profit BotBox]]/tbl_MTG_Set[[#This Row],[Play Booster Cost]]</f>
        <v>#VALUE!</v>
      </c>
      <c r="BP655" s="10" t="b">
        <f>tbl_MTG_Set[[#This Row],[Play Singles CardMarket Profit BotBox]]&gt;0</f>
        <v>0</v>
      </c>
      <c r="BQ655" s="10"/>
      <c r="BR655" s="10"/>
      <c r="BS655" s="10"/>
      <c r="BT6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5" s="19" t="e">
        <f>tbl_MTG_Set[[#This Row],[Collector Singles CardMarket Profit MTG Stocks]]/tbl_MTG_Set[[#This Row],[Collector Booster Cost]]</f>
        <v>#N/A</v>
      </c>
      <c r="BW655" s="10" t="b">
        <f>tbl_MTG_Set[[#This Row],[Collector Singles CardMarket Profit MTG Stocks]]&gt;0</f>
        <v>0</v>
      </c>
      <c r="BX655" s="10"/>
      <c r="BY655" s="10"/>
      <c r="BZ6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5" s="10" t="e">
        <f>tbl_MTG_Set[[#This Row],[Collector Singles CardMarket Profit BotBox]]/tbl_MTG_Set[[#This Row],[Collector Booster Cost]]</f>
        <v>#N/A</v>
      </c>
      <c r="CC655" s="10" t="b">
        <f>tbl_MTG_Set[[#This Row],[Collector Singles CardMarket Profit BotBox]]&gt;0</f>
        <v>0</v>
      </c>
      <c r="CD6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6" spans="1:86" hidden="1">
      <c r="A656">
        <v>688</v>
      </c>
      <c r="B656" t="s">
        <v>829</v>
      </c>
      <c r="C656">
        <v>10</v>
      </c>
      <c r="D656" s="3">
        <v>41215</v>
      </c>
      <c r="F656" t="s">
        <v>174</v>
      </c>
      <c r="G656">
        <v>1322</v>
      </c>
      <c r="H656">
        <f ca="1">MONTH(NOW())+12*YEAR(NOW())-MONTH(tbl_MTG_Set[[#This Row],[Released On]])-12*YEAR(tbl_MTG_Set[[#This Row],[Released On]])</f>
        <v>160</v>
      </c>
      <c r="I656" t="str">
        <f>_xlfn.XLOOKUP(tbl_MTG_Set[[#This Row],[Type Name]], tbl_MTG_Set_Type[Set Type], tbl_MTG_Set_Type[Index], "(Set Type not found)")</f>
        <v>(Set Type not found)</v>
      </c>
      <c r="J656" t="str">
        <f>_xlfn.XLOOKUP(tbl_MTG_Set[[#This Row],[Type Name]], tbl_MTG_Set_Type[Set Type], tbl_MTG_Set_Type[Buy Window Month Start], "(Set Type not found)")</f>
        <v>(Set Type not found)</v>
      </c>
      <c r="K656" s="3" t="e">
        <f>tbl_MTG_Set[[#This Row],[Released On]]+tbl_MTG_Set[[#This Row],[Buy Window Month Start]]*365.25/12</f>
        <v>#VALUE!</v>
      </c>
      <c r="L656" t="str">
        <f>_xlfn.XLOOKUP(tbl_MTG_Set[[#This Row],[Type Name]], tbl_MTG_Set_Type[Set Type], tbl_MTG_Set_Type[Buy Window Month End], "(Set Type not found)", 0, 1)</f>
        <v>(Set Type not found)</v>
      </c>
      <c r="M656" s="3" t="e">
        <f>tbl_MTG_Set[[#This Row],[Released On]]+tbl_MTG_Set[[#This Row],[Buy Window Month End]]*365.25/12</f>
        <v>#VALUE!</v>
      </c>
      <c r="N656" s="3" t="e">
        <f ca="1">AND(NOW()&gt;=tbl_MTG_Set[[#This Row],[Buy Window Start]], NOW()&lt;=tbl_MTG_Set[[#This Row],[Buy Window End]])</f>
        <v>#VALUE!</v>
      </c>
      <c r="O656" t="str">
        <f>_xlfn.XLOOKUP(tbl_MTG_Set[[#This Row],[Type Name]], tbl_MTG_Set_Type[Set Type], tbl_MTG_Set_Type[Heavy Printing Window Month Start], "(Set Type not found)", 0, 1)</f>
        <v>(Set Type not found)</v>
      </c>
      <c r="P656" s="3" t="e">
        <f>tbl_MTG_Set[[#This Row],[Released On]]+tbl_MTG_Set[[#This Row],[Heavy Printing Window Month Start]]*365.25/12</f>
        <v>#VALUE!</v>
      </c>
      <c r="Q656" t="str">
        <f>_xlfn.XLOOKUP(tbl_MTG_Set[[#This Row],[Type Name]], tbl_MTG_Set_Type[Set Type], tbl_MTG_Set_Type[Heavy Printing Window Month End], "(Set Type not found)", 0, 1)</f>
        <v>(Set Type not found)</v>
      </c>
      <c r="R656" s="3" t="e">
        <f>tbl_MTG_Set[[#This Row],[Released On]]+tbl_MTG_Set[[#This Row],[Heavy Printing Window Month End]]*365.25/12</f>
        <v>#VALUE!</v>
      </c>
      <c r="S656" s="3" t="e">
        <f ca="1">AND(NOW()&gt;=tbl_MTG_Set[[#This Row],[Heavy Printing Window Start]], NOW()&lt;=tbl_MTG_Set[[#This Row],[Heavy Printing Window End]])</f>
        <v>#VALUE!</v>
      </c>
      <c r="T656" t="str">
        <f>_xlfn.XLOOKUP(tbl_MTG_Set[[#This Row],[Type Name]], tbl_MTG_Set_Type[Set Type], tbl_MTG_Set_Type[Sell Window Month Start], "(Set Type not found)", 0, 1)</f>
        <v>(Set Type not found)</v>
      </c>
      <c r="U656" s="3" t="e">
        <f>tbl_MTG_Set[[#This Row],[Released On]]+tbl_MTG_Set[[#This Row],[Sell Window Month Start]]*365.25/12</f>
        <v>#VALUE!</v>
      </c>
      <c r="V656" t="str">
        <f>_xlfn.XLOOKUP(tbl_MTG_Set[[#This Row],[Type Name]], tbl_MTG_Set_Type[Set Type], tbl_MTG_Set_Type[Sell Window Month End], "(Set Type not found)", 0, 1)</f>
        <v>(Set Type not found)</v>
      </c>
      <c r="W656" s="3" t="e">
        <f>tbl_MTG_Set[[#This Row],[Released On]]+tbl_MTG_Set[[#This Row],[Sell Window Month End]]*365.25/12</f>
        <v>#VALUE!</v>
      </c>
      <c r="X656" s="3" t="e">
        <f ca="1">AND(NOW()&gt;=tbl_MTG_Set[[#This Row],[Sell Window Start]], NOW()&lt;=tbl_MTG_Set[[#This Row],[Sell Window End]])</f>
        <v>#VALUE!</v>
      </c>
      <c r="AG656" s="10"/>
      <c r="AH656" s="10"/>
      <c r="AM656" s="10" t="str" cm="1">
        <f t="array" ref="AM6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6" s="10" t="str" cm="1">
        <f t="array" ref="AN6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6" s="4" t="e">
        <f>_xlfn.XLOOKUP(tbl_MTG_Set[[#This Row],[Play Booster Box Product Id]], tbl_Product[Product Id], tbl_Product[Pack Size])</f>
        <v>#N/A</v>
      </c>
      <c r="AP656" s="10" t="e">
        <f>(tbl_MTG_Set[[#This Row],[Play Booster Box Cost]]+v_Item_Shipping_Cost_In)/tbl_MTG_Set[[#This Row],[Play Booster Box Size]]</f>
        <v>#VALUE!</v>
      </c>
      <c r="AQ656" s="10" t="str" cm="1">
        <f t="array" ref="AQ6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6" s="10"/>
      <c r="AS656" s="10"/>
      <c r="AT656" s="17" t="e">
        <f>tbl_MTG_Set[[#This Row],[Play Booster CardMarket Profit]]/tbl_MTG_Set[[#This Row],[Play Booster Cost]]</f>
        <v>#VALUE!</v>
      </c>
      <c r="AU656" s="10" t="e">
        <f>_xlfn.XLOOKUP(tbl_MTG_Set[[#This Row],[Collector Booster Box Product Id]], tbl_Product[Product Id], tbl_Product[Min Cost])</f>
        <v>#N/A</v>
      </c>
      <c r="AV656" s="10" t="e">
        <f>_xlfn.XLOOKUP(tbl_MTG_Set[[#This Row],[Collector Booster Box Product Id]], tbl_Product[Product Id], tbl_Product[Best Source])</f>
        <v>#N/A</v>
      </c>
      <c r="AW656" s="4" t="e">
        <f>_xlfn.XLOOKUP(tbl_MTG_Set[[#This Row],[Collector Booster Box Product Id]], tbl_Product[Product Id], tbl_Product[Pack Size])</f>
        <v>#N/A</v>
      </c>
      <c r="AX656" s="10" t="e">
        <f>(tbl_MTG_Set[[#This Row],[Collector Booster Box Cost]] + v_Item_Shipping_Cost_In) / tbl_MTG_Set[[#This Row],[Collector Booster Box Size]]</f>
        <v>#N/A</v>
      </c>
      <c r="AY656" s="10" t="str" cm="1">
        <f t="array" ref="AY6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6" s="10"/>
      <c r="BA6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6" s="17" t="e">
        <f>tbl_MTG_Set[[#This Row],[Collector Booster CardMarket Profit]]/tbl_MTG_Set[[#This Row],[Collector Booster Cost]]</f>
        <v>#N/A</v>
      </c>
      <c r="BC656" s="10"/>
      <c r="BF6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6" s="11" t="e">
        <f>tbl_MTG_Set[[#This Row],[Play Singles CardMarket Profit MTG Stocks]]/tbl_MTG_Set[[#This Row],[Play Booster Cost]]</f>
        <v>#VALUE!</v>
      </c>
      <c r="BI656" s="11" t="b">
        <f>tbl_MTG_Set[[#This Row],[Play Singles CardMarket Profit MTG Stocks]]&gt;0</f>
        <v>0</v>
      </c>
      <c r="BM656" s="10" t="e">
        <f>tbl_MTG_Set[[#This Row],[Play Booster Sell Price CardMarket]]*tbl_MTG_Set[[#This Row],[Play Booster Expected Market Value BotBox]]/tbl_MTG_Set[[#This Row],[Play Booster Sealed Market Value BotBox]]</f>
        <v>#VALUE!</v>
      </c>
      <c r="BN6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6" s="10" t="e">
        <f>tbl_MTG_Set[[#This Row],[Play Singles CardMarket Profit BotBox]]/tbl_MTG_Set[[#This Row],[Play Booster Cost]]</f>
        <v>#VALUE!</v>
      </c>
      <c r="BP656" s="10" t="b">
        <f>tbl_MTG_Set[[#This Row],[Play Singles CardMarket Profit BotBox]]&gt;0</f>
        <v>0</v>
      </c>
      <c r="BQ656" s="10"/>
      <c r="BR656" s="10"/>
      <c r="BS656" s="10"/>
      <c r="BT6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6" s="19" t="e">
        <f>tbl_MTG_Set[[#This Row],[Collector Singles CardMarket Profit MTG Stocks]]/tbl_MTG_Set[[#This Row],[Collector Booster Cost]]</f>
        <v>#N/A</v>
      </c>
      <c r="BW656" s="10" t="b">
        <f>tbl_MTG_Set[[#This Row],[Collector Singles CardMarket Profit MTG Stocks]]&gt;0</f>
        <v>0</v>
      </c>
      <c r="BX656" s="10"/>
      <c r="BY656" s="10"/>
      <c r="BZ6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6" s="10" t="e">
        <f>tbl_MTG_Set[[#This Row],[Collector Singles CardMarket Profit BotBox]]/tbl_MTG_Set[[#This Row],[Collector Booster Cost]]</f>
        <v>#N/A</v>
      </c>
      <c r="CC656" s="10" t="b">
        <f>tbl_MTG_Set[[#This Row],[Collector Singles CardMarket Profit BotBox]]&gt;0</f>
        <v>0</v>
      </c>
      <c r="CD6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7" spans="1:86" hidden="1">
      <c r="A657">
        <v>689</v>
      </c>
      <c r="B657" t="s">
        <v>830</v>
      </c>
      <c r="C657">
        <v>274</v>
      </c>
      <c r="D657" s="3">
        <v>41187</v>
      </c>
      <c r="F657" t="s">
        <v>174</v>
      </c>
      <c r="G657">
        <v>1324</v>
      </c>
      <c r="H657">
        <f ca="1">MONTH(NOW())+12*YEAR(NOW())-MONTH(tbl_MTG_Set[[#This Row],[Released On]])-12*YEAR(tbl_MTG_Set[[#This Row],[Released On]])</f>
        <v>161</v>
      </c>
      <c r="I657" t="str">
        <f>_xlfn.XLOOKUP(tbl_MTG_Set[[#This Row],[Type Name]], tbl_MTG_Set_Type[Set Type], tbl_MTG_Set_Type[Index], "(Set Type not found)")</f>
        <v>(Set Type not found)</v>
      </c>
      <c r="J657" t="str">
        <f>_xlfn.XLOOKUP(tbl_MTG_Set[[#This Row],[Type Name]], tbl_MTG_Set_Type[Set Type], tbl_MTG_Set_Type[Buy Window Month Start], "(Set Type not found)")</f>
        <v>(Set Type not found)</v>
      </c>
      <c r="K657" s="3" t="e">
        <f>tbl_MTG_Set[[#This Row],[Released On]]+tbl_MTG_Set[[#This Row],[Buy Window Month Start]]*365.25/12</f>
        <v>#VALUE!</v>
      </c>
      <c r="L657" t="str">
        <f>_xlfn.XLOOKUP(tbl_MTG_Set[[#This Row],[Type Name]], tbl_MTG_Set_Type[Set Type], tbl_MTG_Set_Type[Buy Window Month End], "(Set Type not found)", 0, 1)</f>
        <v>(Set Type not found)</v>
      </c>
      <c r="M657" s="3" t="e">
        <f>tbl_MTG_Set[[#This Row],[Released On]]+tbl_MTG_Set[[#This Row],[Buy Window Month End]]*365.25/12</f>
        <v>#VALUE!</v>
      </c>
      <c r="N657" s="3" t="e">
        <f ca="1">AND(NOW()&gt;=tbl_MTG_Set[[#This Row],[Buy Window Start]], NOW()&lt;=tbl_MTG_Set[[#This Row],[Buy Window End]])</f>
        <v>#VALUE!</v>
      </c>
      <c r="O657" t="str">
        <f>_xlfn.XLOOKUP(tbl_MTG_Set[[#This Row],[Type Name]], tbl_MTG_Set_Type[Set Type], tbl_MTG_Set_Type[Heavy Printing Window Month Start], "(Set Type not found)", 0, 1)</f>
        <v>(Set Type not found)</v>
      </c>
      <c r="P657" s="3" t="e">
        <f>tbl_MTG_Set[[#This Row],[Released On]]+tbl_MTG_Set[[#This Row],[Heavy Printing Window Month Start]]*365.25/12</f>
        <v>#VALUE!</v>
      </c>
      <c r="Q657" t="str">
        <f>_xlfn.XLOOKUP(tbl_MTG_Set[[#This Row],[Type Name]], tbl_MTG_Set_Type[Set Type], tbl_MTG_Set_Type[Heavy Printing Window Month End], "(Set Type not found)", 0, 1)</f>
        <v>(Set Type not found)</v>
      </c>
      <c r="R657" s="3" t="e">
        <f>tbl_MTG_Set[[#This Row],[Released On]]+tbl_MTG_Set[[#This Row],[Heavy Printing Window Month End]]*365.25/12</f>
        <v>#VALUE!</v>
      </c>
      <c r="S657" s="3" t="e">
        <f ca="1">AND(NOW()&gt;=tbl_MTG_Set[[#This Row],[Heavy Printing Window Start]], NOW()&lt;=tbl_MTG_Set[[#This Row],[Heavy Printing Window End]])</f>
        <v>#VALUE!</v>
      </c>
      <c r="T657" t="str">
        <f>_xlfn.XLOOKUP(tbl_MTG_Set[[#This Row],[Type Name]], tbl_MTG_Set_Type[Set Type], tbl_MTG_Set_Type[Sell Window Month Start], "(Set Type not found)", 0, 1)</f>
        <v>(Set Type not found)</v>
      </c>
      <c r="U657" s="3" t="e">
        <f>tbl_MTG_Set[[#This Row],[Released On]]+tbl_MTG_Set[[#This Row],[Sell Window Month Start]]*365.25/12</f>
        <v>#VALUE!</v>
      </c>
      <c r="V657" t="str">
        <f>_xlfn.XLOOKUP(tbl_MTG_Set[[#This Row],[Type Name]], tbl_MTG_Set_Type[Set Type], tbl_MTG_Set_Type[Sell Window Month End], "(Set Type not found)", 0, 1)</f>
        <v>(Set Type not found)</v>
      </c>
      <c r="W657" s="3" t="e">
        <f>tbl_MTG_Set[[#This Row],[Released On]]+tbl_MTG_Set[[#This Row],[Sell Window Month End]]*365.25/12</f>
        <v>#VALUE!</v>
      </c>
      <c r="X657" s="3" t="e">
        <f ca="1">AND(NOW()&gt;=tbl_MTG_Set[[#This Row],[Sell Window Start]], NOW()&lt;=tbl_MTG_Set[[#This Row],[Sell Window End]])</f>
        <v>#VALUE!</v>
      </c>
      <c r="AG657" s="10"/>
      <c r="AH657" s="10"/>
      <c r="AM657" s="10" t="str" cm="1">
        <f t="array" ref="AM6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7" s="10" t="str" cm="1">
        <f t="array" ref="AN6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7" s="4" t="e">
        <f>_xlfn.XLOOKUP(tbl_MTG_Set[[#This Row],[Play Booster Box Product Id]], tbl_Product[Product Id], tbl_Product[Pack Size])</f>
        <v>#N/A</v>
      </c>
      <c r="AP657" s="10" t="e">
        <f>(tbl_MTG_Set[[#This Row],[Play Booster Box Cost]]+v_Item_Shipping_Cost_In)/tbl_MTG_Set[[#This Row],[Play Booster Box Size]]</f>
        <v>#VALUE!</v>
      </c>
      <c r="AQ657" s="10" t="str" cm="1">
        <f t="array" ref="AQ6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7" s="10"/>
      <c r="AS657" s="10"/>
      <c r="AT657" s="17" t="e">
        <f>tbl_MTG_Set[[#This Row],[Play Booster CardMarket Profit]]/tbl_MTG_Set[[#This Row],[Play Booster Cost]]</f>
        <v>#VALUE!</v>
      </c>
      <c r="AU657" s="10" t="e">
        <f>_xlfn.XLOOKUP(tbl_MTG_Set[[#This Row],[Collector Booster Box Product Id]], tbl_Product[Product Id], tbl_Product[Min Cost])</f>
        <v>#N/A</v>
      </c>
      <c r="AV657" s="10" t="e">
        <f>_xlfn.XLOOKUP(tbl_MTG_Set[[#This Row],[Collector Booster Box Product Id]], tbl_Product[Product Id], tbl_Product[Best Source])</f>
        <v>#N/A</v>
      </c>
      <c r="AW657" s="4" t="e">
        <f>_xlfn.XLOOKUP(tbl_MTG_Set[[#This Row],[Collector Booster Box Product Id]], tbl_Product[Product Id], tbl_Product[Pack Size])</f>
        <v>#N/A</v>
      </c>
      <c r="AX657" s="10" t="e">
        <f>(tbl_MTG_Set[[#This Row],[Collector Booster Box Cost]] + v_Item_Shipping_Cost_In) / tbl_MTG_Set[[#This Row],[Collector Booster Box Size]]</f>
        <v>#N/A</v>
      </c>
      <c r="AY657" s="10" t="str" cm="1">
        <f t="array" ref="AY6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7" s="10"/>
      <c r="BA6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7" s="17" t="e">
        <f>tbl_MTG_Set[[#This Row],[Collector Booster CardMarket Profit]]/tbl_MTG_Set[[#This Row],[Collector Booster Cost]]</f>
        <v>#N/A</v>
      </c>
      <c r="BC657" s="10"/>
      <c r="BF6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7" s="11" t="e">
        <f>tbl_MTG_Set[[#This Row],[Play Singles CardMarket Profit MTG Stocks]]/tbl_MTG_Set[[#This Row],[Play Booster Cost]]</f>
        <v>#VALUE!</v>
      </c>
      <c r="BI657" s="11" t="b">
        <f>tbl_MTG_Set[[#This Row],[Play Singles CardMarket Profit MTG Stocks]]&gt;0</f>
        <v>0</v>
      </c>
      <c r="BM657" s="10" t="e">
        <f>tbl_MTG_Set[[#This Row],[Play Booster Sell Price CardMarket]]*tbl_MTG_Set[[#This Row],[Play Booster Expected Market Value BotBox]]/tbl_MTG_Set[[#This Row],[Play Booster Sealed Market Value BotBox]]</f>
        <v>#VALUE!</v>
      </c>
      <c r="BN6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7" s="10" t="e">
        <f>tbl_MTG_Set[[#This Row],[Play Singles CardMarket Profit BotBox]]/tbl_MTG_Set[[#This Row],[Play Booster Cost]]</f>
        <v>#VALUE!</v>
      </c>
      <c r="BP657" s="10" t="b">
        <f>tbl_MTG_Set[[#This Row],[Play Singles CardMarket Profit BotBox]]&gt;0</f>
        <v>0</v>
      </c>
      <c r="BQ657" s="10"/>
      <c r="BR657" s="10"/>
      <c r="BS657" s="10"/>
      <c r="BT6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7" s="19" t="e">
        <f>tbl_MTG_Set[[#This Row],[Collector Singles CardMarket Profit MTG Stocks]]/tbl_MTG_Set[[#This Row],[Collector Booster Cost]]</f>
        <v>#N/A</v>
      </c>
      <c r="BW657" s="10" t="b">
        <f>tbl_MTG_Set[[#This Row],[Collector Singles CardMarket Profit MTG Stocks]]&gt;0</f>
        <v>0</v>
      </c>
      <c r="BX657" s="10"/>
      <c r="BY657" s="10"/>
      <c r="BZ6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7" s="10" t="e">
        <f>tbl_MTG_Set[[#This Row],[Collector Singles CardMarket Profit BotBox]]/tbl_MTG_Set[[#This Row],[Collector Booster Cost]]</f>
        <v>#N/A</v>
      </c>
      <c r="CC657" s="10" t="b">
        <f>tbl_MTG_Set[[#This Row],[Collector Singles CardMarket Profit BotBox]]&gt;0</f>
        <v>0</v>
      </c>
      <c r="CD6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8" spans="1:86" hidden="1">
      <c r="A658">
        <v>690</v>
      </c>
      <c r="B658" t="s">
        <v>831</v>
      </c>
      <c r="C658">
        <v>10</v>
      </c>
      <c r="D658" s="3">
        <v>41187</v>
      </c>
      <c r="F658" t="s">
        <v>174</v>
      </c>
      <c r="G658">
        <v>1326</v>
      </c>
      <c r="H658">
        <f ca="1">MONTH(NOW())+12*YEAR(NOW())-MONTH(tbl_MTG_Set[[#This Row],[Released On]])-12*YEAR(tbl_MTG_Set[[#This Row],[Released On]])</f>
        <v>161</v>
      </c>
      <c r="I658" t="str">
        <f>_xlfn.XLOOKUP(tbl_MTG_Set[[#This Row],[Type Name]], tbl_MTG_Set_Type[Set Type], tbl_MTG_Set_Type[Index], "(Set Type not found)")</f>
        <v>(Set Type not found)</v>
      </c>
      <c r="J658" t="str">
        <f>_xlfn.XLOOKUP(tbl_MTG_Set[[#This Row],[Type Name]], tbl_MTG_Set_Type[Set Type], tbl_MTG_Set_Type[Buy Window Month Start], "(Set Type not found)")</f>
        <v>(Set Type not found)</v>
      </c>
      <c r="K658" s="3" t="e">
        <f>tbl_MTG_Set[[#This Row],[Released On]]+tbl_MTG_Set[[#This Row],[Buy Window Month Start]]*365.25/12</f>
        <v>#VALUE!</v>
      </c>
      <c r="L658" t="str">
        <f>_xlfn.XLOOKUP(tbl_MTG_Set[[#This Row],[Type Name]], tbl_MTG_Set_Type[Set Type], tbl_MTG_Set_Type[Buy Window Month End], "(Set Type not found)", 0, 1)</f>
        <v>(Set Type not found)</v>
      </c>
      <c r="M658" s="3" t="e">
        <f>tbl_MTG_Set[[#This Row],[Released On]]+tbl_MTG_Set[[#This Row],[Buy Window Month End]]*365.25/12</f>
        <v>#VALUE!</v>
      </c>
      <c r="N658" s="3" t="e">
        <f ca="1">AND(NOW()&gt;=tbl_MTG_Set[[#This Row],[Buy Window Start]], NOW()&lt;=tbl_MTG_Set[[#This Row],[Buy Window End]])</f>
        <v>#VALUE!</v>
      </c>
      <c r="O658" t="str">
        <f>_xlfn.XLOOKUP(tbl_MTG_Set[[#This Row],[Type Name]], tbl_MTG_Set_Type[Set Type], tbl_MTG_Set_Type[Heavy Printing Window Month Start], "(Set Type not found)", 0, 1)</f>
        <v>(Set Type not found)</v>
      </c>
      <c r="P658" s="3" t="e">
        <f>tbl_MTG_Set[[#This Row],[Released On]]+tbl_MTG_Set[[#This Row],[Heavy Printing Window Month Start]]*365.25/12</f>
        <v>#VALUE!</v>
      </c>
      <c r="Q658" t="str">
        <f>_xlfn.XLOOKUP(tbl_MTG_Set[[#This Row],[Type Name]], tbl_MTG_Set_Type[Set Type], tbl_MTG_Set_Type[Heavy Printing Window Month End], "(Set Type not found)", 0, 1)</f>
        <v>(Set Type not found)</v>
      </c>
      <c r="R658" s="3" t="e">
        <f>tbl_MTG_Set[[#This Row],[Released On]]+tbl_MTG_Set[[#This Row],[Heavy Printing Window Month End]]*365.25/12</f>
        <v>#VALUE!</v>
      </c>
      <c r="S658" s="3" t="e">
        <f ca="1">AND(NOW()&gt;=tbl_MTG_Set[[#This Row],[Heavy Printing Window Start]], NOW()&lt;=tbl_MTG_Set[[#This Row],[Heavy Printing Window End]])</f>
        <v>#VALUE!</v>
      </c>
      <c r="T658" t="str">
        <f>_xlfn.XLOOKUP(tbl_MTG_Set[[#This Row],[Type Name]], tbl_MTG_Set_Type[Set Type], tbl_MTG_Set_Type[Sell Window Month Start], "(Set Type not found)", 0, 1)</f>
        <v>(Set Type not found)</v>
      </c>
      <c r="U658" s="3" t="e">
        <f>tbl_MTG_Set[[#This Row],[Released On]]+tbl_MTG_Set[[#This Row],[Sell Window Month Start]]*365.25/12</f>
        <v>#VALUE!</v>
      </c>
      <c r="V658" t="str">
        <f>_xlfn.XLOOKUP(tbl_MTG_Set[[#This Row],[Type Name]], tbl_MTG_Set_Type[Set Type], tbl_MTG_Set_Type[Sell Window Month End], "(Set Type not found)", 0, 1)</f>
        <v>(Set Type not found)</v>
      </c>
      <c r="W658" s="3" t="e">
        <f>tbl_MTG_Set[[#This Row],[Released On]]+tbl_MTG_Set[[#This Row],[Sell Window Month End]]*365.25/12</f>
        <v>#VALUE!</v>
      </c>
      <c r="X658" s="3" t="e">
        <f ca="1">AND(NOW()&gt;=tbl_MTG_Set[[#This Row],[Sell Window Start]], NOW()&lt;=tbl_MTG_Set[[#This Row],[Sell Window End]])</f>
        <v>#VALUE!</v>
      </c>
      <c r="AG658" s="10"/>
      <c r="AH658" s="10"/>
      <c r="AM658" s="10" t="str" cm="1">
        <f t="array" ref="AM6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8" s="10" t="str" cm="1">
        <f t="array" ref="AN6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8" s="4" t="e">
        <f>_xlfn.XLOOKUP(tbl_MTG_Set[[#This Row],[Play Booster Box Product Id]], tbl_Product[Product Id], tbl_Product[Pack Size])</f>
        <v>#N/A</v>
      </c>
      <c r="AP658" s="10" t="e">
        <f>(tbl_MTG_Set[[#This Row],[Play Booster Box Cost]]+v_Item_Shipping_Cost_In)/tbl_MTG_Set[[#This Row],[Play Booster Box Size]]</f>
        <v>#VALUE!</v>
      </c>
      <c r="AQ658" s="10" t="str" cm="1">
        <f t="array" ref="AQ6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8" s="10"/>
      <c r="AS658" s="10"/>
      <c r="AT658" s="17" t="e">
        <f>tbl_MTG_Set[[#This Row],[Play Booster CardMarket Profit]]/tbl_MTG_Set[[#This Row],[Play Booster Cost]]</f>
        <v>#VALUE!</v>
      </c>
      <c r="AU658" s="10" t="e">
        <f>_xlfn.XLOOKUP(tbl_MTG_Set[[#This Row],[Collector Booster Box Product Id]], tbl_Product[Product Id], tbl_Product[Min Cost])</f>
        <v>#N/A</v>
      </c>
      <c r="AV658" s="10" t="e">
        <f>_xlfn.XLOOKUP(tbl_MTG_Set[[#This Row],[Collector Booster Box Product Id]], tbl_Product[Product Id], tbl_Product[Best Source])</f>
        <v>#N/A</v>
      </c>
      <c r="AW658" s="4" t="e">
        <f>_xlfn.XLOOKUP(tbl_MTG_Set[[#This Row],[Collector Booster Box Product Id]], tbl_Product[Product Id], tbl_Product[Pack Size])</f>
        <v>#N/A</v>
      </c>
      <c r="AX658" s="10" t="e">
        <f>(tbl_MTG_Set[[#This Row],[Collector Booster Box Cost]] + v_Item_Shipping_Cost_In) / tbl_MTG_Set[[#This Row],[Collector Booster Box Size]]</f>
        <v>#N/A</v>
      </c>
      <c r="AY658" s="10" t="str" cm="1">
        <f t="array" ref="AY6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8" s="10"/>
      <c r="BA6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8" s="17" t="e">
        <f>tbl_MTG_Set[[#This Row],[Collector Booster CardMarket Profit]]/tbl_MTG_Set[[#This Row],[Collector Booster Cost]]</f>
        <v>#N/A</v>
      </c>
      <c r="BC658" s="10"/>
      <c r="BF6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8" s="11" t="e">
        <f>tbl_MTG_Set[[#This Row],[Play Singles CardMarket Profit MTG Stocks]]/tbl_MTG_Set[[#This Row],[Play Booster Cost]]</f>
        <v>#VALUE!</v>
      </c>
      <c r="BI658" s="11" t="b">
        <f>tbl_MTG_Set[[#This Row],[Play Singles CardMarket Profit MTG Stocks]]&gt;0</f>
        <v>0</v>
      </c>
      <c r="BM658" s="10" t="e">
        <f>tbl_MTG_Set[[#This Row],[Play Booster Sell Price CardMarket]]*tbl_MTG_Set[[#This Row],[Play Booster Expected Market Value BotBox]]/tbl_MTG_Set[[#This Row],[Play Booster Sealed Market Value BotBox]]</f>
        <v>#VALUE!</v>
      </c>
      <c r="BN6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8" s="10" t="e">
        <f>tbl_MTG_Set[[#This Row],[Play Singles CardMarket Profit BotBox]]/tbl_MTG_Set[[#This Row],[Play Booster Cost]]</f>
        <v>#VALUE!</v>
      </c>
      <c r="BP658" s="10" t="b">
        <f>tbl_MTG_Set[[#This Row],[Play Singles CardMarket Profit BotBox]]&gt;0</f>
        <v>0</v>
      </c>
      <c r="BQ658" s="10"/>
      <c r="BR658" s="10"/>
      <c r="BS658" s="10"/>
      <c r="BT6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8" s="19" t="e">
        <f>tbl_MTG_Set[[#This Row],[Collector Singles CardMarket Profit MTG Stocks]]/tbl_MTG_Set[[#This Row],[Collector Booster Cost]]</f>
        <v>#N/A</v>
      </c>
      <c r="BW658" s="10" t="b">
        <f>tbl_MTG_Set[[#This Row],[Collector Singles CardMarket Profit MTG Stocks]]&gt;0</f>
        <v>0</v>
      </c>
      <c r="BX658" s="10"/>
      <c r="BY658" s="10"/>
      <c r="BZ6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8" s="10" t="e">
        <f>tbl_MTG_Set[[#This Row],[Collector Singles CardMarket Profit BotBox]]/tbl_MTG_Set[[#This Row],[Collector Booster Cost]]</f>
        <v>#N/A</v>
      </c>
      <c r="CC658" s="10" t="b">
        <f>tbl_MTG_Set[[#This Row],[Collector Singles CardMarket Profit BotBox]]&gt;0</f>
        <v>0</v>
      </c>
      <c r="CD6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59" spans="1:86" hidden="1">
      <c r="A659">
        <v>691</v>
      </c>
      <c r="B659" t="s">
        <v>832</v>
      </c>
      <c r="C659">
        <v>12</v>
      </c>
      <c r="D659" s="3">
        <v>41187</v>
      </c>
      <c r="F659" t="s">
        <v>174</v>
      </c>
      <c r="G659">
        <v>1328</v>
      </c>
      <c r="H659">
        <f ca="1">MONTH(NOW())+12*YEAR(NOW())-MONTH(tbl_MTG_Set[[#This Row],[Released On]])-12*YEAR(tbl_MTG_Set[[#This Row],[Released On]])</f>
        <v>161</v>
      </c>
      <c r="I659" t="str">
        <f>_xlfn.XLOOKUP(tbl_MTG_Set[[#This Row],[Type Name]], tbl_MTG_Set_Type[Set Type], tbl_MTG_Set_Type[Index], "(Set Type not found)")</f>
        <v>(Set Type not found)</v>
      </c>
      <c r="J659" t="str">
        <f>_xlfn.XLOOKUP(tbl_MTG_Set[[#This Row],[Type Name]], tbl_MTG_Set_Type[Set Type], tbl_MTG_Set_Type[Buy Window Month Start], "(Set Type not found)")</f>
        <v>(Set Type not found)</v>
      </c>
      <c r="K659" s="3" t="e">
        <f>tbl_MTG_Set[[#This Row],[Released On]]+tbl_MTG_Set[[#This Row],[Buy Window Month Start]]*365.25/12</f>
        <v>#VALUE!</v>
      </c>
      <c r="L659" t="str">
        <f>_xlfn.XLOOKUP(tbl_MTG_Set[[#This Row],[Type Name]], tbl_MTG_Set_Type[Set Type], tbl_MTG_Set_Type[Buy Window Month End], "(Set Type not found)", 0, 1)</f>
        <v>(Set Type not found)</v>
      </c>
      <c r="M659" s="3" t="e">
        <f>tbl_MTG_Set[[#This Row],[Released On]]+tbl_MTG_Set[[#This Row],[Buy Window Month End]]*365.25/12</f>
        <v>#VALUE!</v>
      </c>
      <c r="N659" s="3" t="e">
        <f ca="1">AND(NOW()&gt;=tbl_MTG_Set[[#This Row],[Buy Window Start]], NOW()&lt;=tbl_MTG_Set[[#This Row],[Buy Window End]])</f>
        <v>#VALUE!</v>
      </c>
      <c r="O659" t="str">
        <f>_xlfn.XLOOKUP(tbl_MTG_Set[[#This Row],[Type Name]], tbl_MTG_Set_Type[Set Type], tbl_MTG_Set_Type[Heavy Printing Window Month Start], "(Set Type not found)", 0, 1)</f>
        <v>(Set Type not found)</v>
      </c>
      <c r="P659" s="3" t="e">
        <f>tbl_MTG_Set[[#This Row],[Released On]]+tbl_MTG_Set[[#This Row],[Heavy Printing Window Month Start]]*365.25/12</f>
        <v>#VALUE!</v>
      </c>
      <c r="Q659" t="str">
        <f>_xlfn.XLOOKUP(tbl_MTG_Set[[#This Row],[Type Name]], tbl_MTG_Set_Type[Set Type], tbl_MTG_Set_Type[Heavy Printing Window Month End], "(Set Type not found)", 0, 1)</f>
        <v>(Set Type not found)</v>
      </c>
      <c r="R659" s="3" t="e">
        <f>tbl_MTG_Set[[#This Row],[Released On]]+tbl_MTG_Set[[#This Row],[Heavy Printing Window Month End]]*365.25/12</f>
        <v>#VALUE!</v>
      </c>
      <c r="S659" s="3" t="e">
        <f ca="1">AND(NOW()&gt;=tbl_MTG_Set[[#This Row],[Heavy Printing Window Start]], NOW()&lt;=tbl_MTG_Set[[#This Row],[Heavy Printing Window End]])</f>
        <v>#VALUE!</v>
      </c>
      <c r="T659" t="str">
        <f>_xlfn.XLOOKUP(tbl_MTG_Set[[#This Row],[Type Name]], tbl_MTG_Set_Type[Set Type], tbl_MTG_Set_Type[Sell Window Month Start], "(Set Type not found)", 0, 1)</f>
        <v>(Set Type not found)</v>
      </c>
      <c r="U659" s="3" t="e">
        <f>tbl_MTG_Set[[#This Row],[Released On]]+tbl_MTG_Set[[#This Row],[Sell Window Month Start]]*365.25/12</f>
        <v>#VALUE!</v>
      </c>
      <c r="V659" t="str">
        <f>_xlfn.XLOOKUP(tbl_MTG_Set[[#This Row],[Type Name]], tbl_MTG_Set_Type[Set Type], tbl_MTG_Set_Type[Sell Window Month End], "(Set Type not found)", 0, 1)</f>
        <v>(Set Type not found)</v>
      </c>
      <c r="W659" s="3" t="e">
        <f>tbl_MTG_Set[[#This Row],[Released On]]+tbl_MTG_Set[[#This Row],[Sell Window Month End]]*365.25/12</f>
        <v>#VALUE!</v>
      </c>
      <c r="X659" s="3" t="e">
        <f ca="1">AND(NOW()&gt;=tbl_MTG_Set[[#This Row],[Sell Window Start]], NOW()&lt;=tbl_MTG_Set[[#This Row],[Sell Window End]])</f>
        <v>#VALUE!</v>
      </c>
      <c r="AG659" s="10"/>
      <c r="AH659" s="10"/>
      <c r="AM659" s="10" t="str" cm="1">
        <f t="array" ref="AM6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59" s="10" t="str" cm="1">
        <f t="array" ref="AN6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59" s="4" t="e">
        <f>_xlfn.XLOOKUP(tbl_MTG_Set[[#This Row],[Play Booster Box Product Id]], tbl_Product[Product Id], tbl_Product[Pack Size])</f>
        <v>#N/A</v>
      </c>
      <c r="AP659" s="10" t="e">
        <f>(tbl_MTG_Set[[#This Row],[Play Booster Box Cost]]+v_Item_Shipping_Cost_In)/tbl_MTG_Set[[#This Row],[Play Booster Box Size]]</f>
        <v>#VALUE!</v>
      </c>
      <c r="AQ659" s="10" t="str" cm="1">
        <f t="array" ref="AQ6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59" s="10"/>
      <c r="AS659" s="10"/>
      <c r="AT659" s="17" t="e">
        <f>tbl_MTG_Set[[#This Row],[Play Booster CardMarket Profit]]/tbl_MTG_Set[[#This Row],[Play Booster Cost]]</f>
        <v>#VALUE!</v>
      </c>
      <c r="AU659" s="10" t="e">
        <f>_xlfn.XLOOKUP(tbl_MTG_Set[[#This Row],[Collector Booster Box Product Id]], tbl_Product[Product Id], tbl_Product[Min Cost])</f>
        <v>#N/A</v>
      </c>
      <c r="AV659" s="10" t="e">
        <f>_xlfn.XLOOKUP(tbl_MTG_Set[[#This Row],[Collector Booster Box Product Id]], tbl_Product[Product Id], tbl_Product[Best Source])</f>
        <v>#N/A</v>
      </c>
      <c r="AW659" s="4" t="e">
        <f>_xlfn.XLOOKUP(tbl_MTG_Set[[#This Row],[Collector Booster Box Product Id]], tbl_Product[Product Id], tbl_Product[Pack Size])</f>
        <v>#N/A</v>
      </c>
      <c r="AX659" s="10" t="e">
        <f>(tbl_MTG_Set[[#This Row],[Collector Booster Box Cost]] + v_Item_Shipping_Cost_In) / tbl_MTG_Set[[#This Row],[Collector Booster Box Size]]</f>
        <v>#N/A</v>
      </c>
      <c r="AY659" s="10" t="str" cm="1">
        <f t="array" ref="AY6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59" s="10"/>
      <c r="BA6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59" s="17" t="e">
        <f>tbl_MTG_Set[[#This Row],[Collector Booster CardMarket Profit]]/tbl_MTG_Set[[#This Row],[Collector Booster Cost]]</f>
        <v>#N/A</v>
      </c>
      <c r="BC659" s="10"/>
      <c r="BF6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59" s="11" t="e">
        <f>tbl_MTG_Set[[#This Row],[Play Singles CardMarket Profit MTG Stocks]]/tbl_MTG_Set[[#This Row],[Play Booster Cost]]</f>
        <v>#VALUE!</v>
      </c>
      <c r="BI659" s="11" t="b">
        <f>tbl_MTG_Set[[#This Row],[Play Singles CardMarket Profit MTG Stocks]]&gt;0</f>
        <v>0</v>
      </c>
      <c r="BM659" s="10" t="e">
        <f>tbl_MTG_Set[[#This Row],[Play Booster Sell Price CardMarket]]*tbl_MTG_Set[[#This Row],[Play Booster Expected Market Value BotBox]]/tbl_MTG_Set[[#This Row],[Play Booster Sealed Market Value BotBox]]</f>
        <v>#VALUE!</v>
      </c>
      <c r="BN6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59" s="10" t="e">
        <f>tbl_MTG_Set[[#This Row],[Play Singles CardMarket Profit BotBox]]/tbl_MTG_Set[[#This Row],[Play Booster Cost]]</f>
        <v>#VALUE!</v>
      </c>
      <c r="BP659" s="10" t="b">
        <f>tbl_MTG_Set[[#This Row],[Play Singles CardMarket Profit BotBox]]&gt;0</f>
        <v>0</v>
      </c>
      <c r="BQ659" s="10"/>
      <c r="BR659" s="10"/>
      <c r="BS659" s="10"/>
      <c r="BT6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59" s="19" t="e">
        <f>tbl_MTG_Set[[#This Row],[Collector Singles CardMarket Profit MTG Stocks]]/tbl_MTG_Set[[#This Row],[Collector Booster Cost]]</f>
        <v>#N/A</v>
      </c>
      <c r="BW659" s="10" t="b">
        <f>tbl_MTG_Set[[#This Row],[Collector Singles CardMarket Profit MTG Stocks]]&gt;0</f>
        <v>0</v>
      </c>
      <c r="BX659" s="10"/>
      <c r="BY659" s="10"/>
      <c r="BZ6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59" s="10" t="e">
        <f>tbl_MTG_Set[[#This Row],[Collector Singles CardMarket Profit BotBox]]/tbl_MTG_Set[[#This Row],[Collector Booster Cost]]</f>
        <v>#N/A</v>
      </c>
      <c r="CC659" s="10" t="b">
        <f>tbl_MTG_Set[[#This Row],[Collector Singles CardMarket Profit BotBox]]&gt;0</f>
        <v>0</v>
      </c>
      <c r="CD6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0" spans="1:86" hidden="1">
      <c r="A660">
        <v>692</v>
      </c>
      <c r="B660" t="s">
        <v>833</v>
      </c>
      <c r="C660">
        <v>90</v>
      </c>
      <c r="D660" s="3">
        <v>41159</v>
      </c>
      <c r="F660" t="s">
        <v>174</v>
      </c>
      <c r="G660">
        <v>1330</v>
      </c>
      <c r="H660">
        <f ca="1">MONTH(NOW())+12*YEAR(NOW())-MONTH(tbl_MTG_Set[[#This Row],[Released On]])-12*YEAR(tbl_MTG_Set[[#This Row],[Released On]])</f>
        <v>162</v>
      </c>
      <c r="I660" t="str">
        <f>_xlfn.XLOOKUP(tbl_MTG_Set[[#This Row],[Type Name]], tbl_MTG_Set_Type[Set Type], tbl_MTG_Set_Type[Index], "(Set Type not found)")</f>
        <v>(Set Type not found)</v>
      </c>
      <c r="J660" t="str">
        <f>_xlfn.XLOOKUP(tbl_MTG_Set[[#This Row],[Type Name]], tbl_MTG_Set_Type[Set Type], tbl_MTG_Set_Type[Buy Window Month Start], "(Set Type not found)")</f>
        <v>(Set Type not found)</v>
      </c>
      <c r="K660" s="3" t="e">
        <f>tbl_MTG_Set[[#This Row],[Released On]]+tbl_MTG_Set[[#This Row],[Buy Window Month Start]]*365.25/12</f>
        <v>#VALUE!</v>
      </c>
      <c r="L660" t="str">
        <f>_xlfn.XLOOKUP(tbl_MTG_Set[[#This Row],[Type Name]], tbl_MTG_Set_Type[Set Type], tbl_MTG_Set_Type[Buy Window Month End], "(Set Type not found)", 0, 1)</f>
        <v>(Set Type not found)</v>
      </c>
      <c r="M660" s="3" t="e">
        <f>tbl_MTG_Set[[#This Row],[Released On]]+tbl_MTG_Set[[#This Row],[Buy Window Month End]]*365.25/12</f>
        <v>#VALUE!</v>
      </c>
      <c r="N660" s="3" t="e">
        <f ca="1">AND(NOW()&gt;=tbl_MTG_Set[[#This Row],[Buy Window Start]], NOW()&lt;=tbl_MTG_Set[[#This Row],[Buy Window End]])</f>
        <v>#VALUE!</v>
      </c>
      <c r="O660" t="str">
        <f>_xlfn.XLOOKUP(tbl_MTG_Set[[#This Row],[Type Name]], tbl_MTG_Set_Type[Set Type], tbl_MTG_Set_Type[Heavy Printing Window Month Start], "(Set Type not found)", 0, 1)</f>
        <v>(Set Type not found)</v>
      </c>
      <c r="P660" s="3" t="e">
        <f>tbl_MTG_Set[[#This Row],[Released On]]+tbl_MTG_Set[[#This Row],[Heavy Printing Window Month Start]]*365.25/12</f>
        <v>#VALUE!</v>
      </c>
      <c r="Q660" t="str">
        <f>_xlfn.XLOOKUP(tbl_MTG_Set[[#This Row],[Type Name]], tbl_MTG_Set_Type[Set Type], tbl_MTG_Set_Type[Heavy Printing Window Month End], "(Set Type not found)", 0, 1)</f>
        <v>(Set Type not found)</v>
      </c>
      <c r="R660" s="3" t="e">
        <f>tbl_MTG_Set[[#This Row],[Released On]]+tbl_MTG_Set[[#This Row],[Heavy Printing Window Month End]]*365.25/12</f>
        <v>#VALUE!</v>
      </c>
      <c r="S660" s="3" t="e">
        <f ca="1">AND(NOW()&gt;=tbl_MTG_Set[[#This Row],[Heavy Printing Window Start]], NOW()&lt;=tbl_MTG_Set[[#This Row],[Heavy Printing Window End]])</f>
        <v>#VALUE!</v>
      </c>
      <c r="T660" t="str">
        <f>_xlfn.XLOOKUP(tbl_MTG_Set[[#This Row],[Type Name]], tbl_MTG_Set_Type[Set Type], tbl_MTG_Set_Type[Sell Window Month Start], "(Set Type not found)", 0, 1)</f>
        <v>(Set Type not found)</v>
      </c>
      <c r="U660" s="3" t="e">
        <f>tbl_MTG_Set[[#This Row],[Released On]]+tbl_MTG_Set[[#This Row],[Sell Window Month Start]]*365.25/12</f>
        <v>#VALUE!</v>
      </c>
      <c r="V660" t="str">
        <f>_xlfn.XLOOKUP(tbl_MTG_Set[[#This Row],[Type Name]], tbl_MTG_Set_Type[Set Type], tbl_MTG_Set_Type[Sell Window Month End], "(Set Type not found)", 0, 1)</f>
        <v>(Set Type not found)</v>
      </c>
      <c r="W660" s="3" t="e">
        <f>tbl_MTG_Set[[#This Row],[Released On]]+tbl_MTG_Set[[#This Row],[Sell Window Month End]]*365.25/12</f>
        <v>#VALUE!</v>
      </c>
      <c r="X660" s="3" t="e">
        <f ca="1">AND(NOW()&gt;=tbl_MTG_Set[[#This Row],[Sell Window Start]], NOW()&lt;=tbl_MTG_Set[[#This Row],[Sell Window End]])</f>
        <v>#VALUE!</v>
      </c>
      <c r="AG660" s="10"/>
      <c r="AH660" s="10"/>
      <c r="AM660" s="10" t="str" cm="1">
        <f t="array" ref="AM6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0" s="10" t="str" cm="1">
        <f t="array" ref="AN6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0" s="4" t="e">
        <f>_xlfn.XLOOKUP(tbl_MTG_Set[[#This Row],[Play Booster Box Product Id]], tbl_Product[Product Id], tbl_Product[Pack Size])</f>
        <v>#N/A</v>
      </c>
      <c r="AP660" s="10" t="e">
        <f>(tbl_MTG_Set[[#This Row],[Play Booster Box Cost]]+v_Item_Shipping_Cost_In)/tbl_MTG_Set[[#This Row],[Play Booster Box Size]]</f>
        <v>#VALUE!</v>
      </c>
      <c r="AQ660" s="10" t="str" cm="1">
        <f t="array" ref="AQ6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0" s="10"/>
      <c r="AS660" s="10"/>
      <c r="AT660" s="17" t="e">
        <f>tbl_MTG_Set[[#This Row],[Play Booster CardMarket Profit]]/tbl_MTG_Set[[#This Row],[Play Booster Cost]]</f>
        <v>#VALUE!</v>
      </c>
      <c r="AU660" s="10" t="e">
        <f>_xlfn.XLOOKUP(tbl_MTG_Set[[#This Row],[Collector Booster Box Product Id]], tbl_Product[Product Id], tbl_Product[Min Cost])</f>
        <v>#N/A</v>
      </c>
      <c r="AV660" s="10" t="e">
        <f>_xlfn.XLOOKUP(tbl_MTG_Set[[#This Row],[Collector Booster Box Product Id]], tbl_Product[Product Id], tbl_Product[Best Source])</f>
        <v>#N/A</v>
      </c>
      <c r="AW660" s="4" t="e">
        <f>_xlfn.XLOOKUP(tbl_MTG_Set[[#This Row],[Collector Booster Box Product Id]], tbl_Product[Product Id], tbl_Product[Pack Size])</f>
        <v>#N/A</v>
      </c>
      <c r="AX660" s="10" t="e">
        <f>(tbl_MTG_Set[[#This Row],[Collector Booster Box Cost]] + v_Item_Shipping_Cost_In) / tbl_MTG_Set[[#This Row],[Collector Booster Box Size]]</f>
        <v>#N/A</v>
      </c>
      <c r="AY660" s="10" t="str" cm="1">
        <f t="array" ref="AY6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0" s="10"/>
      <c r="BA6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0" s="17" t="e">
        <f>tbl_MTG_Set[[#This Row],[Collector Booster CardMarket Profit]]/tbl_MTG_Set[[#This Row],[Collector Booster Cost]]</f>
        <v>#N/A</v>
      </c>
      <c r="BC660" s="10"/>
      <c r="BF6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0" s="11" t="e">
        <f>tbl_MTG_Set[[#This Row],[Play Singles CardMarket Profit MTG Stocks]]/tbl_MTG_Set[[#This Row],[Play Booster Cost]]</f>
        <v>#VALUE!</v>
      </c>
      <c r="BI660" s="11" t="b">
        <f>tbl_MTG_Set[[#This Row],[Play Singles CardMarket Profit MTG Stocks]]&gt;0</f>
        <v>0</v>
      </c>
      <c r="BM660" s="10" t="e">
        <f>tbl_MTG_Set[[#This Row],[Play Booster Sell Price CardMarket]]*tbl_MTG_Set[[#This Row],[Play Booster Expected Market Value BotBox]]/tbl_MTG_Set[[#This Row],[Play Booster Sealed Market Value BotBox]]</f>
        <v>#VALUE!</v>
      </c>
      <c r="BN6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0" s="10" t="e">
        <f>tbl_MTG_Set[[#This Row],[Play Singles CardMarket Profit BotBox]]/tbl_MTG_Set[[#This Row],[Play Booster Cost]]</f>
        <v>#VALUE!</v>
      </c>
      <c r="BP660" s="10" t="b">
        <f>tbl_MTG_Set[[#This Row],[Play Singles CardMarket Profit BotBox]]&gt;0</f>
        <v>0</v>
      </c>
      <c r="BQ660" s="10"/>
      <c r="BR660" s="10"/>
      <c r="BS660" s="10"/>
      <c r="BT6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0" s="19" t="e">
        <f>tbl_MTG_Set[[#This Row],[Collector Singles CardMarket Profit MTG Stocks]]/tbl_MTG_Set[[#This Row],[Collector Booster Cost]]</f>
        <v>#N/A</v>
      </c>
      <c r="BW660" s="10" t="b">
        <f>tbl_MTG_Set[[#This Row],[Collector Singles CardMarket Profit MTG Stocks]]&gt;0</f>
        <v>0</v>
      </c>
      <c r="BX660" s="10"/>
      <c r="BY660" s="10"/>
      <c r="BZ6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0" s="10" t="e">
        <f>tbl_MTG_Set[[#This Row],[Collector Singles CardMarket Profit BotBox]]/tbl_MTG_Set[[#This Row],[Collector Booster Cost]]</f>
        <v>#N/A</v>
      </c>
      <c r="CC660" s="10" t="b">
        <f>tbl_MTG_Set[[#This Row],[Collector Singles CardMarket Profit BotBox]]&gt;0</f>
        <v>0</v>
      </c>
      <c r="CD6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1" spans="1:86" hidden="1">
      <c r="A661">
        <v>693</v>
      </c>
      <c r="B661" t="s">
        <v>834</v>
      </c>
      <c r="C661">
        <v>1</v>
      </c>
      <c r="D661" s="3">
        <v>41159</v>
      </c>
      <c r="F661" t="s">
        <v>174</v>
      </c>
      <c r="G661">
        <v>1332</v>
      </c>
      <c r="H661">
        <f ca="1">MONTH(NOW())+12*YEAR(NOW())-MONTH(tbl_MTG_Set[[#This Row],[Released On]])-12*YEAR(tbl_MTG_Set[[#This Row],[Released On]])</f>
        <v>162</v>
      </c>
      <c r="I661" t="str">
        <f>_xlfn.XLOOKUP(tbl_MTG_Set[[#This Row],[Type Name]], tbl_MTG_Set_Type[Set Type], tbl_MTG_Set_Type[Index], "(Set Type not found)")</f>
        <v>(Set Type not found)</v>
      </c>
      <c r="J661" t="str">
        <f>_xlfn.XLOOKUP(tbl_MTG_Set[[#This Row],[Type Name]], tbl_MTG_Set_Type[Set Type], tbl_MTG_Set_Type[Buy Window Month Start], "(Set Type not found)")</f>
        <v>(Set Type not found)</v>
      </c>
      <c r="K661" s="3" t="e">
        <f>tbl_MTG_Set[[#This Row],[Released On]]+tbl_MTG_Set[[#This Row],[Buy Window Month Start]]*365.25/12</f>
        <v>#VALUE!</v>
      </c>
      <c r="L661" t="str">
        <f>_xlfn.XLOOKUP(tbl_MTG_Set[[#This Row],[Type Name]], tbl_MTG_Set_Type[Set Type], tbl_MTG_Set_Type[Buy Window Month End], "(Set Type not found)", 0, 1)</f>
        <v>(Set Type not found)</v>
      </c>
      <c r="M661" s="3" t="e">
        <f>tbl_MTG_Set[[#This Row],[Released On]]+tbl_MTG_Set[[#This Row],[Buy Window Month End]]*365.25/12</f>
        <v>#VALUE!</v>
      </c>
      <c r="N661" s="3" t="e">
        <f ca="1">AND(NOW()&gt;=tbl_MTG_Set[[#This Row],[Buy Window Start]], NOW()&lt;=tbl_MTG_Set[[#This Row],[Buy Window End]])</f>
        <v>#VALUE!</v>
      </c>
      <c r="O661" t="str">
        <f>_xlfn.XLOOKUP(tbl_MTG_Set[[#This Row],[Type Name]], tbl_MTG_Set_Type[Set Type], tbl_MTG_Set_Type[Heavy Printing Window Month Start], "(Set Type not found)", 0, 1)</f>
        <v>(Set Type not found)</v>
      </c>
      <c r="P661" s="3" t="e">
        <f>tbl_MTG_Set[[#This Row],[Released On]]+tbl_MTG_Set[[#This Row],[Heavy Printing Window Month Start]]*365.25/12</f>
        <v>#VALUE!</v>
      </c>
      <c r="Q661" t="str">
        <f>_xlfn.XLOOKUP(tbl_MTG_Set[[#This Row],[Type Name]], tbl_MTG_Set_Type[Set Type], tbl_MTG_Set_Type[Heavy Printing Window Month End], "(Set Type not found)", 0, 1)</f>
        <v>(Set Type not found)</v>
      </c>
      <c r="R661" s="3" t="e">
        <f>tbl_MTG_Set[[#This Row],[Released On]]+tbl_MTG_Set[[#This Row],[Heavy Printing Window Month End]]*365.25/12</f>
        <v>#VALUE!</v>
      </c>
      <c r="S661" s="3" t="e">
        <f ca="1">AND(NOW()&gt;=tbl_MTG_Set[[#This Row],[Heavy Printing Window Start]], NOW()&lt;=tbl_MTG_Set[[#This Row],[Heavy Printing Window End]])</f>
        <v>#VALUE!</v>
      </c>
      <c r="T661" t="str">
        <f>_xlfn.XLOOKUP(tbl_MTG_Set[[#This Row],[Type Name]], tbl_MTG_Set_Type[Set Type], tbl_MTG_Set_Type[Sell Window Month Start], "(Set Type not found)", 0, 1)</f>
        <v>(Set Type not found)</v>
      </c>
      <c r="U661" s="3" t="e">
        <f>tbl_MTG_Set[[#This Row],[Released On]]+tbl_MTG_Set[[#This Row],[Sell Window Month Start]]*365.25/12</f>
        <v>#VALUE!</v>
      </c>
      <c r="V661" t="str">
        <f>_xlfn.XLOOKUP(tbl_MTG_Set[[#This Row],[Type Name]], tbl_MTG_Set_Type[Set Type], tbl_MTG_Set_Type[Sell Window Month End], "(Set Type not found)", 0, 1)</f>
        <v>(Set Type not found)</v>
      </c>
      <c r="W661" s="3" t="e">
        <f>tbl_MTG_Set[[#This Row],[Released On]]+tbl_MTG_Set[[#This Row],[Sell Window Month End]]*365.25/12</f>
        <v>#VALUE!</v>
      </c>
      <c r="X661" s="3" t="e">
        <f ca="1">AND(NOW()&gt;=tbl_MTG_Set[[#This Row],[Sell Window Start]], NOW()&lt;=tbl_MTG_Set[[#This Row],[Sell Window End]])</f>
        <v>#VALUE!</v>
      </c>
      <c r="AG661" s="10"/>
      <c r="AH661" s="10"/>
      <c r="AM661" s="10" t="str" cm="1">
        <f t="array" ref="AM6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1" s="10" t="str" cm="1">
        <f t="array" ref="AN6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1" s="4" t="e">
        <f>_xlfn.XLOOKUP(tbl_MTG_Set[[#This Row],[Play Booster Box Product Id]], tbl_Product[Product Id], tbl_Product[Pack Size])</f>
        <v>#N/A</v>
      </c>
      <c r="AP661" s="10" t="e">
        <f>(tbl_MTG_Set[[#This Row],[Play Booster Box Cost]]+v_Item_Shipping_Cost_In)/tbl_MTG_Set[[#This Row],[Play Booster Box Size]]</f>
        <v>#VALUE!</v>
      </c>
      <c r="AQ661" s="10" t="str" cm="1">
        <f t="array" ref="AQ6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1" s="10"/>
      <c r="AS661" s="10"/>
      <c r="AT661" s="17" t="e">
        <f>tbl_MTG_Set[[#This Row],[Play Booster CardMarket Profit]]/tbl_MTG_Set[[#This Row],[Play Booster Cost]]</f>
        <v>#VALUE!</v>
      </c>
      <c r="AU661" s="10" t="e">
        <f>_xlfn.XLOOKUP(tbl_MTG_Set[[#This Row],[Collector Booster Box Product Id]], tbl_Product[Product Id], tbl_Product[Min Cost])</f>
        <v>#N/A</v>
      </c>
      <c r="AV661" s="10" t="e">
        <f>_xlfn.XLOOKUP(tbl_MTG_Set[[#This Row],[Collector Booster Box Product Id]], tbl_Product[Product Id], tbl_Product[Best Source])</f>
        <v>#N/A</v>
      </c>
      <c r="AW661" s="4" t="e">
        <f>_xlfn.XLOOKUP(tbl_MTG_Set[[#This Row],[Collector Booster Box Product Id]], tbl_Product[Product Id], tbl_Product[Pack Size])</f>
        <v>#N/A</v>
      </c>
      <c r="AX661" s="10" t="e">
        <f>(tbl_MTG_Set[[#This Row],[Collector Booster Box Cost]] + v_Item_Shipping_Cost_In) / tbl_MTG_Set[[#This Row],[Collector Booster Box Size]]</f>
        <v>#N/A</v>
      </c>
      <c r="AY661" s="10" t="str" cm="1">
        <f t="array" ref="AY6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1" s="10"/>
      <c r="BA6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1" s="17" t="e">
        <f>tbl_MTG_Set[[#This Row],[Collector Booster CardMarket Profit]]/tbl_MTG_Set[[#This Row],[Collector Booster Cost]]</f>
        <v>#N/A</v>
      </c>
      <c r="BC661" s="10"/>
      <c r="BF6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1" s="11" t="e">
        <f>tbl_MTG_Set[[#This Row],[Play Singles CardMarket Profit MTG Stocks]]/tbl_MTG_Set[[#This Row],[Play Booster Cost]]</f>
        <v>#VALUE!</v>
      </c>
      <c r="BI661" s="11" t="b">
        <f>tbl_MTG_Set[[#This Row],[Play Singles CardMarket Profit MTG Stocks]]&gt;0</f>
        <v>0</v>
      </c>
      <c r="BM661" s="10" t="e">
        <f>tbl_MTG_Set[[#This Row],[Play Booster Sell Price CardMarket]]*tbl_MTG_Set[[#This Row],[Play Booster Expected Market Value BotBox]]/tbl_MTG_Set[[#This Row],[Play Booster Sealed Market Value BotBox]]</f>
        <v>#VALUE!</v>
      </c>
      <c r="BN6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1" s="10" t="e">
        <f>tbl_MTG_Set[[#This Row],[Play Singles CardMarket Profit BotBox]]/tbl_MTG_Set[[#This Row],[Play Booster Cost]]</f>
        <v>#VALUE!</v>
      </c>
      <c r="BP661" s="10" t="b">
        <f>tbl_MTG_Set[[#This Row],[Play Singles CardMarket Profit BotBox]]&gt;0</f>
        <v>0</v>
      </c>
      <c r="BQ661" s="10"/>
      <c r="BR661" s="10"/>
      <c r="BS661" s="10"/>
      <c r="BT6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1" s="19" t="e">
        <f>tbl_MTG_Set[[#This Row],[Collector Singles CardMarket Profit MTG Stocks]]/tbl_MTG_Set[[#This Row],[Collector Booster Cost]]</f>
        <v>#N/A</v>
      </c>
      <c r="BW661" s="10" t="b">
        <f>tbl_MTG_Set[[#This Row],[Collector Singles CardMarket Profit MTG Stocks]]&gt;0</f>
        <v>0</v>
      </c>
      <c r="BX661" s="10"/>
      <c r="BY661" s="10"/>
      <c r="BZ6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1" s="10" t="e">
        <f>tbl_MTG_Set[[#This Row],[Collector Singles CardMarket Profit BotBox]]/tbl_MTG_Set[[#This Row],[Collector Booster Cost]]</f>
        <v>#N/A</v>
      </c>
      <c r="CC661" s="10" t="b">
        <f>tbl_MTG_Set[[#This Row],[Collector Singles CardMarket Profit BotBox]]&gt;0</f>
        <v>0</v>
      </c>
      <c r="CD6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2" spans="1:86" hidden="1">
      <c r="A662">
        <v>694</v>
      </c>
      <c r="B662" t="s">
        <v>835</v>
      </c>
      <c r="C662">
        <v>15</v>
      </c>
      <c r="D662" s="3">
        <v>41152</v>
      </c>
      <c r="F662" t="s">
        <v>174</v>
      </c>
      <c r="G662">
        <v>1334</v>
      </c>
      <c r="H662">
        <f ca="1">MONTH(NOW())+12*YEAR(NOW())-MONTH(tbl_MTG_Set[[#This Row],[Released On]])-12*YEAR(tbl_MTG_Set[[#This Row],[Released On]])</f>
        <v>163</v>
      </c>
      <c r="I662" t="str">
        <f>_xlfn.XLOOKUP(tbl_MTG_Set[[#This Row],[Type Name]], tbl_MTG_Set_Type[Set Type], tbl_MTG_Set_Type[Index], "(Set Type not found)")</f>
        <v>(Set Type not found)</v>
      </c>
      <c r="J662" t="str">
        <f>_xlfn.XLOOKUP(tbl_MTG_Set[[#This Row],[Type Name]], tbl_MTG_Set_Type[Set Type], tbl_MTG_Set_Type[Buy Window Month Start], "(Set Type not found)")</f>
        <v>(Set Type not found)</v>
      </c>
      <c r="K662" s="3" t="e">
        <f>tbl_MTG_Set[[#This Row],[Released On]]+tbl_MTG_Set[[#This Row],[Buy Window Month Start]]*365.25/12</f>
        <v>#VALUE!</v>
      </c>
      <c r="L662" t="str">
        <f>_xlfn.XLOOKUP(tbl_MTG_Set[[#This Row],[Type Name]], tbl_MTG_Set_Type[Set Type], tbl_MTG_Set_Type[Buy Window Month End], "(Set Type not found)", 0, 1)</f>
        <v>(Set Type not found)</v>
      </c>
      <c r="M662" s="3" t="e">
        <f>tbl_MTG_Set[[#This Row],[Released On]]+tbl_MTG_Set[[#This Row],[Buy Window Month End]]*365.25/12</f>
        <v>#VALUE!</v>
      </c>
      <c r="N662" s="3" t="e">
        <f ca="1">AND(NOW()&gt;=tbl_MTG_Set[[#This Row],[Buy Window Start]], NOW()&lt;=tbl_MTG_Set[[#This Row],[Buy Window End]])</f>
        <v>#VALUE!</v>
      </c>
      <c r="O662" t="str">
        <f>_xlfn.XLOOKUP(tbl_MTG_Set[[#This Row],[Type Name]], tbl_MTG_Set_Type[Set Type], tbl_MTG_Set_Type[Heavy Printing Window Month Start], "(Set Type not found)", 0, 1)</f>
        <v>(Set Type not found)</v>
      </c>
      <c r="P662" s="3" t="e">
        <f>tbl_MTG_Set[[#This Row],[Released On]]+tbl_MTG_Set[[#This Row],[Heavy Printing Window Month Start]]*365.25/12</f>
        <v>#VALUE!</v>
      </c>
      <c r="Q662" t="str">
        <f>_xlfn.XLOOKUP(tbl_MTG_Set[[#This Row],[Type Name]], tbl_MTG_Set_Type[Set Type], tbl_MTG_Set_Type[Heavy Printing Window Month End], "(Set Type not found)", 0, 1)</f>
        <v>(Set Type not found)</v>
      </c>
      <c r="R662" s="3" t="e">
        <f>tbl_MTG_Set[[#This Row],[Released On]]+tbl_MTG_Set[[#This Row],[Heavy Printing Window Month End]]*365.25/12</f>
        <v>#VALUE!</v>
      </c>
      <c r="S662" s="3" t="e">
        <f ca="1">AND(NOW()&gt;=tbl_MTG_Set[[#This Row],[Heavy Printing Window Start]], NOW()&lt;=tbl_MTG_Set[[#This Row],[Heavy Printing Window End]])</f>
        <v>#VALUE!</v>
      </c>
      <c r="T662" t="str">
        <f>_xlfn.XLOOKUP(tbl_MTG_Set[[#This Row],[Type Name]], tbl_MTG_Set_Type[Set Type], tbl_MTG_Set_Type[Sell Window Month Start], "(Set Type not found)", 0, 1)</f>
        <v>(Set Type not found)</v>
      </c>
      <c r="U662" s="3" t="e">
        <f>tbl_MTG_Set[[#This Row],[Released On]]+tbl_MTG_Set[[#This Row],[Sell Window Month Start]]*365.25/12</f>
        <v>#VALUE!</v>
      </c>
      <c r="V662" t="str">
        <f>_xlfn.XLOOKUP(tbl_MTG_Set[[#This Row],[Type Name]], tbl_MTG_Set_Type[Set Type], tbl_MTG_Set_Type[Sell Window Month End], "(Set Type not found)", 0, 1)</f>
        <v>(Set Type not found)</v>
      </c>
      <c r="W662" s="3" t="e">
        <f>tbl_MTG_Set[[#This Row],[Released On]]+tbl_MTG_Set[[#This Row],[Sell Window Month End]]*365.25/12</f>
        <v>#VALUE!</v>
      </c>
      <c r="X662" s="3" t="e">
        <f ca="1">AND(NOW()&gt;=tbl_MTG_Set[[#This Row],[Sell Window Start]], NOW()&lt;=tbl_MTG_Set[[#This Row],[Sell Window End]])</f>
        <v>#VALUE!</v>
      </c>
      <c r="AG662" s="10"/>
      <c r="AH662" s="10"/>
      <c r="AM662" s="10" t="str" cm="1">
        <f t="array" ref="AM6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2" s="10" t="str" cm="1">
        <f t="array" ref="AN6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2" s="4" t="e">
        <f>_xlfn.XLOOKUP(tbl_MTG_Set[[#This Row],[Play Booster Box Product Id]], tbl_Product[Product Id], tbl_Product[Pack Size])</f>
        <v>#N/A</v>
      </c>
      <c r="AP662" s="10" t="e">
        <f>(tbl_MTG_Set[[#This Row],[Play Booster Box Cost]]+v_Item_Shipping_Cost_In)/tbl_MTG_Set[[#This Row],[Play Booster Box Size]]</f>
        <v>#VALUE!</v>
      </c>
      <c r="AQ662" s="10" t="str" cm="1">
        <f t="array" ref="AQ6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2" s="10"/>
      <c r="AS662" s="10"/>
      <c r="AT662" s="17" t="e">
        <f>tbl_MTG_Set[[#This Row],[Play Booster CardMarket Profit]]/tbl_MTG_Set[[#This Row],[Play Booster Cost]]</f>
        <v>#VALUE!</v>
      </c>
      <c r="AU662" s="10" t="e">
        <f>_xlfn.XLOOKUP(tbl_MTG_Set[[#This Row],[Collector Booster Box Product Id]], tbl_Product[Product Id], tbl_Product[Min Cost])</f>
        <v>#N/A</v>
      </c>
      <c r="AV662" s="10" t="e">
        <f>_xlfn.XLOOKUP(tbl_MTG_Set[[#This Row],[Collector Booster Box Product Id]], tbl_Product[Product Id], tbl_Product[Best Source])</f>
        <v>#N/A</v>
      </c>
      <c r="AW662" s="4" t="e">
        <f>_xlfn.XLOOKUP(tbl_MTG_Set[[#This Row],[Collector Booster Box Product Id]], tbl_Product[Product Id], tbl_Product[Pack Size])</f>
        <v>#N/A</v>
      </c>
      <c r="AX662" s="10" t="e">
        <f>(tbl_MTG_Set[[#This Row],[Collector Booster Box Cost]] + v_Item_Shipping_Cost_In) / tbl_MTG_Set[[#This Row],[Collector Booster Box Size]]</f>
        <v>#N/A</v>
      </c>
      <c r="AY662" s="10" t="str" cm="1">
        <f t="array" ref="AY6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2" s="10"/>
      <c r="BA6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2" s="17" t="e">
        <f>tbl_MTG_Set[[#This Row],[Collector Booster CardMarket Profit]]/tbl_MTG_Set[[#This Row],[Collector Booster Cost]]</f>
        <v>#N/A</v>
      </c>
      <c r="BC662" s="10"/>
      <c r="BF6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2" s="11" t="e">
        <f>tbl_MTG_Set[[#This Row],[Play Singles CardMarket Profit MTG Stocks]]/tbl_MTG_Set[[#This Row],[Play Booster Cost]]</f>
        <v>#VALUE!</v>
      </c>
      <c r="BI662" s="11" t="b">
        <f>tbl_MTG_Set[[#This Row],[Play Singles CardMarket Profit MTG Stocks]]&gt;0</f>
        <v>0</v>
      </c>
      <c r="BM662" s="10" t="e">
        <f>tbl_MTG_Set[[#This Row],[Play Booster Sell Price CardMarket]]*tbl_MTG_Set[[#This Row],[Play Booster Expected Market Value BotBox]]/tbl_MTG_Set[[#This Row],[Play Booster Sealed Market Value BotBox]]</f>
        <v>#VALUE!</v>
      </c>
      <c r="BN6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2" s="10" t="e">
        <f>tbl_MTG_Set[[#This Row],[Play Singles CardMarket Profit BotBox]]/tbl_MTG_Set[[#This Row],[Play Booster Cost]]</f>
        <v>#VALUE!</v>
      </c>
      <c r="BP662" s="10" t="b">
        <f>tbl_MTG_Set[[#This Row],[Play Singles CardMarket Profit BotBox]]&gt;0</f>
        <v>0</v>
      </c>
      <c r="BQ662" s="10"/>
      <c r="BR662" s="10"/>
      <c r="BS662" s="10"/>
      <c r="BT6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2" s="19" t="e">
        <f>tbl_MTG_Set[[#This Row],[Collector Singles CardMarket Profit MTG Stocks]]/tbl_MTG_Set[[#This Row],[Collector Booster Cost]]</f>
        <v>#N/A</v>
      </c>
      <c r="BW662" s="10" t="b">
        <f>tbl_MTG_Set[[#This Row],[Collector Singles CardMarket Profit MTG Stocks]]&gt;0</f>
        <v>0</v>
      </c>
      <c r="BX662" s="10"/>
      <c r="BY662" s="10"/>
      <c r="BZ6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2" s="10" t="e">
        <f>tbl_MTG_Set[[#This Row],[Collector Singles CardMarket Profit BotBox]]/tbl_MTG_Set[[#This Row],[Collector Booster Cost]]</f>
        <v>#N/A</v>
      </c>
      <c r="CC662" s="10" t="b">
        <f>tbl_MTG_Set[[#This Row],[Collector Singles CardMarket Profit BotBox]]&gt;0</f>
        <v>0</v>
      </c>
      <c r="CD6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3" spans="1:86" hidden="1">
      <c r="A663">
        <v>695</v>
      </c>
      <c r="B663" t="s">
        <v>836</v>
      </c>
      <c r="C663">
        <v>249</v>
      </c>
      <c r="D663" s="3">
        <v>41103</v>
      </c>
      <c r="F663" t="s">
        <v>174</v>
      </c>
      <c r="G663">
        <v>1336</v>
      </c>
      <c r="H663">
        <f ca="1">MONTH(NOW())+12*YEAR(NOW())-MONTH(tbl_MTG_Set[[#This Row],[Released On]])-12*YEAR(tbl_MTG_Set[[#This Row],[Released On]])</f>
        <v>164</v>
      </c>
      <c r="I663" t="str">
        <f>_xlfn.XLOOKUP(tbl_MTG_Set[[#This Row],[Type Name]], tbl_MTG_Set_Type[Set Type], tbl_MTG_Set_Type[Index], "(Set Type not found)")</f>
        <v>(Set Type not found)</v>
      </c>
      <c r="J663" t="str">
        <f>_xlfn.XLOOKUP(tbl_MTG_Set[[#This Row],[Type Name]], tbl_MTG_Set_Type[Set Type], tbl_MTG_Set_Type[Buy Window Month Start], "(Set Type not found)")</f>
        <v>(Set Type not found)</v>
      </c>
      <c r="K663" s="3" t="e">
        <f>tbl_MTG_Set[[#This Row],[Released On]]+tbl_MTG_Set[[#This Row],[Buy Window Month Start]]*365.25/12</f>
        <v>#VALUE!</v>
      </c>
      <c r="L663" t="str">
        <f>_xlfn.XLOOKUP(tbl_MTG_Set[[#This Row],[Type Name]], tbl_MTG_Set_Type[Set Type], tbl_MTG_Set_Type[Buy Window Month End], "(Set Type not found)", 0, 1)</f>
        <v>(Set Type not found)</v>
      </c>
      <c r="M663" s="3" t="e">
        <f>tbl_MTG_Set[[#This Row],[Released On]]+tbl_MTG_Set[[#This Row],[Buy Window Month End]]*365.25/12</f>
        <v>#VALUE!</v>
      </c>
      <c r="N663" s="3" t="e">
        <f ca="1">AND(NOW()&gt;=tbl_MTG_Set[[#This Row],[Buy Window Start]], NOW()&lt;=tbl_MTG_Set[[#This Row],[Buy Window End]])</f>
        <v>#VALUE!</v>
      </c>
      <c r="O663" t="str">
        <f>_xlfn.XLOOKUP(tbl_MTG_Set[[#This Row],[Type Name]], tbl_MTG_Set_Type[Set Type], tbl_MTG_Set_Type[Heavy Printing Window Month Start], "(Set Type not found)", 0, 1)</f>
        <v>(Set Type not found)</v>
      </c>
      <c r="P663" s="3" t="e">
        <f>tbl_MTG_Set[[#This Row],[Released On]]+tbl_MTG_Set[[#This Row],[Heavy Printing Window Month Start]]*365.25/12</f>
        <v>#VALUE!</v>
      </c>
      <c r="Q663" t="str">
        <f>_xlfn.XLOOKUP(tbl_MTG_Set[[#This Row],[Type Name]], tbl_MTG_Set_Type[Set Type], tbl_MTG_Set_Type[Heavy Printing Window Month End], "(Set Type not found)", 0, 1)</f>
        <v>(Set Type not found)</v>
      </c>
      <c r="R663" s="3" t="e">
        <f>tbl_MTG_Set[[#This Row],[Released On]]+tbl_MTG_Set[[#This Row],[Heavy Printing Window Month End]]*365.25/12</f>
        <v>#VALUE!</v>
      </c>
      <c r="S663" s="3" t="e">
        <f ca="1">AND(NOW()&gt;=tbl_MTG_Set[[#This Row],[Heavy Printing Window Start]], NOW()&lt;=tbl_MTG_Set[[#This Row],[Heavy Printing Window End]])</f>
        <v>#VALUE!</v>
      </c>
      <c r="T663" t="str">
        <f>_xlfn.XLOOKUP(tbl_MTG_Set[[#This Row],[Type Name]], tbl_MTG_Set_Type[Set Type], tbl_MTG_Set_Type[Sell Window Month Start], "(Set Type not found)", 0, 1)</f>
        <v>(Set Type not found)</v>
      </c>
      <c r="U663" s="3" t="e">
        <f>tbl_MTG_Set[[#This Row],[Released On]]+tbl_MTG_Set[[#This Row],[Sell Window Month Start]]*365.25/12</f>
        <v>#VALUE!</v>
      </c>
      <c r="V663" t="str">
        <f>_xlfn.XLOOKUP(tbl_MTG_Set[[#This Row],[Type Name]], tbl_MTG_Set_Type[Set Type], tbl_MTG_Set_Type[Sell Window Month End], "(Set Type not found)", 0, 1)</f>
        <v>(Set Type not found)</v>
      </c>
      <c r="W663" s="3" t="e">
        <f>tbl_MTG_Set[[#This Row],[Released On]]+tbl_MTG_Set[[#This Row],[Sell Window Month End]]*365.25/12</f>
        <v>#VALUE!</v>
      </c>
      <c r="X663" s="3" t="e">
        <f ca="1">AND(NOW()&gt;=tbl_MTG_Set[[#This Row],[Sell Window Start]], NOW()&lt;=tbl_MTG_Set[[#This Row],[Sell Window End]])</f>
        <v>#VALUE!</v>
      </c>
      <c r="AG663" s="10"/>
      <c r="AH663" s="10"/>
      <c r="AM663" s="10" t="str" cm="1">
        <f t="array" ref="AM6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3" s="10" t="str" cm="1">
        <f t="array" ref="AN6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3" s="4" t="e">
        <f>_xlfn.XLOOKUP(tbl_MTG_Set[[#This Row],[Play Booster Box Product Id]], tbl_Product[Product Id], tbl_Product[Pack Size])</f>
        <v>#N/A</v>
      </c>
      <c r="AP663" s="10" t="e">
        <f>(tbl_MTG_Set[[#This Row],[Play Booster Box Cost]]+v_Item_Shipping_Cost_In)/tbl_MTG_Set[[#This Row],[Play Booster Box Size]]</f>
        <v>#VALUE!</v>
      </c>
      <c r="AQ663" s="10" t="str" cm="1">
        <f t="array" ref="AQ6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3" s="10"/>
      <c r="AS663" s="10"/>
      <c r="AT663" s="17" t="e">
        <f>tbl_MTG_Set[[#This Row],[Play Booster CardMarket Profit]]/tbl_MTG_Set[[#This Row],[Play Booster Cost]]</f>
        <v>#VALUE!</v>
      </c>
      <c r="AU663" s="10" t="e">
        <f>_xlfn.XLOOKUP(tbl_MTG_Set[[#This Row],[Collector Booster Box Product Id]], tbl_Product[Product Id], tbl_Product[Min Cost])</f>
        <v>#N/A</v>
      </c>
      <c r="AV663" s="10" t="e">
        <f>_xlfn.XLOOKUP(tbl_MTG_Set[[#This Row],[Collector Booster Box Product Id]], tbl_Product[Product Id], tbl_Product[Best Source])</f>
        <v>#N/A</v>
      </c>
      <c r="AW663" s="4" t="e">
        <f>_xlfn.XLOOKUP(tbl_MTG_Set[[#This Row],[Collector Booster Box Product Id]], tbl_Product[Product Id], tbl_Product[Pack Size])</f>
        <v>#N/A</v>
      </c>
      <c r="AX663" s="10" t="e">
        <f>(tbl_MTG_Set[[#This Row],[Collector Booster Box Cost]] + v_Item_Shipping_Cost_In) / tbl_MTG_Set[[#This Row],[Collector Booster Box Size]]</f>
        <v>#N/A</v>
      </c>
      <c r="AY663" s="10" t="str" cm="1">
        <f t="array" ref="AY6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3" s="10"/>
      <c r="BA6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3" s="17" t="e">
        <f>tbl_MTG_Set[[#This Row],[Collector Booster CardMarket Profit]]/tbl_MTG_Set[[#This Row],[Collector Booster Cost]]</f>
        <v>#N/A</v>
      </c>
      <c r="BC663" s="10"/>
      <c r="BF6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3" s="11" t="e">
        <f>tbl_MTG_Set[[#This Row],[Play Singles CardMarket Profit MTG Stocks]]/tbl_MTG_Set[[#This Row],[Play Booster Cost]]</f>
        <v>#VALUE!</v>
      </c>
      <c r="BI663" s="11" t="b">
        <f>tbl_MTG_Set[[#This Row],[Play Singles CardMarket Profit MTG Stocks]]&gt;0</f>
        <v>0</v>
      </c>
      <c r="BM663" s="10" t="e">
        <f>tbl_MTG_Set[[#This Row],[Play Booster Sell Price CardMarket]]*tbl_MTG_Set[[#This Row],[Play Booster Expected Market Value BotBox]]/tbl_MTG_Set[[#This Row],[Play Booster Sealed Market Value BotBox]]</f>
        <v>#VALUE!</v>
      </c>
      <c r="BN6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3" s="10" t="e">
        <f>tbl_MTG_Set[[#This Row],[Play Singles CardMarket Profit BotBox]]/tbl_MTG_Set[[#This Row],[Play Booster Cost]]</f>
        <v>#VALUE!</v>
      </c>
      <c r="BP663" s="10" t="b">
        <f>tbl_MTG_Set[[#This Row],[Play Singles CardMarket Profit BotBox]]&gt;0</f>
        <v>0</v>
      </c>
      <c r="BQ663" s="10"/>
      <c r="BR663" s="10"/>
      <c r="BS663" s="10"/>
      <c r="BT6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3" s="19" t="e">
        <f>tbl_MTG_Set[[#This Row],[Collector Singles CardMarket Profit MTG Stocks]]/tbl_MTG_Set[[#This Row],[Collector Booster Cost]]</f>
        <v>#N/A</v>
      </c>
      <c r="BW663" s="10" t="b">
        <f>tbl_MTG_Set[[#This Row],[Collector Singles CardMarket Profit MTG Stocks]]&gt;0</f>
        <v>0</v>
      </c>
      <c r="BX663" s="10"/>
      <c r="BY663" s="10"/>
      <c r="BZ6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3" s="10" t="e">
        <f>tbl_MTG_Set[[#This Row],[Collector Singles CardMarket Profit BotBox]]/tbl_MTG_Set[[#This Row],[Collector Booster Cost]]</f>
        <v>#N/A</v>
      </c>
      <c r="CC663" s="10" t="b">
        <f>tbl_MTG_Set[[#This Row],[Collector Singles CardMarket Profit BotBox]]&gt;0</f>
        <v>0</v>
      </c>
      <c r="CD6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4" spans="1:86" hidden="1">
      <c r="A664">
        <v>696</v>
      </c>
      <c r="B664" t="s">
        <v>837</v>
      </c>
      <c r="C664">
        <v>6</v>
      </c>
      <c r="D664" s="3">
        <v>41102</v>
      </c>
      <c r="F664" t="s">
        <v>174</v>
      </c>
      <c r="G664">
        <v>1338</v>
      </c>
      <c r="H664">
        <f ca="1">MONTH(NOW())+12*YEAR(NOW())-MONTH(tbl_MTG_Set[[#This Row],[Released On]])-12*YEAR(tbl_MTG_Set[[#This Row],[Released On]])</f>
        <v>164</v>
      </c>
      <c r="I664" t="str">
        <f>_xlfn.XLOOKUP(tbl_MTG_Set[[#This Row],[Type Name]], tbl_MTG_Set_Type[Set Type], tbl_MTG_Set_Type[Index], "(Set Type not found)")</f>
        <v>(Set Type not found)</v>
      </c>
      <c r="J664" t="str">
        <f>_xlfn.XLOOKUP(tbl_MTG_Set[[#This Row],[Type Name]], tbl_MTG_Set_Type[Set Type], tbl_MTG_Set_Type[Buy Window Month Start], "(Set Type not found)")</f>
        <v>(Set Type not found)</v>
      </c>
      <c r="K664" s="3" t="e">
        <f>tbl_MTG_Set[[#This Row],[Released On]]+tbl_MTG_Set[[#This Row],[Buy Window Month Start]]*365.25/12</f>
        <v>#VALUE!</v>
      </c>
      <c r="L664" t="str">
        <f>_xlfn.XLOOKUP(tbl_MTG_Set[[#This Row],[Type Name]], tbl_MTG_Set_Type[Set Type], tbl_MTG_Set_Type[Buy Window Month End], "(Set Type not found)", 0, 1)</f>
        <v>(Set Type not found)</v>
      </c>
      <c r="M664" s="3" t="e">
        <f>tbl_MTG_Set[[#This Row],[Released On]]+tbl_MTG_Set[[#This Row],[Buy Window Month End]]*365.25/12</f>
        <v>#VALUE!</v>
      </c>
      <c r="N664" s="3" t="e">
        <f ca="1">AND(NOW()&gt;=tbl_MTG_Set[[#This Row],[Buy Window Start]], NOW()&lt;=tbl_MTG_Set[[#This Row],[Buy Window End]])</f>
        <v>#VALUE!</v>
      </c>
      <c r="O664" t="str">
        <f>_xlfn.XLOOKUP(tbl_MTG_Set[[#This Row],[Type Name]], tbl_MTG_Set_Type[Set Type], tbl_MTG_Set_Type[Heavy Printing Window Month Start], "(Set Type not found)", 0, 1)</f>
        <v>(Set Type not found)</v>
      </c>
      <c r="P664" s="3" t="e">
        <f>tbl_MTG_Set[[#This Row],[Released On]]+tbl_MTG_Set[[#This Row],[Heavy Printing Window Month Start]]*365.25/12</f>
        <v>#VALUE!</v>
      </c>
      <c r="Q664" t="str">
        <f>_xlfn.XLOOKUP(tbl_MTG_Set[[#This Row],[Type Name]], tbl_MTG_Set_Type[Set Type], tbl_MTG_Set_Type[Heavy Printing Window Month End], "(Set Type not found)", 0, 1)</f>
        <v>(Set Type not found)</v>
      </c>
      <c r="R664" s="3" t="e">
        <f>tbl_MTG_Set[[#This Row],[Released On]]+tbl_MTG_Set[[#This Row],[Heavy Printing Window Month End]]*365.25/12</f>
        <v>#VALUE!</v>
      </c>
      <c r="S664" s="3" t="e">
        <f ca="1">AND(NOW()&gt;=tbl_MTG_Set[[#This Row],[Heavy Printing Window Start]], NOW()&lt;=tbl_MTG_Set[[#This Row],[Heavy Printing Window End]])</f>
        <v>#VALUE!</v>
      </c>
      <c r="T664" t="str">
        <f>_xlfn.XLOOKUP(tbl_MTG_Set[[#This Row],[Type Name]], tbl_MTG_Set_Type[Set Type], tbl_MTG_Set_Type[Sell Window Month Start], "(Set Type not found)", 0, 1)</f>
        <v>(Set Type not found)</v>
      </c>
      <c r="U664" s="3" t="e">
        <f>tbl_MTG_Set[[#This Row],[Released On]]+tbl_MTG_Set[[#This Row],[Sell Window Month Start]]*365.25/12</f>
        <v>#VALUE!</v>
      </c>
      <c r="V664" t="str">
        <f>_xlfn.XLOOKUP(tbl_MTG_Set[[#This Row],[Type Name]], tbl_MTG_Set_Type[Set Type], tbl_MTG_Set_Type[Sell Window Month End], "(Set Type not found)", 0, 1)</f>
        <v>(Set Type not found)</v>
      </c>
      <c r="W664" s="3" t="e">
        <f>tbl_MTG_Set[[#This Row],[Released On]]+tbl_MTG_Set[[#This Row],[Sell Window Month End]]*365.25/12</f>
        <v>#VALUE!</v>
      </c>
      <c r="X664" s="3" t="e">
        <f ca="1">AND(NOW()&gt;=tbl_MTG_Set[[#This Row],[Sell Window Start]], NOW()&lt;=tbl_MTG_Set[[#This Row],[Sell Window End]])</f>
        <v>#VALUE!</v>
      </c>
      <c r="AG664" s="10"/>
      <c r="AH664" s="10"/>
      <c r="AM664" s="10" t="str" cm="1">
        <f t="array" ref="AM6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4" s="10" t="str" cm="1">
        <f t="array" ref="AN6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4" s="4" t="e">
        <f>_xlfn.XLOOKUP(tbl_MTG_Set[[#This Row],[Play Booster Box Product Id]], tbl_Product[Product Id], tbl_Product[Pack Size])</f>
        <v>#N/A</v>
      </c>
      <c r="AP664" s="10" t="e">
        <f>(tbl_MTG_Set[[#This Row],[Play Booster Box Cost]]+v_Item_Shipping_Cost_In)/tbl_MTG_Set[[#This Row],[Play Booster Box Size]]</f>
        <v>#VALUE!</v>
      </c>
      <c r="AQ664" s="10" t="str" cm="1">
        <f t="array" ref="AQ6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4" s="10"/>
      <c r="AS664" s="10"/>
      <c r="AT664" s="17" t="e">
        <f>tbl_MTG_Set[[#This Row],[Play Booster CardMarket Profit]]/tbl_MTG_Set[[#This Row],[Play Booster Cost]]</f>
        <v>#VALUE!</v>
      </c>
      <c r="AU664" s="10" t="e">
        <f>_xlfn.XLOOKUP(tbl_MTG_Set[[#This Row],[Collector Booster Box Product Id]], tbl_Product[Product Id], tbl_Product[Min Cost])</f>
        <v>#N/A</v>
      </c>
      <c r="AV664" s="10" t="e">
        <f>_xlfn.XLOOKUP(tbl_MTG_Set[[#This Row],[Collector Booster Box Product Id]], tbl_Product[Product Id], tbl_Product[Best Source])</f>
        <v>#N/A</v>
      </c>
      <c r="AW664" s="4" t="e">
        <f>_xlfn.XLOOKUP(tbl_MTG_Set[[#This Row],[Collector Booster Box Product Id]], tbl_Product[Product Id], tbl_Product[Pack Size])</f>
        <v>#N/A</v>
      </c>
      <c r="AX664" s="10" t="e">
        <f>(tbl_MTG_Set[[#This Row],[Collector Booster Box Cost]] + v_Item_Shipping_Cost_In) / tbl_MTG_Set[[#This Row],[Collector Booster Box Size]]</f>
        <v>#N/A</v>
      </c>
      <c r="AY664" s="10" t="str" cm="1">
        <f t="array" ref="AY6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4" s="10"/>
      <c r="BA6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4" s="17" t="e">
        <f>tbl_MTG_Set[[#This Row],[Collector Booster CardMarket Profit]]/tbl_MTG_Set[[#This Row],[Collector Booster Cost]]</f>
        <v>#N/A</v>
      </c>
      <c r="BC664" s="10"/>
      <c r="BF6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4" s="11" t="e">
        <f>tbl_MTG_Set[[#This Row],[Play Singles CardMarket Profit MTG Stocks]]/tbl_MTG_Set[[#This Row],[Play Booster Cost]]</f>
        <v>#VALUE!</v>
      </c>
      <c r="BI664" s="11" t="b">
        <f>tbl_MTG_Set[[#This Row],[Play Singles CardMarket Profit MTG Stocks]]&gt;0</f>
        <v>0</v>
      </c>
      <c r="BM664" s="10" t="e">
        <f>tbl_MTG_Set[[#This Row],[Play Booster Sell Price CardMarket]]*tbl_MTG_Set[[#This Row],[Play Booster Expected Market Value BotBox]]/tbl_MTG_Set[[#This Row],[Play Booster Sealed Market Value BotBox]]</f>
        <v>#VALUE!</v>
      </c>
      <c r="BN6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4" s="10" t="e">
        <f>tbl_MTG_Set[[#This Row],[Play Singles CardMarket Profit BotBox]]/tbl_MTG_Set[[#This Row],[Play Booster Cost]]</f>
        <v>#VALUE!</v>
      </c>
      <c r="BP664" s="10" t="b">
        <f>tbl_MTG_Set[[#This Row],[Play Singles CardMarket Profit BotBox]]&gt;0</f>
        <v>0</v>
      </c>
      <c r="BQ664" s="10"/>
      <c r="BR664" s="10"/>
      <c r="BS664" s="10"/>
      <c r="BT6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4" s="19" t="e">
        <f>tbl_MTG_Set[[#This Row],[Collector Singles CardMarket Profit MTG Stocks]]/tbl_MTG_Set[[#This Row],[Collector Booster Cost]]</f>
        <v>#N/A</v>
      </c>
      <c r="BW664" s="10" t="b">
        <f>tbl_MTG_Set[[#This Row],[Collector Singles CardMarket Profit MTG Stocks]]&gt;0</f>
        <v>0</v>
      </c>
      <c r="BX664" s="10"/>
      <c r="BY664" s="10"/>
      <c r="BZ6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4" s="10" t="e">
        <f>tbl_MTG_Set[[#This Row],[Collector Singles CardMarket Profit BotBox]]/tbl_MTG_Set[[#This Row],[Collector Booster Cost]]</f>
        <v>#N/A</v>
      </c>
      <c r="CC664" s="10" t="b">
        <f>tbl_MTG_Set[[#This Row],[Collector Singles CardMarket Profit BotBox]]&gt;0</f>
        <v>0</v>
      </c>
      <c r="CD6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5" spans="1:86" hidden="1">
      <c r="A665">
        <v>697</v>
      </c>
      <c r="B665" t="s">
        <v>838</v>
      </c>
      <c r="C665">
        <v>11</v>
      </c>
      <c r="D665" s="3">
        <v>41103</v>
      </c>
      <c r="F665" t="s">
        <v>174</v>
      </c>
      <c r="G665">
        <v>1340</v>
      </c>
      <c r="H665">
        <f ca="1">MONTH(NOW())+12*YEAR(NOW())-MONTH(tbl_MTG_Set[[#This Row],[Released On]])-12*YEAR(tbl_MTG_Set[[#This Row],[Released On]])</f>
        <v>164</v>
      </c>
      <c r="I665" t="str">
        <f>_xlfn.XLOOKUP(tbl_MTG_Set[[#This Row],[Type Name]], tbl_MTG_Set_Type[Set Type], tbl_MTG_Set_Type[Index], "(Set Type not found)")</f>
        <v>(Set Type not found)</v>
      </c>
      <c r="J665" t="str">
        <f>_xlfn.XLOOKUP(tbl_MTG_Set[[#This Row],[Type Name]], tbl_MTG_Set_Type[Set Type], tbl_MTG_Set_Type[Buy Window Month Start], "(Set Type not found)")</f>
        <v>(Set Type not found)</v>
      </c>
      <c r="K665" s="3" t="e">
        <f>tbl_MTG_Set[[#This Row],[Released On]]+tbl_MTG_Set[[#This Row],[Buy Window Month Start]]*365.25/12</f>
        <v>#VALUE!</v>
      </c>
      <c r="L665" t="str">
        <f>_xlfn.XLOOKUP(tbl_MTG_Set[[#This Row],[Type Name]], tbl_MTG_Set_Type[Set Type], tbl_MTG_Set_Type[Buy Window Month End], "(Set Type not found)", 0, 1)</f>
        <v>(Set Type not found)</v>
      </c>
      <c r="M665" s="3" t="e">
        <f>tbl_MTG_Set[[#This Row],[Released On]]+tbl_MTG_Set[[#This Row],[Buy Window Month End]]*365.25/12</f>
        <v>#VALUE!</v>
      </c>
      <c r="N665" s="3" t="e">
        <f ca="1">AND(NOW()&gt;=tbl_MTG_Set[[#This Row],[Buy Window Start]], NOW()&lt;=tbl_MTG_Set[[#This Row],[Buy Window End]])</f>
        <v>#VALUE!</v>
      </c>
      <c r="O665" t="str">
        <f>_xlfn.XLOOKUP(tbl_MTG_Set[[#This Row],[Type Name]], tbl_MTG_Set_Type[Set Type], tbl_MTG_Set_Type[Heavy Printing Window Month Start], "(Set Type not found)", 0, 1)</f>
        <v>(Set Type not found)</v>
      </c>
      <c r="P665" s="3" t="e">
        <f>tbl_MTG_Set[[#This Row],[Released On]]+tbl_MTG_Set[[#This Row],[Heavy Printing Window Month Start]]*365.25/12</f>
        <v>#VALUE!</v>
      </c>
      <c r="Q665" t="str">
        <f>_xlfn.XLOOKUP(tbl_MTG_Set[[#This Row],[Type Name]], tbl_MTG_Set_Type[Set Type], tbl_MTG_Set_Type[Heavy Printing Window Month End], "(Set Type not found)", 0, 1)</f>
        <v>(Set Type not found)</v>
      </c>
      <c r="R665" s="3" t="e">
        <f>tbl_MTG_Set[[#This Row],[Released On]]+tbl_MTG_Set[[#This Row],[Heavy Printing Window Month End]]*365.25/12</f>
        <v>#VALUE!</v>
      </c>
      <c r="S665" s="3" t="e">
        <f ca="1">AND(NOW()&gt;=tbl_MTG_Set[[#This Row],[Heavy Printing Window Start]], NOW()&lt;=tbl_MTG_Set[[#This Row],[Heavy Printing Window End]])</f>
        <v>#VALUE!</v>
      </c>
      <c r="T665" t="str">
        <f>_xlfn.XLOOKUP(tbl_MTG_Set[[#This Row],[Type Name]], tbl_MTG_Set_Type[Set Type], tbl_MTG_Set_Type[Sell Window Month Start], "(Set Type not found)", 0, 1)</f>
        <v>(Set Type not found)</v>
      </c>
      <c r="U665" s="3" t="e">
        <f>tbl_MTG_Set[[#This Row],[Released On]]+tbl_MTG_Set[[#This Row],[Sell Window Month Start]]*365.25/12</f>
        <v>#VALUE!</v>
      </c>
      <c r="V665" t="str">
        <f>_xlfn.XLOOKUP(tbl_MTG_Set[[#This Row],[Type Name]], tbl_MTG_Set_Type[Set Type], tbl_MTG_Set_Type[Sell Window Month End], "(Set Type not found)", 0, 1)</f>
        <v>(Set Type not found)</v>
      </c>
      <c r="W665" s="3" t="e">
        <f>tbl_MTG_Set[[#This Row],[Released On]]+tbl_MTG_Set[[#This Row],[Sell Window Month End]]*365.25/12</f>
        <v>#VALUE!</v>
      </c>
      <c r="X665" s="3" t="e">
        <f ca="1">AND(NOW()&gt;=tbl_MTG_Set[[#This Row],[Sell Window Start]], NOW()&lt;=tbl_MTG_Set[[#This Row],[Sell Window End]])</f>
        <v>#VALUE!</v>
      </c>
      <c r="AG665" s="10"/>
      <c r="AH665" s="10"/>
      <c r="AM665" s="10" t="str" cm="1">
        <f t="array" ref="AM6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5" s="10" t="str" cm="1">
        <f t="array" ref="AN6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5" s="4" t="e">
        <f>_xlfn.XLOOKUP(tbl_MTG_Set[[#This Row],[Play Booster Box Product Id]], tbl_Product[Product Id], tbl_Product[Pack Size])</f>
        <v>#N/A</v>
      </c>
      <c r="AP665" s="10" t="e">
        <f>(tbl_MTG_Set[[#This Row],[Play Booster Box Cost]]+v_Item_Shipping_Cost_In)/tbl_MTG_Set[[#This Row],[Play Booster Box Size]]</f>
        <v>#VALUE!</v>
      </c>
      <c r="AQ665" s="10" t="str" cm="1">
        <f t="array" ref="AQ6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5" s="10"/>
      <c r="AS665" s="10"/>
      <c r="AT665" s="17" t="e">
        <f>tbl_MTG_Set[[#This Row],[Play Booster CardMarket Profit]]/tbl_MTG_Set[[#This Row],[Play Booster Cost]]</f>
        <v>#VALUE!</v>
      </c>
      <c r="AU665" s="10" t="e">
        <f>_xlfn.XLOOKUP(tbl_MTG_Set[[#This Row],[Collector Booster Box Product Id]], tbl_Product[Product Id], tbl_Product[Min Cost])</f>
        <v>#N/A</v>
      </c>
      <c r="AV665" s="10" t="e">
        <f>_xlfn.XLOOKUP(tbl_MTG_Set[[#This Row],[Collector Booster Box Product Id]], tbl_Product[Product Id], tbl_Product[Best Source])</f>
        <v>#N/A</v>
      </c>
      <c r="AW665" s="4" t="e">
        <f>_xlfn.XLOOKUP(tbl_MTG_Set[[#This Row],[Collector Booster Box Product Id]], tbl_Product[Product Id], tbl_Product[Pack Size])</f>
        <v>#N/A</v>
      </c>
      <c r="AX665" s="10" t="e">
        <f>(tbl_MTG_Set[[#This Row],[Collector Booster Box Cost]] + v_Item_Shipping_Cost_In) / tbl_MTG_Set[[#This Row],[Collector Booster Box Size]]</f>
        <v>#N/A</v>
      </c>
      <c r="AY665" s="10" t="str" cm="1">
        <f t="array" ref="AY6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5" s="10"/>
      <c r="BA6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5" s="17" t="e">
        <f>tbl_MTG_Set[[#This Row],[Collector Booster CardMarket Profit]]/tbl_MTG_Set[[#This Row],[Collector Booster Cost]]</f>
        <v>#N/A</v>
      </c>
      <c r="BC665" s="10"/>
      <c r="BF6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5" s="11" t="e">
        <f>tbl_MTG_Set[[#This Row],[Play Singles CardMarket Profit MTG Stocks]]/tbl_MTG_Set[[#This Row],[Play Booster Cost]]</f>
        <v>#VALUE!</v>
      </c>
      <c r="BI665" s="11" t="b">
        <f>tbl_MTG_Set[[#This Row],[Play Singles CardMarket Profit MTG Stocks]]&gt;0</f>
        <v>0</v>
      </c>
      <c r="BM665" s="10" t="e">
        <f>tbl_MTG_Set[[#This Row],[Play Booster Sell Price CardMarket]]*tbl_MTG_Set[[#This Row],[Play Booster Expected Market Value BotBox]]/tbl_MTG_Set[[#This Row],[Play Booster Sealed Market Value BotBox]]</f>
        <v>#VALUE!</v>
      </c>
      <c r="BN6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5" s="10" t="e">
        <f>tbl_MTG_Set[[#This Row],[Play Singles CardMarket Profit BotBox]]/tbl_MTG_Set[[#This Row],[Play Booster Cost]]</f>
        <v>#VALUE!</v>
      </c>
      <c r="BP665" s="10" t="b">
        <f>tbl_MTG_Set[[#This Row],[Play Singles CardMarket Profit BotBox]]&gt;0</f>
        <v>0</v>
      </c>
      <c r="BQ665" s="10"/>
      <c r="BR665" s="10"/>
      <c r="BS665" s="10"/>
      <c r="BT6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5" s="19" t="e">
        <f>tbl_MTG_Set[[#This Row],[Collector Singles CardMarket Profit MTG Stocks]]/tbl_MTG_Set[[#This Row],[Collector Booster Cost]]</f>
        <v>#N/A</v>
      </c>
      <c r="BW665" s="10" t="b">
        <f>tbl_MTG_Set[[#This Row],[Collector Singles CardMarket Profit MTG Stocks]]&gt;0</f>
        <v>0</v>
      </c>
      <c r="BX665" s="10"/>
      <c r="BY665" s="10"/>
      <c r="BZ6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5" s="10" t="e">
        <f>tbl_MTG_Set[[#This Row],[Collector Singles CardMarket Profit BotBox]]/tbl_MTG_Set[[#This Row],[Collector Booster Cost]]</f>
        <v>#N/A</v>
      </c>
      <c r="CC665" s="10" t="b">
        <f>tbl_MTG_Set[[#This Row],[Collector Singles CardMarket Profit BotBox]]&gt;0</f>
        <v>0</v>
      </c>
      <c r="CD6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6" spans="1:86" hidden="1">
      <c r="A666">
        <v>698</v>
      </c>
      <c r="B666" t="s">
        <v>839</v>
      </c>
      <c r="C666">
        <v>156</v>
      </c>
      <c r="D666" s="3">
        <v>41061</v>
      </c>
      <c r="F666" t="s">
        <v>174</v>
      </c>
      <c r="G666">
        <v>1342</v>
      </c>
      <c r="H666">
        <f ca="1">MONTH(NOW())+12*YEAR(NOW())-MONTH(tbl_MTG_Set[[#This Row],[Released On]])-12*YEAR(tbl_MTG_Set[[#This Row],[Released On]])</f>
        <v>165</v>
      </c>
      <c r="I666" t="str">
        <f>_xlfn.XLOOKUP(tbl_MTG_Set[[#This Row],[Type Name]], tbl_MTG_Set_Type[Set Type], tbl_MTG_Set_Type[Index], "(Set Type not found)")</f>
        <v>(Set Type not found)</v>
      </c>
      <c r="J666" t="str">
        <f>_xlfn.XLOOKUP(tbl_MTG_Set[[#This Row],[Type Name]], tbl_MTG_Set_Type[Set Type], tbl_MTG_Set_Type[Buy Window Month Start], "(Set Type not found)")</f>
        <v>(Set Type not found)</v>
      </c>
      <c r="K666" s="3" t="e">
        <f>tbl_MTG_Set[[#This Row],[Released On]]+tbl_MTG_Set[[#This Row],[Buy Window Month Start]]*365.25/12</f>
        <v>#VALUE!</v>
      </c>
      <c r="L666" t="str">
        <f>_xlfn.XLOOKUP(tbl_MTG_Set[[#This Row],[Type Name]], tbl_MTG_Set_Type[Set Type], tbl_MTG_Set_Type[Buy Window Month End], "(Set Type not found)", 0, 1)</f>
        <v>(Set Type not found)</v>
      </c>
      <c r="M666" s="3" t="e">
        <f>tbl_MTG_Set[[#This Row],[Released On]]+tbl_MTG_Set[[#This Row],[Buy Window Month End]]*365.25/12</f>
        <v>#VALUE!</v>
      </c>
      <c r="N666" s="3" t="e">
        <f ca="1">AND(NOW()&gt;=tbl_MTG_Set[[#This Row],[Buy Window Start]], NOW()&lt;=tbl_MTG_Set[[#This Row],[Buy Window End]])</f>
        <v>#VALUE!</v>
      </c>
      <c r="O666" t="str">
        <f>_xlfn.XLOOKUP(tbl_MTG_Set[[#This Row],[Type Name]], tbl_MTG_Set_Type[Set Type], tbl_MTG_Set_Type[Heavy Printing Window Month Start], "(Set Type not found)", 0, 1)</f>
        <v>(Set Type not found)</v>
      </c>
      <c r="P666" s="3" t="e">
        <f>tbl_MTG_Set[[#This Row],[Released On]]+tbl_MTG_Set[[#This Row],[Heavy Printing Window Month Start]]*365.25/12</f>
        <v>#VALUE!</v>
      </c>
      <c r="Q666" t="str">
        <f>_xlfn.XLOOKUP(tbl_MTG_Set[[#This Row],[Type Name]], tbl_MTG_Set_Type[Set Type], tbl_MTG_Set_Type[Heavy Printing Window Month End], "(Set Type not found)", 0, 1)</f>
        <v>(Set Type not found)</v>
      </c>
      <c r="R666" s="3" t="e">
        <f>tbl_MTG_Set[[#This Row],[Released On]]+tbl_MTG_Set[[#This Row],[Heavy Printing Window Month End]]*365.25/12</f>
        <v>#VALUE!</v>
      </c>
      <c r="S666" s="3" t="e">
        <f ca="1">AND(NOW()&gt;=tbl_MTG_Set[[#This Row],[Heavy Printing Window Start]], NOW()&lt;=tbl_MTG_Set[[#This Row],[Heavy Printing Window End]])</f>
        <v>#VALUE!</v>
      </c>
      <c r="T666" t="str">
        <f>_xlfn.XLOOKUP(tbl_MTG_Set[[#This Row],[Type Name]], tbl_MTG_Set_Type[Set Type], tbl_MTG_Set_Type[Sell Window Month Start], "(Set Type not found)", 0, 1)</f>
        <v>(Set Type not found)</v>
      </c>
      <c r="U666" s="3" t="e">
        <f>tbl_MTG_Set[[#This Row],[Released On]]+tbl_MTG_Set[[#This Row],[Sell Window Month Start]]*365.25/12</f>
        <v>#VALUE!</v>
      </c>
      <c r="V666" t="str">
        <f>_xlfn.XLOOKUP(tbl_MTG_Set[[#This Row],[Type Name]], tbl_MTG_Set_Type[Set Type], tbl_MTG_Set_Type[Sell Window Month End], "(Set Type not found)", 0, 1)</f>
        <v>(Set Type not found)</v>
      </c>
      <c r="W666" s="3" t="e">
        <f>tbl_MTG_Set[[#This Row],[Released On]]+tbl_MTG_Set[[#This Row],[Sell Window Month End]]*365.25/12</f>
        <v>#VALUE!</v>
      </c>
      <c r="X666" s="3" t="e">
        <f ca="1">AND(NOW()&gt;=tbl_MTG_Set[[#This Row],[Sell Window Start]], NOW()&lt;=tbl_MTG_Set[[#This Row],[Sell Window End]])</f>
        <v>#VALUE!</v>
      </c>
      <c r="AG666" s="10"/>
      <c r="AH666" s="10"/>
      <c r="AM666" s="10" t="str" cm="1">
        <f t="array" ref="AM6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6" s="10" t="str" cm="1">
        <f t="array" ref="AN6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6" s="4" t="e">
        <f>_xlfn.XLOOKUP(tbl_MTG_Set[[#This Row],[Play Booster Box Product Id]], tbl_Product[Product Id], tbl_Product[Pack Size])</f>
        <v>#N/A</v>
      </c>
      <c r="AP666" s="10" t="e">
        <f>(tbl_MTG_Set[[#This Row],[Play Booster Box Cost]]+v_Item_Shipping_Cost_In)/tbl_MTG_Set[[#This Row],[Play Booster Box Size]]</f>
        <v>#VALUE!</v>
      </c>
      <c r="AQ666" s="10" t="str" cm="1">
        <f t="array" ref="AQ6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6" s="10"/>
      <c r="AS666" s="10"/>
      <c r="AT666" s="17" t="e">
        <f>tbl_MTG_Set[[#This Row],[Play Booster CardMarket Profit]]/tbl_MTG_Set[[#This Row],[Play Booster Cost]]</f>
        <v>#VALUE!</v>
      </c>
      <c r="AU666" s="10" t="e">
        <f>_xlfn.XLOOKUP(tbl_MTG_Set[[#This Row],[Collector Booster Box Product Id]], tbl_Product[Product Id], tbl_Product[Min Cost])</f>
        <v>#N/A</v>
      </c>
      <c r="AV666" s="10" t="e">
        <f>_xlfn.XLOOKUP(tbl_MTG_Set[[#This Row],[Collector Booster Box Product Id]], tbl_Product[Product Id], tbl_Product[Best Source])</f>
        <v>#N/A</v>
      </c>
      <c r="AW666" s="4" t="e">
        <f>_xlfn.XLOOKUP(tbl_MTG_Set[[#This Row],[Collector Booster Box Product Id]], tbl_Product[Product Id], tbl_Product[Pack Size])</f>
        <v>#N/A</v>
      </c>
      <c r="AX666" s="10" t="e">
        <f>(tbl_MTG_Set[[#This Row],[Collector Booster Box Cost]] + v_Item_Shipping_Cost_In) / tbl_MTG_Set[[#This Row],[Collector Booster Box Size]]</f>
        <v>#N/A</v>
      </c>
      <c r="AY666" s="10" t="str" cm="1">
        <f t="array" ref="AY6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6" s="10"/>
      <c r="BA6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6" s="17" t="e">
        <f>tbl_MTG_Set[[#This Row],[Collector Booster CardMarket Profit]]/tbl_MTG_Set[[#This Row],[Collector Booster Cost]]</f>
        <v>#N/A</v>
      </c>
      <c r="BC666" s="10"/>
      <c r="BF6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6" s="11" t="e">
        <f>tbl_MTG_Set[[#This Row],[Play Singles CardMarket Profit MTG Stocks]]/tbl_MTG_Set[[#This Row],[Play Booster Cost]]</f>
        <v>#VALUE!</v>
      </c>
      <c r="BI666" s="11" t="b">
        <f>tbl_MTG_Set[[#This Row],[Play Singles CardMarket Profit MTG Stocks]]&gt;0</f>
        <v>0</v>
      </c>
      <c r="BM666" s="10" t="e">
        <f>tbl_MTG_Set[[#This Row],[Play Booster Sell Price CardMarket]]*tbl_MTG_Set[[#This Row],[Play Booster Expected Market Value BotBox]]/tbl_MTG_Set[[#This Row],[Play Booster Sealed Market Value BotBox]]</f>
        <v>#VALUE!</v>
      </c>
      <c r="BN6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6" s="10" t="e">
        <f>tbl_MTG_Set[[#This Row],[Play Singles CardMarket Profit BotBox]]/tbl_MTG_Set[[#This Row],[Play Booster Cost]]</f>
        <v>#VALUE!</v>
      </c>
      <c r="BP666" s="10" t="b">
        <f>tbl_MTG_Set[[#This Row],[Play Singles CardMarket Profit BotBox]]&gt;0</f>
        <v>0</v>
      </c>
      <c r="BQ666" s="10"/>
      <c r="BR666" s="10"/>
      <c r="BS666" s="10"/>
      <c r="BT6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6" s="19" t="e">
        <f>tbl_MTG_Set[[#This Row],[Collector Singles CardMarket Profit MTG Stocks]]/tbl_MTG_Set[[#This Row],[Collector Booster Cost]]</f>
        <v>#N/A</v>
      </c>
      <c r="BW666" s="10" t="b">
        <f>tbl_MTG_Set[[#This Row],[Collector Singles CardMarket Profit MTG Stocks]]&gt;0</f>
        <v>0</v>
      </c>
      <c r="BX666" s="10"/>
      <c r="BY666" s="10"/>
      <c r="BZ6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6" s="10" t="e">
        <f>tbl_MTG_Set[[#This Row],[Collector Singles CardMarket Profit BotBox]]/tbl_MTG_Set[[#This Row],[Collector Booster Cost]]</f>
        <v>#N/A</v>
      </c>
      <c r="CC666" s="10" t="b">
        <f>tbl_MTG_Set[[#This Row],[Collector Singles CardMarket Profit BotBox]]&gt;0</f>
        <v>0</v>
      </c>
      <c r="CD6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7" spans="1:86" hidden="1">
      <c r="A667">
        <v>699</v>
      </c>
      <c r="B667" t="s">
        <v>840</v>
      </c>
      <c r="C667">
        <v>40</v>
      </c>
      <c r="D667" s="3">
        <v>41061</v>
      </c>
      <c r="F667" t="s">
        <v>174</v>
      </c>
      <c r="G667">
        <v>1344</v>
      </c>
      <c r="H667">
        <f ca="1">MONTH(NOW())+12*YEAR(NOW())-MONTH(tbl_MTG_Set[[#This Row],[Released On]])-12*YEAR(tbl_MTG_Set[[#This Row],[Released On]])</f>
        <v>165</v>
      </c>
      <c r="I667" t="str">
        <f>_xlfn.XLOOKUP(tbl_MTG_Set[[#This Row],[Type Name]], tbl_MTG_Set_Type[Set Type], tbl_MTG_Set_Type[Index], "(Set Type not found)")</f>
        <v>(Set Type not found)</v>
      </c>
      <c r="J667" t="str">
        <f>_xlfn.XLOOKUP(tbl_MTG_Set[[#This Row],[Type Name]], tbl_MTG_Set_Type[Set Type], tbl_MTG_Set_Type[Buy Window Month Start], "(Set Type not found)")</f>
        <v>(Set Type not found)</v>
      </c>
      <c r="K667" s="3" t="e">
        <f>tbl_MTG_Set[[#This Row],[Released On]]+tbl_MTG_Set[[#This Row],[Buy Window Month Start]]*365.25/12</f>
        <v>#VALUE!</v>
      </c>
      <c r="L667" t="str">
        <f>_xlfn.XLOOKUP(tbl_MTG_Set[[#This Row],[Type Name]], tbl_MTG_Set_Type[Set Type], tbl_MTG_Set_Type[Buy Window Month End], "(Set Type not found)", 0, 1)</f>
        <v>(Set Type not found)</v>
      </c>
      <c r="M667" s="3" t="e">
        <f>tbl_MTG_Set[[#This Row],[Released On]]+tbl_MTG_Set[[#This Row],[Buy Window Month End]]*365.25/12</f>
        <v>#VALUE!</v>
      </c>
      <c r="N667" s="3" t="e">
        <f ca="1">AND(NOW()&gt;=tbl_MTG_Set[[#This Row],[Buy Window Start]], NOW()&lt;=tbl_MTG_Set[[#This Row],[Buy Window End]])</f>
        <v>#VALUE!</v>
      </c>
      <c r="O667" t="str">
        <f>_xlfn.XLOOKUP(tbl_MTG_Set[[#This Row],[Type Name]], tbl_MTG_Set_Type[Set Type], tbl_MTG_Set_Type[Heavy Printing Window Month Start], "(Set Type not found)", 0, 1)</f>
        <v>(Set Type not found)</v>
      </c>
      <c r="P667" s="3" t="e">
        <f>tbl_MTG_Set[[#This Row],[Released On]]+tbl_MTG_Set[[#This Row],[Heavy Printing Window Month Start]]*365.25/12</f>
        <v>#VALUE!</v>
      </c>
      <c r="Q667" t="str">
        <f>_xlfn.XLOOKUP(tbl_MTG_Set[[#This Row],[Type Name]], tbl_MTG_Set_Type[Set Type], tbl_MTG_Set_Type[Heavy Printing Window Month End], "(Set Type not found)", 0, 1)</f>
        <v>(Set Type not found)</v>
      </c>
      <c r="R667" s="3" t="e">
        <f>tbl_MTG_Set[[#This Row],[Released On]]+tbl_MTG_Set[[#This Row],[Heavy Printing Window Month End]]*365.25/12</f>
        <v>#VALUE!</v>
      </c>
      <c r="S667" s="3" t="e">
        <f ca="1">AND(NOW()&gt;=tbl_MTG_Set[[#This Row],[Heavy Printing Window Start]], NOW()&lt;=tbl_MTG_Set[[#This Row],[Heavy Printing Window End]])</f>
        <v>#VALUE!</v>
      </c>
      <c r="T667" t="str">
        <f>_xlfn.XLOOKUP(tbl_MTG_Set[[#This Row],[Type Name]], tbl_MTG_Set_Type[Set Type], tbl_MTG_Set_Type[Sell Window Month Start], "(Set Type not found)", 0, 1)</f>
        <v>(Set Type not found)</v>
      </c>
      <c r="U667" s="3" t="e">
        <f>tbl_MTG_Set[[#This Row],[Released On]]+tbl_MTG_Set[[#This Row],[Sell Window Month Start]]*365.25/12</f>
        <v>#VALUE!</v>
      </c>
      <c r="V667" t="str">
        <f>_xlfn.XLOOKUP(tbl_MTG_Set[[#This Row],[Type Name]], tbl_MTG_Set_Type[Set Type], tbl_MTG_Set_Type[Sell Window Month End], "(Set Type not found)", 0, 1)</f>
        <v>(Set Type not found)</v>
      </c>
      <c r="W667" s="3" t="e">
        <f>tbl_MTG_Set[[#This Row],[Released On]]+tbl_MTG_Set[[#This Row],[Sell Window Month End]]*365.25/12</f>
        <v>#VALUE!</v>
      </c>
      <c r="X667" s="3" t="e">
        <f ca="1">AND(NOW()&gt;=tbl_MTG_Set[[#This Row],[Sell Window Start]], NOW()&lt;=tbl_MTG_Set[[#This Row],[Sell Window End]])</f>
        <v>#VALUE!</v>
      </c>
      <c r="AG667" s="10"/>
      <c r="AH667" s="10"/>
      <c r="AM667" s="10" t="str" cm="1">
        <f t="array" ref="AM6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7" s="10" t="str" cm="1">
        <f t="array" ref="AN6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7" s="4" t="e">
        <f>_xlfn.XLOOKUP(tbl_MTG_Set[[#This Row],[Play Booster Box Product Id]], tbl_Product[Product Id], tbl_Product[Pack Size])</f>
        <v>#N/A</v>
      </c>
      <c r="AP667" s="10" t="e">
        <f>(tbl_MTG_Set[[#This Row],[Play Booster Box Cost]]+v_Item_Shipping_Cost_In)/tbl_MTG_Set[[#This Row],[Play Booster Box Size]]</f>
        <v>#VALUE!</v>
      </c>
      <c r="AQ667" s="10" t="str" cm="1">
        <f t="array" ref="AQ6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7" s="10"/>
      <c r="AS667" s="10"/>
      <c r="AT667" s="17" t="e">
        <f>tbl_MTG_Set[[#This Row],[Play Booster CardMarket Profit]]/tbl_MTG_Set[[#This Row],[Play Booster Cost]]</f>
        <v>#VALUE!</v>
      </c>
      <c r="AU667" s="10" t="e">
        <f>_xlfn.XLOOKUP(tbl_MTG_Set[[#This Row],[Collector Booster Box Product Id]], tbl_Product[Product Id], tbl_Product[Min Cost])</f>
        <v>#N/A</v>
      </c>
      <c r="AV667" s="10" t="e">
        <f>_xlfn.XLOOKUP(tbl_MTG_Set[[#This Row],[Collector Booster Box Product Id]], tbl_Product[Product Id], tbl_Product[Best Source])</f>
        <v>#N/A</v>
      </c>
      <c r="AW667" s="4" t="e">
        <f>_xlfn.XLOOKUP(tbl_MTG_Set[[#This Row],[Collector Booster Box Product Id]], tbl_Product[Product Id], tbl_Product[Pack Size])</f>
        <v>#N/A</v>
      </c>
      <c r="AX667" s="10" t="e">
        <f>(tbl_MTG_Set[[#This Row],[Collector Booster Box Cost]] + v_Item_Shipping_Cost_In) / tbl_MTG_Set[[#This Row],[Collector Booster Box Size]]</f>
        <v>#N/A</v>
      </c>
      <c r="AY667" s="10" t="str" cm="1">
        <f t="array" ref="AY6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7" s="10"/>
      <c r="BA6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7" s="17" t="e">
        <f>tbl_MTG_Set[[#This Row],[Collector Booster CardMarket Profit]]/tbl_MTG_Set[[#This Row],[Collector Booster Cost]]</f>
        <v>#N/A</v>
      </c>
      <c r="BC667" s="10"/>
      <c r="BF6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7" s="11" t="e">
        <f>tbl_MTG_Set[[#This Row],[Play Singles CardMarket Profit MTG Stocks]]/tbl_MTG_Set[[#This Row],[Play Booster Cost]]</f>
        <v>#VALUE!</v>
      </c>
      <c r="BI667" s="11" t="b">
        <f>tbl_MTG_Set[[#This Row],[Play Singles CardMarket Profit MTG Stocks]]&gt;0</f>
        <v>0</v>
      </c>
      <c r="BM667" s="10" t="e">
        <f>tbl_MTG_Set[[#This Row],[Play Booster Sell Price CardMarket]]*tbl_MTG_Set[[#This Row],[Play Booster Expected Market Value BotBox]]/tbl_MTG_Set[[#This Row],[Play Booster Sealed Market Value BotBox]]</f>
        <v>#VALUE!</v>
      </c>
      <c r="BN6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7" s="10" t="e">
        <f>tbl_MTG_Set[[#This Row],[Play Singles CardMarket Profit BotBox]]/tbl_MTG_Set[[#This Row],[Play Booster Cost]]</f>
        <v>#VALUE!</v>
      </c>
      <c r="BP667" s="10" t="b">
        <f>tbl_MTG_Set[[#This Row],[Play Singles CardMarket Profit BotBox]]&gt;0</f>
        <v>0</v>
      </c>
      <c r="BQ667" s="10"/>
      <c r="BR667" s="10"/>
      <c r="BS667" s="10"/>
      <c r="BT6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7" s="19" t="e">
        <f>tbl_MTG_Set[[#This Row],[Collector Singles CardMarket Profit MTG Stocks]]/tbl_MTG_Set[[#This Row],[Collector Booster Cost]]</f>
        <v>#N/A</v>
      </c>
      <c r="BW667" s="10" t="b">
        <f>tbl_MTG_Set[[#This Row],[Collector Singles CardMarket Profit MTG Stocks]]&gt;0</f>
        <v>0</v>
      </c>
      <c r="BX667" s="10"/>
      <c r="BY667" s="10"/>
      <c r="BZ6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7" s="10" t="e">
        <f>tbl_MTG_Set[[#This Row],[Collector Singles CardMarket Profit BotBox]]/tbl_MTG_Set[[#This Row],[Collector Booster Cost]]</f>
        <v>#N/A</v>
      </c>
      <c r="CC667" s="10" t="b">
        <f>tbl_MTG_Set[[#This Row],[Collector Singles CardMarket Profit BotBox]]&gt;0</f>
        <v>0</v>
      </c>
      <c r="CD6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8" spans="1:86" hidden="1">
      <c r="A668">
        <v>700</v>
      </c>
      <c r="B668" t="s">
        <v>841</v>
      </c>
      <c r="C668">
        <v>244</v>
      </c>
      <c r="D668" s="3">
        <v>41033</v>
      </c>
      <c r="F668" t="s">
        <v>174</v>
      </c>
      <c r="G668">
        <v>1346</v>
      </c>
      <c r="H668">
        <f ca="1">MONTH(NOW())+12*YEAR(NOW())-MONTH(tbl_MTG_Set[[#This Row],[Released On]])-12*YEAR(tbl_MTG_Set[[#This Row],[Released On]])</f>
        <v>166</v>
      </c>
      <c r="I668" t="str">
        <f>_xlfn.XLOOKUP(tbl_MTG_Set[[#This Row],[Type Name]], tbl_MTG_Set_Type[Set Type], tbl_MTG_Set_Type[Index], "(Set Type not found)")</f>
        <v>(Set Type not found)</v>
      </c>
      <c r="J668" t="str">
        <f>_xlfn.XLOOKUP(tbl_MTG_Set[[#This Row],[Type Name]], tbl_MTG_Set_Type[Set Type], tbl_MTG_Set_Type[Buy Window Month Start], "(Set Type not found)")</f>
        <v>(Set Type not found)</v>
      </c>
      <c r="K668" s="3" t="e">
        <f>tbl_MTG_Set[[#This Row],[Released On]]+tbl_MTG_Set[[#This Row],[Buy Window Month Start]]*365.25/12</f>
        <v>#VALUE!</v>
      </c>
      <c r="L668" t="str">
        <f>_xlfn.XLOOKUP(tbl_MTG_Set[[#This Row],[Type Name]], tbl_MTG_Set_Type[Set Type], tbl_MTG_Set_Type[Buy Window Month End], "(Set Type not found)", 0, 1)</f>
        <v>(Set Type not found)</v>
      </c>
      <c r="M668" s="3" t="e">
        <f>tbl_MTG_Set[[#This Row],[Released On]]+tbl_MTG_Set[[#This Row],[Buy Window Month End]]*365.25/12</f>
        <v>#VALUE!</v>
      </c>
      <c r="N668" s="3" t="e">
        <f ca="1">AND(NOW()&gt;=tbl_MTG_Set[[#This Row],[Buy Window Start]], NOW()&lt;=tbl_MTG_Set[[#This Row],[Buy Window End]])</f>
        <v>#VALUE!</v>
      </c>
      <c r="O668" t="str">
        <f>_xlfn.XLOOKUP(tbl_MTG_Set[[#This Row],[Type Name]], tbl_MTG_Set_Type[Set Type], tbl_MTG_Set_Type[Heavy Printing Window Month Start], "(Set Type not found)", 0, 1)</f>
        <v>(Set Type not found)</v>
      </c>
      <c r="P668" s="3" t="e">
        <f>tbl_MTG_Set[[#This Row],[Released On]]+tbl_MTG_Set[[#This Row],[Heavy Printing Window Month Start]]*365.25/12</f>
        <v>#VALUE!</v>
      </c>
      <c r="Q668" t="str">
        <f>_xlfn.XLOOKUP(tbl_MTG_Set[[#This Row],[Type Name]], tbl_MTG_Set_Type[Set Type], tbl_MTG_Set_Type[Heavy Printing Window Month End], "(Set Type not found)", 0, 1)</f>
        <v>(Set Type not found)</v>
      </c>
      <c r="R668" s="3" t="e">
        <f>tbl_MTG_Set[[#This Row],[Released On]]+tbl_MTG_Set[[#This Row],[Heavy Printing Window Month End]]*365.25/12</f>
        <v>#VALUE!</v>
      </c>
      <c r="S668" s="3" t="e">
        <f ca="1">AND(NOW()&gt;=tbl_MTG_Set[[#This Row],[Heavy Printing Window Start]], NOW()&lt;=tbl_MTG_Set[[#This Row],[Heavy Printing Window End]])</f>
        <v>#VALUE!</v>
      </c>
      <c r="T668" t="str">
        <f>_xlfn.XLOOKUP(tbl_MTG_Set[[#This Row],[Type Name]], tbl_MTG_Set_Type[Set Type], tbl_MTG_Set_Type[Sell Window Month Start], "(Set Type not found)", 0, 1)</f>
        <v>(Set Type not found)</v>
      </c>
      <c r="U668" s="3" t="e">
        <f>tbl_MTG_Set[[#This Row],[Released On]]+tbl_MTG_Set[[#This Row],[Sell Window Month Start]]*365.25/12</f>
        <v>#VALUE!</v>
      </c>
      <c r="V668" t="str">
        <f>_xlfn.XLOOKUP(tbl_MTG_Set[[#This Row],[Type Name]], tbl_MTG_Set_Type[Set Type], tbl_MTG_Set_Type[Sell Window Month End], "(Set Type not found)", 0, 1)</f>
        <v>(Set Type not found)</v>
      </c>
      <c r="W668" s="3" t="e">
        <f>tbl_MTG_Set[[#This Row],[Released On]]+tbl_MTG_Set[[#This Row],[Sell Window Month End]]*365.25/12</f>
        <v>#VALUE!</v>
      </c>
      <c r="X668" s="3" t="e">
        <f ca="1">AND(NOW()&gt;=tbl_MTG_Set[[#This Row],[Sell Window Start]], NOW()&lt;=tbl_MTG_Set[[#This Row],[Sell Window End]])</f>
        <v>#VALUE!</v>
      </c>
      <c r="AG668" s="10"/>
      <c r="AH668" s="10"/>
      <c r="AM668" s="10" t="str" cm="1">
        <f t="array" ref="AM6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8" s="10" t="str" cm="1">
        <f t="array" ref="AN6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8" s="4" t="e">
        <f>_xlfn.XLOOKUP(tbl_MTG_Set[[#This Row],[Play Booster Box Product Id]], tbl_Product[Product Id], tbl_Product[Pack Size])</f>
        <v>#N/A</v>
      </c>
      <c r="AP668" s="10" t="e">
        <f>(tbl_MTG_Set[[#This Row],[Play Booster Box Cost]]+v_Item_Shipping_Cost_In)/tbl_MTG_Set[[#This Row],[Play Booster Box Size]]</f>
        <v>#VALUE!</v>
      </c>
      <c r="AQ668" s="10" t="str" cm="1">
        <f t="array" ref="AQ6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8" s="10"/>
      <c r="AS668" s="10"/>
      <c r="AT668" s="17" t="e">
        <f>tbl_MTG_Set[[#This Row],[Play Booster CardMarket Profit]]/tbl_MTG_Set[[#This Row],[Play Booster Cost]]</f>
        <v>#VALUE!</v>
      </c>
      <c r="AU668" s="10" t="e">
        <f>_xlfn.XLOOKUP(tbl_MTG_Set[[#This Row],[Collector Booster Box Product Id]], tbl_Product[Product Id], tbl_Product[Min Cost])</f>
        <v>#N/A</v>
      </c>
      <c r="AV668" s="10" t="e">
        <f>_xlfn.XLOOKUP(tbl_MTG_Set[[#This Row],[Collector Booster Box Product Id]], tbl_Product[Product Id], tbl_Product[Best Source])</f>
        <v>#N/A</v>
      </c>
      <c r="AW668" s="4" t="e">
        <f>_xlfn.XLOOKUP(tbl_MTG_Set[[#This Row],[Collector Booster Box Product Id]], tbl_Product[Product Id], tbl_Product[Pack Size])</f>
        <v>#N/A</v>
      </c>
      <c r="AX668" s="10" t="e">
        <f>(tbl_MTG_Set[[#This Row],[Collector Booster Box Cost]] + v_Item_Shipping_Cost_In) / tbl_MTG_Set[[#This Row],[Collector Booster Box Size]]</f>
        <v>#N/A</v>
      </c>
      <c r="AY668" s="10" t="str" cm="1">
        <f t="array" ref="AY6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8" s="10"/>
      <c r="BA6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8" s="17" t="e">
        <f>tbl_MTG_Set[[#This Row],[Collector Booster CardMarket Profit]]/tbl_MTG_Set[[#This Row],[Collector Booster Cost]]</f>
        <v>#N/A</v>
      </c>
      <c r="BC668" s="10"/>
      <c r="BF6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8" s="11" t="e">
        <f>tbl_MTG_Set[[#This Row],[Play Singles CardMarket Profit MTG Stocks]]/tbl_MTG_Set[[#This Row],[Play Booster Cost]]</f>
        <v>#VALUE!</v>
      </c>
      <c r="BI668" s="11" t="b">
        <f>tbl_MTG_Set[[#This Row],[Play Singles CardMarket Profit MTG Stocks]]&gt;0</f>
        <v>0</v>
      </c>
      <c r="BM668" s="10" t="e">
        <f>tbl_MTG_Set[[#This Row],[Play Booster Sell Price CardMarket]]*tbl_MTG_Set[[#This Row],[Play Booster Expected Market Value BotBox]]/tbl_MTG_Set[[#This Row],[Play Booster Sealed Market Value BotBox]]</f>
        <v>#VALUE!</v>
      </c>
      <c r="BN6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8" s="10" t="e">
        <f>tbl_MTG_Set[[#This Row],[Play Singles CardMarket Profit BotBox]]/tbl_MTG_Set[[#This Row],[Play Booster Cost]]</f>
        <v>#VALUE!</v>
      </c>
      <c r="BP668" s="10" t="b">
        <f>tbl_MTG_Set[[#This Row],[Play Singles CardMarket Profit BotBox]]&gt;0</f>
        <v>0</v>
      </c>
      <c r="BQ668" s="10"/>
      <c r="BR668" s="10"/>
      <c r="BS668" s="10"/>
      <c r="BT6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8" s="19" t="e">
        <f>tbl_MTG_Set[[#This Row],[Collector Singles CardMarket Profit MTG Stocks]]/tbl_MTG_Set[[#This Row],[Collector Booster Cost]]</f>
        <v>#N/A</v>
      </c>
      <c r="BW668" s="10" t="b">
        <f>tbl_MTG_Set[[#This Row],[Collector Singles CardMarket Profit MTG Stocks]]&gt;0</f>
        <v>0</v>
      </c>
      <c r="BX668" s="10"/>
      <c r="BY668" s="10"/>
      <c r="BZ6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8" s="10" t="e">
        <f>tbl_MTG_Set[[#This Row],[Collector Singles CardMarket Profit BotBox]]/tbl_MTG_Set[[#This Row],[Collector Booster Cost]]</f>
        <v>#N/A</v>
      </c>
      <c r="CC668" s="10" t="b">
        <f>tbl_MTG_Set[[#This Row],[Collector Singles CardMarket Profit BotBox]]&gt;0</f>
        <v>0</v>
      </c>
      <c r="CD6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69" spans="1:86" hidden="1">
      <c r="A669">
        <v>701</v>
      </c>
      <c r="B669" t="s">
        <v>842</v>
      </c>
      <c r="C669">
        <v>6</v>
      </c>
      <c r="D669" s="3">
        <v>41027</v>
      </c>
      <c r="F669" t="s">
        <v>174</v>
      </c>
      <c r="G669">
        <v>1348</v>
      </c>
      <c r="H669">
        <f ca="1">MONTH(NOW())+12*YEAR(NOW())-MONTH(tbl_MTG_Set[[#This Row],[Released On]])-12*YEAR(tbl_MTG_Set[[#This Row],[Released On]])</f>
        <v>167</v>
      </c>
      <c r="I669" t="str">
        <f>_xlfn.XLOOKUP(tbl_MTG_Set[[#This Row],[Type Name]], tbl_MTG_Set_Type[Set Type], tbl_MTG_Set_Type[Index], "(Set Type not found)")</f>
        <v>(Set Type not found)</v>
      </c>
      <c r="J669" t="str">
        <f>_xlfn.XLOOKUP(tbl_MTG_Set[[#This Row],[Type Name]], tbl_MTG_Set_Type[Set Type], tbl_MTG_Set_Type[Buy Window Month Start], "(Set Type not found)")</f>
        <v>(Set Type not found)</v>
      </c>
      <c r="K669" s="3" t="e">
        <f>tbl_MTG_Set[[#This Row],[Released On]]+tbl_MTG_Set[[#This Row],[Buy Window Month Start]]*365.25/12</f>
        <v>#VALUE!</v>
      </c>
      <c r="L669" t="str">
        <f>_xlfn.XLOOKUP(tbl_MTG_Set[[#This Row],[Type Name]], tbl_MTG_Set_Type[Set Type], tbl_MTG_Set_Type[Buy Window Month End], "(Set Type not found)", 0, 1)</f>
        <v>(Set Type not found)</v>
      </c>
      <c r="M669" s="3" t="e">
        <f>tbl_MTG_Set[[#This Row],[Released On]]+tbl_MTG_Set[[#This Row],[Buy Window Month End]]*365.25/12</f>
        <v>#VALUE!</v>
      </c>
      <c r="N669" s="3" t="e">
        <f ca="1">AND(NOW()&gt;=tbl_MTG_Set[[#This Row],[Buy Window Start]], NOW()&lt;=tbl_MTG_Set[[#This Row],[Buy Window End]])</f>
        <v>#VALUE!</v>
      </c>
      <c r="O669" t="str">
        <f>_xlfn.XLOOKUP(tbl_MTG_Set[[#This Row],[Type Name]], tbl_MTG_Set_Type[Set Type], tbl_MTG_Set_Type[Heavy Printing Window Month Start], "(Set Type not found)", 0, 1)</f>
        <v>(Set Type not found)</v>
      </c>
      <c r="P669" s="3" t="e">
        <f>tbl_MTG_Set[[#This Row],[Released On]]+tbl_MTG_Set[[#This Row],[Heavy Printing Window Month Start]]*365.25/12</f>
        <v>#VALUE!</v>
      </c>
      <c r="Q669" t="str">
        <f>_xlfn.XLOOKUP(tbl_MTG_Set[[#This Row],[Type Name]], tbl_MTG_Set_Type[Set Type], tbl_MTG_Set_Type[Heavy Printing Window Month End], "(Set Type not found)", 0, 1)</f>
        <v>(Set Type not found)</v>
      </c>
      <c r="R669" s="3" t="e">
        <f>tbl_MTG_Set[[#This Row],[Released On]]+tbl_MTG_Set[[#This Row],[Heavy Printing Window Month End]]*365.25/12</f>
        <v>#VALUE!</v>
      </c>
      <c r="S669" s="3" t="e">
        <f ca="1">AND(NOW()&gt;=tbl_MTG_Set[[#This Row],[Heavy Printing Window Start]], NOW()&lt;=tbl_MTG_Set[[#This Row],[Heavy Printing Window End]])</f>
        <v>#VALUE!</v>
      </c>
      <c r="T669" t="str">
        <f>_xlfn.XLOOKUP(tbl_MTG_Set[[#This Row],[Type Name]], tbl_MTG_Set_Type[Set Type], tbl_MTG_Set_Type[Sell Window Month Start], "(Set Type not found)", 0, 1)</f>
        <v>(Set Type not found)</v>
      </c>
      <c r="U669" s="3" t="e">
        <f>tbl_MTG_Set[[#This Row],[Released On]]+tbl_MTG_Set[[#This Row],[Sell Window Month Start]]*365.25/12</f>
        <v>#VALUE!</v>
      </c>
      <c r="V669" t="str">
        <f>_xlfn.XLOOKUP(tbl_MTG_Set[[#This Row],[Type Name]], tbl_MTG_Set_Type[Set Type], tbl_MTG_Set_Type[Sell Window Month End], "(Set Type not found)", 0, 1)</f>
        <v>(Set Type not found)</v>
      </c>
      <c r="W669" s="3" t="e">
        <f>tbl_MTG_Set[[#This Row],[Released On]]+tbl_MTG_Set[[#This Row],[Sell Window Month End]]*365.25/12</f>
        <v>#VALUE!</v>
      </c>
      <c r="X669" s="3" t="e">
        <f ca="1">AND(NOW()&gt;=tbl_MTG_Set[[#This Row],[Sell Window Start]], NOW()&lt;=tbl_MTG_Set[[#This Row],[Sell Window End]])</f>
        <v>#VALUE!</v>
      </c>
      <c r="AG669" s="10"/>
      <c r="AH669" s="10"/>
      <c r="AM669" s="10" t="str" cm="1">
        <f t="array" ref="AM6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69" s="10" t="str" cm="1">
        <f t="array" ref="AN6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69" s="4" t="e">
        <f>_xlfn.XLOOKUP(tbl_MTG_Set[[#This Row],[Play Booster Box Product Id]], tbl_Product[Product Id], tbl_Product[Pack Size])</f>
        <v>#N/A</v>
      </c>
      <c r="AP669" s="10" t="e">
        <f>(tbl_MTG_Set[[#This Row],[Play Booster Box Cost]]+v_Item_Shipping_Cost_In)/tbl_MTG_Set[[#This Row],[Play Booster Box Size]]</f>
        <v>#VALUE!</v>
      </c>
      <c r="AQ669" s="10" t="str" cm="1">
        <f t="array" ref="AQ6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69" s="10"/>
      <c r="AS669" s="10"/>
      <c r="AT669" s="17" t="e">
        <f>tbl_MTG_Set[[#This Row],[Play Booster CardMarket Profit]]/tbl_MTG_Set[[#This Row],[Play Booster Cost]]</f>
        <v>#VALUE!</v>
      </c>
      <c r="AU669" s="10" t="e">
        <f>_xlfn.XLOOKUP(tbl_MTG_Set[[#This Row],[Collector Booster Box Product Id]], tbl_Product[Product Id], tbl_Product[Min Cost])</f>
        <v>#N/A</v>
      </c>
      <c r="AV669" s="10" t="e">
        <f>_xlfn.XLOOKUP(tbl_MTG_Set[[#This Row],[Collector Booster Box Product Id]], tbl_Product[Product Id], tbl_Product[Best Source])</f>
        <v>#N/A</v>
      </c>
      <c r="AW669" s="4" t="e">
        <f>_xlfn.XLOOKUP(tbl_MTG_Set[[#This Row],[Collector Booster Box Product Id]], tbl_Product[Product Id], tbl_Product[Pack Size])</f>
        <v>#N/A</v>
      </c>
      <c r="AX669" s="10" t="e">
        <f>(tbl_MTG_Set[[#This Row],[Collector Booster Box Cost]] + v_Item_Shipping_Cost_In) / tbl_MTG_Set[[#This Row],[Collector Booster Box Size]]</f>
        <v>#N/A</v>
      </c>
      <c r="AY669" s="10" t="str" cm="1">
        <f t="array" ref="AY6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69" s="10"/>
      <c r="BA6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69" s="17" t="e">
        <f>tbl_MTG_Set[[#This Row],[Collector Booster CardMarket Profit]]/tbl_MTG_Set[[#This Row],[Collector Booster Cost]]</f>
        <v>#N/A</v>
      </c>
      <c r="BC669" s="10"/>
      <c r="BF6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69" s="11" t="e">
        <f>tbl_MTG_Set[[#This Row],[Play Singles CardMarket Profit MTG Stocks]]/tbl_MTG_Set[[#This Row],[Play Booster Cost]]</f>
        <v>#VALUE!</v>
      </c>
      <c r="BI669" s="11" t="b">
        <f>tbl_MTG_Set[[#This Row],[Play Singles CardMarket Profit MTG Stocks]]&gt;0</f>
        <v>0</v>
      </c>
      <c r="BM669" s="10" t="e">
        <f>tbl_MTG_Set[[#This Row],[Play Booster Sell Price CardMarket]]*tbl_MTG_Set[[#This Row],[Play Booster Expected Market Value BotBox]]/tbl_MTG_Set[[#This Row],[Play Booster Sealed Market Value BotBox]]</f>
        <v>#VALUE!</v>
      </c>
      <c r="BN6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69" s="10" t="e">
        <f>tbl_MTG_Set[[#This Row],[Play Singles CardMarket Profit BotBox]]/tbl_MTG_Set[[#This Row],[Play Booster Cost]]</f>
        <v>#VALUE!</v>
      </c>
      <c r="BP669" s="10" t="b">
        <f>tbl_MTG_Set[[#This Row],[Play Singles CardMarket Profit BotBox]]&gt;0</f>
        <v>0</v>
      </c>
      <c r="BQ669" s="10"/>
      <c r="BR669" s="10"/>
      <c r="BS669" s="10"/>
      <c r="BT6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69" s="19" t="e">
        <f>tbl_MTG_Set[[#This Row],[Collector Singles CardMarket Profit MTG Stocks]]/tbl_MTG_Set[[#This Row],[Collector Booster Cost]]</f>
        <v>#N/A</v>
      </c>
      <c r="BW669" s="10" t="b">
        <f>tbl_MTG_Set[[#This Row],[Collector Singles CardMarket Profit MTG Stocks]]&gt;0</f>
        <v>0</v>
      </c>
      <c r="BX669" s="10"/>
      <c r="BY669" s="10"/>
      <c r="BZ6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69" s="10" t="e">
        <f>tbl_MTG_Set[[#This Row],[Collector Singles CardMarket Profit BotBox]]/tbl_MTG_Set[[#This Row],[Collector Booster Cost]]</f>
        <v>#N/A</v>
      </c>
      <c r="CC669" s="10" t="b">
        <f>tbl_MTG_Set[[#This Row],[Collector Singles CardMarket Profit BotBox]]&gt;0</f>
        <v>0</v>
      </c>
      <c r="CD6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0" spans="1:86" hidden="1">
      <c r="A670">
        <v>702</v>
      </c>
      <c r="B670" t="s">
        <v>843</v>
      </c>
      <c r="C670">
        <v>8</v>
      </c>
      <c r="D670" s="3">
        <v>41033</v>
      </c>
      <c r="F670" t="s">
        <v>174</v>
      </c>
      <c r="G670">
        <v>1350</v>
      </c>
      <c r="H670">
        <f ca="1">MONTH(NOW())+12*YEAR(NOW())-MONTH(tbl_MTG_Set[[#This Row],[Released On]])-12*YEAR(tbl_MTG_Set[[#This Row],[Released On]])</f>
        <v>166</v>
      </c>
      <c r="I670" t="str">
        <f>_xlfn.XLOOKUP(tbl_MTG_Set[[#This Row],[Type Name]], tbl_MTG_Set_Type[Set Type], tbl_MTG_Set_Type[Index], "(Set Type not found)")</f>
        <v>(Set Type not found)</v>
      </c>
      <c r="J670" t="str">
        <f>_xlfn.XLOOKUP(tbl_MTG_Set[[#This Row],[Type Name]], tbl_MTG_Set_Type[Set Type], tbl_MTG_Set_Type[Buy Window Month Start], "(Set Type not found)")</f>
        <v>(Set Type not found)</v>
      </c>
      <c r="K670" s="3" t="e">
        <f>tbl_MTG_Set[[#This Row],[Released On]]+tbl_MTG_Set[[#This Row],[Buy Window Month Start]]*365.25/12</f>
        <v>#VALUE!</v>
      </c>
      <c r="L670" t="str">
        <f>_xlfn.XLOOKUP(tbl_MTG_Set[[#This Row],[Type Name]], tbl_MTG_Set_Type[Set Type], tbl_MTG_Set_Type[Buy Window Month End], "(Set Type not found)", 0, 1)</f>
        <v>(Set Type not found)</v>
      </c>
      <c r="M670" s="3" t="e">
        <f>tbl_MTG_Set[[#This Row],[Released On]]+tbl_MTG_Set[[#This Row],[Buy Window Month End]]*365.25/12</f>
        <v>#VALUE!</v>
      </c>
      <c r="N670" s="3" t="e">
        <f ca="1">AND(NOW()&gt;=tbl_MTG_Set[[#This Row],[Buy Window Start]], NOW()&lt;=tbl_MTG_Set[[#This Row],[Buy Window End]])</f>
        <v>#VALUE!</v>
      </c>
      <c r="O670" t="str">
        <f>_xlfn.XLOOKUP(tbl_MTG_Set[[#This Row],[Type Name]], tbl_MTG_Set_Type[Set Type], tbl_MTG_Set_Type[Heavy Printing Window Month Start], "(Set Type not found)", 0, 1)</f>
        <v>(Set Type not found)</v>
      </c>
      <c r="P670" s="3" t="e">
        <f>tbl_MTG_Set[[#This Row],[Released On]]+tbl_MTG_Set[[#This Row],[Heavy Printing Window Month Start]]*365.25/12</f>
        <v>#VALUE!</v>
      </c>
      <c r="Q670" t="str">
        <f>_xlfn.XLOOKUP(tbl_MTG_Set[[#This Row],[Type Name]], tbl_MTG_Set_Type[Set Type], tbl_MTG_Set_Type[Heavy Printing Window Month End], "(Set Type not found)", 0, 1)</f>
        <v>(Set Type not found)</v>
      </c>
      <c r="R670" s="3" t="e">
        <f>tbl_MTG_Set[[#This Row],[Released On]]+tbl_MTG_Set[[#This Row],[Heavy Printing Window Month End]]*365.25/12</f>
        <v>#VALUE!</v>
      </c>
      <c r="S670" s="3" t="e">
        <f ca="1">AND(NOW()&gt;=tbl_MTG_Set[[#This Row],[Heavy Printing Window Start]], NOW()&lt;=tbl_MTG_Set[[#This Row],[Heavy Printing Window End]])</f>
        <v>#VALUE!</v>
      </c>
      <c r="T670" t="str">
        <f>_xlfn.XLOOKUP(tbl_MTG_Set[[#This Row],[Type Name]], tbl_MTG_Set_Type[Set Type], tbl_MTG_Set_Type[Sell Window Month Start], "(Set Type not found)", 0, 1)</f>
        <v>(Set Type not found)</v>
      </c>
      <c r="U670" s="3" t="e">
        <f>tbl_MTG_Set[[#This Row],[Released On]]+tbl_MTG_Set[[#This Row],[Sell Window Month Start]]*365.25/12</f>
        <v>#VALUE!</v>
      </c>
      <c r="V670" t="str">
        <f>_xlfn.XLOOKUP(tbl_MTG_Set[[#This Row],[Type Name]], tbl_MTG_Set_Type[Set Type], tbl_MTG_Set_Type[Sell Window Month End], "(Set Type not found)", 0, 1)</f>
        <v>(Set Type not found)</v>
      </c>
      <c r="W670" s="3" t="e">
        <f>tbl_MTG_Set[[#This Row],[Released On]]+tbl_MTG_Set[[#This Row],[Sell Window Month End]]*365.25/12</f>
        <v>#VALUE!</v>
      </c>
      <c r="X670" s="3" t="e">
        <f ca="1">AND(NOW()&gt;=tbl_MTG_Set[[#This Row],[Sell Window Start]], NOW()&lt;=tbl_MTG_Set[[#This Row],[Sell Window End]])</f>
        <v>#VALUE!</v>
      </c>
      <c r="AG670" s="10"/>
      <c r="AH670" s="10"/>
      <c r="AM670" s="10" t="str" cm="1">
        <f t="array" ref="AM6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0" s="10" t="str" cm="1">
        <f t="array" ref="AN6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0" s="4" t="e">
        <f>_xlfn.XLOOKUP(tbl_MTG_Set[[#This Row],[Play Booster Box Product Id]], tbl_Product[Product Id], tbl_Product[Pack Size])</f>
        <v>#N/A</v>
      </c>
      <c r="AP670" s="10" t="e">
        <f>(tbl_MTG_Set[[#This Row],[Play Booster Box Cost]]+v_Item_Shipping_Cost_In)/tbl_MTG_Set[[#This Row],[Play Booster Box Size]]</f>
        <v>#VALUE!</v>
      </c>
      <c r="AQ670" s="10" t="str" cm="1">
        <f t="array" ref="AQ6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0" s="10"/>
      <c r="AS670" s="10"/>
      <c r="AT670" s="17" t="e">
        <f>tbl_MTG_Set[[#This Row],[Play Booster CardMarket Profit]]/tbl_MTG_Set[[#This Row],[Play Booster Cost]]</f>
        <v>#VALUE!</v>
      </c>
      <c r="AU670" s="10" t="e">
        <f>_xlfn.XLOOKUP(tbl_MTG_Set[[#This Row],[Collector Booster Box Product Id]], tbl_Product[Product Id], tbl_Product[Min Cost])</f>
        <v>#N/A</v>
      </c>
      <c r="AV670" s="10" t="e">
        <f>_xlfn.XLOOKUP(tbl_MTG_Set[[#This Row],[Collector Booster Box Product Id]], tbl_Product[Product Id], tbl_Product[Best Source])</f>
        <v>#N/A</v>
      </c>
      <c r="AW670" s="4" t="e">
        <f>_xlfn.XLOOKUP(tbl_MTG_Set[[#This Row],[Collector Booster Box Product Id]], tbl_Product[Product Id], tbl_Product[Pack Size])</f>
        <v>#N/A</v>
      </c>
      <c r="AX670" s="10" t="e">
        <f>(tbl_MTG_Set[[#This Row],[Collector Booster Box Cost]] + v_Item_Shipping_Cost_In) / tbl_MTG_Set[[#This Row],[Collector Booster Box Size]]</f>
        <v>#N/A</v>
      </c>
      <c r="AY670" s="10" t="str" cm="1">
        <f t="array" ref="AY6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0" s="10"/>
      <c r="BA6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0" s="17" t="e">
        <f>tbl_MTG_Set[[#This Row],[Collector Booster CardMarket Profit]]/tbl_MTG_Set[[#This Row],[Collector Booster Cost]]</f>
        <v>#N/A</v>
      </c>
      <c r="BC670" s="10"/>
      <c r="BF6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0" s="11" t="e">
        <f>tbl_MTG_Set[[#This Row],[Play Singles CardMarket Profit MTG Stocks]]/tbl_MTG_Set[[#This Row],[Play Booster Cost]]</f>
        <v>#VALUE!</v>
      </c>
      <c r="BI670" s="11" t="b">
        <f>tbl_MTG_Set[[#This Row],[Play Singles CardMarket Profit MTG Stocks]]&gt;0</f>
        <v>0</v>
      </c>
      <c r="BM670" s="10" t="e">
        <f>tbl_MTG_Set[[#This Row],[Play Booster Sell Price CardMarket]]*tbl_MTG_Set[[#This Row],[Play Booster Expected Market Value BotBox]]/tbl_MTG_Set[[#This Row],[Play Booster Sealed Market Value BotBox]]</f>
        <v>#VALUE!</v>
      </c>
      <c r="BN6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0" s="10" t="e">
        <f>tbl_MTG_Set[[#This Row],[Play Singles CardMarket Profit BotBox]]/tbl_MTG_Set[[#This Row],[Play Booster Cost]]</f>
        <v>#VALUE!</v>
      </c>
      <c r="BP670" s="10" t="b">
        <f>tbl_MTG_Set[[#This Row],[Play Singles CardMarket Profit BotBox]]&gt;0</f>
        <v>0</v>
      </c>
      <c r="BQ670" s="10"/>
      <c r="BR670" s="10"/>
      <c r="BS670" s="10"/>
      <c r="BT6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0" s="19" t="e">
        <f>tbl_MTG_Set[[#This Row],[Collector Singles CardMarket Profit MTG Stocks]]/tbl_MTG_Set[[#This Row],[Collector Booster Cost]]</f>
        <v>#N/A</v>
      </c>
      <c r="BW670" s="10" t="b">
        <f>tbl_MTG_Set[[#This Row],[Collector Singles CardMarket Profit MTG Stocks]]&gt;0</f>
        <v>0</v>
      </c>
      <c r="BX670" s="10"/>
      <c r="BY670" s="10"/>
      <c r="BZ6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0" s="10" t="e">
        <f>tbl_MTG_Set[[#This Row],[Collector Singles CardMarket Profit BotBox]]/tbl_MTG_Set[[#This Row],[Collector Booster Cost]]</f>
        <v>#N/A</v>
      </c>
      <c r="CC670" s="10" t="b">
        <f>tbl_MTG_Set[[#This Row],[Collector Singles CardMarket Profit BotBox]]&gt;0</f>
        <v>0</v>
      </c>
      <c r="CD6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1" spans="1:86" hidden="1">
      <c r="A671">
        <v>703</v>
      </c>
      <c r="B671" t="s">
        <v>844</v>
      </c>
      <c r="C671">
        <v>6</v>
      </c>
      <c r="D671" s="3">
        <v>41027</v>
      </c>
      <c r="F671" t="s">
        <v>174</v>
      </c>
      <c r="G671">
        <v>1352</v>
      </c>
      <c r="H671">
        <f ca="1">MONTH(NOW())+12*YEAR(NOW())-MONTH(tbl_MTG_Set[[#This Row],[Released On]])-12*YEAR(tbl_MTG_Set[[#This Row],[Released On]])</f>
        <v>167</v>
      </c>
      <c r="I671" t="str">
        <f>_xlfn.XLOOKUP(tbl_MTG_Set[[#This Row],[Type Name]], tbl_MTG_Set_Type[Set Type], tbl_MTG_Set_Type[Index], "(Set Type not found)")</f>
        <v>(Set Type not found)</v>
      </c>
      <c r="J671" t="str">
        <f>_xlfn.XLOOKUP(tbl_MTG_Set[[#This Row],[Type Name]], tbl_MTG_Set_Type[Set Type], tbl_MTG_Set_Type[Buy Window Month Start], "(Set Type not found)")</f>
        <v>(Set Type not found)</v>
      </c>
      <c r="K671" s="3" t="e">
        <f>tbl_MTG_Set[[#This Row],[Released On]]+tbl_MTG_Set[[#This Row],[Buy Window Month Start]]*365.25/12</f>
        <v>#VALUE!</v>
      </c>
      <c r="L671" t="str">
        <f>_xlfn.XLOOKUP(tbl_MTG_Set[[#This Row],[Type Name]], tbl_MTG_Set_Type[Set Type], tbl_MTG_Set_Type[Buy Window Month End], "(Set Type not found)", 0, 1)</f>
        <v>(Set Type not found)</v>
      </c>
      <c r="M671" s="3" t="e">
        <f>tbl_MTG_Set[[#This Row],[Released On]]+tbl_MTG_Set[[#This Row],[Buy Window Month End]]*365.25/12</f>
        <v>#VALUE!</v>
      </c>
      <c r="N671" s="3" t="e">
        <f ca="1">AND(NOW()&gt;=tbl_MTG_Set[[#This Row],[Buy Window Start]], NOW()&lt;=tbl_MTG_Set[[#This Row],[Buy Window End]])</f>
        <v>#VALUE!</v>
      </c>
      <c r="O671" t="str">
        <f>_xlfn.XLOOKUP(tbl_MTG_Set[[#This Row],[Type Name]], tbl_MTG_Set_Type[Set Type], tbl_MTG_Set_Type[Heavy Printing Window Month Start], "(Set Type not found)", 0, 1)</f>
        <v>(Set Type not found)</v>
      </c>
      <c r="P671" s="3" t="e">
        <f>tbl_MTG_Set[[#This Row],[Released On]]+tbl_MTG_Set[[#This Row],[Heavy Printing Window Month Start]]*365.25/12</f>
        <v>#VALUE!</v>
      </c>
      <c r="Q671" t="str">
        <f>_xlfn.XLOOKUP(tbl_MTG_Set[[#This Row],[Type Name]], tbl_MTG_Set_Type[Set Type], tbl_MTG_Set_Type[Heavy Printing Window Month End], "(Set Type not found)", 0, 1)</f>
        <v>(Set Type not found)</v>
      </c>
      <c r="R671" s="3" t="e">
        <f>tbl_MTG_Set[[#This Row],[Released On]]+tbl_MTG_Set[[#This Row],[Heavy Printing Window Month End]]*365.25/12</f>
        <v>#VALUE!</v>
      </c>
      <c r="S671" s="3" t="e">
        <f ca="1">AND(NOW()&gt;=tbl_MTG_Set[[#This Row],[Heavy Printing Window Start]], NOW()&lt;=tbl_MTG_Set[[#This Row],[Heavy Printing Window End]])</f>
        <v>#VALUE!</v>
      </c>
      <c r="T671" t="str">
        <f>_xlfn.XLOOKUP(tbl_MTG_Set[[#This Row],[Type Name]], tbl_MTG_Set_Type[Set Type], tbl_MTG_Set_Type[Sell Window Month Start], "(Set Type not found)", 0, 1)</f>
        <v>(Set Type not found)</v>
      </c>
      <c r="U671" s="3" t="e">
        <f>tbl_MTG_Set[[#This Row],[Released On]]+tbl_MTG_Set[[#This Row],[Sell Window Month Start]]*365.25/12</f>
        <v>#VALUE!</v>
      </c>
      <c r="V671" t="str">
        <f>_xlfn.XLOOKUP(tbl_MTG_Set[[#This Row],[Type Name]], tbl_MTG_Set_Type[Set Type], tbl_MTG_Set_Type[Sell Window Month End], "(Set Type not found)", 0, 1)</f>
        <v>(Set Type not found)</v>
      </c>
      <c r="W671" s="3" t="e">
        <f>tbl_MTG_Set[[#This Row],[Released On]]+tbl_MTG_Set[[#This Row],[Sell Window Month End]]*365.25/12</f>
        <v>#VALUE!</v>
      </c>
      <c r="X671" s="3" t="e">
        <f ca="1">AND(NOW()&gt;=tbl_MTG_Set[[#This Row],[Sell Window Start]], NOW()&lt;=tbl_MTG_Set[[#This Row],[Sell Window End]])</f>
        <v>#VALUE!</v>
      </c>
      <c r="AG671" s="10"/>
      <c r="AH671" s="10"/>
      <c r="AM671" s="10" t="str" cm="1">
        <f t="array" ref="AM6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1" s="10" t="str" cm="1">
        <f t="array" ref="AN6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1" s="4" t="e">
        <f>_xlfn.XLOOKUP(tbl_MTG_Set[[#This Row],[Play Booster Box Product Id]], tbl_Product[Product Id], tbl_Product[Pack Size])</f>
        <v>#N/A</v>
      </c>
      <c r="AP671" s="10" t="e">
        <f>(tbl_MTG_Set[[#This Row],[Play Booster Box Cost]]+v_Item_Shipping_Cost_In)/tbl_MTG_Set[[#This Row],[Play Booster Box Size]]</f>
        <v>#VALUE!</v>
      </c>
      <c r="AQ671" s="10" t="str" cm="1">
        <f t="array" ref="AQ6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1" s="10"/>
      <c r="AS671" s="10"/>
      <c r="AT671" s="17" t="e">
        <f>tbl_MTG_Set[[#This Row],[Play Booster CardMarket Profit]]/tbl_MTG_Set[[#This Row],[Play Booster Cost]]</f>
        <v>#VALUE!</v>
      </c>
      <c r="AU671" s="10" t="e">
        <f>_xlfn.XLOOKUP(tbl_MTG_Set[[#This Row],[Collector Booster Box Product Id]], tbl_Product[Product Id], tbl_Product[Min Cost])</f>
        <v>#N/A</v>
      </c>
      <c r="AV671" s="10" t="e">
        <f>_xlfn.XLOOKUP(tbl_MTG_Set[[#This Row],[Collector Booster Box Product Id]], tbl_Product[Product Id], tbl_Product[Best Source])</f>
        <v>#N/A</v>
      </c>
      <c r="AW671" s="4" t="e">
        <f>_xlfn.XLOOKUP(tbl_MTG_Set[[#This Row],[Collector Booster Box Product Id]], tbl_Product[Product Id], tbl_Product[Pack Size])</f>
        <v>#N/A</v>
      </c>
      <c r="AX671" s="10" t="e">
        <f>(tbl_MTG_Set[[#This Row],[Collector Booster Box Cost]] + v_Item_Shipping_Cost_In) / tbl_MTG_Set[[#This Row],[Collector Booster Box Size]]</f>
        <v>#N/A</v>
      </c>
      <c r="AY671" s="10" t="str" cm="1">
        <f t="array" ref="AY6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1" s="10"/>
      <c r="BA6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1" s="17" t="e">
        <f>tbl_MTG_Set[[#This Row],[Collector Booster CardMarket Profit]]/tbl_MTG_Set[[#This Row],[Collector Booster Cost]]</f>
        <v>#N/A</v>
      </c>
      <c r="BC671" s="10"/>
      <c r="BF6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1" s="11" t="e">
        <f>tbl_MTG_Set[[#This Row],[Play Singles CardMarket Profit MTG Stocks]]/tbl_MTG_Set[[#This Row],[Play Booster Cost]]</f>
        <v>#VALUE!</v>
      </c>
      <c r="BI671" s="11" t="b">
        <f>tbl_MTG_Set[[#This Row],[Play Singles CardMarket Profit MTG Stocks]]&gt;0</f>
        <v>0</v>
      </c>
      <c r="BM671" s="10" t="e">
        <f>tbl_MTG_Set[[#This Row],[Play Booster Sell Price CardMarket]]*tbl_MTG_Set[[#This Row],[Play Booster Expected Market Value BotBox]]/tbl_MTG_Set[[#This Row],[Play Booster Sealed Market Value BotBox]]</f>
        <v>#VALUE!</v>
      </c>
      <c r="BN6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1" s="10" t="e">
        <f>tbl_MTG_Set[[#This Row],[Play Singles CardMarket Profit BotBox]]/tbl_MTG_Set[[#This Row],[Play Booster Cost]]</f>
        <v>#VALUE!</v>
      </c>
      <c r="BP671" s="10" t="b">
        <f>tbl_MTG_Set[[#This Row],[Play Singles CardMarket Profit BotBox]]&gt;0</f>
        <v>0</v>
      </c>
      <c r="BQ671" s="10"/>
      <c r="BR671" s="10"/>
      <c r="BS671" s="10"/>
      <c r="BT6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1" s="19" t="e">
        <f>tbl_MTG_Set[[#This Row],[Collector Singles CardMarket Profit MTG Stocks]]/tbl_MTG_Set[[#This Row],[Collector Booster Cost]]</f>
        <v>#N/A</v>
      </c>
      <c r="BW671" s="10" t="b">
        <f>tbl_MTG_Set[[#This Row],[Collector Singles CardMarket Profit MTG Stocks]]&gt;0</f>
        <v>0</v>
      </c>
      <c r="BX671" s="10"/>
      <c r="BY671" s="10"/>
      <c r="BZ6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1" s="10" t="e">
        <f>tbl_MTG_Set[[#This Row],[Collector Singles CardMarket Profit BotBox]]/tbl_MTG_Set[[#This Row],[Collector Booster Cost]]</f>
        <v>#N/A</v>
      </c>
      <c r="CC671" s="10" t="b">
        <f>tbl_MTG_Set[[#This Row],[Collector Singles CardMarket Profit BotBox]]&gt;0</f>
        <v>0</v>
      </c>
      <c r="CD6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2" spans="1:86" hidden="1">
      <c r="A672">
        <v>704</v>
      </c>
      <c r="B672" t="s">
        <v>845</v>
      </c>
      <c r="C672">
        <v>77</v>
      </c>
      <c r="D672" s="3">
        <v>40998</v>
      </c>
      <c r="F672" t="s">
        <v>174</v>
      </c>
      <c r="G672">
        <v>1354</v>
      </c>
      <c r="H672">
        <f ca="1">MONTH(NOW())+12*YEAR(NOW())-MONTH(tbl_MTG_Set[[#This Row],[Released On]])-12*YEAR(tbl_MTG_Set[[#This Row],[Released On]])</f>
        <v>168</v>
      </c>
      <c r="I672" t="str">
        <f>_xlfn.XLOOKUP(tbl_MTG_Set[[#This Row],[Type Name]], tbl_MTG_Set_Type[Set Type], tbl_MTG_Set_Type[Index], "(Set Type not found)")</f>
        <v>(Set Type not found)</v>
      </c>
      <c r="J672" t="str">
        <f>_xlfn.XLOOKUP(tbl_MTG_Set[[#This Row],[Type Name]], tbl_MTG_Set_Type[Set Type], tbl_MTG_Set_Type[Buy Window Month Start], "(Set Type not found)")</f>
        <v>(Set Type not found)</v>
      </c>
      <c r="K672" s="3" t="e">
        <f>tbl_MTG_Set[[#This Row],[Released On]]+tbl_MTG_Set[[#This Row],[Buy Window Month Start]]*365.25/12</f>
        <v>#VALUE!</v>
      </c>
      <c r="L672" t="str">
        <f>_xlfn.XLOOKUP(tbl_MTG_Set[[#This Row],[Type Name]], tbl_MTG_Set_Type[Set Type], tbl_MTG_Set_Type[Buy Window Month End], "(Set Type not found)", 0, 1)</f>
        <v>(Set Type not found)</v>
      </c>
      <c r="M672" s="3" t="e">
        <f>tbl_MTG_Set[[#This Row],[Released On]]+tbl_MTG_Set[[#This Row],[Buy Window Month End]]*365.25/12</f>
        <v>#VALUE!</v>
      </c>
      <c r="N672" s="3" t="e">
        <f ca="1">AND(NOW()&gt;=tbl_MTG_Set[[#This Row],[Buy Window Start]], NOW()&lt;=tbl_MTG_Set[[#This Row],[Buy Window End]])</f>
        <v>#VALUE!</v>
      </c>
      <c r="O672" t="str">
        <f>_xlfn.XLOOKUP(tbl_MTG_Set[[#This Row],[Type Name]], tbl_MTG_Set_Type[Set Type], tbl_MTG_Set_Type[Heavy Printing Window Month Start], "(Set Type not found)", 0, 1)</f>
        <v>(Set Type not found)</v>
      </c>
      <c r="P672" s="3" t="e">
        <f>tbl_MTG_Set[[#This Row],[Released On]]+tbl_MTG_Set[[#This Row],[Heavy Printing Window Month Start]]*365.25/12</f>
        <v>#VALUE!</v>
      </c>
      <c r="Q672" t="str">
        <f>_xlfn.XLOOKUP(tbl_MTG_Set[[#This Row],[Type Name]], tbl_MTG_Set_Type[Set Type], tbl_MTG_Set_Type[Heavy Printing Window Month End], "(Set Type not found)", 0, 1)</f>
        <v>(Set Type not found)</v>
      </c>
      <c r="R672" s="3" t="e">
        <f>tbl_MTG_Set[[#This Row],[Released On]]+tbl_MTG_Set[[#This Row],[Heavy Printing Window Month End]]*365.25/12</f>
        <v>#VALUE!</v>
      </c>
      <c r="S672" s="3" t="e">
        <f ca="1">AND(NOW()&gt;=tbl_MTG_Set[[#This Row],[Heavy Printing Window Start]], NOW()&lt;=tbl_MTG_Set[[#This Row],[Heavy Printing Window End]])</f>
        <v>#VALUE!</v>
      </c>
      <c r="T672" t="str">
        <f>_xlfn.XLOOKUP(tbl_MTG_Set[[#This Row],[Type Name]], tbl_MTG_Set_Type[Set Type], tbl_MTG_Set_Type[Sell Window Month Start], "(Set Type not found)", 0, 1)</f>
        <v>(Set Type not found)</v>
      </c>
      <c r="U672" s="3" t="e">
        <f>tbl_MTG_Set[[#This Row],[Released On]]+tbl_MTG_Set[[#This Row],[Sell Window Month Start]]*365.25/12</f>
        <v>#VALUE!</v>
      </c>
      <c r="V672" t="str">
        <f>_xlfn.XLOOKUP(tbl_MTG_Set[[#This Row],[Type Name]], tbl_MTG_Set_Type[Set Type], tbl_MTG_Set_Type[Sell Window Month End], "(Set Type not found)", 0, 1)</f>
        <v>(Set Type not found)</v>
      </c>
      <c r="W672" s="3" t="e">
        <f>tbl_MTG_Set[[#This Row],[Released On]]+tbl_MTG_Set[[#This Row],[Sell Window Month End]]*365.25/12</f>
        <v>#VALUE!</v>
      </c>
      <c r="X672" s="3" t="e">
        <f ca="1">AND(NOW()&gt;=tbl_MTG_Set[[#This Row],[Sell Window Start]], NOW()&lt;=tbl_MTG_Set[[#This Row],[Sell Window End]])</f>
        <v>#VALUE!</v>
      </c>
      <c r="AG672" s="10"/>
      <c r="AH672" s="10"/>
      <c r="AM672" s="10" t="str" cm="1">
        <f t="array" ref="AM6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2" s="10" t="str" cm="1">
        <f t="array" ref="AN6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2" s="4" t="e">
        <f>_xlfn.XLOOKUP(tbl_MTG_Set[[#This Row],[Play Booster Box Product Id]], tbl_Product[Product Id], tbl_Product[Pack Size])</f>
        <v>#N/A</v>
      </c>
      <c r="AP672" s="10" t="e">
        <f>(tbl_MTG_Set[[#This Row],[Play Booster Box Cost]]+v_Item_Shipping_Cost_In)/tbl_MTG_Set[[#This Row],[Play Booster Box Size]]</f>
        <v>#VALUE!</v>
      </c>
      <c r="AQ672" s="10" t="str" cm="1">
        <f t="array" ref="AQ6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2" s="10"/>
      <c r="AS672" s="10"/>
      <c r="AT672" s="17" t="e">
        <f>tbl_MTG_Set[[#This Row],[Play Booster CardMarket Profit]]/tbl_MTG_Set[[#This Row],[Play Booster Cost]]</f>
        <v>#VALUE!</v>
      </c>
      <c r="AU672" s="10" t="e">
        <f>_xlfn.XLOOKUP(tbl_MTG_Set[[#This Row],[Collector Booster Box Product Id]], tbl_Product[Product Id], tbl_Product[Min Cost])</f>
        <v>#N/A</v>
      </c>
      <c r="AV672" s="10" t="e">
        <f>_xlfn.XLOOKUP(tbl_MTG_Set[[#This Row],[Collector Booster Box Product Id]], tbl_Product[Product Id], tbl_Product[Best Source])</f>
        <v>#N/A</v>
      </c>
      <c r="AW672" s="4" t="e">
        <f>_xlfn.XLOOKUP(tbl_MTG_Set[[#This Row],[Collector Booster Box Product Id]], tbl_Product[Product Id], tbl_Product[Pack Size])</f>
        <v>#N/A</v>
      </c>
      <c r="AX672" s="10" t="e">
        <f>(tbl_MTG_Set[[#This Row],[Collector Booster Box Cost]] + v_Item_Shipping_Cost_In) / tbl_MTG_Set[[#This Row],[Collector Booster Box Size]]</f>
        <v>#N/A</v>
      </c>
      <c r="AY672" s="10" t="str" cm="1">
        <f t="array" ref="AY6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2" s="10"/>
      <c r="BA6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2" s="17" t="e">
        <f>tbl_MTG_Set[[#This Row],[Collector Booster CardMarket Profit]]/tbl_MTG_Set[[#This Row],[Collector Booster Cost]]</f>
        <v>#N/A</v>
      </c>
      <c r="BC672" s="10"/>
      <c r="BF6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2" s="11" t="e">
        <f>tbl_MTG_Set[[#This Row],[Play Singles CardMarket Profit MTG Stocks]]/tbl_MTG_Set[[#This Row],[Play Booster Cost]]</f>
        <v>#VALUE!</v>
      </c>
      <c r="BI672" s="11" t="b">
        <f>tbl_MTG_Set[[#This Row],[Play Singles CardMarket Profit MTG Stocks]]&gt;0</f>
        <v>0</v>
      </c>
      <c r="BM672" s="10" t="e">
        <f>tbl_MTG_Set[[#This Row],[Play Booster Sell Price CardMarket]]*tbl_MTG_Set[[#This Row],[Play Booster Expected Market Value BotBox]]/tbl_MTG_Set[[#This Row],[Play Booster Sealed Market Value BotBox]]</f>
        <v>#VALUE!</v>
      </c>
      <c r="BN6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2" s="10" t="e">
        <f>tbl_MTG_Set[[#This Row],[Play Singles CardMarket Profit BotBox]]/tbl_MTG_Set[[#This Row],[Play Booster Cost]]</f>
        <v>#VALUE!</v>
      </c>
      <c r="BP672" s="10" t="b">
        <f>tbl_MTG_Set[[#This Row],[Play Singles CardMarket Profit BotBox]]&gt;0</f>
        <v>0</v>
      </c>
      <c r="BQ672" s="10"/>
      <c r="BR672" s="10"/>
      <c r="BS672" s="10"/>
      <c r="BT6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2" s="19" t="e">
        <f>tbl_MTG_Set[[#This Row],[Collector Singles CardMarket Profit MTG Stocks]]/tbl_MTG_Set[[#This Row],[Collector Booster Cost]]</f>
        <v>#N/A</v>
      </c>
      <c r="BW672" s="10" t="b">
        <f>tbl_MTG_Set[[#This Row],[Collector Singles CardMarket Profit MTG Stocks]]&gt;0</f>
        <v>0</v>
      </c>
      <c r="BX672" s="10"/>
      <c r="BY672" s="10"/>
      <c r="BZ6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2" s="10" t="e">
        <f>tbl_MTG_Set[[#This Row],[Collector Singles CardMarket Profit BotBox]]/tbl_MTG_Set[[#This Row],[Collector Booster Cost]]</f>
        <v>#N/A</v>
      </c>
      <c r="CC672" s="10" t="b">
        <f>tbl_MTG_Set[[#This Row],[Collector Singles CardMarket Profit BotBox]]&gt;0</f>
        <v>0</v>
      </c>
      <c r="CD6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3" spans="1:86" hidden="1">
      <c r="A673">
        <v>705</v>
      </c>
      <c r="B673" t="s">
        <v>846</v>
      </c>
      <c r="C673">
        <v>2</v>
      </c>
      <c r="D673" s="3">
        <v>40998</v>
      </c>
      <c r="F673" t="s">
        <v>174</v>
      </c>
      <c r="G673">
        <v>1356</v>
      </c>
      <c r="H673">
        <f ca="1">MONTH(NOW())+12*YEAR(NOW())-MONTH(tbl_MTG_Set[[#This Row],[Released On]])-12*YEAR(tbl_MTG_Set[[#This Row],[Released On]])</f>
        <v>168</v>
      </c>
      <c r="I673" t="str">
        <f>_xlfn.XLOOKUP(tbl_MTG_Set[[#This Row],[Type Name]], tbl_MTG_Set_Type[Set Type], tbl_MTG_Set_Type[Index], "(Set Type not found)")</f>
        <v>(Set Type not found)</v>
      </c>
      <c r="J673" t="str">
        <f>_xlfn.XLOOKUP(tbl_MTG_Set[[#This Row],[Type Name]], tbl_MTG_Set_Type[Set Type], tbl_MTG_Set_Type[Buy Window Month Start], "(Set Type not found)")</f>
        <v>(Set Type not found)</v>
      </c>
      <c r="K673" s="3" t="e">
        <f>tbl_MTG_Set[[#This Row],[Released On]]+tbl_MTG_Set[[#This Row],[Buy Window Month Start]]*365.25/12</f>
        <v>#VALUE!</v>
      </c>
      <c r="L673" t="str">
        <f>_xlfn.XLOOKUP(tbl_MTG_Set[[#This Row],[Type Name]], tbl_MTG_Set_Type[Set Type], tbl_MTG_Set_Type[Buy Window Month End], "(Set Type not found)", 0, 1)</f>
        <v>(Set Type not found)</v>
      </c>
      <c r="M673" s="3" t="e">
        <f>tbl_MTG_Set[[#This Row],[Released On]]+tbl_MTG_Set[[#This Row],[Buy Window Month End]]*365.25/12</f>
        <v>#VALUE!</v>
      </c>
      <c r="N673" s="3" t="e">
        <f ca="1">AND(NOW()&gt;=tbl_MTG_Set[[#This Row],[Buy Window Start]], NOW()&lt;=tbl_MTG_Set[[#This Row],[Buy Window End]])</f>
        <v>#VALUE!</v>
      </c>
      <c r="O673" t="str">
        <f>_xlfn.XLOOKUP(tbl_MTG_Set[[#This Row],[Type Name]], tbl_MTG_Set_Type[Set Type], tbl_MTG_Set_Type[Heavy Printing Window Month Start], "(Set Type not found)", 0, 1)</f>
        <v>(Set Type not found)</v>
      </c>
      <c r="P673" s="3" t="e">
        <f>tbl_MTG_Set[[#This Row],[Released On]]+tbl_MTG_Set[[#This Row],[Heavy Printing Window Month Start]]*365.25/12</f>
        <v>#VALUE!</v>
      </c>
      <c r="Q673" t="str">
        <f>_xlfn.XLOOKUP(tbl_MTG_Set[[#This Row],[Type Name]], tbl_MTG_Set_Type[Set Type], tbl_MTG_Set_Type[Heavy Printing Window Month End], "(Set Type not found)", 0, 1)</f>
        <v>(Set Type not found)</v>
      </c>
      <c r="R673" s="3" t="e">
        <f>tbl_MTG_Set[[#This Row],[Released On]]+tbl_MTG_Set[[#This Row],[Heavy Printing Window Month End]]*365.25/12</f>
        <v>#VALUE!</v>
      </c>
      <c r="S673" s="3" t="e">
        <f ca="1">AND(NOW()&gt;=tbl_MTG_Set[[#This Row],[Heavy Printing Window Start]], NOW()&lt;=tbl_MTG_Set[[#This Row],[Heavy Printing Window End]])</f>
        <v>#VALUE!</v>
      </c>
      <c r="T673" t="str">
        <f>_xlfn.XLOOKUP(tbl_MTG_Set[[#This Row],[Type Name]], tbl_MTG_Set_Type[Set Type], tbl_MTG_Set_Type[Sell Window Month Start], "(Set Type not found)", 0, 1)</f>
        <v>(Set Type not found)</v>
      </c>
      <c r="U673" s="3" t="e">
        <f>tbl_MTG_Set[[#This Row],[Released On]]+tbl_MTG_Set[[#This Row],[Sell Window Month Start]]*365.25/12</f>
        <v>#VALUE!</v>
      </c>
      <c r="V673" t="str">
        <f>_xlfn.XLOOKUP(tbl_MTG_Set[[#This Row],[Type Name]], tbl_MTG_Set_Type[Set Type], tbl_MTG_Set_Type[Sell Window Month End], "(Set Type not found)", 0, 1)</f>
        <v>(Set Type not found)</v>
      </c>
      <c r="W673" s="3" t="e">
        <f>tbl_MTG_Set[[#This Row],[Released On]]+tbl_MTG_Set[[#This Row],[Sell Window Month End]]*365.25/12</f>
        <v>#VALUE!</v>
      </c>
      <c r="X673" s="3" t="e">
        <f ca="1">AND(NOW()&gt;=tbl_MTG_Set[[#This Row],[Sell Window Start]], NOW()&lt;=tbl_MTG_Set[[#This Row],[Sell Window End]])</f>
        <v>#VALUE!</v>
      </c>
      <c r="AG673" s="10"/>
      <c r="AH673" s="10"/>
      <c r="AM673" s="10" t="str" cm="1">
        <f t="array" ref="AM6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3" s="10" t="str" cm="1">
        <f t="array" ref="AN6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3" s="4" t="e">
        <f>_xlfn.XLOOKUP(tbl_MTG_Set[[#This Row],[Play Booster Box Product Id]], tbl_Product[Product Id], tbl_Product[Pack Size])</f>
        <v>#N/A</v>
      </c>
      <c r="AP673" s="10" t="e">
        <f>(tbl_MTG_Set[[#This Row],[Play Booster Box Cost]]+v_Item_Shipping_Cost_In)/tbl_MTG_Set[[#This Row],[Play Booster Box Size]]</f>
        <v>#VALUE!</v>
      </c>
      <c r="AQ673" s="10" t="str" cm="1">
        <f t="array" ref="AQ6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3" s="10"/>
      <c r="AS673" s="10"/>
      <c r="AT673" s="17" t="e">
        <f>tbl_MTG_Set[[#This Row],[Play Booster CardMarket Profit]]/tbl_MTG_Set[[#This Row],[Play Booster Cost]]</f>
        <v>#VALUE!</v>
      </c>
      <c r="AU673" s="10" t="e">
        <f>_xlfn.XLOOKUP(tbl_MTG_Set[[#This Row],[Collector Booster Box Product Id]], tbl_Product[Product Id], tbl_Product[Min Cost])</f>
        <v>#N/A</v>
      </c>
      <c r="AV673" s="10" t="e">
        <f>_xlfn.XLOOKUP(tbl_MTG_Set[[#This Row],[Collector Booster Box Product Id]], tbl_Product[Product Id], tbl_Product[Best Source])</f>
        <v>#N/A</v>
      </c>
      <c r="AW673" s="4" t="e">
        <f>_xlfn.XLOOKUP(tbl_MTG_Set[[#This Row],[Collector Booster Box Product Id]], tbl_Product[Product Id], tbl_Product[Pack Size])</f>
        <v>#N/A</v>
      </c>
      <c r="AX673" s="10" t="e">
        <f>(tbl_MTG_Set[[#This Row],[Collector Booster Box Cost]] + v_Item_Shipping_Cost_In) / tbl_MTG_Set[[#This Row],[Collector Booster Box Size]]</f>
        <v>#N/A</v>
      </c>
      <c r="AY673" s="10" t="str" cm="1">
        <f t="array" ref="AY6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3" s="10"/>
      <c r="BA6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3" s="17" t="e">
        <f>tbl_MTG_Set[[#This Row],[Collector Booster CardMarket Profit]]/tbl_MTG_Set[[#This Row],[Collector Booster Cost]]</f>
        <v>#N/A</v>
      </c>
      <c r="BC673" s="10"/>
      <c r="BF6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3" s="11" t="e">
        <f>tbl_MTG_Set[[#This Row],[Play Singles CardMarket Profit MTG Stocks]]/tbl_MTG_Set[[#This Row],[Play Booster Cost]]</f>
        <v>#VALUE!</v>
      </c>
      <c r="BI673" s="11" t="b">
        <f>tbl_MTG_Set[[#This Row],[Play Singles CardMarket Profit MTG Stocks]]&gt;0</f>
        <v>0</v>
      </c>
      <c r="BM673" s="10" t="e">
        <f>tbl_MTG_Set[[#This Row],[Play Booster Sell Price CardMarket]]*tbl_MTG_Set[[#This Row],[Play Booster Expected Market Value BotBox]]/tbl_MTG_Set[[#This Row],[Play Booster Sealed Market Value BotBox]]</f>
        <v>#VALUE!</v>
      </c>
      <c r="BN6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3" s="10" t="e">
        <f>tbl_MTG_Set[[#This Row],[Play Singles CardMarket Profit BotBox]]/tbl_MTG_Set[[#This Row],[Play Booster Cost]]</f>
        <v>#VALUE!</v>
      </c>
      <c r="BP673" s="10" t="b">
        <f>tbl_MTG_Set[[#This Row],[Play Singles CardMarket Profit BotBox]]&gt;0</f>
        <v>0</v>
      </c>
      <c r="BQ673" s="10"/>
      <c r="BR673" s="10"/>
      <c r="BS673" s="10"/>
      <c r="BT6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3" s="19" t="e">
        <f>tbl_MTG_Set[[#This Row],[Collector Singles CardMarket Profit MTG Stocks]]/tbl_MTG_Set[[#This Row],[Collector Booster Cost]]</f>
        <v>#N/A</v>
      </c>
      <c r="BW673" s="10" t="b">
        <f>tbl_MTG_Set[[#This Row],[Collector Singles CardMarket Profit MTG Stocks]]&gt;0</f>
        <v>0</v>
      </c>
      <c r="BX673" s="10"/>
      <c r="BY673" s="10"/>
      <c r="BZ6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3" s="10" t="e">
        <f>tbl_MTG_Set[[#This Row],[Collector Singles CardMarket Profit BotBox]]/tbl_MTG_Set[[#This Row],[Collector Booster Cost]]</f>
        <v>#N/A</v>
      </c>
      <c r="CC673" s="10" t="b">
        <f>tbl_MTG_Set[[#This Row],[Collector Singles CardMarket Profit BotBox]]&gt;0</f>
        <v>0</v>
      </c>
      <c r="CD6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4" spans="1:86" hidden="1">
      <c r="A674">
        <v>706</v>
      </c>
      <c r="B674" t="s">
        <v>847</v>
      </c>
      <c r="C674">
        <v>158</v>
      </c>
      <c r="D674" s="3">
        <v>40942</v>
      </c>
      <c r="F674" t="s">
        <v>174</v>
      </c>
      <c r="G674">
        <v>1358</v>
      </c>
      <c r="H674">
        <f ca="1">MONTH(NOW())+12*YEAR(NOW())-MONTH(tbl_MTG_Set[[#This Row],[Released On]])-12*YEAR(tbl_MTG_Set[[#This Row],[Released On]])</f>
        <v>169</v>
      </c>
      <c r="I674" t="str">
        <f>_xlfn.XLOOKUP(tbl_MTG_Set[[#This Row],[Type Name]], tbl_MTG_Set_Type[Set Type], tbl_MTG_Set_Type[Index], "(Set Type not found)")</f>
        <v>(Set Type not found)</v>
      </c>
      <c r="J674" t="str">
        <f>_xlfn.XLOOKUP(tbl_MTG_Set[[#This Row],[Type Name]], tbl_MTG_Set_Type[Set Type], tbl_MTG_Set_Type[Buy Window Month Start], "(Set Type not found)")</f>
        <v>(Set Type not found)</v>
      </c>
      <c r="K674" s="3" t="e">
        <f>tbl_MTG_Set[[#This Row],[Released On]]+tbl_MTG_Set[[#This Row],[Buy Window Month Start]]*365.25/12</f>
        <v>#VALUE!</v>
      </c>
      <c r="L674" t="str">
        <f>_xlfn.XLOOKUP(tbl_MTG_Set[[#This Row],[Type Name]], tbl_MTG_Set_Type[Set Type], tbl_MTG_Set_Type[Buy Window Month End], "(Set Type not found)", 0, 1)</f>
        <v>(Set Type not found)</v>
      </c>
      <c r="M674" s="3" t="e">
        <f>tbl_MTG_Set[[#This Row],[Released On]]+tbl_MTG_Set[[#This Row],[Buy Window Month End]]*365.25/12</f>
        <v>#VALUE!</v>
      </c>
      <c r="N674" s="3" t="e">
        <f ca="1">AND(NOW()&gt;=tbl_MTG_Set[[#This Row],[Buy Window Start]], NOW()&lt;=tbl_MTG_Set[[#This Row],[Buy Window End]])</f>
        <v>#VALUE!</v>
      </c>
      <c r="O674" t="str">
        <f>_xlfn.XLOOKUP(tbl_MTG_Set[[#This Row],[Type Name]], tbl_MTG_Set_Type[Set Type], tbl_MTG_Set_Type[Heavy Printing Window Month Start], "(Set Type not found)", 0, 1)</f>
        <v>(Set Type not found)</v>
      </c>
      <c r="P674" s="3" t="e">
        <f>tbl_MTG_Set[[#This Row],[Released On]]+tbl_MTG_Set[[#This Row],[Heavy Printing Window Month Start]]*365.25/12</f>
        <v>#VALUE!</v>
      </c>
      <c r="Q674" t="str">
        <f>_xlfn.XLOOKUP(tbl_MTG_Set[[#This Row],[Type Name]], tbl_MTG_Set_Type[Set Type], tbl_MTG_Set_Type[Heavy Printing Window Month End], "(Set Type not found)", 0, 1)</f>
        <v>(Set Type not found)</v>
      </c>
      <c r="R674" s="3" t="e">
        <f>tbl_MTG_Set[[#This Row],[Released On]]+tbl_MTG_Set[[#This Row],[Heavy Printing Window Month End]]*365.25/12</f>
        <v>#VALUE!</v>
      </c>
      <c r="S674" s="3" t="e">
        <f ca="1">AND(NOW()&gt;=tbl_MTG_Set[[#This Row],[Heavy Printing Window Start]], NOW()&lt;=tbl_MTG_Set[[#This Row],[Heavy Printing Window End]])</f>
        <v>#VALUE!</v>
      </c>
      <c r="T674" t="str">
        <f>_xlfn.XLOOKUP(tbl_MTG_Set[[#This Row],[Type Name]], tbl_MTG_Set_Type[Set Type], tbl_MTG_Set_Type[Sell Window Month Start], "(Set Type not found)", 0, 1)</f>
        <v>(Set Type not found)</v>
      </c>
      <c r="U674" s="3" t="e">
        <f>tbl_MTG_Set[[#This Row],[Released On]]+tbl_MTG_Set[[#This Row],[Sell Window Month Start]]*365.25/12</f>
        <v>#VALUE!</v>
      </c>
      <c r="V674" t="str">
        <f>_xlfn.XLOOKUP(tbl_MTG_Set[[#This Row],[Type Name]], tbl_MTG_Set_Type[Set Type], tbl_MTG_Set_Type[Sell Window Month End], "(Set Type not found)", 0, 1)</f>
        <v>(Set Type not found)</v>
      </c>
      <c r="W674" s="3" t="e">
        <f>tbl_MTG_Set[[#This Row],[Released On]]+tbl_MTG_Set[[#This Row],[Sell Window Month End]]*365.25/12</f>
        <v>#VALUE!</v>
      </c>
      <c r="X674" s="3" t="e">
        <f ca="1">AND(NOW()&gt;=tbl_MTG_Set[[#This Row],[Sell Window Start]], NOW()&lt;=tbl_MTG_Set[[#This Row],[Sell Window End]])</f>
        <v>#VALUE!</v>
      </c>
      <c r="AG674" s="10"/>
      <c r="AH674" s="10"/>
      <c r="AM674" s="10" t="str" cm="1">
        <f t="array" ref="AM6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4" s="10" t="str" cm="1">
        <f t="array" ref="AN6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4" s="4" t="e">
        <f>_xlfn.XLOOKUP(tbl_MTG_Set[[#This Row],[Play Booster Box Product Id]], tbl_Product[Product Id], tbl_Product[Pack Size])</f>
        <v>#N/A</v>
      </c>
      <c r="AP674" s="10" t="e">
        <f>(tbl_MTG_Set[[#This Row],[Play Booster Box Cost]]+v_Item_Shipping_Cost_In)/tbl_MTG_Set[[#This Row],[Play Booster Box Size]]</f>
        <v>#VALUE!</v>
      </c>
      <c r="AQ674" s="10" t="str" cm="1">
        <f t="array" ref="AQ6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4" s="10"/>
      <c r="AS674" s="10"/>
      <c r="AT674" s="17" t="e">
        <f>tbl_MTG_Set[[#This Row],[Play Booster CardMarket Profit]]/tbl_MTG_Set[[#This Row],[Play Booster Cost]]</f>
        <v>#VALUE!</v>
      </c>
      <c r="AU674" s="10" t="e">
        <f>_xlfn.XLOOKUP(tbl_MTG_Set[[#This Row],[Collector Booster Box Product Id]], tbl_Product[Product Id], tbl_Product[Min Cost])</f>
        <v>#N/A</v>
      </c>
      <c r="AV674" s="10" t="e">
        <f>_xlfn.XLOOKUP(tbl_MTG_Set[[#This Row],[Collector Booster Box Product Id]], tbl_Product[Product Id], tbl_Product[Best Source])</f>
        <v>#N/A</v>
      </c>
      <c r="AW674" s="4" t="e">
        <f>_xlfn.XLOOKUP(tbl_MTG_Set[[#This Row],[Collector Booster Box Product Id]], tbl_Product[Product Id], tbl_Product[Pack Size])</f>
        <v>#N/A</v>
      </c>
      <c r="AX674" s="10" t="e">
        <f>(tbl_MTG_Set[[#This Row],[Collector Booster Box Cost]] + v_Item_Shipping_Cost_In) / tbl_MTG_Set[[#This Row],[Collector Booster Box Size]]</f>
        <v>#N/A</v>
      </c>
      <c r="AY674" s="10" t="str" cm="1">
        <f t="array" ref="AY6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4" s="10"/>
      <c r="BA6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4" s="17" t="e">
        <f>tbl_MTG_Set[[#This Row],[Collector Booster CardMarket Profit]]/tbl_MTG_Set[[#This Row],[Collector Booster Cost]]</f>
        <v>#N/A</v>
      </c>
      <c r="BC674" s="10"/>
      <c r="BF6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4" s="11" t="e">
        <f>tbl_MTG_Set[[#This Row],[Play Singles CardMarket Profit MTG Stocks]]/tbl_MTG_Set[[#This Row],[Play Booster Cost]]</f>
        <v>#VALUE!</v>
      </c>
      <c r="BI674" s="11" t="b">
        <f>tbl_MTG_Set[[#This Row],[Play Singles CardMarket Profit MTG Stocks]]&gt;0</f>
        <v>0</v>
      </c>
      <c r="BM674" s="10" t="e">
        <f>tbl_MTG_Set[[#This Row],[Play Booster Sell Price CardMarket]]*tbl_MTG_Set[[#This Row],[Play Booster Expected Market Value BotBox]]/tbl_MTG_Set[[#This Row],[Play Booster Sealed Market Value BotBox]]</f>
        <v>#VALUE!</v>
      </c>
      <c r="BN6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4" s="10" t="e">
        <f>tbl_MTG_Set[[#This Row],[Play Singles CardMarket Profit BotBox]]/tbl_MTG_Set[[#This Row],[Play Booster Cost]]</f>
        <v>#VALUE!</v>
      </c>
      <c r="BP674" s="10" t="b">
        <f>tbl_MTG_Set[[#This Row],[Play Singles CardMarket Profit BotBox]]&gt;0</f>
        <v>0</v>
      </c>
      <c r="BQ674" s="10"/>
      <c r="BR674" s="10"/>
      <c r="BS674" s="10"/>
      <c r="BT6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4" s="19" t="e">
        <f>tbl_MTG_Set[[#This Row],[Collector Singles CardMarket Profit MTG Stocks]]/tbl_MTG_Set[[#This Row],[Collector Booster Cost]]</f>
        <v>#N/A</v>
      </c>
      <c r="BW674" s="10" t="b">
        <f>tbl_MTG_Set[[#This Row],[Collector Singles CardMarket Profit MTG Stocks]]&gt;0</f>
        <v>0</v>
      </c>
      <c r="BX674" s="10"/>
      <c r="BY674" s="10"/>
      <c r="BZ6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4" s="10" t="e">
        <f>tbl_MTG_Set[[#This Row],[Collector Singles CardMarket Profit BotBox]]/tbl_MTG_Set[[#This Row],[Collector Booster Cost]]</f>
        <v>#N/A</v>
      </c>
      <c r="CC674" s="10" t="b">
        <f>tbl_MTG_Set[[#This Row],[Collector Singles CardMarket Profit BotBox]]&gt;0</f>
        <v>0</v>
      </c>
      <c r="CD6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5" spans="1:86" hidden="1">
      <c r="A675">
        <v>707</v>
      </c>
      <c r="B675" t="s">
        <v>848</v>
      </c>
      <c r="C675">
        <v>5</v>
      </c>
      <c r="D675" s="3">
        <v>40936</v>
      </c>
      <c r="F675" t="s">
        <v>174</v>
      </c>
      <c r="G675">
        <v>1360</v>
      </c>
      <c r="H675">
        <f ca="1">MONTH(NOW())+12*YEAR(NOW())-MONTH(tbl_MTG_Set[[#This Row],[Released On]])-12*YEAR(tbl_MTG_Set[[#This Row],[Released On]])</f>
        <v>170</v>
      </c>
      <c r="I675" t="str">
        <f>_xlfn.XLOOKUP(tbl_MTG_Set[[#This Row],[Type Name]], tbl_MTG_Set_Type[Set Type], tbl_MTG_Set_Type[Index], "(Set Type not found)")</f>
        <v>(Set Type not found)</v>
      </c>
      <c r="J675" t="str">
        <f>_xlfn.XLOOKUP(tbl_MTG_Set[[#This Row],[Type Name]], tbl_MTG_Set_Type[Set Type], tbl_MTG_Set_Type[Buy Window Month Start], "(Set Type not found)")</f>
        <v>(Set Type not found)</v>
      </c>
      <c r="K675" s="3" t="e">
        <f>tbl_MTG_Set[[#This Row],[Released On]]+tbl_MTG_Set[[#This Row],[Buy Window Month Start]]*365.25/12</f>
        <v>#VALUE!</v>
      </c>
      <c r="L675" t="str">
        <f>_xlfn.XLOOKUP(tbl_MTG_Set[[#This Row],[Type Name]], tbl_MTG_Set_Type[Set Type], tbl_MTG_Set_Type[Buy Window Month End], "(Set Type not found)", 0, 1)</f>
        <v>(Set Type not found)</v>
      </c>
      <c r="M675" s="3" t="e">
        <f>tbl_MTG_Set[[#This Row],[Released On]]+tbl_MTG_Set[[#This Row],[Buy Window Month End]]*365.25/12</f>
        <v>#VALUE!</v>
      </c>
      <c r="N675" s="3" t="e">
        <f ca="1">AND(NOW()&gt;=tbl_MTG_Set[[#This Row],[Buy Window Start]], NOW()&lt;=tbl_MTG_Set[[#This Row],[Buy Window End]])</f>
        <v>#VALUE!</v>
      </c>
      <c r="O675" t="str">
        <f>_xlfn.XLOOKUP(tbl_MTG_Set[[#This Row],[Type Name]], tbl_MTG_Set_Type[Set Type], tbl_MTG_Set_Type[Heavy Printing Window Month Start], "(Set Type not found)", 0, 1)</f>
        <v>(Set Type not found)</v>
      </c>
      <c r="P675" s="3" t="e">
        <f>tbl_MTG_Set[[#This Row],[Released On]]+tbl_MTG_Set[[#This Row],[Heavy Printing Window Month Start]]*365.25/12</f>
        <v>#VALUE!</v>
      </c>
      <c r="Q675" t="str">
        <f>_xlfn.XLOOKUP(tbl_MTG_Set[[#This Row],[Type Name]], tbl_MTG_Set_Type[Set Type], tbl_MTG_Set_Type[Heavy Printing Window Month End], "(Set Type not found)", 0, 1)</f>
        <v>(Set Type not found)</v>
      </c>
      <c r="R675" s="3" t="e">
        <f>tbl_MTG_Set[[#This Row],[Released On]]+tbl_MTG_Set[[#This Row],[Heavy Printing Window Month End]]*365.25/12</f>
        <v>#VALUE!</v>
      </c>
      <c r="S675" s="3" t="e">
        <f ca="1">AND(NOW()&gt;=tbl_MTG_Set[[#This Row],[Heavy Printing Window Start]], NOW()&lt;=tbl_MTG_Set[[#This Row],[Heavy Printing Window End]])</f>
        <v>#VALUE!</v>
      </c>
      <c r="T675" t="str">
        <f>_xlfn.XLOOKUP(tbl_MTG_Set[[#This Row],[Type Name]], tbl_MTG_Set_Type[Set Type], tbl_MTG_Set_Type[Sell Window Month Start], "(Set Type not found)", 0, 1)</f>
        <v>(Set Type not found)</v>
      </c>
      <c r="U675" s="3" t="e">
        <f>tbl_MTG_Set[[#This Row],[Released On]]+tbl_MTG_Set[[#This Row],[Sell Window Month Start]]*365.25/12</f>
        <v>#VALUE!</v>
      </c>
      <c r="V675" t="str">
        <f>_xlfn.XLOOKUP(tbl_MTG_Set[[#This Row],[Type Name]], tbl_MTG_Set_Type[Set Type], tbl_MTG_Set_Type[Sell Window Month End], "(Set Type not found)", 0, 1)</f>
        <v>(Set Type not found)</v>
      </c>
      <c r="W675" s="3" t="e">
        <f>tbl_MTG_Set[[#This Row],[Released On]]+tbl_MTG_Set[[#This Row],[Sell Window Month End]]*365.25/12</f>
        <v>#VALUE!</v>
      </c>
      <c r="X675" s="3" t="e">
        <f ca="1">AND(NOW()&gt;=tbl_MTG_Set[[#This Row],[Sell Window Start]], NOW()&lt;=tbl_MTG_Set[[#This Row],[Sell Window End]])</f>
        <v>#VALUE!</v>
      </c>
      <c r="AG675" s="10"/>
      <c r="AH675" s="10"/>
      <c r="AM675" s="10" t="str" cm="1">
        <f t="array" ref="AM6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5" s="10" t="str" cm="1">
        <f t="array" ref="AN6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5" s="4" t="e">
        <f>_xlfn.XLOOKUP(tbl_MTG_Set[[#This Row],[Play Booster Box Product Id]], tbl_Product[Product Id], tbl_Product[Pack Size])</f>
        <v>#N/A</v>
      </c>
      <c r="AP675" s="10" t="e">
        <f>(tbl_MTG_Set[[#This Row],[Play Booster Box Cost]]+v_Item_Shipping_Cost_In)/tbl_MTG_Set[[#This Row],[Play Booster Box Size]]</f>
        <v>#VALUE!</v>
      </c>
      <c r="AQ675" s="10" t="str" cm="1">
        <f t="array" ref="AQ6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5" s="10"/>
      <c r="AS675" s="10"/>
      <c r="AT675" s="17" t="e">
        <f>tbl_MTG_Set[[#This Row],[Play Booster CardMarket Profit]]/tbl_MTG_Set[[#This Row],[Play Booster Cost]]</f>
        <v>#VALUE!</v>
      </c>
      <c r="AU675" s="10" t="e">
        <f>_xlfn.XLOOKUP(tbl_MTG_Set[[#This Row],[Collector Booster Box Product Id]], tbl_Product[Product Id], tbl_Product[Min Cost])</f>
        <v>#N/A</v>
      </c>
      <c r="AV675" s="10" t="e">
        <f>_xlfn.XLOOKUP(tbl_MTG_Set[[#This Row],[Collector Booster Box Product Id]], tbl_Product[Product Id], tbl_Product[Best Source])</f>
        <v>#N/A</v>
      </c>
      <c r="AW675" s="4" t="e">
        <f>_xlfn.XLOOKUP(tbl_MTG_Set[[#This Row],[Collector Booster Box Product Id]], tbl_Product[Product Id], tbl_Product[Pack Size])</f>
        <v>#N/A</v>
      </c>
      <c r="AX675" s="10" t="e">
        <f>(tbl_MTG_Set[[#This Row],[Collector Booster Box Cost]] + v_Item_Shipping_Cost_In) / tbl_MTG_Set[[#This Row],[Collector Booster Box Size]]</f>
        <v>#N/A</v>
      </c>
      <c r="AY675" s="10" t="str" cm="1">
        <f t="array" ref="AY6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5" s="10"/>
      <c r="BA6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5" s="17" t="e">
        <f>tbl_MTG_Set[[#This Row],[Collector Booster CardMarket Profit]]/tbl_MTG_Set[[#This Row],[Collector Booster Cost]]</f>
        <v>#N/A</v>
      </c>
      <c r="BC675" s="10"/>
      <c r="BF6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5" s="11" t="e">
        <f>tbl_MTG_Set[[#This Row],[Play Singles CardMarket Profit MTG Stocks]]/tbl_MTG_Set[[#This Row],[Play Booster Cost]]</f>
        <v>#VALUE!</v>
      </c>
      <c r="BI675" s="11" t="b">
        <f>tbl_MTG_Set[[#This Row],[Play Singles CardMarket Profit MTG Stocks]]&gt;0</f>
        <v>0</v>
      </c>
      <c r="BM675" s="10" t="e">
        <f>tbl_MTG_Set[[#This Row],[Play Booster Sell Price CardMarket]]*tbl_MTG_Set[[#This Row],[Play Booster Expected Market Value BotBox]]/tbl_MTG_Set[[#This Row],[Play Booster Sealed Market Value BotBox]]</f>
        <v>#VALUE!</v>
      </c>
      <c r="BN6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5" s="10" t="e">
        <f>tbl_MTG_Set[[#This Row],[Play Singles CardMarket Profit BotBox]]/tbl_MTG_Set[[#This Row],[Play Booster Cost]]</f>
        <v>#VALUE!</v>
      </c>
      <c r="BP675" s="10" t="b">
        <f>tbl_MTG_Set[[#This Row],[Play Singles CardMarket Profit BotBox]]&gt;0</f>
        <v>0</v>
      </c>
      <c r="BQ675" s="10"/>
      <c r="BR675" s="10"/>
      <c r="BS675" s="10"/>
      <c r="BT6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5" s="19" t="e">
        <f>tbl_MTG_Set[[#This Row],[Collector Singles CardMarket Profit MTG Stocks]]/tbl_MTG_Set[[#This Row],[Collector Booster Cost]]</f>
        <v>#N/A</v>
      </c>
      <c r="BW675" s="10" t="b">
        <f>tbl_MTG_Set[[#This Row],[Collector Singles CardMarket Profit MTG Stocks]]&gt;0</f>
        <v>0</v>
      </c>
      <c r="BX675" s="10"/>
      <c r="BY675" s="10"/>
      <c r="BZ6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5" s="10" t="e">
        <f>tbl_MTG_Set[[#This Row],[Collector Singles CardMarket Profit BotBox]]/tbl_MTG_Set[[#This Row],[Collector Booster Cost]]</f>
        <v>#N/A</v>
      </c>
      <c r="CC675" s="10" t="b">
        <f>tbl_MTG_Set[[#This Row],[Collector Singles CardMarket Profit BotBox]]&gt;0</f>
        <v>0</v>
      </c>
      <c r="CD6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6" spans="1:86" hidden="1">
      <c r="A676">
        <v>708</v>
      </c>
      <c r="B676" t="s">
        <v>849</v>
      </c>
      <c r="C676">
        <v>4</v>
      </c>
      <c r="D676" s="3">
        <v>40942</v>
      </c>
      <c r="F676" t="s">
        <v>174</v>
      </c>
      <c r="G676">
        <v>1362</v>
      </c>
      <c r="H676">
        <f ca="1">MONTH(NOW())+12*YEAR(NOW())-MONTH(tbl_MTG_Set[[#This Row],[Released On]])-12*YEAR(tbl_MTG_Set[[#This Row],[Released On]])</f>
        <v>169</v>
      </c>
      <c r="I676" t="str">
        <f>_xlfn.XLOOKUP(tbl_MTG_Set[[#This Row],[Type Name]], tbl_MTG_Set_Type[Set Type], tbl_MTG_Set_Type[Index], "(Set Type not found)")</f>
        <v>(Set Type not found)</v>
      </c>
      <c r="J676" t="str">
        <f>_xlfn.XLOOKUP(tbl_MTG_Set[[#This Row],[Type Name]], tbl_MTG_Set_Type[Set Type], tbl_MTG_Set_Type[Buy Window Month Start], "(Set Type not found)")</f>
        <v>(Set Type not found)</v>
      </c>
      <c r="K676" s="3" t="e">
        <f>tbl_MTG_Set[[#This Row],[Released On]]+tbl_MTG_Set[[#This Row],[Buy Window Month Start]]*365.25/12</f>
        <v>#VALUE!</v>
      </c>
      <c r="L676" t="str">
        <f>_xlfn.XLOOKUP(tbl_MTG_Set[[#This Row],[Type Name]], tbl_MTG_Set_Type[Set Type], tbl_MTG_Set_Type[Buy Window Month End], "(Set Type not found)", 0, 1)</f>
        <v>(Set Type not found)</v>
      </c>
      <c r="M676" s="3" t="e">
        <f>tbl_MTG_Set[[#This Row],[Released On]]+tbl_MTG_Set[[#This Row],[Buy Window Month End]]*365.25/12</f>
        <v>#VALUE!</v>
      </c>
      <c r="N676" s="3" t="e">
        <f ca="1">AND(NOW()&gt;=tbl_MTG_Set[[#This Row],[Buy Window Start]], NOW()&lt;=tbl_MTG_Set[[#This Row],[Buy Window End]])</f>
        <v>#VALUE!</v>
      </c>
      <c r="O676" t="str">
        <f>_xlfn.XLOOKUP(tbl_MTG_Set[[#This Row],[Type Name]], tbl_MTG_Set_Type[Set Type], tbl_MTG_Set_Type[Heavy Printing Window Month Start], "(Set Type not found)", 0, 1)</f>
        <v>(Set Type not found)</v>
      </c>
      <c r="P676" s="3" t="e">
        <f>tbl_MTG_Set[[#This Row],[Released On]]+tbl_MTG_Set[[#This Row],[Heavy Printing Window Month Start]]*365.25/12</f>
        <v>#VALUE!</v>
      </c>
      <c r="Q676" t="str">
        <f>_xlfn.XLOOKUP(tbl_MTG_Set[[#This Row],[Type Name]], tbl_MTG_Set_Type[Set Type], tbl_MTG_Set_Type[Heavy Printing Window Month End], "(Set Type not found)", 0, 1)</f>
        <v>(Set Type not found)</v>
      </c>
      <c r="R676" s="3" t="e">
        <f>tbl_MTG_Set[[#This Row],[Released On]]+tbl_MTG_Set[[#This Row],[Heavy Printing Window Month End]]*365.25/12</f>
        <v>#VALUE!</v>
      </c>
      <c r="S676" s="3" t="e">
        <f ca="1">AND(NOW()&gt;=tbl_MTG_Set[[#This Row],[Heavy Printing Window Start]], NOW()&lt;=tbl_MTG_Set[[#This Row],[Heavy Printing Window End]])</f>
        <v>#VALUE!</v>
      </c>
      <c r="T676" t="str">
        <f>_xlfn.XLOOKUP(tbl_MTG_Set[[#This Row],[Type Name]], tbl_MTG_Set_Type[Set Type], tbl_MTG_Set_Type[Sell Window Month Start], "(Set Type not found)", 0, 1)</f>
        <v>(Set Type not found)</v>
      </c>
      <c r="U676" s="3" t="e">
        <f>tbl_MTG_Set[[#This Row],[Released On]]+tbl_MTG_Set[[#This Row],[Sell Window Month Start]]*365.25/12</f>
        <v>#VALUE!</v>
      </c>
      <c r="V676" t="str">
        <f>_xlfn.XLOOKUP(tbl_MTG_Set[[#This Row],[Type Name]], tbl_MTG_Set_Type[Set Type], tbl_MTG_Set_Type[Sell Window Month End], "(Set Type not found)", 0, 1)</f>
        <v>(Set Type not found)</v>
      </c>
      <c r="W676" s="3" t="e">
        <f>tbl_MTG_Set[[#This Row],[Released On]]+tbl_MTG_Set[[#This Row],[Sell Window Month End]]*365.25/12</f>
        <v>#VALUE!</v>
      </c>
      <c r="X676" s="3" t="e">
        <f ca="1">AND(NOW()&gt;=tbl_MTG_Set[[#This Row],[Sell Window Start]], NOW()&lt;=tbl_MTG_Set[[#This Row],[Sell Window End]])</f>
        <v>#VALUE!</v>
      </c>
      <c r="AG676" s="10"/>
      <c r="AH676" s="10"/>
      <c r="AM676" s="10" t="str" cm="1">
        <f t="array" ref="AM6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6" s="10" t="str" cm="1">
        <f t="array" ref="AN6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6" s="4" t="e">
        <f>_xlfn.XLOOKUP(tbl_MTG_Set[[#This Row],[Play Booster Box Product Id]], tbl_Product[Product Id], tbl_Product[Pack Size])</f>
        <v>#N/A</v>
      </c>
      <c r="AP676" s="10" t="e">
        <f>(tbl_MTG_Set[[#This Row],[Play Booster Box Cost]]+v_Item_Shipping_Cost_In)/tbl_MTG_Set[[#This Row],[Play Booster Box Size]]</f>
        <v>#VALUE!</v>
      </c>
      <c r="AQ676" s="10" t="str" cm="1">
        <f t="array" ref="AQ6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6" s="10"/>
      <c r="AS676" s="10"/>
      <c r="AT676" s="17" t="e">
        <f>tbl_MTG_Set[[#This Row],[Play Booster CardMarket Profit]]/tbl_MTG_Set[[#This Row],[Play Booster Cost]]</f>
        <v>#VALUE!</v>
      </c>
      <c r="AU676" s="10" t="e">
        <f>_xlfn.XLOOKUP(tbl_MTG_Set[[#This Row],[Collector Booster Box Product Id]], tbl_Product[Product Id], tbl_Product[Min Cost])</f>
        <v>#N/A</v>
      </c>
      <c r="AV676" s="10" t="e">
        <f>_xlfn.XLOOKUP(tbl_MTG_Set[[#This Row],[Collector Booster Box Product Id]], tbl_Product[Product Id], tbl_Product[Best Source])</f>
        <v>#N/A</v>
      </c>
      <c r="AW676" s="4" t="e">
        <f>_xlfn.XLOOKUP(tbl_MTG_Set[[#This Row],[Collector Booster Box Product Id]], tbl_Product[Product Id], tbl_Product[Pack Size])</f>
        <v>#N/A</v>
      </c>
      <c r="AX676" s="10" t="e">
        <f>(tbl_MTG_Set[[#This Row],[Collector Booster Box Cost]] + v_Item_Shipping_Cost_In) / tbl_MTG_Set[[#This Row],[Collector Booster Box Size]]</f>
        <v>#N/A</v>
      </c>
      <c r="AY676" s="10" t="str" cm="1">
        <f t="array" ref="AY6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6" s="10"/>
      <c r="BA6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6" s="17" t="e">
        <f>tbl_MTG_Set[[#This Row],[Collector Booster CardMarket Profit]]/tbl_MTG_Set[[#This Row],[Collector Booster Cost]]</f>
        <v>#N/A</v>
      </c>
      <c r="BC676" s="10"/>
      <c r="BF6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6" s="11" t="e">
        <f>tbl_MTG_Set[[#This Row],[Play Singles CardMarket Profit MTG Stocks]]/tbl_MTG_Set[[#This Row],[Play Booster Cost]]</f>
        <v>#VALUE!</v>
      </c>
      <c r="BI676" s="11" t="b">
        <f>tbl_MTG_Set[[#This Row],[Play Singles CardMarket Profit MTG Stocks]]&gt;0</f>
        <v>0</v>
      </c>
      <c r="BM676" s="10" t="e">
        <f>tbl_MTG_Set[[#This Row],[Play Booster Sell Price CardMarket]]*tbl_MTG_Set[[#This Row],[Play Booster Expected Market Value BotBox]]/tbl_MTG_Set[[#This Row],[Play Booster Sealed Market Value BotBox]]</f>
        <v>#VALUE!</v>
      </c>
      <c r="BN6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6" s="10" t="e">
        <f>tbl_MTG_Set[[#This Row],[Play Singles CardMarket Profit BotBox]]/tbl_MTG_Set[[#This Row],[Play Booster Cost]]</f>
        <v>#VALUE!</v>
      </c>
      <c r="BP676" s="10" t="b">
        <f>tbl_MTG_Set[[#This Row],[Play Singles CardMarket Profit BotBox]]&gt;0</f>
        <v>0</v>
      </c>
      <c r="BQ676" s="10"/>
      <c r="BR676" s="10"/>
      <c r="BS676" s="10"/>
      <c r="BT6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6" s="19" t="e">
        <f>tbl_MTG_Set[[#This Row],[Collector Singles CardMarket Profit MTG Stocks]]/tbl_MTG_Set[[#This Row],[Collector Booster Cost]]</f>
        <v>#N/A</v>
      </c>
      <c r="BW676" s="10" t="b">
        <f>tbl_MTG_Set[[#This Row],[Collector Singles CardMarket Profit MTG Stocks]]&gt;0</f>
        <v>0</v>
      </c>
      <c r="BX676" s="10"/>
      <c r="BY676" s="10"/>
      <c r="BZ6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6" s="10" t="e">
        <f>tbl_MTG_Set[[#This Row],[Collector Singles CardMarket Profit BotBox]]/tbl_MTG_Set[[#This Row],[Collector Booster Cost]]</f>
        <v>#N/A</v>
      </c>
      <c r="CC676" s="10" t="b">
        <f>tbl_MTG_Set[[#This Row],[Collector Singles CardMarket Profit BotBox]]&gt;0</f>
        <v>0</v>
      </c>
      <c r="CD6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7" spans="1:86" hidden="1">
      <c r="A677">
        <v>709</v>
      </c>
      <c r="B677" t="s">
        <v>850</v>
      </c>
      <c r="C677">
        <v>3</v>
      </c>
      <c r="D677" s="3">
        <v>40909</v>
      </c>
      <c r="F677" t="s">
        <v>174</v>
      </c>
      <c r="G677">
        <v>1364</v>
      </c>
      <c r="H677">
        <f ca="1">MONTH(NOW())+12*YEAR(NOW())-MONTH(tbl_MTG_Set[[#This Row],[Released On]])-12*YEAR(tbl_MTG_Set[[#This Row],[Released On]])</f>
        <v>170</v>
      </c>
      <c r="I677" t="str">
        <f>_xlfn.XLOOKUP(tbl_MTG_Set[[#This Row],[Type Name]], tbl_MTG_Set_Type[Set Type], tbl_MTG_Set_Type[Index], "(Set Type not found)")</f>
        <v>(Set Type not found)</v>
      </c>
      <c r="J677" t="str">
        <f>_xlfn.XLOOKUP(tbl_MTG_Set[[#This Row],[Type Name]], tbl_MTG_Set_Type[Set Type], tbl_MTG_Set_Type[Buy Window Month Start], "(Set Type not found)")</f>
        <v>(Set Type not found)</v>
      </c>
      <c r="K677" s="3" t="e">
        <f>tbl_MTG_Set[[#This Row],[Released On]]+tbl_MTG_Set[[#This Row],[Buy Window Month Start]]*365.25/12</f>
        <v>#VALUE!</v>
      </c>
      <c r="L677" t="str">
        <f>_xlfn.XLOOKUP(tbl_MTG_Set[[#This Row],[Type Name]], tbl_MTG_Set_Type[Set Type], tbl_MTG_Set_Type[Buy Window Month End], "(Set Type not found)", 0, 1)</f>
        <v>(Set Type not found)</v>
      </c>
      <c r="M677" s="3" t="e">
        <f>tbl_MTG_Set[[#This Row],[Released On]]+tbl_MTG_Set[[#This Row],[Buy Window Month End]]*365.25/12</f>
        <v>#VALUE!</v>
      </c>
      <c r="N677" s="3" t="e">
        <f ca="1">AND(NOW()&gt;=tbl_MTG_Set[[#This Row],[Buy Window Start]], NOW()&lt;=tbl_MTG_Set[[#This Row],[Buy Window End]])</f>
        <v>#VALUE!</v>
      </c>
      <c r="O677" t="str">
        <f>_xlfn.XLOOKUP(tbl_MTG_Set[[#This Row],[Type Name]], tbl_MTG_Set_Type[Set Type], tbl_MTG_Set_Type[Heavy Printing Window Month Start], "(Set Type not found)", 0, 1)</f>
        <v>(Set Type not found)</v>
      </c>
      <c r="P677" s="3" t="e">
        <f>tbl_MTG_Set[[#This Row],[Released On]]+tbl_MTG_Set[[#This Row],[Heavy Printing Window Month Start]]*365.25/12</f>
        <v>#VALUE!</v>
      </c>
      <c r="Q677" t="str">
        <f>_xlfn.XLOOKUP(tbl_MTG_Set[[#This Row],[Type Name]], tbl_MTG_Set_Type[Set Type], tbl_MTG_Set_Type[Heavy Printing Window Month End], "(Set Type not found)", 0, 1)</f>
        <v>(Set Type not found)</v>
      </c>
      <c r="R677" s="3" t="e">
        <f>tbl_MTG_Set[[#This Row],[Released On]]+tbl_MTG_Set[[#This Row],[Heavy Printing Window Month End]]*365.25/12</f>
        <v>#VALUE!</v>
      </c>
      <c r="S677" s="3" t="e">
        <f ca="1">AND(NOW()&gt;=tbl_MTG_Set[[#This Row],[Heavy Printing Window Start]], NOW()&lt;=tbl_MTG_Set[[#This Row],[Heavy Printing Window End]])</f>
        <v>#VALUE!</v>
      </c>
      <c r="T677" t="str">
        <f>_xlfn.XLOOKUP(tbl_MTG_Set[[#This Row],[Type Name]], tbl_MTG_Set_Type[Set Type], tbl_MTG_Set_Type[Sell Window Month Start], "(Set Type not found)", 0, 1)</f>
        <v>(Set Type not found)</v>
      </c>
      <c r="U677" s="3" t="e">
        <f>tbl_MTG_Set[[#This Row],[Released On]]+tbl_MTG_Set[[#This Row],[Sell Window Month Start]]*365.25/12</f>
        <v>#VALUE!</v>
      </c>
      <c r="V677" t="str">
        <f>_xlfn.XLOOKUP(tbl_MTG_Set[[#This Row],[Type Name]], tbl_MTG_Set_Type[Set Type], tbl_MTG_Set_Type[Sell Window Month End], "(Set Type not found)", 0, 1)</f>
        <v>(Set Type not found)</v>
      </c>
      <c r="W677" s="3" t="e">
        <f>tbl_MTG_Set[[#This Row],[Released On]]+tbl_MTG_Set[[#This Row],[Sell Window Month End]]*365.25/12</f>
        <v>#VALUE!</v>
      </c>
      <c r="X677" s="3" t="e">
        <f ca="1">AND(NOW()&gt;=tbl_MTG_Set[[#This Row],[Sell Window Start]], NOW()&lt;=tbl_MTG_Set[[#This Row],[Sell Window End]])</f>
        <v>#VALUE!</v>
      </c>
      <c r="AG677" s="10"/>
      <c r="AH677" s="10"/>
      <c r="AM677" s="10" t="str" cm="1">
        <f t="array" ref="AM6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7" s="10" t="str" cm="1">
        <f t="array" ref="AN6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7" s="4" t="e">
        <f>_xlfn.XLOOKUP(tbl_MTG_Set[[#This Row],[Play Booster Box Product Id]], tbl_Product[Product Id], tbl_Product[Pack Size])</f>
        <v>#N/A</v>
      </c>
      <c r="AP677" s="10" t="e">
        <f>(tbl_MTG_Set[[#This Row],[Play Booster Box Cost]]+v_Item_Shipping_Cost_In)/tbl_MTG_Set[[#This Row],[Play Booster Box Size]]</f>
        <v>#VALUE!</v>
      </c>
      <c r="AQ677" s="10" t="str" cm="1">
        <f t="array" ref="AQ6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7" s="10"/>
      <c r="AS677" s="10"/>
      <c r="AT677" s="17" t="e">
        <f>tbl_MTG_Set[[#This Row],[Play Booster CardMarket Profit]]/tbl_MTG_Set[[#This Row],[Play Booster Cost]]</f>
        <v>#VALUE!</v>
      </c>
      <c r="AU677" s="10" t="e">
        <f>_xlfn.XLOOKUP(tbl_MTG_Set[[#This Row],[Collector Booster Box Product Id]], tbl_Product[Product Id], tbl_Product[Min Cost])</f>
        <v>#N/A</v>
      </c>
      <c r="AV677" s="10" t="e">
        <f>_xlfn.XLOOKUP(tbl_MTG_Set[[#This Row],[Collector Booster Box Product Id]], tbl_Product[Product Id], tbl_Product[Best Source])</f>
        <v>#N/A</v>
      </c>
      <c r="AW677" s="4" t="e">
        <f>_xlfn.XLOOKUP(tbl_MTG_Set[[#This Row],[Collector Booster Box Product Id]], tbl_Product[Product Id], tbl_Product[Pack Size])</f>
        <v>#N/A</v>
      </c>
      <c r="AX677" s="10" t="e">
        <f>(tbl_MTG_Set[[#This Row],[Collector Booster Box Cost]] + v_Item_Shipping_Cost_In) / tbl_MTG_Set[[#This Row],[Collector Booster Box Size]]</f>
        <v>#N/A</v>
      </c>
      <c r="AY677" s="10" t="str" cm="1">
        <f t="array" ref="AY6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7" s="10"/>
      <c r="BA6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7" s="17" t="e">
        <f>tbl_MTG_Set[[#This Row],[Collector Booster CardMarket Profit]]/tbl_MTG_Set[[#This Row],[Collector Booster Cost]]</f>
        <v>#N/A</v>
      </c>
      <c r="BC677" s="10"/>
      <c r="BF6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7" s="11" t="e">
        <f>tbl_MTG_Set[[#This Row],[Play Singles CardMarket Profit MTG Stocks]]/tbl_MTG_Set[[#This Row],[Play Booster Cost]]</f>
        <v>#VALUE!</v>
      </c>
      <c r="BI677" s="11" t="b">
        <f>tbl_MTG_Set[[#This Row],[Play Singles CardMarket Profit MTG Stocks]]&gt;0</f>
        <v>0</v>
      </c>
      <c r="BM677" s="10" t="e">
        <f>tbl_MTG_Set[[#This Row],[Play Booster Sell Price CardMarket]]*tbl_MTG_Set[[#This Row],[Play Booster Expected Market Value BotBox]]/tbl_MTG_Set[[#This Row],[Play Booster Sealed Market Value BotBox]]</f>
        <v>#VALUE!</v>
      </c>
      <c r="BN6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7" s="10" t="e">
        <f>tbl_MTG_Set[[#This Row],[Play Singles CardMarket Profit BotBox]]/tbl_MTG_Set[[#This Row],[Play Booster Cost]]</f>
        <v>#VALUE!</v>
      </c>
      <c r="BP677" s="10" t="b">
        <f>tbl_MTG_Set[[#This Row],[Play Singles CardMarket Profit BotBox]]&gt;0</f>
        <v>0</v>
      </c>
      <c r="BQ677" s="10"/>
      <c r="BR677" s="10"/>
      <c r="BS677" s="10"/>
      <c r="BT6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7" s="19" t="e">
        <f>tbl_MTG_Set[[#This Row],[Collector Singles CardMarket Profit MTG Stocks]]/tbl_MTG_Set[[#This Row],[Collector Booster Cost]]</f>
        <v>#N/A</v>
      </c>
      <c r="BW677" s="10" t="b">
        <f>tbl_MTG_Set[[#This Row],[Collector Singles CardMarket Profit MTG Stocks]]&gt;0</f>
        <v>0</v>
      </c>
      <c r="BX677" s="10"/>
      <c r="BY677" s="10"/>
      <c r="BZ6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7" s="10" t="e">
        <f>tbl_MTG_Set[[#This Row],[Collector Singles CardMarket Profit BotBox]]/tbl_MTG_Set[[#This Row],[Collector Booster Cost]]</f>
        <v>#N/A</v>
      </c>
      <c r="CC677" s="10" t="b">
        <f>tbl_MTG_Set[[#This Row],[Collector Singles CardMarket Profit BotBox]]&gt;0</f>
        <v>0</v>
      </c>
      <c r="CD6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8" spans="1:86" hidden="1">
      <c r="A678">
        <v>710</v>
      </c>
      <c r="B678" t="s">
        <v>851</v>
      </c>
      <c r="C678">
        <v>3</v>
      </c>
      <c r="D678" s="3">
        <v>40909</v>
      </c>
      <c r="F678" t="s">
        <v>174</v>
      </c>
      <c r="G678">
        <v>1366</v>
      </c>
      <c r="H678">
        <f ca="1">MONTH(NOW())+12*YEAR(NOW())-MONTH(tbl_MTG_Set[[#This Row],[Released On]])-12*YEAR(tbl_MTG_Set[[#This Row],[Released On]])</f>
        <v>170</v>
      </c>
      <c r="I678" t="str">
        <f>_xlfn.XLOOKUP(tbl_MTG_Set[[#This Row],[Type Name]], tbl_MTG_Set_Type[Set Type], tbl_MTG_Set_Type[Index], "(Set Type not found)")</f>
        <v>(Set Type not found)</v>
      </c>
      <c r="J678" t="str">
        <f>_xlfn.XLOOKUP(tbl_MTG_Set[[#This Row],[Type Name]], tbl_MTG_Set_Type[Set Type], tbl_MTG_Set_Type[Buy Window Month Start], "(Set Type not found)")</f>
        <v>(Set Type not found)</v>
      </c>
      <c r="K678" s="3" t="e">
        <f>tbl_MTG_Set[[#This Row],[Released On]]+tbl_MTG_Set[[#This Row],[Buy Window Month Start]]*365.25/12</f>
        <v>#VALUE!</v>
      </c>
      <c r="L678" t="str">
        <f>_xlfn.XLOOKUP(tbl_MTG_Set[[#This Row],[Type Name]], tbl_MTG_Set_Type[Set Type], tbl_MTG_Set_Type[Buy Window Month End], "(Set Type not found)", 0, 1)</f>
        <v>(Set Type not found)</v>
      </c>
      <c r="M678" s="3" t="e">
        <f>tbl_MTG_Set[[#This Row],[Released On]]+tbl_MTG_Set[[#This Row],[Buy Window Month End]]*365.25/12</f>
        <v>#VALUE!</v>
      </c>
      <c r="N678" s="3" t="e">
        <f ca="1">AND(NOW()&gt;=tbl_MTG_Set[[#This Row],[Buy Window Start]], NOW()&lt;=tbl_MTG_Set[[#This Row],[Buy Window End]])</f>
        <v>#VALUE!</v>
      </c>
      <c r="O678" t="str">
        <f>_xlfn.XLOOKUP(tbl_MTG_Set[[#This Row],[Type Name]], tbl_MTG_Set_Type[Set Type], tbl_MTG_Set_Type[Heavy Printing Window Month Start], "(Set Type not found)", 0, 1)</f>
        <v>(Set Type not found)</v>
      </c>
      <c r="P678" s="3" t="e">
        <f>tbl_MTG_Set[[#This Row],[Released On]]+tbl_MTG_Set[[#This Row],[Heavy Printing Window Month Start]]*365.25/12</f>
        <v>#VALUE!</v>
      </c>
      <c r="Q678" t="str">
        <f>_xlfn.XLOOKUP(tbl_MTG_Set[[#This Row],[Type Name]], tbl_MTG_Set_Type[Set Type], tbl_MTG_Set_Type[Heavy Printing Window Month End], "(Set Type not found)", 0, 1)</f>
        <v>(Set Type not found)</v>
      </c>
      <c r="R678" s="3" t="e">
        <f>tbl_MTG_Set[[#This Row],[Released On]]+tbl_MTG_Set[[#This Row],[Heavy Printing Window Month End]]*365.25/12</f>
        <v>#VALUE!</v>
      </c>
      <c r="S678" s="3" t="e">
        <f ca="1">AND(NOW()&gt;=tbl_MTG_Set[[#This Row],[Heavy Printing Window Start]], NOW()&lt;=tbl_MTG_Set[[#This Row],[Heavy Printing Window End]])</f>
        <v>#VALUE!</v>
      </c>
      <c r="T678" t="str">
        <f>_xlfn.XLOOKUP(tbl_MTG_Set[[#This Row],[Type Name]], tbl_MTG_Set_Type[Set Type], tbl_MTG_Set_Type[Sell Window Month Start], "(Set Type not found)", 0, 1)</f>
        <v>(Set Type not found)</v>
      </c>
      <c r="U678" s="3" t="e">
        <f>tbl_MTG_Set[[#This Row],[Released On]]+tbl_MTG_Set[[#This Row],[Sell Window Month Start]]*365.25/12</f>
        <v>#VALUE!</v>
      </c>
      <c r="V678" t="str">
        <f>_xlfn.XLOOKUP(tbl_MTG_Set[[#This Row],[Type Name]], tbl_MTG_Set_Type[Set Type], tbl_MTG_Set_Type[Sell Window Month End], "(Set Type not found)", 0, 1)</f>
        <v>(Set Type not found)</v>
      </c>
      <c r="W678" s="3" t="e">
        <f>tbl_MTG_Set[[#This Row],[Released On]]+tbl_MTG_Set[[#This Row],[Sell Window Month End]]*365.25/12</f>
        <v>#VALUE!</v>
      </c>
      <c r="X678" s="3" t="e">
        <f ca="1">AND(NOW()&gt;=tbl_MTG_Set[[#This Row],[Sell Window Start]], NOW()&lt;=tbl_MTG_Set[[#This Row],[Sell Window End]])</f>
        <v>#VALUE!</v>
      </c>
      <c r="AG678" s="10"/>
      <c r="AH678" s="10"/>
      <c r="AM678" s="10" t="str" cm="1">
        <f t="array" ref="AM6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8" s="10" t="str" cm="1">
        <f t="array" ref="AN6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8" s="4" t="e">
        <f>_xlfn.XLOOKUP(tbl_MTG_Set[[#This Row],[Play Booster Box Product Id]], tbl_Product[Product Id], tbl_Product[Pack Size])</f>
        <v>#N/A</v>
      </c>
      <c r="AP678" s="10" t="e">
        <f>(tbl_MTG_Set[[#This Row],[Play Booster Box Cost]]+v_Item_Shipping_Cost_In)/tbl_MTG_Set[[#This Row],[Play Booster Box Size]]</f>
        <v>#VALUE!</v>
      </c>
      <c r="AQ678" s="10" t="str" cm="1">
        <f t="array" ref="AQ6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8" s="10"/>
      <c r="AS678" s="10"/>
      <c r="AT678" s="17" t="e">
        <f>tbl_MTG_Set[[#This Row],[Play Booster CardMarket Profit]]/tbl_MTG_Set[[#This Row],[Play Booster Cost]]</f>
        <v>#VALUE!</v>
      </c>
      <c r="AU678" s="10" t="e">
        <f>_xlfn.XLOOKUP(tbl_MTG_Set[[#This Row],[Collector Booster Box Product Id]], tbl_Product[Product Id], tbl_Product[Min Cost])</f>
        <v>#N/A</v>
      </c>
      <c r="AV678" s="10" t="e">
        <f>_xlfn.XLOOKUP(tbl_MTG_Set[[#This Row],[Collector Booster Box Product Id]], tbl_Product[Product Id], tbl_Product[Best Source])</f>
        <v>#N/A</v>
      </c>
      <c r="AW678" s="4" t="e">
        <f>_xlfn.XLOOKUP(tbl_MTG_Set[[#This Row],[Collector Booster Box Product Id]], tbl_Product[Product Id], tbl_Product[Pack Size])</f>
        <v>#N/A</v>
      </c>
      <c r="AX678" s="10" t="e">
        <f>(tbl_MTG_Set[[#This Row],[Collector Booster Box Cost]] + v_Item_Shipping_Cost_In) / tbl_MTG_Set[[#This Row],[Collector Booster Box Size]]</f>
        <v>#N/A</v>
      </c>
      <c r="AY678" s="10" t="str" cm="1">
        <f t="array" ref="AY6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8" s="10"/>
      <c r="BA6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8" s="17" t="e">
        <f>tbl_MTG_Set[[#This Row],[Collector Booster CardMarket Profit]]/tbl_MTG_Set[[#This Row],[Collector Booster Cost]]</f>
        <v>#N/A</v>
      </c>
      <c r="BC678" s="10"/>
      <c r="BF6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8" s="11" t="e">
        <f>tbl_MTG_Set[[#This Row],[Play Singles CardMarket Profit MTG Stocks]]/tbl_MTG_Set[[#This Row],[Play Booster Cost]]</f>
        <v>#VALUE!</v>
      </c>
      <c r="BI678" s="11" t="b">
        <f>tbl_MTG_Set[[#This Row],[Play Singles CardMarket Profit MTG Stocks]]&gt;0</f>
        <v>0</v>
      </c>
      <c r="BM678" s="10" t="e">
        <f>tbl_MTG_Set[[#This Row],[Play Booster Sell Price CardMarket]]*tbl_MTG_Set[[#This Row],[Play Booster Expected Market Value BotBox]]/tbl_MTG_Set[[#This Row],[Play Booster Sealed Market Value BotBox]]</f>
        <v>#VALUE!</v>
      </c>
      <c r="BN6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8" s="10" t="e">
        <f>tbl_MTG_Set[[#This Row],[Play Singles CardMarket Profit BotBox]]/tbl_MTG_Set[[#This Row],[Play Booster Cost]]</f>
        <v>#VALUE!</v>
      </c>
      <c r="BP678" s="10" t="b">
        <f>tbl_MTG_Set[[#This Row],[Play Singles CardMarket Profit BotBox]]&gt;0</f>
        <v>0</v>
      </c>
      <c r="BQ678" s="10"/>
      <c r="BR678" s="10"/>
      <c r="BS678" s="10"/>
      <c r="BT6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8" s="19" t="e">
        <f>tbl_MTG_Set[[#This Row],[Collector Singles CardMarket Profit MTG Stocks]]/tbl_MTG_Set[[#This Row],[Collector Booster Cost]]</f>
        <v>#N/A</v>
      </c>
      <c r="BW678" s="10" t="b">
        <f>tbl_MTG_Set[[#This Row],[Collector Singles CardMarket Profit MTG Stocks]]&gt;0</f>
        <v>0</v>
      </c>
      <c r="BX678" s="10"/>
      <c r="BY678" s="10"/>
      <c r="BZ6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8" s="10" t="e">
        <f>tbl_MTG_Set[[#This Row],[Collector Singles CardMarket Profit BotBox]]/tbl_MTG_Set[[#This Row],[Collector Booster Cost]]</f>
        <v>#N/A</v>
      </c>
      <c r="CC678" s="10" t="b">
        <f>tbl_MTG_Set[[#This Row],[Collector Singles CardMarket Profit BotBox]]&gt;0</f>
        <v>0</v>
      </c>
      <c r="CD6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79" spans="1:86" hidden="1">
      <c r="A679">
        <v>711</v>
      </c>
      <c r="B679" t="s">
        <v>852</v>
      </c>
      <c r="C679">
        <v>17</v>
      </c>
      <c r="D679" s="3">
        <v>40909</v>
      </c>
      <c r="F679" t="s">
        <v>174</v>
      </c>
      <c r="G679">
        <v>1368</v>
      </c>
      <c r="H679">
        <f ca="1">MONTH(NOW())+12*YEAR(NOW())-MONTH(tbl_MTG_Set[[#This Row],[Released On]])-12*YEAR(tbl_MTG_Set[[#This Row],[Released On]])</f>
        <v>170</v>
      </c>
      <c r="I679" t="str">
        <f>_xlfn.XLOOKUP(tbl_MTG_Set[[#This Row],[Type Name]], tbl_MTG_Set_Type[Set Type], tbl_MTG_Set_Type[Index], "(Set Type not found)")</f>
        <v>(Set Type not found)</v>
      </c>
      <c r="J679" t="str">
        <f>_xlfn.XLOOKUP(tbl_MTG_Set[[#This Row],[Type Name]], tbl_MTG_Set_Type[Set Type], tbl_MTG_Set_Type[Buy Window Month Start], "(Set Type not found)")</f>
        <v>(Set Type not found)</v>
      </c>
      <c r="K679" s="3" t="e">
        <f>tbl_MTG_Set[[#This Row],[Released On]]+tbl_MTG_Set[[#This Row],[Buy Window Month Start]]*365.25/12</f>
        <v>#VALUE!</v>
      </c>
      <c r="L679" t="str">
        <f>_xlfn.XLOOKUP(tbl_MTG_Set[[#This Row],[Type Name]], tbl_MTG_Set_Type[Set Type], tbl_MTG_Set_Type[Buy Window Month End], "(Set Type not found)", 0, 1)</f>
        <v>(Set Type not found)</v>
      </c>
      <c r="M679" s="3" t="e">
        <f>tbl_MTG_Set[[#This Row],[Released On]]+tbl_MTG_Set[[#This Row],[Buy Window Month End]]*365.25/12</f>
        <v>#VALUE!</v>
      </c>
      <c r="N679" s="3" t="e">
        <f ca="1">AND(NOW()&gt;=tbl_MTG_Set[[#This Row],[Buy Window Start]], NOW()&lt;=tbl_MTG_Set[[#This Row],[Buy Window End]])</f>
        <v>#VALUE!</v>
      </c>
      <c r="O679" t="str">
        <f>_xlfn.XLOOKUP(tbl_MTG_Set[[#This Row],[Type Name]], tbl_MTG_Set_Type[Set Type], tbl_MTG_Set_Type[Heavy Printing Window Month Start], "(Set Type not found)", 0, 1)</f>
        <v>(Set Type not found)</v>
      </c>
      <c r="P679" s="3" t="e">
        <f>tbl_MTG_Set[[#This Row],[Released On]]+tbl_MTG_Set[[#This Row],[Heavy Printing Window Month Start]]*365.25/12</f>
        <v>#VALUE!</v>
      </c>
      <c r="Q679" t="str">
        <f>_xlfn.XLOOKUP(tbl_MTG_Set[[#This Row],[Type Name]], tbl_MTG_Set_Type[Set Type], tbl_MTG_Set_Type[Heavy Printing Window Month End], "(Set Type not found)", 0, 1)</f>
        <v>(Set Type not found)</v>
      </c>
      <c r="R679" s="3" t="e">
        <f>tbl_MTG_Set[[#This Row],[Released On]]+tbl_MTG_Set[[#This Row],[Heavy Printing Window Month End]]*365.25/12</f>
        <v>#VALUE!</v>
      </c>
      <c r="S679" s="3" t="e">
        <f ca="1">AND(NOW()&gt;=tbl_MTG_Set[[#This Row],[Heavy Printing Window Start]], NOW()&lt;=tbl_MTG_Set[[#This Row],[Heavy Printing Window End]])</f>
        <v>#VALUE!</v>
      </c>
      <c r="T679" t="str">
        <f>_xlfn.XLOOKUP(tbl_MTG_Set[[#This Row],[Type Name]], tbl_MTG_Set_Type[Set Type], tbl_MTG_Set_Type[Sell Window Month Start], "(Set Type not found)", 0, 1)</f>
        <v>(Set Type not found)</v>
      </c>
      <c r="U679" s="3" t="e">
        <f>tbl_MTG_Set[[#This Row],[Released On]]+tbl_MTG_Set[[#This Row],[Sell Window Month Start]]*365.25/12</f>
        <v>#VALUE!</v>
      </c>
      <c r="V679" t="str">
        <f>_xlfn.XLOOKUP(tbl_MTG_Set[[#This Row],[Type Name]], tbl_MTG_Set_Type[Set Type], tbl_MTG_Set_Type[Sell Window Month End], "(Set Type not found)", 0, 1)</f>
        <v>(Set Type not found)</v>
      </c>
      <c r="W679" s="3" t="e">
        <f>tbl_MTG_Set[[#This Row],[Released On]]+tbl_MTG_Set[[#This Row],[Sell Window Month End]]*365.25/12</f>
        <v>#VALUE!</v>
      </c>
      <c r="X679" s="3" t="e">
        <f ca="1">AND(NOW()&gt;=tbl_MTG_Set[[#This Row],[Sell Window Start]], NOW()&lt;=tbl_MTG_Set[[#This Row],[Sell Window End]])</f>
        <v>#VALUE!</v>
      </c>
      <c r="AG679" s="10"/>
      <c r="AH679" s="10"/>
      <c r="AM679" s="10" t="str" cm="1">
        <f t="array" ref="AM6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79" s="10" t="str" cm="1">
        <f t="array" ref="AN6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79" s="4" t="e">
        <f>_xlfn.XLOOKUP(tbl_MTG_Set[[#This Row],[Play Booster Box Product Id]], tbl_Product[Product Id], tbl_Product[Pack Size])</f>
        <v>#N/A</v>
      </c>
      <c r="AP679" s="10" t="e">
        <f>(tbl_MTG_Set[[#This Row],[Play Booster Box Cost]]+v_Item_Shipping_Cost_In)/tbl_MTG_Set[[#This Row],[Play Booster Box Size]]</f>
        <v>#VALUE!</v>
      </c>
      <c r="AQ679" s="10" t="str" cm="1">
        <f t="array" ref="AQ6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79" s="10"/>
      <c r="AS679" s="10"/>
      <c r="AT679" s="17" t="e">
        <f>tbl_MTG_Set[[#This Row],[Play Booster CardMarket Profit]]/tbl_MTG_Set[[#This Row],[Play Booster Cost]]</f>
        <v>#VALUE!</v>
      </c>
      <c r="AU679" s="10" t="e">
        <f>_xlfn.XLOOKUP(tbl_MTG_Set[[#This Row],[Collector Booster Box Product Id]], tbl_Product[Product Id], tbl_Product[Min Cost])</f>
        <v>#N/A</v>
      </c>
      <c r="AV679" s="10" t="e">
        <f>_xlfn.XLOOKUP(tbl_MTG_Set[[#This Row],[Collector Booster Box Product Id]], tbl_Product[Product Id], tbl_Product[Best Source])</f>
        <v>#N/A</v>
      </c>
      <c r="AW679" s="4" t="e">
        <f>_xlfn.XLOOKUP(tbl_MTG_Set[[#This Row],[Collector Booster Box Product Id]], tbl_Product[Product Id], tbl_Product[Pack Size])</f>
        <v>#N/A</v>
      </c>
      <c r="AX679" s="10" t="e">
        <f>(tbl_MTG_Set[[#This Row],[Collector Booster Box Cost]] + v_Item_Shipping_Cost_In) / tbl_MTG_Set[[#This Row],[Collector Booster Box Size]]</f>
        <v>#N/A</v>
      </c>
      <c r="AY679" s="10" t="str" cm="1">
        <f t="array" ref="AY6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79" s="10"/>
      <c r="BA6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79" s="17" t="e">
        <f>tbl_MTG_Set[[#This Row],[Collector Booster CardMarket Profit]]/tbl_MTG_Set[[#This Row],[Collector Booster Cost]]</f>
        <v>#N/A</v>
      </c>
      <c r="BC679" s="10"/>
      <c r="BF6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79" s="11" t="e">
        <f>tbl_MTG_Set[[#This Row],[Play Singles CardMarket Profit MTG Stocks]]/tbl_MTG_Set[[#This Row],[Play Booster Cost]]</f>
        <v>#VALUE!</v>
      </c>
      <c r="BI679" s="11" t="b">
        <f>tbl_MTG_Set[[#This Row],[Play Singles CardMarket Profit MTG Stocks]]&gt;0</f>
        <v>0</v>
      </c>
      <c r="BM679" s="10" t="e">
        <f>tbl_MTG_Set[[#This Row],[Play Booster Sell Price CardMarket]]*tbl_MTG_Set[[#This Row],[Play Booster Expected Market Value BotBox]]/tbl_MTG_Set[[#This Row],[Play Booster Sealed Market Value BotBox]]</f>
        <v>#VALUE!</v>
      </c>
      <c r="BN6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79" s="10" t="e">
        <f>tbl_MTG_Set[[#This Row],[Play Singles CardMarket Profit BotBox]]/tbl_MTG_Set[[#This Row],[Play Booster Cost]]</f>
        <v>#VALUE!</v>
      </c>
      <c r="BP679" s="10" t="b">
        <f>tbl_MTG_Set[[#This Row],[Play Singles CardMarket Profit BotBox]]&gt;0</f>
        <v>0</v>
      </c>
      <c r="BQ679" s="10"/>
      <c r="BR679" s="10"/>
      <c r="BS679" s="10"/>
      <c r="BT6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79" s="19" t="e">
        <f>tbl_MTG_Set[[#This Row],[Collector Singles CardMarket Profit MTG Stocks]]/tbl_MTG_Set[[#This Row],[Collector Booster Cost]]</f>
        <v>#N/A</v>
      </c>
      <c r="BW679" s="10" t="b">
        <f>tbl_MTG_Set[[#This Row],[Collector Singles CardMarket Profit MTG Stocks]]&gt;0</f>
        <v>0</v>
      </c>
      <c r="BX679" s="10"/>
      <c r="BY679" s="10"/>
      <c r="BZ6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79" s="10" t="e">
        <f>tbl_MTG_Set[[#This Row],[Collector Singles CardMarket Profit BotBox]]/tbl_MTG_Set[[#This Row],[Collector Booster Cost]]</f>
        <v>#N/A</v>
      </c>
      <c r="CC679" s="10" t="b">
        <f>tbl_MTG_Set[[#This Row],[Collector Singles CardMarket Profit BotBox]]&gt;0</f>
        <v>0</v>
      </c>
      <c r="CD6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0" spans="1:86" hidden="1">
      <c r="A680">
        <v>712</v>
      </c>
      <c r="B680" t="s">
        <v>853</v>
      </c>
      <c r="C680">
        <v>2</v>
      </c>
      <c r="D680" s="3">
        <v>40909</v>
      </c>
      <c r="F680" t="s">
        <v>174</v>
      </c>
      <c r="G680">
        <v>1370</v>
      </c>
      <c r="H680">
        <f ca="1">MONTH(NOW())+12*YEAR(NOW())-MONTH(tbl_MTG_Set[[#This Row],[Released On]])-12*YEAR(tbl_MTG_Set[[#This Row],[Released On]])</f>
        <v>170</v>
      </c>
      <c r="I680" t="str">
        <f>_xlfn.XLOOKUP(tbl_MTG_Set[[#This Row],[Type Name]], tbl_MTG_Set_Type[Set Type], tbl_MTG_Set_Type[Index], "(Set Type not found)")</f>
        <v>(Set Type not found)</v>
      </c>
      <c r="J680" t="str">
        <f>_xlfn.XLOOKUP(tbl_MTG_Set[[#This Row],[Type Name]], tbl_MTG_Set_Type[Set Type], tbl_MTG_Set_Type[Buy Window Month Start], "(Set Type not found)")</f>
        <v>(Set Type not found)</v>
      </c>
      <c r="K680" s="3" t="e">
        <f>tbl_MTG_Set[[#This Row],[Released On]]+tbl_MTG_Set[[#This Row],[Buy Window Month Start]]*365.25/12</f>
        <v>#VALUE!</v>
      </c>
      <c r="L680" t="str">
        <f>_xlfn.XLOOKUP(tbl_MTG_Set[[#This Row],[Type Name]], tbl_MTG_Set_Type[Set Type], tbl_MTG_Set_Type[Buy Window Month End], "(Set Type not found)", 0, 1)</f>
        <v>(Set Type not found)</v>
      </c>
      <c r="M680" s="3" t="e">
        <f>tbl_MTG_Set[[#This Row],[Released On]]+tbl_MTG_Set[[#This Row],[Buy Window Month End]]*365.25/12</f>
        <v>#VALUE!</v>
      </c>
      <c r="N680" s="3" t="e">
        <f ca="1">AND(NOW()&gt;=tbl_MTG_Set[[#This Row],[Buy Window Start]], NOW()&lt;=tbl_MTG_Set[[#This Row],[Buy Window End]])</f>
        <v>#VALUE!</v>
      </c>
      <c r="O680" t="str">
        <f>_xlfn.XLOOKUP(tbl_MTG_Set[[#This Row],[Type Name]], tbl_MTG_Set_Type[Set Type], tbl_MTG_Set_Type[Heavy Printing Window Month Start], "(Set Type not found)", 0, 1)</f>
        <v>(Set Type not found)</v>
      </c>
      <c r="P680" s="3" t="e">
        <f>tbl_MTG_Set[[#This Row],[Released On]]+tbl_MTG_Set[[#This Row],[Heavy Printing Window Month Start]]*365.25/12</f>
        <v>#VALUE!</v>
      </c>
      <c r="Q680" t="str">
        <f>_xlfn.XLOOKUP(tbl_MTG_Set[[#This Row],[Type Name]], tbl_MTG_Set_Type[Set Type], tbl_MTG_Set_Type[Heavy Printing Window Month End], "(Set Type not found)", 0, 1)</f>
        <v>(Set Type not found)</v>
      </c>
      <c r="R680" s="3" t="e">
        <f>tbl_MTG_Set[[#This Row],[Released On]]+tbl_MTG_Set[[#This Row],[Heavy Printing Window Month End]]*365.25/12</f>
        <v>#VALUE!</v>
      </c>
      <c r="S680" s="3" t="e">
        <f ca="1">AND(NOW()&gt;=tbl_MTG_Set[[#This Row],[Heavy Printing Window Start]], NOW()&lt;=tbl_MTG_Set[[#This Row],[Heavy Printing Window End]])</f>
        <v>#VALUE!</v>
      </c>
      <c r="T680" t="str">
        <f>_xlfn.XLOOKUP(tbl_MTG_Set[[#This Row],[Type Name]], tbl_MTG_Set_Type[Set Type], tbl_MTG_Set_Type[Sell Window Month Start], "(Set Type not found)", 0, 1)</f>
        <v>(Set Type not found)</v>
      </c>
      <c r="U680" s="3" t="e">
        <f>tbl_MTG_Set[[#This Row],[Released On]]+tbl_MTG_Set[[#This Row],[Sell Window Month Start]]*365.25/12</f>
        <v>#VALUE!</v>
      </c>
      <c r="V680" t="str">
        <f>_xlfn.XLOOKUP(tbl_MTG_Set[[#This Row],[Type Name]], tbl_MTG_Set_Type[Set Type], tbl_MTG_Set_Type[Sell Window Month End], "(Set Type not found)", 0, 1)</f>
        <v>(Set Type not found)</v>
      </c>
      <c r="W680" s="3" t="e">
        <f>tbl_MTG_Set[[#This Row],[Released On]]+tbl_MTG_Set[[#This Row],[Sell Window Month End]]*365.25/12</f>
        <v>#VALUE!</v>
      </c>
      <c r="X680" s="3" t="e">
        <f ca="1">AND(NOW()&gt;=tbl_MTG_Set[[#This Row],[Sell Window Start]], NOW()&lt;=tbl_MTG_Set[[#This Row],[Sell Window End]])</f>
        <v>#VALUE!</v>
      </c>
      <c r="AG680" s="10"/>
      <c r="AH680" s="10"/>
      <c r="AM680" s="10" t="str" cm="1">
        <f t="array" ref="AM6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0" s="10" t="str" cm="1">
        <f t="array" ref="AN6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0" s="4" t="e">
        <f>_xlfn.XLOOKUP(tbl_MTG_Set[[#This Row],[Play Booster Box Product Id]], tbl_Product[Product Id], tbl_Product[Pack Size])</f>
        <v>#N/A</v>
      </c>
      <c r="AP680" s="10" t="e">
        <f>(tbl_MTG_Set[[#This Row],[Play Booster Box Cost]]+v_Item_Shipping_Cost_In)/tbl_MTG_Set[[#This Row],[Play Booster Box Size]]</f>
        <v>#VALUE!</v>
      </c>
      <c r="AQ680" s="10" t="str" cm="1">
        <f t="array" ref="AQ6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0" s="10"/>
      <c r="AS680" s="10"/>
      <c r="AT680" s="17" t="e">
        <f>tbl_MTG_Set[[#This Row],[Play Booster CardMarket Profit]]/tbl_MTG_Set[[#This Row],[Play Booster Cost]]</f>
        <v>#VALUE!</v>
      </c>
      <c r="AU680" s="10" t="e">
        <f>_xlfn.XLOOKUP(tbl_MTG_Set[[#This Row],[Collector Booster Box Product Id]], tbl_Product[Product Id], tbl_Product[Min Cost])</f>
        <v>#N/A</v>
      </c>
      <c r="AV680" s="10" t="e">
        <f>_xlfn.XLOOKUP(tbl_MTG_Set[[#This Row],[Collector Booster Box Product Id]], tbl_Product[Product Id], tbl_Product[Best Source])</f>
        <v>#N/A</v>
      </c>
      <c r="AW680" s="4" t="e">
        <f>_xlfn.XLOOKUP(tbl_MTG_Set[[#This Row],[Collector Booster Box Product Id]], tbl_Product[Product Id], tbl_Product[Pack Size])</f>
        <v>#N/A</v>
      </c>
      <c r="AX680" s="10" t="e">
        <f>(tbl_MTG_Set[[#This Row],[Collector Booster Box Cost]] + v_Item_Shipping_Cost_In) / tbl_MTG_Set[[#This Row],[Collector Booster Box Size]]</f>
        <v>#N/A</v>
      </c>
      <c r="AY680" s="10" t="str" cm="1">
        <f t="array" ref="AY6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0" s="10"/>
      <c r="BA6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0" s="17" t="e">
        <f>tbl_MTG_Set[[#This Row],[Collector Booster CardMarket Profit]]/tbl_MTG_Set[[#This Row],[Collector Booster Cost]]</f>
        <v>#N/A</v>
      </c>
      <c r="BC680" s="10"/>
      <c r="BF6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0" s="11" t="e">
        <f>tbl_MTG_Set[[#This Row],[Play Singles CardMarket Profit MTG Stocks]]/tbl_MTG_Set[[#This Row],[Play Booster Cost]]</f>
        <v>#VALUE!</v>
      </c>
      <c r="BI680" s="11" t="b">
        <f>tbl_MTG_Set[[#This Row],[Play Singles CardMarket Profit MTG Stocks]]&gt;0</f>
        <v>0</v>
      </c>
      <c r="BM680" s="10" t="e">
        <f>tbl_MTG_Set[[#This Row],[Play Booster Sell Price CardMarket]]*tbl_MTG_Set[[#This Row],[Play Booster Expected Market Value BotBox]]/tbl_MTG_Set[[#This Row],[Play Booster Sealed Market Value BotBox]]</f>
        <v>#VALUE!</v>
      </c>
      <c r="BN6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0" s="10" t="e">
        <f>tbl_MTG_Set[[#This Row],[Play Singles CardMarket Profit BotBox]]/tbl_MTG_Set[[#This Row],[Play Booster Cost]]</f>
        <v>#VALUE!</v>
      </c>
      <c r="BP680" s="10" t="b">
        <f>tbl_MTG_Set[[#This Row],[Play Singles CardMarket Profit BotBox]]&gt;0</f>
        <v>0</v>
      </c>
      <c r="BQ680" s="10"/>
      <c r="BR680" s="10"/>
      <c r="BS680" s="10"/>
      <c r="BT6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0" s="19" t="e">
        <f>tbl_MTG_Set[[#This Row],[Collector Singles CardMarket Profit MTG Stocks]]/tbl_MTG_Set[[#This Row],[Collector Booster Cost]]</f>
        <v>#N/A</v>
      </c>
      <c r="BW680" s="10" t="b">
        <f>tbl_MTG_Set[[#This Row],[Collector Singles CardMarket Profit MTG Stocks]]&gt;0</f>
        <v>0</v>
      </c>
      <c r="BX680" s="10"/>
      <c r="BY680" s="10"/>
      <c r="BZ6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0" s="10" t="e">
        <f>tbl_MTG_Set[[#This Row],[Collector Singles CardMarket Profit BotBox]]/tbl_MTG_Set[[#This Row],[Collector Booster Cost]]</f>
        <v>#N/A</v>
      </c>
      <c r="CC680" s="10" t="b">
        <f>tbl_MTG_Set[[#This Row],[Collector Singles CardMarket Profit BotBox]]&gt;0</f>
        <v>0</v>
      </c>
      <c r="CD6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1" spans="1:86" hidden="1">
      <c r="A681">
        <v>713</v>
      </c>
      <c r="B681" t="s">
        <v>854</v>
      </c>
      <c r="C681">
        <v>9</v>
      </c>
      <c r="D681" s="3">
        <v>40909</v>
      </c>
      <c r="F681" t="s">
        <v>174</v>
      </c>
      <c r="G681">
        <v>1372</v>
      </c>
      <c r="H681">
        <f ca="1">MONTH(NOW())+12*YEAR(NOW())-MONTH(tbl_MTG_Set[[#This Row],[Released On]])-12*YEAR(tbl_MTG_Set[[#This Row],[Released On]])</f>
        <v>170</v>
      </c>
      <c r="I681" t="str">
        <f>_xlfn.XLOOKUP(tbl_MTG_Set[[#This Row],[Type Name]], tbl_MTG_Set_Type[Set Type], tbl_MTG_Set_Type[Index], "(Set Type not found)")</f>
        <v>(Set Type not found)</v>
      </c>
      <c r="J681" t="str">
        <f>_xlfn.XLOOKUP(tbl_MTG_Set[[#This Row],[Type Name]], tbl_MTG_Set_Type[Set Type], tbl_MTG_Set_Type[Buy Window Month Start], "(Set Type not found)")</f>
        <v>(Set Type not found)</v>
      </c>
      <c r="K681" s="3" t="e">
        <f>tbl_MTG_Set[[#This Row],[Released On]]+tbl_MTG_Set[[#This Row],[Buy Window Month Start]]*365.25/12</f>
        <v>#VALUE!</v>
      </c>
      <c r="L681" t="str">
        <f>_xlfn.XLOOKUP(tbl_MTG_Set[[#This Row],[Type Name]], tbl_MTG_Set_Type[Set Type], tbl_MTG_Set_Type[Buy Window Month End], "(Set Type not found)", 0, 1)</f>
        <v>(Set Type not found)</v>
      </c>
      <c r="M681" s="3" t="e">
        <f>tbl_MTG_Set[[#This Row],[Released On]]+tbl_MTG_Set[[#This Row],[Buy Window Month End]]*365.25/12</f>
        <v>#VALUE!</v>
      </c>
      <c r="N681" s="3" t="e">
        <f ca="1">AND(NOW()&gt;=tbl_MTG_Set[[#This Row],[Buy Window Start]], NOW()&lt;=tbl_MTG_Set[[#This Row],[Buy Window End]])</f>
        <v>#VALUE!</v>
      </c>
      <c r="O681" t="str">
        <f>_xlfn.XLOOKUP(tbl_MTG_Set[[#This Row],[Type Name]], tbl_MTG_Set_Type[Set Type], tbl_MTG_Set_Type[Heavy Printing Window Month Start], "(Set Type not found)", 0, 1)</f>
        <v>(Set Type not found)</v>
      </c>
      <c r="P681" s="3" t="e">
        <f>tbl_MTG_Set[[#This Row],[Released On]]+tbl_MTG_Set[[#This Row],[Heavy Printing Window Month Start]]*365.25/12</f>
        <v>#VALUE!</v>
      </c>
      <c r="Q681" t="str">
        <f>_xlfn.XLOOKUP(tbl_MTG_Set[[#This Row],[Type Name]], tbl_MTG_Set_Type[Set Type], tbl_MTG_Set_Type[Heavy Printing Window Month End], "(Set Type not found)", 0, 1)</f>
        <v>(Set Type not found)</v>
      </c>
      <c r="R681" s="3" t="e">
        <f>tbl_MTG_Set[[#This Row],[Released On]]+tbl_MTG_Set[[#This Row],[Heavy Printing Window Month End]]*365.25/12</f>
        <v>#VALUE!</v>
      </c>
      <c r="S681" s="3" t="e">
        <f ca="1">AND(NOW()&gt;=tbl_MTG_Set[[#This Row],[Heavy Printing Window Start]], NOW()&lt;=tbl_MTG_Set[[#This Row],[Heavy Printing Window End]])</f>
        <v>#VALUE!</v>
      </c>
      <c r="T681" t="str">
        <f>_xlfn.XLOOKUP(tbl_MTG_Set[[#This Row],[Type Name]], tbl_MTG_Set_Type[Set Type], tbl_MTG_Set_Type[Sell Window Month Start], "(Set Type not found)", 0, 1)</f>
        <v>(Set Type not found)</v>
      </c>
      <c r="U681" s="3" t="e">
        <f>tbl_MTG_Set[[#This Row],[Released On]]+tbl_MTG_Set[[#This Row],[Sell Window Month Start]]*365.25/12</f>
        <v>#VALUE!</v>
      </c>
      <c r="V681" t="str">
        <f>_xlfn.XLOOKUP(tbl_MTG_Set[[#This Row],[Type Name]], tbl_MTG_Set_Type[Set Type], tbl_MTG_Set_Type[Sell Window Month End], "(Set Type not found)", 0, 1)</f>
        <v>(Set Type not found)</v>
      </c>
      <c r="W681" s="3" t="e">
        <f>tbl_MTG_Set[[#This Row],[Released On]]+tbl_MTG_Set[[#This Row],[Sell Window Month End]]*365.25/12</f>
        <v>#VALUE!</v>
      </c>
      <c r="X681" s="3" t="e">
        <f ca="1">AND(NOW()&gt;=tbl_MTG_Set[[#This Row],[Sell Window Start]], NOW()&lt;=tbl_MTG_Set[[#This Row],[Sell Window End]])</f>
        <v>#VALUE!</v>
      </c>
      <c r="AG681" s="10"/>
      <c r="AH681" s="10"/>
      <c r="AM681" s="10" t="str" cm="1">
        <f t="array" ref="AM6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1" s="10" t="str" cm="1">
        <f t="array" ref="AN6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1" s="4" t="e">
        <f>_xlfn.XLOOKUP(tbl_MTG_Set[[#This Row],[Play Booster Box Product Id]], tbl_Product[Product Id], tbl_Product[Pack Size])</f>
        <v>#N/A</v>
      </c>
      <c r="AP681" s="10" t="e">
        <f>(tbl_MTG_Set[[#This Row],[Play Booster Box Cost]]+v_Item_Shipping_Cost_In)/tbl_MTG_Set[[#This Row],[Play Booster Box Size]]</f>
        <v>#VALUE!</v>
      </c>
      <c r="AQ681" s="10" t="str" cm="1">
        <f t="array" ref="AQ6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1" s="10"/>
      <c r="AS681" s="10"/>
      <c r="AT681" s="17" t="e">
        <f>tbl_MTG_Set[[#This Row],[Play Booster CardMarket Profit]]/tbl_MTG_Set[[#This Row],[Play Booster Cost]]</f>
        <v>#VALUE!</v>
      </c>
      <c r="AU681" s="10" t="e">
        <f>_xlfn.XLOOKUP(tbl_MTG_Set[[#This Row],[Collector Booster Box Product Id]], tbl_Product[Product Id], tbl_Product[Min Cost])</f>
        <v>#N/A</v>
      </c>
      <c r="AV681" s="10" t="e">
        <f>_xlfn.XLOOKUP(tbl_MTG_Set[[#This Row],[Collector Booster Box Product Id]], tbl_Product[Product Id], tbl_Product[Best Source])</f>
        <v>#N/A</v>
      </c>
      <c r="AW681" s="4" t="e">
        <f>_xlfn.XLOOKUP(tbl_MTG_Set[[#This Row],[Collector Booster Box Product Id]], tbl_Product[Product Id], tbl_Product[Pack Size])</f>
        <v>#N/A</v>
      </c>
      <c r="AX681" s="10" t="e">
        <f>(tbl_MTG_Set[[#This Row],[Collector Booster Box Cost]] + v_Item_Shipping_Cost_In) / tbl_MTG_Set[[#This Row],[Collector Booster Box Size]]</f>
        <v>#N/A</v>
      </c>
      <c r="AY681" s="10" t="str" cm="1">
        <f t="array" ref="AY6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1" s="10"/>
      <c r="BA6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1" s="17" t="e">
        <f>tbl_MTG_Set[[#This Row],[Collector Booster CardMarket Profit]]/tbl_MTG_Set[[#This Row],[Collector Booster Cost]]</f>
        <v>#N/A</v>
      </c>
      <c r="BC681" s="10"/>
      <c r="BF6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1" s="11" t="e">
        <f>tbl_MTG_Set[[#This Row],[Play Singles CardMarket Profit MTG Stocks]]/tbl_MTG_Set[[#This Row],[Play Booster Cost]]</f>
        <v>#VALUE!</v>
      </c>
      <c r="BI681" s="11" t="b">
        <f>tbl_MTG_Set[[#This Row],[Play Singles CardMarket Profit MTG Stocks]]&gt;0</f>
        <v>0</v>
      </c>
      <c r="BM681" s="10" t="e">
        <f>tbl_MTG_Set[[#This Row],[Play Booster Sell Price CardMarket]]*tbl_MTG_Set[[#This Row],[Play Booster Expected Market Value BotBox]]/tbl_MTG_Set[[#This Row],[Play Booster Sealed Market Value BotBox]]</f>
        <v>#VALUE!</v>
      </c>
      <c r="BN6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1" s="10" t="e">
        <f>tbl_MTG_Set[[#This Row],[Play Singles CardMarket Profit BotBox]]/tbl_MTG_Set[[#This Row],[Play Booster Cost]]</f>
        <v>#VALUE!</v>
      </c>
      <c r="BP681" s="10" t="b">
        <f>tbl_MTG_Set[[#This Row],[Play Singles CardMarket Profit BotBox]]&gt;0</f>
        <v>0</v>
      </c>
      <c r="BQ681" s="10"/>
      <c r="BR681" s="10"/>
      <c r="BS681" s="10"/>
      <c r="BT6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1" s="19" t="e">
        <f>tbl_MTG_Set[[#This Row],[Collector Singles CardMarket Profit MTG Stocks]]/tbl_MTG_Set[[#This Row],[Collector Booster Cost]]</f>
        <v>#N/A</v>
      </c>
      <c r="BW681" s="10" t="b">
        <f>tbl_MTG_Set[[#This Row],[Collector Singles CardMarket Profit MTG Stocks]]&gt;0</f>
        <v>0</v>
      </c>
      <c r="BX681" s="10"/>
      <c r="BY681" s="10"/>
      <c r="BZ6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1" s="10" t="e">
        <f>tbl_MTG_Set[[#This Row],[Collector Singles CardMarket Profit BotBox]]/tbl_MTG_Set[[#This Row],[Collector Booster Cost]]</f>
        <v>#N/A</v>
      </c>
      <c r="CC681" s="10" t="b">
        <f>tbl_MTG_Set[[#This Row],[Collector Singles CardMarket Profit BotBox]]&gt;0</f>
        <v>0</v>
      </c>
      <c r="CD6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2" spans="1:86" hidden="1">
      <c r="A682">
        <v>714</v>
      </c>
      <c r="B682" t="s">
        <v>855</v>
      </c>
      <c r="C682">
        <v>13</v>
      </c>
      <c r="D682" s="3">
        <v>40909</v>
      </c>
      <c r="F682" t="s">
        <v>174</v>
      </c>
      <c r="G682">
        <v>1374</v>
      </c>
      <c r="H682">
        <f ca="1">MONTH(NOW())+12*YEAR(NOW())-MONTH(tbl_MTG_Set[[#This Row],[Released On]])-12*YEAR(tbl_MTG_Set[[#This Row],[Released On]])</f>
        <v>170</v>
      </c>
      <c r="I682" t="str">
        <f>_xlfn.XLOOKUP(tbl_MTG_Set[[#This Row],[Type Name]], tbl_MTG_Set_Type[Set Type], tbl_MTG_Set_Type[Index], "(Set Type not found)")</f>
        <v>(Set Type not found)</v>
      </c>
      <c r="J682" t="str">
        <f>_xlfn.XLOOKUP(tbl_MTG_Set[[#This Row],[Type Name]], tbl_MTG_Set_Type[Set Type], tbl_MTG_Set_Type[Buy Window Month Start], "(Set Type not found)")</f>
        <v>(Set Type not found)</v>
      </c>
      <c r="K682" s="3" t="e">
        <f>tbl_MTG_Set[[#This Row],[Released On]]+tbl_MTG_Set[[#This Row],[Buy Window Month Start]]*365.25/12</f>
        <v>#VALUE!</v>
      </c>
      <c r="L682" t="str">
        <f>_xlfn.XLOOKUP(tbl_MTG_Set[[#This Row],[Type Name]], tbl_MTG_Set_Type[Set Type], tbl_MTG_Set_Type[Buy Window Month End], "(Set Type not found)", 0, 1)</f>
        <v>(Set Type not found)</v>
      </c>
      <c r="M682" s="3" t="e">
        <f>tbl_MTG_Set[[#This Row],[Released On]]+tbl_MTG_Set[[#This Row],[Buy Window Month End]]*365.25/12</f>
        <v>#VALUE!</v>
      </c>
      <c r="N682" s="3" t="e">
        <f ca="1">AND(NOW()&gt;=tbl_MTG_Set[[#This Row],[Buy Window Start]], NOW()&lt;=tbl_MTG_Set[[#This Row],[Buy Window End]])</f>
        <v>#VALUE!</v>
      </c>
      <c r="O682" t="str">
        <f>_xlfn.XLOOKUP(tbl_MTG_Set[[#This Row],[Type Name]], tbl_MTG_Set_Type[Set Type], tbl_MTG_Set_Type[Heavy Printing Window Month Start], "(Set Type not found)", 0, 1)</f>
        <v>(Set Type not found)</v>
      </c>
      <c r="P682" s="3" t="e">
        <f>tbl_MTG_Set[[#This Row],[Released On]]+tbl_MTG_Set[[#This Row],[Heavy Printing Window Month Start]]*365.25/12</f>
        <v>#VALUE!</v>
      </c>
      <c r="Q682" t="str">
        <f>_xlfn.XLOOKUP(tbl_MTG_Set[[#This Row],[Type Name]], tbl_MTG_Set_Type[Set Type], tbl_MTG_Set_Type[Heavy Printing Window Month End], "(Set Type not found)", 0, 1)</f>
        <v>(Set Type not found)</v>
      </c>
      <c r="R682" s="3" t="e">
        <f>tbl_MTG_Set[[#This Row],[Released On]]+tbl_MTG_Set[[#This Row],[Heavy Printing Window Month End]]*365.25/12</f>
        <v>#VALUE!</v>
      </c>
      <c r="S682" s="3" t="e">
        <f ca="1">AND(NOW()&gt;=tbl_MTG_Set[[#This Row],[Heavy Printing Window Start]], NOW()&lt;=tbl_MTG_Set[[#This Row],[Heavy Printing Window End]])</f>
        <v>#VALUE!</v>
      </c>
      <c r="T682" t="str">
        <f>_xlfn.XLOOKUP(tbl_MTG_Set[[#This Row],[Type Name]], tbl_MTG_Set_Type[Set Type], tbl_MTG_Set_Type[Sell Window Month Start], "(Set Type not found)", 0, 1)</f>
        <v>(Set Type not found)</v>
      </c>
      <c r="U682" s="3" t="e">
        <f>tbl_MTG_Set[[#This Row],[Released On]]+tbl_MTG_Set[[#This Row],[Sell Window Month Start]]*365.25/12</f>
        <v>#VALUE!</v>
      </c>
      <c r="V682" t="str">
        <f>_xlfn.XLOOKUP(tbl_MTG_Set[[#This Row],[Type Name]], tbl_MTG_Set_Type[Set Type], tbl_MTG_Set_Type[Sell Window Month End], "(Set Type not found)", 0, 1)</f>
        <v>(Set Type not found)</v>
      </c>
      <c r="W682" s="3" t="e">
        <f>tbl_MTG_Set[[#This Row],[Released On]]+tbl_MTG_Set[[#This Row],[Sell Window Month End]]*365.25/12</f>
        <v>#VALUE!</v>
      </c>
      <c r="X682" s="3" t="e">
        <f ca="1">AND(NOW()&gt;=tbl_MTG_Set[[#This Row],[Sell Window Start]], NOW()&lt;=tbl_MTG_Set[[#This Row],[Sell Window End]])</f>
        <v>#VALUE!</v>
      </c>
      <c r="AG682" s="10"/>
      <c r="AH682" s="10"/>
      <c r="AM682" s="10" t="str" cm="1">
        <f t="array" ref="AM6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2" s="10" t="str" cm="1">
        <f t="array" ref="AN6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2" s="4" t="e">
        <f>_xlfn.XLOOKUP(tbl_MTG_Set[[#This Row],[Play Booster Box Product Id]], tbl_Product[Product Id], tbl_Product[Pack Size])</f>
        <v>#N/A</v>
      </c>
      <c r="AP682" s="10" t="e">
        <f>(tbl_MTG_Set[[#This Row],[Play Booster Box Cost]]+v_Item_Shipping_Cost_In)/tbl_MTG_Set[[#This Row],[Play Booster Box Size]]</f>
        <v>#VALUE!</v>
      </c>
      <c r="AQ682" s="10" t="str" cm="1">
        <f t="array" ref="AQ6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2" s="10"/>
      <c r="AS682" s="10"/>
      <c r="AT682" s="17" t="e">
        <f>tbl_MTG_Set[[#This Row],[Play Booster CardMarket Profit]]/tbl_MTG_Set[[#This Row],[Play Booster Cost]]</f>
        <v>#VALUE!</v>
      </c>
      <c r="AU682" s="10" t="e">
        <f>_xlfn.XLOOKUP(tbl_MTG_Set[[#This Row],[Collector Booster Box Product Id]], tbl_Product[Product Id], tbl_Product[Min Cost])</f>
        <v>#N/A</v>
      </c>
      <c r="AV682" s="10" t="e">
        <f>_xlfn.XLOOKUP(tbl_MTG_Set[[#This Row],[Collector Booster Box Product Id]], tbl_Product[Product Id], tbl_Product[Best Source])</f>
        <v>#N/A</v>
      </c>
      <c r="AW682" s="4" t="e">
        <f>_xlfn.XLOOKUP(tbl_MTG_Set[[#This Row],[Collector Booster Box Product Id]], tbl_Product[Product Id], tbl_Product[Pack Size])</f>
        <v>#N/A</v>
      </c>
      <c r="AX682" s="10" t="e">
        <f>(tbl_MTG_Set[[#This Row],[Collector Booster Box Cost]] + v_Item_Shipping_Cost_In) / tbl_MTG_Set[[#This Row],[Collector Booster Box Size]]</f>
        <v>#N/A</v>
      </c>
      <c r="AY682" s="10" t="str" cm="1">
        <f t="array" ref="AY6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2" s="10"/>
      <c r="BA6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2" s="17" t="e">
        <f>tbl_MTG_Set[[#This Row],[Collector Booster CardMarket Profit]]/tbl_MTG_Set[[#This Row],[Collector Booster Cost]]</f>
        <v>#N/A</v>
      </c>
      <c r="BC682" s="10"/>
      <c r="BF6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2" s="11" t="e">
        <f>tbl_MTG_Set[[#This Row],[Play Singles CardMarket Profit MTG Stocks]]/tbl_MTG_Set[[#This Row],[Play Booster Cost]]</f>
        <v>#VALUE!</v>
      </c>
      <c r="BI682" s="11" t="b">
        <f>tbl_MTG_Set[[#This Row],[Play Singles CardMarket Profit MTG Stocks]]&gt;0</f>
        <v>0</v>
      </c>
      <c r="BM682" s="10" t="e">
        <f>tbl_MTG_Set[[#This Row],[Play Booster Sell Price CardMarket]]*tbl_MTG_Set[[#This Row],[Play Booster Expected Market Value BotBox]]/tbl_MTG_Set[[#This Row],[Play Booster Sealed Market Value BotBox]]</f>
        <v>#VALUE!</v>
      </c>
      <c r="BN6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2" s="10" t="e">
        <f>tbl_MTG_Set[[#This Row],[Play Singles CardMarket Profit BotBox]]/tbl_MTG_Set[[#This Row],[Play Booster Cost]]</f>
        <v>#VALUE!</v>
      </c>
      <c r="BP682" s="10" t="b">
        <f>tbl_MTG_Set[[#This Row],[Play Singles CardMarket Profit BotBox]]&gt;0</f>
        <v>0</v>
      </c>
      <c r="BQ682" s="10"/>
      <c r="BR682" s="10"/>
      <c r="BS682" s="10"/>
      <c r="BT6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2" s="19" t="e">
        <f>tbl_MTG_Set[[#This Row],[Collector Singles CardMarket Profit MTG Stocks]]/tbl_MTG_Set[[#This Row],[Collector Booster Cost]]</f>
        <v>#N/A</v>
      </c>
      <c r="BW682" s="10" t="b">
        <f>tbl_MTG_Set[[#This Row],[Collector Singles CardMarket Profit MTG Stocks]]&gt;0</f>
        <v>0</v>
      </c>
      <c r="BX682" s="10"/>
      <c r="BY682" s="10"/>
      <c r="BZ6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2" s="10" t="e">
        <f>tbl_MTG_Set[[#This Row],[Collector Singles CardMarket Profit BotBox]]/tbl_MTG_Set[[#This Row],[Collector Booster Cost]]</f>
        <v>#N/A</v>
      </c>
      <c r="CC682" s="10" t="b">
        <f>tbl_MTG_Set[[#This Row],[Collector Singles CardMarket Profit BotBox]]&gt;0</f>
        <v>0</v>
      </c>
      <c r="CD6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3" spans="1:86" hidden="1">
      <c r="A683">
        <v>715</v>
      </c>
      <c r="B683" t="s">
        <v>856</v>
      </c>
      <c r="C683">
        <v>30</v>
      </c>
      <c r="D683" s="3">
        <v>40865</v>
      </c>
      <c r="F683" t="s">
        <v>174</v>
      </c>
      <c r="G683">
        <v>1376</v>
      </c>
      <c r="H683">
        <f ca="1">MONTH(NOW())+12*YEAR(NOW())-MONTH(tbl_MTG_Set[[#This Row],[Released On]])-12*YEAR(tbl_MTG_Set[[#This Row],[Released On]])</f>
        <v>172</v>
      </c>
      <c r="I683" t="str">
        <f>_xlfn.XLOOKUP(tbl_MTG_Set[[#This Row],[Type Name]], tbl_MTG_Set_Type[Set Type], tbl_MTG_Set_Type[Index], "(Set Type not found)")</f>
        <v>(Set Type not found)</v>
      </c>
      <c r="J683" t="str">
        <f>_xlfn.XLOOKUP(tbl_MTG_Set[[#This Row],[Type Name]], tbl_MTG_Set_Type[Set Type], tbl_MTG_Set_Type[Buy Window Month Start], "(Set Type not found)")</f>
        <v>(Set Type not found)</v>
      </c>
      <c r="K683" s="3" t="e">
        <f>tbl_MTG_Set[[#This Row],[Released On]]+tbl_MTG_Set[[#This Row],[Buy Window Month Start]]*365.25/12</f>
        <v>#VALUE!</v>
      </c>
      <c r="L683" t="str">
        <f>_xlfn.XLOOKUP(tbl_MTG_Set[[#This Row],[Type Name]], tbl_MTG_Set_Type[Set Type], tbl_MTG_Set_Type[Buy Window Month End], "(Set Type not found)", 0, 1)</f>
        <v>(Set Type not found)</v>
      </c>
      <c r="M683" s="3" t="e">
        <f>tbl_MTG_Set[[#This Row],[Released On]]+tbl_MTG_Set[[#This Row],[Buy Window Month End]]*365.25/12</f>
        <v>#VALUE!</v>
      </c>
      <c r="N683" s="3" t="e">
        <f ca="1">AND(NOW()&gt;=tbl_MTG_Set[[#This Row],[Buy Window Start]], NOW()&lt;=tbl_MTG_Set[[#This Row],[Buy Window End]])</f>
        <v>#VALUE!</v>
      </c>
      <c r="O683" t="str">
        <f>_xlfn.XLOOKUP(tbl_MTG_Set[[#This Row],[Type Name]], tbl_MTG_Set_Type[Set Type], tbl_MTG_Set_Type[Heavy Printing Window Month Start], "(Set Type not found)", 0, 1)</f>
        <v>(Set Type not found)</v>
      </c>
      <c r="P683" s="3" t="e">
        <f>tbl_MTG_Set[[#This Row],[Released On]]+tbl_MTG_Set[[#This Row],[Heavy Printing Window Month Start]]*365.25/12</f>
        <v>#VALUE!</v>
      </c>
      <c r="Q683" t="str">
        <f>_xlfn.XLOOKUP(tbl_MTG_Set[[#This Row],[Type Name]], tbl_MTG_Set_Type[Set Type], tbl_MTG_Set_Type[Heavy Printing Window Month End], "(Set Type not found)", 0, 1)</f>
        <v>(Set Type not found)</v>
      </c>
      <c r="R683" s="3" t="e">
        <f>tbl_MTG_Set[[#This Row],[Released On]]+tbl_MTG_Set[[#This Row],[Heavy Printing Window Month End]]*365.25/12</f>
        <v>#VALUE!</v>
      </c>
      <c r="S683" s="3" t="e">
        <f ca="1">AND(NOW()&gt;=tbl_MTG_Set[[#This Row],[Heavy Printing Window Start]], NOW()&lt;=tbl_MTG_Set[[#This Row],[Heavy Printing Window End]])</f>
        <v>#VALUE!</v>
      </c>
      <c r="T683" t="str">
        <f>_xlfn.XLOOKUP(tbl_MTG_Set[[#This Row],[Type Name]], tbl_MTG_Set_Type[Set Type], tbl_MTG_Set_Type[Sell Window Month Start], "(Set Type not found)", 0, 1)</f>
        <v>(Set Type not found)</v>
      </c>
      <c r="U683" s="3" t="e">
        <f>tbl_MTG_Set[[#This Row],[Released On]]+tbl_MTG_Set[[#This Row],[Sell Window Month Start]]*365.25/12</f>
        <v>#VALUE!</v>
      </c>
      <c r="V683" t="str">
        <f>_xlfn.XLOOKUP(tbl_MTG_Set[[#This Row],[Type Name]], tbl_MTG_Set_Type[Set Type], tbl_MTG_Set_Type[Sell Window Month End], "(Set Type not found)", 0, 1)</f>
        <v>(Set Type not found)</v>
      </c>
      <c r="W683" s="3" t="e">
        <f>tbl_MTG_Set[[#This Row],[Released On]]+tbl_MTG_Set[[#This Row],[Sell Window Month End]]*365.25/12</f>
        <v>#VALUE!</v>
      </c>
      <c r="X683" s="3" t="e">
        <f ca="1">AND(NOW()&gt;=tbl_MTG_Set[[#This Row],[Sell Window Start]], NOW()&lt;=tbl_MTG_Set[[#This Row],[Sell Window End]])</f>
        <v>#VALUE!</v>
      </c>
      <c r="AG683" s="10"/>
      <c r="AH683" s="10"/>
      <c r="AM683" s="10" t="str" cm="1">
        <f t="array" ref="AM6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3" s="10" t="str" cm="1">
        <f t="array" ref="AN6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3" s="4" t="e">
        <f>_xlfn.XLOOKUP(tbl_MTG_Set[[#This Row],[Play Booster Box Product Id]], tbl_Product[Product Id], tbl_Product[Pack Size])</f>
        <v>#N/A</v>
      </c>
      <c r="AP683" s="10" t="e">
        <f>(tbl_MTG_Set[[#This Row],[Play Booster Box Cost]]+v_Item_Shipping_Cost_In)/tbl_MTG_Set[[#This Row],[Play Booster Box Size]]</f>
        <v>#VALUE!</v>
      </c>
      <c r="AQ683" s="10" t="str" cm="1">
        <f t="array" ref="AQ6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3" s="10"/>
      <c r="AS683" s="10"/>
      <c r="AT683" s="17" t="e">
        <f>tbl_MTG_Set[[#This Row],[Play Booster CardMarket Profit]]/tbl_MTG_Set[[#This Row],[Play Booster Cost]]</f>
        <v>#VALUE!</v>
      </c>
      <c r="AU683" s="10" t="e">
        <f>_xlfn.XLOOKUP(tbl_MTG_Set[[#This Row],[Collector Booster Box Product Id]], tbl_Product[Product Id], tbl_Product[Min Cost])</f>
        <v>#N/A</v>
      </c>
      <c r="AV683" s="10" t="e">
        <f>_xlfn.XLOOKUP(tbl_MTG_Set[[#This Row],[Collector Booster Box Product Id]], tbl_Product[Product Id], tbl_Product[Best Source])</f>
        <v>#N/A</v>
      </c>
      <c r="AW683" s="4" t="e">
        <f>_xlfn.XLOOKUP(tbl_MTG_Set[[#This Row],[Collector Booster Box Product Id]], tbl_Product[Product Id], tbl_Product[Pack Size])</f>
        <v>#N/A</v>
      </c>
      <c r="AX683" s="10" t="e">
        <f>(tbl_MTG_Set[[#This Row],[Collector Booster Box Cost]] + v_Item_Shipping_Cost_In) / tbl_MTG_Set[[#This Row],[Collector Booster Box Size]]</f>
        <v>#N/A</v>
      </c>
      <c r="AY683" s="10" t="str" cm="1">
        <f t="array" ref="AY6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3" s="10"/>
      <c r="BA6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3" s="17" t="e">
        <f>tbl_MTG_Set[[#This Row],[Collector Booster CardMarket Profit]]/tbl_MTG_Set[[#This Row],[Collector Booster Cost]]</f>
        <v>#N/A</v>
      </c>
      <c r="BC683" s="10"/>
      <c r="BF6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3" s="11" t="e">
        <f>tbl_MTG_Set[[#This Row],[Play Singles CardMarket Profit MTG Stocks]]/tbl_MTG_Set[[#This Row],[Play Booster Cost]]</f>
        <v>#VALUE!</v>
      </c>
      <c r="BI683" s="11" t="b">
        <f>tbl_MTG_Set[[#This Row],[Play Singles CardMarket Profit MTG Stocks]]&gt;0</f>
        <v>0</v>
      </c>
      <c r="BM683" s="10" t="e">
        <f>tbl_MTG_Set[[#This Row],[Play Booster Sell Price CardMarket]]*tbl_MTG_Set[[#This Row],[Play Booster Expected Market Value BotBox]]/tbl_MTG_Set[[#This Row],[Play Booster Sealed Market Value BotBox]]</f>
        <v>#VALUE!</v>
      </c>
      <c r="BN6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3" s="10" t="e">
        <f>tbl_MTG_Set[[#This Row],[Play Singles CardMarket Profit BotBox]]/tbl_MTG_Set[[#This Row],[Play Booster Cost]]</f>
        <v>#VALUE!</v>
      </c>
      <c r="BP683" s="10" t="b">
        <f>tbl_MTG_Set[[#This Row],[Play Singles CardMarket Profit BotBox]]&gt;0</f>
        <v>0</v>
      </c>
      <c r="BQ683" s="10"/>
      <c r="BR683" s="10"/>
      <c r="BS683" s="10"/>
      <c r="BT6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3" s="19" t="e">
        <f>tbl_MTG_Set[[#This Row],[Collector Singles CardMarket Profit MTG Stocks]]/tbl_MTG_Set[[#This Row],[Collector Booster Cost]]</f>
        <v>#N/A</v>
      </c>
      <c r="BW683" s="10" t="b">
        <f>tbl_MTG_Set[[#This Row],[Collector Singles CardMarket Profit MTG Stocks]]&gt;0</f>
        <v>0</v>
      </c>
      <c r="BX683" s="10"/>
      <c r="BY683" s="10"/>
      <c r="BZ6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3" s="10" t="e">
        <f>tbl_MTG_Set[[#This Row],[Collector Singles CardMarket Profit BotBox]]/tbl_MTG_Set[[#This Row],[Collector Booster Cost]]</f>
        <v>#N/A</v>
      </c>
      <c r="CC683" s="10" t="b">
        <f>tbl_MTG_Set[[#This Row],[Collector Singles CardMarket Profit BotBox]]&gt;0</f>
        <v>0</v>
      </c>
      <c r="CD6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4" spans="1:86" hidden="1">
      <c r="A684">
        <v>716</v>
      </c>
      <c r="B684" t="s">
        <v>857</v>
      </c>
      <c r="C684">
        <v>264</v>
      </c>
      <c r="D684" s="3">
        <v>40816</v>
      </c>
      <c r="F684" t="s">
        <v>174</v>
      </c>
      <c r="G684">
        <v>1378</v>
      </c>
      <c r="H684">
        <f ca="1">MONTH(NOW())+12*YEAR(NOW())-MONTH(tbl_MTG_Set[[#This Row],[Released On]])-12*YEAR(tbl_MTG_Set[[#This Row],[Released On]])</f>
        <v>174</v>
      </c>
      <c r="I684" t="str">
        <f>_xlfn.XLOOKUP(tbl_MTG_Set[[#This Row],[Type Name]], tbl_MTG_Set_Type[Set Type], tbl_MTG_Set_Type[Index], "(Set Type not found)")</f>
        <v>(Set Type not found)</v>
      </c>
      <c r="J684" t="str">
        <f>_xlfn.XLOOKUP(tbl_MTG_Set[[#This Row],[Type Name]], tbl_MTG_Set_Type[Set Type], tbl_MTG_Set_Type[Buy Window Month Start], "(Set Type not found)")</f>
        <v>(Set Type not found)</v>
      </c>
      <c r="K684" s="3" t="e">
        <f>tbl_MTG_Set[[#This Row],[Released On]]+tbl_MTG_Set[[#This Row],[Buy Window Month Start]]*365.25/12</f>
        <v>#VALUE!</v>
      </c>
      <c r="L684" t="str">
        <f>_xlfn.XLOOKUP(tbl_MTG_Set[[#This Row],[Type Name]], tbl_MTG_Set_Type[Set Type], tbl_MTG_Set_Type[Buy Window Month End], "(Set Type not found)", 0, 1)</f>
        <v>(Set Type not found)</v>
      </c>
      <c r="M684" s="3" t="e">
        <f>tbl_MTG_Set[[#This Row],[Released On]]+tbl_MTG_Set[[#This Row],[Buy Window Month End]]*365.25/12</f>
        <v>#VALUE!</v>
      </c>
      <c r="N684" s="3" t="e">
        <f ca="1">AND(NOW()&gt;=tbl_MTG_Set[[#This Row],[Buy Window Start]], NOW()&lt;=tbl_MTG_Set[[#This Row],[Buy Window End]])</f>
        <v>#VALUE!</v>
      </c>
      <c r="O684" t="str">
        <f>_xlfn.XLOOKUP(tbl_MTG_Set[[#This Row],[Type Name]], tbl_MTG_Set_Type[Set Type], tbl_MTG_Set_Type[Heavy Printing Window Month Start], "(Set Type not found)", 0, 1)</f>
        <v>(Set Type not found)</v>
      </c>
      <c r="P684" s="3" t="e">
        <f>tbl_MTG_Set[[#This Row],[Released On]]+tbl_MTG_Set[[#This Row],[Heavy Printing Window Month Start]]*365.25/12</f>
        <v>#VALUE!</v>
      </c>
      <c r="Q684" t="str">
        <f>_xlfn.XLOOKUP(tbl_MTG_Set[[#This Row],[Type Name]], tbl_MTG_Set_Type[Set Type], tbl_MTG_Set_Type[Heavy Printing Window Month End], "(Set Type not found)", 0, 1)</f>
        <v>(Set Type not found)</v>
      </c>
      <c r="R684" s="3" t="e">
        <f>tbl_MTG_Set[[#This Row],[Released On]]+tbl_MTG_Set[[#This Row],[Heavy Printing Window Month End]]*365.25/12</f>
        <v>#VALUE!</v>
      </c>
      <c r="S684" s="3" t="e">
        <f ca="1">AND(NOW()&gt;=tbl_MTG_Set[[#This Row],[Heavy Printing Window Start]], NOW()&lt;=tbl_MTG_Set[[#This Row],[Heavy Printing Window End]])</f>
        <v>#VALUE!</v>
      </c>
      <c r="T684" t="str">
        <f>_xlfn.XLOOKUP(tbl_MTG_Set[[#This Row],[Type Name]], tbl_MTG_Set_Type[Set Type], tbl_MTG_Set_Type[Sell Window Month Start], "(Set Type not found)", 0, 1)</f>
        <v>(Set Type not found)</v>
      </c>
      <c r="U684" s="3" t="e">
        <f>tbl_MTG_Set[[#This Row],[Released On]]+tbl_MTG_Set[[#This Row],[Sell Window Month Start]]*365.25/12</f>
        <v>#VALUE!</v>
      </c>
      <c r="V684" t="str">
        <f>_xlfn.XLOOKUP(tbl_MTG_Set[[#This Row],[Type Name]], tbl_MTG_Set_Type[Set Type], tbl_MTG_Set_Type[Sell Window Month End], "(Set Type not found)", 0, 1)</f>
        <v>(Set Type not found)</v>
      </c>
      <c r="W684" s="3" t="e">
        <f>tbl_MTG_Set[[#This Row],[Released On]]+tbl_MTG_Set[[#This Row],[Sell Window Month End]]*365.25/12</f>
        <v>#VALUE!</v>
      </c>
      <c r="X684" s="3" t="e">
        <f ca="1">AND(NOW()&gt;=tbl_MTG_Set[[#This Row],[Sell Window Start]], NOW()&lt;=tbl_MTG_Set[[#This Row],[Sell Window End]])</f>
        <v>#VALUE!</v>
      </c>
      <c r="AG684" s="10"/>
      <c r="AH684" s="10"/>
      <c r="AM684" s="10" t="str" cm="1">
        <f t="array" ref="AM6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4" s="10" t="str" cm="1">
        <f t="array" ref="AN6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4" s="4" t="e">
        <f>_xlfn.XLOOKUP(tbl_MTG_Set[[#This Row],[Play Booster Box Product Id]], tbl_Product[Product Id], tbl_Product[Pack Size])</f>
        <v>#N/A</v>
      </c>
      <c r="AP684" s="10" t="e">
        <f>(tbl_MTG_Set[[#This Row],[Play Booster Box Cost]]+v_Item_Shipping_Cost_In)/tbl_MTG_Set[[#This Row],[Play Booster Box Size]]</f>
        <v>#VALUE!</v>
      </c>
      <c r="AQ684" s="10" t="str" cm="1">
        <f t="array" ref="AQ6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4" s="10"/>
      <c r="AS684" s="10"/>
      <c r="AT684" s="17" t="e">
        <f>tbl_MTG_Set[[#This Row],[Play Booster CardMarket Profit]]/tbl_MTG_Set[[#This Row],[Play Booster Cost]]</f>
        <v>#VALUE!</v>
      </c>
      <c r="AU684" s="10" t="e">
        <f>_xlfn.XLOOKUP(tbl_MTG_Set[[#This Row],[Collector Booster Box Product Id]], tbl_Product[Product Id], tbl_Product[Min Cost])</f>
        <v>#N/A</v>
      </c>
      <c r="AV684" s="10" t="e">
        <f>_xlfn.XLOOKUP(tbl_MTG_Set[[#This Row],[Collector Booster Box Product Id]], tbl_Product[Product Id], tbl_Product[Best Source])</f>
        <v>#N/A</v>
      </c>
      <c r="AW684" s="4" t="e">
        <f>_xlfn.XLOOKUP(tbl_MTG_Set[[#This Row],[Collector Booster Box Product Id]], tbl_Product[Product Id], tbl_Product[Pack Size])</f>
        <v>#N/A</v>
      </c>
      <c r="AX684" s="10" t="e">
        <f>(tbl_MTG_Set[[#This Row],[Collector Booster Box Cost]] + v_Item_Shipping_Cost_In) / tbl_MTG_Set[[#This Row],[Collector Booster Box Size]]</f>
        <v>#N/A</v>
      </c>
      <c r="AY684" s="10" t="str" cm="1">
        <f t="array" ref="AY6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4" s="10"/>
      <c r="BA6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4" s="17" t="e">
        <f>tbl_MTG_Set[[#This Row],[Collector Booster CardMarket Profit]]/tbl_MTG_Set[[#This Row],[Collector Booster Cost]]</f>
        <v>#N/A</v>
      </c>
      <c r="BC684" s="10"/>
      <c r="BF6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4" s="11" t="e">
        <f>tbl_MTG_Set[[#This Row],[Play Singles CardMarket Profit MTG Stocks]]/tbl_MTG_Set[[#This Row],[Play Booster Cost]]</f>
        <v>#VALUE!</v>
      </c>
      <c r="BI684" s="11" t="b">
        <f>tbl_MTG_Set[[#This Row],[Play Singles CardMarket Profit MTG Stocks]]&gt;0</f>
        <v>0</v>
      </c>
      <c r="BM684" s="10" t="e">
        <f>tbl_MTG_Set[[#This Row],[Play Booster Sell Price CardMarket]]*tbl_MTG_Set[[#This Row],[Play Booster Expected Market Value BotBox]]/tbl_MTG_Set[[#This Row],[Play Booster Sealed Market Value BotBox]]</f>
        <v>#VALUE!</v>
      </c>
      <c r="BN6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4" s="10" t="e">
        <f>tbl_MTG_Set[[#This Row],[Play Singles CardMarket Profit BotBox]]/tbl_MTG_Set[[#This Row],[Play Booster Cost]]</f>
        <v>#VALUE!</v>
      </c>
      <c r="BP684" s="10" t="b">
        <f>tbl_MTG_Set[[#This Row],[Play Singles CardMarket Profit BotBox]]&gt;0</f>
        <v>0</v>
      </c>
      <c r="BQ684" s="10"/>
      <c r="BR684" s="10"/>
      <c r="BS684" s="10"/>
      <c r="BT6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4" s="19" t="e">
        <f>tbl_MTG_Set[[#This Row],[Collector Singles CardMarket Profit MTG Stocks]]/tbl_MTG_Set[[#This Row],[Collector Booster Cost]]</f>
        <v>#N/A</v>
      </c>
      <c r="BW684" s="10" t="b">
        <f>tbl_MTG_Set[[#This Row],[Collector Singles CardMarket Profit MTG Stocks]]&gt;0</f>
        <v>0</v>
      </c>
      <c r="BX684" s="10"/>
      <c r="BY684" s="10"/>
      <c r="BZ6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4" s="10" t="e">
        <f>tbl_MTG_Set[[#This Row],[Collector Singles CardMarket Profit BotBox]]/tbl_MTG_Set[[#This Row],[Collector Booster Cost]]</f>
        <v>#N/A</v>
      </c>
      <c r="CC684" s="10" t="b">
        <f>tbl_MTG_Set[[#This Row],[Collector Singles CardMarket Profit BotBox]]&gt;0</f>
        <v>0</v>
      </c>
      <c r="CD6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5" spans="1:86" hidden="1">
      <c r="A685">
        <v>717</v>
      </c>
      <c r="B685" t="s">
        <v>858</v>
      </c>
      <c r="C685">
        <v>5</v>
      </c>
      <c r="D685" s="3">
        <v>40810</v>
      </c>
      <c r="F685" t="s">
        <v>174</v>
      </c>
      <c r="G685">
        <v>1380</v>
      </c>
      <c r="H685">
        <f ca="1">MONTH(NOW())+12*YEAR(NOW())-MONTH(tbl_MTG_Set[[#This Row],[Released On]])-12*YEAR(tbl_MTG_Set[[#This Row],[Released On]])</f>
        <v>174</v>
      </c>
      <c r="I685" t="str">
        <f>_xlfn.XLOOKUP(tbl_MTG_Set[[#This Row],[Type Name]], tbl_MTG_Set_Type[Set Type], tbl_MTG_Set_Type[Index], "(Set Type not found)")</f>
        <v>(Set Type not found)</v>
      </c>
      <c r="J685" t="str">
        <f>_xlfn.XLOOKUP(tbl_MTG_Set[[#This Row],[Type Name]], tbl_MTG_Set_Type[Set Type], tbl_MTG_Set_Type[Buy Window Month Start], "(Set Type not found)")</f>
        <v>(Set Type not found)</v>
      </c>
      <c r="K685" s="3" t="e">
        <f>tbl_MTG_Set[[#This Row],[Released On]]+tbl_MTG_Set[[#This Row],[Buy Window Month Start]]*365.25/12</f>
        <v>#VALUE!</v>
      </c>
      <c r="L685" t="str">
        <f>_xlfn.XLOOKUP(tbl_MTG_Set[[#This Row],[Type Name]], tbl_MTG_Set_Type[Set Type], tbl_MTG_Set_Type[Buy Window Month End], "(Set Type not found)", 0, 1)</f>
        <v>(Set Type not found)</v>
      </c>
      <c r="M685" s="3" t="e">
        <f>tbl_MTG_Set[[#This Row],[Released On]]+tbl_MTG_Set[[#This Row],[Buy Window Month End]]*365.25/12</f>
        <v>#VALUE!</v>
      </c>
      <c r="N685" s="3" t="e">
        <f ca="1">AND(NOW()&gt;=tbl_MTG_Set[[#This Row],[Buy Window Start]], NOW()&lt;=tbl_MTG_Set[[#This Row],[Buy Window End]])</f>
        <v>#VALUE!</v>
      </c>
      <c r="O685" t="str">
        <f>_xlfn.XLOOKUP(tbl_MTG_Set[[#This Row],[Type Name]], tbl_MTG_Set_Type[Set Type], tbl_MTG_Set_Type[Heavy Printing Window Month Start], "(Set Type not found)", 0, 1)</f>
        <v>(Set Type not found)</v>
      </c>
      <c r="P685" s="3" t="e">
        <f>tbl_MTG_Set[[#This Row],[Released On]]+tbl_MTG_Set[[#This Row],[Heavy Printing Window Month Start]]*365.25/12</f>
        <v>#VALUE!</v>
      </c>
      <c r="Q685" t="str">
        <f>_xlfn.XLOOKUP(tbl_MTG_Set[[#This Row],[Type Name]], tbl_MTG_Set_Type[Set Type], tbl_MTG_Set_Type[Heavy Printing Window Month End], "(Set Type not found)", 0, 1)</f>
        <v>(Set Type not found)</v>
      </c>
      <c r="R685" s="3" t="e">
        <f>tbl_MTG_Set[[#This Row],[Released On]]+tbl_MTG_Set[[#This Row],[Heavy Printing Window Month End]]*365.25/12</f>
        <v>#VALUE!</v>
      </c>
      <c r="S685" s="3" t="e">
        <f ca="1">AND(NOW()&gt;=tbl_MTG_Set[[#This Row],[Heavy Printing Window Start]], NOW()&lt;=tbl_MTG_Set[[#This Row],[Heavy Printing Window End]])</f>
        <v>#VALUE!</v>
      </c>
      <c r="T685" t="str">
        <f>_xlfn.XLOOKUP(tbl_MTG_Set[[#This Row],[Type Name]], tbl_MTG_Set_Type[Set Type], tbl_MTG_Set_Type[Sell Window Month Start], "(Set Type not found)", 0, 1)</f>
        <v>(Set Type not found)</v>
      </c>
      <c r="U685" s="3" t="e">
        <f>tbl_MTG_Set[[#This Row],[Released On]]+tbl_MTG_Set[[#This Row],[Sell Window Month Start]]*365.25/12</f>
        <v>#VALUE!</v>
      </c>
      <c r="V685" t="str">
        <f>_xlfn.XLOOKUP(tbl_MTG_Set[[#This Row],[Type Name]], tbl_MTG_Set_Type[Set Type], tbl_MTG_Set_Type[Sell Window Month End], "(Set Type not found)", 0, 1)</f>
        <v>(Set Type not found)</v>
      </c>
      <c r="W685" s="3" t="e">
        <f>tbl_MTG_Set[[#This Row],[Released On]]+tbl_MTG_Set[[#This Row],[Sell Window Month End]]*365.25/12</f>
        <v>#VALUE!</v>
      </c>
      <c r="X685" s="3" t="e">
        <f ca="1">AND(NOW()&gt;=tbl_MTG_Set[[#This Row],[Sell Window Start]], NOW()&lt;=tbl_MTG_Set[[#This Row],[Sell Window End]])</f>
        <v>#VALUE!</v>
      </c>
      <c r="AG685" s="10"/>
      <c r="AH685" s="10"/>
      <c r="AM685" s="10" t="str" cm="1">
        <f t="array" ref="AM6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5" s="10" t="str" cm="1">
        <f t="array" ref="AN6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5" s="4" t="e">
        <f>_xlfn.XLOOKUP(tbl_MTG_Set[[#This Row],[Play Booster Box Product Id]], tbl_Product[Product Id], tbl_Product[Pack Size])</f>
        <v>#N/A</v>
      </c>
      <c r="AP685" s="10" t="e">
        <f>(tbl_MTG_Set[[#This Row],[Play Booster Box Cost]]+v_Item_Shipping_Cost_In)/tbl_MTG_Set[[#This Row],[Play Booster Box Size]]</f>
        <v>#VALUE!</v>
      </c>
      <c r="AQ685" s="10" t="str" cm="1">
        <f t="array" ref="AQ6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5" s="10"/>
      <c r="AS685" s="10"/>
      <c r="AT685" s="17" t="e">
        <f>tbl_MTG_Set[[#This Row],[Play Booster CardMarket Profit]]/tbl_MTG_Set[[#This Row],[Play Booster Cost]]</f>
        <v>#VALUE!</v>
      </c>
      <c r="AU685" s="10" t="e">
        <f>_xlfn.XLOOKUP(tbl_MTG_Set[[#This Row],[Collector Booster Box Product Id]], tbl_Product[Product Id], tbl_Product[Min Cost])</f>
        <v>#N/A</v>
      </c>
      <c r="AV685" s="10" t="e">
        <f>_xlfn.XLOOKUP(tbl_MTG_Set[[#This Row],[Collector Booster Box Product Id]], tbl_Product[Product Id], tbl_Product[Best Source])</f>
        <v>#N/A</v>
      </c>
      <c r="AW685" s="4" t="e">
        <f>_xlfn.XLOOKUP(tbl_MTG_Set[[#This Row],[Collector Booster Box Product Id]], tbl_Product[Product Id], tbl_Product[Pack Size])</f>
        <v>#N/A</v>
      </c>
      <c r="AX685" s="10" t="e">
        <f>(tbl_MTG_Set[[#This Row],[Collector Booster Box Cost]] + v_Item_Shipping_Cost_In) / tbl_MTG_Set[[#This Row],[Collector Booster Box Size]]</f>
        <v>#N/A</v>
      </c>
      <c r="AY685" s="10" t="str" cm="1">
        <f t="array" ref="AY6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5" s="10"/>
      <c r="BA6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5" s="17" t="e">
        <f>tbl_MTG_Set[[#This Row],[Collector Booster CardMarket Profit]]/tbl_MTG_Set[[#This Row],[Collector Booster Cost]]</f>
        <v>#N/A</v>
      </c>
      <c r="BC685" s="10"/>
      <c r="BF6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5" s="11" t="e">
        <f>tbl_MTG_Set[[#This Row],[Play Singles CardMarket Profit MTG Stocks]]/tbl_MTG_Set[[#This Row],[Play Booster Cost]]</f>
        <v>#VALUE!</v>
      </c>
      <c r="BI685" s="11" t="b">
        <f>tbl_MTG_Set[[#This Row],[Play Singles CardMarket Profit MTG Stocks]]&gt;0</f>
        <v>0</v>
      </c>
      <c r="BM685" s="10" t="e">
        <f>tbl_MTG_Set[[#This Row],[Play Booster Sell Price CardMarket]]*tbl_MTG_Set[[#This Row],[Play Booster Expected Market Value BotBox]]/tbl_MTG_Set[[#This Row],[Play Booster Sealed Market Value BotBox]]</f>
        <v>#VALUE!</v>
      </c>
      <c r="BN6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5" s="10" t="e">
        <f>tbl_MTG_Set[[#This Row],[Play Singles CardMarket Profit BotBox]]/tbl_MTG_Set[[#This Row],[Play Booster Cost]]</f>
        <v>#VALUE!</v>
      </c>
      <c r="BP685" s="10" t="b">
        <f>tbl_MTG_Set[[#This Row],[Play Singles CardMarket Profit BotBox]]&gt;0</f>
        <v>0</v>
      </c>
      <c r="BQ685" s="10"/>
      <c r="BR685" s="10"/>
      <c r="BS685" s="10"/>
      <c r="BT6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5" s="19" t="e">
        <f>tbl_MTG_Set[[#This Row],[Collector Singles CardMarket Profit MTG Stocks]]/tbl_MTG_Set[[#This Row],[Collector Booster Cost]]</f>
        <v>#N/A</v>
      </c>
      <c r="BW685" s="10" t="b">
        <f>tbl_MTG_Set[[#This Row],[Collector Singles CardMarket Profit MTG Stocks]]&gt;0</f>
        <v>0</v>
      </c>
      <c r="BX685" s="10"/>
      <c r="BY685" s="10"/>
      <c r="BZ6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5" s="10" t="e">
        <f>tbl_MTG_Set[[#This Row],[Collector Singles CardMarket Profit BotBox]]/tbl_MTG_Set[[#This Row],[Collector Booster Cost]]</f>
        <v>#N/A</v>
      </c>
      <c r="CC685" s="10" t="b">
        <f>tbl_MTG_Set[[#This Row],[Collector Singles CardMarket Profit BotBox]]&gt;0</f>
        <v>0</v>
      </c>
      <c r="CD6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6" spans="1:86" hidden="1">
      <c r="A686">
        <v>718</v>
      </c>
      <c r="B686" t="s">
        <v>859</v>
      </c>
      <c r="C686">
        <v>13</v>
      </c>
      <c r="D686" s="3">
        <v>40816</v>
      </c>
      <c r="E686" t="s">
        <v>59</v>
      </c>
      <c r="F686" t="s">
        <v>174</v>
      </c>
      <c r="G686">
        <v>1382</v>
      </c>
      <c r="H686">
        <f ca="1">MONTH(NOW())+12*YEAR(NOW())-MONTH(tbl_MTG_Set[[#This Row],[Released On]])-12*YEAR(tbl_MTG_Set[[#This Row],[Released On]])</f>
        <v>174</v>
      </c>
      <c r="I686">
        <f>_xlfn.XLOOKUP(tbl_MTG_Set[[#This Row],[Type Name]], tbl_MTG_Set_Type[Set Type], tbl_MTG_Set_Type[Index], "(Set Type not found)")</f>
        <v>1</v>
      </c>
      <c r="J686">
        <f>_xlfn.XLOOKUP(tbl_MTG_Set[[#This Row],[Type Name]], tbl_MTG_Set_Type[Set Type], tbl_MTG_Set_Type[Buy Window Month Start], "(Set Type not found)")</f>
        <v>18</v>
      </c>
      <c r="K686" s="3">
        <f>tbl_MTG_Set[[#This Row],[Released On]]+tbl_MTG_Set[[#This Row],[Buy Window Month Start]]*365.25/12</f>
        <v>41363.875</v>
      </c>
      <c r="L686">
        <f>_xlfn.XLOOKUP(tbl_MTG_Set[[#This Row],[Type Name]], tbl_MTG_Set_Type[Set Type], tbl_MTG_Set_Type[Buy Window Month End], "(Set Type not found)", 0, 1)</f>
        <v>24</v>
      </c>
      <c r="M686" s="3">
        <f>tbl_MTG_Set[[#This Row],[Released On]]+tbl_MTG_Set[[#This Row],[Buy Window Month End]]*365.25/12</f>
        <v>41546.5</v>
      </c>
      <c r="N686" s="3" t="b">
        <f ca="1">AND(NOW()&gt;=tbl_MTG_Set[[#This Row],[Buy Window Start]], NOW()&lt;=tbl_MTG_Set[[#This Row],[Buy Window End]])</f>
        <v>0</v>
      </c>
      <c r="O686">
        <f>_xlfn.XLOOKUP(tbl_MTG_Set[[#This Row],[Type Name]], tbl_MTG_Set_Type[Set Type], tbl_MTG_Set_Type[Heavy Printing Window Month Start], "(Set Type not found)", 0, 1)</f>
        <v>1</v>
      </c>
      <c r="P686" s="3">
        <f>tbl_MTG_Set[[#This Row],[Released On]]+tbl_MTG_Set[[#This Row],[Heavy Printing Window Month Start]]*365.25/12</f>
        <v>40846.4375</v>
      </c>
      <c r="Q686">
        <f>_xlfn.XLOOKUP(tbl_MTG_Set[[#This Row],[Type Name]], tbl_MTG_Set_Type[Set Type], tbl_MTG_Set_Type[Heavy Printing Window Month End], "(Set Type not found)", 0, 1)</f>
        <v>18</v>
      </c>
      <c r="R686" s="3">
        <f>tbl_MTG_Set[[#This Row],[Released On]]+tbl_MTG_Set[[#This Row],[Heavy Printing Window Month End]]*365.25/12</f>
        <v>41363.875</v>
      </c>
      <c r="S686" s="3" t="b">
        <f ca="1">AND(NOW()&gt;=tbl_MTG_Set[[#This Row],[Heavy Printing Window Start]], NOW()&lt;=tbl_MTG_Set[[#This Row],[Heavy Printing Window End]])</f>
        <v>0</v>
      </c>
      <c r="T686">
        <f>_xlfn.XLOOKUP(tbl_MTG_Set[[#This Row],[Type Name]], tbl_MTG_Set_Type[Set Type], tbl_MTG_Set_Type[Sell Window Month Start], "(Set Type not found)", 0, 1)</f>
        <v>36</v>
      </c>
      <c r="U686" s="3">
        <f>tbl_MTG_Set[[#This Row],[Released On]]+tbl_MTG_Set[[#This Row],[Sell Window Month Start]]*365.25/12</f>
        <v>41911.75</v>
      </c>
      <c r="V686">
        <f>_xlfn.XLOOKUP(tbl_MTG_Set[[#This Row],[Type Name]], tbl_MTG_Set_Type[Set Type], tbl_MTG_Set_Type[Sell Window Month End], "(Set Type not found)", 0, 1)</f>
        <v>48</v>
      </c>
      <c r="W686" s="3">
        <f>tbl_MTG_Set[[#This Row],[Released On]]+tbl_MTG_Set[[#This Row],[Sell Window Month End]]*365.25/12</f>
        <v>42277</v>
      </c>
      <c r="X686" s="3" t="b">
        <f ca="1">AND(NOW()&gt;=tbl_MTG_Set[[#This Row],[Sell Window Start]], NOW()&lt;=tbl_MTG_Set[[#This Row],[Sell Window End]])</f>
        <v>0</v>
      </c>
      <c r="AG686" s="10"/>
      <c r="AH686" s="10"/>
      <c r="AM686" s="10" t="str" cm="1">
        <f t="array" ref="AM6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6" s="10" t="str" cm="1">
        <f t="array" ref="AN6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6" s="4" t="e">
        <f>_xlfn.XLOOKUP(tbl_MTG_Set[[#This Row],[Play Booster Box Product Id]], tbl_Product[Product Id], tbl_Product[Pack Size])</f>
        <v>#N/A</v>
      </c>
      <c r="AP686" s="10" t="e">
        <f>(tbl_MTG_Set[[#This Row],[Play Booster Box Cost]]+v_Item_Shipping_Cost_In)/tbl_MTG_Set[[#This Row],[Play Booster Box Size]]</f>
        <v>#VALUE!</v>
      </c>
      <c r="AQ686" s="10" t="str" cm="1">
        <f t="array" ref="AQ6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6" s="10"/>
      <c r="AS686" s="10"/>
      <c r="AT686" s="17" t="e">
        <f>tbl_MTG_Set[[#This Row],[Play Booster CardMarket Profit]]/tbl_MTG_Set[[#This Row],[Play Booster Cost]]</f>
        <v>#VALUE!</v>
      </c>
      <c r="AU686" s="10" t="e">
        <f>_xlfn.XLOOKUP(tbl_MTG_Set[[#This Row],[Collector Booster Box Product Id]], tbl_Product[Product Id], tbl_Product[Min Cost])</f>
        <v>#N/A</v>
      </c>
      <c r="AV686" s="10" t="e">
        <f>_xlfn.XLOOKUP(tbl_MTG_Set[[#This Row],[Collector Booster Box Product Id]], tbl_Product[Product Id], tbl_Product[Best Source])</f>
        <v>#N/A</v>
      </c>
      <c r="AW686" s="4" t="e">
        <f>_xlfn.XLOOKUP(tbl_MTG_Set[[#This Row],[Collector Booster Box Product Id]], tbl_Product[Product Id], tbl_Product[Pack Size])</f>
        <v>#N/A</v>
      </c>
      <c r="AX686" s="10" t="e">
        <f>(tbl_MTG_Set[[#This Row],[Collector Booster Box Cost]] + v_Item_Shipping_Cost_In) / tbl_MTG_Set[[#This Row],[Collector Booster Box Size]]</f>
        <v>#N/A</v>
      </c>
      <c r="AY686" s="10" t="str" cm="1">
        <f t="array" ref="AY6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6" s="10"/>
      <c r="BA6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6" s="17" t="e">
        <f>tbl_MTG_Set[[#This Row],[Collector Booster CardMarket Profit]]/tbl_MTG_Set[[#This Row],[Collector Booster Cost]]</f>
        <v>#N/A</v>
      </c>
      <c r="BC686" s="10"/>
      <c r="BF6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6" s="11" t="e">
        <f>tbl_MTG_Set[[#This Row],[Play Singles CardMarket Profit MTG Stocks]]/tbl_MTG_Set[[#This Row],[Play Booster Cost]]</f>
        <v>#VALUE!</v>
      </c>
      <c r="BI686" s="11" t="b">
        <f>tbl_MTG_Set[[#This Row],[Play Singles CardMarket Profit MTG Stocks]]&gt;0</f>
        <v>0</v>
      </c>
      <c r="BM686" s="10" t="e">
        <f>tbl_MTG_Set[[#This Row],[Play Booster Sell Price CardMarket]]*tbl_MTG_Set[[#This Row],[Play Booster Expected Market Value BotBox]]/tbl_MTG_Set[[#This Row],[Play Booster Sealed Market Value BotBox]]</f>
        <v>#VALUE!</v>
      </c>
      <c r="BN6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6" s="10" t="e">
        <f>tbl_MTG_Set[[#This Row],[Play Singles CardMarket Profit BotBox]]/tbl_MTG_Set[[#This Row],[Play Booster Cost]]</f>
        <v>#VALUE!</v>
      </c>
      <c r="BP686" s="10" t="b">
        <f>tbl_MTG_Set[[#This Row],[Play Singles CardMarket Profit BotBox]]&gt;0</f>
        <v>0</v>
      </c>
      <c r="BQ686" s="10"/>
      <c r="BR686" s="10"/>
      <c r="BS686" s="10"/>
      <c r="BT6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6" s="19" t="e">
        <f>tbl_MTG_Set[[#This Row],[Collector Singles CardMarket Profit MTG Stocks]]/tbl_MTG_Set[[#This Row],[Collector Booster Cost]]</f>
        <v>#N/A</v>
      </c>
      <c r="BW686" s="10" t="b">
        <f>tbl_MTG_Set[[#This Row],[Collector Singles CardMarket Profit MTG Stocks]]&gt;0</f>
        <v>0</v>
      </c>
      <c r="BX686" s="10"/>
      <c r="BY686" s="10"/>
      <c r="BZ6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6" s="10" t="e">
        <f>tbl_MTG_Set[[#This Row],[Collector Singles CardMarket Profit BotBox]]/tbl_MTG_Set[[#This Row],[Collector Booster Cost]]</f>
        <v>#N/A</v>
      </c>
      <c r="CC686" s="10" t="b">
        <f>tbl_MTG_Set[[#This Row],[Collector Singles CardMarket Profit BotBox]]&gt;0</f>
        <v>0</v>
      </c>
      <c r="CD6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7" spans="1:86" hidden="1">
      <c r="A687">
        <v>719</v>
      </c>
      <c r="B687" t="s">
        <v>860</v>
      </c>
      <c r="C687">
        <v>80</v>
      </c>
      <c r="D687" s="3">
        <v>40788</v>
      </c>
      <c r="F687" t="s">
        <v>174</v>
      </c>
      <c r="G687">
        <v>1384</v>
      </c>
      <c r="H687">
        <f ca="1">MONTH(NOW())+12*YEAR(NOW())-MONTH(tbl_MTG_Set[[#This Row],[Released On]])-12*YEAR(tbl_MTG_Set[[#This Row],[Released On]])</f>
        <v>174</v>
      </c>
      <c r="I687" t="str">
        <f>_xlfn.XLOOKUP(tbl_MTG_Set[[#This Row],[Type Name]], tbl_MTG_Set_Type[Set Type], tbl_MTG_Set_Type[Index], "(Set Type not found)")</f>
        <v>(Set Type not found)</v>
      </c>
      <c r="J687" t="str">
        <f>_xlfn.XLOOKUP(tbl_MTG_Set[[#This Row],[Type Name]], tbl_MTG_Set_Type[Set Type], tbl_MTG_Set_Type[Buy Window Month Start], "(Set Type not found)")</f>
        <v>(Set Type not found)</v>
      </c>
      <c r="K687" s="3" t="e">
        <f>tbl_MTG_Set[[#This Row],[Released On]]+tbl_MTG_Set[[#This Row],[Buy Window Month Start]]*365.25/12</f>
        <v>#VALUE!</v>
      </c>
      <c r="L687" t="str">
        <f>_xlfn.XLOOKUP(tbl_MTG_Set[[#This Row],[Type Name]], tbl_MTG_Set_Type[Set Type], tbl_MTG_Set_Type[Buy Window Month End], "(Set Type not found)", 0, 1)</f>
        <v>(Set Type not found)</v>
      </c>
      <c r="M687" s="3" t="e">
        <f>tbl_MTG_Set[[#This Row],[Released On]]+tbl_MTG_Set[[#This Row],[Buy Window Month End]]*365.25/12</f>
        <v>#VALUE!</v>
      </c>
      <c r="N687" s="3" t="e">
        <f ca="1">AND(NOW()&gt;=tbl_MTG_Set[[#This Row],[Buy Window Start]], NOW()&lt;=tbl_MTG_Set[[#This Row],[Buy Window End]])</f>
        <v>#VALUE!</v>
      </c>
      <c r="O687" t="str">
        <f>_xlfn.XLOOKUP(tbl_MTG_Set[[#This Row],[Type Name]], tbl_MTG_Set_Type[Set Type], tbl_MTG_Set_Type[Heavy Printing Window Month Start], "(Set Type not found)", 0, 1)</f>
        <v>(Set Type not found)</v>
      </c>
      <c r="P687" s="3" t="e">
        <f>tbl_MTG_Set[[#This Row],[Released On]]+tbl_MTG_Set[[#This Row],[Heavy Printing Window Month Start]]*365.25/12</f>
        <v>#VALUE!</v>
      </c>
      <c r="Q687" t="str">
        <f>_xlfn.XLOOKUP(tbl_MTG_Set[[#This Row],[Type Name]], tbl_MTG_Set_Type[Set Type], tbl_MTG_Set_Type[Heavy Printing Window Month End], "(Set Type not found)", 0, 1)</f>
        <v>(Set Type not found)</v>
      </c>
      <c r="R687" s="3" t="e">
        <f>tbl_MTG_Set[[#This Row],[Released On]]+tbl_MTG_Set[[#This Row],[Heavy Printing Window Month End]]*365.25/12</f>
        <v>#VALUE!</v>
      </c>
      <c r="S687" s="3" t="e">
        <f ca="1">AND(NOW()&gt;=tbl_MTG_Set[[#This Row],[Heavy Printing Window Start]], NOW()&lt;=tbl_MTG_Set[[#This Row],[Heavy Printing Window End]])</f>
        <v>#VALUE!</v>
      </c>
      <c r="T687" t="str">
        <f>_xlfn.XLOOKUP(tbl_MTG_Set[[#This Row],[Type Name]], tbl_MTG_Set_Type[Set Type], tbl_MTG_Set_Type[Sell Window Month Start], "(Set Type not found)", 0, 1)</f>
        <v>(Set Type not found)</v>
      </c>
      <c r="U687" s="3" t="e">
        <f>tbl_MTG_Set[[#This Row],[Released On]]+tbl_MTG_Set[[#This Row],[Sell Window Month Start]]*365.25/12</f>
        <v>#VALUE!</v>
      </c>
      <c r="V687" t="str">
        <f>_xlfn.XLOOKUP(tbl_MTG_Set[[#This Row],[Type Name]], tbl_MTG_Set_Type[Set Type], tbl_MTG_Set_Type[Sell Window Month End], "(Set Type not found)", 0, 1)</f>
        <v>(Set Type not found)</v>
      </c>
      <c r="W687" s="3" t="e">
        <f>tbl_MTG_Set[[#This Row],[Released On]]+tbl_MTG_Set[[#This Row],[Sell Window Month End]]*365.25/12</f>
        <v>#VALUE!</v>
      </c>
      <c r="X687" s="3" t="e">
        <f ca="1">AND(NOW()&gt;=tbl_MTG_Set[[#This Row],[Sell Window Start]], NOW()&lt;=tbl_MTG_Set[[#This Row],[Sell Window End]])</f>
        <v>#VALUE!</v>
      </c>
      <c r="AG687" s="10"/>
      <c r="AH687" s="10"/>
      <c r="AM687" s="10" t="str" cm="1">
        <f t="array" ref="AM6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7" s="10" t="str" cm="1">
        <f t="array" ref="AN6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7" s="4" t="e">
        <f>_xlfn.XLOOKUP(tbl_MTG_Set[[#This Row],[Play Booster Box Product Id]], tbl_Product[Product Id], tbl_Product[Pack Size])</f>
        <v>#N/A</v>
      </c>
      <c r="AP687" s="10" t="e">
        <f>(tbl_MTG_Set[[#This Row],[Play Booster Box Cost]]+v_Item_Shipping_Cost_In)/tbl_MTG_Set[[#This Row],[Play Booster Box Size]]</f>
        <v>#VALUE!</v>
      </c>
      <c r="AQ687" s="10" t="str" cm="1">
        <f t="array" ref="AQ6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7" s="10"/>
      <c r="AS687" s="10"/>
      <c r="AT687" s="17" t="e">
        <f>tbl_MTG_Set[[#This Row],[Play Booster CardMarket Profit]]/tbl_MTG_Set[[#This Row],[Play Booster Cost]]</f>
        <v>#VALUE!</v>
      </c>
      <c r="AU687" s="10" t="e">
        <f>_xlfn.XLOOKUP(tbl_MTG_Set[[#This Row],[Collector Booster Box Product Id]], tbl_Product[Product Id], tbl_Product[Min Cost])</f>
        <v>#N/A</v>
      </c>
      <c r="AV687" s="10" t="e">
        <f>_xlfn.XLOOKUP(tbl_MTG_Set[[#This Row],[Collector Booster Box Product Id]], tbl_Product[Product Id], tbl_Product[Best Source])</f>
        <v>#N/A</v>
      </c>
      <c r="AW687" s="4" t="e">
        <f>_xlfn.XLOOKUP(tbl_MTG_Set[[#This Row],[Collector Booster Box Product Id]], tbl_Product[Product Id], tbl_Product[Pack Size])</f>
        <v>#N/A</v>
      </c>
      <c r="AX687" s="10" t="e">
        <f>(tbl_MTG_Set[[#This Row],[Collector Booster Box Cost]] + v_Item_Shipping_Cost_In) / tbl_MTG_Set[[#This Row],[Collector Booster Box Size]]</f>
        <v>#N/A</v>
      </c>
      <c r="AY687" s="10" t="str" cm="1">
        <f t="array" ref="AY6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7" s="10"/>
      <c r="BA6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7" s="17" t="e">
        <f>tbl_MTG_Set[[#This Row],[Collector Booster CardMarket Profit]]/tbl_MTG_Set[[#This Row],[Collector Booster Cost]]</f>
        <v>#N/A</v>
      </c>
      <c r="BC687" s="10"/>
      <c r="BF6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7" s="11" t="e">
        <f>tbl_MTG_Set[[#This Row],[Play Singles CardMarket Profit MTG Stocks]]/tbl_MTG_Set[[#This Row],[Play Booster Cost]]</f>
        <v>#VALUE!</v>
      </c>
      <c r="BI687" s="11" t="b">
        <f>tbl_MTG_Set[[#This Row],[Play Singles CardMarket Profit MTG Stocks]]&gt;0</f>
        <v>0</v>
      </c>
      <c r="BM687" s="10" t="e">
        <f>tbl_MTG_Set[[#This Row],[Play Booster Sell Price CardMarket]]*tbl_MTG_Set[[#This Row],[Play Booster Expected Market Value BotBox]]/tbl_MTG_Set[[#This Row],[Play Booster Sealed Market Value BotBox]]</f>
        <v>#VALUE!</v>
      </c>
      <c r="BN6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7" s="10" t="e">
        <f>tbl_MTG_Set[[#This Row],[Play Singles CardMarket Profit BotBox]]/tbl_MTG_Set[[#This Row],[Play Booster Cost]]</f>
        <v>#VALUE!</v>
      </c>
      <c r="BP687" s="10" t="b">
        <f>tbl_MTG_Set[[#This Row],[Play Singles CardMarket Profit BotBox]]&gt;0</f>
        <v>0</v>
      </c>
      <c r="BQ687" s="10"/>
      <c r="BR687" s="10"/>
      <c r="BS687" s="10"/>
      <c r="BT6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7" s="19" t="e">
        <f>tbl_MTG_Set[[#This Row],[Collector Singles CardMarket Profit MTG Stocks]]/tbl_MTG_Set[[#This Row],[Collector Booster Cost]]</f>
        <v>#N/A</v>
      </c>
      <c r="BW687" s="10" t="b">
        <f>tbl_MTG_Set[[#This Row],[Collector Singles CardMarket Profit MTG Stocks]]&gt;0</f>
        <v>0</v>
      </c>
      <c r="BX687" s="10"/>
      <c r="BY687" s="10"/>
      <c r="BZ6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7" s="10" t="e">
        <f>tbl_MTG_Set[[#This Row],[Collector Singles CardMarket Profit BotBox]]/tbl_MTG_Set[[#This Row],[Collector Booster Cost]]</f>
        <v>#N/A</v>
      </c>
      <c r="CC687" s="10" t="b">
        <f>tbl_MTG_Set[[#This Row],[Collector Singles CardMarket Profit BotBox]]&gt;0</f>
        <v>0</v>
      </c>
      <c r="CD6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8" spans="1:86" hidden="1">
      <c r="A688">
        <v>720</v>
      </c>
      <c r="B688" t="s">
        <v>861</v>
      </c>
      <c r="C688">
        <v>2</v>
      </c>
      <c r="D688" s="3">
        <v>40788</v>
      </c>
      <c r="F688" t="s">
        <v>174</v>
      </c>
      <c r="G688">
        <v>1386</v>
      </c>
      <c r="H688">
        <f ca="1">MONTH(NOW())+12*YEAR(NOW())-MONTH(tbl_MTG_Set[[#This Row],[Released On]])-12*YEAR(tbl_MTG_Set[[#This Row],[Released On]])</f>
        <v>174</v>
      </c>
      <c r="I688" t="str">
        <f>_xlfn.XLOOKUP(tbl_MTG_Set[[#This Row],[Type Name]], tbl_MTG_Set_Type[Set Type], tbl_MTG_Set_Type[Index], "(Set Type not found)")</f>
        <v>(Set Type not found)</v>
      </c>
      <c r="J688" t="str">
        <f>_xlfn.XLOOKUP(tbl_MTG_Set[[#This Row],[Type Name]], tbl_MTG_Set_Type[Set Type], tbl_MTG_Set_Type[Buy Window Month Start], "(Set Type not found)")</f>
        <v>(Set Type not found)</v>
      </c>
      <c r="K688" s="3" t="e">
        <f>tbl_MTG_Set[[#This Row],[Released On]]+tbl_MTG_Set[[#This Row],[Buy Window Month Start]]*365.25/12</f>
        <v>#VALUE!</v>
      </c>
      <c r="L688" t="str">
        <f>_xlfn.XLOOKUP(tbl_MTG_Set[[#This Row],[Type Name]], tbl_MTG_Set_Type[Set Type], tbl_MTG_Set_Type[Buy Window Month End], "(Set Type not found)", 0, 1)</f>
        <v>(Set Type not found)</v>
      </c>
      <c r="M688" s="3" t="e">
        <f>tbl_MTG_Set[[#This Row],[Released On]]+tbl_MTG_Set[[#This Row],[Buy Window Month End]]*365.25/12</f>
        <v>#VALUE!</v>
      </c>
      <c r="N688" s="3" t="e">
        <f ca="1">AND(NOW()&gt;=tbl_MTG_Set[[#This Row],[Buy Window Start]], NOW()&lt;=tbl_MTG_Set[[#This Row],[Buy Window End]])</f>
        <v>#VALUE!</v>
      </c>
      <c r="O688" t="str">
        <f>_xlfn.XLOOKUP(tbl_MTG_Set[[#This Row],[Type Name]], tbl_MTG_Set_Type[Set Type], tbl_MTG_Set_Type[Heavy Printing Window Month Start], "(Set Type not found)", 0, 1)</f>
        <v>(Set Type not found)</v>
      </c>
      <c r="P688" s="3" t="e">
        <f>tbl_MTG_Set[[#This Row],[Released On]]+tbl_MTG_Set[[#This Row],[Heavy Printing Window Month Start]]*365.25/12</f>
        <v>#VALUE!</v>
      </c>
      <c r="Q688" t="str">
        <f>_xlfn.XLOOKUP(tbl_MTG_Set[[#This Row],[Type Name]], tbl_MTG_Set_Type[Set Type], tbl_MTG_Set_Type[Heavy Printing Window Month End], "(Set Type not found)", 0, 1)</f>
        <v>(Set Type not found)</v>
      </c>
      <c r="R688" s="3" t="e">
        <f>tbl_MTG_Set[[#This Row],[Released On]]+tbl_MTG_Set[[#This Row],[Heavy Printing Window Month End]]*365.25/12</f>
        <v>#VALUE!</v>
      </c>
      <c r="S688" s="3" t="e">
        <f ca="1">AND(NOW()&gt;=tbl_MTG_Set[[#This Row],[Heavy Printing Window Start]], NOW()&lt;=tbl_MTG_Set[[#This Row],[Heavy Printing Window End]])</f>
        <v>#VALUE!</v>
      </c>
      <c r="T688" t="str">
        <f>_xlfn.XLOOKUP(tbl_MTG_Set[[#This Row],[Type Name]], tbl_MTG_Set_Type[Set Type], tbl_MTG_Set_Type[Sell Window Month Start], "(Set Type not found)", 0, 1)</f>
        <v>(Set Type not found)</v>
      </c>
      <c r="U688" s="3" t="e">
        <f>tbl_MTG_Set[[#This Row],[Released On]]+tbl_MTG_Set[[#This Row],[Sell Window Month Start]]*365.25/12</f>
        <v>#VALUE!</v>
      </c>
      <c r="V688" t="str">
        <f>_xlfn.XLOOKUP(tbl_MTG_Set[[#This Row],[Type Name]], tbl_MTG_Set_Type[Set Type], tbl_MTG_Set_Type[Sell Window Month End], "(Set Type not found)", 0, 1)</f>
        <v>(Set Type not found)</v>
      </c>
      <c r="W688" s="3" t="e">
        <f>tbl_MTG_Set[[#This Row],[Released On]]+tbl_MTG_Set[[#This Row],[Sell Window Month End]]*365.25/12</f>
        <v>#VALUE!</v>
      </c>
      <c r="X688" s="3" t="e">
        <f ca="1">AND(NOW()&gt;=tbl_MTG_Set[[#This Row],[Sell Window Start]], NOW()&lt;=tbl_MTG_Set[[#This Row],[Sell Window End]])</f>
        <v>#VALUE!</v>
      </c>
      <c r="AG688" s="10"/>
      <c r="AH688" s="10"/>
      <c r="AM688" s="10" t="str" cm="1">
        <f t="array" ref="AM6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8" s="10" t="str" cm="1">
        <f t="array" ref="AN6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8" s="4" t="e">
        <f>_xlfn.XLOOKUP(tbl_MTG_Set[[#This Row],[Play Booster Box Product Id]], tbl_Product[Product Id], tbl_Product[Pack Size])</f>
        <v>#N/A</v>
      </c>
      <c r="AP688" s="10" t="e">
        <f>(tbl_MTG_Set[[#This Row],[Play Booster Box Cost]]+v_Item_Shipping_Cost_In)/tbl_MTG_Set[[#This Row],[Play Booster Box Size]]</f>
        <v>#VALUE!</v>
      </c>
      <c r="AQ688" s="10" t="str" cm="1">
        <f t="array" ref="AQ6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8" s="10"/>
      <c r="AS688" s="10"/>
      <c r="AT688" s="17" t="e">
        <f>tbl_MTG_Set[[#This Row],[Play Booster CardMarket Profit]]/tbl_MTG_Set[[#This Row],[Play Booster Cost]]</f>
        <v>#VALUE!</v>
      </c>
      <c r="AU688" s="10" t="e">
        <f>_xlfn.XLOOKUP(tbl_MTG_Set[[#This Row],[Collector Booster Box Product Id]], tbl_Product[Product Id], tbl_Product[Min Cost])</f>
        <v>#N/A</v>
      </c>
      <c r="AV688" s="10" t="e">
        <f>_xlfn.XLOOKUP(tbl_MTG_Set[[#This Row],[Collector Booster Box Product Id]], tbl_Product[Product Id], tbl_Product[Best Source])</f>
        <v>#N/A</v>
      </c>
      <c r="AW688" s="4" t="e">
        <f>_xlfn.XLOOKUP(tbl_MTG_Set[[#This Row],[Collector Booster Box Product Id]], tbl_Product[Product Id], tbl_Product[Pack Size])</f>
        <v>#N/A</v>
      </c>
      <c r="AX688" s="10" t="e">
        <f>(tbl_MTG_Set[[#This Row],[Collector Booster Box Cost]] + v_Item_Shipping_Cost_In) / tbl_MTG_Set[[#This Row],[Collector Booster Box Size]]</f>
        <v>#N/A</v>
      </c>
      <c r="AY688" s="10" t="str" cm="1">
        <f t="array" ref="AY6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8" s="10"/>
      <c r="BA6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8" s="17" t="e">
        <f>tbl_MTG_Set[[#This Row],[Collector Booster CardMarket Profit]]/tbl_MTG_Set[[#This Row],[Collector Booster Cost]]</f>
        <v>#N/A</v>
      </c>
      <c r="BC688" s="10"/>
      <c r="BF6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8" s="11" t="e">
        <f>tbl_MTG_Set[[#This Row],[Play Singles CardMarket Profit MTG Stocks]]/tbl_MTG_Set[[#This Row],[Play Booster Cost]]</f>
        <v>#VALUE!</v>
      </c>
      <c r="BI688" s="11" t="b">
        <f>tbl_MTG_Set[[#This Row],[Play Singles CardMarket Profit MTG Stocks]]&gt;0</f>
        <v>0</v>
      </c>
      <c r="BM688" s="10" t="e">
        <f>tbl_MTG_Set[[#This Row],[Play Booster Sell Price CardMarket]]*tbl_MTG_Set[[#This Row],[Play Booster Expected Market Value BotBox]]/tbl_MTG_Set[[#This Row],[Play Booster Sealed Market Value BotBox]]</f>
        <v>#VALUE!</v>
      </c>
      <c r="BN6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8" s="10" t="e">
        <f>tbl_MTG_Set[[#This Row],[Play Singles CardMarket Profit BotBox]]/tbl_MTG_Set[[#This Row],[Play Booster Cost]]</f>
        <v>#VALUE!</v>
      </c>
      <c r="BP688" s="10" t="b">
        <f>tbl_MTG_Set[[#This Row],[Play Singles CardMarket Profit BotBox]]&gt;0</f>
        <v>0</v>
      </c>
      <c r="BQ688" s="10"/>
      <c r="BR688" s="10"/>
      <c r="BS688" s="10"/>
      <c r="BT6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8" s="19" t="e">
        <f>tbl_MTG_Set[[#This Row],[Collector Singles CardMarket Profit MTG Stocks]]/tbl_MTG_Set[[#This Row],[Collector Booster Cost]]</f>
        <v>#N/A</v>
      </c>
      <c r="BW688" s="10" t="b">
        <f>tbl_MTG_Set[[#This Row],[Collector Singles CardMarket Profit MTG Stocks]]&gt;0</f>
        <v>0</v>
      </c>
      <c r="BX688" s="10"/>
      <c r="BY688" s="10"/>
      <c r="BZ6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8" s="10" t="e">
        <f>tbl_MTG_Set[[#This Row],[Collector Singles CardMarket Profit BotBox]]/tbl_MTG_Set[[#This Row],[Collector Booster Cost]]</f>
        <v>#N/A</v>
      </c>
      <c r="CC688" s="10" t="b">
        <f>tbl_MTG_Set[[#This Row],[Collector Singles CardMarket Profit BotBox]]&gt;0</f>
        <v>0</v>
      </c>
      <c r="CD6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89" spans="1:86" hidden="1">
      <c r="A689">
        <v>721</v>
      </c>
      <c r="B689" t="s">
        <v>862</v>
      </c>
      <c r="C689">
        <v>15</v>
      </c>
      <c r="D689" s="3">
        <v>40781</v>
      </c>
      <c r="F689" t="s">
        <v>174</v>
      </c>
      <c r="G689">
        <v>1388</v>
      </c>
      <c r="H689">
        <f ca="1">MONTH(NOW())+12*YEAR(NOW())-MONTH(tbl_MTG_Set[[#This Row],[Released On]])-12*YEAR(tbl_MTG_Set[[#This Row],[Released On]])</f>
        <v>175</v>
      </c>
      <c r="I689" t="str">
        <f>_xlfn.XLOOKUP(tbl_MTG_Set[[#This Row],[Type Name]], tbl_MTG_Set_Type[Set Type], tbl_MTG_Set_Type[Index], "(Set Type not found)")</f>
        <v>(Set Type not found)</v>
      </c>
      <c r="J689" t="str">
        <f>_xlfn.XLOOKUP(tbl_MTG_Set[[#This Row],[Type Name]], tbl_MTG_Set_Type[Set Type], tbl_MTG_Set_Type[Buy Window Month Start], "(Set Type not found)")</f>
        <v>(Set Type not found)</v>
      </c>
      <c r="K689" s="3" t="e">
        <f>tbl_MTG_Set[[#This Row],[Released On]]+tbl_MTG_Set[[#This Row],[Buy Window Month Start]]*365.25/12</f>
        <v>#VALUE!</v>
      </c>
      <c r="L689" t="str">
        <f>_xlfn.XLOOKUP(tbl_MTG_Set[[#This Row],[Type Name]], tbl_MTG_Set_Type[Set Type], tbl_MTG_Set_Type[Buy Window Month End], "(Set Type not found)", 0, 1)</f>
        <v>(Set Type not found)</v>
      </c>
      <c r="M689" s="3" t="e">
        <f>tbl_MTG_Set[[#This Row],[Released On]]+tbl_MTG_Set[[#This Row],[Buy Window Month End]]*365.25/12</f>
        <v>#VALUE!</v>
      </c>
      <c r="N689" s="3" t="e">
        <f ca="1">AND(NOW()&gt;=tbl_MTG_Set[[#This Row],[Buy Window Start]], NOW()&lt;=tbl_MTG_Set[[#This Row],[Buy Window End]])</f>
        <v>#VALUE!</v>
      </c>
      <c r="O689" t="str">
        <f>_xlfn.XLOOKUP(tbl_MTG_Set[[#This Row],[Type Name]], tbl_MTG_Set_Type[Set Type], tbl_MTG_Set_Type[Heavy Printing Window Month Start], "(Set Type not found)", 0, 1)</f>
        <v>(Set Type not found)</v>
      </c>
      <c r="P689" s="3" t="e">
        <f>tbl_MTG_Set[[#This Row],[Released On]]+tbl_MTG_Set[[#This Row],[Heavy Printing Window Month Start]]*365.25/12</f>
        <v>#VALUE!</v>
      </c>
      <c r="Q689" t="str">
        <f>_xlfn.XLOOKUP(tbl_MTG_Set[[#This Row],[Type Name]], tbl_MTG_Set_Type[Set Type], tbl_MTG_Set_Type[Heavy Printing Window Month End], "(Set Type not found)", 0, 1)</f>
        <v>(Set Type not found)</v>
      </c>
      <c r="R689" s="3" t="e">
        <f>tbl_MTG_Set[[#This Row],[Released On]]+tbl_MTG_Set[[#This Row],[Heavy Printing Window Month End]]*365.25/12</f>
        <v>#VALUE!</v>
      </c>
      <c r="S689" s="3" t="e">
        <f ca="1">AND(NOW()&gt;=tbl_MTG_Set[[#This Row],[Heavy Printing Window Start]], NOW()&lt;=tbl_MTG_Set[[#This Row],[Heavy Printing Window End]])</f>
        <v>#VALUE!</v>
      </c>
      <c r="T689" t="str">
        <f>_xlfn.XLOOKUP(tbl_MTG_Set[[#This Row],[Type Name]], tbl_MTG_Set_Type[Set Type], tbl_MTG_Set_Type[Sell Window Month Start], "(Set Type not found)", 0, 1)</f>
        <v>(Set Type not found)</v>
      </c>
      <c r="U689" s="3" t="e">
        <f>tbl_MTG_Set[[#This Row],[Released On]]+tbl_MTG_Set[[#This Row],[Sell Window Month Start]]*365.25/12</f>
        <v>#VALUE!</v>
      </c>
      <c r="V689" t="str">
        <f>_xlfn.XLOOKUP(tbl_MTG_Set[[#This Row],[Type Name]], tbl_MTG_Set_Type[Set Type], tbl_MTG_Set_Type[Sell Window Month End], "(Set Type not found)", 0, 1)</f>
        <v>(Set Type not found)</v>
      </c>
      <c r="W689" s="3" t="e">
        <f>tbl_MTG_Set[[#This Row],[Released On]]+tbl_MTG_Set[[#This Row],[Sell Window Month End]]*365.25/12</f>
        <v>#VALUE!</v>
      </c>
      <c r="X689" s="3" t="e">
        <f ca="1">AND(NOW()&gt;=tbl_MTG_Set[[#This Row],[Sell Window Start]], NOW()&lt;=tbl_MTG_Set[[#This Row],[Sell Window End]])</f>
        <v>#VALUE!</v>
      </c>
      <c r="AG689" s="10"/>
      <c r="AH689" s="10"/>
      <c r="AM689" s="10" t="str" cm="1">
        <f t="array" ref="AM6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89" s="10" t="str" cm="1">
        <f t="array" ref="AN6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89" s="4" t="e">
        <f>_xlfn.XLOOKUP(tbl_MTG_Set[[#This Row],[Play Booster Box Product Id]], tbl_Product[Product Id], tbl_Product[Pack Size])</f>
        <v>#N/A</v>
      </c>
      <c r="AP689" s="10" t="e">
        <f>(tbl_MTG_Set[[#This Row],[Play Booster Box Cost]]+v_Item_Shipping_Cost_In)/tbl_MTG_Set[[#This Row],[Play Booster Box Size]]</f>
        <v>#VALUE!</v>
      </c>
      <c r="AQ689" s="10" t="str" cm="1">
        <f t="array" ref="AQ6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89" s="10"/>
      <c r="AS689" s="10"/>
      <c r="AT689" s="17" t="e">
        <f>tbl_MTG_Set[[#This Row],[Play Booster CardMarket Profit]]/tbl_MTG_Set[[#This Row],[Play Booster Cost]]</f>
        <v>#VALUE!</v>
      </c>
      <c r="AU689" s="10" t="e">
        <f>_xlfn.XLOOKUP(tbl_MTG_Set[[#This Row],[Collector Booster Box Product Id]], tbl_Product[Product Id], tbl_Product[Min Cost])</f>
        <v>#N/A</v>
      </c>
      <c r="AV689" s="10" t="e">
        <f>_xlfn.XLOOKUP(tbl_MTG_Set[[#This Row],[Collector Booster Box Product Id]], tbl_Product[Product Id], tbl_Product[Best Source])</f>
        <v>#N/A</v>
      </c>
      <c r="AW689" s="4" t="e">
        <f>_xlfn.XLOOKUP(tbl_MTG_Set[[#This Row],[Collector Booster Box Product Id]], tbl_Product[Product Id], tbl_Product[Pack Size])</f>
        <v>#N/A</v>
      </c>
      <c r="AX689" s="10" t="e">
        <f>(tbl_MTG_Set[[#This Row],[Collector Booster Box Cost]] + v_Item_Shipping_Cost_In) / tbl_MTG_Set[[#This Row],[Collector Booster Box Size]]</f>
        <v>#N/A</v>
      </c>
      <c r="AY689" s="10" t="str" cm="1">
        <f t="array" ref="AY6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89" s="10"/>
      <c r="BA6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89" s="17" t="e">
        <f>tbl_MTG_Set[[#This Row],[Collector Booster CardMarket Profit]]/tbl_MTG_Set[[#This Row],[Collector Booster Cost]]</f>
        <v>#N/A</v>
      </c>
      <c r="BC689" s="10"/>
      <c r="BF6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89" s="11" t="e">
        <f>tbl_MTG_Set[[#This Row],[Play Singles CardMarket Profit MTG Stocks]]/tbl_MTG_Set[[#This Row],[Play Booster Cost]]</f>
        <v>#VALUE!</v>
      </c>
      <c r="BI689" s="11" t="b">
        <f>tbl_MTG_Set[[#This Row],[Play Singles CardMarket Profit MTG Stocks]]&gt;0</f>
        <v>0</v>
      </c>
      <c r="BM689" s="10" t="e">
        <f>tbl_MTG_Set[[#This Row],[Play Booster Sell Price CardMarket]]*tbl_MTG_Set[[#This Row],[Play Booster Expected Market Value BotBox]]/tbl_MTG_Set[[#This Row],[Play Booster Sealed Market Value BotBox]]</f>
        <v>#VALUE!</v>
      </c>
      <c r="BN6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89" s="10" t="e">
        <f>tbl_MTG_Set[[#This Row],[Play Singles CardMarket Profit BotBox]]/tbl_MTG_Set[[#This Row],[Play Booster Cost]]</f>
        <v>#VALUE!</v>
      </c>
      <c r="BP689" s="10" t="b">
        <f>tbl_MTG_Set[[#This Row],[Play Singles CardMarket Profit BotBox]]&gt;0</f>
        <v>0</v>
      </c>
      <c r="BQ689" s="10"/>
      <c r="BR689" s="10"/>
      <c r="BS689" s="10"/>
      <c r="BT6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89" s="19" t="e">
        <f>tbl_MTG_Set[[#This Row],[Collector Singles CardMarket Profit MTG Stocks]]/tbl_MTG_Set[[#This Row],[Collector Booster Cost]]</f>
        <v>#N/A</v>
      </c>
      <c r="BW689" s="10" t="b">
        <f>tbl_MTG_Set[[#This Row],[Collector Singles CardMarket Profit MTG Stocks]]&gt;0</f>
        <v>0</v>
      </c>
      <c r="BX689" s="10"/>
      <c r="BY689" s="10"/>
      <c r="BZ6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89" s="10" t="e">
        <f>tbl_MTG_Set[[#This Row],[Collector Singles CardMarket Profit BotBox]]/tbl_MTG_Set[[#This Row],[Collector Booster Cost]]</f>
        <v>#N/A</v>
      </c>
      <c r="CC689" s="10" t="b">
        <f>tbl_MTG_Set[[#This Row],[Collector Singles CardMarket Profit BotBox]]&gt;0</f>
        <v>0</v>
      </c>
      <c r="CD6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0" spans="1:86" hidden="1">
      <c r="A690">
        <v>722</v>
      </c>
      <c r="B690" t="s">
        <v>863</v>
      </c>
      <c r="C690">
        <v>249</v>
      </c>
      <c r="D690" s="3">
        <v>40739</v>
      </c>
      <c r="F690" t="s">
        <v>174</v>
      </c>
      <c r="G690">
        <v>1390</v>
      </c>
      <c r="H690">
        <f ca="1">MONTH(NOW())+12*YEAR(NOW())-MONTH(tbl_MTG_Set[[#This Row],[Released On]])-12*YEAR(tbl_MTG_Set[[#This Row],[Released On]])</f>
        <v>176</v>
      </c>
      <c r="I690" t="str">
        <f>_xlfn.XLOOKUP(tbl_MTG_Set[[#This Row],[Type Name]], tbl_MTG_Set_Type[Set Type], tbl_MTG_Set_Type[Index], "(Set Type not found)")</f>
        <v>(Set Type not found)</v>
      </c>
      <c r="J690" t="str">
        <f>_xlfn.XLOOKUP(tbl_MTG_Set[[#This Row],[Type Name]], tbl_MTG_Set_Type[Set Type], tbl_MTG_Set_Type[Buy Window Month Start], "(Set Type not found)")</f>
        <v>(Set Type not found)</v>
      </c>
      <c r="K690" s="3" t="e">
        <f>tbl_MTG_Set[[#This Row],[Released On]]+tbl_MTG_Set[[#This Row],[Buy Window Month Start]]*365.25/12</f>
        <v>#VALUE!</v>
      </c>
      <c r="L690" t="str">
        <f>_xlfn.XLOOKUP(tbl_MTG_Set[[#This Row],[Type Name]], tbl_MTG_Set_Type[Set Type], tbl_MTG_Set_Type[Buy Window Month End], "(Set Type not found)", 0, 1)</f>
        <v>(Set Type not found)</v>
      </c>
      <c r="M690" s="3" t="e">
        <f>tbl_MTG_Set[[#This Row],[Released On]]+tbl_MTG_Set[[#This Row],[Buy Window Month End]]*365.25/12</f>
        <v>#VALUE!</v>
      </c>
      <c r="N690" s="3" t="e">
        <f ca="1">AND(NOW()&gt;=tbl_MTG_Set[[#This Row],[Buy Window Start]], NOW()&lt;=tbl_MTG_Set[[#This Row],[Buy Window End]])</f>
        <v>#VALUE!</v>
      </c>
      <c r="O690" t="str">
        <f>_xlfn.XLOOKUP(tbl_MTG_Set[[#This Row],[Type Name]], tbl_MTG_Set_Type[Set Type], tbl_MTG_Set_Type[Heavy Printing Window Month Start], "(Set Type not found)", 0, 1)</f>
        <v>(Set Type not found)</v>
      </c>
      <c r="P690" s="3" t="e">
        <f>tbl_MTG_Set[[#This Row],[Released On]]+tbl_MTG_Set[[#This Row],[Heavy Printing Window Month Start]]*365.25/12</f>
        <v>#VALUE!</v>
      </c>
      <c r="Q690" t="str">
        <f>_xlfn.XLOOKUP(tbl_MTG_Set[[#This Row],[Type Name]], tbl_MTG_Set_Type[Set Type], tbl_MTG_Set_Type[Heavy Printing Window Month End], "(Set Type not found)", 0, 1)</f>
        <v>(Set Type not found)</v>
      </c>
      <c r="R690" s="3" t="e">
        <f>tbl_MTG_Set[[#This Row],[Released On]]+tbl_MTG_Set[[#This Row],[Heavy Printing Window Month End]]*365.25/12</f>
        <v>#VALUE!</v>
      </c>
      <c r="S690" s="3" t="e">
        <f ca="1">AND(NOW()&gt;=tbl_MTG_Set[[#This Row],[Heavy Printing Window Start]], NOW()&lt;=tbl_MTG_Set[[#This Row],[Heavy Printing Window End]])</f>
        <v>#VALUE!</v>
      </c>
      <c r="T690" t="str">
        <f>_xlfn.XLOOKUP(tbl_MTG_Set[[#This Row],[Type Name]], tbl_MTG_Set_Type[Set Type], tbl_MTG_Set_Type[Sell Window Month Start], "(Set Type not found)", 0, 1)</f>
        <v>(Set Type not found)</v>
      </c>
      <c r="U690" s="3" t="e">
        <f>tbl_MTG_Set[[#This Row],[Released On]]+tbl_MTG_Set[[#This Row],[Sell Window Month Start]]*365.25/12</f>
        <v>#VALUE!</v>
      </c>
      <c r="V690" t="str">
        <f>_xlfn.XLOOKUP(tbl_MTG_Set[[#This Row],[Type Name]], tbl_MTG_Set_Type[Set Type], tbl_MTG_Set_Type[Sell Window Month End], "(Set Type not found)", 0, 1)</f>
        <v>(Set Type not found)</v>
      </c>
      <c r="W690" s="3" t="e">
        <f>tbl_MTG_Set[[#This Row],[Released On]]+tbl_MTG_Set[[#This Row],[Sell Window Month End]]*365.25/12</f>
        <v>#VALUE!</v>
      </c>
      <c r="X690" s="3" t="e">
        <f ca="1">AND(NOW()&gt;=tbl_MTG_Set[[#This Row],[Sell Window Start]], NOW()&lt;=tbl_MTG_Set[[#This Row],[Sell Window End]])</f>
        <v>#VALUE!</v>
      </c>
      <c r="AG690" s="10"/>
      <c r="AH690" s="10"/>
      <c r="AM690" s="10" t="str" cm="1">
        <f t="array" ref="AM6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0" s="10" t="str" cm="1">
        <f t="array" ref="AN6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0" s="4" t="e">
        <f>_xlfn.XLOOKUP(tbl_MTG_Set[[#This Row],[Play Booster Box Product Id]], tbl_Product[Product Id], tbl_Product[Pack Size])</f>
        <v>#N/A</v>
      </c>
      <c r="AP690" s="10" t="e">
        <f>(tbl_MTG_Set[[#This Row],[Play Booster Box Cost]]+v_Item_Shipping_Cost_In)/tbl_MTG_Set[[#This Row],[Play Booster Box Size]]</f>
        <v>#VALUE!</v>
      </c>
      <c r="AQ690" s="10" t="str" cm="1">
        <f t="array" ref="AQ6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0" s="10"/>
      <c r="AS690" s="10"/>
      <c r="AT690" s="17" t="e">
        <f>tbl_MTG_Set[[#This Row],[Play Booster CardMarket Profit]]/tbl_MTG_Set[[#This Row],[Play Booster Cost]]</f>
        <v>#VALUE!</v>
      </c>
      <c r="AU690" s="10" t="e">
        <f>_xlfn.XLOOKUP(tbl_MTG_Set[[#This Row],[Collector Booster Box Product Id]], tbl_Product[Product Id], tbl_Product[Min Cost])</f>
        <v>#N/A</v>
      </c>
      <c r="AV690" s="10" t="e">
        <f>_xlfn.XLOOKUP(tbl_MTG_Set[[#This Row],[Collector Booster Box Product Id]], tbl_Product[Product Id], tbl_Product[Best Source])</f>
        <v>#N/A</v>
      </c>
      <c r="AW690" s="4" t="e">
        <f>_xlfn.XLOOKUP(tbl_MTG_Set[[#This Row],[Collector Booster Box Product Id]], tbl_Product[Product Id], tbl_Product[Pack Size])</f>
        <v>#N/A</v>
      </c>
      <c r="AX690" s="10" t="e">
        <f>(tbl_MTG_Set[[#This Row],[Collector Booster Box Cost]] + v_Item_Shipping_Cost_In) / tbl_MTG_Set[[#This Row],[Collector Booster Box Size]]</f>
        <v>#N/A</v>
      </c>
      <c r="AY690" s="10" t="str" cm="1">
        <f t="array" ref="AY6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0" s="10"/>
      <c r="BA6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0" s="17" t="e">
        <f>tbl_MTG_Set[[#This Row],[Collector Booster CardMarket Profit]]/tbl_MTG_Set[[#This Row],[Collector Booster Cost]]</f>
        <v>#N/A</v>
      </c>
      <c r="BC690" s="10"/>
      <c r="BF6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0" s="11" t="e">
        <f>tbl_MTG_Set[[#This Row],[Play Singles CardMarket Profit MTG Stocks]]/tbl_MTG_Set[[#This Row],[Play Booster Cost]]</f>
        <v>#VALUE!</v>
      </c>
      <c r="BI690" s="11" t="b">
        <f>tbl_MTG_Set[[#This Row],[Play Singles CardMarket Profit MTG Stocks]]&gt;0</f>
        <v>0</v>
      </c>
      <c r="BM690" s="10" t="e">
        <f>tbl_MTG_Set[[#This Row],[Play Booster Sell Price CardMarket]]*tbl_MTG_Set[[#This Row],[Play Booster Expected Market Value BotBox]]/tbl_MTG_Set[[#This Row],[Play Booster Sealed Market Value BotBox]]</f>
        <v>#VALUE!</v>
      </c>
      <c r="BN6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0" s="10" t="e">
        <f>tbl_MTG_Set[[#This Row],[Play Singles CardMarket Profit BotBox]]/tbl_MTG_Set[[#This Row],[Play Booster Cost]]</f>
        <v>#VALUE!</v>
      </c>
      <c r="BP690" s="10" t="b">
        <f>tbl_MTG_Set[[#This Row],[Play Singles CardMarket Profit BotBox]]&gt;0</f>
        <v>0</v>
      </c>
      <c r="BQ690" s="10"/>
      <c r="BR690" s="10"/>
      <c r="BS690" s="10"/>
      <c r="BT6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0" s="19" t="e">
        <f>tbl_MTG_Set[[#This Row],[Collector Singles CardMarket Profit MTG Stocks]]/tbl_MTG_Set[[#This Row],[Collector Booster Cost]]</f>
        <v>#N/A</v>
      </c>
      <c r="BW690" s="10" t="b">
        <f>tbl_MTG_Set[[#This Row],[Collector Singles CardMarket Profit MTG Stocks]]&gt;0</f>
        <v>0</v>
      </c>
      <c r="BX690" s="10"/>
      <c r="BY690" s="10"/>
      <c r="BZ6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0" s="10" t="e">
        <f>tbl_MTG_Set[[#This Row],[Collector Singles CardMarket Profit BotBox]]/tbl_MTG_Set[[#This Row],[Collector Booster Cost]]</f>
        <v>#N/A</v>
      </c>
      <c r="CC690" s="10" t="b">
        <f>tbl_MTG_Set[[#This Row],[Collector Singles CardMarket Profit BotBox]]&gt;0</f>
        <v>0</v>
      </c>
      <c r="CD6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1" spans="1:86" hidden="1">
      <c r="A691">
        <v>723</v>
      </c>
      <c r="B691" t="s">
        <v>864</v>
      </c>
      <c r="C691">
        <v>3</v>
      </c>
      <c r="D691" s="3">
        <v>40738</v>
      </c>
      <c r="F691" t="s">
        <v>174</v>
      </c>
      <c r="G691">
        <v>1392</v>
      </c>
      <c r="H691">
        <f ca="1">MONTH(NOW())+12*YEAR(NOW())-MONTH(tbl_MTG_Set[[#This Row],[Released On]])-12*YEAR(tbl_MTG_Set[[#This Row],[Released On]])</f>
        <v>176</v>
      </c>
      <c r="I691" t="str">
        <f>_xlfn.XLOOKUP(tbl_MTG_Set[[#This Row],[Type Name]], tbl_MTG_Set_Type[Set Type], tbl_MTG_Set_Type[Index], "(Set Type not found)")</f>
        <v>(Set Type not found)</v>
      </c>
      <c r="J691" t="str">
        <f>_xlfn.XLOOKUP(tbl_MTG_Set[[#This Row],[Type Name]], tbl_MTG_Set_Type[Set Type], tbl_MTG_Set_Type[Buy Window Month Start], "(Set Type not found)")</f>
        <v>(Set Type not found)</v>
      </c>
      <c r="K691" s="3" t="e">
        <f>tbl_MTG_Set[[#This Row],[Released On]]+tbl_MTG_Set[[#This Row],[Buy Window Month Start]]*365.25/12</f>
        <v>#VALUE!</v>
      </c>
      <c r="L691" t="str">
        <f>_xlfn.XLOOKUP(tbl_MTG_Set[[#This Row],[Type Name]], tbl_MTG_Set_Type[Set Type], tbl_MTG_Set_Type[Buy Window Month End], "(Set Type not found)", 0, 1)</f>
        <v>(Set Type not found)</v>
      </c>
      <c r="M691" s="3" t="e">
        <f>tbl_MTG_Set[[#This Row],[Released On]]+tbl_MTG_Set[[#This Row],[Buy Window Month End]]*365.25/12</f>
        <v>#VALUE!</v>
      </c>
      <c r="N691" s="3" t="e">
        <f ca="1">AND(NOW()&gt;=tbl_MTG_Set[[#This Row],[Buy Window Start]], NOW()&lt;=tbl_MTG_Set[[#This Row],[Buy Window End]])</f>
        <v>#VALUE!</v>
      </c>
      <c r="O691" t="str">
        <f>_xlfn.XLOOKUP(tbl_MTG_Set[[#This Row],[Type Name]], tbl_MTG_Set_Type[Set Type], tbl_MTG_Set_Type[Heavy Printing Window Month Start], "(Set Type not found)", 0, 1)</f>
        <v>(Set Type not found)</v>
      </c>
      <c r="P691" s="3" t="e">
        <f>tbl_MTG_Set[[#This Row],[Released On]]+tbl_MTG_Set[[#This Row],[Heavy Printing Window Month Start]]*365.25/12</f>
        <v>#VALUE!</v>
      </c>
      <c r="Q691" t="str">
        <f>_xlfn.XLOOKUP(tbl_MTG_Set[[#This Row],[Type Name]], tbl_MTG_Set_Type[Set Type], tbl_MTG_Set_Type[Heavy Printing Window Month End], "(Set Type not found)", 0, 1)</f>
        <v>(Set Type not found)</v>
      </c>
      <c r="R691" s="3" t="e">
        <f>tbl_MTG_Set[[#This Row],[Released On]]+tbl_MTG_Set[[#This Row],[Heavy Printing Window Month End]]*365.25/12</f>
        <v>#VALUE!</v>
      </c>
      <c r="S691" s="3" t="e">
        <f ca="1">AND(NOW()&gt;=tbl_MTG_Set[[#This Row],[Heavy Printing Window Start]], NOW()&lt;=tbl_MTG_Set[[#This Row],[Heavy Printing Window End]])</f>
        <v>#VALUE!</v>
      </c>
      <c r="T691" t="str">
        <f>_xlfn.XLOOKUP(tbl_MTG_Set[[#This Row],[Type Name]], tbl_MTG_Set_Type[Set Type], tbl_MTG_Set_Type[Sell Window Month Start], "(Set Type not found)", 0, 1)</f>
        <v>(Set Type not found)</v>
      </c>
      <c r="U691" s="3" t="e">
        <f>tbl_MTG_Set[[#This Row],[Released On]]+tbl_MTG_Set[[#This Row],[Sell Window Month Start]]*365.25/12</f>
        <v>#VALUE!</v>
      </c>
      <c r="V691" t="str">
        <f>_xlfn.XLOOKUP(tbl_MTG_Set[[#This Row],[Type Name]], tbl_MTG_Set_Type[Set Type], tbl_MTG_Set_Type[Sell Window Month End], "(Set Type not found)", 0, 1)</f>
        <v>(Set Type not found)</v>
      </c>
      <c r="W691" s="3" t="e">
        <f>tbl_MTG_Set[[#This Row],[Released On]]+tbl_MTG_Set[[#This Row],[Sell Window Month End]]*365.25/12</f>
        <v>#VALUE!</v>
      </c>
      <c r="X691" s="3" t="e">
        <f ca="1">AND(NOW()&gt;=tbl_MTG_Set[[#This Row],[Sell Window Start]], NOW()&lt;=tbl_MTG_Set[[#This Row],[Sell Window End]])</f>
        <v>#VALUE!</v>
      </c>
      <c r="AG691" s="10"/>
      <c r="AH691" s="10"/>
      <c r="AM691" s="10" t="str" cm="1">
        <f t="array" ref="AM6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1" s="10" t="str" cm="1">
        <f t="array" ref="AN6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1" s="4" t="e">
        <f>_xlfn.XLOOKUP(tbl_MTG_Set[[#This Row],[Play Booster Box Product Id]], tbl_Product[Product Id], tbl_Product[Pack Size])</f>
        <v>#N/A</v>
      </c>
      <c r="AP691" s="10" t="e">
        <f>(tbl_MTG_Set[[#This Row],[Play Booster Box Cost]]+v_Item_Shipping_Cost_In)/tbl_MTG_Set[[#This Row],[Play Booster Box Size]]</f>
        <v>#VALUE!</v>
      </c>
      <c r="AQ691" s="10" t="str" cm="1">
        <f t="array" ref="AQ6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1" s="10"/>
      <c r="AS691" s="10"/>
      <c r="AT691" s="17" t="e">
        <f>tbl_MTG_Set[[#This Row],[Play Booster CardMarket Profit]]/tbl_MTG_Set[[#This Row],[Play Booster Cost]]</f>
        <v>#VALUE!</v>
      </c>
      <c r="AU691" s="10" t="e">
        <f>_xlfn.XLOOKUP(tbl_MTG_Set[[#This Row],[Collector Booster Box Product Id]], tbl_Product[Product Id], tbl_Product[Min Cost])</f>
        <v>#N/A</v>
      </c>
      <c r="AV691" s="10" t="e">
        <f>_xlfn.XLOOKUP(tbl_MTG_Set[[#This Row],[Collector Booster Box Product Id]], tbl_Product[Product Id], tbl_Product[Best Source])</f>
        <v>#N/A</v>
      </c>
      <c r="AW691" s="4" t="e">
        <f>_xlfn.XLOOKUP(tbl_MTG_Set[[#This Row],[Collector Booster Box Product Id]], tbl_Product[Product Id], tbl_Product[Pack Size])</f>
        <v>#N/A</v>
      </c>
      <c r="AX691" s="10" t="e">
        <f>(tbl_MTG_Set[[#This Row],[Collector Booster Box Cost]] + v_Item_Shipping_Cost_In) / tbl_MTG_Set[[#This Row],[Collector Booster Box Size]]</f>
        <v>#N/A</v>
      </c>
      <c r="AY691" s="10" t="str" cm="1">
        <f t="array" ref="AY6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1" s="10"/>
      <c r="BA6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1" s="17" t="e">
        <f>tbl_MTG_Set[[#This Row],[Collector Booster CardMarket Profit]]/tbl_MTG_Set[[#This Row],[Collector Booster Cost]]</f>
        <v>#N/A</v>
      </c>
      <c r="BC691" s="10"/>
      <c r="BF6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1" s="11" t="e">
        <f>tbl_MTG_Set[[#This Row],[Play Singles CardMarket Profit MTG Stocks]]/tbl_MTG_Set[[#This Row],[Play Booster Cost]]</f>
        <v>#VALUE!</v>
      </c>
      <c r="BI691" s="11" t="b">
        <f>tbl_MTG_Set[[#This Row],[Play Singles CardMarket Profit MTG Stocks]]&gt;0</f>
        <v>0</v>
      </c>
      <c r="BM691" s="10" t="e">
        <f>tbl_MTG_Set[[#This Row],[Play Booster Sell Price CardMarket]]*tbl_MTG_Set[[#This Row],[Play Booster Expected Market Value BotBox]]/tbl_MTG_Set[[#This Row],[Play Booster Sealed Market Value BotBox]]</f>
        <v>#VALUE!</v>
      </c>
      <c r="BN6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1" s="10" t="e">
        <f>tbl_MTG_Set[[#This Row],[Play Singles CardMarket Profit BotBox]]/tbl_MTG_Set[[#This Row],[Play Booster Cost]]</f>
        <v>#VALUE!</v>
      </c>
      <c r="BP691" s="10" t="b">
        <f>tbl_MTG_Set[[#This Row],[Play Singles CardMarket Profit BotBox]]&gt;0</f>
        <v>0</v>
      </c>
      <c r="BQ691" s="10"/>
      <c r="BR691" s="10"/>
      <c r="BS691" s="10"/>
      <c r="BT6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1" s="19" t="e">
        <f>tbl_MTG_Set[[#This Row],[Collector Singles CardMarket Profit MTG Stocks]]/tbl_MTG_Set[[#This Row],[Collector Booster Cost]]</f>
        <v>#N/A</v>
      </c>
      <c r="BW691" s="10" t="b">
        <f>tbl_MTG_Set[[#This Row],[Collector Singles CardMarket Profit MTG Stocks]]&gt;0</f>
        <v>0</v>
      </c>
      <c r="BX691" s="10"/>
      <c r="BY691" s="10"/>
      <c r="BZ6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1" s="10" t="e">
        <f>tbl_MTG_Set[[#This Row],[Collector Singles CardMarket Profit BotBox]]/tbl_MTG_Set[[#This Row],[Collector Booster Cost]]</f>
        <v>#N/A</v>
      </c>
      <c r="CC691" s="10" t="b">
        <f>tbl_MTG_Set[[#This Row],[Collector Singles CardMarket Profit BotBox]]&gt;0</f>
        <v>0</v>
      </c>
      <c r="CD6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2" spans="1:86" hidden="1">
      <c r="A692">
        <v>724</v>
      </c>
      <c r="B692" t="s">
        <v>865</v>
      </c>
      <c r="C692">
        <v>7</v>
      </c>
      <c r="D692" s="3">
        <v>40739</v>
      </c>
      <c r="F692" t="s">
        <v>174</v>
      </c>
      <c r="G692">
        <v>1394</v>
      </c>
      <c r="H692">
        <f ca="1">MONTH(NOW())+12*YEAR(NOW())-MONTH(tbl_MTG_Set[[#This Row],[Released On]])-12*YEAR(tbl_MTG_Set[[#This Row],[Released On]])</f>
        <v>176</v>
      </c>
      <c r="I692" t="str">
        <f>_xlfn.XLOOKUP(tbl_MTG_Set[[#This Row],[Type Name]], tbl_MTG_Set_Type[Set Type], tbl_MTG_Set_Type[Index], "(Set Type not found)")</f>
        <v>(Set Type not found)</v>
      </c>
      <c r="J692" t="str">
        <f>_xlfn.XLOOKUP(tbl_MTG_Set[[#This Row],[Type Name]], tbl_MTG_Set_Type[Set Type], tbl_MTG_Set_Type[Buy Window Month Start], "(Set Type not found)")</f>
        <v>(Set Type not found)</v>
      </c>
      <c r="K692" s="3" t="e">
        <f>tbl_MTG_Set[[#This Row],[Released On]]+tbl_MTG_Set[[#This Row],[Buy Window Month Start]]*365.25/12</f>
        <v>#VALUE!</v>
      </c>
      <c r="L692" t="str">
        <f>_xlfn.XLOOKUP(tbl_MTG_Set[[#This Row],[Type Name]], tbl_MTG_Set_Type[Set Type], tbl_MTG_Set_Type[Buy Window Month End], "(Set Type not found)", 0, 1)</f>
        <v>(Set Type not found)</v>
      </c>
      <c r="M692" s="3" t="e">
        <f>tbl_MTG_Set[[#This Row],[Released On]]+tbl_MTG_Set[[#This Row],[Buy Window Month End]]*365.25/12</f>
        <v>#VALUE!</v>
      </c>
      <c r="N692" s="3" t="e">
        <f ca="1">AND(NOW()&gt;=tbl_MTG_Set[[#This Row],[Buy Window Start]], NOW()&lt;=tbl_MTG_Set[[#This Row],[Buy Window End]])</f>
        <v>#VALUE!</v>
      </c>
      <c r="O692" t="str">
        <f>_xlfn.XLOOKUP(tbl_MTG_Set[[#This Row],[Type Name]], tbl_MTG_Set_Type[Set Type], tbl_MTG_Set_Type[Heavy Printing Window Month Start], "(Set Type not found)", 0, 1)</f>
        <v>(Set Type not found)</v>
      </c>
      <c r="P692" s="3" t="e">
        <f>tbl_MTG_Set[[#This Row],[Released On]]+tbl_MTG_Set[[#This Row],[Heavy Printing Window Month Start]]*365.25/12</f>
        <v>#VALUE!</v>
      </c>
      <c r="Q692" t="str">
        <f>_xlfn.XLOOKUP(tbl_MTG_Set[[#This Row],[Type Name]], tbl_MTG_Set_Type[Set Type], tbl_MTG_Set_Type[Heavy Printing Window Month End], "(Set Type not found)", 0, 1)</f>
        <v>(Set Type not found)</v>
      </c>
      <c r="R692" s="3" t="e">
        <f>tbl_MTG_Set[[#This Row],[Released On]]+tbl_MTG_Set[[#This Row],[Heavy Printing Window Month End]]*365.25/12</f>
        <v>#VALUE!</v>
      </c>
      <c r="S692" s="3" t="e">
        <f ca="1">AND(NOW()&gt;=tbl_MTG_Set[[#This Row],[Heavy Printing Window Start]], NOW()&lt;=tbl_MTG_Set[[#This Row],[Heavy Printing Window End]])</f>
        <v>#VALUE!</v>
      </c>
      <c r="T692" t="str">
        <f>_xlfn.XLOOKUP(tbl_MTG_Set[[#This Row],[Type Name]], tbl_MTG_Set_Type[Set Type], tbl_MTG_Set_Type[Sell Window Month Start], "(Set Type not found)", 0, 1)</f>
        <v>(Set Type not found)</v>
      </c>
      <c r="U692" s="3" t="e">
        <f>tbl_MTG_Set[[#This Row],[Released On]]+tbl_MTG_Set[[#This Row],[Sell Window Month Start]]*365.25/12</f>
        <v>#VALUE!</v>
      </c>
      <c r="V692" t="str">
        <f>_xlfn.XLOOKUP(tbl_MTG_Set[[#This Row],[Type Name]], tbl_MTG_Set_Type[Set Type], tbl_MTG_Set_Type[Sell Window Month End], "(Set Type not found)", 0, 1)</f>
        <v>(Set Type not found)</v>
      </c>
      <c r="W692" s="3" t="e">
        <f>tbl_MTG_Set[[#This Row],[Released On]]+tbl_MTG_Set[[#This Row],[Sell Window Month End]]*365.25/12</f>
        <v>#VALUE!</v>
      </c>
      <c r="X692" s="3" t="e">
        <f ca="1">AND(NOW()&gt;=tbl_MTG_Set[[#This Row],[Sell Window Start]], NOW()&lt;=tbl_MTG_Set[[#This Row],[Sell Window End]])</f>
        <v>#VALUE!</v>
      </c>
      <c r="AG692" s="10"/>
      <c r="AH692" s="10"/>
      <c r="AM692" s="10" t="str" cm="1">
        <f t="array" ref="AM6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2" s="10" t="str" cm="1">
        <f t="array" ref="AN6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2" s="4" t="e">
        <f>_xlfn.XLOOKUP(tbl_MTG_Set[[#This Row],[Play Booster Box Product Id]], tbl_Product[Product Id], tbl_Product[Pack Size])</f>
        <v>#N/A</v>
      </c>
      <c r="AP692" s="10" t="e">
        <f>(tbl_MTG_Set[[#This Row],[Play Booster Box Cost]]+v_Item_Shipping_Cost_In)/tbl_MTG_Set[[#This Row],[Play Booster Box Size]]</f>
        <v>#VALUE!</v>
      </c>
      <c r="AQ692" s="10" t="str" cm="1">
        <f t="array" ref="AQ6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2" s="10"/>
      <c r="AS692" s="10"/>
      <c r="AT692" s="17" t="e">
        <f>tbl_MTG_Set[[#This Row],[Play Booster CardMarket Profit]]/tbl_MTG_Set[[#This Row],[Play Booster Cost]]</f>
        <v>#VALUE!</v>
      </c>
      <c r="AU692" s="10" t="e">
        <f>_xlfn.XLOOKUP(tbl_MTG_Set[[#This Row],[Collector Booster Box Product Id]], tbl_Product[Product Id], tbl_Product[Min Cost])</f>
        <v>#N/A</v>
      </c>
      <c r="AV692" s="10" t="e">
        <f>_xlfn.XLOOKUP(tbl_MTG_Set[[#This Row],[Collector Booster Box Product Id]], tbl_Product[Product Id], tbl_Product[Best Source])</f>
        <v>#N/A</v>
      </c>
      <c r="AW692" s="4" t="e">
        <f>_xlfn.XLOOKUP(tbl_MTG_Set[[#This Row],[Collector Booster Box Product Id]], tbl_Product[Product Id], tbl_Product[Pack Size])</f>
        <v>#N/A</v>
      </c>
      <c r="AX692" s="10" t="e">
        <f>(tbl_MTG_Set[[#This Row],[Collector Booster Box Cost]] + v_Item_Shipping_Cost_In) / tbl_MTG_Set[[#This Row],[Collector Booster Box Size]]</f>
        <v>#N/A</v>
      </c>
      <c r="AY692" s="10" t="str" cm="1">
        <f t="array" ref="AY6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2" s="10"/>
      <c r="BA6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2" s="17" t="e">
        <f>tbl_MTG_Set[[#This Row],[Collector Booster CardMarket Profit]]/tbl_MTG_Set[[#This Row],[Collector Booster Cost]]</f>
        <v>#N/A</v>
      </c>
      <c r="BC692" s="10"/>
      <c r="BF6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2" s="11" t="e">
        <f>tbl_MTG_Set[[#This Row],[Play Singles CardMarket Profit MTG Stocks]]/tbl_MTG_Set[[#This Row],[Play Booster Cost]]</f>
        <v>#VALUE!</v>
      </c>
      <c r="BI692" s="11" t="b">
        <f>tbl_MTG_Set[[#This Row],[Play Singles CardMarket Profit MTG Stocks]]&gt;0</f>
        <v>0</v>
      </c>
      <c r="BM692" s="10" t="e">
        <f>tbl_MTG_Set[[#This Row],[Play Booster Sell Price CardMarket]]*tbl_MTG_Set[[#This Row],[Play Booster Expected Market Value BotBox]]/tbl_MTG_Set[[#This Row],[Play Booster Sealed Market Value BotBox]]</f>
        <v>#VALUE!</v>
      </c>
      <c r="BN6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2" s="10" t="e">
        <f>tbl_MTG_Set[[#This Row],[Play Singles CardMarket Profit BotBox]]/tbl_MTG_Set[[#This Row],[Play Booster Cost]]</f>
        <v>#VALUE!</v>
      </c>
      <c r="BP692" s="10" t="b">
        <f>tbl_MTG_Set[[#This Row],[Play Singles CardMarket Profit BotBox]]&gt;0</f>
        <v>0</v>
      </c>
      <c r="BQ692" s="10"/>
      <c r="BR692" s="10"/>
      <c r="BS692" s="10"/>
      <c r="BT6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2" s="19" t="e">
        <f>tbl_MTG_Set[[#This Row],[Collector Singles CardMarket Profit MTG Stocks]]/tbl_MTG_Set[[#This Row],[Collector Booster Cost]]</f>
        <v>#N/A</v>
      </c>
      <c r="BW692" s="10" t="b">
        <f>tbl_MTG_Set[[#This Row],[Collector Singles CardMarket Profit MTG Stocks]]&gt;0</f>
        <v>0</v>
      </c>
      <c r="BX692" s="10"/>
      <c r="BY692" s="10"/>
      <c r="BZ6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2" s="10" t="e">
        <f>tbl_MTG_Set[[#This Row],[Collector Singles CardMarket Profit BotBox]]/tbl_MTG_Set[[#This Row],[Collector Booster Cost]]</f>
        <v>#N/A</v>
      </c>
      <c r="CC692" s="10" t="b">
        <f>tbl_MTG_Set[[#This Row],[Collector Singles CardMarket Profit BotBox]]&gt;0</f>
        <v>0</v>
      </c>
      <c r="CD6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3" spans="1:86" hidden="1">
      <c r="A693">
        <v>725</v>
      </c>
      <c r="B693" t="s">
        <v>866</v>
      </c>
      <c r="C693">
        <v>318</v>
      </c>
      <c r="D693" s="3">
        <v>40711</v>
      </c>
      <c r="F693" t="s">
        <v>174</v>
      </c>
      <c r="G693">
        <v>1396</v>
      </c>
      <c r="H693">
        <f ca="1">MONTH(NOW())+12*YEAR(NOW())-MONTH(tbl_MTG_Set[[#This Row],[Released On]])-12*YEAR(tbl_MTG_Set[[#This Row],[Released On]])</f>
        <v>177</v>
      </c>
      <c r="I693" t="str">
        <f>_xlfn.XLOOKUP(tbl_MTG_Set[[#This Row],[Type Name]], tbl_MTG_Set_Type[Set Type], tbl_MTG_Set_Type[Index], "(Set Type not found)")</f>
        <v>(Set Type not found)</v>
      </c>
      <c r="J693" t="str">
        <f>_xlfn.XLOOKUP(tbl_MTG_Set[[#This Row],[Type Name]], tbl_MTG_Set_Type[Set Type], tbl_MTG_Set_Type[Buy Window Month Start], "(Set Type not found)")</f>
        <v>(Set Type not found)</v>
      </c>
      <c r="K693" s="3" t="e">
        <f>tbl_MTG_Set[[#This Row],[Released On]]+tbl_MTG_Set[[#This Row],[Buy Window Month Start]]*365.25/12</f>
        <v>#VALUE!</v>
      </c>
      <c r="L693" t="str">
        <f>_xlfn.XLOOKUP(tbl_MTG_Set[[#This Row],[Type Name]], tbl_MTG_Set_Type[Set Type], tbl_MTG_Set_Type[Buy Window Month End], "(Set Type not found)", 0, 1)</f>
        <v>(Set Type not found)</v>
      </c>
      <c r="M693" s="3" t="e">
        <f>tbl_MTG_Set[[#This Row],[Released On]]+tbl_MTG_Set[[#This Row],[Buy Window Month End]]*365.25/12</f>
        <v>#VALUE!</v>
      </c>
      <c r="N693" s="3" t="e">
        <f ca="1">AND(NOW()&gt;=tbl_MTG_Set[[#This Row],[Buy Window Start]], NOW()&lt;=tbl_MTG_Set[[#This Row],[Buy Window End]])</f>
        <v>#VALUE!</v>
      </c>
      <c r="O693" t="str">
        <f>_xlfn.XLOOKUP(tbl_MTG_Set[[#This Row],[Type Name]], tbl_MTG_Set_Type[Set Type], tbl_MTG_Set_Type[Heavy Printing Window Month Start], "(Set Type not found)", 0, 1)</f>
        <v>(Set Type not found)</v>
      </c>
      <c r="P693" s="3" t="e">
        <f>tbl_MTG_Set[[#This Row],[Released On]]+tbl_MTG_Set[[#This Row],[Heavy Printing Window Month Start]]*365.25/12</f>
        <v>#VALUE!</v>
      </c>
      <c r="Q693" t="str">
        <f>_xlfn.XLOOKUP(tbl_MTG_Set[[#This Row],[Type Name]], tbl_MTG_Set_Type[Set Type], tbl_MTG_Set_Type[Heavy Printing Window Month End], "(Set Type not found)", 0, 1)</f>
        <v>(Set Type not found)</v>
      </c>
      <c r="R693" s="3" t="e">
        <f>tbl_MTG_Set[[#This Row],[Released On]]+tbl_MTG_Set[[#This Row],[Heavy Printing Window Month End]]*365.25/12</f>
        <v>#VALUE!</v>
      </c>
      <c r="S693" s="3" t="e">
        <f ca="1">AND(NOW()&gt;=tbl_MTG_Set[[#This Row],[Heavy Printing Window Start]], NOW()&lt;=tbl_MTG_Set[[#This Row],[Heavy Printing Window End]])</f>
        <v>#VALUE!</v>
      </c>
      <c r="T693" t="str">
        <f>_xlfn.XLOOKUP(tbl_MTG_Set[[#This Row],[Type Name]], tbl_MTG_Set_Type[Set Type], tbl_MTG_Set_Type[Sell Window Month Start], "(Set Type not found)", 0, 1)</f>
        <v>(Set Type not found)</v>
      </c>
      <c r="U693" s="3" t="e">
        <f>tbl_MTG_Set[[#This Row],[Released On]]+tbl_MTG_Set[[#This Row],[Sell Window Month Start]]*365.25/12</f>
        <v>#VALUE!</v>
      </c>
      <c r="V693" t="str">
        <f>_xlfn.XLOOKUP(tbl_MTG_Set[[#This Row],[Type Name]], tbl_MTG_Set_Type[Set Type], tbl_MTG_Set_Type[Sell Window Month End], "(Set Type not found)", 0, 1)</f>
        <v>(Set Type not found)</v>
      </c>
      <c r="W693" s="3" t="e">
        <f>tbl_MTG_Set[[#This Row],[Released On]]+tbl_MTG_Set[[#This Row],[Sell Window Month End]]*365.25/12</f>
        <v>#VALUE!</v>
      </c>
      <c r="X693" s="3" t="e">
        <f ca="1">AND(NOW()&gt;=tbl_MTG_Set[[#This Row],[Sell Window Start]], NOW()&lt;=tbl_MTG_Set[[#This Row],[Sell Window End]])</f>
        <v>#VALUE!</v>
      </c>
      <c r="AG693" s="10"/>
      <c r="AH693" s="10"/>
      <c r="AM693" s="10" t="str" cm="1">
        <f t="array" ref="AM6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3" s="10" t="str" cm="1">
        <f t="array" ref="AN6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3" s="4" t="e">
        <f>_xlfn.XLOOKUP(tbl_MTG_Set[[#This Row],[Play Booster Box Product Id]], tbl_Product[Product Id], tbl_Product[Pack Size])</f>
        <v>#N/A</v>
      </c>
      <c r="AP693" s="10" t="e">
        <f>(tbl_MTG_Set[[#This Row],[Play Booster Box Cost]]+v_Item_Shipping_Cost_In)/tbl_MTG_Set[[#This Row],[Play Booster Box Size]]</f>
        <v>#VALUE!</v>
      </c>
      <c r="AQ693" s="10" t="str" cm="1">
        <f t="array" ref="AQ6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3" s="10"/>
      <c r="AS693" s="10"/>
      <c r="AT693" s="17" t="e">
        <f>tbl_MTG_Set[[#This Row],[Play Booster CardMarket Profit]]/tbl_MTG_Set[[#This Row],[Play Booster Cost]]</f>
        <v>#VALUE!</v>
      </c>
      <c r="AU693" s="10" t="e">
        <f>_xlfn.XLOOKUP(tbl_MTG_Set[[#This Row],[Collector Booster Box Product Id]], tbl_Product[Product Id], tbl_Product[Min Cost])</f>
        <v>#N/A</v>
      </c>
      <c r="AV693" s="10" t="e">
        <f>_xlfn.XLOOKUP(tbl_MTG_Set[[#This Row],[Collector Booster Box Product Id]], tbl_Product[Product Id], tbl_Product[Best Source])</f>
        <v>#N/A</v>
      </c>
      <c r="AW693" s="4" t="e">
        <f>_xlfn.XLOOKUP(tbl_MTG_Set[[#This Row],[Collector Booster Box Product Id]], tbl_Product[Product Id], tbl_Product[Pack Size])</f>
        <v>#N/A</v>
      </c>
      <c r="AX693" s="10" t="e">
        <f>(tbl_MTG_Set[[#This Row],[Collector Booster Box Cost]] + v_Item_Shipping_Cost_In) / tbl_MTG_Set[[#This Row],[Collector Booster Box Size]]</f>
        <v>#N/A</v>
      </c>
      <c r="AY693" s="10" t="str" cm="1">
        <f t="array" ref="AY6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3" s="10"/>
      <c r="BA6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3" s="17" t="e">
        <f>tbl_MTG_Set[[#This Row],[Collector Booster CardMarket Profit]]/tbl_MTG_Set[[#This Row],[Collector Booster Cost]]</f>
        <v>#N/A</v>
      </c>
      <c r="BC693" s="10"/>
      <c r="BF6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3" s="11" t="e">
        <f>tbl_MTG_Set[[#This Row],[Play Singles CardMarket Profit MTG Stocks]]/tbl_MTG_Set[[#This Row],[Play Booster Cost]]</f>
        <v>#VALUE!</v>
      </c>
      <c r="BI693" s="11" t="b">
        <f>tbl_MTG_Set[[#This Row],[Play Singles CardMarket Profit MTG Stocks]]&gt;0</f>
        <v>0</v>
      </c>
      <c r="BM693" s="10" t="e">
        <f>tbl_MTG_Set[[#This Row],[Play Booster Sell Price CardMarket]]*tbl_MTG_Set[[#This Row],[Play Booster Expected Market Value BotBox]]/tbl_MTG_Set[[#This Row],[Play Booster Sealed Market Value BotBox]]</f>
        <v>#VALUE!</v>
      </c>
      <c r="BN6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3" s="10" t="e">
        <f>tbl_MTG_Set[[#This Row],[Play Singles CardMarket Profit BotBox]]/tbl_MTG_Set[[#This Row],[Play Booster Cost]]</f>
        <v>#VALUE!</v>
      </c>
      <c r="BP693" s="10" t="b">
        <f>tbl_MTG_Set[[#This Row],[Play Singles CardMarket Profit BotBox]]&gt;0</f>
        <v>0</v>
      </c>
      <c r="BQ693" s="10"/>
      <c r="BR693" s="10"/>
      <c r="BS693" s="10"/>
      <c r="BT6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3" s="19" t="e">
        <f>tbl_MTG_Set[[#This Row],[Collector Singles CardMarket Profit MTG Stocks]]/tbl_MTG_Set[[#This Row],[Collector Booster Cost]]</f>
        <v>#N/A</v>
      </c>
      <c r="BW693" s="10" t="b">
        <f>tbl_MTG_Set[[#This Row],[Collector Singles CardMarket Profit MTG Stocks]]&gt;0</f>
        <v>0</v>
      </c>
      <c r="BX693" s="10"/>
      <c r="BY693" s="10"/>
      <c r="BZ6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3" s="10" t="e">
        <f>tbl_MTG_Set[[#This Row],[Collector Singles CardMarket Profit BotBox]]/tbl_MTG_Set[[#This Row],[Collector Booster Cost]]</f>
        <v>#N/A</v>
      </c>
      <c r="CC693" s="10" t="b">
        <f>tbl_MTG_Set[[#This Row],[Collector Singles CardMarket Profit BotBox]]&gt;0</f>
        <v>0</v>
      </c>
      <c r="CD6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4" spans="1:86" hidden="1">
      <c r="A694">
        <v>726</v>
      </c>
      <c r="B694" t="s">
        <v>867</v>
      </c>
      <c r="C694">
        <v>5</v>
      </c>
      <c r="D694" s="3">
        <v>40711</v>
      </c>
      <c r="F694" t="s">
        <v>174</v>
      </c>
      <c r="G694">
        <v>1398</v>
      </c>
      <c r="H694">
        <f ca="1">MONTH(NOW())+12*YEAR(NOW())-MONTH(tbl_MTG_Set[[#This Row],[Released On]])-12*YEAR(tbl_MTG_Set[[#This Row],[Released On]])</f>
        <v>177</v>
      </c>
      <c r="I694" t="str">
        <f>_xlfn.XLOOKUP(tbl_MTG_Set[[#This Row],[Type Name]], tbl_MTG_Set_Type[Set Type], tbl_MTG_Set_Type[Index], "(Set Type not found)")</f>
        <v>(Set Type not found)</v>
      </c>
      <c r="J694" t="str">
        <f>_xlfn.XLOOKUP(tbl_MTG_Set[[#This Row],[Type Name]], tbl_MTG_Set_Type[Set Type], tbl_MTG_Set_Type[Buy Window Month Start], "(Set Type not found)")</f>
        <v>(Set Type not found)</v>
      </c>
      <c r="K694" s="3" t="e">
        <f>tbl_MTG_Set[[#This Row],[Released On]]+tbl_MTG_Set[[#This Row],[Buy Window Month Start]]*365.25/12</f>
        <v>#VALUE!</v>
      </c>
      <c r="L694" t="str">
        <f>_xlfn.XLOOKUP(tbl_MTG_Set[[#This Row],[Type Name]], tbl_MTG_Set_Type[Set Type], tbl_MTG_Set_Type[Buy Window Month End], "(Set Type not found)", 0, 1)</f>
        <v>(Set Type not found)</v>
      </c>
      <c r="M694" s="3" t="e">
        <f>tbl_MTG_Set[[#This Row],[Released On]]+tbl_MTG_Set[[#This Row],[Buy Window Month End]]*365.25/12</f>
        <v>#VALUE!</v>
      </c>
      <c r="N694" s="3" t="e">
        <f ca="1">AND(NOW()&gt;=tbl_MTG_Set[[#This Row],[Buy Window Start]], NOW()&lt;=tbl_MTG_Set[[#This Row],[Buy Window End]])</f>
        <v>#VALUE!</v>
      </c>
      <c r="O694" t="str">
        <f>_xlfn.XLOOKUP(tbl_MTG_Set[[#This Row],[Type Name]], tbl_MTG_Set_Type[Set Type], tbl_MTG_Set_Type[Heavy Printing Window Month Start], "(Set Type not found)", 0, 1)</f>
        <v>(Set Type not found)</v>
      </c>
      <c r="P694" s="3" t="e">
        <f>tbl_MTG_Set[[#This Row],[Released On]]+tbl_MTG_Set[[#This Row],[Heavy Printing Window Month Start]]*365.25/12</f>
        <v>#VALUE!</v>
      </c>
      <c r="Q694" t="str">
        <f>_xlfn.XLOOKUP(tbl_MTG_Set[[#This Row],[Type Name]], tbl_MTG_Set_Type[Set Type], tbl_MTG_Set_Type[Heavy Printing Window Month End], "(Set Type not found)", 0, 1)</f>
        <v>(Set Type not found)</v>
      </c>
      <c r="R694" s="3" t="e">
        <f>tbl_MTG_Set[[#This Row],[Released On]]+tbl_MTG_Set[[#This Row],[Heavy Printing Window Month End]]*365.25/12</f>
        <v>#VALUE!</v>
      </c>
      <c r="S694" s="3" t="e">
        <f ca="1">AND(NOW()&gt;=tbl_MTG_Set[[#This Row],[Heavy Printing Window Start]], NOW()&lt;=tbl_MTG_Set[[#This Row],[Heavy Printing Window End]])</f>
        <v>#VALUE!</v>
      </c>
      <c r="T694" t="str">
        <f>_xlfn.XLOOKUP(tbl_MTG_Set[[#This Row],[Type Name]], tbl_MTG_Set_Type[Set Type], tbl_MTG_Set_Type[Sell Window Month Start], "(Set Type not found)", 0, 1)</f>
        <v>(Set Type not found)</v>
      </c>
      <c r="U694" s="3" t="e">
        <f>tbl_MTG_Set[[#This Row],[Released On]]+tbl_MTG_Set[[#This Row],[Sell Window Month Start]]*365.25/12</f>
        <v>#VALUE!</v>
      </c>
      <c r="V694" t="str">
        <f>_xlfn.XLOOKUP(tbl_MTG_Set[[#This Row],[Type Name]], tbl_MTG_Set_Type[Set Type], tbl_MTG_Set_Type[Sell Window Month End], "(Set Type not found)", 0, 1)</f>
        <v>(Set Type not found)</v>
      </c>
      <c r="W694" s="3" t="e">
        <f>tbl_MTG_Set[[#This Row],[Released On]]+tbl_MTG_Set[[#This Row],[Sell Window Month End]]*365.25/12</f>
        <v>#VALUE!</v>
      </c>
      <c r="X694" s="3" t="e">
        <f ca="1">AND(NOW()&gt;=tbl_MTG_Set[[#This Row],[Sell Window Start]], NOW()&lt;=tbl_MTG_Set[[#This Row],[Sell Window End]])</f>
        <v>#VALUE!</v>
      </c>
      <c r="AG694" s="10"/>
      <c r="AH694" s="10"/>
      <c r="AM694" s="10" t="str" cm="1">
        <f t="array" ref="AM6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4" s="10" t="str" cm="1">
        <f t="array" ref="AN6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4" s="4" t="e">
        <f>_xlfn.XLOOKUP(tbl_MTG_Set[[#This Row],[Play Booster Box Product Id]], tbl_Product[Product Id], tbl_Product[Pack Size])</f>
        <v>#N/A</v>
      </c>
      <c r="AP694" s="10" t="e">
        <f>(tbl_MTG_Set[[#This Row],[Play Booster Box Cost]]+v_Item_Shipping_Cost_In)/tbl_MTG_Set[[#This Row],[Play Booster Box Size]]</f>
        <v>#VALUE!</v>
      </c>
      <c r="AQ694" s="10" t="str" cm="1">
        <f t="array" ref="AQ6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4" s="10"/>
      <c r="AS694" s="10"/>
      <c r="AT694" s="17" t="e">
        <f>tbl_MTG_Set[[#This Row],[Play Booster CardMarket Profit]]/tbl_MTG_Set[[#This Row],[Play Booster Cost]]</f>
        <v>#VALUE!</v>
      </c>
      <c r="AU694" s="10" t="e">
        <f>_xlfn.XLOOKUP(tbl_MTG_Set[[#This Row],[Collector Booster Box Product Id]], tbl_Product[Product Id], tbl_Product[Min Cost])</f>
        <v>#N/A</v>
      </c>
      <c r="AV694" s="10" t="e">
        <f>_xlfn.XLOOKUP(tbl_MTG_Set[[#This Row],[Collector Booster Box Product Id]], tbl_Product[Product Id], tbl_Product[Best Source])</f>
        <v>#N/A</v>
      </c>
      <c r="AW694" s="4" t="e">
        <f>_xlfn.XLOOKUP(tbl_MTG_Set[[#This Row],[Collector Booster Box Product Id]], tbl_Product[Product Id], tbl_Product[Pack Size])</f>
        <v>#N/A</v>
      </c>
      <c r="AX694" s="10" t="e">
        <f>(tbl_MTG_Set[[#This Row],[Collector Booster Box Cost]] + v_Item_Shipping_Cost_In) / tbl_MTG_Set[[#This Row],[Collector Booster Box Size]]</f>
        <v>#N/A</v>
      </c>
      <c r="AY694" s="10" t="str" cm="1">
        <f t="array" ref="AY6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4" s="10"/>
      <c r="BA6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4" s="17" t="e">
        <f>tbl_MTG_Set[[#This Row],[Collector Booster CardMarket Profit]]/tbl_MTG_Set[[#This Row],[Collector Booster Cost]]</f>
        <v>#N/A</v>
      </c>
      <c r="BC694" s="10"/>
      <c r="BF6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4" s="11" t="e">
        <f>tbl_MTG_Set[[#This Row],[Play Singles CardMarket Profit MTG Stocks]]/tbl_MTG_Set[[#This Row],[Play Booster Cost]]</f>
        <v>#VALUE!</v>
      </c>
      <c r="BI694" s="11" t="b">
        <f>tbl_MTG_Set[[#This Row],[Play Singles CardMarket Profit MTG Stocks]]&gt;0</f>
        <v>0</v>
      </c>
      <c r="BM694" s="10" t="e">
        <f>tbl_MTG_Set[[#This Row],[Play Booster Sell Price CardMarket]]*tbl_MTG_Set[[#This Row],[Play Booster Expected Market Value BotBox]]/tbl_MTG_Set[[#This Row],[Play Booster Sealed Market Value BotBox]]</f>
        <v>#VALUE!</v>
      </c>
      <c r="BN6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4" s="10" t="e">
        <f>tbl_MTG_Set[[#This Row],[Play Singles CardMarket Profit BotBox]]/tbl_MTG_Set[[#This Row],[Play Booster Cost]]</f>
        <v>#VALUE!</v>
      </c>
      <c r="BP694" s="10" t="b">
        <f>tbl_MTG_Set[[#This Row],[Play Singles CardMarket Profit BotBox]]&gt;0</f>
        <v>0</v>
      </c>
      <c r="BQ694" s="10"/>
      <c r="BR694" s="10"/>
      <c r="BS694" s="10"/>
      <c r="BT6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4" s="19" t="e">
        <f>tbl_MTG_Set[[#This Row],[Collector Singles CardMarket Profit MTG Stocks]]/tbl_MTG_Set[[#This Row],[Collector Booster Cost]]</f>
        <v>#N/A</v>
      </c>
      <c r="BW694" s="10" t="b">
        <f>tbl_MTG_Set[[#This Row],[Collector Singles CardMarket Profit MTG Stocks]]&gt;0</f>
        <v>0</v>
      </c>
      <c r="BX694" s="10"/>
      <c r="BY694" s="10"/>
      <c r="BZ6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4" s="10" t="e">
        <f>tbl_MTG_Set[[#This Row],[Collector Singles CardMarket Profit BotBox]]/tbl_MTG_Set[[#This Row],[Collector Booster Cost]]</f>
        <v>#N/A</v>
      </c>
      <c r="CC694" s="10" t="b">
        <f>tbl_MTG_Set[[#This Row],[Collector Singles CardMarket Profit BotBox]]&gt;0</f>
        <v>0</v>
      </c>
      <c r="CD6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5" spans="1:86" hidden="1">
      <c r="A695">
        <v>727</v>
      </c>
      <c r="B695" t="s">
        <v>868</v>
      </c>
      <c r="C695">
        <v>15</v>
      </c>
      <c r="D695" s="3">
        <v>40711</v>
      </c>
      <c r="F695" t="s">
        <v>174</v>
      </c>
      <c r="G695">
        <v>1400</v>
      </c>
      <c r="H695">
        <f ca="1">MONTH(NOW())+12*YEAR(NOW())-MONTH(tbl_MTG_Set[[#This Row],[Released On]])-12*YEAR(tbl_MTG_Set[[#This Row],[Released On]])</f>
        <v>177</v>
      </c>
      <c r="I695" t="str">
        <f>_xlfn.XLOOKUP(tbl_MTG_Set[[#This Row],[Type Name]], tbl_MTG_Set_Type[Set Type], tbl_MTG_Set_Type[Index], "(Set Type not found)")</f>
        <v>(Set Type not found)</v>
      </c>
      <c r="J695" t="str">
        <f>_xlfn.XLOOKUP(tbl_MTG_Set[[#This Row],[Type Name]], tbl_MTG_Set_Type[Set Type], tbl_MTG_Set_Type[Buy Window Month Start], "(Set Type not found)")</f>
        <v>(Set Type not found)</v>
      </c>
      <c r="K695" s="3" t="e">
        <f>tbl_MTG_Set[[#This Row],[Released On]]+tbl_MTG_Set[[#This Row],[Buy Window Month Start]]*365.25/12</f>
        <v>#VALUE!</v>
      </c>
      <c r="L695" t="str">
        <f>_xlfn.XLOOKUP(tbl_MTG_Set[[#This Row],[Type Name]], tbl_MTG_Set_Type[Set Type], tbl_MTG_Set_Type[Buy Window Month End], "(Set Type not found)", 0, 1)</f>
        <v>(Set Type not found)</v>
      </c>
      <c r="M695" s="3" t="e">
        <f>tbl_MTG_Set[[#This Row],[Released On]]+tbl_MTG_Set[[#This Row],[Buy Window Month End]]*365.25/12</f>
        <v>#VALUE!</v>
      </c>
      <c r="N695" s="3" t="e">
        <f ca="1">AND(NOW()&gt;=tbl_MTG_Set[[#This Row],[Buy Window Start]], NOW()&lt;=tbl_MTG_Set[[#This Row],[Buy Window End]])</f>
        <v>#VALUE!</v>
      </c>
      <c r="O695" t="str">
        <f>_xlfn.XLOOKUP(tbl_MTG_Set[[#This Row],[Type Name]], tbl_MTG_Set_Type[Set Type], tbl_MTG_Set_Type[Heavy Printing Window Month Start], "(Set Type not found)", 0, 1)</f>
        <v>(Set Type not found)</v>
      </c>
      <c r="P695" s="3" t="e">
        <f>tbl_MTG_Set[[#This Row],[Released On]]+tbl_MTG_Set[[#This Row],[Heavy Printing Window Month Start]]*365.25/12</f>
        <v>#VALUE!</v>
      </c>
      <c r="Q695" t="str">
        <f>_xlfn.XLOOKUP(tbl_MTG_Set[[#This Row],[Type Name]], tbl_MTG_Set_Type[Set Type], tbl_MTG_Set_Type[Heavy Printing Window Month End], "(Set Type not found)", 0, 1)</f>
        <v>(Set Type not found)</v>
      </c>
      <c r="R695" s="3" t="e">
        <f>tbl_MTG_Set[[#This Row],[Released On]]+tbl_MTG_Set[[#This Row],[Heavy Printing Window Month End]]*365.25/12</f>
        <v>#VALUE!</v>
      </c>
      <c r="S695" s="3" t="e">
        <f ca="1">AND(NOW()&gt;=tbl_MTG_Set[[#This Row],[Heavy Printing Window Start]], NOW()&lt;=tbl_MTG_Set[[#This Row],[Heavy Printing Window End]])</f>
        <v>#VALUE!</v>
      </c>
      <c r="T695" t="str">
        <f>_xlfn.XLOOKUP(tbl_MTG_Set[[#This Row],[Type Name]], tbl_MTG_Set_Type[Set Type], tbl_MTG_Set_Type[Sell Window Month Start], "(Set Type not found)", 0, 1)</f>
        <v>(Set Type not found)</v>
      </c>
      <c r="U695" s="3" t="e">
        <f>tbl_MTG_Set[[#This Row],[Released On]]+tbl_MTG_Set[[#This Row],[Sell Window Month Start]]*365.25/12</f>
        <v>#VALUE!</v>
      </c>
      <c r="V695" t="str">
        <f>_xlfn.XLOOKUP(tbl_MTG_Set[[#This Row],[Type Name]], tbl_MTG_Set_Type[Set Type], tbl_MTG_Set_Type[Sell Window Month End], "(Set Type not found)", 0, 1)</f>
        <v>(Set Type not found)</v>
      </c>
      <c r="W695" s="3" t="e">
        <f>tbl_MTG_Set[[#This Row],[Released On]]+tbl_MTG_Set[[#This Row],[Sell Window Month End]]*365.25/12</f>
        <v>#VALUE!</v>
      </c>
      <c r="X695" s="3" t="e">
        <f ca="1">AND(NOW()&gt;=tbl_MTG_Set[[#This Row],[Sell Window Start]], NOW()&lt;=tbl_MTG_Set[[#This Row],[Sell Window End]])</f>
        <v>#VALUE!</v>
      </c>
      <c r="AG695" s="10"/>
      <c r="AH695" s="10"/>
      <c r="AM695" s="10" t="str" cm="1">
        <f t="array" ref="AM6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5" s="10" t="str" cm="1">
        <f t="array" ref="AN6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5" s="4" t="e">
        <f>_xlfn.XLOOKUP(tbl_MTG_Set[[#This Row],[Play Booster Box Product Id]], tbl_Product[Product Id], tbl_Product[Pack Size])</f>
        <v>#N/A</v>
      </c>
      <c r="AP695" s="10" t="e">
        <f>(tbl_MTG_Set[[#This Row],[Play Booster Box Cost]]+v_Item_Shipping_Cost_In)/tbl_MTG_Set[[#This Row],[Play Booster Box Size]]</f>
        <v>#VALUE!</v>
      </c>
      <c r="AQ695" s="10" t="str" cm="1">
        <f t="array" ref="AQ6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5" s="10"/>
      <c r="AS695" s="10"/>
      <c r="AT695" s="17" t="e">
        <f>tbl_MTG_Set[[#This Row],[Play Booster CardMarket Profit]]/tbl_MTG_Set[[#This Row],[Play Booster Cost]]</f>
        <v>#VALUE!</v>
      </c>
      <c r="AU695" s="10" t="e">
        <f>_xlfn.XLOOKUP(tbl_MTG_Set[[#This Row],[Collector Booster Box Product Id]], tbl_Product[Product Id], tbl_Product[Min Cost])</f>
        <v>#N/A</v>
      </c>
      <c r="AV695" s="10" t="e">
        <f>_xlfn.XLOOKUP(tbl_MTG_Set[[#This Row],[Collector Booster Box Product Id]], tbl_Product[Product Id], tbl_Product[Best Source])</f>
        <v>#N/A</v>
      </c>
      <c r="AW695" s="4" t="e">
        <f>_xlfn.XLOOKUP(tbl_MTG_Set[[#This Row],[Collector Booster Box Product Id]], tbl_Product[Product Id], tbl_Product[Pack Size])</f>
        <v>#N/A</v>
      </c>
      <c r="AX695" s="10" t="e">
        <f>(tbl_MTG_Set[[#This Row],[Collector Booster Box Cost]] + v_Item_Shipping_Cost_In) / tbl_MTG_Set[[#This Row],[Collector Booster Box Size]]</f>
        <v>#N/A</v>
      </c>
      <c r="AY695" s="10" t="str" cm="1">
        <f t="array" ref="AY6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5" s="10"/>
      <c r="BA6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5" s="17" t="e">
        <f>tbl_MTG_Set[[#This Row],[Collector Booster CardMarket Profit]]/tbl_MTG_Set[[#This Row],[Collector Booster Cost]]</f>
        <v>#N/A</v>
      </c>
      <c r="BC695" s="10"/>
      <c r="BF6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5" s="11" t="e">
        <f>tbl_MTG_Set[[#This Row],[Play Singles CardMarket Profit MTG Stocks]]/tbl_MTG_Set[[#This Row],[Play Booster Cost]]</f>
        <v>#VALUE!</v>
      </c>
      <c r="BI695" s="11" t="b">
        <f>tbl_MTG_Set[[#This Row],[Play Singles CardMarket Profit MTG Stocks]]&gt;0</f>
        <v>0</v>
      </c>
      <c r="BM695" s="10" t="e">
        <f>tbl_MTG_Set[[#This Row],[Play Booster Sell Price CardMarket]]*tbl_MTG_Set[[#This Row],[Play Booster Expected Market Value BotBox]]/tbl_MTG_Set[[#This Row],[Play Booster Sealed Market Value BotBox]]</f>
        <v>#VALUE!</v>
      </c>
      <c r="BN6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5" s="10" t="e">
        <f>tbl_MTG_Set[[#This Row],[Play Singles CardMarket Profit BotBox]]/tbl_MTG_Set[[#This Row],[Play Booster Cost]]</f>
        <v>#VALUE!</v>
      </c>
      <c r="BP695" s="10" t="b">
        <f>tbl_MTG_Set[[#This Row],[Play Singles CardMarket Profit BotBox]]&gt;0</f>
        <v>0</v>
      </c>
      <c r="BQ695" s="10"/>
      <c r="BR695" s="10"/>
      <c r="BS695" s="10"/>
      <c r="BT6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5" s="19" t="e">
        <f>tbl_MTG_Set[[#This Row],[Collector Singles CardMarket Profit MTG Stocks]]/tbl_MTG_Set[[#This Row],[Collector Booster Cost]]</f>
        <v>#N/A</v>
      </c>
      <c r="BW695" s="10" t="b">
        <f>tbl_MTG_Set[[#This Row],[Collector Singles CardMarket Profit MTG Stocks]]&gt;0</f>
        <v>0</v>
      </c>
      <c r="BX695" s="10"/>
      <c r="BY695" s="10"/>
      <c r="BZ6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5" s="10" t="e">
        <f>tbl_MTG_Set[[#This Row],[Collector Singles CardMarket Profit BotBox]]/tbl_MTG_Set[[#This Row],[Collector Booster Cost]]</f>
        <v>#N/A</v>
      </c>
      <c r="CC695" s="10" t="b">
        <f>tbl_MTG_Set[[#This Row],[Collector Singles CardMarket Profit BotBox]]&gt;0</f>
        <v>0</v>
      </c>
      <c r="CD6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6" spans="1:86" hidden="1">
      <c r="A696">
        <v>728</v>
      </c>
      <c r="B696" t="s">
        <v>869</v>
      </c>
      <c r="C696">
        <v>88</v>
      </c>
      <c r="D696" s="3">
        <v>40677</v>
      </c>
      <c r="F696" t="s">
        <v>174</v>
      </c>
      <c r="G696">
        <v>1402</v>
      </c>
      <c r="H696">
        <f ca="1">MONTH(NOW())+12*YEAR(NOW())-MONTH(tbl_MTG_Set[[#This Row],[Released On]])-12*YEAR(tbl_MTG_Set[[#This Row],[Released On]])</f>
        <v>178</v>
      </c>
      <c r="I696" t="str">
        <f>_xlfn.XLOOKUP(tbl_MTG_Set[[#This Row],[Type Name]], tbl_MTG_Set_Type[Set Type], tbl_MTG_Set_Type[Index], "(Set Type not found)")</f>
        <v>(Set Type not found)</v>
      </c>
      <c r="J696" t="str">
        <f>_xlfn.XLOOKUP(tbl_MTG_Set[[#This Row],[Type Name]], tbl_MTG_Set_Type[Set Type], tbl_MTG_Set_Type[Buy Window Month Start], "(Set Type not found)")</f>
        <v>(Set Type not found)</v>
      </c>
      <c r="K696" s="3" t="e">
        <f>tbl_MTG_Set[[#This Row],[Released On]]+tbl_MTG_Set[[#This Row],[Buy Window Month Start]]*365.25/12</f>
        <v>#VALUE!</v>
      </c>
      <c r="L696" t="str">
        <f>_xlfn.XLOOKUP(tbl_MTG_Set[[#This Row],[Type Name]], tbl_MTG_Set_Type[Set Type], tbl_MTG_Set_Type[Buy Window Month End], "(Set Type not found)", 0, 1)</f>
        <v>(Set Type not found)</v>
      </c>
      <c r="M696" s="3" t="e">
        <f>tbl_MTG_Set[[#This Row],[Released On]]+tbl_MTG_Set[[#This Row],[Buy Window Month End]]*365.25/12</f>
        <v>#VALUE!</v>
      </c>
      <c r="N696" s="3" t="e">
        <f ca="1">AND(NOW()&gt;=tbl_MTG_Set[[#This Row],[Buy Window Start]], NOW()&lt;=tbl_MTG_Set[[#This Row],[Buy Window End]])</f>
        <v>#VALUE!</v>
      </c>
      <c r="O696" t="str">
        <f>_xlfn.XLOOKUP(tbl_MTG_Set[[#This Row],[Type Name]], tbl_MTG_Set_Type[Set Type], tbl_MTG_Set_Type[Heavy Printing Window Month Start], "(Set Type not found)", 0, 1)</f>
        <v>(Set Type not found)</v>
      </c>
      <c r="P696" s="3" t="e">
        <f>tbl_MTG_Set[[#This Row],[Released On]]+tbl_MTG_Set[[#This Row],[Heavy Printing Window Month Start]]*365.25/12</f>
        <v>#VALUE!</v>
      </c>
      <c r="Q696" t="str">
        <f>_xlfn.XLOOKUP(tbl_MTG_Set[[#This Row],[Type Name]], tbl_MTG_Set_Type[Set Type], tbl_MTG_Set_Type[Heavy Printing Window Month End], "(Set Type not found)", 0, 1)</f>
        <v>(Set Type not found)</v>
      </c>
      <c r="R696" s="3" t="e">
        <f>tbl_MTG_Set[[#This Row],[Released On]]+tbl_MTG_Set[[#This Row],[Heavy Printing Window Month End]]*365.25/12</f>
        <v>#VALUE!</v>
      </c>
      <c r="S696" s="3" t="e">
        <f ca="1">AND(NOW()&gt;=tbl_MTG_Set[[#This Row],[Heavy Printing Window Start]], NOW()&lt;=tbl_MTG_Set[[#This Row],[Heavy Printing Window End]])</f>
        <v>#VALUE!</v>
      </c>
      <c r="T696" t="str">
        <f>_xlfn.XLOOKUP(tbl_MTG_Set[[#This Row],[Type Name]], tbl_MTG_Set_Type[Set Type], tbl_MTG_Set_Type[Sell Window Month Start], "(Set Type not found)", 0, 1)</f>
        <v>(Set Type not found)</v>
      </c>
      <c r="U696" s="3" t="e">
        <f>tbl_MTG_Set[[#This Row],[Released On]]+tbl_MTG_Set[[#This Row],[Sell Window Month Start]]*365.25/12</f>
        <v>#VALUE!</v>
      </c>
      <c r="V696" t="str">
        <f>_xlfn.XLOOKUP(tbl_MTG_Set[[#This Row],[Type Name]], tbl_MTG_Set_Type[Set Type], tbl_MTG_Set_Type[Sell Window Month End], "(Set Type not found)", 0, 1)</f>
        <v>(Set Type not found)</v>
      </c>
      <c r="W696" s="3" t="e">
        <f>tbl_MTG_Set[[#This Row],[Released On]]+tbl_MTG_Set[[#This Row],[Sell Window Month End]]*365.25/12</f>
        <v>#VALUE!</v>
      </c>
      <c r="X696" s="3" t="e">
        <f ca="1">AND(NOW()&gt;=tbl_MTG_Set[[#This Row],[Sell Window Start]], NOW()&lt;=tbl_MTG_Set[[#This Row],[Sell Window End]])</f>
        <v>#VALUE!</v>
      </c>
      <c r="AG696" s="10"/>
      <c r="AH696" s="10"/>
      <c r="AM696" s="10" t="str" cm="1">
        <f t="array" ref="AM6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6" s="10" t="str" cm="1">
        <f t="array" ref="AN6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6" s="4" t="e">
        <f>_xlfn.XLOOKUP(tbl_MTG_Set[[#This Row],[Play Booster Box Product Id]], tbl_Product[Product Id], tbl_Product[Pack Size])</f>
        <v>#N/A</v>
      </c>
      <c r="AP696" s="10" t="e">
        <f>(tbl_MTG_Set[[#This Row],[Play Booster Box Cost]]+v_Item_Shipping_Cost_In)/tbl_MTG_Set[[#This Row],[Play Booster Box Size]]</f>
        <v>#VALUE!</v>
      </c>
      <c r="AQ696" s="10" t="str" cm="1">
        <f t="array" ref="AQ6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6" s="10"/>
      <c r="AS696" s="10"/>
      <c r="AT696" s="17" t="e">
        <f>tbl_MTG_Set[[#This Row],[Play Booster CardMarket Profit]]/tbl_MTG_Set[[#This Row],[Play Booster Cost]]</f>
        <v>#VALUE!</v>
      </c>
      <c r="AU696" s="10" t="e">
        <f>_xlfn.XLOOKUP(tbl_MTG_Set[[#This Row],[Collector Booster Box Product Id]], tbl_Product[Product Id], tbl_Product[Min Cost])</f>
        <v>#N/A</v>
      </c>
      <c r="AV696" s="10" t="e">
        <f>_xlfn.XLOOKUP(tbl_MTG_Set[[#This Row],[Collector Booster Box Product Id]], tbl_Product[Product Id], tbl_Product[Best Source])</f>
        <v>#N/A</v>
      </c>
      <c r="AW696" s="4" t="e">
        <f>_xlfn.XLOOKUP(tbl_MTG_Set[[#This Row],[Collector Booster Box Product Id]], tbl_Product[Product Id], tbl_Product[Pack Size])</f>
        <v>#N/A</v>
      </c>
      <c r="AX696" s="10" t="e">
        <f>(tbl_MTG_Set[[#This Row],[Collector Booster Box Cost]] + v_Item_Shipping_Cost_In) / tbl_MTG_Set[[#This Row],[Collector Booster Box Size]]</f>
        <v>#N/A</v>
      </c>
      <c r="AY696" s="10" t="str" cm="1">
        <f t="array" ref="AY6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6" s="10"/>
      <c r="BA6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6" s="17" t="e">
        <f>tbl_MTG_Set[[#This Row],[Collector Booster CardMarket Profit]]/tbl_MTG_Set[[#This Row],[Collector Booster Cost]]</f>
        <v>#N/A</v>
      </c>
      <c r="BC696" s="10"/>
      <c r="BF6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6" s="11" t="e">
        <f>tbl_MTG_Set[[#This Row],[Play Singles CardMarket Profit MTG Stocks]]/tbl_MTG_Set[[#This Row],[Play Booster Cost]]</f>
        <v>#VALUE!</v>
      </c>
      <c r="BI696" s="11" t="b">
        <f>tbl_MTG_Set[[#This Row],[Play Singles CardMarket Profit MTG Stocks]]&gt;0</f>
        <v>0</v>
      </c>
      <c r="BM696" s="10" t="e">
        <f>tbl_MTG_Set[[#This Row],[Play Booster Sell Price CardMarket]]*tbl_MTG_Set[[#This Row],[Play Booster Expected Market Value BotBox]]/tbl_MTG_Set[[#This Row],[Play Booster Sealed Market Value BotBox]]</f>
        <v>#VALUE!</v>
      </c>
      <c r="BN6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6" s="10" t="e">
        <f>tbl_MTG_Set[[#This Row],[Play Singles CardMarket Profit BotBox]]/tbl_MTG_Set[[#This Row],[Play Booster Cost]]</f>
        <v>#VALUE!</v>
      </c>
      <c r="BP696" s="10" t="b">
        <f>tbl_MTG_Set[[#This Row],[Play Singles CardMarket Profit BotBox]]&gt;0</f>
        <v>0</v>
      </c>
      <c r="BQ696" s="10"/>
      <c r="BR696" s="10"/>
      <c r="BS696" s="10"/>
      <c r="BT6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6" s="19" t="e">
        <f>tbl_MTG_Set[[#This Row],[Collector Singles CardMarket Profit MTG Stocks]]/tbl_MTG_Set[[#This Row],[Collector Booster Cost]]</f>
        <v>#N/A</v>
      </c>
      <c r="BW696" s="10" t="b">
        <f>tbl_MTG_Set[[#This Row],[Collector Singles CardMarket Profit MTG Stocks]]&gt;0</f>
        <v>0</v>
      </c>
      <c r="BX696" s="10"/>
      <c r="BY696" s="10"/>
      <c r="BZ6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6" s="10" t="e">
        <f>tbl_MTG_Set[[#This Row],[Collector Singles CardMarket Profit BotBox]]/tbl_MTG_Set[[#This Row],[Collector Booster Cost]]</f>
        <v>#N/A</v>
      </c>
      <c r="CC696" s="10" t="b">
        <f>tbl_MTG_Set[[#This Row],[Collector Singles CardMarket Profit BotBox]]&gt;0</f>
        <v>0</v>
      </c>
      <c r="CD6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7" spans="1:86" hidden="1">
      <c r="A697">
        <v>729</v>
      </c>
      <c r="B697" t="s">
        <v>870</v>
      </c>
      <c r="C697">
        <v>175</v>
      </c>
      <c r="D697" s="3">
        <v>40676</v>
      </c>
      <c r="F697" t="s">
        <v>174</v>
      </c>
      <c r="G697">
        <v>1404</v>
      </c>
      <c r="H697">
        <f ca="1">MONTH(NOW())+12*YEAR(NOW())-MONTH(tbl_MTG_Set[[#This Row],[Released On]])-12*YEAR(tbl_MTG_Set[[#This Row],[Released On]])</f>
        <v>178</v>
      </c>
      <c r="I697" t="str">
        <f>_xlfn.XLOOKUP(tbl_MTG_Set[[#This Row],[Type Name]], tbl_MTG_Set_Type[Set Type], tbl_MTG_Set_Type[Index], "(Set Type not found)")</f>
        <v>(Set Type not found)</v>
      </c>
      <c r="J697" t="str">
        <f>_xlfn.XLOOKUP(tbl_MTG_Set[[#This Row],[Type Name]], tbl_MTG_Set_Type[Set Type], tbl_MTG_Set_Type[Buy Window Month Start], "(Set Type not found)")</f>
        <v>(Set Type not found)</v>
      </c>
      <c r="K697" s="3" t="e">
        <f>tbl_MTG_Set[[#This Row],[Released On]]+tbl_MTG_Set[[#This Row],[Buy Window Month Start]]*365.25/12</f>
        <v>#VALUE!</v>
      </c>
      <c r="L697" t="str">
        <f>_xlfn.XLOOKUP(tbl_MTG_Set[[#This Row],[Type Name]], tbl_MTG_Set_Type[Set Type], tbl_MTG_Set_Type[Buy Window Month End], "(Set Type not found)", 0, 1)</f>
        <v>(Set Type not found)</v>
      </c>
      <c r="M697" s="3" t="e">
        <f>tbl_MTG_Set[[#This Row],[Released On]]+tbl_MTG_Set[[#This Row],[Buy Window Month End]]*365.25/12</f>
        <v>#VALUE!</v>
      </c>
      <c r="N697" s="3" t="e">
        <f ca="1">AND(NOW()&gt;=tbl_MTG_Set[[#This Row],[Buy Window Start]], NOW()&lt;=tbl_MTG_Set[[#This Row],[Buy Window End]])</f>
        <v>#VALUE!</v>
      </c>
      <c r="O697" t="str">
        <f>_xlfn.XLOOKUP(tbl_MTG_Set[[#This Row],[Type Name]], tbl_MTG_Set_Type[Set Type], tbl_MTG_Set_Type[Heavy Printing Window Month Start], "(Set Type not found)", 0, 1)</f>
        <v>(Set Type not found)</v>
      </c>
      <c r="P697" s="3" t="e">
        <f>tbl_MTG_Set[[#This Row],[Released On]]+tbl_MTG_Set[[#This Row],[Heavy Printing Window Month Start]]*365.25/12</f>
        <v>#VALUE!</v>
      </c>
      <c r="Q697" t="str">
        <f>_xlfn.XLOOKUP(tbl_MTG_Set[[#This Row],[Type Name]], tbl_MTG_Set_Type[Set Type], tbl_MTG_Set_Type[Heavy Printing Window Month End], "(Set Type not found)", 0, 1)</f>
        <v>(Set Type not found)</v>
      </c>
      <c r="R697" s="3" t="e">
        <f>tbl_MTG_Set[[#This Row],[Released On]]+tbl_MTG_Set[[#This Row],[Heavy Printing Window Month End]]*365.25/12</f>
        <v>#VALUE!</v>
      </c>
      <c r="S697" s="3" t="e">
        <f ca="1">AND(NOW()&gt;=tbl_MTG_Set[[#This Row],[Heavy Printing Window Start]], NOW()&lt;=tbl_MTG_Set[[#This Row],[Heavy Printing Window End]])</f>
        <v>#VALUE!</v>
      </c>
      <c r="T697" t="str">
        <f>_xlfn.XLOOKUP(tbl_MTG_Set[[#This Row],[Type Name]], tbl_MTG_Set_Type[Set Type], tbl_MTG_Set_Type[Sell Window Month Start], "(Set Type not found)", 0, 1)</f>
        <v>(Set Type not found)</v>
      </c>
      <c r="U697" s="3" t="e">
        <f>tbl_MTG_Set[[#This Row],[Released On]]+tbl_MTG_Set[[#This Row],[Sell Window Month Start]]*365.25/12</f>
        <v>#VALUE!</v>
      </c>
      <c r="V697" t="str">
        <f>_xlfn.XLOOKUP(tbl_MTG_Set[[#This Row],[Type Name]], tbl_MTG_Set_Type[Set Type], tbl_MTG_Set_Type[Sell Window Month End], "(Set Type not found)", 0, 1)</f>
        <v>(Set Type not found)</v>
      </c>
      <c r="W697" s="3" t="e">
        <f>tbl_MTG_Set[[#This Row],[Released On]]+tbl_MTG_Set[[#This Row],[Sell Window Month End]]*365.25/12</f>
        <v>#VALUE!</v>
      </c>
      <c r="X697" s="3" t="e">
        <f ca="1">AND(NOW()&gt;=tbl_MTG_Set[[#This Row],[Sell Window Start]], NOW()&lt;=tbl_MTG_Set[[#This Row],[Sell Window End]])</f>
        <v>#VALUE!</v>
      </c>
      <c r="AG697" s="10"/>
      <c r="AH697" s="10"/>
      <c r="AM697" s="10" t="str" cm="1">
        <f t="array" ref="AM6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7" s="10" t="str" cm="1">
        <f t="array" ref="AN6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7" s="4" t="e">
        <f>_xlfn.XLOOKUP(tbl_MTG_Set[[#This Row],[Play Booster Box Product Id]], tbl_Product[Product Id], tbl_Product[Pack Size])</f>
        <v>#N/A</v>
      </c>
      <c r="AP697" s="10" t="e">
        <f>(tbl_MTG_Set[[#This Row],[Play Booster Box Cost]]+v_Item_Shipping_Cost_In)/tbl_MTG_Set[[#This Row],[Play Booster Box Size]]</f>
        <v>#VALUE!</v>
      </c>
      <c r="AQ697" s="10" t="str" cm="1">
        <f t="array" ref="AQ6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7" s="10"/>
      <c r="AS697" s="10"/>
      <c r="AT697" s="17" t="e">
        <f>tbl_MTG_Set[[#This Row],[Play Booster CardMarket Profit]]/tbl_MTG_Set[[#This Row],[Play Booster Cost]]</f>
        <v>#VALUE!</v>
      </c>
      <c r="AU697" s="10" t="e">
        <f>_xlfn.XLOOKUP(tbl_MTG_Set[[#This Row],[Collector Booster Box Product Id]], tbl_Product[Product Id], tbl_Product[Min Cost])</f>
        <v>#N/A</v>
      </c>
      <c r="AV697" s="10" t="e">
        <f>_xlfn.XLOOKUP(tbl_MTG_Set[[#This Row],[Collector Booster Box Product Id]], tbl_Product[Product Id], tbl_Product[Best Source])</f>
        <v>#N/A</v>
      </c>
      <c r="AW697" s="4" t="e">
        <f>_xlfn.XLOOKUP(tbl_MTG_Set[[#This Row],[Collector Booster Box Product Id]], tbl_Product[Product Id], tbl_Product[Pack Size])</f>
        <v>#N/A</v>
      </c>
      <c r="AX697" s="10" t="e">
        <f>(tbl_MTG_Set[[#This Row],[Collector Booster Box Cost]] + v_Item_Shipping_Cost_In) / tbl_MTG_Set[[#This Row],[Collector Booster Box Size]]</f>
        <v>#N/A</v>
      </c>
      <c r="AY697" s="10" t="str" cm="1">
        <f t="array" ref="AY6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7" s="10"/>
      <c r="BA6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7" s="17" t="e">
        <f>tbl_MTG_Set[[#This Row],[Collector Booster CardMarket Profit]]/tbl_MTG_Set[[#This Row],[Collector Booster Cost]]</f>
        <v>#N/A</v>
      </c>
      <c r="BC697" s="10"/>
      <c r="BF6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7" s="11" t="e">
        <f>tbl_MTG_Set[[#This Row],[Play Singles CardMarket Profit MTG Stocks]]/tbl_MTG_Set[[#This Row],[Play Booster Cost]]</f>
        <v>#VALUE!</v>
      </c>
      <c r="BI697" s="11" t="b">
        <f>tbl_MTG_Set[[#This Row],[Play Singles CardMarket Profit MTG Stocks]]&gt;0</f>
        <v>0</v>
      </c>
      <c r="BM697" s="10" t="e">
        <f>tbl_MTG_Set[[#This Row],[Play Booster Sell Price CardMarket]]*tbl_MTG_Set[[#This Row],[Play Booster Expected Market Value BotBox]]/tbl_MTG_Set[[#This Row],[Play Booster Sealed Market Value BotBox]]</f>
        <v>#VALUE!</v>
      </c>
      <c r="BN6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7" s="10" t="e">
        <f>tbl_MTG_Set[[#This Row],[Play Singles CardMarket Profit BotBox]]/tbl_MTG_Set[[#This Row],[Play Booster Cost]]</f>
        <v>#VALUE!</v>
      </c>
      <c r="BP697" s="10" t="b">
        <f>tbl_MTG_Set[[#This Row],[Play Singles CardMarket Profit BotBox]]&gt;0</f>
        <v>0</v>
      </c>
      <c r="BQ697" s="10"/>
      <c r="BR697" s="10"/>
      <c r="BS697" s="10"/>
      <c r="BT6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7" s="19" t="e">
        <f>tbl_MTG_Set[[#This Row],[Collector Singles CardMarket Profit MTG Stocks]]/tbl_MTG_Set[[#This Row],[Collector Booster Cost]]</f>
        <v>#N/A</v>
      </c>
      <c r="BW697" s="10" t="b">
        <f>tbl_MTG_Set[[#This Row],[Collector Singles CardMarket Profit MTG Stocks]]&gt;0</f>
        <v>0</v>
      </c>
      <c r="BX697" s="10"/>
      <c r="BY697" s="10"/>
      <c r="BZ6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7" s="10" t="e">
        <f>tbl_MTG_Set[[#This Row],[Collector Singles CardMarket Profit BotBox]]/tbl_MTG_Set[[#This Row],[Collector Booster Cost]]</f>
        <v>#N/A</v>
      </c>
      <c r="CC697" s="10" t="b">
        <f>tbl_MTG_Set[[#This Row],[Collector Singles CardMarket Profit BotBox]]&gt;0</f>
        <v>0</v>
      </c>
      <c r="CD6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8" spans="1:86" hidden="1">
      <c r="A698">
        <v>730</v>
      </c>
      <c r="B698" t="s">
        <v>871</v>
      </c>
      <c r="C698">
        <v>4</v>
      </c>
      <c r="D698" s="3">
        <v>40675</v>
      </c>
      <c r="F698" t="s">
        <v>174</v>
      </c>
      <c r="G698">
        <v>1406</v>
      </c>
      <c r="H698">
        <f ca="1">MONTH(NOW())+12*YEAR(NOW())-MONTH(tbl_MTG_Set[[#This Row],[Released On]])-12*YEAR(tbl_MTG_Set[[#This Row],[Released On]])</f>
        <v>178</v>
      </c>
      <c r="I698" t="str">
        <f>_xlfn.XLOOKUP(tbl_MTG_Set[[#This Row],[Type Name]], tbl_MTG_Set_Type[Set Type], tbl_MTG_Set_Type[Index], "(Set Type not found)")</f>
        <v>(Set Type not found)</v>
      </c>
      <c r="J698" t="str">
        <f>_xlfn.XLOOKUP(tbl_MTG_Set[[#This Row],[Type Name]], tbl_MTG_Set_Type[Set Type], tbl_MTG_Set_Type[Buy Window Month Start], "(Set Type not found)")</f>
        <v>(Set Type not found)</v>
      </c>
      <c r="K698" s="3" t="e">
        <f>tbl_MTG_Set[[#This Row],[Released On]]+tbl_MTG_Set[[#This Row],[Buy Window Month Start]]*365.25/12</f>
        <v>#VALUE!</v>
      </c>
      <c r="L698" t="str">
        <f>_xlfn.XLOOKUP(tbl_MTG_Set[[#This Row],[Type Name]], tbl_MTG_Set_Type[Set Type], tbl_MTG_Set_Type[Buy Window Month End], "(Set Type not found)", 0, 1)</f>
        <v>(Set Type not found)</v>
      </c>
      <c r="M698" s="3" t="e">
        <f>tbl_MTG_Set[[#This Row],[Released On]]+tbl_MTG_Set[[#This Row],[Buy Window Month End]]*365.25/12</f>
        <v>#VALUE!</v>
      </c>
      <c r="N698" s="3" t="e">
        <f ca="1">AND(NOW()&gt;=tbl_MTG_Set[[#This Row],[Buy Window Start]], NOW()&lt;=tbl_MTG_Set[[#This Row],[Buy Window End]])</f>
        <v>#VALUE!</v>
      </c>
      <c r="O698" t="str">
        <f>_xlfn.XLOOKUP(tbl_MTG_Set[[#This Row],[Type Name]], tbl_MTG_Set_Type[Set Type], tbl_MTG_Set_Type[Heavy Printing Window Month Start], "(Set Type not found)", 0, 1)</f>
        <v>(Set Type not found)</v>
      </c>
      <c r="P698" s="3" t="e">
        <f>tbl_MTG_Set[[#This Row],[Released On]]+tbl_MTG_Set[[#This Row],[Heavy Printing Window Month Start]]*365.25/12</f>
        <v>#VALUE!</v>
      </c>
      <c r="Q698" t="str">
        <f>_xlfn.XLOOKUP(tbl_MTG_Set[[#This Row],[Type Name]], tbl_MTG_Set_Type[Set Type], tbl_MTG_Set_Type[Heavy Printing Window Month End], "(Set Type not found)", 0, 1)</f>
        <v>(Set Type not found)</v>
      </c>
      <c r="R698" s="3" t="e">
        <f>tbl_MTG_Set[[#This Row],[Released On]]+tbl_MTG_Set[[#This Row],[Heavy Printing Window Month End]]*365.25/12</f>
        <v>#VALUE!</v>
      </c>
      <c r="S698" s="3" t="e">
        <f ca="1">AND(NOW()&gt;=tbl_MTG_Set[[#This Row],[Heavy Printing Window Start]], NOW()&lt;=tbl_MTG_Set[[#This Row],[Heavy Printing Window End]])</f>
        <v>#VALUE!</v>
      </c>
      <c r="T698" t="str">
        <f>_xlfn.XLOOKUP(tbl_MTG_Set[[#This Row],[Type Name]], tbl_MTG_Set_Type[Set Type], tbl_MTG_Set_Type[Sell Window Month Start], "(Set Type not found)", 0, 1)</f>
        <v>(Set Type not found)</v>
      </c>
      <c r="U698" s="3" t="e">
        <f>tbl_MTG_Set[[#This Row],[Released On]]+tbl_MTG_Set[[#This Row],[Sell Window Month Start]]*365.25/12</f>
        <v>#VALUE!</v>
      </c>
      <c r="V698" t="str">
        <f>_xlfn.XLOOKUP(tbl_MTG_Set[[#This Row],[Type Name]], tbl_MTG_Set_Type[Set Type], tbl_MTG_Set_Type[Sell Window Month End], "(Set Type not found)", 0, 1)</f>
        <v>(Set Type not found)</v>
      </c>
      <c r="W698" s="3" t="e">
        <f>tbl_MTG_Set[[#This Row],[Released On]]+tbl_MTG_Set[[#This Row],[Sell Window Month End]]*365.25/12</f>
        <v>#VALUE!</v>
      </c>
      <c r="X698" s="3" t="e">
        <f ca="1">AND(NOW()&gt;=tbl_MTG_Set[[#This Row],[Sell Window Start]], NOW()&lt;=tbl_MTG_Set[[#This Row],[Sell Window End]])</f>
        <v>#VALUE!</v>
      </c>
      <c r="AG698" s="10"/>
      <c r="AH698" s="10"/>
      <c r="AM698" s="10" t="str" cm="1">
        <f t="array" ref="AM6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8" s="10" t="str" cm="1">
        <f t="array" ref="AN6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8" s="4" t="e">
        <f>_xlfn.XLOOKUP(tbl_MTG_Set[[#This Row],[Play Booster Box Product Id]], tbl_Product[Product Id], tbl_Product[Pack Size])</f>
        <v>#N/A</v>
      </c>
      <c r="AP698" s="10" t="e">
        <f>(tbl_MTG_Set[[#This Row],[Play Booster Box Cost]]+v_Item_Shipping_Cost_In)/tbl_MTG_Set[[#This Row],[Play Booster Box Size]]</f>
        <v>#VALUE!</v>
      </c>
      <c r="AQ698" s="10" t="str" cm="1">
        <f t="array" ref="AQ6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8" s="10"/>
      <c r="AS698" s="10"/>
      <c r="AT698" s="17" t="e">
        <f>tbl_MTG_Set[[#This Row],[Play Booster CardMarket Profit]]/tbl_MTG_Set[[#This Row],[Play Booster Cost]]</f>
        <v>#VALUE!</v>
      </c>
      <c r="AU698" s="10" t="e">
        <f>_xlfn.XLOOKUP(tbl_MTG_Set[[#This Row],[Collector Booster Box Product Id]], tbl_Product[Product Id], tbl_Product[Min Cost])</f>
        <v>#N/A</v>
      </c>
      <c r="AV698" s="10" t="e">
        <f>_xlfn.XLOOKUP(tbl_MTG_Set[[#This Row],[Collector Booster Box Product Id]], tbl_Product[Product Id], tbl_Product[Best Source])</f>
        <v>#N/A</v>
      </c>
      <c r="AW698" s="4" t="e">
        <f>_xlfn.XLOOKUP(tbl_MTG_Set[[#This Row],[Collector Booster Box Product Id]], tbl_Product[Product Id], tbl_Product[Pack Size])</f>
        <v>#N/A</v>
      </c>
      <c r="AX698" s="10" t="e">
        <f>(tbl_MTG_Set[[#This Row],[Collector Booster Box Cost]] + v_Item_Shipping_Cost_In) / tbl_MTG_Set[[#This Row],[Collector Booster Box Size]]</f>
        <v>#N/A</v>
      </c>
      <c r="AY698" s="10" t="str" cm="1">
        <f t="array" ref="AY6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8" s="10"/>
      <c r="BA6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8" s="17" t="e">
        <f>tbl_MTG_Set[[#This Row],[Collector Booster CardMarket Profit]]/tbl_MTG_Set[[#This Row],[Collector Booster Cost]]</f>
        <v>#N/A</v>
      </c>
      <c r="BC698" s="10"/>
      <c r="BF6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8" s="11" t="e">
        <f>tbl_MTG_Set[[#This Row],[Play Singles CardMarket Profit MTG Stocks]]/tbl_MTG_Set[[#This Row],[Play Booster Cost]]</f>
        <v>#VALUE!</v>
      </c>
      <c r="BI698" s="11" t="b">
        <f>tbl_MTG_Set[[#This Row],[Play Singles CardMarket Profit MTG Stocks]]&gt;0</f>
        <v>0</v>
      </c>
      <c r="BM698" s="10" t="e">
        <f>tbl_MTG_Set[[#This Row],[Play Booster Sell Price CardMarket]]*tbl_MTG_Set[[#This Row],[Play Booster Expected Market Value BotBox]]/tbl_MTG_Set[[#This Row],[Play Booster Sealed Market Value BotBox]]</f>
        <v>#VALUE!</v>
      </c>
      <c r="BN6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8" s="10" t="e">
        <f>tbl_MTG_Set[[#This Row],[Play Singles CardMarket Profit BotBox]]/tbl_MTG_Set[[#This Row],[Play Booster Cost]]</f>
        <v>#VALUE!</v>
      </c>
      <c r="BP698" s="10" t="b">
        <f>tbl_MTG_Set[[#This Row],[Play Singles CardMarket Profit BotBox]]&gt;0</f>
        <v>0</v>
      </c>
      <c r="BQ698" s="10"/>
      <c r="BR698" s="10"/>
      <c r="BS698" s="10"/>
      <c r="BT6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8" s="19" t="e">
        <f>tbl_MTG_Set[[#This Row],[Collector Singles CardMarket Profit MTG Stocks]]/tbl_MTG_Set[[#This Row],[Collector Booster Cost]]</f>
        <v>#N/A</v>
      </c>
      <c r="BW698" s="10" t="b">
        <f>tbl_MTG_Set[[#This Row],[Collector Singles CardMarket Profit MTG Stocks]]&gt;0</f>
        <v>0</v>
      </c>
      <c r="BX698" s="10"/>
      <c r="BY698" s="10"/>
      <c r="BZ6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8" s="10" t="e">
        <f>tbl_MTG_Set[[#This Row],[Collector Singles CardMarket Profit BotBox]]/tbl_MTG_Set[[#This Row],[Collector Booster Cost]]</f>
        <v>#N/A</v>
      </c>
      <c r="CC698" s="10" t="b">
        <f>tbl_MTG_Set[[#This Row],[Collector Singles CardMarket Profit BotBox]]&gt;0</f>
        <v>0</v>
      </c>
      <c r="CD6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699" spans="1:86" hidden="1">
      <c r="A699">
        <v>731</v>
      </c>
      <c r="B699" t="s">
        <v>872</v>
      </c>
      <c r="C699">
        <v>5</v>
      </c>
      <c r="D699" s="3">
        <v>40676</v>
      </c>
      <c r="F699" t="s">
        <v>174</v>
      </c>
      <c r="G699">
        <v>1408</v>
      </c>
      <c r="H699">
        <f ca="1">MONTH(NOW())+12*YEAR(NOW())-MONTH(tbl_MTG_Set[[#This Row],[Released On]])-12*YEAR(tbl_MTG_Set[[#This Row],[Released On]])</f>
        <v>178</v>
      </c>
      <c r="I699" t="str">
        <f>_xlfn.XLOOKUP(tbl_MTG_Set[[#This Row],[Type Name]], tbl_MTG_Set_Type[Set Type], tbl_MTG_Set_Type[Index], "(Set Type not found)")</f>
        <v>(Set Type not found)</v>
      </c>
      <c r="J699" t="str">
        <f>_xlfn.XLOOKUP(tbl_MTG_Set[[#This Row],[Type Name]], tbl_MTG_Set_Type[Set Type], tbl_MTG_Set_Type[Buy Window Month Start], "(Set Type not found)")</f>
        <v>(Set Type not found)</v>
      </c>
      <c r="K699" s="3" t="e">
        <f>tbl_MTG_Set[[#This Row],[Released On]]+tbl_MTG_Set[[#This Row],[Buy Window Month Start]]*365.25/12</f>
        <v>#VALUE!</v>
      </c>
      <c r="L699" t="str">
        <f>_xlfn.XLOOKUP(tbl_MTG_Set[[#This Row],[Type Name]], tbl_MTG_Set_Type[Set Type], tbl_MTG_Set_Type[Buy Window Month End], "(Set Type not found)", 0, 1)</f>
        <v>(Set Type not found)</v>
      </c>
      <c r="M699" s="3" t="e">
        <f>tbl_MTG_Set[[#This Row],[Released On]]+tbl_MTG_Set[[#This Row],[Buy Window Month End]]*365.25/12</f>
        <v>#VALUE!</v>
      </c>
      <c r="N699" s="3" t="e">
        <f ca="1">AND(NOW()&gt;=tbl_MTG_Set[[#This Row],[Buy Window Start]], NOW()&lt;=tbl_MTG_Set[[#This Row],[Buy Window End]])</f>
        <v>#VALUE!</v>
      </c>
      <c r="O699" t="str">
        <f>_xlfn.XLOOKUP(tbl_MTG_Set[[#This Row],[Type Name]], tbl_MTG_Set_Type[Set Type], tbl_MTG_Set_Type[Heavy Printing Window Month Start], "(Set Type not found)", 0, 1)</f>
        <v>(Set Type not found)</v>
      </c>
      <c r="P699" s="3" t="e">
        <f>tbl_MTG_Set[[#This Row],[Released On]]+tbl_MTG_Set[[#This Row],[Heavy Printing Window Month Start]]*365.25/12</f>
        <v>#VALUE!</v>
      </c>
      <c r="Q699" t="str">
        <f>_xlfn.XLOOKUP(tbl_MTG_Set[[#This Row],[Type Name]], tbl_MTG_Set_Type[Set Type], tbl_MTG_Set_Type[Heavy Printing Window Month End], "(Set Type not found)", 0, 1)</f>
        <v>(Set Type not found)</v>
      </c>
      <c r="R699" s="3" t="e">
        <f>tbl_MTG_Set[[#This Row],[Released On]]+tbl_MTG_Set[[#This Row],[Heavy Printing Window Month End]]*365.25/12</f>
        <v>#VALUE!</v>
      </c>
      <c r="S699" s="3" t="e">
        <f ca="1">AND(NOW()&gt;=tbl_MTG_Set[[#This Row],[Heavy Printing Window Start]], NOW()&lt;=tbl_MTG_Set[[#This Row],[Heavy Printing Window End]])</f>
        <v>#VALUE!</v>
      </c>
      <c r="T699" t="str">
        <f>_xlfn.XLOOKUP(tbl_MTG_Set[[#This Row],[Type Name]], tbl_MTG_Set_Type[Set Type], tbl_MTG_Set_Type[Sell Window Month Start], "(Set Type not found)", 0, 1)</f>
        <v>(Set Type not found)</v>
      </c>
      <c r="U699" s="3" t="e">
        <f>tbl_MTG_Set[[#This Row],[Released On]]+tbl_MTG_Set[[#This Row],[Sell Window Month Start]]*365.25/12</f>
        <v>#VALUE!</v>
      </c>
      <c r="V699" t="str">
        <f>_xlfn.XLOOKUP(tbl_MTG_Set[[#This Row],[Type Name]], tbl_MTG_Set_Type[Set Type], tbl_MTG_Set_Type[Sell Window Month End], "(Set Type not found)", 0, 1)</f>
        <v>(Set Type not found)</v>
      </c>
      <c r="W699" s="3" t="e">
        <f>tbl_MTG_Set[[#This Row],[Released On]]+tbl_MTG_Set[[#This Row],[Sell Window Month End]]*365.25/12</f>
        <v>#VALUE!</v>
      </c>
      <c r="X699" s="3" t="e">
        <f ca="1">AND(NOW()&gt;=tbl_MTG_Set[[#This Row],[Sell Window Start]], NOW()&lt;=tbl_MTG_Set[[#This Row],[Sell Window End]])</f>
        <v>#VALUE!</v>
      </c>
      <c r="AG699" s="10"/>
      <c r="AH699" s="10"/>
      <c r="AM699" s="10" t="str" cm="1">
        <f t="array" ref="AM6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699" s="10" t="str" cm="1">
        <f t="array" ref="AN6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699" s="4" t="e">
        <f>_xlfn.XLOOKUP(tbl_MTG_Set[[#This Row],[Play Booster Box Product Id]], tbl_Product[Product Id], tbl_Product[Pack Size])</f>
        <v>#N/A</v>
      </c>
      <c r="AP699" s="10" t="e">
        <f>(tbl_MTG_Set[[#This Row],[Play Booster Box Cost]]+v_Item_Shipping_Cost_In)/tbl_MTG_Set[[#This Row],[Play Booster Box Size]]</f>
        <v>#VALUE!</v>
      </c>
      <c r="AQ699" s="10" t="str" cm="1">
        <f t="array" ref="AQ6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699" s="10"/>
      <c r="AS699" s="10"/>
      <c r="AT699" s="17" t="e">
        <f>tbl_MTG_Set[[#This Row],[Play Booster CardMarket Profit]]/tbl_MTG_Set[[#This Row],[Play Booster Cost]]</f>
        <v>#VALUE!</v>
      </c>
      <c r="AU699" s="10" t="e">
        <f>_xlfn.XLOOKUP(tbl_MTG_Set[[#This Row],[Collector Booster Box Product Id]], tbl_Product[Product Id], tbl_Product[Min Cost])</f>
        <v>#N/A</v>
      </c>
      <c r="AV699" s="10" t="e">
        <f>_xlfn.XLOOKUP(tbl_MTG_Set[[#This Row],[Collector Booster Box Product Id]], tbl_Product[Product Id], tbl_Product[Best Source])</f>
        <v>#N/A</v>
      </c>
      <c r="AW699" s="4" t="e">
        <f>_xlfn.XLOOKUP(tbl_MTG_Set[[#This Row],[Collector Booster Box Product Id]], tbl_Product[Product Id], tbl_Product[Pack Size])</f>
        <v>#N/A</v>
      </c>
      <c r="AX699" s="10" t="e">
        <f>(tbl_MTG_Set[[#This Row],[Collector Booster Box Cost]] + v_Item_Shipping_Cost_In) / tbl_MTG_Set[[#This Row],[Collector Booster Box Size]]</f>
        <v>#N/A</v>
      </c>
      <c r="AY699" s="10" t="str" cm="1">
        <f t="array" ref="AY6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699" s="10"/>
      <c r="BA6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699" s="17" t="e">
        <f>tbl_MTG_Set[[#This Row],[Collector Booster CardMarket Profit]]/tbl_MTG_Set[[#This Row],[Collector Booster Cost]]</f>
        <v>#N/A</v>
      </c>
      <c r="BC699" s="10"/>
      <c r="BF6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6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699" s="11" t="e">
        <f>tbl_MTG_Set[[#This Row],[Play Singles CardMarket Profit MTG Stocks]]/tbl_MTG_Set[[#This Row],[Play Booster Cost]]</f>
        <v>#VALUE!</v>
      </c>
      <c r="BI699" s="11" t="b">
        <f>tbl_MTG_Set[[#This Row],[Play Singles CardMarket Profit MTG Stocks]]&gt;0</f>
        <v>0</v>
      </c>
      <c r="BM699" s="10" t="e">
        <f>tbl_MTG_Set[[#This Row],[Play Booster Sell Price CardMarket]]*tbl_MTG_Set[[#This Row],[Play Booster Expected Market Value BotBox]]/tbl_MTG_Set[[#This Row],[Play Booster Sealed Market Value BotBox]]</f>
        <v>#VALUE!</v>
      </c>
      <c r="BN6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699" s="10" t="e">
        <f>tbl_MTG_Set[[#This Row],[Play Singles CardMarket Profit BotBox]]/tbl_MTG_Set[[#This Row],[Play Booster Cost]]</f>
        <v>#VALUE!</v>
      </c>
      <c r="BP699" s="10" t="b">
        <f>tbl_MTG_Set[[#This Row],[Play Singles CardMarket Profit BotBox]]&gt;0</f>
        <v>0</v>
      </c>
      <c r="BQ699" s="10"/>
      <c r="BR699" s="10"/>
      <c r="BS699" s="10"/>
      <c r="BT6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6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699" s="19" t="e">
        <f>tbl_MTG_Set[[#This Row],[Collector Singles CardMarket Profit MTG Stocks]]/tbl_MTG_Set[[#This Row],[Collector Booster Cost]]</f>
        <v>#N/A</v>
      </c>
      <c r="BW699" s="10" t="b">
        <f>tbl_MTG_Set[[#This Row],[Collector Singles CardMarket Profit MTG Stocks]]&gt;0</f>
        <v>0</v>
      </c>
      <c r="BX699" s="10"/>
      <c r="BY699" s="10"/>
      <c r="BZ6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6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699" s="10" t="e">
        <f>tbl_MTG_Set[[#This Row],[Collector Singles CardMarket Profit BotBox]]/tbl_MTG_Set[[#This Row],[Collector Booster Cost]]</f>
        <v>#N/A</v>
      </c>
      <c r="CC699" s="10" t="b">
        <f>tbl_MTG_Set[[#This Row],[Collector Singles CardMarket Profit BotBox]]&gt;0</f>
        <v>0</v>
      </c>
      <c r="CD6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6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6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6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6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0" spans="1:86" hidden="1">
      <c r="A700">
        <v>732</v>
      </c>
      <c r="B700" t="s">
        <v>873</v>
      </c>
      <c r="C700">
        <v>81</v>
      </c>
      <c r="D700" s="3">
        <v>40634</v>
      </c>
      <c r="F700" t="s">
        <v>174</v>
      </c>
      <c r="G700">
        <v>1410</v>
      </c>
      <c r="H700">
        <f ca="1">MONTH(NOW())+12*YEAR(NOW())-MONTH(tbl_MTG_Set[[#This Row],[Released On]])-12*YEAR(tbl_MTG_Set[[#This Row],[Released On]])</f>
        <v>179</v>
      </c>
      <c r="I700" t="str">
        <f>_xlfn.XLOOKUP(tbl_MTG_Set[[#This Row],[Type Name]], tbl_MTG_Set_Type[Set Type], tbl_MTG_Set_Type[Index], "(Set Type not found)")</f>
        <v>(Set Type not found)</v>
      </c>
      <c r="J700" t="str">
        <f>_xlfn.XLOOKUP(tbl_MTG_Set[[#This Row],[Type Name]], tbl_MTG_Set_Type[Set Type], tbl_MTG_Set_Type[Buy Window Month Start], "(Set Type not found)")</f>
        <v>(Set Type not found)</v>
      </c>
      <c r="K700" s="3" t="e">
        <f>tbl_MTG_Set[[#This Row],[Released On]]+tbl_MTG_Set[[#This Row],[Buy Window Month Start]]*365.25/12</f>
        <v>#VALUE!</v>
      </c>
      <c r="L700" t="str">
        <f>_xlfn.XLOOKUP(tbl_MTG_Set[[#This Row],[Type Name]], tbl_MTG_Set_Type[Set Type], tbl_MTG_Set_Type[Buy Window Month End], "(Set Type not found)", 0, 1)</f>
        <v>(Set Type not found)</v>
      </c>
      <c r="M700" s="3" t="e">
        <f>tbl_MTG_Set[[#This Row],[Released On]]+tbl_MTG_Set[[#This Row],[Buy Window Month End]]*365.25/12</f>
        <v>#VALUE!</v>
      </c>
      <c r="N700" s="3" t="e">
        <f ca="1">AND(NOW()&gt;=tbl_MTG_Set[[#This Row],[Buy Window Start]], NOW()&lt;=tbl_MTG_Set[[#This Row],[Buy Window End]])</f>
        <v>#VALUE!</v>
      </c>
      <c r="O700" t="str">
        <f>_xlfn.XLOOKUP(tbl_MTG_Set[[#This Row],[Type Name]], tbl_MTG_Set_Type[Set Type], tbl_MTG_Set_Type[Heavy Printing Window Month Start], "(Set Type not found)", 0, 1)</f>
        <v>(Set Type not found)</v>
      </c>
      <c r="P700" s="3" t="e">
        <f>tbl_MTG_Set[[#This Row],[Released On]]+tbl_MTG_Set[[#This Row],[Heavy Printing Window Month Start]]*365.25/12</f>
        <v>#VALUE!</v>
      </c>
      <c r="Q700" t="str">
        <f>_xlfn.XLOOKUP(tbl_MTG_Set[[#This Row],[Type Name]], tbl_MTG_Set_Type[Set Type], tbl_MTG_Set_Type[Heavy Printing Window Month End], "(Set Type not found)", 0, 1)</f>
        <v>(Set Type not found)</v>
      </c>
      <c r="R700" s="3" t="e">
        <f>tbl_MTG_Set[[#This Row],[Released On]]+tbl_MTG_Set[[#This Row],[Heavy Printing Window Month End]]*365.25/12</f>
        <v>#VALUE!</v>
      </c>
      <c r="S700" s="3" t="e">
        <f ca="1">AND(NOW()&gt;=tbl_MTG_Set[[#This Row],[Heavy Printing Window Start]], NOW()&lt;=tbl_MTG_Set[[#This Row],[Heavy Printing Window End]])</f>
        <v>#VALUE!</v>
      </c>
      <c r="T700" t="str">
        <f>_xlfn.XLOOKUP(tbl_MTG_Set[[#This Row],[Type Name]], tbl_MTG_Set_Type[Set Type], tbl_MTG_Set_Type[Sell Window Month Start], "(Set Type not found)", 0, 1)</f>
        <v>(Set Type not found)</v>
      </c>
      <c r="U700" s="3" t="e">
        <f>tbl_MTG_Set[[#This Row],[Released On]]+tbl_MTG_Set[[#This Row],[Sell Window Month Start]]*365.25/12</f>
        <v>#VALUE!</v>
      </c>
      <c r="V700" t="str">
        <f>_xlfn.XLOOKUP(tbl_MTG_Set[[#This Row],[Type Name]], tbl_MTG_Set_Type[Set Type], tbl_MTG_Set_Type[Sell Window Month End], "(Set Type not found)", 0, 1)</f>
        <v>(Set Type not found)</v>
      </c>
      <c r="W700" s="3" t="e">
        <f>tbl_MTG_Set[[#This Row],[Released On]]+tbl_MTG_Set[[#This Row],[Sell Window Month End]]*365.25/12</f>
        <v>#VALUE!</v>
      </c>
      <c r="X700" s="3" t="e">
        <f ca="1">AND(NOW()&gt;=tbl_MTG_Set[[#This Row],[Sell Window Start]], NOW()&lt;=tbl_MTG_Set[[#This Row],[Sell Window End]])</f>
        <v>#VALUE!</v>
      </c>
      <c r="AG700" s="10"/>
      <c r="AH700" s="10"/>
      <c r="AM700" s="10" t="str" cm="1">
        <f t="array" ref="AM7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0" s="10" t="str" cm="1">
        <f t="array" ref="AN7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0" s="4" t="e">
        <f>_xlfn.XLOOKUP(tbl_MTG_Set[[#This Row],[Play Booster Box Product Id]], tbl_Product[Product Id], tbl_Product[Pack Size])</f>
        <v>#N/A</v>
      </c>
      <c r="AP700" s="10" t="e">
        <f>(tbl_MTG_Set[[#This Row],[Play Booster Box Cost]]+v_Item_Shipping_Cost_In)/tbl_MTG_Set[[#This Row],[Play Booster Box Size]]</f>
        <v>#VALUE!</v>
      </c>
      <c r="AQ700" s="10" t="str" cm="1">
        <f t="array" ref="AQ7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0" s="10"/>
      <c r="AS700" s="10"/>
      <c r="AT700" s="17" t="e">
        <f>tbl_MTG_Set[[#This Row],[Play Booster CardMarket Profit]]/tbl_MTG_Set[[#This Row],[Play Booster Cost]]</f>
        <v>#VALUE!</v>
      </c>
      <c r="AU700" s="10" t="e">
        <f>_xlfn.XLOOKUP(tbl_MTG_Set[[#This Row],[Collector Booster Box Product Id]], tbl_Product[Product Id], tbl_Product[Min Cost])</f>
        <v>#N/A</v>
      </c>
      <c r="AV700" s="10" t="e">
        <f>_xlfn.XLOOKUP(tbl_MTG_Set[[#This Row],[Collector Booster Box Product Id]], tbl_Product[Product Id], tbl_Product[Best Source])</f>
        <v>#N/A</v>
      </c>
      <c r="AW700" s="4" t="e">
        <f>_xlfn.XLOOKUP(tbl_MTG_Set[[#This Row],[Collector Booster Box Product Id]], tbl_Product[Product Id], tbl_Product[Pack Size])</f>
        <v>#N/A</v>
      </c>
      <c r="AX700" s="10" t="e">
        <f>(tbl_MTG_Set[[#This Row],[Collector Booster Box Cost]] + v_Item_Shipping_Cost_In) / tbl_MTG_Set[[#This Row],[Collector Booster Box Size]]</f>
        <v>#N/A</v>
      </c>
      <c r="AY700" s="10" t="str" cm="1">
        <f t="array" ref="AY7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0" s="10"/>
      <c r="BA7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0" s="17" t="e">
        <f>tbl_MTG_Set[[#This Row],[Collector Booster CardMarket Profit]]/tbl_MTG_Set[[#This Row],[Collector Booster Cost]]</f>
        <v>#N/A</v>
      </c>
      <c r="BC700" s="10"/>
      <c r="BF7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0" s="11" t="e">
        <f>tbl_MTG_Set[[#This Row],[Play Singles CardMarket Profit MTG Stocks]]/tbl_MTG_Set[[#This Row],[Play Booster Cost]]</f>
        <v>#VALUE!</v>
      </c>
      <c r="BI700" s="11" t="b">
        <f>tbl_MTG_Set[[#This Row],[Play Singles CardMarket Profit MTG Stocks]]&gt;0</f>
        <v>0</v>
      </c>
      <c r="BM700" s="10" t="e">
        <f>tbl_MTG_Set[[#This Row],[Play Booster Sell Price CardMarket]]*tbl_MTG_Set[[#This Row],[Play Booster Expected Market Value BotBox]]/tbl_MTG_Set[[#This Row],[Play Booster Sealed Market Value BotBox]]</f>
        <v>#VALUE!</v>
      </c>
      <c r="BN7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0" s="10" t="e">
        <f>tbl_MTG_Set[[#This Row],[Play Singles CardMarket Profit BotBox]]/tbl_MTG_Set[[#This Row],[Play Booster Cost]]</f>
        <v>#VALUE!</v>
      </c>
      <c r="BP700" s="10" t="b">
        <f>tbl_MTG_Set[[#This Row],[Play Singles CardMarket Profit BotBox]]&gt;0</f>
        <v>0</v>
      </c>
      <c r="BQ700" s="10"/>
      <c r="BR700" s="10"/>
      <c r="BS700" s="10"/>
      <c r="BT7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0" s="19" t="e">
        <f>tbl_MTG_Set[[#This Row],[Collector Singles CardMarket Profit MTG Stocks]]/tbl_MTG_Set[[#This Row],[Collector Booster Cost]]</f>
        <v>#N/A</v>
      </c>
      <c r="BW700" s="10" t="b">
        <f>tbl_MTG_Set[[#This Row],[Collector Singles CardMarket Profit MTG Stocks]]&gt;0</f>
        <v>0</v>
      </c>
      <c r="BX700" s="10"/>
      <c r="BY700" s="10"/>
      <c r="BZ7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0" s="10" t="e">
        <f>tbl_MTG_Set[[#This Row],[Collector Singles CardMarket Profit BotBox]]/tbl_MTG_Set[[#This Row],[Collector Booster Cost]]</f>
        <v>#N/A</v>
      </c>
      <c r="CC700" s="10" t="b">
        <f>tbl_MTG_Set[[#This Row],[Collector Singles CardMarket Profit BotBox]]&gt;0</f>
        <v>0</v>
      </c>
      <c r="CD7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1" spans="1:86" hidden="1">
      <c r="A701">
        <v>733</v>
      </c>
      <c r="B701" t="s">
        <v>874</v>
      </c>
      <c r="C701">
        <v>1</v>
      </c>
      <c r="D701" s="3">
        <v>40634</v>
      </c>
      <c r="F701" t="s">
        <v>174</v>
      </c>
      <c r="G701">
        <v>1412</v>
      </c>
      <c r="H701">
        <f ca="1">MONTH(NOW())+12*YEAR(NOW())-MONTH(tbl_MTG_Set[[#This Row],[Released On]])-12*YEAR(tbl_MTG_Set[[#This Row],[Released On]])</f>
        <v>179</v>
      </c>
      <c r="I701" t="str">
        <f>_xlfn.XLOOKUP(tbl_MTG_Set[[#This Row],[Type Name]], tbl_MTG_Set_Type[Set Type], tbl_MTG_Set_Type[Index], "(Set Type not found)")</f>
        <v>(Set Type not found)</v>
      </c>
      <c r="J701" t="str">
        <f>_xlfn.XLOOKUP(tbl_MTG_Set[[#This Row],[Type Name]], tbl_MTG_Set_Type[Set Type], tbl_MTG_Set_Type[Buy Window Month Start], "(Set Type not found)")</f>
        <v>(Set Type not found)</v>
      </c>
      <c r="K701" s="3" t="e">
        <f>tbl_MTG_Set[[#This Row],[Released On]]+tbl_MTG_Set[[#This Row],[Buy Window Month Start]]*365.25/12</f>
        <v>#VALUE!</v>
      </c>
      <c r="L701" t="str">
        <f>_xlfn.XLOOKUP(tbl_MTG_Set[[#This Row],[Type Name]], tbl_MTG_Set_Type[Set Type], tbl_MTG_Set_Type[Buy Window Month End], "(Set Type not found)", 0, 1)</f>
        <v>(Set Type not found)</v>
      </c>
      <c r="M701" s="3" t="e">
        <f>tbl_MTG_Set[[#This Row],[Released On]]+tbl_MTG_Set[[#This Row],[Buy Window Month End]]*365.25/12</f>
        <v>#VALUE!</v>
      </c>
      <c r="N701" s="3" t="e">
        <f ca="1">AND(NOW()&gt;=tbl_MTG_Set[[#This Row],[Buy Window Start]], NOW()&lt;=tbl_MTG_Set[[#This Row],[Buy Window End]])</f>
        <v>#VALUE!</v>
      </c>
      <c r="O701" t="str">
        <f>_xlfn.XLOOKUP(tbl_MTG_Set[[#This Row],[Type Name]], tbl_MTG_Set_Type[Set Type], tbl_MTG_Set_Type[Heavy Printing Window Month Start], "(Set Type not found)", 0, 1)</f>
        <v>(Set Type not found)</v>
      </c>
      <c r="P701" s="3" t="e">
        <f>tbl_MTG_Set[[#This Row],[Released On]]+tbl_MTG_Set[[#This Row],[Heavy Printing Window Month Start]]*365.25/12</f>
        <v>#VALUE!</v>
      </c>
      <c r="Q701" t="str">
        <f>_xlfn.XLOOKUP(tbl_MTG_Set[[#This Row],[Type Name]], tbl_MTG_Set_Type[Set Type], tbl_MTG_Set_Type[Heavy Printing Window Month End], "(Set Type not found)", 0, 1)</f>
        <v>(Set Type not found)</v>
      </c>
      <c r="R701" s="3" t="e">
        <f>tbl_MTG_Set[[#This Row],[Released On]]+tbl_MTG_Set[[#This Row],[Heavy Printing Window Month End]]*365.25/12</f>
        <v>#VALUE!</v>
      </c>
      <c r="S701" s="3" t="e">
        <f ca="1">AND(NOW()&gt;=tbl_MTG_Set[[#This Row],[Heavy Printing Window Start]], NOW()&lt;=tbl_MTG_Set[[#This Row],[Heavy Printing Window End]])</f>
        <v>#VALUE!</v>
      </c>
      <c r="T701" t="str">
        <f>_xlfn.XLOOKUP(tbl_MTG_Set[[#This Row],[Type Name]], tbl_MTG_Set_Type[Set Type], tbl_MTG_Set_Type[Sell Window Month Start], "(Set Type not found)", 0, 1)</f>
        <v>(Set Type not found)</v>
      </c>
      <c r="U701" s="3" t="e">
        <f>tbl_MTG_Set[[#This Row],[Released On]]+tbl_MTG_Set[[#This Row],[Sell Window Month Start]]*365.25/12</f>
        <v>#VALUE!</v>
      </c>
      <c r="V701" t="str">
        <f>_xlfn.XLOOKUP(tbl_MTG_Set[[#This Row],[Type Name]], tbl_MTG_Set_Type[Set Type], tbl_MTG_Set_Type[Sell Window Month End], "(Set Type not found)", 0, 1)</f>
        <v>(Set Type not found)</v>
      </c>
      <c r="W701" s="3" t="e">
        <f>tbl_MTG_Set[[#This Row],[Released On]]+tbl_MTG_Set[[#This Row],[Sell Window Month End]]*365.25/12</f>
        <v>#VALUE!</v>
      </c>
      <c r="X701" s="3" t="e">
        <f ca="1">AND(NOW()&gt;=tbl_MTG_Set[[#This Row],[Sell Window Start]], NOW()&lt;=tbl_MTG_Set[[#This Row],[Sell Window End]])</f>
        <v>#VALUE!</v>
      </c>
      <c r="AG701" s="10"/>
      <c r="AH701" s="10"/>
      <c r="AM701" s="10" t="str" cm="1">
        <f t="array" ref="AM7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1" s="10" t="str" cm="1">
        <f t="array" ref="AN7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1" s="4" t="e">
        <f>_xlfn.XLOOKUP(tbl_MTG_Set[[#This Row],[Play Booster Box Product Id]], tbl_Product[Product Id], tbl_Product[Pack Size])</f>
        <v>#N/A</v>
      </c>
      <c r="AP701" s="10" t="e">
        <f>(tbl_MTG_Set[[#This Row],[Play Booster Box Cost]]+v_Item_Shipping_Cost_In)/tbl_MTG_Set[[#This Row],[Play Booster Box Size]]</f>
        <v>#VALUE!</v>
      </c>
      <c r="AQ701" s="10" t="str" cm="1">
        <f t="array" ref="AQ7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1" s="10"/>
      <c r="AS701" s="10"/>
      <c r="AT701" s="17" t="e">
        <f>tbl_MTG_Set[[#This Row],[Play Booster CardMarket Profit]]/tbl_MTG_Set[[#This Row],[Play Booster Cost]]</f>
        <v>#VALUE!</v>
      </c>
      <c r="AU701" s="10" t="e">
        <f>_xlfn.XLOOKUP(tbl_MTG_Set[[#This Row],[Collector Booster Box Product Id]], tbl_Product[Product Id], tbl_Product[Min Cost])</f>
        <v>#N/A</v>
      </c>
      <c r="AV701" s="10" t="e">
        <f>_xlfn.XLOOKUP(tbl_MTG_Set[[#This Row],[Collector Booster Box Product Id]], tbl_Product[Product Id], tbl_Product[Best Source])</f>
        <v>#N/A</v>
      </c>
      <c r="AW701" s="4" t="e">
        <f>_xlfn.XLOOKUP(tbl_MTG_Set[[#This Row],[Collector Booster Box Product Id]], tbl_Product[Product Id], tbl_Product[Pack Size])</f>
        <v>#N/A</v>
      </c>
      <c r="AX701" s="10" t="e">
        <f>(tbl_MTG_Set[[#This Row],[Collector Booster Box Cost]] + v_Item_Shipping_Cost_In) / tbl_MTG_Set[[#This Row],[Collector Booster Box Size]]</f>
        <v>#N/A</v>
      </c>
      <c r="AY701" s="10" t="str" cm="1">
        <f t="array" ref="AY7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1" s="10"/>
      <c r="BA7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1" s="17" t="e">
        <f>tbl_MTG_Set[[#This Row],[Collector Booster CardMarket Profit]]/tbl_MTG_Set[[#This Row],[Collector Booster Cost]]</f>
        <v>#N/A</v>
      </c>
      <c r="BC701" s="10"/>
      <c r="BF7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1" s="11" t="e">
        <f>tbl_MTG_Set[[#This Row],[Play Singles CardMarket Profit MTG Stocks]]/tbl_MTG_Set[[#This Row],[Play Booster Cost]]</f>
        <v>#VALUE!</v>
      </c>
      <c r="BI701" s="11" t="b">
        <f>tbl_MTG_Set[[#This Row],[Play Singles CardMarket Profit MTG Stocks]]&gt;0</f>
        <v>0</v>
      </c>
      <c r="BM701" s="10" t="e">
        <f>tbl_MTG_Set[[#This Row],[Play Booster Sell Price CardMarket]]*tbl_MTG_Set[[#This Row],[Play Booster Expected Market Value BotBox]]/tbl_MTG_Set[[#This Row],[Play Booster Sealed Market Value BotBox]]</f>
        <v>#VALUE!</v>
      </c>
      <c r="BN7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1" s="10" t="e">
        <f>tbl_MTG_Set[[#This Row],[Play Singles CardMarket Profit BotBox]]/tbl_MTG_Set[[#This Row],[Play Booster Cost]]</f>
        <v>#VALUE!</v>
      </c>
      <c r="BP701" s="10" t="b">
        <f>tbl_MTG_Set[[#This Row],[Play Singles CardMarket Profit BotBox]]&gt;0</f>
        <v>0</v>
      </c>
      <c r="BQ701" s="10"/>
      <c r="BR701" s="10"/>
      <c r="BS701" s="10"/>
      <c r="BT7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1" s="19" t="e">
        <f>tbl_MTG_Set[[#This Row],[Collector Singles CardMarket Profit MTG Stocks]]/tbl_MTG_Set[[#This Row],[Collector Booster Cost]]</f>
        <v>#N/A</v>
      </c>
      <c r="BW701" s="10" t="b">
        <f>tbl_MTG_Set[[#This Row],[Collector Singles CardMarket Profit MTG Stocks]]&gt;0</f>
        <v>0</v>
      </c>
      <c r="BX701" s="10"/>
      <c r="BY701" s="10"/>
      <c r="BZ7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1" s="10" t="e">
        <f>tbl_MTG_Set[[#This Row],[Collector Singles CardMarket Profit BotBox]]/tbl_MTG_Set[[#This Row],[Collector Booster Cost]]</f>
        <v>#N/A</v>
      </c>
      <c r="CC701" s="10" t="b">
        <f>tbl_MTG_Set[[#This Row],[Collector Singles CardMarket Profit BotBox]]&gt;0</f>
        <v>0</v>
      </c>
      <c r="CD7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2" spans="1:86" hidden="1">
      <c r="A702">
        <v>734</v>
      </c>
      <c r="B702" t="s">
        <v>875</v>
      </c>
      <c r="C702">
        <v>155</v>
      </c>
      <c r="D702" s="3">
        <v>40578</v>
      </c>
      <c r="F702" t="s">
        <v>174</v>
      </c>
      <c r="G702">
        <v>1414</v>
      </c>
      <c r="H702">
        <f ca="1">MONTH(NOW())+12*YEAR(NOW())-MONTH(tbl_MTG_Set[[#This Row],[Released On]])-12*YEAR(tbl_MTG_Set[[#This Row],[Released On]])</f>
        <v>181</v>
      </c>
      <c r="I702" t="str">
        <f>_xlfn.XLOOKUP(tbl_MTG_Set[[#This Row],[Type Name]], tbl_MTG_Set_Type[Set Type], tbl_MTG_Set_Type[Index], "(Set Type not found)")</f>
        <v>(Set Type not found)</v>
      </c>
      <c r="J702" t="str">
        <f>_xlfn.XLOOKUP(tbl_MTG_Set[[#This Row],[Type Name]], tbl_MTG_Set_Type[Set Type], tbl_MTG_Set_Type[Buy Window Month Start], "(Set Type not found)")</f>
        <v>(Set Type not found)</v>
      </c>
      <c r="K702" s="3" t="e">
        <f>tbl_MTG_Set[[#This Row],[Released On]]+tbl_MTG_Set[[#This Row],[Buy Window Month Start]]*365.25/12</f>
        <v>#VALUE!</v>
      </c>
      <c r="L702" t="str">
        <f>_xlfn.XLOOKUP(tbl_MTG_Set[[#This Row],[Type Name]], tbl_MTG_Set_Type[Set Type], tbl_MTG_Set_Type[Buy Window Month End], "(Set Type not found)", 0, 1)</f>
        <v>(Set Type not found)</v>
      </c>
      <c r="M702" s="3" t="e">
        <f>tbl_MTG_Set[[#This Row],[Released On]]+tbl_MTG_Set[[#This Row],[Buy Window Month End]]*365.25/12</f>
        <v>#VALUE!</v>
      </c>
      <c r="N702" s="3" t="e">
        <f ca="1">AND(NOW()&gt;=tbl_MTG_Set[[#This Row],[Buy Window Start]], NOW()&lt;=tbl_MTG_Set[[#This Row],[Buy Window End]])</f>
        <v>#VALUE!</v>
      </c>
      <c r="O702" t="str">
        <f>_xlfn.XLOOKUP(tbl_MTG_Set[[#This Row],[Type Name]], tbl_MTG_Set_Type[Set Type], tbl_MTG_Set_Type[Heavy Printing Window Month Start], "(Set Type not found)", 0, 1)</f>
        <v>(Set Type not found)</v>
      </c>
      <c r="P702" s="3" t="e">
        <f>tbl_MTG_Set[[#This Row],[Released On]]+tbl_MTG_Set[[#This Row],[Heavy Printing Window Month Start]]*365.25/12</f>
        <v>#VALUE!</v>
      </c>
      <c r="Q702" t="str">
        <f>_xlfn.XLOOKUP(tbl_MTG_Set[[#This Row],[Type Name]], tbl_MTG_Set_Type[Set Type], tbl_MTG_Set_Type[Heavy Printing Window Month End], "(Set Type not found)", 0, 1)</f>
        <v>(Set Type not found)</v>
      </c>
      <c r="R702" s="3" t="e">
        <f>tbl_MTG_Set[[#This Row],[Released On]]+tbl_MTG_Set[[#This Row],[Heavy Printing Window Month End]]*365.25/12</f>
        <v>#VALUE!</v>
      </c>
      <c r="S702" s="3" t="e">
        <f ca="1">AND(NOW()&gt;=tbl_MTG_Set[[#This Row],[Heavy Printing Window Start]], NOW()&lt;=tbl_MTG_Set[[#This Row],[Heavy Printing Window End]])</f>
        <v>#VALUE!</v>
      </c>
      <c r="T702" t="str">
        <f>_xlfn.XLOOKUP(tbl_MTG_Set[[#This Row],[Type Name]], tbl_MTG_Set_Type[Set Type], tbl_MTG_Set_Type[Sell Window Month Start], "(Set Type not found)", 0, 1)</f>
        <v>(Set Type not found)</v>
      </c>
      <c r="U702" s="3" t="e">
        <f>tbl_MTG_Set[[#This Row],[Released On]]+tbl_MTG_Set[[#This Row],[Sell Window Month Start]]*365.25/12</f>
        <v>#VALUE!</v>
      </c>
      <c r="V702" t="str">
        <f>_xlfn.XLOOKUP(tbl_MTG_Set[[#This Row],[Type Name]], tbl_MTG_Set_Type[Set Type], tbl_MTG_Set_Type[Sell Window Month End], "(Set Type not found)", 0, 1)</f>
        <v>(Set Type not found)</v>
      </c>
      <c r="W702" s="3" t="e">
        <f>tbl_MTG_Set[[#This Row],[Released On]]+tbl_MTG_Set[[#This Row],[Sell Window Month End]]*365.25/12</f>
        <v>#VALUE!</v>
      </c>
      <c r="X702" s="3" t="e">
        <f ca="1">AND(NOW()&gt;=tbl_MTG_Set[[#This Row],[Sell Window Start]], NOW()&lt;=tbl_MTG_Set[[#This Row],[Sell Window End]])</f>
        <v>#VALUE!</v>
      </c>
      <c r="AG702" s="10"/>
      <c r="AH702" s="10"/>
      <c r="AM702" s="10" t="str" cm="1">
        <f t="array" ref="AM7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2" s="10" t="str" cm="1">
        <f t="array" ref="AN7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2" s="4" t="e">
        <f>_xlfn.XLOOKUP(tbl_MTG_Set[[#This Row],[Play Booster Box Product Id]], tbl_Product[Product Id], tbl_Product[Pack Size])</f>
        <v>#N/A</v>
      </c>
      <c r="AP702" s="10" t="e">
        <f>(tbl_MTG_Set[[#This Row],[Play Booster Box Cost]]+v_Item_Shipping_Cost_In)/tbl_MTG_Set[[#This Row],[Play Booster Box Size]]</f>
        <v>#VALUE!</v>
      </c>
      <c r="AQ702" s="10" t="str" cm="1">
        <f t="array" ref="AQ7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2" s="10"/>
      <c r="AS702" s="10"/>
      <c r="AT702" s="17" t="e">
        <f>tbl_MTG_Set[[#This Row],[Play Booster CardMarket Profit]]/tbl_MTG_Set[[#This Row],[Play Booster Cost]]</f>
        <v>#VALUE!</v>
      </c>
      <c r="AU702" s="10" t="e">
        <f>_xlfn.XLOOKUP(tbl_MTG_Set[[#This Row],[Collector Booster Box Product Id]], tbl_Product[Product Id], tbl_Product[Min Cost])</f>
        <v>#N/A</v>
      </c>
      <c r="AV702" s="10" t="e">
        <f>_xlfn.XLOOKUP(tbl_MTG_Set[[#This Row],[Collector Booster Box Product Id]], tbl_Product[Product Id], tbl_Product[Best Source])</f>
        <v>#N/A</v>
      </c>
      <c r="AW702" s="4" t="e">
        <f>_xlfn.XLOOKUP(tbl_MTG_Set[[#This Row],[Collector Booster Box Product Id]], tbl_Product[Product Id], tbl_Product[Pack Size])</f>
        <v>#N/A</v>
      </c>
      <c r="AX702" s="10" t="e">
        <f>(tbl_MTG_Set[[#This Row],[Collector Booster Box Cost]] + v_Item_Shipping_Cost_In) / tbl_MTG_Set[[#This Row],[Collector Booster Box Size]]</f>
        <v>#N/A</v>
      </c>
      <c r="AY702" s="10" t="str" cm="1">
        <f t="array" ref="AY7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2" s="10"/>
      <c r="BA7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2" s="17" t="e">
        <f>tbl_MTG_Set[[#This Row],[Collector Booster CardMarket Profit]]/tbl_MTG_Set[[#This Row],[Collector Booster Cost]]</f>
        <v>#N/A</v>
      </c>
      <c r="BC702" s="10"/>
      <c r="BF7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2" s="11" t="e">
        <f>tbl_MTG_Set[[#This Row],[Play Singles CardMarket Profit MTG Stocks]]/tbl_MTG_Set[[#This Row],[Play Booster Cost]]</f>
        <v>#VALUE!</v>
      </c>
      <c r="BI702" s="11" t="b">
        <f>tbl_MTG_Set[[#This Row],[Play Singles CardMarket Profit MTG Stocks]]&gt;0</f>
        <v>0</v>
      </c>
      <c r="BM702" s="10" t="e">
        <f>tbl_MTG_Set[[#This Row],[Play Booster Sell Price CardMarket]]*tbl_MTG_Set[[#This Row],[Play Booster Expected Market Value BotBox]]/tbl_MTG_Set[[#This Row],[Play Booster Sealed Market Value BotBox]]</f>
        <v>#VALUE!</v>
      </c>
      <c r="BN7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2" s="10" t="e">
        <f>tbl_MTG_Set[[#This Row],[Play Singles CardMarket Profit BotBox]]/tbl_MTG_Set[[#This Row],[Play Booster Cost]]</f>
        <v>#VALUE!</v>
      </c>
      <c r="BP702" s="10" t="b">
        <f>tbl_MTG_Set[[#This Row],[Play Singles CardMarket Profit BotBox]]&gt;0</f>
        <v>0</v>
      </c>
      <c r="BQ702" s="10"/>
      <c r="BR702" s="10"/>
      <c r="BS702" s="10"/>
      <c r="BT7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2" s="19" t="e">
        <f>tbl_MTG_Set[[#This Row],[Collector Singles CardMarket Profit MTG Stocks]]/tbl_MTG_Set[[#This Row],[Collector Booster Cost]]</f>
        <v>#N/A</v>
      </c>
      <c r="BW702" s="10" t="b">
        <f>tbl_MTG_Set[[#This Row],[Collector Singles CardMarket Profit MTG Stocks]]&gt;0</f>
        <v>0</v>
      </c>
      <c r="BX702" s="10"/>
      <c r="BY702" s="10"/>
      <c r="BZ7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2" s="10" t="e">
        <f>tbl_MTG_Set[[#This Row],[Collector Singles CardMarket Profit BotBox]]/tbl_MTG_Set[[#This Row],[Collector Booster Cost]]</f>
        <v>#N/A</v>
      </c>
      <c r="CC702" s="10" t="b">
        <f>tbl_MTG_Set[[#This Row],[Collector Singles CardMarket Profit BotBox]]&gt;0</f>
        <v>0</v>
      </c>
      <c r="CD7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3" spans="1:86" hidden="1">
      <c r="A703">
        <v>735</v>
      </c>
      <c r="B703" t="s">
        <v>876</v>
      </c>
      <c r="C703">
        <v>4</v>
      </c>
      <c r="D703" s="3">
        <v>40577</v>
      </c>
      <c r="F703" t="s">
        <v>174</v>
      </c>
      <c r="G703">
        <v>1416</v>
      </c>
      <c r="H703">
        <f ca="1">MONTH(NOW())+12*YEAR(NOW())-MONTH(tbl_MTG_Set[[#This Row],[Released On]])-12*YEAR(tbl_MTG_Set[[#This Row],[Released On]])</f>
        <v>181</v>
      </c>
      <c r="I703" t="str">
        <f>_xlfn.XLOOKUP(tbl_MTG_Set[[#This Row],[Type Name]], tbl_MTG_Set_Type[Set Type], tbl_MTG_Set_Type[Index], "(Set Type not found)")</f>
        <v>(Set Type not found)</v>
      </c>
      <c r="J703" t="str">
        <f>_xlfn.XLOOKUP(tbl_MTG_Set[[#This Row],[Type Name]], tbl_MTG_Set_Type[Set Type], tbl_MTG_Set_Type[Buy Window Month Start], "(Set Type not found)")</f>
        <v>(Set Type not found)</v>
      </c>
      <c r="K703" s="3" t="e">
        <f>tbl_MTG_Set[[#This Row],[Released On]]+tbl_MTG_Set[[#This Row],[Buy Window Month Start]]*365.25/12</f>
        <v>#VALUE!</v>
      </c>
      <c r="L703" t="str">
        <f>_xlfn.XLOOKUP(tbl_MTG_Set[[#This Row],[Type Name]], tbl_MTG_Set_Type[Set Type], tbl_MTG_Set_Type[Buy Window Month End], "(Set Type not found)", 0, 1)</f>
        <v>(Set Type not found)</v>
      </c>
      <c r="M703" s="3" t="e">
        <f>tbl_MTG_Set[[#This Row],[Released On]]+tbl_MTG_Set[[#This Row],[Buy Window Month End]]*365.25/12</f>
        <v>#VALUE!</v>
      </c>
      <c r="N703" s="3" t="e">
        <f ca="1">AND(NOW()&gt;=tbl_MTG_Set[[#This Row],[Buy Window Start]], NOW()&lt;=tbl_MTG_Set[[#This Row],[Buy Window End]])</f>
        <v>#VALUE!</v>
      </c>
      <c r="O703" t="str">
        <f>_xlfn.XLOOKUP(tbl_MTG_Set[[#This Row],[Type Name]], tbl_MTG_Set_Type[Set Type], tbl_MTG_Set_Type[Heavy Printing Window Month Start], "(Set Type not found)", 0, 1)</f>
        <v>(Set Type not found)</v>
      </c>
      <c r="P703" s="3" t="e">
        <f>tbl_MTG_Set[[#This Row],[Released On]]+tbl_MTG_Set[[#This Row],[Heavy Printing Window Month Start]]*365.25/12</f>
        <v>#VALUE!</v>
      </c>
      <c r="Q703" t="str">
        <f>_xlfn.XLOOKUP(tbl_MTG_Set[[#This Row],[Type Name]], tbl_MTG_Set_Type[Set Type], tbl_MTG_Set_Type[Heavy Printing Window Month End], "(Set Type not found)", 0, 1)</f>
        <v>(Set Type not found)</v>
      </c>
      <c r="R703" s="3" t="e">
        <f>tbl_MTG_Set[[#This Row],[Released On]]+tbl_MTG_Set[[#This Row],[Heavy Printing Window Month End]]*365.25/12</f>
        <v>#VALUE!</v>
      </c>
      <c r="S703" s="3" t="e">
        <f ca="1">AND(NOW()&gt;=tbl_MTG_Set[[#This Row],[Heavy Printing Window Start]], NOW()&lt;=tbl_MTG_Set[[#This Row],[Heavy Printing Window End]])</f>
        <v>#VALUE!</v>
      </c>
      <c r="T703" t="str">
        <f>_xlfn.XLOOKUP(tbl_MTG_Set[[#This Row],[Type Name]], tbl_MTG_Set_Type[Set Type], tbl_MTG_Set_Type[Sell Window Month Start], "(Set Type not found)", 0, 1)</f>
        <v>(Set Type not found)</v>
      </c>
      <c r="U703" s="3" t="e">
        <f>tbl_MTG_Set[[#This Row],[Released On]]+tbl_MTG_Set[[#This Row],[Sell Window Month Start]]*365.25/12</f>
        <v>#VALUE!</v>
      </c>
      <c r="V703" t="str">
        <f>_xlfn.XLOOKUP(tbl_MTG_Set[[#This Row],[Type Name]], tbl_MTG_Set_Type[Set Type], tbl_MTG_Set_Type[Sell Window Month End], "(Set Type not found)", 0, 1)</f>
        <v>(Set Type not found)</v>
      </c>
      <c r="W703" s="3" t="e">
        <f>tbl_MTG_Set[[#This Row],[Released On]]+tbl_MTG_Set[[#This Row],[Sell Window Month End]]*365.25/12</f>
        <v>#VALUE!</v>
      </c>
      <c r="X703" s="3" t="e">
        <f ca="1">AND(NOW()&gt;=tbl_MTG_Set[[#This Row],[Sell Window Start]], NOW()&lt;=tbl_MTG_Set[[#This Row],[Sell Window End]])</f>
        <v>#VALUE!</v>
      </c>
      <c r="AG703" s="10"/>
      <c r="AH703" s="10"/>
      <c r="AM703" s="10" t="str" cm="1">
        <f t="array" ref="AM7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3" s="10" t="str" cm="1">
        <f t="array" ref="AN7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3" s="4" t="e">
        <f>_xlfn.XLOOKUP(tbl_MTG_Set[[#This Row],[Play Booster Box Product Id]], tbl_Product[Product Id], tbl_Product[Pack Size])</f>
        <v>#N/A</v>
      </c>
      <c r="AP703" s="10" t="e">
        <f>(tbl_MTG_Set[[#This Row],[Play Booster Box Cost]]+v_Item_Shipping_Cost_In)/tbl_MTG_Set[[#This Row],[Play Booster Box Size]]</f>
        <v>#VALUE!</v>
      </c>
      <c r="AQ703" s="10" t="str" cm="1">
        <f t="array" ref="AQ7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3" s="10"/>
      <c r="AS703" s="10"/>
      <c r="AT703" s="17" t="e">
        <f>tbl_MTG_Set[[#This Row],[Play Booster CardMarket Profit]]/tbl_MTG_Set[[#This Row],[Play Booster Cost]]</f>
        <v>#VALUE!</v>
      </c>
      <c r="AU703" s="10" t="e">
        <f>_xlfn.XLOOKUP(tbl_MTG_Set[[#This Row],[Collector Booster Box Product Id]], tbl_Product[Product Id], tbl_Product[Min Cost])</f>
        <v>#N/A</v>
      </c>
      <c r="AV703" s="10" t="e">
        <f>_xlfn.XLOOKUP(tbl_MTG_Set[[#This Row],[Collector Booster Box Product Id]], tbl_Product[Product Id], tbl_Product[Best Source])</f>
        <v>#N/A</v>
      </c>
      <c r="AW703" s="4" t="e">
        <f>_xlfn.XLOOKUP(tbl_MTG_Set[[#This Row],[Collector Booster Box Product Id]], tbl_Product[Product Id], tbl_Product[Pack Size])</f>
        <v>#N/A</v>
      </c>
      <c r="AX703" s="10" t="e">
        <f>(tbl_MTG_Set[[#This Row],[Collector Booster Box Cost]] + v_Item_Shipping_Cost_In) / tbl_MTG_Set[[#This Row],[Collector Booster Box Size]]</f>
        <v>#N/A</v>
      </c>
      <c r="AY703" s="10" t="str" cm="1">
        <f t="array" ref="AY7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3" s="10"/>
      <c r="BA7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3" s="17" t="e">
        <f>tbl_MTG_Set[[#This Row],[Collector Booster CardMarket Profit]]/tbl_MTG_Set[[#This Row],[Collector Booster Cost]]</f>
        <v>#N/A</v>
      </c>
      <c r="BC703" s="10"/>
      <c r="BF7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3" s="11" t="e">
        <f>tbl_MTG_Set[[#This Row],[Play Singles CardMarket Profit MTG Stocks]]/tbl_MTG_Set[[#This Row],[Play Booster Cost]]</f>
        <v>#VALUE!</v>
      </c>
      <c r="BI703" s="11" t="b">
        <f>tbl_MTG_Set[[#This Row],[Play Singles CardMarket Profit MTG Stocks]]&gt;0</f>
        <v>0</v>
      </c>
      <c r="BM703" s="10" t="e">
        <f>tbl_MTG_Set[[#This Row],[Play Booster Sell Price CardMarket]]*tbl_MTG_Set[[#This Row],[Play Booster Expected Market Value BotBox]]/tbl_MTG_Set[[#This Row],[Play Booster Sealed Market Value BotBox]]</f>
        <v>#VALUE!</v>
      </c>
      <c r="BN7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3" s="10" t="e">
        <f>tbl_MTG_Set[[#This Row],[Play Singles CardMarket Profit BotBox]]/tbl_MTG_Set[[#This Row],[Play Booster Cost]]</f>
        <v>#VALUE!</v>
      </c>
      <c r="BP703" s="10" t="b">
        <f>tbl_MTG_Set[[#This Row],[Play Singles CardMarket Profit BotBox]]&gt;0</f>
        <v>0</v>
      </c>
      <c r="BQ703" s="10"/>
      <c r="BR703" s="10"/>
      <c r="BS703" s="10"/>
      <c r="BT7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3" s="19" t="e">
        <f>tbl_MTG_Set[[#This Row],[Collector Singles CardMarket Profit MTG Stocks]]/tbl_MTG_Set[[#This Row],[Collector Booster Cost]]</f>
        <v>#N/A</v>
      </c>
      <c r="BW703" s="10" t="b">
        <f>tbl_MTG_Set[[#This Row],[Collector Singles CardMarket Profit MTG Stocks]]&gt;0</f>
        <v>0</v>
      </c>
      <c r="BX703" s="10"/>
      <c r="BY703" s="10"/>
      <c r="BZ7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3" s="10" t="e">
        <f>tbl_MTG_Set[[#This Row],[Collector Singles CardMarket Profit BotBox]]/tbl_MTG_Set[[#This Row],[Collector Booster Cost]]</f>
        <v>#N/A</v>
      </c>
      <c r="CC703" s="10" t="b">
        <f>tbl_MTG_Set[[#This Row],[Collector Singles CardMarket Profit BotBox]]&gt;0</f>
        <v>0</v>
      </c>
      <c r="CD7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4" spans="1:86" hidden="1">
      <c r="A704">
        <v>736</v>
      </c>
      <c r="B704" t="s">
        <v>877</v>
      </c>
      <c r="C704">
        <v>6</v>
      </c>
      <c r="D704" s="3">
        <v>40578</v>
      </c>
      <c r="F704" t="s">
        <v>174</v>
      </c>
      <c r="G704">
        <v>1418</v>
      </c>
      <c r="H704">
        <f ca="1">MONTH(NOW())+12*YEAR(NOW())-MONTH(tbl_MTG_Set[[#This Row],[Released On]])-12*YEAR(tbl_MTG_Set[[#This Row],[Released On]])</f>
        <v>181</v>
      </c>
      <c r="I704" t="str">
        <f>_xlfn.XLOOKUP(tbl_MTG_Set[[#This Row],[Type Name]], tbl_MTG_Set_Type[Set Type], tbl_MTG_Set_Type[Index], "(Set Type not found)")</f>
        <v>(Set Type not found)</v>
      </c>
      <c r="J704" t="str">
        <f>_xlfn.XLOOKUP(tbl_MTG_Set[[#This Row],[Type Name]], tbl_MTG_Set_Type[Set Type], tbl_MTG_Set_Type[Buy Window Month Start], "(Set Type not found)")</f>
        <v>(Set Type not found)</v>
      </c>
      <c r="K704" s="3" t="e">
        <f>tbl_MTG_Set[[#This Row],[Released On]]+tbl_MTG_Set[[#This Row],[Buy Window Month Start]]*365.25/12</f>
        <v>#VALUE!</v>
      </c>
      <c r="L704" t="str">
        <f>_xlfn.XLOOKUP(tbl_MTG_Set[[#This Row],[Type Name]], tbl_MTG_Set_Type[Set Type], tbl_MTG_Set_Type[Buy Window Month End], "(Set Type not found)", 0, 1)</f>
        <v>(Set Type not found)</v>
      </c>
      <c r="M704" s="3" t="e">
        <f>tbl_MTG_Set[[#This Row],[Released On]]+tbl_MTG_Set[[#This Row],[Buy Window Month End]]*365.25/12</f>
        <v>#VALUE!</v>
      </c>
      <c r="N704" s="3" t="e">
        <f ca="1">AND(NOW()&gt;=tbl_MTG_Set[[#This Row],[Buy Window Start]], NOW()&lt;=tbl_MTG_Set[[#This Row],[Buy Window End]])</f>
        <v>#VALUE!</v>
      </c>
      <c r="O704" t="str">
        <f>_xlfn.XLOOKUP(tbl_MTG_Set[[#This Row],[Type Name]], tbl_MTG_Set_Type[Set Type], tbl_MTG_Set_Type[Heavy Printing Window Month Start], "(Set Type not found)", 0, 1)</f>
        <v>(Set Type not found)</v>
      </c>
      <c r="P704" s="3" t="e">
        <f>tbl_MTG_Set[[#This Row],[Released On]]+tbl_MTG_Set[[#This Row],[Heavy Printing Window Month Start]]*365.25/12</f>
        <v>#VALUE!</v>
      </c>
      <c r="Q704" t="str">
        <f>_xlfn.XLOOKUP(tbl_MTG_Set[[#This Row],[Type Name]], tbl_MTG_Set_Type[Set Type], tbl_MTG_Set_Type[Heavy Printing Window Month End], "(Set Type not found)", 0, 1)</f>
        <v>(Set Type not found)</v>
      </c>
      <c r="R704" s="3" t="e">
        <f>tbl_MTG_Set[[#This Row],[Released On]]+tbl_MTG_Set[[#This Row],[Heavy Printing Window Month End]]*365.25/12</f>
        <v>#VALUE!</v>
      </c>
      <c r="S704" s="3" t="e">
        <f ca="1">AND(NOW()&gt;=tbl_MTG_Set[[#This Row],[Heavy Printing Window Start]], NOW()&lt;=tbl_MTG_Set[[#This Row],[Heavy Printing Window End]])</f>
        <v>#VALUE!</v>
      </c>
      <c r="T704" t="str">
        <f>_xlfn.XLOOKUP(tbl_MTG_Set[[#This Row],[Type Name]], tbl_MTG_Set_Type[Set Type], tbl_MTG_Set_Type[Sell Window Month Start], "(Set Type not found)", 0, 1)</f>
        <v>(Set Type not found)</v>
      </c>
      <c r="U704" s="3" t="e">
        <f>tbl_MTG_Set[[#This Row],[Released On]]+tbl_MTG_Set[[#This Row],[Sell Window Month Start]]*365.25/12</f>
        <v>#VALUE!</v>
      </c>
      <c r="V704" t="str">
        <f>_xlfn.XLOOKUP(tbl_MTG_Set[[#This Row],[Type Name]], tbl_MTG_Set_Type[Set Type], tbl_MTG_Set_Type[Sell Window Month End], "(Set Type not found)", 0, 1)</f>
        <v>(Set Type not found)</v>
      </c>
      <c r="W704" s="3" t="e">
        <f>tbl_MTG_Set[[#This Row],[Released On]]+tbl_MTG_Set[[#This Row],[Sell Window Month End]]*365.25/12</f>
        <v>#VALUE!</v>
      </c>
      <c r="X704" s="3" t="e">
        <f ca="1">AND(NOW()&gt;=tbl_MTG_Set[[#This Row],[Sell Window Start]], NOW()&lt;=tbl_MTG_Set[[#This Row],[Sell Window End]])</f>
        <v>#VALUE!</v>
      </c>
      <c r="AG704" s="10"/>
      <c r="AH704" s="10"/>
      <c r="AM704" s="10" t="str" cm="1">
        <f t="array" ref="AM7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4" s="10" t="str" cm="1">
        <f t="array" ref="AN7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4" s="4" t="e">
        <f>_xlfn.XLOOKUP(tbl_MTG_Set[[#This Row],[Play Booster Box Product Id]], tbl_Product[Product Id], tbl_Product[Pack Size])</f>
        <v>#N/A</v>
      </c>
      <c r="AP704" s="10" t="e">
        <f>(tbl_MTG_Set[[#This Row],[Play Booster Box Cost]]+v_Item_Shipping_Cost_In)/tbl_MTG_Set[[#This Row],[Play Booster Box Size]]</f>
        <v>#VALUE!</v>
      </c>
      <c r="AQ704" s="10" t="str" cm="1">
        <f t="array" ref="AQ7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4" s="10"/>
      <c r="AS704" s="10"/>
      <c r="AT704" s="17" t="e">
        <f>tbl_MTG_Set[[#This Row],[Play Booster CardMarket Profit]]/tbl_MTG_Set[[#This Row],[Play Booster Cost]]</f>
        <v>#VALUE!</v>
      </c>
      <c r="AU704" s="10" t="e">
        <f>_xlfn.XLOOKUP(tbl_MTG_Set[[#This Row],[Collector Booster Box Product Id]], tbl_Product[Product Id], tbl_Product[Min Cost])</f>
        <v>#N/A</v>
      </c>
      <c r="AV704" s="10" t="e">
        <f>_xlfn.XLOOKUP(tbl_MTG_Set[[#This Row],[Collector Booster Box Product Id]], tbl_Product[Product Id], tbl_Product[Best Source])</f>
        <v>#N/A</v>
      </c>
      <c r="AW704" s="4" t="e">
        <f>_xlfn.XLOOKUP(tbl_MTG_Set[[#This Row],[Collector Booster Box Product Id]], tbl_Product[Product Id], tbl_Product[Pack Size])</f>
        <v>#N/A</v>
      </c>
      <c r="AX704" s="10" t="e">
        <f>(tbl_MTG_Set[[#This Row],[Collector Booster Box Cost]] + v_Item_Shipping_Cost_In) / tbl_MTG_Set[[#This Row],[Collector Booster Box Size]]</f>
        <v>#N/A</v>
      </c>
      <c r="AY704" s="10" t="str" cm="1">
        <f t="array" ref="AY7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4" s="10"/>
      <c r="BA7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4" s="17" t="e">
        <f>tbl_MTG_Set[[#This Row],[Collector Booster CardMarket Profit]]/tbl_MTG_Set[[#This Row],[Collector Booster Cost]]</f>
        <v>#N/A</v>
      </c>
      <c r="BC704" s="10"/>
      <c r="BF7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4" s="11" t="e">
        <f>tbl_MTG_Set[[#This Row],[Play Singles CardMarket Profit MTG Stocks]]/tbl_MTG_Set[[#This Row],[Play Booster Cost]]</f>
        <v>#VALUE!</v>
      </c>
      <c r="BI704" s="11" t="b">
        <f>tbl_MTG_Set[[#This Row],[Play Singles CardMarket Profit MTG Stocks]]&gt;0</f>
        <v>0</v>
      </c>
      <c r="BM704" s="10" t="e">
        <f>tbl_MTG_Set[[#This Row],[Play Booster Sell Price CardMarket]]*tbl_MTG_Set[[#This Row],[Play Booster Expected Market Value BotBox]]/tbl_MTG_Set[[#This Row],[Play Booster Sealed Market Value BotBox]]</f>
        <v>#VALUE!</v>
      </c>
      <c r="BN7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4" s="10" t="e">
        <f>tbl_MTG_Set[[#This Row],[Play Singles CardMarket Profit BotBox]]/tbl_MTG_Set[[#This Row],[Play Booster Cost]]</f>
        <v>#VALUE!</v>
      </c>
      <c r="BP704" s="10" t="b">
        <f>tbl_MTG_Set[[#This Row],[Play Singles CardMarket Profit BotBox]]&gt;0</f>
        <v>0</v>
      </c>
      <c r="BQ704" s="10"/>
      <c r="BR704" s="10"/>
      <c r="BS704" s="10"/>
      <c r="BT7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4" s="19" t="e">
        <f>tbl_MTG_Set[[#This Row],[Collector Singles CardMarket Profit MTG Stocks]]/tbl_MTG_Set[[#This Row],[Collector Booster Cost]]</f>
        <v>#N/A</v>
      </c>
      <c r="BW704" s="10" t="b">
        <f>tbl_MTG_Set[[#This Row],[Collector Singles CardMarket Profit MTG Stocks]]&gt;0</f>
        <v>0</v>
      </c>
      <c r="BX704" s="10"/>
      <c r="BY704" s="10"/>
      <c r="BZ7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4" s="10" t="e">
        <f>tbl_MTG_Set[[#This Row],[Collector Singles CardMarket Profit BotBox]]/tbl_MTG_Set[[#This Row],[Collector Booster Cost]]</f>
        <v>#N/A</v>
      </c>
      <c r="CC704" s="10" t="b">
        <f>tbl_MTG_Set[[#This Row],[Collector Singles CardMarket Profit BotBox]]&gt;0</f>
        <v>0</v>
      </c>
      <c r="CD7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5" spans="1:86" hidden="1">
      <c r="A705">
        <v>737</v>
      </c>
      <c r="B705" t="s">
        <v>878</v>
      </c>
      <c r="C705">
        <v>269</v>
      </c>
      <c r="D705" s="3">
        <v>40553</v>
      </c>
      <c r="F705" t="s">
        <v>174</v>
      </c>
      <c r="G705">
        <v>1420</v>
      </c>
      <c r="H705">
        <f ca="1">MONTH(NOW())+12*YEAR(NOW())-MONTH(tbl_MTG_Set[[#This Row],[Released On]])-12*YEAR(tbl_MTG_Set[[#This Row],[Released On]])</f>
        <v>182</v>
      </c>
      <c r="I705" t="str">
        <f>_xlfn.XLOOKUP(tbl_MTG_Set[[#This Row],[Type Name]], tbl_MTG_Set_Type[Set Type], tbl_MTG_Set_Type[Index], "(Set Type not found)")</f>
        <v>(Set Type not found)</v>
      </c>
      <c r="J705" t="str">
        <f>_xlfn.XLOOKUP(tbl_MTG_Set[[#This Row],[Type Name]], tbl_MTG_Set_Type[Set Type], tbl_MTG_Set_Type[Buy Window Month Start], "(Set Type not found)")</f>
        <v>(Set Type not found)</v>
      </c>
      <c r="K705" s="3" t="e">
        <f>tbl_MTG_Set[[#This Row],[Released On]]+tbl_MTG_Set[[#This Row],[Buy Window Month Start]]*365.25/12</f>
        <v>#VALUE!</v>
      </c>
      <c r="L705" t="str">
        <f>_xlfn.XLOOKUP(tbl_MTG_Set[[#This Row],[Type Name]], tbl_MTG_Set_Type[Set Type], tbl_MTG_Set_Type[Buy Window Month End], "(Set Type not found)", 0, 1)</f>
        <v>(Set Type not found)</v>
      </c>
      <c r="M705" s="3" t="e">
        <f>tbl_MTG_Set[[#This Row],[Released On]]+tbl_MTG_Set[[#This Row],[Buy Window Month End]]*365.25/12</f>
        <v>#VALUE!</v>
      </c>
      <c r="N705" s="3" t="e">
        <f ca="1">AND(NOW()&gt;=tbl_MTG_Set[[#This Row],[Buy Window Start]], NOW()&lt;=tbl_MTG_Set[[#This Row],[Buy Window End]])</f>
        <v>#VALUE!</v>
      </c>
      <c r="O705" t="str">
        <f>_xlfn.XLOOKUP(tbl_MTG_Set[[#This Row],[Type Name]], tbl_MTG_Set_Type[Set Type], tbl_MTG_Set_Type[Heavy Printing Window Month Start], "(Set Type not found)", 0, 1)</f>
        <v>(Set Type not found)</v>
      </c>
      <c r="P705" s="3" t="e">
        <f>tbl_MTG_Set[[#This Row],[Released On]]+tbl_MTG_Set[[#This Row],[Heavy Printing Window Month Start]]*365.25/12</f>
        <v>#VALUE!</v>
      </c>
      <c r="Q705" t="str">
        <f>_xlfn.XLOOKUP(tbl_MTG_Set[[#This Row],[Type Name]], tbl_MTG_Set_Type[Set Type], tbl_MTG_Set_Type[Heavy Printing Window Month End], "(Set Type not found)", 0, 1)</f>
        <v>(Set Type not found)</v>
      </c>
      <c r="R705" s="3" t="e">
        <f>tbl_MTG_Set[[#This Row],[Released On]]+tbl_MTG_Set[[#This Row],[Heavy Printing Window Month End]]*365.25/12</f>
        <v>#VALUE!</v>
      </c>
      <c r="S705" s="3" t="e">
        <f ca="1">AND(NOW()&gt;=tbl_MTG_Set[[#This Row],[Heavy Printing Window Start]], NOW()&lt;=tbl_MTG_Set[[#This Row],[Heavy Printing Window End]])</f>
        <v>#VALUE!</v>
      </c>
      <c r="T705" t="str">
        <f>_xlfn.XLOOKUP(tbl_MTG_Set[[#This Row],[Type Name]], tbl_MTG_Set_Type[Set Type], tbl_MTG_Set_Type[Sell Window Month Start], "(Set Type not found)", 0, 1)</f>
        <v>(Set Type not found)</v>
      </c>
      <c r="U705" s="3" t="e">
        <f>tbl_MTG_Set[[#This Row],[Released On]]+tbl_MTG_Set[[#This Row],[Sell Window Month Start]]*365.25/12</f>
        <v>#VALUE!</v>
      </c>
      <c r="V705" t="str">
        <f>_xlfn.XLOOKUP(tbl_MTG_Set[[#This Row],[Type Name]], tbl_MTG_Set_Type[Set Type], tbl_MTG_Set_Type[Sell Window Month End], "(Set Type not found)", 0, 1)</f>
        <v>(Set Type not found)</v>
      </c>
      <c r="W705" s="3" t="e">
        <f>tbl_MTG_Set[[#This Row],[Released On]]+tbl_MTG_Set[[#This Row],[Sell Window Month End]]*365.25/12</f>
        <v>#VALUE!</v>
      </c>
      <c r="X705" s="3" t="e">
        <f ca="1">AND(NOW()&gt;=tbl_MTG_Set[[#This Row],[Sell Window Start]], NOW()&lt;=tbl_MTG_Set[[#This Row],[Sell Window End]])</f>
        <v>#VALUE!</v>
      </c>
      <c r="AG705" s="10"/>
      <c r="AH705" s="10"/>
      <c r="AM705" s="10" t="str" cm="1">
        <f t="array" ref="AM7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5" s="10" t="str" cm="1">
        <f t="array" ref="AN7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5" s="4" t="e">
        <f>_xlfn.XLOOKUP(tbl_MTG_Set[[#This Row],[Play Booster Box Product Id]], tbl_Product[Product Id], tbl_Product[Pack Size])</f>
        <v>#N/A</v>
      </c>
      <c r="AP705" s="10" t="e">
        <f>(tbl_MTG_Set[[#This Row],[Play Booster Box Cost]]+v_Item_Shipping_Cost_In)/tbl_MTG_Set[[#This Row],[Play Booster Box Size]]</f>
        <v>#VALUE!</v>
      </c>
      <c r="AQ705" s="10" t="str" cm="1">
        <f t="array" ref="AQ7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5" s="10"/>
      <c r="AS705" s="10"/>
      <c r="AT705" s="17" t="e">
        <f>tbl_MTG_Set[[#This Row],[Play Booster CardMarket Profit]]/tbl_MTG_Set[[#This Row],[Play Booster Cost]]</f>
        <v>#VALUE!</v>
      </c>
      <c r="AU705" s="10" t="e">
        <f>_xlfn.XLOOKUP(tbl_MTG_Set[[#This Row],[Collector Booster Box Product Id]], tbl_Product[Product Id], tbl_Product[Min Cost])</f>
        <v>#N/A</v>
      </c>
      <c r="AV705" s="10" t="e">
        <f>_xlfn.XLOOKUP(tbl_MTG_Set[[#This Row],[Collector Booster Box Product Id]], tbl_Product[Product Id], tbl_Product[Best Source])</f>
        <v>#N/A</v>
      </c>
      <c r="AW705" s="4" t="e">
        <f>_xlfn.XLOOKUP(tbl_MTG_Set[[#This Row],[Collector Booster Box Product Id]], tbl_Product[Product Id], tbl_Product[Pack Size])</f>
        <v>#N/A</v>
      </c>
      <c r="AX705" s="10" t="e">
        <f>(tbl_MTG_Set[[#This Row],[Collector Booster Box Cost]] + v_Item_Shipping_Cost_In) / tbl_MTG_Set[[#This Row],[Collector Booster Box Size]]</f>
        <v>#N/A</v>
      </c>
      <c r="AY705" s="10" t="str" cm="1">
        <f t="array" ref="AY7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5" s="10"/>
      <c r="BA7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5" s="17" t="e">
        <f>tbl_MTG_Set[[#This Row],[Collector Booster CardMarket Profit]]/tbl_MTG_Set[[#This Row],[Collector Booster Cost]]</f>
        <v>#N/A</v>
      </c>
      <c r="BC705" s="10"/>
      <c r="BF7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5" s="11" t="e">
        <f>tbl_MTG_Set[[#This Row],[Play Singles CardMarket Profit MTG Stocks]]/tbl_MTG_Set[[#This Row],[Play Booster Cost]]</f>
        <v>#VALUE!</v>
      </c>
      <c r="BI705" s="11" t="b">
        <f>tbl_MTG_Set[[#This Row],[Play Singles CardMarket Profit MTG Stocks]]&gt;0</f>
        <v>0</v>
      </c>
      <c r="BM705" s="10" t="e">
        <f>tbl_MTG_Set[[#This Row],[Play Booster Sell Price CardMarket]]*tbl_MTG_Set[[#This Row],[Play Booster Expected Market Value BotBox]]/tbl_MTG_Set[[#This Row],[Play Booster Sealed Market Value BotBox]]</f>
        <v>#VALUE!</v>
      </c>
      <c r="BN7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5" s="10" t="e">
        <f>tbl_MTG_Set[[#This Row],[Play Singles CardMarket Profit BotBox]]/tbl_MTG_Set[[#This Row],[Play Booster Cost]]</f>
        <v>#VALUE!</v>
      </c>
      <c r="BP705" s="10" t="b">
        <f>tbl_MTG_Set[[#This Row],[Play Singles CardMarket Profit BotBox]]&gt;0</f>
        <v>0</v>
      </c>
      <c r="BQ705" s="10"/>
      <c r="BR705" s="10"/>
      <c r="BS705" s="10"/>
      <c r="BT7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5" s="19" t="e">
        <f>tbl_MTG_Set[[#This Row],[Collector Singles CardMarket Profit MTG Stocks]]/tbl_MTG_Set[[#This Row],[Collector Booster Cost]]</f>
        <v>#N/A</v>
      </c>
      <c r="BW705" s="10" t="b">
        <f>tbl_MTG_Set[[#This Row],[Collector Singles CardMarket Profit MTG Stocks]]&gt;0</f>
        <v>0</v>
      </c>
      <c r="BX705" s="10"/>
      <c r="BY705" s="10"/>
      <c r="BZ7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5" s="10" t="e">
        <f>tbl_MTG_Set[[#This Row],[Collector Singles CardMarket Profit BotBox]]/tbl_MTG_Set[[#This Row],[Collector Booster Cost]]</f>
        <v>#N/A</v>
      </c>
      <c r="CC705" s="10" t="b">
        <f>tbl_MTG_Set[[#This Row],[Collector Singles CardMarket Profit BotBox]]&gt;0</f>
        <v>0</v>
      </c>
      <c r="CD7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6" spans="1:86" hidden="1">
      <c r="A706">
        <v>738</v>
      </c>
      <c r="B706" t="s">
        <v>879</v>
      </c>
      <c r="C706">
        <v>5</v>
      </c>
      <c r="D706" s="3">
        <v>40544</v>
      </c>
      <c r="F706" t="s">
        <v>174</v>
      </c>
      <c r="G706">
        <v>1422</v>
      </c>
      <c r="H706">
        <f ca="1">MONTH(NOW())+12*YEAR(NOW())-MONTH(tbl_MTG_Set[[#This Row],[Released On]])-12*YEAR(tbl_MTG_Set[[#This Row],[Released On]])</f>
        <v>182</v>
      </c>
      <c r="I706" t="str">
        <f>_xlfn.XLOOKUP(tbl_MTG_Set[[#This Row],[Type Name]], tbl_MTG_Set_Type[Set Type], tbl_MTG_Set_Type[Index], "(Set Type not found)")</f>
        <v>(Set Type not found)</v>
      </c>
      <c r="J706" t="str">
        <f>_xlfn.XLOOKUP(tbl_MTG_Set[[#This Row],[Type Name]], tbl_MTG_Set_Type[Set Type], tbl_MTG_Set_Type[Buy Window Month Start], "(Set Type not found)")</f>
        <v>(Set Type not found)</v>
      </c>
      <c r="K706" s="3" t="e">
        <f>tbl_MTG_Set[[#This Row],[Released On]]+tbl_MTG_Set[[#This Row],[Buy Window Month Start]]*365.25/12</f>
        <v>#VALUE!</v>
      </c>
      <c r="L706" t="str">
        <f>_xlfn.XLOOKUP(tbl_MTG_Set[[#This Row],[Type Name]], tbl_MTG_Set_Type[Set Type], tbl_MTG_Set_Type[Buy Window Month End], "(Set Type not found)", 0, 1)</f>
        <v>(Set Type not found)</v>
      </c>
      <c r="M706" s="3" t="e">
        <f>tbl_MTG_Set[[#This Row],[Released On]]+tbl_MTG_Set[[#This Row],[Buy Window Month End]]*365.25/12</f>
        <v>#VALUE!</v>
      </c>
      <c r="N706" s="3" t="e">
        <f ca="1">AND(NOW()&gt;=tbl_MTG_Set[[#This Row],[Buy Window Start]], NOW()&lt;=tbl_MTG_Set[[#This Row],[Buy Window End]])</f>
        <v>#VALUE!</v>
      </c>
      <c r="O706" t="str">
        <f>_xlfn.XLOOKUP(tbl_MTG_Set[[#This Row],[Type Name]], tbl_MTG_Set_Type[Set Type], tbl_MTG_Set_Type[Heavy Printing Window Month Start], "(Set Type not found)", 0, 1)</f>
        <v>(Set Type not found)</v>
      </c>
      <c r="P706" s="3" t="e">
        <f>tbl_MTG_Set[[#This Row],[Released On]]+tbl_MTG_Set[[#This Row],[Heavy Printing Window Month Start]]*365.25/12</f>
        <v>#VALUE!</v>
      </c>
      <c r="Q706" t="str">
        <f>_xlfn.XLOOKUP(tbl_MTG_Set[[#This Row],[Type Name]], tbl_MTG_Set_Type[Set Type], tbl_MTG_Set_Type[Heavy Printing Window Month End], "(Set Type not found)", 0, 1)</f>
        <v>(Set Type not found)</v>
      </c>
      <c r="R706" s="3" t="e">
        <f>tbl_MTG_Set[[#This Row],[Released On]]+tbl_MTG_Set[[#This Row],[Heavy Printing Window Month End]]*365.25/12</f>
        <v>#VALUE!</v>
      </c>
      <c r="S706" s="3" t="e">
        <f ca="1">AND(NOW()&gt;=tbl_MTG_Set[[#This Row],[Heavy Printing Window Start]], NOW()&lt;=tbl_MTG_Set[[#This Row],[Heavy Printing Window End]])</f>
        <v>#VALUE!</v>
      </c>
      <c r="T706" t="str">
        <f>_xlfn.XLOOKUP(tbl_MTG_Set[[#This Row],[Type Name]], tbl_MTG_Set_Type[Set Type], tbl_MTG_Set_Type[Sell Window Month Start], "(Set Type not found)", 0, 1)</f>
        <v>(Set Type not found)</v>
      </c>
      <c r="U706" s="3" t="e">
        <f>tbl_MTG_Set[[#This Row],[Released On]]+tbl_MTG_Set[[#This Row],[Sell Window Month Start]]*365.25/12</f>
        <v>#VALUE!</v>
      </c>
      <c r="V706" t="str">
        <f>_xlfn.XLOOKUP(tbl_MTG_Set[[#This Row],[Type Name]], tbl_MTG_Set_Type[Set Type], tbl_MTG_Set_Type[Sell Window Month End], "(Set Type not found)", 0, 1)</f>
        <v>(Set Type not found)</v>
      </c>
      <c r="W706" s="3" t="e">
        <f>tbl_MTG_Set[[#This Row],[Released On]]+tbl_MTG_Set[[#This Row],[Sell Window Month End]]*365.25/12</f>
        <v>#VALUE!</v>
      </c>
      <c r="X706" s="3" t="e">
        <f ca="1">AND(NOW()&gt;=tbl_MTG_Set[[#This Row],[Sell Window Start]], NOW()&lt;=tbl_MTG_Set[[#This Row],[Sell Window End]])</f>
        <v>#VALUE!</v>
      </c>
      <c r="AG706" s="10"/>
      <c r="AH706" s="10"/>
      <c r="AM706" s="10" t="str" cm="1">
        <f t="array" ref="AM7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6" s="10" t="str" cm="1">
        <f t="array" ref="AN7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6" s="4" t="e">
        <f>_xlfn.XLOOKUP(tbl_MTG_Set[[#This Row],[Play Booster Box Product Id]], tbl_Product[Product Id], tbl_Product[Pack Size])</f>
        <v>#N/A</v>
      </c>
      <c r="AP706" s="10" t="e">
        <f>(tbl_MTG_Set[[#This Row],[Play Booster Box Cost]]+v_Item_Shipping_Cost_In)/tbl_MTG_Set[[#This Row],[Play Booster Box Size]]</f>
        <v>#VALUE!</v>
      </c>
      <c r="AQ706" s="10" t="str" cm="1">
        <f t="array" ref="AQ7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6" s="10"/>
      <c r="AS706" s="10"/>
      <c r="AT706" s="17" t="e">
        <f>tbl_MTG_Set[[#This Row],[Play Booster CardMarket Profit]]/tbl_MTG_Set[[#This Row],[Play Booster Cost]]</f>
        <v>#VALUE!</v>
      </c>
      <c r="AU706" s="10" t="e">
        <f>_xlfn.XLOOKUP(tbl_MTG_Set[[#This Row],[Collector Booster Box Product Id]], tbl_Product[Product Id], tbl_Product[Min Cost])</f>
        <v>#N/A</v>
      </c>
      <c r="AV706" s="10" t="e">
        <f>_xlfn.XLOOKUP(tbl_MTG_Set[[#This Row],[Collector Booster Box Product Id]], tbl_Product[Product Id], tbl_Product[Best Source])</f>
        <v>#N/A</v>
      </c>
      <c r="AW706" s="4" t="e">
        <f>_xlfn.XLOOKUP(tbl_MTG_Set[[#This Row],[Collector Booster Box Product Id]], tbl_Product[Product Id], tbl_Product[Pack Size])</f>
        <v>#N/A</v>
      </c>
      <c r="AX706" s="10" t="e">
        <f>(tbl_MTG_Set[[#This Row],[Collector Booster Box Cost]] + v_Item_Shipping_Cost_In) / tbl_MTG_Set[[#This Row],[Collector Booster Box Size]]</f>
        <v>#N/A</v>
      </c>
      <c r="AY706" s="10" t="str" cm="1">
        <f t="array" ref="AY7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6" s="10"/>
      <c r="BA7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6" s="17" t="e">
        <f>tbl_MTG_Set[[#This Row],[Collector Booster CardMarket Profit]]/tbl_MTG_Set[[#This Row],[Collector Booster Cost]]</f>
        <v>#N/A</v>
      </c>
      <c r="BC706" s="10"/>
      <c r="BF7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6" s="11" t="e">
        <f>tbl_MTG_Set[[#This Row],[Play Singles CardMarket Profit MTG Stocks]]/tbl_MTG_Set[[#This Row],[Play Booster Cost]]</f>
        <v>#VALUE!</v>
      </c>
      <c r="BI706" s="11" t="b">
        <f>tbl_MTG_Set[[#This Row],[Play Singles CardMarket Profit MTG Stocks]]&gt;0</f>
        <v>0</v>
      </c>
      <c r="BM706" s="10" t="e">
        <f>tbl_MTG_Set[[#This Row],[Play Booster Sell Price CardMarket]]*tbl_MTG_Set[[#This Row],[Play Booster Expected Market Value BotBox]]/tbl_MTG_Set[[#This Row],[Play Booster Sealed Market Value BotBox]]</f>
        <v>#VALUE!</v>
      </c>
      <c r="BN7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6" s="10" t="e">
        <f>tbl_MTG_Set[[#This Row],[Play Singles CardMarket Profit BotBox]]/tbl_MTG_Set[[#This Row],[Play Booster Cost]]</f>
        <v>#VALUE!</v>
      </c>
      <c r="BP706" s="10" t="b">
        <f>tbl_MTG_Set[[#This Row],[Play Singles CardMarket Profit BotBox]]&gt;0</f>
        <v>0</v>
      </c>
      <c r="BQ706" s="10"/>
      <c r="BR706" s="10"/>
      <c r="BS706" s="10"/>
      <c r="BT7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6" s="19" t="e">
        <f>tbl_MTG_Set[[#This Row],[Collector Singles CardMarket Profit MTG Stocks]]/tbl_MTG_Set[[#This Row],[Collector Booster Cost]]</f>
        <v>#N/A</v>
      </c>
      <c r="BW706" s="10" t="b">
        <f>tbl_MTG_Set[[#This Row],[Collector Singles CardMarket Profit MTG Stocks]]&gt;0</f>
        <v>0</v>
      </c>
      <c r="BX706" s="10"/>
      <c r="BY706" s="10"/>
      <c r="BZ7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6" s="10" t="e">
        <f>tbl_MTG_Set[[#This Row],[Collector Singles CardMarket Profit BotBox]]/tbl_MTG_Set[[#This Row],[Collector Booster Cost]]</f>
        <v>#N/A</v>
      </c>
      <c r="CC706" s="10" t="b">
        <f>tbl_MTG_Set[[#This Row],[Collector Singles CardMarket Profit BotBox]]&gt;0</f>
        <v>0</v>
      </c>
      <c r="CD7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7" spans="1:86" hidden="1">
      <c r="A707">
        <v>739</v>
      </c>
      <c r="B707" t="s">
        <v>880</v>
      </c>
      <c r="C707">
        <v>3</v>
      </c>
      <c r="D707" s="3">
        <v>40544</v>
      </c>
      <c r="F707" t="s">
        <v>174</v>
      </c>
      <c r="G707">
        <v>1424</v>
      </c>
      <c r="H707">
        <f ca="1">MONTH(NOW())+12*YEAR(NOW())-MONTH(tbl_MTG_Set[[#This Row],[Released On]])-12*YEAR(tbl_MTG_Set[[#This Row],[Released On]])</f>
        <v>182</v>
      </c>
      <c r="I707" t="str">
        <f>_xlfn.XLOOKUP(tbl_MTG_Set[[#This Row],[Type Name]], tbl_MTG_Set_Type[Set Type], tbl_MTG_Set_Type[Index], "(Set Type not found)")</f>
        <v>(Set Type not found)</v>
      </c>
      <c r="J707" t="str">
        <f>_xlfn.XLOOKUP(tbl_MTG_Set[[#This Row],[Type Name]], tbl_MTG_Set_Type[Set Type], tbl_MTG_Set_Type[Buy Window Month Start], "(Set Type not found)")</f>
        <v>(Set Type not found)</v>
      </c>
      <c r="K707" s="3" t="e">
        <f>tbl_MTG_Set[[#This Row],[Released On]]+tbl_MTG_Set[[#This Row],[Buy Window Month Start]]*365.25/12</f>
        <v>#VALUE!</v>
      </c>
      <c r="L707" t="str">
        <f>_xlfn.XLOOKUP(tbl_MTG_Set[[#This Row],[Type Name]], tbl_MTG_Set_Type[Set Type], tbl_MTG_Set_Type[Buy Window Month End], "(Set Type not found)", 0, 1)</f>
        <v>(Set Type not found)</v>
      </c>
      <c r="M707" s="3" t="e">
        <f>tbl_MTG_Set[[#This Row],[Released On]]+tbl_MTG_Set[[#This Row],[Buy Window Month End]]*365.25/12</f>
        <v>#VALUE!</v>
      </c>
      <c r="N707" s="3" t="e">
        <f ca="1">AND(NOW()&gt;=tbl_MTG_Set[[#This Row],[Buy Window Start]], NOW()&lt;=tbl_MTG_Set[[#This Row],[Buy Window End]])</f>
        <v>#VALUE!</v>
      </c>
      <c r="O707" t="str">
        <f>_xlfn.XLOOKUP(tbl_MTG_Set[[#This Row],[Type Name]], tbl_MTG_Set_Type[Set Type], tbl_MTG_Set_Type[Heavy Printing Window Month Start], "(Set Type not found)", 0, 1)</f>
        <v>(Set Type not found)</v>
      </c>
      <c r="P707" s="3" t="e">
        <f>tbl_MTG_Set[[#This Row],[Released On]]+tbl_MTG_Set[[#This Row],[Heavy Printing Window Month Start]]*365.25/12</f>
        <v>#VALUE!</v>
      </c>
      <c r="Q707" t="str">
        <f>_xlfn.XLOOKUP(tbl_MTG_Set[[#This Row],[Type Name]], tbl_MTG_Set_Type[Set Type], tbl_MTG_Set_Type[Heavy Printing Window Month End], "(Set Type not found)", 0, 1)</f>
        <v>(Set Type not found)</v>
      </c>
      <c r="R707" s="3" t="e">
        <f>tbl_MTG_Set[[#This Row],[Released On]]+tbl_MTG_Set[[#This Row],[Heavy Printing Window Month End]]*365.25/12</f>
        <v>#VALUE!</v>
      </c>
      <c r="S707" s="3" t="e">
        <f ca="1">AND(NOW()&gt;=tbl_MTG_Set[[#This Row],[Heavy Printing Window Start]], NOW()&lt;=tbl_MTG_Set[[#This Row],[Heavy Printing Window End]])</f>
        <v>#VALUE!</v>
      </c>
      <c r="T707" t="str">
        <f>_xlfn.XLOOKUP(tbl_MTG_Set[[#This Row],[Type Name]], tbl_MTG_Set_Type[Set Type], tbl_MTG_Set_Type[Sell Window Month Start], "(Set Type not found)", 0, 1)</f>
        <v>(Set Type not found)</v>
      </c>
      <c r="U707" s="3" t="e">
        <f>tbl_MTG_Set[[#This Row],[Released On]]+tbl_MTG_Set[[#This Row],[Sell Window Month Start]]*365.25/12</f>
        <v>#VALUE!</v>
      </c>
      <c r="V707" t="str">
        <f>_xlfn.XLOOKUP(tbl_MTG_Set[[#This Row],[Type Name]], tbl_MTG_Set_Type[Set Type], tbl_MTG_Set_Type[Sell Window Month End], "(Set Type not found)", 0, 1)</f>
        <v>(Set Type not found)</v>
      </c>
      <c r="W707" s="3" t="e">
        <f>tbl_MTG_Set[[#This Row],[Released On]]+tbl_MTG_Set[[#This Row],[Sell Window Month End]]*365.25/12</f>
        <v>#VALUE!</v>
      </c>
      <c r="X707" s="3" t="e">
        <f ca="1">AND(NOW()&gt;=tbl_MTG_Set[[#This Row],[Sell Window Start]], NOW()&lt;=tbl_MTG_Set[[#This Row],[Sell Window End]])</f>
        <v>#VALUE!</v>
      </c>
      <c r="AG707" s="10"/>
      <c r="AH707" s="10"/>
      <c r="AM707" s="10" t="str" cm="1">
        <f t="array" ref="AM7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7" s="10" t="str" cm="1">
        <f t="array" ref="AN7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7" s="4" t="e">
        <f>_xlfn.XLOOKUP(tbl_MTG_Set[[#This Row],[Play Booster Box Product Id]], tbl_Product[Product Id], tbl_Product[Pack Size])</f>
        <v>#N/A</v>
      </c>
      <c r="AP707" s="10" t="e">
        <f>(tbl_MTG_Set[[#This Row],[Play Booster Box Cost]]+v_Item_Shipping_Cost_In)/tbl_MTG_Set[[#This Row],[Play Booster Box Size]]</f>
        <v>#VALUE!</v>
      </c>
      <c r="AQ707" s="10" t="str" cm="1">
        <f t="array" ref="AQ7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7" s="10"/>
      <c r="AS707" s="10"/>
      <c r="AT707" s="17" t="e">
        <f>tbl_MTG_Set[[#This Row],[Play Booster CardMarket Profit]]/tbl_MTG_Set[[#This Row],[Play Booster Cost]]</f>
        <v>#VALUE!</v>
      </c>
      <c r="AU707" s="10" t="e">
        <f>_xlfn.XLOOKUP(tbl_MTG_Set[[#This Row],[Collector Booster Box Product Id]], tbl_Product[Product Id], tbl_Product[Min Cost])</f>
        <v>#N/A</v>
      </c>
      <c r="AV707" s="10" t="e">
        <f>_xlfn.XLOOKUP(tbl_MTG_Set[[#This Row],[Collector Booster Box Product Id]], tbl_Product[Product Id], tbl_Product[Best Source])</f>
        <v>#N/A</v>
      </c>
      <c r="AW707" s="4" t="e">
        <f>_xlfn.XLOOKUP(tbl_MTG_Set[[#This Row],[Collector Booster Box Product Id]], tbl_Product[Product Id], tbl_Product[Pack Size])</f>
        <v>#N/A</v>
      </c>
      <c r="AX707" s="10" t="e">
        <f>(tbl_MTG_Set[[#This Row],[Collector Booster Box Cost]] + v_Item_Shipping_Cost_In) / tbl_MTG_Set[[#This Row],[Collector Booster Box Size]]</f>
        <v>#N/A</v>
      </c>
      <c r="AY707" s="10" t="str" cm="1">
        <f t="array" ref="AY7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7" s="10"/>
      <c r="BA7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7" s="17" t="e">
        <f>tbl_MTG_Set[[#This Row],[Collector Booster CardMarket Profit]]/tbl_MTG_Set[[#This Row],[Collector Booster Cost]]</f>
        <v>#N/A</v>
      </c>
      <c r="BC707" s="10"/>
      <c r="BF7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7" s="11" t="e">
        <f>tbl_MTG_Set[[#This Row],[Play Singles CardMarket Profit MTG Stocks]]/tbl_MTG_Set[[#This Row],[Play Booster Cost]]</f>
        <v>#VALUE!</v>
      </c>
      <c r="BI707" s="11" t="b">
        <f>tbl_MTG_Set[[#This Row],[Play Singles CardMarket Profit MTG Stocks]]&gt;0</f>
        <v>0</v>
      </c>
      <c r="BM707" s="10" t="e">
        <f>tbl_MTG_Set[[#This Row],[Play Booster Sell Price CardMarket]]*tbl_MTG_Set[[#This Row],[Play Booster Expected Market Value BotBox]]/tbl_MTG_Set[[#This Row],[Play Booster Sealed Market Value BotBox]]</f>
        <v>#VALUE!</v>
      </c>
      <c r="BN7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7" s="10" t="e">
        <f>tbl_MTG_Set[[#This Row],[Play Singles CardMarket Profit BotBox]]/tbl_MTG_Set[[#This Row],[Play Booster Cost]]</f>
        <v>#VALUE!</v>
      </c>
      <c r="BP707" s="10" t="b">
        <f>tbl_MTG_Set[[#This Row],[Play Singles CardMarket Profit BotBox]]&gt;0</f>
        <v>0</v>
      </c>
      <c r="BQ707" s="10"/>
      <c r="BR707" s="10"/>
      <c r="BS707" s="10"/>
      <c r="BT7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7" s="19" t="e">
        <f>tbl_MTG_Set[[#This Row],[Collector Singles CardMarket Profit MTG Stocks]]/tbl_MTG_Set[[#This Row],[Collector Booster Cost]]</f>
        <v>#N/A</v>
      </c>
      <c r="BW707" s="10" t="b">
        <f>tbl_MTG_Set[[#This Row],[Collector Singles CardMarket Profit MTG Stocks]]&gt;0</f>
        <v>0</v>
      </c>
      <c r="BX707" s="10"/>
      <c r="BY707" s="10"/>
      <c r="BZ7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7" s="10" t="e">
        <f>tbl_MTG_Set[[#This Row],[Collector Singles CardMarket Profit BotBox]]/tbl_MTG_Set[[#This Row],[Collector Booster Cost]]</f>
        <v>#N/A</v>
      </c>
      <c r="CC707" s="10" t="b">
        <f>tbl_MTG_Set[[#This Row],[Collector Singles CardMarket Profit BotBox]]&gt;0</f>
        <v>0</v>
      </c>
      <c r="CD7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8" spans="1:86" hidden="1">
      <c r="A708">
        <v>740</v>
      </c>
      <c r="B708" t="s">
        <v>881</v>
      </c>
      <c r="C708">
        <v>3</v>
      </c>
      <c r="D708" s="3">
        <v>40544</v>
      </c>
      <c r="F708" t="s">
        <v>174</v>
      </c>
      <c r="G708">
        <v>1426</v>
      </c>
      <c r="H708">
        <f ca="1">MONTH(NOW())+12*YEAR(NOW())-MONTH(tbl_MTG_Set[[#This Row],[Released On]])-12*YEAR(tbl_MTG_Set[[#This Row],[Released On]])</f>
        <v>182</v>
      </c>
      <c r="I708" t="str">
        <f>_xlfn.XLOOKUP(tbl_MTG_Set[[#This Row],[Type Name]], tbl_MTG_Set_Type[Set Type], tbl_MTG_Set_Type[Index], "(Set Type not found)")</f>
        <v>(Set Type not found)</v>
      </c>
      <c r="J708" t="str">
        <f>_xlfn.XLOOKUP(tbl_MTG_Set[[#This Row],[Type Name]], tbl_MTG_Set_Type[Set Type], tbl_MTG_Set_Type[Buy Window Month Start], "(Set Type not found)")</f>
        <v>(Set Type not found)</v>
      </c>
      <c r="K708" s="3" t="e">
        <f>tbl_MTG_Set[[#This Row],[Released On]]+tbl_MTG_Set[[#This Row],[Buy Window Month Start]]*365.25/12</f>
        <v>#VALUE!</v>
      </c>
      <c r="L708" t="str">
        <f>_xlfn.XLOOKUP(tbl_MTG_Set[[#This Row],[Type Name]], tbl_MTG_Set_Type[Set Type], tbl_MTG_Set_Type[Buy Window Month End], "(Set Type not found)", 0, 1)</f>
        <v>(Set Type not found)</v>
      </c>
      <c r="M708" s="3" t="e">
        <f>tbl_MTG_Set[[#This Row],[Released On]]+tbl_MTG_Set[[#This Row],[Buy Window Month End]]*365.25/12</f>
        <v>#VALUE!</v>
      </c>
      <c r="N708" s="3" t="e">
        <f ca="1">AND(NOW()&gt;=tbl_MTG_Set[[#This Row],[Buy Window Start]], NOW()&lt;=tbl_MTG_Set[[#This Row],[Buy Window End]])</f>
        <v>#VALUE!</v>
      </c>
      <c r="O708" t="str">
        <f>_xlfn.XLOOKUP(tbl_MTG_Set[[#This Row],[Type Name]], tbl_MTG_Set_Type[Set Type], tbl_MTG_Set_Type[Heavy Printing Window Month Start], "(Set Type not found)", 0, 1)</f>
        <v>(Set Type not found)</v>
      </c>
      <c r="P708" s="3" t="e">
        <f>tbl_MTG_Set[[#This Row],[Released On]]+tbl_MTG_Set[[#This Row],[Heavy Printing Window Month Start]]*365.25/12</f>
        <v>#VALUE!</v>
      </c>
      <c r="Q708" t="str">
        <f>_xlfn.XLOOKUP(tbl_MTG_Set[[#This Row],[Type Name]], tbl_MTG_Set_Type[Set Type], tbl_MTG_Set_Type[Heavy Printing Window Month End], "(Set Type not found)", 0, 1)</f>
        <v>(Set Type not found)</v>
      </c>
      <c r="R708" s="3" t="e">
        <f>tbl_MTG_Set[[#This Row],[Released On]]+tbl_MTG_Set[[#This Row],[Heavy Printing Window Month End]]*365.25/12</f>
        <v>#VALUE!</v>
      </c>
      <c r="S708" s="3" t="e">
        <f ca="1">AND(NOW()&gt;=tbl_MTG_Set[[#This Row],[Heavy Printing Window Start]], NOW()&lt;=tbl_MTG_Set[[#This Row],[Heavy Printing Window End]])</f>
        <v>#VALUE!</v>
      </c>
      <c r="T708" t="str">
        <f>_xlfn.XLOOKUP(tbl_MTG_Set[[#This Row],[Type Name]], tbl_MTG_Set_Type[Set Type], tbl_MTG_Set_Type[Sell Window Month Start], "(Set Type not found)", 0, 1)</f>
        <v>(Set Type not found)</v>
      </c>
      <c r="U708" s="3" t="e">
        <f>tbl_MTG_Set[[#This Row],[Released On]]+tbl_MTG_Set[[#This Row],[Sell Window Month Start]]*365.25/12</f>
        <v>#VALUE!</v>
      </c>
      <c r="V708" t="str">
        <f>_xlfn.XLOOKUP(tbl_MTG_Set[[#This Row],[Type Name]], tbl_MTG_Set_Type[Set Type], tbl_MTG_Set_Type[Sell Window Month End], "(Set Type not found)", 0, 1)</f>
        <v>(Set Type not found)</v>
      </c>
      <c r="W708" s="3" t="e">
        <f>tbl_MTG_Set[[#This Row],[Released On]]+tbl_MTG_Set[[#This Row],[Sell Window Month End]]*365.25/12</f>
        <v>#VALUE!</v>
      </c>
      <c r="X708" s="3" t="e">
        <f ca="1">AND(NOW()&gt;=tbl_MTG_Set[[#This Row],[Sell Window Start]], NOW()&lt;=tbl_MTG_Set[[#This Row],[Sell Window End]])</f>
        <v>#VALUE!</v>
      </c>
      <c r="AG708" s="10"/>
      <c r="AH708" s="10"/>
      <c r="AM708" s="10" t="str" cm="1">
        <f t="array" ref="AM7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8" s="10" t="str" cm="1">
        <f t="array" ref="AN7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8" s="4" t="e">
        <f>_xlfn.XLOOKUP(tbl_MTG_Set[[#This Row],[Play Booster Box Product Id]], tbl_Product[Product Id], tbl_Product[Pack Size])</f>
        <v>#N/A</v>
      </c>
      <c r="AP708" s="10" t="e">
        <f>(tbl_MTG_Set[[#This Row],[Play Booster Box Cost]]+v_Item_Shipping_Cost_In)/tbl_MTG_Set[[#This Row],[Play Booster Box Size]]</f>
        <v>#VALUE!</v>
      </c>
      <c r="AQ708" s="10" t="str" cm="1">
        <f t="array" ref="AQ7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8" s="10"/>
      <c r="AS708" s="10"/>
      <c r="AT708" s="17" t="e">
        <f>tbl_MTG_Set[[#This Row],[Play Booster CardMarket Profit]]/tbl_MTG_Set[[#This Row],[Play Booster Cost]]</f>
        <v>#VALUE!</v>
      </c>
      <c r="AU708" s="10" t="e">
        <f>_xlfn.XLOOKUP(tbl_MTG_Set[[#This Row],[Collector Booster Box Product Id]], tbl_Product[Product Id], tbl_Product[Min Cost])</f>
        <v>#N/A</v>
      </c>
      <c r="AV708" s="10" t="e">
        <f>_xlfn.XLOOKUP(tbl_MTG_Set[[#This Row],[Collector Booster Box Product Id]], tbl_Product[Product Id], tbl_Product[Best Source])</f>
        <v>#N/A</v>
      </c>
      <c r="AW708" s="4" t="e">
        <f>_xlfn.XLOOKUP(tbl_MTG_Set[[#This Row],[Collector Booster Box Product Id]], tbl_Product[Product Id], tbl_Product[Pack Size])</f>
        <v>#N/A</v>
      </c>
      <c r="AX708" s="10" t="e">
        <f>(tbl_MTG_Set[[#This Row],[Collector Booster Box Cost]] + v_Item_Shipping_Cost_In) / tbl_MTG_Set[[#This Row],[Collector Booster Box Size]]</f>
        <v>#N/A</v>
      </c>
      <c r="AY708" s="10" t="str" cm="1">
        <f t="array" ref="AY7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8" s="10"/>
      <c r="BA7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8" s="17" t="e">
        <f>tbl_MTG_Set[[#This Row],[Collector Booster CardMarket Profit]]/tbl_MTG_Set[[#This Row],[Collector Booster Cost]]</f>
        <v>#N/A</v>
      </c>
      <c r="BC708" s="10"/>
      <c r="BF7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8" s="11" t="e">
        <f>tbl_MTG_Set[[#This Row],[Play Singles CardMarket Profit MTG Stocks]]/tbl_MTG_Set[[#This Row],[Play Booster Cost]]</f>
        <v>#VALUE!</v>
      </c>
      <c r="BI708" s="11" t="b">
        <f>tbl_MTG_Set[[#This Row],[Play Singles CardMarket Profit MTG Stocks]]&gt;0</f>
        <v>0</v>
      </c>
      <c r="BM708" s="10" t="e">
        <f>tbl_MTG_Set[[#This Row],[Play Booster Sell Price CardMarket]]*tbl_MTG_Set[[#This Row],[Play Booster Expected Market Value BotBox]]/tbl_MTG_Set[[#This Row],[Play Booster Sealed Market Value BotBox]]</f>
        <v>#VALUE!</v>
      </c>
      <c r="BN7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8" s="10" t="e">
        <f>tbl_MTG_Set[[#This Row],[Play Singles CardMarket Profit BotBox]]/tbl_MTG_Set[[#This Row],[Play Booster Cost]]</f>
        <v>#VALUE!</v>
      </c>
      <c r="BP708" s="10" t="b">
        <f>tbl_MTG_Set[[#This Row],[Play Singles CardMarket Profit BotBox]]&gt;0</f>
        <v>0</v>
      </c>
      <c r="BQ708" s="10"/>
      <c r="BR708" s="10"/>
      <c r="BS708" s="10"/>
      <c r="BT7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8" s="19" t="e">
        <f>tbl_MTG_Set[[#This Row],[Collector Singles CardMarket Profit MTG Stocks]]/tbl_MTG_Set[[#This Row],[Collector Booster Cost]]</f>
        <v>#N/A</v>
      </c>
      <c r="BW708" s="10" t="b">
        <f>tbl_MTG_Set[[#This Row],[Collector Singles CardMarket Profit MTG Stocks]]&gt;0</f>
        <v>0</v>
      </c>
      <c r="BX708" s="10"/>
      <c r="BY708" s="10"/>
      <c r="BZ7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8" s="10" t="e">
        <f>tbl_MTG_Set[[#This Row],[Collector Singles CardMarket Profit BotBox]]/tbl_MTG_Set[[#This Row],[Collector Booster Cost]]</f>
        <v>#N/A</v>
      </c>
      <c r="CC708" s="10" t="b">
        <f>tbl_MTG_Set[[#This Row],[Collector Singles CardMarket Profit BotBox]]&gt;0</f>
        <v>0</v>
      </c>
      <c r="CD7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09" spans="1:86" hidden="1">
      <c r="A709">
        <v>741</v>
      </c>
      <c r="B709" t="s">
        <v>882</v>
      </c>
      <c r="C709">
        <v>224</v>
      </c>
      <c r="D709" s="3">
        <v>40544</v>
      </c>
      <c r="F709" t="s">
        <v>174</v>
      </c>
      <c r="G709">
        <v>1428</v>
      </c>
      <c r="H709">
        <f ca="1">MONTH(NOW())+12*YEAR(NOW())-MONTH(tbl_MTG_Set[[#This Row],[Released On]])-12*YEAR(tbl_MTG_Set[[#This Row],[Released On]])</f>
        <v>182</v>
      </c>
      <c r="I709" t="str">
        <f>_xlfn.XLOOKUP(tbl_MTG_Set[[#This Row],[Type Name]], tbl_MTG_Set_Type[Set Type], tbl_MTG_Set_Type[Index], "(Set Type not found)")</f>
        <v>(Set Type not found)</v>
      </c>
      <c r="J709" t="str">
        <f>_xlfn.XLOOKUP(tbl_MTG_Set[[#This Row],[Type Name]], tbl_MTG_Set_Type[Set Type], tbl_MTG_Set_Type[Buy Window Month Start], "(Set Type not found)")</f>
        <v>(Set Type not found)</v>
      </c>
      <c r="K709" s="3" t="e">
        <f>tbl_MTG_Set[[#This Row],[Released On]]+tbl_MTG_Set[[#This Row],[Buy Window Month Start]]*365.25/12</f>
        <v>#VALUE!</v>
      </c>
      <c r="L709" t="str">
        <f>_xlfn.XLOOKUP(tbl_MTG_Set[[#This Row],[Type Name]], tbl_MTG_Set_Type[Set Type], tbl_MTG_Set_Type[Buy Window Month End], "(Set Type not found)", 0, 1)</f>
        <v>(Set Type not found)</v>
      </c>
      <c r="M709" s="3" t="e">
        <f>tbl_MTG_Set[[#This Row],[Released On]]+tbl_MTG_Set[[#This Row],[Buy Window Month End]]*365.25/12</f>
        <v>#VALUE!</v>
      </c>
      <c r="N709" s="3" t="e">
        <f ca="1">AND(NOW()&gt;=tbl_MTG_Set[[#This Row],[Buy Window Start]], NOW()&lt;=tbl_MTG_Set[[#This Row],[Buy Window End]])</f>
        <v>#VALUE!</v>
      </c>
      <c r="O709" t="str">
        <f>_xlfn.XLOOKUP(tbl_MTG_Set[[#This Row],[Type Name]], tbl_MTG_Set_Type[Set Type], tbl_MTG_Set_Type[Heavy Printing Window Month Start], "(Set Type not found)", 0, 1)</f>
        <v>(Set Type not found)</v>
      </c>
      <c r="P709" s="3" t="e">
        <f>tbl_MTG_Set[[#This Row],[Released On]]+tbl_MTG_Set[[#This Row],[Heavy Printing Window Month Start]]*365.25/12</f>
        <v>#VALUE!</v>
      </c>
      <c r="Q709" t="str">
        <f>_xlfn.XLOOKUP(tbl_MTG_Set[[#This Row],[Type Name]], tbl_MTG_Set_Type[Set Type], tbl_MTG_Set_Type[Heavy Printing Window Month End], "(Set Type not found)", 0, 1)</f>
        <v>(Set Type not found)</v>
      </c>
      <c r="R709" s="3" t="e">
        <f>tbl_MTG_Set[[#This Row],[Released On]]+tbl_MTG_Set[[#This Row],[Heavy Printing Window Month End]]*365.25/12</f>
        <v>#VALUE!</v>
      </c>
      <c r="S709" s="3" t="e">
        <f ca="1">AND(NOW()&gt;=tbl_MTG_Set[[#This Row],[Heavy Printing Window Start]], NOW()&lt;=tbl_MTG_Set[[#This Row],[Heavy Printing Window End]])</f>
        <v>#VALUE!</v>
      </c>
      <c r="T709" t="str">
        <f>_xlfn.XLOOKUP(tbl_MTG_Set[[#This Row],[Type Name]], tbl_MTG_Set_Type[Set Type], tbl_MTG_Set_Type[Sell Window Month Start], "(Set Type not found)", 0, 1)</f>
        <v>(Set Type not found)</v>
      </c>
      <c r="U709" s="3" t="e">
        <f>tbl_MTG_Set[[#This Row],[Released On]]+tbl_MTG_Set[[#This Row],[Sell Window Month Start]]*365.25/12</f>
        <v>#VALUE!</v>
      </c>
      <c r="V709" t="str">
        <f>_xlfn.XLOOKUP(tbl_MTG_Set[[#This Row],[Type Name]], tbl_MTG_Set_Type[Set Type], tbl_MTG_Set_Type[Sell Window Month End], "(Set Type not found)", 0, 1)</f>
        <v>(Set Type not found)</v>
      </c>
      <c r="W709" s="3" t="e">
        <f>tbl_MTG_Set[[#This Row],[Released On]]+tbl_MTG_Set[[#This Row],[Sell Window Month End]]*365.25/12</f>
        <v>#VALUE!</v>
      </c>
      <c r="X709" s="3" t="e">
        <f ca="1">AND(NOW()&gt;=tbl_MTG_Set[[#This Row],[Sell Window Start]], NOW()&lt;=tbl_MTG_Set[[#This Row],[Sell Window End]])</f>
        <v>#VALUE!</v>
      </c>
      <c r="AG709" s="10"/>
      <c r="AH709" s="10"/>
      <c r="AM709" s="10" t="str" cm="1">
        <f t="array" ref="AM7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09" s="10" t="str" cm="1">
        <f t="array" ref="AN7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09" s="4" t="e">
        <f>_xlfn.XLOOKUP(tbl_MTG_Set[[#This Row],[Play Booster Box Product Id]], tbl_Product[Product Id], tbl_Product[Pack Size])</f>
        <v>#N/A</v>
      </c>
      <c r="AP709" s="10" t="e">
        <f>(tbl_MTG_Set[[#This Row],[Play Booster Box Cost]]+v_Item_Shipping_Cost_In)/tbl_MTG_Set[[#This Row],[Play Booster Box Size]]</f>
        <v>#VALUE!</v>
      </c>
      <c r="AQ709" s="10" t="str" cm="1">
        <f t="array" ref="AQ7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09" s="10"/>
      <c r="AS709" s="10"/>
      <c r="AT709" s="17" t="e">
        <f>tbl_MTG_Set[[#This Row],[Play Booster CardMarket Profit]]/tbl_MTG_Set[[#This Row],[Play Booster Cost]]</f>
        <v>#VALUE!</v>
      </c>
      <c r="AU709" s="10" t="e">
        <f>_xlfn.XLOOKUP(tbl_MTG_Set[[#This Row],[Collector Booster Box Product Id]], tbl_Product[Product Id], tbl_Product[Min Cost])</f>
        <v>#N/A</v>
      </c>
      <c r="AV709" s="10" t="e">
        <f>_xlfn.XLOOKUP(tbl_MTG_Set[[#This Row],[Collector Booster Box Product Id]], tbl_Product[Product Id], tbl_Product[Best Source])</f>
        <v>#N/A</v>
      </c>
      <c r="AW709" s="4" t="e">
        <f>_xlfn.XLOOKUP(tbl_MTG_Set[[#This Row],[Collector Booster Box Product Id]], tbl_Product[Product Id], tbl_Product[Pack Size])</f>
        <v>#N/A</v>
      </c>
      <c r="AX709" s="10" t="e">
        <f>(tbl_MTG_Set[[#This Row],[Collector Booster Box Cost]] + v_Item_Shipping_Cost_In) / tbl_MTG_Set[[#This Row],[Collector Booster Box Size]]</f>
        <v>#N/A</v>
      </c>
      <c r="AY709" s="10" t="str" cm="1">
        <f t="array" ref="AY7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09" s="10"/>
      <c r="BA7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09" s="17" t="e">
        <f>tbl_MTG_Set[[#This Row],[Collector Booster CardMarket Profit]]/tbl_MTG_Set[[#This Row],[Collector Booster Cost]]</f>
        <v>#N/A</v>
      </c>
      <c r="BC709" s="10"/>
      <c r="BF7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09" s="11" t="e">
        <f>tbl_MTG_Set[[#This Row],[Play Singles CardMarket Profit MTG Stocks]]/tbl_MTG_Set[[#This Row],[Play Booster Cost]]</f>
        <v>#VALUE!</v>
      </c>
      <c r="BI709" s="11" t="b">
        <f>tbl_MTG_Set[[#This Row],[Play Singles CardMarket Profit MTG Stocks]]&gt;0</f>
        <v>0</v>
      </c>
      <c r="BM709" s="10" t="e">
        <f>tbl_MTG_Set[[#This Row],[Play Booster Sell Price CardMarket]]*tbl_MTG_Set[[#This Row],[Play Booster Expected Market Value BotBox]]/tbl_MTG_Set[[#This Row],[Play Booster Sealed Market Value BotBox]]</f>
        <v>#VALUE!</v>
      </c>
      <c r="BN7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09" s="10" t="e">
        <f>tbl_MTG_Set[[#This Row],[Play Singles CardMarket Profit BotBox]]/tbl_MTG_Set[[#This Row],[Play Booster Cost]]</f>
        <v>#VALUE!</v>
      </c>
      <c r="BP709" s="10" t="b">
        <f>tbl_MTG_Set[[#This Row],[Play Singles CardMarket Profit BotBox]]&gt;0</f>
        <v>0</v>
      </c>
      <c r="BQ709" s="10"/>
      <c r="BR709" s="10"/>
      <c r="BS709" s="10"/>
      <c r="BT7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09" s="19" t="e">
        <f>tbl_MTG_Set[[#This Row],[Collector Singles CardMarket Profit MTG Stocks]]/tbl_MTG_Set[[#This Row],[Collector Booster Cost]]</f>
        <v>#N/A</v>
      </c>
      <c r="BW709" s="10" t="b">
        <f>tbl_MTG_Set[[#This Row],[Collector Singles CardMarket Profit MTG Stocks]]&gt;0</f>
        <v>0</v>
      </c>
      <c r="BX709" s="10"/>
      <c r="BY709" s="10"/>
      <c r="BZ7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09" s="10" t="e">
        <f>tbl_MTG_Set[[#This Row],[Collector Singles CardMarket Profit BotBox]]/tbl_MTG_Set[[#This Row],[Collector Booster Cost]]</f>
        <v>#N/A</v>
      </c>
      <c r="CC709" s="10" t="b">
        <f>tbl_MTG_Set[[#This Row],[Collector Singles CardMarket Profit BotBox]]&gt;0</f>
        <v>0</v>
      </c>
      <c r="CD7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0" spans="1:86" hidden="1">
      <c r="A710">
        <v>742</v>
      </c>
      <c r="B710" t="s">
        <v>883</v>
      </c>
      <c r="C710">
        <v>27</v>
      </c>
      <c r="D710" s="3">
        <v>40544</v>
      </c>
      <c r="F710" t="s">
        <v>174</v>
      </c>
      <c r="G710">
        <v>1430</v>
      </c>
      <c r="H710">
        <f ca="1">MONTH(NOW())+12*YEAR(NOW())-MONTH(tbl_MTG_Set[[#This Row],[Released On]])-12*YEAR(tbl_MTG_Set[[#This Row],[Released On]])</f>
        <v>182</v>
      </c>
      <c r="I710" t="str">
        <f>_xlfn.XLOOKUP(tbl_MTG_Set[[#This Row],[Type Name]], tbl_MTG_Set_Type[Set Type], tbl_MTG_Set_Type[Index], "(Set Type not found)")</f>
        <v>(Set Type not found)</v>
      </c>
      <c r="J710" t="str">
        <f>_xlfn.XLOOKUP(tbl_MTG_Set[[#This Row],[Type Name]], tbl_MTG_Set_Type[Set Type], tbl_MTG_Set_Type[Buy Window Month Start], "(Set Type not found)")</f>
        <v>(Set Type not found)</v>
      </c>
      <c r="K710" s="3" t="e">
        <f>tbl_MTG_Set[[#This Row],[Released On]]+tbl_MTG_Set[[#This Row],[Buy Window Month Start]]*365.25/12</f>
        <v>#VALUE!</v>
      </c>
      <c r="L710" t="str">
        <f>_xlfn.XLOOKUP(tbl_MTG_Set[[#This Row],[Type Name]], tbl_MTG_Set_Type[Set Type], tbl_MTG_Set_Type[Buy Window Month End], "(Set Type not found)", 0, 1)</f>
        <v>(Set Type not found)</v>
      </c>
      <c r="M710" s="3" t="e">
        <f>tbl_MTG_Set[[#This Row],[Released On]]+tbl_MTG_Set[[#This Row],[Buy Window Month End]]*365.25/12</f>
        <v>#VALUE!</v>
      </c>
      <c r="N710" s="3" t="e">
        <f ca="1">AND(NOW()&gt;=tbl_MTG_Set[[#This Row],[Buy Window Start]], NOW()&lt;=tbl_MTG_Set[[#This Row],[Buy Window End]])</f>
        <v>#VALUE!</v>
      </c>
      <c r="O710" t="str">
        <f>_xlfn.XLOOKUP(tbl_MTG_Set[[#This Row],[Type Name]], tbl_MTG_Set_Type[Set Type], tbl_MTG_Set_Type[Heavy Printing Window Month Start], "(Set Type not found)", 0, 1)</f>
        <v>(Set Type not found)</v>
      </c>
      <c r="P710" s="3" t="e">
        <f>tbl_MTG_Set[[#This Row],[Released On]]+tbl_MTG_Set[[#This Row],[Heavy Printing Window Month Start]]*365.25/12</f>
        <v>#VALUE!</v>
      </c>
      <c r="Q710" t="str">
        <f>_xlfn.XLOOKUP(tbl_MTG_Set[[#This Row],[Type Name]], tbl_MTG_Set_Type[Set Type], tbl_MTG_Set_Type[Heavy Printing Window Month End], "(Set Type not found)", 0, 1)</f>
        <v>(Set Type not found)</v>
      </c>
      <c r="R710" s="3" t="e">
        <f>tbl_MTG_Set[[#This Row],[Released On]]+tbl_MTG_Set[[#This Row],[Heavy Printing Window Month End]]*365.25/12</f>
        <v>#VALUE!</v>
      </c>
      <c r="S710" s="3" t="e">
        <f ca="1">AND(NOW()&gt;=tbl_MTG_Set[[#This Row],[Heavy Printing Window Start]], NOW()&lt;=tbl_MTG_Set[[#This Row],[Heavy Printing Window End]])</f>
        <v>#VALUE!</v>
      </c>
      <c r="T710" t="str">
        <f>_xlfn.XLOOKUP(tbl_MTG_Set[[#This Row],[Type Name]], tbl_MTG_Set_Type[Set Type], tbl_MTG_Set_Type[Sell Window Month Start], "(Set Type not found)", 0, 1)</f>
        <v>(Set Type not found)</v>
      </c>
      <c r="U710" s="3" t="e">
        <f>tbl_MTG_Set[[#This Row],[Released On]]+tbl_MTG_Set[[#This Row],[Sell Window Month Start]]*365.25/12</f>
        <v>#VALUE!</v>
      </c>
      <c r="V710" t="str">
        <f>_xlfn.XLOOKUP(tbl_MTG_Set[[#This Row],[Type Name]], tbl_MTG_Set_Type[Set Type], tbl_MTG_Set_Type[Sell Window Month End], "(Set Type not found)", 0, 1)</f>
        <v>(Set Type not found)</v>
      </c>
      <c r="W710" s="3" t="e">
        <f>tbl_MTG_Set[[#This Row],[Released On]]+tbl_MTG_Set[[#This Row],[Sell Window Month End]]*365.25/12</f>
        <v>#VALUE!</v>
      </c>
      <c r="X710" s="3" t="e">
        <f ca="1">AND(NOW()&gt;=tbl_MTG_Set[[#This Row],[Sell Window Start]], NOW()&lt;=tbl_MTG_Set[[#This Row],[Sell Window End]])</f>
        <v>#VALUE!</v>
      </c>
      <c r="AG710" s="10"/>
      <c r="AH710" s="10"/>
      <c r="AM710" s="10" t="str" cm="1">
        <f t="array" ref="AM7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0" s="10" t="str" cm="1">
        <f t="array" ref="AN7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0" s="4" t="e">
        <f>_xlfn.XLOOKUP(tbl_MTG_Set[[#This Row],[Play Booster Box Product Id]], tbl_Product[Product Id], tbl_Product[Pack Size])</f>
        <v>#N/A</v>
      </c>
      <c r="AP710" s="10" t="e">
        <f>(tbl_MTG_Set[[#This Row],[Play Booster Box Cost]]+v_Item_Shipping_Cost_In)/tbl_MTG_Set[[#This Row],[Play Booster Box Size]]</f>
        <v>#VALUE!</v>
      </c>
      <c r="AQ710" s="10" t="str" cm="1">
        <f t="array" ref="AQ7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0" s="10"/>
      <c r="AS710" s="10"/>
      <c r="AT710" s="17" t="e">
        <f>tbl_MTG_Set[[#This Row],[Play Booster CardMarket Profit]]/tbl_MTG_Set[[#This Row],[Play Booster Cost]]</f>
        <v>#VALUE!</v>
      </c>
      <c r="AU710" s="10" t="e">
        <f>_xlfn.XLOOKUP(tbl_MTG_Set[[#This Row],[Collector Booster Box Product Id]], tbl_Product[Product Id], tbl_Product[Min Cost])</f>
        <v>#N/A</v>
      </c>
      <c r="AV710" s="10" t="e">
        <f>_xlfn.XLOOKUP(tbl_MTG_Set[[#This Row],[Collector Booster Box Product Id]], tbl_Product[Product Id], tbl_Product[Best Source])</f>
        <v>#N/A</v>
      </c>
      <c r="AW710" s="4" t="e">
        <f>_xlfn.XLOOKUP(tbl_MTG_Set[[#This Row],[Collector Booster Box Product Id]], tbl_Product[Product Id], tbl_Product[Pack Size])</f>
        <v>#N/A</v>
      </c>
      <c r="AX710" s="10" t="e">
        <f>(tbl_MTG_Set[[#This Row],[Collector Booster Box Cost]] + v_Item_Shipping_Cost_In) / tbl_MTG_Set[[#This Row],[Collector Booster Box Size]]</f>
        <v>#N/A</v>
      </c>
      <c r="AY710" s="10" t="str" cm="1">
        <f t="array" ref="AY7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0" s="10"/>
      <c r="BA7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0" s="17" t="e">
        <f>tbl_MTG_Set[[#This Row],[Collector Booster CardMarket Profit]]/tbl_MTG_Set[[#This Row],[Collector Booster Cost]]</f>
        <v>#N/A</v>
      </c>
      <c r="BC710" s="10"/>
      <c r="BF7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0" s="11" t="e">
        <f>tbl_MTG_Set[[#This Row],[Play Singles CardMarket Profit MTG Stocks]]/tbl_MTG_Set[[#This Row],[Play Booster Cost]]</f>
        <v>#VALUE!</v>
      </c>
      <c r="BI710" s="11" t="b">
        <f>tbl_MTG_Set[[#This Row],[Play Singles CardMarket Profit MTG Stocks]]&gt;0</f>
        <v>0</v>
      </c>
      <c r="BM710" s="10" t="e">
        <f>tbl_MTG_Set[[#This Row],[Play Booster Sell Price CardMarket]]*tbl_MTG_Set[[#This Row],[Play Booster Expected Market Value BotBox]]/tbl_MTG_Set[[#This Row],[Play Booster Sealed Market Value BotBox]]</f>
        <v>#VALUE!</v>
      </c>
      <c r="BN7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0" s="10" t="e">
        <f>tbl_MTG_Set[[#This Row],[Play Singles CardMarket Profit BotBox]]/tbl_MTG_Set[[#This Row],[Play Booster Cost]]</f>
        <v>#VALUE!</v>
      </c>
      <c r="BP710" s="10" t="b">
        <f>tbl_MTG_Set[[#This Row],[Play Singles CardMarket Profit BotBox]]&gt;0</f>
        <v>0</v>
      </c>
      <c r="BQ710" s="10"/>
      <c r="BR710" s="10"/>
      <c r="BS710" s="10"/>
      <c r="BT7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0" s="19" t="e">
        <f>tbl_MTG_Set[[#This Row],[Collector Singles CardMarket Profit MTG Stocks]]/tbl_MTG_Set[[#This Row],[Collector Booster Cost]]</f>
        <v>#N/A</v>
      </c>
      <c r="BW710" s="10" t="b">
        <f>tbl_MTG_Set[[#This Row],[Collector Singles CardMarket Profit MTG Stocks]]&gt;0</f>
        <v>0</v>
      </c>
      <c r="BX710" s="10"/>
      <c r="BY710" s="10"/>
      <c r="BZ7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0" s="10" t="e">
        <f>tbl_MTG_Set[[#This Row],[Collector Singles CardMarket Profit BotBox]]/tbl_MTG_Set[[#This Row],[Collector Booster Cost]]</f>
        <v>#N/A</v>
      </c>
      <c r="CC710" s="10" t="b">
        <f>tbl_MTG_Set[[#This Row],[Collector Singles CardMarket Profit BotBox]]&gt;0</f>
        <v>0</v>
      </c>
      <c r="CD7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1" spans="1:86" hidden="1">
      <c r="A711">
        <v>743</v>
      </c>
      <c r="B711" t="s">
        <v>884</v>
      </c>
      <c r="C711">
        <v>8</v>
      </c>
      <c r="D711" s="3">
        <v>40544</v>
      </c>
      <c r="F711" t="s">
        <v>174</v>
      </c>
      <c r="G711">
        <v>1432</v>
      </c>
      <c r="H711">
        <f ca="1">MONTH(NOW())+12*YEAR(NOW())-MONTH(tbl_MTG_Set[[#This Row],[Released On]])-12*YEAR(tbl_MTG_Set[[#This Row],[Released On]])</f>
        <v>182</v>
      </c>
      <c r="I711" t="str">
        <f>_xlfn.XLOOKUP(tbl_MTG_Set[[#This Row],[Type Name]], tbl_MTG_Set_Type[Set Type], tbl_MTG_Set_Type[Index], "(Set Type not found)")</f>
        <v>(Set Type not found)</v>
      </c>
      <c r="J711" t="str">
        <f>_xlfn.XLOOKUP(tbl_MTG_Set[[#This Row],[Type Name]], tbl_MTG_Set_Type[Set Type], tbl_MTG_Set_Type[Buy Window Month Start], "(Set Type not found)")</f>
        <v>(Set Type not found)</v>
      </c>
      <c r="K711" s="3" t="e">
        <f>tbl_MTG_Set[[#This Row],[Released On]]+tbl_MTG_Set[[#This Row],[Buy Window Month Start]]*365.25/12</f>
        <v>#VALUE!</v>
      </c>
      <c r="L711" t="str">
        <f>_xlfn.XLOOKUP(tbl_MTG_Set[[#This Row],[Type Name]], tbl_MTG_Set_Type[Set Type], tbl_MTG_Set_Type[Buy Window Month End], "(Set Type not found)", 0, 1)</f>
        <v>(Set Type not found)</v>
      </c>
      <c r="M711" s="3" t="e">
        <f>tbl_MTG_Set[[#This Row],[Released On]]+tbl_MTG_Set[[#This Row],[Buy Window Month End]]*365.25/12</f>
        <v>#VALUE!</v>
      </c>
      <c r="N711" s="3" t="e">
        <f ca="1">AND(NOW()&gt;=tbl_MTG_Set[[#This Row],[Buy Window Start]], NOW()&lt;=tbl_MTG_Set[[#This Row],[Buy Window End]])</f>
        <v>#VALUE!</v>
      </c>
      <c r="O711" t="str">
        <f>_xlfn.XLOOKUP(tbl_MTG_Set[[#This Row],[Type Name]], tbl_MTG_Set_Type[Set Type], tbl_MTG_Set_Type[Heavy Printing Window Month Start], "(Set Type not found)", 0, 1)</f>
        <v>(Set Type not found)</v>
      </c>
      <c r="P711" s="3" t="e">
        <f>tbl_MTG_Set[[#This Row],[Released On]]+tbl_MTG_Set[[#This Row],[Heavy Printing Window Month Start]]*365.25/12</f>
        <v>#VALUE!</v>
      </c>
      <c r="Q711" t="str">
        <f>_xlfn.XLOOKUP(tbl_MTG_Set[[#This Row],[Type Name]], tbl_MTG_Set_Type[Set Type], tbl_MTG_Set_Type[Heavy Printing Window Month End], "(Set Type not found)", 0, 1)</f>
        <v>(Set Type not found)</v>
      </c>
      <c r="R711" s="3" t="e">
        <f>tbl_MTG_Set[[#This Row],[Released On]]+tbl_MTG_Set[[#This Row],[Heavy Printing Window Month End]]*365.25/12</f>
        <v>#VALUE!</v>
      </c>
      <c r="S711" s="3" t="e">
        <f ca="1">AND(NOW()&gt;=tbl_MTG_Set[[#This Row],[Heavy Printing Window Start]], NOW()&lt;=tbl_MTG_Set[[#This Row],[Heavy Printing Window End]])</f>
        <v>#VALUE!</v>
      </c>
      <c r="T711" t="str">
        <f>_xlfn.XLOOKUP(tbl_MTG_Set[[#This Row],[Type Name]], tbl_MTG_Set_Type[Set Type], tbl_MTG_Set_Type[Sell Window Month Start], "(Set Type not found)", 0, 1)</f>
        <v>(Set Type not found)</v>
      </c>
      <c r="U711" s="3" t="e">
        <f>tbl_MTG_Set[[#This Row],[Released On]]+tbl_MTG_Set[[#This Row],[Sell Window Month Start]]*365.25/12</f>
        <v>#VALUE!</v>
      </c>
      <c r="V711" t="str">
        <f>_xlfn.XLOOKUP(tbl_MTG_Set[[#This Row],[Type Name]], tbl_MTG_Set_Type[Set Type], tbl_MTG_Set_Type[Sell Window Month End], "(Set Type not found)", 0, 1)</f>
        <v>(Set Type not found)</v>
      </c>
      <c r="W711" s="3" t="e">
        <f>tbl_MTG_Set[[#This Row],[Released On]]+tbl_MTG_Set[[#This Row],[Sell Window Month End]]*365.25/12</f>
        <v>#VALUE!</v>
      </c>
      <c r="X711" s="3" t="e">
        <f ca="1">AND(NOW()&gt;=tbl_MTG_Set[[#This Row],[Sell Window Start]], NOW()&lt;=tbl_MTG_Set[[#This Row],[Sell Window End]])</f>
        <v>#VALUE!</v>
      </c>
      <c r="AG711" s="10"/>
      <c r="AH711" s="10"/>
      <c r="AM711" s="10" t="str" cm="1">
        <f t="array" ref="AM7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1" s="10" t="str" cm="1">
        <f t="array" ref="AN7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1" s="4" t="e">
        <f>_xlfn.XLOOKUP(tbl_MTG_Set[[#This Row],[Play Booster Box Product Id]], tbl_Product[Product Id], tbl_Product[Pack Size])</f>
        <v>#N/A</v>
      </c>
      <c r="AP711" s="10" t="e">
        <f>(tbl_MTG_Set[[#This Row],[Play Booster Box Cost]]+v_Item_Shipping_Cost_In)/tbl_MTG_Set[[#This Row],[Play Booster Box Size]]</f>
        <v>#VALUE!</v>
      </c>
      <c r="AQ711" s="10" t="str" cm="1">
        <f t="array" ref="AQ7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1" s="10"/>
      <c r="AS711" s="10"/>
      <c r="AT711" s="17" t="e">
        <f>tbl_MTG_Set[[#This Row],[Play Booster CardMarket Profit]]/tbl_MTG_Set[[#This Row],[Play Booster Cost]]</f>
        <v>#VALUE!</v>
      </c>
      <c r="AU711" s="10" t="e">
        <f>_xlfn.XLOOKUP(tbl_MTG_Set[[#This Row],[Collector Booster Box Product Id]], tbl_Product[Product Id], tbl_Product[Min Cost])</f>
        <v>#N/A</v>
      </c>
      <c r="AV711" s="10" t="e">
        <f>_xlfn.XLOOKUP(tbl_MTG_Set[[#This Row],[Collector Booster Box Product Id]], tbl_Product[Product Id], tbl_Product[Best Source])</f>
        <v>#N/A</v>
      </c>
      <c r="AW711" s="4" t="e">
        <f>_xlfn.XLOOKUP(tbl_MTG_Set[[#This Row],[Collector Booster Box Product Id]], tbl_Product[Product Id], tbl_Product[Pack Size])</f>
        <v>#N/A</v>
      </c>
      <c r="AX711" s="10" t="e">
        <f>(tbl_MTG_Set[[#This Row],[Collector Booster Box Cost]] + v_Item_Shipping_Cost_In) / tbl_MTG_Set[[#This Row],[Collector Booster Box Size]]</f>
        <v>#N/A</v>
      </c>
      <c r="AY711" s="10" t="str" cm="1">
        <f t="array" ref="AY7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1" s="10"/>
      <c r="BA7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1" s="17" t="e">
        <f>tbl_MTG_Set[[#This Row],[Collector Booster CardMarket Profit]]/tbl_MTG_Set[[#This Row],[Collector Booster Cost]]</f>
        <v>#N/A</v>
      </c>
      <c r="BC711" s="10"/>
      <c r="BF7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1" s="11" t="e">
        <f>tbl_MTG_Set[[#This Row],[Play Singles CardMarket Profit MTG Stocks]]/tbl_MTG_Set[[#This Row],[Play Booster Cost]]</f>
        <v>#VALUE!</v>
      </c>
      <c r="BI711" s="11" t="b">
        <f>tbl_MTG_Set[[#This Row],[Play Singles CardMarket Profit MTG Stocks]]&gt;0</f>
        <v>0</v>
      </c>
      <c r="BM711" s="10" t="e">
        <f>tbl_MTG_Set[[#This Row],[Play Booster Sell Price CardMarket]]*tbl_MTG_Set[[#This Row],[Play Booster Expected Market Value BotBox]]/tbl_MTG_Set[[#This Row],[Play Booster Sealed Market Value BotBox]]</f>
        <v>#VALUE!</v>
      </c>
      <c r="BN7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1" s="10" t="e">
        <f>tbl_MTG_Set[[#This Row],[Play Singles CardMarket Profit BotBox]]/tbl_MTG_Set[[#This Row],[Play Booster Cost]]</f>
        <v>#VALUE!</v>
      </c>
      <c r="BP711" s="10" t="b">
        <f>tbl_MTG_Set[[#This Row],[Play Singles CardMarket Profit BotBox]]&gt;0</f>
        <v>0</v>
      </c>
      <c r="BQ711" s="10"/>
      <c r="BR711" s="10"/>
      <c r="BS711" s="10"/>
      <c r="BT7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1" s="19" t="e">
        <f>tbl_MTG_Set[[#This Row],[Collector Singles CardMarket Profit MTG Stocks]]/tbl_MTG_Set[[#This Row],[Collector Booster Cost]]</f>
        <v>#N/A</v>
      </c>
      <c r="BW711" s="10" t="b">
        <f>tbl_MTG_Set[[#This Row],[Collector Singles CardMarket Profit MTG Stocks]]&gt;0</f>
        <v>0</v>
      </c>
      <c r="BX711" s="10"/>
      <c r="BY711" s="10"/>
      <c r="BZ7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1" s="10" t="e">
        <f>tbl_MTG_Set[[#This Row],[Collector Singles CardMarket Profit BotBox]]/tbl_MTG_Set[[#This Row],[Collector Booster Cost]]</f>
        <v>#N/A</v>
      </c>
      <c r="CC711" s="10" t="b">
        <f>tbl_MTG_Set[[#This Row],[Collector Singles CardMarket Profit BotBox]]&gt;0</f>
        <v>0</v>
      </c>
      <c r="CD7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2" spans="1:86" hidden="1">
      <c r="A712">
        <v>744</v>
      </c>
      <c r="B712" t="s">
        <v>885</v>
      </c>
      <c r="C712">
        <v>7</v>
      </c>
      <c r="D712" s="3">
        <v>40544</v>
      </c>
      <c r="F712" t="s">
        <v>174</v>
      </c>
      <c r="G712">
        <v>1434</v>
      </c>
      <c r="H712">
        <f ca="1">MONTH(NOW())+12*YEAR(NOW())-MONTH(tbl_MTG_Set[[#This Row],[Released On]])-12*YEAR(tbl_MTG_Set[[#This Row],[Released On]])</f>
        <v>182</v>
      </c>
      <c r="I712" t="str">
        <f>_xlfn.XLOOKUP(tbl_MTG_Set[[#This Row],[Type Name]], tbl_MTG_Set_Type[Set Type], tbl_MTG_Set_Type[Index], "(Set Type not found)")</f>
        <v>(Set Type not found)</v>
      </c>
      <c r="J712" t="str">
        <f>_xlfn.XLOOKUP(tbl_MTG_Set[[#This Row],[Type Name]], tbl_MTG_Set_Type[Set Type], tbl_MTG_Set_Type[Buy Window Month Start], "(Set Type not found)")</f>
        <v>(Set Type not found)</v>
      </c>
      <c r="K712" s="3" t="e">
        <f>tbl_MTG_Set[[#This Row],[Released On]]+tbl_MTG_Set[[#This Row],[Buy Window Month Start]]*365.25/12</f>
        <v>#VALUE!</v>
      </c>
      <c r="L712" t="str">
        <f>_xlfn.XLOOKUP(tbl_MTG_Set[[#This Row],[Type Name]], tbl_MTG_Set_Type[Set Type], tbl_MTG_Set_Type[Buy Window Month End], "(Set Type not found)", 0, 1)</f>
        <v>(Set Type not found)</v>
      </c>
      <c r="M712" s="3" t="e">
        <f>tbl_MTG_Set[[#This Row],[Released On]]+tbl_MTG_Set[[#This Row],[Buy Window Month End]]*365.25/12</f>
        <v>#VALUE!</v>
      </c>
      <c r="N712" s="3" t="e">
        <f ca="1">AND(NOW()&gt;=tbl_MTG_Set[[#This Row],[Buy Window Start]], NOW()&lt;=tbl_MTG_Set[[#This Row],[Buy Window End]])</f>
        <v>#VALUE!</v>
      </c>
      <c r="O712" t="str">
        <f>_xlfn.XLOOKUP(tbl_MTG_Set[[#This Row],[Type Name]], tbl_MTG_Set_Type[Set Type], tbl_MTG_Set_Type[Heavy Printing Window Month Start], "(Set Type not found)", 0, 1)</f>
        <v>(Set Type not found)</v>
      </c>
      <c r="P712" s="3" t="e">
        <f>tbl_MTG_Set[[#This Row],[Released On]]+tbl_MTG_Set[[#This Row],[Heavy Printing Window Month Start]]*365.25/12</f>
        <v>#VALUE!</v>
      </c>
      <c r="Q712" t="str">
        <f>_xlfn.XLOOKUP(tbl_MTG_Set[[#This Row],[Type Name]], tbl_MTG_Set_Type[Set Type], tbl_MTG_Set_Type[Heavy Printing Window Month End], "(Set Type not found)", 0, 1)</f>
        <v>(Set Type not found)</v>
      </c>
      <c r="R712" s="3" t="e">
        <f>tbl_MTG_Set[[#This Row],[Released On]]+tbl_MTG_Set[[#This Row],[Heavy Printing Window Month End]]*365.25/12</f>
        <v>#VALUE!</v>
      </c>
      <c r="S712" s="3" t="e">
        <f ca="1">AND(NOW()&gt;=tbl_MTG_Set[[#This Row],[Heavy Printing Window Start]], NOW()&lt;=tbl_MTG_Set[[#This Row],[Heavy Printing Window End]])</f>
        <v>#VALUE!</v>
      </c>
      <c r="T712" t="str">
        <f>_xlfn.XLOOKUP(tbl_MTG_Set[[#This Row],[Type Name]], tbl_MTG_Set_Type[Set Type], tbl_MTG_Set_Type[Sell Window Month Start], "(Set Type not found)", 0, 1)</f>
        <v>(Set Type not found)</v>
      </c>
      <c r="U712" s="3" t="e">
        <f>tbl_MTG_Set[[#This Row],[Released On]]+tbl_MTG_Set[[#This Row],[Sell Window Month Start]]*365.25/12</f>
        <v>#VALUE!</v>
      </c>
      <c r="V712" t="str">
        <f>_xlfn.XLOOKUP(tbl_MTG_Set[[#This Row],[Type Name]], tbl_MTG_Set_Type[Set Type], tbl_MTG_Set_Type[Sell Window Month End], "(Set Type not found)", 0, 1)</f>
        <v>(Set Type not found)</v>
      </c>
      <c r="W712" s="3" t="e">
        <f>tbl_MTG_Set[[#This Row],[Released On]]+tbl_MTG_Set[[#This Row],[Sell Window Month End]]*365.25/12</f>
        <v>#VALUE!</v>
      </c>
      <c r="X712" s="3" t="e">
        <f ca="1">AND(NOW()&gt;=tbl_MTG_Set[[#This Row],[Sell Window Start]], NOW()&lt;=tbl_MTG_Set[[#This Row],[Sell Window End]])</f>
        <v>#VALUE!</v>
      </c>
      <c r="AG712" s="10"/>
      <c r="AH712" s="10"/>
      <c r="AM712" s="10" t="str" cm="1">
        <f t="array" ref="AM7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2" s="10" t="str" cm="1">
        <f t="array" ref="AN7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2" s="4" t="e">
        <f>_xlfn.XLOOKUP(tbl_MTG_Set[[#This Row],[Play Booster Box Product Id]], tbl_Product[Product Id], tbl_Product[Pack Size])</f>
        <v>#N/A</v>
      </c>
      <c r="AP712" s="10" t="e">
        <f>(tbl_MTG_Set[[#This Row],[Play Booster Box Cost]]+v_Item_Shipping_Cost_In)/tbl_MTG_Set[[#This Row],[Play Booster Box Size]]</f>
        <v>#VALUE!</v>
      </c>
      <c r="AQ712" s="10" t="str" cm="1">
        <f t="array" ref="AQ7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2" s="10"/>
      <c r="AS712" s="10"/>
      <c r="AT712" s="17" t="e">
        <f>tbl_MTG_Set[[#This Row],[Play Booster CardMarket Profit]]/tbl_MTG_Set[[#This Row],[Play Booster Cost]]</f>
        <v>#VALUE!</v>
      </c>
      <c r="AU712" s="10" t="e">
        <f>_xlfn.XLOOKUP(tbl_MTG_Set[[#This Row],[Collector Booster Box Product Id]], tbl_Product[Product Id], tbl_Product[Min Cost])</f>
        <v>#N/A</v>
      </c>
      <c r="AV712" s="10" t="e">
        <f>_xlfn.XLOOKUP(tbl_MTG_Set[[#This Row],[Collector Booster Box Product Id]], tbl_Product[Product Id], tbl_Product[Best Source])</f>
        <v>#N/A</v>
      </c>
      <c r="AW712" s="4" t="e">
        <f>_xlfn.XLOOKUP(tbl_MTG_Set[[#This Row],[Collector Booster Box Product Id]], tbl_Product[Product Id], tbl_Product[Pack Size])</f>
        <v>#N/A</v>
      </c>
      <c r="AX712" s="10" t="e">
        <f>(tbl_MTG_Set[[#This Row],[Collector Booster Box Cost]] + v_Item_Shipping_Cost_In) / tbl_MTG_Set[[#This Row],[Collector Booster Box Size]]</f>
        <v>#N/A</v>
      </c>
      <c r="AY712" s="10" t="str" cm="1">
        <f t="array" ref="AY7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2" s="10"/>
      <c r="BA7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2" s="17" t="e">
        <f>tbl_MTG_Set[[#This Row],[Collector Booster CardMarket Profit]]/tbl_MTG_Set[[#This Row],[Collector Booster Cost]]</f>
        <v>#N/A</v>
      </c>
      <c r="BC712" s="10"/>
      <c r="BF7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2" s="11" t="e">
        <f>tbl_MTG_Set[[#This Row],[Play Singles CardMarket Profit MTG Stocks]]/tbl_MTG_Set[[#This Row],[Play Booster Cost]]</f>
        <v>#VALUE!</v>
      </c>
      <c r="BI712" s="11" t="b">
        <f>tbl_MTG_Set[[#This Row],[Play Singles CardMarket Profit MTG Stocks]]&gt;0</f>
        <v>0</v>
      </c>
      <c r="BM712" s="10" t="e">
        <f>tbl_MTG_Set[[#This Row],[Play Booster Sell Price CardMarket]]*tbl_MTG_Set[[#This Row],[Play Booster Expected Market Value BotBox]]/tbl_MTG_Set[[#This Row],[Play Booster Sealed Market Value BotBox]]</f>
        <v>#VALUE!</v>
      </c>
      <c r="BN7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2" s="10" t="e">
        <f>tbl_MTG_Set[[#This Row],[Play Singles CardMarket Profit BotBox]]/tbl_MTG_Set[[#This Row],[Play Booster Cost]]</f>
        <v>#VALUE!</v>
      </c>
      <c r="BP712" s="10" t="b">
        <f>tbl_MTG_Set[[#This Row],[Play Singles CardMarket Profit BotBox]]&gt;0</f>
        <v>0</v>
      </c>
      <c r="BQ712" s="10"/>
      <c r="BR712" s="10"/>
      <c r="BS712" s="10"/>
      <c r="BT7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2" s="19" t="e">
        <f>tbl_MTG_Set[[#This Row],[Collector Singles CardMarket Profit MTG Stocks]]/tbl_MTG_Set[[#This Row],[Collector Booster Cost]]</f>
        <v>#N/A</v>
      </c>
      <c r="BW712" s="10" t="b">
        <f>tbl_MTG_Set[[#This Row],[Collector Singles CardMarket Profit MTG Stocks]]&gt;0</f>
        <v>0</v>
      </c>
      <c r="BX712" s="10"/>
      <c r="BY712" s="10"/>
      <c r="BZ7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2" s="10" t="e">
        <f>tbl_MTG_Set[[#This Row],[Collector Singles CardMarket Profit BotBox]]/tbl_MTG_Set[[#This Row],[Collector Booster Cost]]</f>
        <v>#N/A</v>
      </c>
      <c r="CC712" s="10" t="b">
        <f>tbl_MTG_Set[[#This Row],[Collector Singles CardMarket Profit BotBox]]&gt;0</f>
        <v>0</v>
      </c>
      <c r="CD7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3" spans="1:86" hidden="1">
      <c r="A713">
        <v>745</v>
      </c>
      <c r="B713" t="s">
        <v>886</v>
      </c>
      <c r="C713">
        <v>12</v>
      </c>
      <c r="D713" s="3">
        <v>40544</v>
      </c>
      <c r="F713" t="s">
        <v>174</v>
      </c>
      <c r="G713">
        <v>1436</v>
      </c>
      <c r="H713">
        <f ca="1">MONTH(NOW())+12*YEAR(NOW())-MONTH(tbl_MTG_Set[[#This Row],[Released On]])-12*YEAR(tbl_MTG_Set[[#This Row],[Released On]])</f>
        <v>182</v>
      </c>
      <c r="I713" t="str">
        <f>_xlfn.XLOOKUP(tbl_MTG_Set[[#This Row],[Type Name]], tbl_MTG_Set_Type[Set Type], tbl_MTG_Set_Type[Index], "(Set Type not found)")</f>
        <v>(Set Type not found)</v>
      </c>
      <c r="J713" t="str">
        <f>_xlfn.XLOOKUP(tbl_MTG_Set[[#This Row],[Type Name]], tbl_MTG_Set_Type[Set Type], tbl_MTG_Set_Type[Buy Window Month Start], "(Set Type not found)")</f>
        <v>(Set Type not found)</v>
      </c>
      <c r="K713" s="3" t="e">
        <f>tbl_MTG_Set[[#This Row],[Released On]]+tbl_MTG_Set[[#This Row],[Buy Window Month Start]]*365.25/12</f>
        <v>#VALUE!</v>
      </c>
      <c r="L713" t="str">
        <f>_xlfn.XLOOKUP(tbl_MTG_Set[[#This Row],[Type Name]], tbl_MTG_Set_Type[Set Type], tbl_MTG_Set_Type[Buy Window Month End], "(Set Type not found)", 0, 1)</f>
        <v>(Set Type not found)</v>
      </c>
      <c r="M713" s="3" t="e">
        <f>tbl_MTG_Set[[#This Row],[Released On]]+tbl_MTG_Set[[#This Row],[Buy Window Month End]]*365.25/12</f>
        <v>#VALUE!</v>
      </c>
      <c r="N713" s="3" t="e">
        <f ca="1">AND(NOW()&gt;=tbl_MTG_Set[[#This Row],[Buy Window Start]], NOW()&lt;=tbl_MTG_Set[[#This Row],[Buy Window End]])</f>
        <v>#VALUE!</v>
      </c>
      <c r="O713" t="str">
        <f>_xlfn.XLOOKUP(tbl_MTG_Set[[#This Row],[Type Name]], tbl_MTG_Set_Type[Set Type], tbl_MTG_Set_Type[Heavy Printing Window Month Start], "(Set Type not found)", 0, 1)</f>
        <v>(Set Type not found)</v>
      </c>
      <c r="P713" s="3" t="e">
        <f>tbl_MTG_Set[[#This Row],[Released On]]+tbl_MTG_Set[[#This Row],[Heavy Printing Window Month Start]]*365.25/12</f>
        <v>#VALUE!</v>
      </c>
      <c r="Q713" t="str">
        <f>_xlfn.XLOOKUP(tbl_MTG_Set[[#This Row],[Type Name]], tbl_MTG_Set_Type[Set Type], tbl_MTG_Set_Type[Heavy Printing Window Month End], "(Set Type not found)", 0, 1)</f>
        <v>(Set Type not found)</v>
      </c>
      <c r="R713" s="3" t="e">
        <f>tbl_MTG_Set[[#This Row],[Released On]]+tbl_MTG_Set[[#This Row],[Heavy Printing Window Month End]]*365.25/12</f>
        <v>#VALUE!</v>
      </c>
      <c r="S713" s="3" t="e">
        <f ca="1">AND(NOW()&gt;=tbl_MTG_Set[[#This Row],[Heavy Printing Window Start]], NOW()&lt;=tbl_MTG_Set[[#This Row],[Heavy Printing Window End]])</f>
        <v>#VALUE!</v>
      </c>
      <c r="T713" t="str">
        <f>_xlfn.XLOOKUP(tbl_MTG_Set[[#This Row],[Type Name]], tbl_MTG_Set_Type[Set Type], tbl_MTG_Set_Type[Sell Window Month Start], "(Set Type not found)", 0, 1)</f>
        <v>(Set Type not found)</v>
      </c>
      <c r="U713" s="3" t="e">
        <f>tbl_MTG_Set[[#This Row],[Released On]]+tbl_MTG_Set[[#This Row],[Sell Window Month Start]]*365.25/12</f>
        <v>#VALUE!</v>
      </c>
      <c r="V713" t="str">
        <f>_xlfn.XLOOKUP(tbl_MTG_Set[[#This Row],[Type Name]], tbl_MTG_Set_Type[Set Type], tbl_MTG_Set_Type[Sell Window Month End], "(Set Type not found)", 0, 1)</f>
        <v>(Set Type not found)</v>
      </c>
      <c r="W713" s="3" t="e">
        <f>tbl_MTG_Set[[#This Row],[Released On]]+tbl_MTG_Set[[#This Row],[Sell Window Month End]]*365.25/12</f>
        <v>#VALUE!</v>
      </c>
      <c r="X713" s="3" t="e">
        <f ca="1">AND(NOW()&gt;=tbl_MTG_Set[[#This Row],[Sell Window Start]], NOW()&lt;=tbl_MTG_Set[[#This Row],[Sell Window End]])</f>
        <v>#VALUE!</v>
      </c>
      <c r="AG713" s="10"/>
      <c r="AH713" s="10"/>
      <c r="AM713" s="10" t="str" cm="1">
        <f t="array" ref="AM7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3" s="10" t="str" cm="1">
        <f t="array" ref="AN7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3" s="4" t="e">
        <f>_xlfn.XLOOKUP(tbl_MTG_Set[[#This Row],[Play Booster Box Product Id]], tbl_Product[Product Id], tbl_Product[Pack Size])</f>
        <v>#N/A</v>
      </c>
      <c r="AP713" s="10" t="e">
        <f>(tbl_MTG_Set[[#This Row],[Play Booster Box Cost]]+v_Item_Shipping_Cost_In)/tbl_MTG_Set[[#This Row],[Play Booster Box Size]]</f>
        <v>#VALUE!</v>
      </c>
      <c r="AQ713" s="10" t="str" cm="1">
        <f t="array" ref="AQ7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3" s="10"/>
      <c r="AS713" s="10"/>
      <c r="AT713" s="17" t="e">
        <f>tbl_MTG_Set[[#This Row],[Play Booster CardMarket Profit]]/tbl_MTG_Set[[#This Row],[Play Booster Cost]]</f>
        <v>#VALUE!</v>
      </c>
      <c r="AU713" s="10" t="e">
        <f>_xlfn.XLOOKUP(tbl_MTG_Set[[#This Row],[Collector Booster Box Product Id]], tbl_Product[Product Id], tbl_Product[Min Cost])</f>
        <v>#N/A</v>
      </c>
      <c r="AV713" s="10" t="e">
        <f>_xlfn.XLOOKUP(tbl_MTG_Set[[#This Row],[Collector Booster Box Product Id]], tbl_Product[Product Id], tbl_Product[Best Source])</f>
        <v>#N/A</v>
      </c>
      <c r="AW713" s="4" t="e">
        <f>_xlfn.XLOOKUP(tbl_MTG_Set[[#This Row],[Collector Booster Box Product Id]], tbl_Product[Product Id], tbl_Product[Pack Size])</f>
        <v>#N/A</v>
      </c>
      <c r="AX713" s="10" t="e">
        <f>(tbl_MTG_Set[[#This Row],[Collector Booster Box Cost]] + v_Item_Shipping_Cost_In) / tbl_MTG_Set[[#This Row],[Collector Booster Box Size]]</f>
        <v>#N/A</v>
      </c>
      <c r="AY713" s="10" t="str" cm="1">
        <f t="array" ref="AY7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3" s="10"/>
      <c r="BA7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3" s="17" t="e">
        <f>tbl_MTG_Set[[#This Row],[Collector Booster CardMarket Profit]]/tbl_MTG_Set[[#This Row],[Collector Booster Cost]]</f>
        <v>#N/A</v>
      </c>
      <c r="BC713" s="10"/>
      <c r="BF7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3" s="11" t="e">
        <f>tbl_MTG_Set[[#This Row],[Play Singles CardMarket Profit MTG Stocks]]/tbl_MTG_Set[[#This Row],[Play Booster Cost]]</f>
        <v>#VALUE!</v>
      </c>
      <c r="BI713" s="11" t="b">
        <f>tbl_MTG_Set[[#This Row],[Play Singles CardMarket Profit MTG Stocks]]&gt;0</f>
        <v>0</v>
      </c>
      <c r="BM713" s="10" t="e">
        <f>tbl_MTG_Set[[#This Row],[Play Booster Sell Price CardMarket]]*tbl_MTG_Set[[#This Row],[Play Booster Expected Market Value BotBox]]/tbl_MTG_Set[[#This Row],[Play Booster Sealed Market Value BotBox]]</f>
        <v>#VALUE!</v>
      </c>
      <c r="BN7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3" s="10" t="e">
        <f>tbl_MTG_Set[[#This Row],[Play Singles CardMarket Profit BotBox]]/tbl_MTG_Set[[#This Row],[Play Booster Cost]]</f>
        <v>#VALUE!</v>
      </c>
      <c r="BP713" s="10" t="b">
        <f>tbl_MTG_Set[[#This Row],[Play Singles CardMarket Profit BotBox]]&gt;0</f>
        <v>0</v>
      </c>
      <c r="BQ713" s="10"/>
      <c r="BR713" s="10"/>
      <c r="BS713" s="10"/>
      <c r="BT7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3" s="19" t="e">
        <f>tbl_MTG_Set[[#This Row],[Collector Singles CardMarket Profit MTG Stocks]]/tbl_MTG_Set[[#This Row],[Collector Booster Cost]]</f>
        <v>#N/A</v>
      </c>
      <c r="BW713" s="10" t="b">
        <f>tbl_MTG_Set[[#This Row],[Collector Singles CardMarket Profit MTG Stocks]]&gt;0</f>
        <v>0</v>
      </c>
      <c r="BX713" s="10"/>
      <c r="BY713" s="10"/>
      <c r="BZ7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3" s="10" t="e">
        <f>tbl_MTG_Set[[#This Row],[Collector Singles CardMarket Profit BotBox]]/tbl_MTG_Set[[#This Row],[Collector Booster Cost]]</f>
        <v>#N/A</v>
      </c>
      <c r="CC713" s="10" t="b">
        <f>tbl_MTG_Set[[#This Row],[Collector Singles CardMarket Profit BotBox]]&gt;0</f>
        <v>0</v>
      </c>
      <c r="CD7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4" spans="1:86" hidden="1">
      <c r="A714">
        <v>746</v>
      </c>
      <c r="B714" t="s">
        <v>887</v>
      </c>
      <c r="C714">
        <v>34</v>
      </c>
      <c r="D714" s="3">
        <v>40501</v>
      </c>
      <c r="F714" t="s">
        <v>174</v>
      </c>
      <c r="G714">
        <v>1438</v>
      </c>
      <c r="H714">
        <f ca="1">MONTH(NOW())+12*YEAR(NOW())-MONTH(tbl_MTG_Set[[#This Row],[Released On]])-12*YEAR(tbl_MTG_Set[[#This Row],[Released On]])</f>
        <v>184</v>
      </c>
      <c r="I714" t="str">
        <f>_xlfn.XLOOKUP(tbl_MTG_Set[[#This Row],[Type Name]], tbl_MTG_Set_Type[Set Type], tbl_MTG_Set_Type[Index], "(Set Type not found)")</f>
        <v>(Set Type not found)</v>
      </c>
      <c r="J714" t="str">
        <f>_xlfn.XLOOKUP(tbl_MTG_Set[[#This Row],[Type Name]], tbl_MTG_Set_Type[Set Type], tbl_MTG_Set_Type[Buy Window Month Start], "(Set Type not found)")</f>
        <v>(Set Type not found)</v>
      </c>
      <c r="K714" s="3" t="e">
        <f>tbl_MTG_Set[[#This Row],[Released On]]+tbl_MTG_Set[[#This Row],[Buy Window Month Start]]*365.25/12</f>
        <v>#VALUE!</v>
      </c>
      <c r="L714" t="str">
        <f>_xlfn.XLOOKUP(tbl_MTG_Set[[#This Row],[Type Name]], tbl_MTG_Set_Type[Set Type], tbl_MTG_Set_Type[Buy Window Month End], "(Set Type not found)", 0, 1)</f>
        <v>(Set Type not found)</v>
      </c>
      <c r="M714" s="3" t="e">
        <f>tbl_MTG_Set[[#This Row],[Released On]]+tbl_MTG_Set[[#This Row],[Buy Window Month End]]*365.25/12</f>
        <v>#VALUE!</v>
      </c>
      <c r="N714" s="3" t="e">
        <f ca="1">AND(NOW()&gt;=tbl_MTG_Set[[#This Row],[Buy Window Start]], NOW()&lt;=tbl_MTG_Set[[#This Row],[Buy Window End]])</f>
        <v>#VALUE!</v>
      </c>
      <c r="O714" t="str">
        <f>_xlfn.XLOOKUP(tbl_MTG_Set[[#This Row],[Type Name]], tbl_MTG_Set_Type[Set Type], tbl_MTG_Set_Type[Heavy Printing Window Month Start], "(Set Type not found)", 0, 1)</f>
        <v>(Set Type not found)</v>
      </c>
      <c r="P714" s="3" t="e">
        <f>tbl_MTG_Set[[#This Row],[Released On]]+tbl_MTG_Set[[#This Row],[Heavy Printing Window Month Start]]*365.25/12</f>
        <v>#VALUE!</v>
      </c>
      <c r="Q714" t="str">
        <f>_xlfn.XLOOKUP(tbl_MTG_Set[[#This Row],[Type Name]], tbl_MTG_Set_Type[Set Type], tbl_MTG_Set_Type[Heavy Printing Window Month End], "(Set Type not found)", 0, 1)</f>
        <v>(Set Type not found)</v>
      </c>
      <c r="R714" s="3" t="e">
        <f>tbl_MTG_Set[[#This Row],[Released On]]+tbl_MTG_Set[[#This Row],[Heavy Printing Window Month End]]*365.25/12</f>
        <v>#VALUE!</v>
      </c>
      <c r="S714" s="3" t="e">
        <f ca="1">AND(NOW()&gt;=tbl_MTG_Set[[#This Row],[Heavy Printing Window Start]], NOW()&lt;=tbl_MTG_Set[[#This Row],[Heavy Printing Window End]])</f>
        <v>#VALUE!</v>
      </c>
      <c r="T714" t="str">
        <f>_xlfn.XLOOKUP(tbl_MTG_Set[[#This Row],[Type Name]], tbl_MTG_Set_Type[Set Type], tbl_MTG_Set_Type[Sell Window Month Start], "(Set Type not found)", 0, 1)</f>
        <v>(Set Type not found)</v>
      </c>
      <c r="U714" s="3" t="e">
        <f>tbl_MTG_Set[[#This Row],[Released On]]+tbl_MTG_Set[[#This Row],[Sell Window Month Start]]*365.25/12</f>
        <v>#VALUE!</v>
      </c>
      <c r="V714" t="str">
        <f>_xlfn.XLOOKUP(tbl_MTG_Set[[#This Row],[Type Name]], tbl_MTG_Set_Type[Set Type], tbl_MTG_Set_Type[Sell Window Month End], "(Set Type not found)", 0, 1)</f>
        <v>(Set Type not found)</v>
      </c>
      <c r="W714" s="3" t="e">
        <f>tbl_MTG_Set[[#This Row],[Released On]]+tbl_MTG_Set[[#This Row],[Sell Window Month End]]*365.25/12</f>
        <v>#VALUE!</v>
      </c>
      <c r="X714" s="3" t="e">
        <f ca="1">AND(NOW()&gt;=tbl_MTG_Set[[#This Row],[Sell Window Start]], NOW()&lt;=tbl_MTG_Set[[#This Row],[Sell Window End]])</f>
        <v>#VALUE!</v>
      </c>
      <c r="AG714" s="10"/>
      <c r="AH714" s="10"/>
      <c r="AM714" s="10" t="str" cm="1">
        <f t="array" ref="AM7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4" s="10" t="str" cm="1">
        <f t="array" ref="AN7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4" s="4" t="e">
        <f>_xlfn.XLOOKUP(tbl_MTG_Set[[#This Row],[Play Booster Box Product Id]], tbl_Product[Product Id], tbl_Product[Pack Size])</f>
        <v>#N/A</v>
      </c>
      <c r="AP714" s="10" t="e">
        <f>(tbl_MTG_Set[[#This Row],[Play Booster Box Cost]]+v_Item_Shipping_Cost_In)/tbl_MTG_Set[[#This Row],[Play Booster Box Size]]</f>
        <v>#VALUE!</v>
      </c>
      <c r="AQ714" s="10" t="str" cm="1">
        <f t="array" ref="AQ7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4" s="10"/>
      <c r="AS714" s="10"/>
      <c r="AT714" s="17" t="e">
        <f>tbl_MTG_Set[[#This Row],[Play Booster CardMarket Profit]]/tbl_MTG_Set[[#This Row],[Play Booster Cost]]</f>
        <v>#VALUE!</v>
      </c>
      <c r="AU714" s="10" t="e">
        <f>_xlfn.XLOOKUP(tbl_MTG_Set[[#This Row],[Collector Booster Box Product Id]], tbl_Product[Product Id], tbl_Product[Min Cost])</f>
        <v>#N/A</v>
      </c>
      <c r="AV714" s="10" t="e">
        <f>_xlfn.XLOOKUP(tbl_MTG_Set[[#This Row],[Collector Booster Box Product Id]], tbl_Product[Product Id], tbl_Product[Best Source])</f>
        <v>#N/A</v>
      </c>
      <c r="AW714" s="4" t="e">
        <f>_xlfn.XLOOKUP(tbl_MTG_Set[[#This Row],[Collector Booster Box Product Id]], tbl_Product[Product Id], tbl_Product[Pack Size])</f>
        <v>#N/A</v>
      </c>
      <c r="AX714" s="10" t="e">
        <f>(tbl_MTG_Set[[#This Row],[Collector Booster Box Cost]] + v_Item_Shipping_Cost_In) / tbl_MTG_Set[[#This Row],[Collector Booster Box Size]]</f>
        <v>#N/A</v>
      </c>
      <c r="AY714" s="10" t="str" cm="1">
        <f t="array" ref="AY7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4" s="10"/>
      <c r="BA7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4" s="17" t="e">
        <f>tbl_MTG_Set[[#This Row],[Collector Booster CardMarket Profit]]/tbl_MTG_Set[[#This Row],[Collector Booster Cost]]</f>
        <v>#N/A</v>
      </c>
      <c r="BC714" s="10"/>
      <c r="BF7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4" s="11" t="e">
        <f>tbl_MTG_Set[[#This Row],[Play Singles CardMarket Profit MTG Stocks]]/tbl_MTG_Set[[#This Row],[Play Booster Cost]]</f>
        <v>#VALUE!</v>
      </c>
      <c r="BI714" s="11" t="b">
        <f>tbl_MTG_Set[[#This Row],[Play Singles CardMarket Profit MTG Stocks]]&gt;0</f>
        <v>0</v>
      </c>
      <c r="BM714" s="10" t="e">
        <f>tbl_MTG_Set[[#This Row],[Play Booster Sell Price CardMarket]]*tbl_MTG_Set[[#This Row],[Play Booster Expected Market Value BotBox]]/tbl_MTG_Set[[#This Row],[Play Booster Sealed Market Value BotBox]]</f>
        <v>#VALUE!</v>
      </c>
      <c r="BN7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4" s="10" t="e">
        <f>tbl_MTG_Set[[#This Row],[Play Singles CardMarket Profit BotBox]]/tbl_MTG_Set[[#This Row],[Play Booster Cost]]</f>
        <v>#VALUE!</v>
      </c>
      <c r="BP714" s="10" t="b">
        <f>tbl_MTG_Set[[#This Row],[Play Singles CardMarket Profit BotBox]]&gt;0</f>
        <v>0</v>
      </c>
      <c r="BQ714" s="10"/>
      <c r="BR714" s="10"/>
      <c r="BS714" s="10"/>
      <c r="BT7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4" s="19" t="e">
        <f>tbl_MTG_Set[[#This Row],[Collector Singles CardMarket Profit MTG Stocks]]/tbl_MTG_Set[[#This Row],[Collector Booster Cost]]</f>
        <v>#N/A</v>
      </c>
      <c r="BW714" s="10" t="b">
        <f>tbl_MTG_Set[[#This Row],[Collector Singles CardMarket Profit MTG Stocks]]&gt;0</f>
        <v>0</v>
      </c>
      <c r="BX714" s="10"/>
      <c r="BY714" s="10"/>
      <c r="BZ7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4" s="10" t="e">
        <f>tbl_MTG_Set[[#This Row],[Collector Singles CardMarket Profit BotBox]]/tbl_MTG_Set[[#This Row],[Collector Booster Cost]]</f>
        <v>#N/A</v>
      </c>
      <c r="CC714" s="10" t="b">
        <f>tbl_MTG_Set[[#This Row],[Collector Singles CardMarket Profit BotBox]]&gt;0</f>
        <v>0</v>
      </c>
      <c r="CD7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5" spans="1:86" hidden="1">
      <c r="A715">
        <v>747</v>
      </c>
      <c r="B715" t="s">
        <v>888</v>
      </c>
      <c r="C715">
        <v>197</v>
      </c>
      <c r="D715" s="3">
        <v>40490</v>
      </c>
      <c r="F715" t="s">
        <v>174</v>
      </c>
      <c r="G715">
        <v>1440</v>
      </c>
      <c r="H715">
        <f ca="1">MONTH(NOW())+12*YEAR(NOW())-MONTH(tbl_MTG_Set[[#This Row],[Released On]])-12*YEAR(tbl_MTG_Set[[#This Row],[Released On]])</f>
        <v>184</v>
      </c>
      <c r="I715" t="str">
        <f>_xlfn.XLOOKUP(tbl_MTG_Set[[#This Row],[Type Name]], tbl_MTG_Set_Type[Set Type], tbl_MTG_Set_Type[Index], "(Set Type not found)")</f>
        <v>(Set Type not found)</v>
      </c>
      <c r="J715" t="str">
        <f>_xlfn.XLOOKUP(tbl_MTG_Set[[#This Row],[Type Name]], tbl_MTG_Set_Type[Set Type], tbl_MTG_Set_Type[Buy Window Month Start], "(Set Type not found)")</f>
        <v>(Set Type not found)</v>
      </c>
      <c r="K715" s="3" t="e">
        <f>tbl_MTG_Set[[#This Row],[Released On]]+tbl_MTG_Set[[#This Row],[Buy Window Month Start]]*365.25/12</f>
        <v>#VALUE!</v>
      </c>
      <c r="L715" t="str">
        <f>_xlfn.XLOOKUP(tbl_MTG_Set[[#This Row],[Type Name]], tbl_MTG_Set_Type[Set Type], tbl_MTG_Set_Type[Buy Window Month End], "(Set Type not found)", 0, 1)</f>
        <v>(Set Type not found)</v>
      </c>
      <c r="M715" s="3" t="e">
        <f>tbl_MTG_Set[[#This Row],[Released On]]+tbl_MTG_Set[[#This Row],[Buy Window Month End]]*365.25/12</f>
        <v>#VALUE!</v>
      </c>
      <c r="N715" s="3" t="e">
        <f ca="1">AND(NOW()&gt;=tbl_MTG_Set[[#This Row],[Buy Window Start]], NOW()&lt;=tbl_MTG_Set[[#This Row],[Buy Window End]])</f>
        <v>#VALUE!</v>
      </c>
      <c r="O715" t="str">
        <f>_xlfn.XLOOKUP(tbl_MTG_Set[[#This Row],[Type Name]], tbl_MTG_Set_Type[Set Type], tbl_MTG_Set_Type[Heavy Printing Window Month Start], "(Set Type not found)", 0, 1)</f>
        <v>(Set Type not found)</v>
      </c>
      <c r="P715" s="3" t="e">
        <f>tbl_MTG_Set[[#This Row],[Released On]]+tbl_MTG_Set[[#This Row],[Heavy Printing Window Month Start]]*365.25/12</f>
        <v>#VALUE!</v>
      </c>
      <c r="Q715" t="str">
        <f>_xlfn.XLOOKUP(tbl_MTG_Set[[#This Row],[Type Name]], tbl_MTG_Set_Type[Set Type], tbl_MTG_Set_Type[Heavy Printing Window Month End], "(Set Type not found)", 0, 1)</f>
        <v>(Set Type not found)</v>
      </c>
      <c r="R715" s="3" t="e">
        <f>tbl_MTG_Set[[#This Row],[Released On]]+tbl_MTG_Set[[#This Row],[Heavy Printing Window Month End]]*365.25/12</f>
        <v>#VALUE!</v>
      </c>
      <c r="S715" s="3" t="e">
        <f ca="1">AND(NOW()&gt;=tbl_MTG_Set[[#This Row],[Heavy Printing Window Start]], NOW()&lt;=tbl_MTG_Set[[#This Row],[Heavy Printing Window End]])</f>
        <v>#VALUE!</v>
      </c>
      <c r="T715" t="str">
        <f>_xlfn.XLOOKUP(tbl_MTG_Set[[#This Row],[Type Name]], tbl_MTG_Set_Type[Set Type], tbl_MTG_Set_Type[Sell Window Month Start], "(Set Type not found)", 0, 1)</f>
        <v>(Set Type not found)</v>
      </c>
      <c r="U715" s="3" t="e">
        <f>tbl_MTG_Set[[#This Row],[Released On]]+tbl_MTG_Set[[#This Row],[Sell Window Month Start]]*365.25/12</f>
        <v>#VALUE!</v>
      </c>
      <c r="V715" t="str">
        <f>_xlfn.XLOOKUP(tbl_MTG_Set[[#This Row],[Type Name]], tbl_MTG_Set_Type[Set Type], tbl_MTG_Set_Type[Sell Window Month End], "(Set Type not found)", 0, 1)</f>
        <v>(Set Type not found)</v>
      </c>
      <c r="W715" s="3" t="e">
        <f>tbl_MTG_Set[[#This Row],[Released On]]+tbl_MTG_Set[[#This Row],[Sell Window Month End]]*365.25/12</f>
        <v>#VALUE!</v>
      </c>
      <c r="X715" s="3" t="e">
        <f ca="1">AND(NOW()&gt;=tbl_MTG_Set[[#This Row],[Sell Window Start]], NOW()&lt;=tbl_MTG_Set[[#This Row],[Sell Window End]])</f>
        <v>#VALUE!</v>
      </c>
      <c r="AG715" s="10"/>
      <c r="AH715" s="10"/>
      <c r="AM715" s="10" t="str" cm="1">
        <f t="array" ref="AM7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5" s="10" t="str" cm="1">
        <f t="array" ref="AN7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5" s="4" t="e">
        <f>_xlfn.XLOOKUP(tbl_MTG_Set[[#This Row],[Play Booster Box Product Id]], tbl_Product[Product Id], tbl_Product[Pack Size])</f>
        <v>#N/A</v>
      </c>
      <c r="AP715" s="10" t="e">
        <f>(tbl_MTG_Set[[#This Row],[Play Booster Box Cost]]+v_Item_Shipping_Cost_In)/tbl_MTG_Set[[#This Row],[Play Booster Box Size]]</f>
        <v>#VALUE!</v>
      </c>
      <c r="AQ715" s="10" t="str" cm="1">
        <f t="array" ref="AQ7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5" s="10"/>
      <c r="AS715" s="10"/>
      <c r="AT715" s="17" t="e">
        <f>tbl_MTG_Set[[#This Row],[Play Booster CardMarket Profit]]/tbl_MTG_Set[[#This Row],[Play Booster Cost]]</f>
        <v>#VALUE!</v>
      </c>
      <c r="AU715" s="10" t="e">
        <f>_xlfn.XLOOKUP(tbl_MTG_Set[[#This Row],[Collector Booster Box Product Id]], tbl_Product[Product Id], tbl_Product[Min Cost])</f>
        <v>#N/A</v>
      </c>
      <c r="AV715" s="10" t="e">
        <f>_xlfn.XLOOKUP(tbl_MTG_Set[[#This Row],[Collector Booster Box Product Id]], tbl_Product[Product Id], tbl_Product[Best Source])</f>
        <v>#N/A</v>
      </c>
      <c r="AW715" s="4" t="e">
        <f>_xlfn.XLOOKUP(tbl_MTG_Set[[#This Row],[Collector Booster Box Product Id]], tbl_Product[Product Id], tbl_Product[Pack Size])</f>
        <v>#N/A</v>
      </c>
      <c r="AX715" s="10" t="e">
        <f>(tbl_MTG_Set[[#This Row],[Collector Booster Box Cost]] + v_Item_Shipping_Cost_In) / tbl_MTG_Set[[#This Row],[Collector Booster Box Size]]</f>
        <v>#N/A</v>
      </c>
      <c r="AY715" s="10" t="str" cm="1">
        <f t="array" ref="AY7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5" s="10"/>
      <c r="BA7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5" s="17" t="e">
        <f>tbl_MTG_Set[[#This Row],[Collector Booster CardMarket Profit]]/tbl_MTG_Set[[#This Row],[Collector Booster Cost]]</f>
        <v>#N/A</v>
      </c>
      <c r="BC715" s="10"/>
      <c r="BF7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5" s="11" t="e">
        <f>tbl_MTG_Set[[#This Row],[Play Singles CardMarket Profit MTG Stocks]]/tbl_MTG_Set[[#This Row],[Play Booster Cost]]</f>
        <v>#VALUE!</v>
      </c>
      <c r="BI715" s="11" t="b">
        <f>tbl_MTG_Set[[#This Row],[Play Singles CardMarket Profit MTG Stocks]]&gt;0</f>
        <v>0</v>
      </c>
      <c r="BM715" s="10" t="e">
        <f>tbl_MTG_Set[[#This Row],[Play Booster Sell Price CardMarket]]*tbl_MTG_Set[[#This Row],[Play Booster Expected Market Value BotBox]]/tbl_MTG_Set[[#This Row],[Play Booster Sealed Market Value BotBox]]</f>
        <v>#VALUE!</v>
      </c>
      <c r="BN7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5" s="10" t="e">
        <f>tbl_MTG_Set[[#This Row],[Play Singles CardMarket Profit BotBox]]/tbl_MTG_Set[[#This Row],[Play Booster Cost]]</f>
        <v>#VALUE!</v>
      </c>
      <c r="BP715" s="10" t="b">
        <f>tbl_MTG_Set[[#This Row],[Play Singles CardMarket Profit BotBox]]&gt;0</f>
        <v>0</v>
      </c>
      <c r="BQ715" s="10"/>
      <c r="BR715" s="10"/>
      <c r="BS715" s="10"/>
      <c r="BT7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5" s="19" t="e">
        <f>tbl_MTG_Set[[#This Row],[Collector Singles CardMarket Profit MTG Stocks]]/tbl_MTG_Set[[#This Row],[Collector Booster Cost]]</f>
        <v>#N/A</v>
      </c>
      <c r="BW715" s="10" t="b">
        <f>tbl_MTG_Set[[#This Row],[Collector Singles CardMarket Profit MTG Stocks]]&gt;0</f>
        <v>0</v>
      </c>
      <c r="BX715" s="10"/>
      <c r="BY715" s="10"/>
      <c r="BZ7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5" s="10" t="e">
        <f>tbl_MTG_Set[[#This Row],[Collector Singles CardMarket Profit BotBox]]/tbl_MTG_Set[[#This Row],[Collector Booster Cost]]</f>
        <v>#N/A</v>
      </c>
      <c r="CC715" s="10" t="b">
        <f>tbl_MTG_Set[[#This Row],[Collector Singles CardMarket Profit BotBox]]&gt;0</f>
        <v>0</v>
      </c>
      <c r="CD7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6" spans="1:86" hidden="1">
      <c r="A716">
        <v>748</v>
      </c>
      <c r="B716" t="s">
        <v>889</v>
      </c>
      <c r="C716">
        <v>249</v>
      </c>
      <c r="D716" s="3">
        <v>40452</v>
      </c>
      <c r="F716" t="s">
        <v>174</v>
      </c>
      <c r="G716">
        <v>1442</v>
      </c>
      <c r="H716">
        <f ca="1">MONTH(NOW())+12*YEAR(NOW())-MONTH(tbl_MTG_Set[[#This Row],[Released On]])-12*YEAR(tbl_MTG_Set[[#This Row],[Released On]])</f>
        <v>185</v>
      </c>
      <c r="I716" t="str">
        <f>_xlfn.XLOOKUP(tbl_MTG_Set[[#This Row],[Type Name]], tbl_MTG_Set_Type[Set Type], tbl_MTG_Set_Type[Index], "(Set Type not found)")</f>
        <v>(Set Type not found)</v>
      </c>
      <c r="J716" t="str">
        <f>_xlfn.XLOOKUP(tbl_MTG_Set[[#This Row],[Type Name]], tbl_MTG_Set_Type[Set Type], tbl_MTG_Set_Type[Buy Window Month Start], "(Set Type not found)")</f>
        <v>(Set Type not found)</v>
      </c>
      <c r="K716" s="3" t="e">
        <f>tbl_MTG_Set[[#This Row],[Released On]]+tbl_MTG_Set[[#This Row],[Buy Window Month Start]]*365.25/12</f>
        <v>#VALUE!</v>
      </c>
      <c r="L716" t="str">
        <f>_xlfn.XLOOKUP(tbl_MTG_Set[[#This Row],[Type Name]], tbl_MTG_Set_Type[Set Type], tbl_MTG_Set_Type[Buy Window Month End], "(Set Type not found)", 0, 1)</f>
        <v>(Set Type not found)</v>
      </c>
      <c r="M716" s="3" t="e">
        <f>tbl_MTG_Set[[#This Row],[Released On]]+tbl_MTG_Set[[#This Row],[Buy Window Month End]]*365.25/12</f>
        <v>#VALUE!</v>
      </c>
      <c r="N716" s="3" t="e">
        <f ca="1">AND(NOW()&gt;=tbl_MTG_Set[[#This Row],[Buy Window Start]], NOW()&lt;=tbl_MTG_Set[[#This Row],[Buy Window End]])</f>
        <v>#VALUE!</v>
      </c>
      <c r="O716" t="str">
        <f>_xlfn.XLOOKUP(tbl_MTG_Set[[#This Row],[Type Name]], tbl_MTG_Set_Type[Set Type], tbl_MTG_Set_Type[Heavy Printing Window Month Start], "(Set Type not found)", 0, 1)</f>
        <v>(Set Type not found)</v>
      </c>
      <c r="P716" s="3" t="e">
        <f>tbl_MTG_Set[[#This Row],[Released On]]+tbl_MTG_Set[[#This Row],[Heavy Printing Window Month Start]]*365.25/12</f>
        <v>#VALUE!</v>
      </c>
      <c r="Q716" t="str">
        <f>_xlfn.XLOOKUP(tbl_MTG_Set[[#This Row],[Type Name]], tbl_MTG_Set_Type[Set Type], tbl_MTG_Set_Type[Heavy Printing Window Month End], "(Set Type not found)", 0, 1)</f>
        <v>(Set Type not found)</v>
      </c>
      <c r="R716" s="3" t="e">
        <f>tbl_MTG_Set[[#This Row],[Released On]]+tbl_MTG_Set[[#This Row],[Heavy Printing Window Month End]]*365.25/12</f>
        <v>#VALUE!</v>
      </c>
      <c r="S716" s="3" t="e">
        <f ca="1">AND(NOW()&gt;=tbl_MTG_Set[[#This Row],[Heavy Printing Window Start]], NOW()&lt;=tbl_MTG_Set[[#This Row],[Heavy Printing Window End]])</f>
        <v>#VALUE!</v>
      </c>
      <c r="T716" t="str">
        <f>_xlfn.XLOOKUP(tbl_MTG_Set[[#This Row],[Type Name]], tbl_MTG_Set_Type[Set Type], tbl_MTG_Set_Type[Sell Window Month Start], "(Set Type not found)", 0, 1)</f>
        <v>(Set Type not found)</v>
      </c>
      <c r="U716" s="3" t="e">
        <f>tbl_MTG_Set[[#This Row],[Released On]]+tbl_MTG_Set[[#This Row],[Sell Window Month Start]]*365.25/12</f>
        <v>#VALUE!</v>
      </c>
      <c r="V716" t="str">
        <f>_xlfn.XLOOKUP(tbl_MTG_Set[[#This Row],[Type Name]], tbl_MTG_Set_Type[Set Type], tbl_MTG_Set_Type[Sell Window Month End], "(Set Type not found)", 0, 1)</f>
        <v>(Set Type not found)</v>
      </c>
      <c r="W716" s="3" t="e">
        <f>tbl_MTG_Set[[#This Row],[Released On]]+tbl_MTG_Set[[#This Row],[Sell Window Month End]]*365.25/12</f>
        <v>#VALUE!</v>
      </c>
      <c r="X716" s="3" t="e">
        <f ca="1">AND(NOW()&gt;=tbl_MTG_Set[[#This Row],[Sell Window Start]], NOW()&lt;=tbl_MTG_Set[[#This Row],[Sell Window End]])</f>
        <v>#VALUE!</v>
      </c>
      <c r="AG716" s="10"/>
      <c r="AH716" s="10"/>
      <c r="AM716" s="10" t="str" cm="1">
        <f t="array" ref="AM7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6" s="10" t="str" cm="1">
        <f t="array" ref="AN7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6" s="4" t="e">
        <f>_xlfn.XLOOKUP(tbl_MTG_Set[[#This Row],[Play Booster Box Product Id]], tbl_Product[Product Id], tbl_Product[Pack Size])</f>
        <v>#N/A</v>
      </c>
      <c r="AP716" s="10" t="e">
        <f>(tbl_MTG_Set[[#This Row],[Play Booster Box Cost]]+v_Item_Shipping_Cost_In)/tbl_MTG_Set[[#This Row],[Play Booster Box Size]]</f>
        <v>#VALUE!</v>
      </c>
      <c r="AQ716" s="10" t="str" cm="1">
        <f t="array" ref="AQ7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6" s="10"/>
      <c r="AS716" s="10"/>
      <c r="AT716" s="17" t="e">
        <f>tbl_MTG_Set[[#This Row],[Play Booster CardMarket Profit]]/tbl_MTG_Set[[#This Row],[Play Booster Cost]]</f>
        <v>#VALUE!</v>
      </c>
      <c r="AU716" s="10" t="e">
        <f>_xlfn.XLOOKUP(tbl_MTG_Set[[#This Row],[Collector Booster Box Product Id]], tbl_Product[Product Id], tbl_Product[Min Cost])</f>
        <v>#N/A</v>
      </c>
      <c r="AV716" s="10" t="e">
        <f>_xlfn.XLOOKUP(tbl_MTG_Set[[#This Row],[Collector Booster Box Product Id]], tbl_Product[Product Id], tbl_Product[Best Source])</f>
        <v>#N/A</v>
      </c>
      <c r="AW716" s="4" t="e">
        <f>_xlfn.XLOOKUP(tbl_MTG_Set[[#This Row],[Collector Booster Box Product Id]], tbl_Product[Product Id], tbl_Product[Pack Size])</f>
        <v>#N/A</v>
      </c>
      <c r="AX716" s="10" t="e">
        <f>(tbl_MTG_Set[[#This Row],[Collector Booster Box Cost]] + v_Item_Shipping_Cost_In) / tbl_MTG_Set[[#This Row],[Collector Booster Box Size]]</f>
        <v>#N/A</v>
      </c>
      <c r="AY716" s="10" t="str" cm="1">
        <f t="array" ref="AY7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6" s="10"/>
      <c r="BA7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6" s="17" t="e">
        <f>tbl_MTG_Set[[#This Row],[Collector Booster CardMarket Profit]]/tbl_MTG_Set[[#This Row],[Collector Booster Cost]]</f>
        <v>#N/A</v>
      </c>
      <c r="BC716" s="10"/>
      <c r="BF7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6" s="11" t="e">
        <f>tbl_MTG_Set[[#This Row],[Play Singles CardMarket Profit MTG Stocks]]/tbl_MTG_Set[[#This Row],[Play Booster Cost]]</f>
        <v>#VALUE!</v>
      </c>
      <c r="BI716" s="11" t="b">
        <f>tbl_MTG_Set[[#This Row],[Play Singles CardMarket Profit MTG Stocks]]&gt;0</f>
        <v>0</v>
      </c>
      <c r="BM716" s="10" t="e">
        <f>tbl_MTG_Set[[#This Row],[Play Booster Sell Price CardMarket]]*tbl_MTG_Set[[#This Row],[Play Booster Expected Market Value BotBox]]/tbl_MTG_Set[[#This Row],[Play Booster Sealed Market Value BotBox]]</f>
        <v>#VALUE!</v>
      </c>
      <c r="BN7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6" s="10" t="e">
        <f>tbl_MTG_Set[[#This Row],[Play Singles CardMarket Profit BotBox]]/tbl_MTG_Set[[#This Row],[Play Booster Cost]]</f>
        <v>#VALUE!</v>
      </c>
      <c r="BP716" s="10" t="b">
        <f>tbl_MTG_Set[[#This Row],[Play Singles CardMarket Profit BotBox]]&gt;0</f>
        <v>0</v>
      </c>
      <c r="BQ716" s="10"/>
      <c r="BR716" s="10"/>
      <c r="BS716" s="10"/>
      <c r="BT7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6" s="19" t="e">
        <f>tbl_MTG_Set[[#This Row],[Collector Singles CardMarket Profit MTG Stocks]]/tbl_MTG_Set[[#This Row],[Collector Booster Cost]]</f>
        <v>#N/A</v>
      </c>
      <c r="BW716" s="10" t="b">
        <f>tbl_MTG_Set[[#This Row],[Collector Singles CardMarket Profit MTG Stocks]]&gt;0</f>
        <v>0</v>
      </c>
      <c r="BX716" s="10"/>
      <c r="BY716" s="10"/>
      <c r="BZ7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6" s="10" t="e">
        <f>tbl_MTG_Set[[#This Row],[Collector Singles CardMarket Profit BotBox]]/tbl_MTG_Set[[#This Row],[Collector Booster Cost]]</f>
        <v>#N/A</v>
      </c>
      <c r="CC716" s="10" t="b">
        <f>tbl_MTG_Set[[#This Row],[Collector Singles CardMarket Profit BotBox]]&gt;0</f>
        <v>0</v>
      </c>
      <c r="CD7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7" spans="1:86" hidden="1">
      <c r="A717">
        <v>749</v>
      </c>
      <c r="B717" t="s">
        <v>890</v>
      </c>
      <c r="C717">
        <v>4</v>
      </c>
      <c r="D717" s="3">
        <v>40451</v>
      </c>
      <c r="F717" t="s">
        <v>174</v>
      </c>
      <c r="G717">
        <v>1444</v>
      </c>
      <c r="H717">
        <f ca="1">MONTH(NOW())+12*YEAR(NOW())-MONTH(tbl_MTG_Set[[#This Row],[Released On]])-12*YEAR(tbl_MTG_Set[[#This Row],[Released On]])</f>
        <v>186</v>
      </c>
      <c r="I717" t="str">
        <f>_xlfn.XLOOKUP(tbl_MTG_Set[[#This Row],[Type Name]], tbl_MTG_Set_Type[Set Type], tbl_MTG_Set_Type[Index], "(Set Type not found)")</f>
        <v>(Set Type not found)</v>
      </c>
      <c r="J717" t="str">
        <f>_xlfn.XLOOKUP(tbl_MTG_Set[[#This Row],[Type Name]], tbl_MTG_Set_Type[Set Type], tbl_MTG_Set_Type[Buy Window Month Start], "(Set Type not found)")</f>
        <v>(Set Type not found)</v>
      </c>
      <c r="K717" s="3" t="e">
        <f>tbl_MTG_Set[[#This Row],[Released On]]+tbl_MTG_Set[[#This Row],[Buy Window Month Start]]*365.25/12</f>
        <v>#VALUE!</v>
      </c>
      <c r="L717" t="str">
        <f>_xlfn.XLOOKUP(tbl_MTG_Set[[#This Row],[Type Name]], tbl_MTG_Set_Type[Set Type], tbl_MTG_Set_Type[Buy Window Month End], "(Set Type not found)", 0, 1)</f>
        <v>(Set Type not found)</v>
      </c>
      <c r="M717" s="3" t="e">
        <f>tbl_MTG_Set[[#This Row],[Released On]]+tbl_MTG_Set[[#This Row],[Buy Window Month End]]*365.25/12</f>
        <v>#VALUE!</v>
      </c>
      <c r="N717" s="3" t="e">
        <f ca="1">AND(NOW()&gt;=tbl_MTG_Set[[#This Row],[Buy Window Start]], NOW()&lt;=tbl_MTG_Set[[#This Row],[Buy Window End]])</f>
        <v>#VALUE!</v>
      </c>
      <c r="O717" t="str">
        <f>_xlfn.XLOOKUP(tbl_MTG_Set[[#This Row],[Type Name]], tbl_MTG_Set_Type[Set Type], tbl_MTG_Set_Type[Heavy Printing Window Month Start], "(Set Type not found)", 0, 1)</f>
        <v>(Set Type not found)</v>
      </c>
      <c r="P717" s="3" t="e">
        <f>tbl_MTG_Set[[#This Row],[Released On]]+tbl_MTG_Set[[#This Row],[Heavy Printing Window Month Start]]*365.25/12</f>
        <v>#VALUE!</v>
      </c>
      <c r="Q717" t="str">
        <f>_xlfn.XLOOKUP(tbl_MTG_Set[[#This Row],[Type Name]], tbl_MTG_Set_Type[Set Type], tbl_MTG_Set_Type[Heavy Printing Window Month End], "(Set Type not found)", 0, 1)</f>
        <v>(Set Type not found)</v>
      </c>
      <c r="R717" s="3" t="e">
        <f>tbl_MTG_Set[[#This Row],[Released On]]+tbl_MTG_Set[[#This Row],[Heavy Printing Window Month End]]*365.25/12</f>
        <v>#VALUE!</v>
      </c>
      <c r="S717" s="3" t="e">
        <f ca="1">AND(NOW()&gt;=tbl_MTG_Set[[#This Row],[Heavy Printing Window Start]], NOW()&lt;=tbl_MTG_Set[[#This Row],[Heavy Printing Window End]])</f>
        <v>#VALUE!</v>
      </c>
      <c r="T717" t="str">
        <f>_xlfn.XLOOKUP(tbl_MTG_Set[[#This Row],[Type Name]], tbl_MTG_Set_Type[Set Type], tbl_MTG_Set_Type[Sell Window Month Start], "(Set Type not found)", 0, 1)</f>
        <v>(Set Type not found)</v>
      </c>
      <c r="U717" s="3" t="e">
        <f>tbl_MTG_Set[[#This Row],[Released On]]+tbl_MTG_Set[[#This Row],[Sell Window Month Start]]*365.25/12</f>
        <v>#VALUE!</v>
      </c>
      <c r="V717" t="str">
        <f>_xlfn.XLOOKUP(tbl_MTG_Set[[#This Row],[Type Name]], tbl_MTG_Set_Type[Set Type], tbl_MTG_Set_Type[Sell Window Month End], "(Set Type not found)", 0, 1)</f>
        <v>(Set Type not found)</v>
      </c>
      <c r="W717" s="3" t="e">
        <f>tbl_MTG_Set[[#This Row],[Released On]]+tbl_MTG_Set[[#This Row],[Sell Window Month End]]*365.25/12</f>
        <v>#VALUE!</v>
      </c>
      <c r="X717" s="3" t="e">
        <f ca="1">AND(NOW()&gt;=tbl_MTG_Set[[#This Row],[Sell Window Start]], NOW()&lt;=tbl_MTG_Set[[#This Row],[Sell Window End]])</f>
        <v>#VALUE!</v>
      </c>
      <c r="AG717" s="10"/>
      <c r="AH717" s="10"/>
      <c r="AM717" s="10" t="str" cm="1">
        <f t="array" ref="AM7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7" s="10" t="str" cm="1">
        <f t="array" ref="AN7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7" s="4" t="e">
        <f>_xlfn.XLOOKUP(tbl_MTG_Set[[#This Row],[Play Booster Box Product Id]], tbl_Product[Product Id], tbl_Product[Pack Size])</f>
        <v>#N/A</v>
      </c>
      <c r="AP717" s="10" t="e">
        <f>(tbl_MTG_Set[[#This Row],[Play Booster Box Cost]]+v_Item_Shipping_Cost_In)/tbl_MTG_Set[[#This Row],[Play Booster Box Size]]</f>
        <v>#VALUE!</v>
      </c>
      <c r="AQ717" s="10" t="str" cm="1">
        <f t="array" ref="AQ7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7" s="10"/>
      <c r="AS717" s="10"/>
      <c r="AT717" s="17" t="e">
        <f>tbl_MTG_Set[[#This Row],[Play Booster CardMarket Profit]]/tbl_MTG_Set[[#This Row],[Play Booster Cost]]</f>
        <v>#VALUE!</v>
      </c>
      <c r="AU717" s="10" t="e">
        <f>_xlfn.XLOOKUP(tbl_MTG_Set[[#This Row],[Collector Booster Box Product Id]], tbl_Product[Product Id], tbl_Product[Min Cost])</f>
        <v>#N/A</v>
      </c>
      <c r="AV717" s="10" t="e">
        <f>_xlfn.XLOOKUP(tbl_MTG_Set[[#This Row],[Collector Booster Box Product Id]], tbl_Product[Product Id], tbl_Product[Best Source])</f>
        <v>#N/A</v>
      </c>
      <c r="AW717" s="4" t="e">
        <f>_xlfn.XLOOKUP(tbl_MTG_Set[[#This Row],[Collector Booster Box Product Id]], tbl_Product[Product Id], tbl_Product[Pack Size])</f>
        <v>#N/A</v>
      </c>
      <c r="AX717" s="10" t="e">
        <f>(tbl_MTG_Set[[#This Row],[Collector Booster Box Cost]] + v_Item_Shipping_Cost_In) / tbl_MTG_Set[[#This Row],[Collector Booster Box Size]]</f>
        <v>#N/A</v>
      </c>
      <c r="AY717" s="10" t="str" cm="1">
        <f t="array" ref="AY7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7" s="10"/>
      <c r="BA7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7" s="17" t="e">
        <f>tbl_MTG_Set[[#This Row],[Collector Booster CardMarket Profit]]/tbl_MTG_Set[[#This Row],[Collector Booster Cost]]</f>
        <v>#N/A</v>
      </c>
      <c r="BC717" s="10"/>
      <c r="BF7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7" s="11" t="e">
        <f>tbl_MTG_Set[[#This Row],[Play Singles CardMarket Profit MTG Stocks]]/tbl_MTG_Set[[#This Row],[Play Booster Cost]]</f>
        <v>#VALUE!</v>
      </c>
      <c r="BI717" s="11" t="b">
        <f>tbl_MTG_Set[[#This Row],[Play Singles CardMarket Profit MTG Stocks]]&gt;0</f>
        <v>0</v>
      </c>
      <c r="BM717" s="10" t="e">
        <f>tbl_MTG_Set[[#This Row],[Play Booster Sell Price CardMarket]]*tbl_MTG_Set[[#This Row],[Play Booster Expected Market Value BotBox]]/tbl_MTG_Set[[#This Row],[Play Booster Sealed Market Value BotBox]]</f>
        <v>#VALUE!</v>
      </c>
      <c r="BN7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7" s="10" t="e">
        <f>tbl_MTG_Set[[#This Row],[Play Singles CardMarket Profit BotBox]]/tbl_MTG_Set[[#This Row],[Play Booster Cost]]</f>
        <v>#VALUE!</v>
      </c>
      <c r="BP717" s="10" t="b">
        <f>tbl_MTG_Set[[#This Row],[Play Singles CardMarket Profit BotBox]]&gt;0</f>
        <v>0</v>
      </c>
      <c r="BQ717" s="10"/>
      <c r="BR717" s="10"/>
      <c r="BS717" s="10"/>
      <c r="BT7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7" s="19" t="e">
        <f>tbl_MTG_Set[[#This Row],[Collector Singles CardMarket Profit MTG Stocks]]/tbl_MTG_Set[[#This Row],[Collector Booster Cost]]</f>
        <v>#N/A</v>
      </c>
      <c r="BW717" s="10" t="b">
        <f>tbl_MTG_Set[[#This Row],[Collector Singles CardMarket Profit MTG Stocks]]&gt;0</f>
        <v>0</v>
      </c>
      <c r="BX717" s="10"/>
      <c r="BY717" s="10"/>
      <c r="BZ7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7" s="10" t="e">
        <f>tbl_MTG_Set[[#This Row],[Collector Singles CardMarket Profit BotBox]]/tbl_MTG_Set[[#This Row],[Collector Booster Cost]]</f>
        <v>#N/A</v>
      </c>
      <c r="CC717" s="10" t="b">
        <f>tbl_MTG_Set[[#This Row],[Collector Singles CardMarket Profit BotBox]]&gt;0</f>
        <v>0</v>
      </c>
      <c r="CD7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8" spans="1:86" hidden="1">
      <c r="A718">
        <v>750</v>
      </c>
      <c r="B718" t="s">
        <v>891</v>
      </c>
      <c r="C718">
        <v>10</v>
      </c>
      <c r="D718" s="3">
        <v>40452</v>
      </c>
      <c r="F718" t="s">
        <v>174</v>
      </c>
      <c r="G718">
        <v>1446</v>
      </c>
      <c r="H718">
        <f ca="1">MONTH(NOW())+12*YEAR(NOW())-MONTH(tbl_MTG_Set[[#This Row],[Released On]])-12*YEAR(tbl_MTG_Set[[#This Row],[Released On]])</f>
        <v>185</v>
      </c>
      <c r="I718" t="str">
        <f>_xlfn.XLOOKUP(tbl_MTG_Set[[#This Row],[Type Name]], tbl_MTG_Set_Type[Set Type], tbl_MTG_Set_Type[Index], "(Set Type not found)")</f>
        <v>(Set Type not found)</v>
      </c>
      <c r="J718" t="str">
        <f>_xlfn.XLOOKUP(tbl_MTG_Set[[#This Row],[Type Name]], tbl_MTG_Set_Type[Set Type], tbl_MTG_Set_Type[Buy Window Month Start], "(Set Type not found)")</f>
        <v>(Set Type not found)</v>
      </c>
      <c r="K718" s="3" t="e">
        <f>tbl_MTG_Set[[#This Row],[Released On]]+tbl_MTG_Set[[#This Row],[Buy Window Month Start]]*365.25/12</f>
        <v>#VALUE!</v>
      </c>
      <c r="L718" t="str">
        <f>_xlfn.XLOOKUP(tbl_MTG_Set[[#This Row],[Type Name]], tbl_MTG_Set_Type[Set Type], tbl_MTG_Set_Type[Buy Window Month End], "(Set Type not found)", 0, 1)</f>
        <v>(Set Type not found)</v>
      </c>
      <c r="M718" s="3" t="e">
        <f>tbl_MTG_Set[[#This Row],[Released On]]+tbl_MTG_Set[[#This Row],[Buy Window Month End]]*365.25/12</f>
        <v>#VALUE!</v>
      </c>
      <c r="N718" s="3" t="e">
        <f ca="1">AND(NOW()&gt;=tbl_MTG_Set[[#This Row],[Buy Window Start]], NOW()&lt;=tbl_MTG_Set[[#This Row],[Buy Window End]])</f>
        <v>#VALUE!</v>
      </c>
      <c r="O718" t="str">
        <f>_xlfn.XLOOKUP(tbl_MTG_Set[[#This Row],[Type Name]], tbl_MTG_Set_Type[Set Type], tbl_MTG_Set_Type[Heavy Printing Window Month Start], "(Set Type not found)", 0, 1)</f>
        <v>(Set Type not found)</v>
      </c>
      <c r="P718" s="3" t="e">
        <f>tbl_MTG_Set[[#This Row],[Released On]]+tbl_MTG_Set[[#This Row],[Heavy Printing Window Month Start]]*365.25/12</f>
        <v>#VALUE!</v>
      </c>
      <c r="Q718" t="str">
        <f>_xlfn.XLOOKUP(tbl_MTG_Set[[#This Row],[Type Name]], tbl_MTG_Set_Type[Set Type], tbl_MTG_Set_Type[Heavy Printing Window Month End], "(Set Type not found)", 0, 1)</f>
        <v>(Set Type not found)</v>
      </c>
      <c r="R718" s="3" t="e">
        <f>tbl_MTG_Set[[#This Row],[Released On]]+tbl_MTG_Set[[#This Row],[Heavy Printing Window Month End]]*365.25/12</f>
        <v>#VALUE!</v>
      </c>
      <c r="S718" s="3" t="e">
        <f ca="1">AND(NOW()&gt;=tbl_MTG_Set[[#This Row],[Heavy Printing Window Start]], NOW()&lt;=tbl_MTG_Set[[#This Row],[Heavy Printing Window End]])</f>
        <v>#VALUE!</v>
      </c>
      <c r="T718" t="str">
        <f>_xlfn.XLOOKUP(tbl_MTG_Set[[#This Row],[Type Name]], tbl_MTG_Set_Type[Set Type], tbl_MTG_Set_Type[Sell Window Month Start], "(Set Type not found)", 0, 1)</f>
        <v>(Set Type not found)</v>
      </c>
      <c r="U718" s="3" t="e">
        <f>tbl_MTG_Set[[#This Row],[Released On]]+tbl_MTG_Set[[#This Row],[Sell Window Month Start]]*365.25/12</f>
        <v>#VALUE!</v>
      </c>
      <c r="V718" t="str">
        <f>_xlfn.XLOOKUP(tbl_MTG_Set[[#This Row],[Type Name]], tbl_MTG_Set_Type[Set Type], tbl_MTG_Set_Type[Sell Window Month End], "(Set Type not found)", 0, 1)</f>
        <v>(Set Type not found)</v>
      </c>
      <c r="W718" s="3" t="e">
        <f>tbl_MTG_Set[[#This Row],[Released On]]+tbl_MTG_Set[[#This Row],[Sell Window Month End]]*365.25/12</f>
        <v>#VALUE!</v>
      </c>
      <c r="X718" s="3" t="e">
        <f ca="1">AND(NOW()&gt;=tbl_MTG_Set[[#This Row],[Sell Window Start]], NOW()&lt;=tbl_MTG_Set[[#This Row],[Sell Window End]])</f>
        <v>#VALUE!</v>
      </c>
      <c r="AG718" s="10"/>
      <c r="AH718" s="10"/>
      <c r="AM718" s="10" t="str" cm="1">
        <f t="array" ref="AM7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8" s="10" t="str" cm="1">
        <f t="array" ref="AN7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8" s="4" t="e">
        <f>_xlfn.XLOOKUP(tbl_MTG_Set[[#This Row],[Play Booster Box Product Id]], tbl_Product[Product Id], tbl_Product[Pack Size])</f>
        <v>#N/A</v>
      </c>
      <c r="AP718" s="10" t="e">
        <f>(tbl_MTG_Set[[#This Row],[Play Booster Box Cost]]+v_Item_Shipping_Cost_In)/tbl_MTG_Set[[#This Row],[Play Booster Box Size]]</f>
        <v>#VALUE!</v>
      </c>
      <c r="AQ718" s="10" t="str" cm="1">
        <f t="array" ref="AQ7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8" s="10"/>
      <c r="AS718" s="10"/>
      <c r="AT718" s="17" t="e">
        <f>tbl_MTG_Set[[#This Row],[Play Booster CardMarket Profit]]/tbl_MTG_Set[[#This Row],[Play Booster Cost]]</f>
        <v>#VALUE!</v>
      </c>
      <c r="AU718" s="10" t="e">
        <f>_xlfn.XLOOKUP(tbl_MTG_Set[[#This Row],[Collector Booster Box Product Id]], tbl_Product[Product Id], tbl_Product[Min Cost])</f>
        <v>#N/A</v>
      </c>
      <c r="AV718" s="10" t="e">
        <f>_xlfn.XLOOKUP(tbl_MTG_Set[[#This Row],[Collector Booster Box Product Id]], tbl_Product[Product Id], tbl_Product[Best Source])</f>
        <v>#N/A</v>
      </c>
      <c r="AW718" s="4" t="e">
        <f>_xlfn.XLOOKUP(tbl_MTG_Set[[#This Row],[Collector Booster Box Product Id]], tbl_Product[Product Id], tbl_Product[Pack Size])</f>
        <v>#N/A</v>
      </c>
      <c r="AX718" s="10" t="e">
        <f>(tbl_MTG_Set[[#This Row],[Collector Booster Box Cost]] + v_Item_Shipping_Cost_In) / tbl_MTG_Set[[#This Row],[Collector Booster Box Size]]</f>
        <v>#N/A</v>
      </c>
      <c r="AY718" s="10" t="str" cm="1">
        <f t="array" ref="AY7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8" s="10"/>
      <c r="BA7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8" s="17" t="e">
        <f>tbl_MTG_Set[[#This Row],[Collector Booster CardMarket Profit]]/tbl_MTG_Set[[#This Row],[Collector Booster Cost]]</f>
        <v>#N/A</v>
      </c>
      <c r="BC718" s="10"/>
      <c r="BF7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8" s="11" t="e">
        <f>tbl_MTG_Set[[#This Row],[Play Singles CardMarket Profit MTG Stocks]]/tbl_MTG_Set[[#This Row],[Play Booster Cost]]</f>
        <v>#VALUE!</v>
      </c>
      <c r="BI718" s="11" t="b">
        <f>tbl_MTG_Set[[#This Row],[Play Singles CardMarket Profit MTG Stocks]]&gt;0</f>
        <v>0</v>
      </c>
      <c r="BM718" s="10" t="e">
        <f>tbl_MTG_Set[[#This Row],[Play Booster Sell Price CardMarket]]*tbl_MTG_Set[[#This Row],[Play Booster Expected Market Value BotBox]]/tbl_MTG_Set[[#This Row],[Play Booster Sealed Market Value BotBox]]</f>
        <v>#VALUE!</v>
      </c>
      <c r="BN7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8" s="10" t="e">
        <f>tbl_MTG_Set[[#This Row],[Play Singles CardMarket Profit BotBox]]/tbl_MTG_Set[[#This Row],[Play Booster Cost]]</f>
        <v>#VALUE!</v>
      </c>
      <c r="BP718" s="10" t="b">
        <f>tbl_MTG_Set[[#This Row],[Play Singles CardMarket Profit BotBox]]&gt;0</f>
        <v>0</v>
      </c>
      <c r="BQ718" s="10"/>
      <c r="BR718" s="10"/>
      <c r="BS718" s="10"/>
      <c r="BT7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8" s="19" t="e">
        <f>tbl_MTG_Set[[#This Row],[Collector Singles CardMarket Profit MTG Stocks]]/tbl_MTG_Set[[#This Row],[Collector Booster Cost]]</f>
        <v>#N/A</v>
      </c>
      <c r="BW718" s="10" t="b">
        <f>tbl_MTG_Set[[#This Row],[Collector Singles CardMarket Profit MTG Stocks]]&gt;0</f>
        <v>0</v>
      </c>
      <c r="BX718" s="10"/>
      <c r="BY718" s="10"/>
      <c r="BZ7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8" s="10" t="e">
        <f>tbl_MTG_Set[[#This Row],[Collector Singles CardMarket Profit BotBox]]/tbl_MTG_Set[[#This Row],[Collector Booster Cost]]</f>
        <v>#N/A</v>
      </c>
      <c r="CC718" s="10" t="b">
        <f>tbl_MTG_Set[[#This Row],[Collector Singles CardMarket Profit BotBox]]&gt;0</f>
        <v>0</v>
      </c>
      <c r="CD7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19" spans="1:86" hidden="1">
      <c r="A719">
        <v>751</v>
      </c>
      <c r="B719" t="s">
        <v>892</v>
      </c>
      <c r="C719">
        <v>79</v>
      </c>
      <c r="D719" s="3">
        <v>40424</v>
      </c>
      <c r="F719" t="s">
        <v>174</v>
      </c>
      <c r="G719">
        <v>1448</v>
      </c>
      <c r="H719">
        <f ca="1">MONTH(NOW())+12*YEAR(NOW())-MONTH(tbl_MTG_Set[[#This Row],[Released On]])-12*YEAR(tbl_MTG_Set[[#This Row],[Released On]])</f>
        <v>186</v>
      </c>
      <c r="I719" t="str">
        <f>_xlfn.XLOOKUP(tbl_MTG_Set[[#This Row],[Type Name]], tbl_MTG_Set_Type[Set Type], tbl_MTG_Set_Type[Index], "(Set Type not found)")</f>
        <v>(Set Type not found)</v>
      </c>
      <c r="J719" t="str">
        <f>_xlfn.XLOOKUP(tbl_MTG_Set[[#This Row],[Type Name]], tbl_MTG_Set_Type[Set Type], tbl_MTG_Set_Type[Buy Window Month Start], "(Set Type not found)")</f>
        <v>(Set Type not found)</v>
      </c>
      <c r="K719" s="3" t="e">
        <f>tbl_MTG_Set[[#This Row],[Released On]]+tbl_MTG_Set[[#This Row],[Buy Window Month Start]]*365.25/12</f>
        <v>#VALUE!</v>
      </c>
      <c r="L719" t="str">
        <f>_xlfn.XLOOKUP(tbl_MTG_Set[[#This Row],[Type Name]], tbl_MTG_Set_Type[Set Type], tbl_MTG_Set_Type[Buy Window Month End], "(Set Type not found)", 0, 1)</f>
        <v>(Set Type not found)</v>
      </c>
      <c r="M719" s="3" t="e">
        <f>tbl_MTG_Set[[#This Row],[Released On]]+tbl_MTG_Set[[#This Row],[Buy Window Month End]]*365.25/12</f>
        <v>#VALUE!</v>
      </c>
      <c r="N719" s="3" t="e">
        <f ca="1">AND(NOW()&gt;=tbl_MTG_Set[[#This Row],[Buy Window Start]], NOW()&lt;=tbl_MTG_Set[[#This Row],[Buy Window End]])</f>
        <v>#VALUE!</v>
      </c>
      <c r="O719" t="str">
        <f>_xlfn.XLOOKUP(tbl_MTG_Set[[#This Row],[Type Name]], tbl_MTG_Set_Type[Set Type], tbl_MTG_Set_Type[Heavy Printing Window Month Start], "(Set Type not found)", 0, 1)</f>
        <v>(Set Type not found)</v>
      </c>
      <c r="P719" s="3" t="e">
        <f>tbl_MTG_Set[[#This Row],[Released On]]+tbl_MTG_Set[[#This Row],[Heavy Printing Window Month Start]]*365.25/12</f>
        <v>#VALUE!</v>
      </c>
      <c r="Q719" t="str">
        <f>_xlfn.XLOOKUP(tbl_MTG_Set[[#This Row],[Type Name]], tbl_MTG_Set_Type[Set Type], tbl_MTG_Set_Type[Heavy Printing Window Month End], "(Set Type not found)", 0, 1)</f>
        <v>(Set Type not found)</v>
      </c>
      <c r="R719" s="3" t="e">
        <f>tbl_MTG_Set[[#This Row],[Released On]]+tbl_MTG_Set[[#This Row],[Heavy Printing Window Month End]]*365.25/12</f>
        <v>#VALUE!</v>
      </c>
      <c r="S719" s="3" t="e">
        <f ca="1">AND(NOW()&gt;=tbl_MTG_Set[[#This Row],[Heavy Printing Window Start]], NOW()&lt;=tbl_MTG_Set[[#This Row],[Heavy Printing Window End]])</f>
        <v>#VALUE!</v>
      </c>
      <c r="T719" t="str">
        <f>_xlfn.XLOOKUP(tbl_MTG_Set[[#This Row],[Type Name]], tbl_MTG_Set_Type[Set Type], tbl_MTG_Set_Type[Sell Window Month Start], "(Set Type not found)", 0, 1)</f>
        <v>(Set Type not found)</v>
      </c>
      <c r="U719" s="3" t="e">
        <f>tbl_MTG_Set[[#This Row],[Released On]]+tbl_MTG_Set[[#This Row],[Sell Window Month Start]]*365.25/12</f>
        <v>#VALUE!</v>
      </c>
      <c r="V719" t="str">
        <f>_xlfn.XLOOKUP(tbl_MTG_Set[[#This Row],[Type Name]], tbl_MTG_Set_Type[Set Type], tbl_MTG_Set_Type[Sell Window Month End], "(Set Type not found)", 0, 1)</f>
        <v>(Set Type not found)</v>
      </c>
      <c r="W719" s="3" t="e">
        <f>tbl_MTG_Set[[#This Row],[Released On]]+tbl_MTG_Set[[#This Row],[Sell Window Month End]]*365.25/12</f>
        <v>#VALUE!</v>
      </c>
      <c r="X719" s="3" t="e">
        <f ca="1">AND(NOW()&gt;=tbl_MTG_Set[[#This Row],[Sell Window Start]], NOW()&lt;=tbl_MTG_Set[[#This Row],[Sell Window End]])</f>
        <v>#VALUE!</v>
      </c>
      <c r="AG719" s="10"/>
      <c r="AH719" s="10"/>
      <c r="AM719" s="10" t="str" cm="1">
        <f t="array" ref="AM7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19" s="10" t="str" cm="1">
        <f t="array" ref="AN7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19" s="4" t="e">
        <f>_xlfn.XLOOKUP(tbl_MTG_Set[[#This Row],[Play Booster Box Product Id]], tbl_Product[Product Id], tbl_Product[Pack Size])</f>
        <v>#N/A</v>
      </c>
      <c r="AP719" s="10" t="e">
        <f>(tbl_MTG_Set[[#This Row],[Play Booster Box Cost]]+v_Item_Shipping_Cost_In)/tbl_MTG_Set[[#This Row],[Play Booster Box Size]]</f>
        <v>#VALUE!</v>
      </c>
      <c r="AQ719" s="10" t="str" cm="1">
        <f t="array" ref="AQ7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19" s="10"/>
      <c r="AS719" s="10"/>
      <c r="AT719" s="17" t="e">
        <f>tbl_MTG_Set[[#This Row],[Play Booster CardMarket Profit]]/tbl_MTG_Set[[#This Row],[Play Booster Cost]]</f>
        <v>#VALUE!</v>
      </c>
      <c r="AU719" s="10" t="e">
        <f>_xlfn.XLOOKUP(tbl_MTG_Set[[#This Row],[Collector Booster Box Product Id]], tbl_Product[Product Id], tbl_Product[Min Cost])</f>
        <v>#N/A</v>
      </c>
      <c r="AV719" s="10" t="e">
        <f>_xlfn.XLOOKUP(tbl_MTG_Set[[#This Row],[Collector Booster Box Product Id]], tbl_Product[Product Id], tbl_Product[Best Source])</f>
        <v>#N/A</v>
      </c>
      <c r="AW719" s="4" t="e">
        <f>_xlfn.XLOOKUP(tbl_MTG_Set[[#This Row],[Collector Booster Box Product Id]], tbl_Product[Product Id], tbl_Product[Pack Size])</f>
        <v>#N/A</v>
      </c>
      <c r="AX719" s="10" t="e">
        <f>(tbl_MTG_Set[[#This Row],[Collector Booster Box Cost]] + v_Item_Shipping_Cost_In) / tbl_MTG_Set[[#This Row],[Collector Booster Box Size]]</f>
        <v>#N/A</v>
      </c>
      <c r="AY719" s="10" t="str" cm="1">
        <f t="array" ref="AY7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19" s="10"/>
      <c r="BA7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19" s="17" t="e">
        <f>tbl_MTG_Set[[#This Row],[Collector Booster CardMarket Profit]]/tbl_MTG_Set[[#This Row],[Collector Booster Cost]]</f>
        <v>#N/A</v>
      </c>
      <c r="BC719" s="10"/>
      <c r="BF7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19" s="11" t="e">
        <f>tbl_MTG_Set[[#This Row],[Play Singles CardMarket Profit MTG Stocks]]/tbl_MTG_Set[[#This Row],[Play Booster Cost]]</f>
        <v>#VALUE!</v>
      </c>
      <c r="BI719" s="11" t="b">
        <f>tbl_MTG_Set[[#This Row],[Play Singles CardMarket Profit MTG Stocks]]&gt;0</f>
        <v>0</v>
      </c>
      <c r="BM719" s="10" t="e">
        <f>tbl_MTG_Set[[#This Row],[Play Booster Sell Price CardMarket]]*tbl_MTG_Set[[#This Row],[Play Booster Expected Market Value BotBox]]/tbl_MTG_Set[[#This Row],[Play Booster Sealed Market Value BotBox]]</f>
        <v>#VALUE!</v>
      </c>
      <c r="BN7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19" s="10" t="e">
        <f>tbl_MTG_Set[[#This Row],[Play Singles CardMarket Profit BotBox]]/tbl_MTG_Set[[#This Row],[Play Booster Cost]]</f>
        <v>#VALUE!</v>
      </c>
      <c r="BP719" s="10" t="b">
        <f>tbl_MTG_Set[[#This Row],[Play Singles CardMarket Profit BotBox]]&gt;0</f>
        <v>0</v>
      </c>
      <c r="BQ719" s="10"/>
      <c r="BR719" s="10"/>
      <c r="BS719" s="10"/>
      <c r="BT7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19" s="19" t="e">
        <f>tbl_MTG_Set[[#This Row],[Collector Singles CardMarket Profit MTG Stocks]]/tbl_MTG_Set[[#This Row],[Collector Booster Cost]]</f>
        <v>#N/A</v>
      </c>
      <c r="BW719" s="10" t="b">
        <f>tbl_MTG_Set[[#This Row],[Collector Singles CardMarket Profit MTG Stocks]]&gt;0</f>
        <v>0</v>
      </c>
      <c r="BX719" s="10"/>
      <c r="BY719" s="10"/>
      <c r="BZ7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19" s="10" t="e">
        <f>tbl_MTG_Set[[#This Row],[Collector Singles CardMarket Profit BotBox]]/tbl_MTG_Set[[#This Row],[Collector Booster Cost]]</f>
        <v>#N/A</v>
      </c>
      <c r="CC719" s="10" t="b">
        <f>tbl_MTG_Set[[#This Row],[Collector Singles CardMarket Profit BotBox]]&gt;0</f>
        <v>0</v>
      </c>
      <c r="CD7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0" spans="1:86" hidden="1">
      <c r="A720">
        <v>752</v>
      </c>
      <c r="B720" t="s">
        <v>893</v>
      </c>
      <c r="C720">
        <v>1</v>
      </c>
      <c r="D720" s="3">
        <v>40424</v>
      </c>
      <c r="F720" t="s">
        <v>174</v>
      </c>
      <c r="G720">
        <v>1450</v>
      </c>
      <c r="H720">
        <f ca="1">MONTH(NOW())+12*YEAR(NOW())-MONTH(tbl_MTG_Set[[#This Row],[Released On]])-12*YEAR(tbl_MTG_Set[[#This Row],[Released On]])</f>
        <v>186</v>
      </c>
      <c r="I720" t="str">
        <f>_xlfn.XLOOKUP(tbl_MTG_Set[[#This Row],[Type Name]], tbl_MTG_Set_Type[Set Type], tbl_MTG_Set_Type[Index], "(Set Type not found)")</f>
        <v>(Set Type not found)</v>
      </c>
      <c r="J720" t="str">
        <f>_xlfn.XLOOKUP(tbl_MTG_Set[[#This Row],[Type Name]], tbl_MTG_Set_Type[Set Type], tbl_MTG_Set_Type[Buy Window Month Start], "(Set Type not found)")</f>
        <v>(Set Type not found)</v>
      </c>
      <c r="K720" s="3" t="e">
        <f>tbl_MTG_Set[[#This Row],[Released On]]+tbl_MTG_Set[[#This Row],[Buy Window Month Start]]*365.25/12</f>
        <v>#VALUE!</v>
      </c>
      <c r="L720" t="str">
        <f>_xlfn.XLOOKUP(tbl_MTG_Set[[#This Row],[Type Name]], tbl_MTG_Set_Type[Set Type], tbl_MTG_Set_Type[Buy Window Month End], "(Set Type not found)", 0, 1)</f>
        <v>(Set Type not found)</v>
      </c>
      <c r="M720" s="3" t="e">
        <f>tbl_MTG_Set[[#This Row],[Released On]]+tbl_MTG_Set[[#This Row],[Buy Window Month End]]*365.25/12</f>
        <v>#VALUE!</v>
      </c>
      <c r="N720" s="3" t="e">
        <f ca="1">AND(NOW()&gt;=tbl_MTG_Set[[#This Row],[Buy Window Start]], NOW()&lt;=tbl_MTG_Set[[#This Row],[Buy Window End]])</f>
        <v>#VALUE!</v>
      </c>
      <c r="O720" t="str">
        <f>_xlfn.XLOOKUP(tbl_MTG_Set[[#This Row],[Type Name]], tbl_MTG_Set_Type[Set Type], tbl_MTG_Set_Type[Heavy Printing Window Month Start], "(Set Type not found)", 0, 1)</f>
        <v>(Set Type not found)</v>
      </c>
      <c r="P720" s="3" t="e">
        <f>tbl_MTG_Set[[#This Row],[Released On]]+tbl_MTG_Set[[#This Row],[Heavy Printing Window Month Start]]*365.25/12</f>
        <v>#VALUE!</v>
      </c>
      <c r="Q720" t="str">
        <f>_xlfn.XLOOKUP(tbl_MTG_Set[[#This Row],[Type Name]], tbl_MTG_Set_Type[Set Type], tbl_MTG_Set_Type[Heavy Printing Window Month End], "(Set Type not found)", 0, 1)</f>
        <v>(Set Type not found)</v>
      </c>
      <c r="R720" s="3" t="e">
        <f>tbl_MTG_Set[[#This Row],[Released On]]+tbl_MTG_Set[[#This Row],[Heavy Printing Window Month End]]*365.25/12</f>
        <v>#VALUE!</v>
      </c>
      <c r="S720" s="3" t="e">
        <f ca="1">AND(NOW()&gt;=tbl_MTG_Set[[#This Row],[Heavy Printing Window Start]], NOW()&lt;=tbl_MTG_Set[[#This Row],[Heavy Printing Window End]])</f>
        <v>#VALUE!</v>
      </c>
      <c r="T720" t="str">
        <f>_xlfn.XLOOKUP(tbl_MTG_Set[[#This Row],[Type Name]], tbl_MTG_Set_Type[Set Type], tbl_MTG_Set_Type[Sell Window Month Start], "(Set Type not found)", 0, 1)</f>
        <v>(Set Type not found)</v>
      </c>
      <c r="U720" s="3" t="e">
        <f>tbl_MTG_Set[[#This Row],[Released On]]+tbl_MTG_Set[[#This Row],[Sell Window Month Start]]*365.25/12</f>
        <v>#VALUE!</v>
      </c>
      <c r="V720" t="str">
        <f>_xlfn.XLOOKUP(tbl_MTG_Set[[#This Row],[Type Name]], tbl_MTG_Set_Type[Set Type], tbl_MTG_Set_Type[Sell Window Month End], "(Set Type not found)", 0, 1)</f>
        <v>(Set Type not found)</v>
      </c>
      <c r="W720" s="3" t="e">
        <f>tbl_MTG_Set[[#This Row],[Released On]]+tbl_MTG_Set[[#This Row],[Sell Window Month End]]*365.25/12</f>
        <v>#VALUE!</v>
      </c>
      <c r="X720" s="3" t="e">
        <f ca="1">AND(NOW()&gt;=tbl_MTG_Set[[#This Row],[Sell Window Start]], NOW()&lt;=tbl_MTG_Set[[#This Row],[Sell Window End]])</f>
        <v>#VALUE!</v>
      </c>
      <c r="AG720" s="10"/>
      <c r="AH720" s="10"/>
      <c r="AM720" s="10" t="str" cm="1">
        <f t="array" ref="AM7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0" s="10" t="str" cm="1">
        <f t="array" ref="AN7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0" s="4" t="e">
        <f>_xlfn.XLOOKUP(tbl_MTG_Set[[#This Row],[Play Booster Box Product Id]], tbl_Product[Product Id], tbl_Product[Pack Size])</f>
        <v>#N/A</v>
      </c>
      <c r="AP720" s="10" t="e">
        <f>(tbl_MTG_Set[[#This Row],[Play Booster Box Cost]]+v_Item_Shipping_Cost_In)/tbl_MTG_Set[[#This Row],[Play Booster Box Size]]</f>
        <v>#VALUE!</v>
      </c>
      <c r="AQ720" s="10" t="str" cm="1">
        <f t="array" ref="AQ7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0" s="10"/>
      <c r="AS720" s="10"/>
      <c r="AT720" s="17" t="e">
        <f>tbl_MTG_Set[[#This Row],[Play Booster CardMarket Profit]]/tbl_MTG_Set[[#This Row],[Play Booster Cost]]</f>
        <v>#VALUE!</v>
      </c>
      <c r="AU720" s="10" t="e">
        <f>_xlfn.XLOOKUP(tbl_MTG_Set[[#This Row],[Collector Booster Box Product Id]], tbl_Product[Product Id], tbl_Product[Min Cost])</f>
        <v>#N/A</v>
      </c>
      <c r="AV720" s="10" t="e">
        <f>_xlfn.XLOOKUP(tbl_MTG_Set[[#This Row],[Collector Booster Box Product Id]], tbl_Product[Product Id], tbl_Product[Best Source])</f>
        <v>#N/A</v>
      </c>
      <c r="AW720" s="4" t="e">
        <f>_xlfn.XLOOKUP(tbl_MTG_Set[[#This Row],[Collector Booster Box Product Id]], tbl_Product[Product Id], tbl_Product[Pack Size])</f>
        <v>#N/A</v>
      </c>
      <c r="AX720" s="10" t="e">
        <f>(tbl_MTG_Set[[#This Row],[Collector Booster Box Cost]] + v_Item_Shipping_Cost_In) / tbl_MTG_Set[[#This Row],[Collector Booster Box Size]]</f>
        <v>#N/A</v>
      </c>
      <c r="AY720" s="10" t="str" cm="1">
        <f t="array" ref="AY7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0" s="10"/>
      <c r="BA7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0" s="17" t="e">
        <f>tbl_MTG_Set[[#This Row],[Collector Booster CardMarket Profit]]/tbl_MTG_Set[[#This Row],[Collector Booster Cost]]</f>
        <v>#N/A</v>
      </c>
      <c r="BC720" s="10"/>
      <c r="BF7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0" s="11" t="e">
        <f>tbl_MTG_Set[[#This Row],[Play Singles CardMarket Profit MTG Stocks]]/tbl_MTG_Set[[#This Row],[Play Booster Cost]]</f>
        <v>#VALUE!</v>
      </c>
      <c r="BI720" s="11" t="b">
        <f>tbl_MTG_Set[[#This Row],[Play Singles CardMarket Profit MTG Stocks]]&gt;0</f>
        <v>0</v>
      </c>
      <c r="BM720" s="10" t="e">
        <f>tbl_MTG_Set[[#This Row],[Play Booster Sell Price CardMarket]]*tbl_MTG_Set[[#This Row],[Play Booster Expected Market Value BotBox]]/tbl_MTG_Set[[#This Row],[Play Booster Sealed Market Value BotBox]]</f>
        <v>#VALUE!</v>
      </c>
      <c r="BN7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0" s="10" t="e">
        <f>tbl_MTG_Set[[#This Row],[Play Singles CardMarket Profit BotBox]]/tbl_MTG_Set[[#This Row],[Play Booster Cost]]</f>
        <v>#VALUE!</v>
      </c>
      <c r="BP720" s="10" t="b">
        <f>tbl_MTG_Set[[#This Row],[Play Singles CardMarket Profit BotBox]]&gt;0</f>
        <v>0</v>
      </c>
      <c r="BQ720" s="10"/>
      <c r="BR720" s="10"/>
      <c r="BS720" s="10"/>
      <c r="BT7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0" s="19" t="e">
        <f>tbl_MTG_Set[[#This Row],[Collector Singles CardMarket Profit MTG Stocks]]/tbl_MTG_Set[[#This Row],[Collector Booster Cost]]</f>
        <v>#N/A</v>
      </c>
      <c r="BW720" s="10" t="b">
        <f>tbl_MTG_Set[[#This Row],[Collector Singles CardMarket Profit MTG Stocks]]&gt;0</f>
        <v>0</v>
      </c>
      <c r="BX720" s="10"/>
      <c r="BY720" s="10"/>
      <c r="BZ7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0" s="10" t="e">
        <f>tbl_MTG_Set[[#This Row],[Collector Singles CardMarket Profit BotBox]]/tbl_MTG_Set[[#This Row],[Collector Booster Cost]]</f>
        <v>#N/A</v>
      </c>
      <c r="CC720" s="10" t="b">
        <f>tbl_MTG_Set[[#This Row],[Collector Singles CardMarket Profit BotBox]]&gt;0</f>
        <v>0</v>
      </c>
      <c r="CD7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1" spans="1:86" hidden="1">
      <c r="A721">
        <v>753</v>
      </c>
      <c r="B721" t="s">
        <v>894</v>
      </c>
      <c r="C721">
        <v>15</v>
      </c>
      <c r="D721" s="3">
        <v>40417</v>
      </c>
      <c r="F721" t="s">
        <v>174</v>
      </c>
      <c r="G721">
        <v>1452</v>
      </c>
      <c r="H721">
        <f ca="1">MONTH(NOW())+12*YEAR(NOW())-MONTH(tbl_MTG_Set[[#This Row],[Released On]])-12*YEAR(tbl_MTG_Set[[#This Row],[Released On]])</f>
        <v>187</v>
      </c>
      <c r="I721" t="str">
        <f>_xlfn.XLOOKUP(tbl_MTG_Set[[#This Row],[Type Name]], tbl_MTG_Set_Type[Set Type], tbl_MTG_Set_Type[Index], "(Set Type not found)")</f>
        <v>(Set Type not found)</v>
      </c>
      <c r="J721" t="str">
        <f>_xlfn.XLOOKUP(tbl_MTG_Set[[#This Row],[Type Name]], tbl_MTG_Set_Type[Set Type], tbl_MTG_Set_Type[Buy Window Month Start], "(Set Type not found)")</f>
        <v>(Set Type not found)</v>
      </c>
      <c r="K721" s="3" t="e">
        <f>tbl_MTG_Set[[#This Row],[Released On]]+tbl_MTG_Set[[#This Row],[Buy Window Month Start]]*365.25/12</f>
        <v>#VALUE!</v>
      </c>
      <c r="L721" t="str">
        <f>_xlfn.XLOOKUP(tbl_MTG_Set[[#This Row],[Type Name]], tbl_MTG_Set_Type[Set Type], tbl_MTG_Set_Type[Buy Window Month End], "(Set Type not found)", 0, 1)</f>
        <v>(Set Type not found)</v>
      </c>
      <c r="M721" s="3" t="e">
        <f>tbl_MTG_Set[[#This Row],[Released On]]+tbl_MTG_Set[[#This Row],[Buy Window Month End]]*365.25/12</f>
        <v>#VALUE!</v>
      </c>
      <c r="N721" s="3" t="e">
        <f ca="1">AND(NOW()&gt;=tbl_MTG_Set[[#This Row],[Buy Window Start]], NOW()&lt;=tbl_MTG_Set[[#This Row],[Buy Window End]])</f>
        <v>#VALUE!</v>
      </c>
      <c r="O721" t="str">
        <f>_xlfn.XLOOKUP(tbl_MTG_Set[[#This Row],[Type Name]], tbl_MTG_Set_Type[Set Type], tbl_MTG_Set_Type[Heavy Printing Window Month Start], "(Set Type not found)", 0, 1)</f>
        <v>(Set Type not found)</v>
      </c>
      <c r="P721" s="3" t="e">
        <f>tbl_MTG_Set[[#This Row],[Released On]]+tbl_MTG_Set[[#This Row],[Heavy Printing Window Month Start]]*365.25/12</f>
        <v>#VALUE!</v>
      </c>
      <c r="Q721" t="str">
        <f>_xlfn.XLOOKUP(tbl_MTG_Set[[#This Row],[Type Name]], tbl_MTG_Set_Type[Set Type], tbl_MTG_Set_Type[Heavy Printing Window Month End], "(Set Type not found)", 0, 1)</f>
        <v>(Set Type not found)</v>
      </c>
      <c r="R721" s="3" t="e">
        <f>tbl_MTG_Set[[#This Row],[Released On]]+tbl_MTG_Set[[#This Row],[Heavy Printing Window Month End]]*365.25/12</f>
        <v>#VALUE!</v>
      </c>
      <c r="S721" s="3" t="e">
        <f ca="1">AND(NOW()&gt;=tbl_MTG_Set[[#This Row],[Heavy Printing Window Start]], NOW()&lt;=tbl_MTG_Set[[#This Row],[Heavy Printing Window End]])</f>
        <v>#VALUE!</v>
      </c>
      <c r="T721" t="str">
        <f>_xlfn.XLOOKUP(tbl_MTG_Set[[#This Row],[Type Name]], tbl_MTG_Set_Type[Set Type], tbl_MTG_Set_Type[Sell Window Month Start], "(Set Type not found)", 0, 1)</f>
        <v>(Set Type not found)</v>
      </c>
      <c r="U721" s="3" t="e">
        <f>tbl_MTG_Set[[#This Row],[Released On]]+tbl_MTG_Set[[#This Row],[Sell Window Month Start]]*365.25/12</f>
        <v>#VALUE!</v>
      </c>
      <c r="V721" t="str">
        <f>_xlfn.XLOOKUP(tbl_MTG_Set[[#This Row],[Type Name]], tbl_MTG_Set_Type[Set Type], tbl_MTG_Set_Type[Sell Window Month End], "(Set Type not found)", 0, 1)</f>
        <v>(Set Type not found)</v>
      </c>
      <c r="W721" s="3" t="e">
        <f>tbl_MTG_Set[[#This Row],[Released On]]+tbl_MTG_Set[[#This Row],[Sell Window Month End]]*365.25/12</f>
        <v>#VALUE!</v>
      </c>
      <c r="X721" s="3" t="e">
        <f ca="1">AND(NOW()&gt;=tbl_MTG_Set[[#This Row],[Sell Window Start]], NOW()&lt;=tbl_MTG_Set[[#This Row],[Sell Window End]])</f>
        <v>#VALUE!</v>
      </c>
      <c r="AG721" s="10"/>
      <c r="AH721" s="10"/>
      <c r="AM721" s="10" t="str" cm="1">
        <f t="array" ref="AM7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1" s="10" t="str" cm="1">
        <f t="array" ref="AN7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1" s="4" t="e">
        <f>_xlfn.XLOOKUP(tbl_MTG_Set[[#This Row],[Play Booster Box Product Id]], tbl_Product[Product Id], tbl_Product[Pack Size])</f>
        <v>#N/A</v>
      </c>
      <c r="AP721" s="10" t="e">
        <f>(tbl_MTG_Set[[#This Row],[Play Booster Box Cost]]+v_Item_Shipping_Cost_In)/tbl_MTG_Set[[#This Row],[Play Booster Box Size]]</f>
        <v>#VALUE!</v>
      </c>
      <c r="AQ721" s="10" t="str" cm="1">
        <f t="array" ref="AQ7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1" s="10"/>
      <c r="AS721" s="10"/>
      <c r="AT721" s="17" t="e">
        <f>tbl_MTG_Set[[#This Row],[Play Booster CardMarket Profit]]/tbl_MTG_Set[[#This Row],[Play Booster Cost]]</f>
        <v>#VALUE!</v>
      </c>
      <c r="AU721" s="10" t="e">
        <f>_xlfn.XLOOKUP(tbl_MTG_Set[[#This Row],[Collector Booster Box Product Id]], tbl_Product[Product Id], tbl_Product[Min Cost])</f>
        <v>#N/A</v>
      </c>
      <c r="AV721" s="10" t="e">
        <f>_xlfn.XLOOKUP(tbl_MTG_Set[[#This Row],[Collector Booster Box Product Id]], tbl_Product[Product Id], tbl_Product[Best Source])</f>
        <v>#N/A</v>
      </c>
      <c r="AW721" s="4" t="e">
        <f>_xlfn.XLOOKUP(tbl_MTG_Set[[#This Row],[Collector Booster Box Product Id]], tbl_Product[Product Id], tbl_Product[Pack Size])</f>
        <v>#N/A</v>
      </c>
      <c r="AX721" s="10" t="e">
        <f>(tbl_MTG_Set[[#This Row],[Collector Booster Box Cost]] + v_Item_Shipping_Cost_In) / tbl_MTG_Set[[#This Row],[Collector Booster Box Size]]</f>
        <v>#N/A</v>
      </c>
      <c r="AY721" s="10" t="str" cm="1">
        <f t="array" ref="AY7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1" s="10"/>
      <c r="BA7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1" s="17" t="e">
        <f>tbl_MTG_Set[[#This Row],[Collector Booster CardMarket Profit]]/tbl_MTG_Set[[#This Row],[Collector Booster Cost]]</f>
        <v>#N/A</v>
      </c>
      <c r="BC721" s="10"/>
      <c r="BF7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1" s="11" t="e">
        <f>tbl_MTG_Set[[#This Row],[Play Singles CardMarket Profit MTG Stocks]]/tbl_MTG_Set[[#This Row],[Play Booster Cost]]</f>
        <v>#VALUE!</v>
      </c>
      <c r="BI721" s="11" t="b">
        <f>tbl_MTG_Set[[#This Row],[Play Singles CardMarket Profit MTG Stocks]]&gt;0</f>
        <v>0</v>
      </c>
      <c r="BM721" s="10" t="e">
        <f>tbl_MTG_Set[[#This Row],[Play Booster Sell Price CardMarket]]*tbl_MTG_Set[[#This Row],[Play Booster Expected Market Value BotBox]]/tbl_MTG_Set[[#This Row],[Play Booster Sealed Market Value BotBox]]</f>
        <v>#VALUE!</v>
      </c>
      <c r="BN7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1" s="10" t="e">
        <f>tbl_MTG_Set[[#This Row],[Play Singles CardMarket Profit BotBox]]/tbl_MTG_Set[[#This Row],[Play Booster Cost]]</f>
        <v>#VALUE!</v>
      </c>
      <c r="BP721" s="10" t="b">
        <f>tbl_MTG_Set[[#This Row],[Play Singles CardMarket Profit BotBox]]&gt;0</f>
        <v>0</v>
      </c>
      <c r="BQ721" s="10"/>
      <c r="BR721" s="10"/>
      <c r="BS721" s="10"/>
      <c r="BT7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1" s="19" t="e">
        <f>tbl_MTG_Set[[#This Row],[Collector Singles CardMarket Profit MTG Stocks]]/tbl_MTG_Set[[#This Row],[Collector Booster Cost]]</f>
        <v>#N/A</v>
      </c>
      <c r="BW721" s="10" t="b">
        <f>tbl_MTG_Set[[#This Row],[Collector Singles CardMarket Profit MTG Stocks]]&gt;0</f>
        <v>0</v>
      </c>
      <c r="BX721" s="10"/>
      <c r="BY721" s="10"/>
      <c r="BZ7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1" s="10" t="e">
        <f>tbl_MTG_Set[[#This Row],[Collector Singles CardMarket Profit BotBox]]/tbl_MTG_Set[[#This Row],[Collector Booster Cost]]</f>
        <v>#N/A</v>
      </c>
      <c r="CC721" s="10" t="b">
        <f>tbl_MTG_Set[[#This Row],[Collector Singles CardMarket Profit BotBox]]&gt;0</f>
        <v>0</v>
      </c>
      <c r="CD7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2" spans="1:86" hidden="1">
      <c r="A722">
        <v>754</v>
      </c>
      <c r="B722" t="s">
        <v>895</v>
      </c>
      <c r="C722">
        <v>249</v>
      </c>
      <c r="D722" s="3">
        <v>40375</v>
      </c>
      <c r="F722" t="s">
        <v>174</v>
      </c>
      <c r="G722">
        <v>1454</v>
      </c>
      <c r="H722">
        <f ca="1">MONTH(NOW())+12*YEAR(NOW())-MONTH(tbl_MTG_Set[[#This Row],[Released On]])-12*YEAR(tbl_MTG_Set[[#This Row],[Released On]])</f>
        <v>188</v>
      </c>
      <c r="I722" t="str">
        <f>_xlfn.XLOOKUP(tbl_MTG_Set[[#This Row],[Type Name]], tbl_MTG_Set_Type[Set Type], tbl_MTG_Set_Type[Index], "(Set Type not found)")</f>
        <v>(Set Type not found)</v>
      </c>
      <c r="J722" t="str">
        <f>_xlfn.XLOOKUP(tbl_MTG_Set[[#This Row],[Type Name]], tbl_MTG_Set_Type[Set Type], tbl_MTG_Set_Type[Buy Window Month Start], "(Set Type not found)")</f>
        <v>(Set Type not found)</v>
      </c>
      <c r="K722" s="3" t="e">
        <f>tbl_MTG_Set[[#This Row],[Released On]]+tbl_MTG_Set[[#This Row],[Buy Window Month Start]]*365.25/12</f>
        <v>#VALUE!</v>
      </c>
      <c r="L722" t="str">
        <f>_xlfn.XLOOKUP(tbl_MTG_Set[[#This Row],[Type Name]], tbl_MTG_Set_Type[Set Type], tbl_MTG_Set_Type[Buy Window Month End], "(Set Type not found)", 0, 1)</f>
        <v>(Set Type not found)</v>
      </c>
      <c r="M722" s="3" t="e">
        <f>tbl_MTG_Set[[#This Row],[Released On]]+tbl_MTG_Set[[#This Row],[Buy Window Month End]]*365.25/12</f>
        <v>#VALUE!</v>
      </c>
      <c r="N722" s="3" t="e">
        <f ca="1">AND(NOW()&gt;=tbl_MTG_Set[[#This Row],[Buy Window Start]], NOW()&lt;=tbl_MTG_Set[[#This Row],[Buy Window End]])</f>
        <v>#VALUE!</v>
      </c>
      <c r="O722" t="str">
        <f>_xlfn.XLOOKUP(tbl_MTG_Set[[#This Row],[Type Name]], tbl_MTG_Set_Type[Set Type], tbl_MTG_Set_Type[Heavy Printing Window Month Start], "(Set Type not found)", 0, 1)</f>
        <v>(Set Type not found)</v>
      </c>
      <c r="P722" s="3" t="e">
        <f>tbl_MTG_Set[[#This Row],[Released On]]+tbl_MTG_Set[[#This Row],[Heavy Printing Window Month Start]]*365.25/12</f>
        <v>#VALUE!</v>
      </c>
      <c r="Q722" t="str">
        <f>_xlfn.XLOOKUP(tbl_MTG_Set[[#This Row],[Type Name]], tbl_MTG_Set_Type[Set Type], tbl_MTG_Set_Type[Heavy Printing Window Month End], "(Set Type not found)", 0, 1)</f>
        <v>(Set Type not found)</v>
      </c>
      <c r="R722" s="3" t="e">
        <f>tbl_MTG_Set[[#This Row],[Released On]]+tbl_MTG_Set[[#This Row],[Heavy Printing Window Month End]]*365.25/12</f>
        <v>#VALUE!</v>
      </c>
      <c r="S722" s="3" t="e">
        <f ca="1">AND(NOW()&gt;=tbl_MTG_Set[[#This Row],[Heavy Printing Window Start]], NOW()&lt;=tbl_MTG_Set[[#This Row],[Heavy Printing Window End]])</f>
        <v>#VALUE!</v>
      </c>
      <c r="T722" t="str">
        <f>_xlfn.XLOOKUP(tbl_MTG_Set[[#This Row],[Type Name]], tbl_MTG_Set_Type[Set Type], tbl_MTG_Set_Type[Sell Window Month Start], "(Set Type not found)", 0, 1)</f>
        <v>(Set Type not found)</v>
      </c>
      <c r="U722" s="3" t="e">
        <f>tbl_MTG_Set[[#This Row],[Released On]]+tbl_MTG_Set[[#This Row],[Sell Window Month Start]]*365.25/12</f>
        <v>#VALUE!</v>
      </c>
      <c r="V722" t="str">
        <f>_xlfn.XLOOKUP(tbl_MTG_Set[[#This Row],[Type Name]], tbl_MTG_Set_Type[Set Type], tbl_MTG_Set_Type[Sell Window Month End], "(Set Type not found)", 0, 1)</f>
        <v>(Set Type not found)</v>
      </c>
      <c r="W722" s="3" t="e">
        <f>tbl_MTG_Set[[#This Row],[Released On]]+tbl_MTG_Set[[#This Row],[Sell Window Month End]]*365.25/12</f>
        <v>#VALUE!</v>
      </c>
      <c r="X722" s="3" t="e">
        <f ca="1">AND(NOW()&gt;=tbl_MTG_Set[[#This Row],[Sell Window Start]], NOW()&lt;=tbl_MTG_Set[[#This Row],[Sell Window End]])</f>
        <v>#VALUE!</v>
      </c>
      <c r="AG722" s="10"/>
      <c r="AH722" s="10"/>
      <c r="AM722" s="10" t="str" cm="1">
        <f t="array" ref="AM7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2" s="10" t="str" cm="1">
        <f t="array" ref="AN7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2" s="4" t="e">
        <f>_xlfn.XLOOKUP(tbl_MTG_Set[[#This Row],[Play Booster Box Product Id]], tbl_Product[Product Id], tbl_Product[Pack Size])</f>
        <v>#N/A</v>
      </c>
      <c r="AP722" s="10" t="e">
        <f>(tbl_MTG_Set[[#This Row],[Play Booster Box Cost]]+v_Item_Shipping_Cost_In)/tbl_MTG_Set[[#This Row],[Play Booster Box Size]]</f>
        <v>#VALUE!</v>
      </c>
      <c r="AQ722" s="10" t="str" cm="1">
        <f t="array" ref="AQ7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2" s="10"/>
      <c r="AS722" s="10"/>
      <c r="AT722" s="17" t="e">
        <f>tbl_MTG_Set[[#This Row],[Play Booster CardMarket Profit]]/tbl_MTG_Set[[#This Row],[Play Booster Cost]]</f>
        <v>#VALUE!</v>
      </c>
      <c r="AU722" s="10" t="e">
        <f>_xlfn.XLOOKUP(tbl_MTG_Set[[#This Row],[Collector Booster Box Product Id]], tbl_Product[Product Id], tbl_Product[Min Cost])</f>
        <v>#N/A</v>
      </c>
      <c r="AV722" s="10" t="e">
        <f>_xlfn.XLOOKUP(tbl_MTG_Set[[#This Row],[Collector Booster Box Product Id]], tbl_Product[Product Id], tbl_Product[Best Source])</f>
        <v>#N/A</v>
      </c>
      <c r="AW722" s="4" t="e">
        <f>_xlfn.XLOOKUP(tbl_MTG_Set[[#This Row],[Collector Booster Box Product Id]], tbl_Product[Product Id], tbl_Product[Pack Size])</f>
        <v>#N/A</v>
      </c>
      <c r="AX722" s="10" t="e">
        <f>(tbl_MTG_Set[[#This Row],[Collector Booster Box Cost]] + v_Item_Shipping_Cost_In) / tbl_MTG_Set[[#This Row],[Collector Booster Box Size]]</f>
        <v>#N/A</v>
      </c>
      <c r="AY722" s="10" t="str" cm="1">
        <f t="array" ref="AY7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2" s="10"/>
      <c r="BA7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2" s="17" t="e">
        <f>tbl_MTG_Set[[#This Row],[Collector Booster CardMarket Profit]]/tbl_MTG_Set[[#This Row],[Collector Booster Cost]]</f>
        <v>#N/A</v>
      </c>
      <c r="BC722" s="10"/>
      <c r="BF7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2" s="11" t="e">
        <f>tbl_MTG_Set[[#This Row],[Play Singles CardMarket Profit MTG Stocks]]/tbl_MTG_Set[[#This Row],[Play Booster Cost]]</f>
        <v>#VALUE!</v>
      </c>
      <c r="BI722" s="11" t="b">
        <f>tbl_MTG_Set[[#This Row],[Play Singles CardMarket Profit MTG Stocks]]&gt;0</f>
        <v>0</v>
      </c>
      <c r="BM722" s="10" t="e">
        <f>tbl_MTG_Set[[#This Row],[Play Booster Sell Price CardMarket]]*tbl_MTG_Set[[#This Row],[Play Booster Expected Market Value BotBox]]/tbl_MTG_Set[[#This Row],[Play Booster Sealed Market Value BotBox]]</f>
        <v>#VALUE!</v>
      </c>
      <c r="BN7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2" s="10" t="e">
        <f>tbl_MTG_Set[[#This Row],[Play Singles CardMarket Profit BotBox]]/tbl_MTG_Set[[#This Row],[Play Booster Cost]]</f>
        <v>#VALUE!</v>
      </c>
      <c r="BP722" s="10" t="b">
        <f>tbl_MTG_Set[[#This Row],[Play Singles CardMarket Profit BotBox]]&gt;0</f>
        <v>0</v>
      </c>
      <c r="BQ722" s="10"/>
      <c r="BR722" s="10"/>
      <c r="BS722" s="10"/>
      <c r="BT7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2" s="19" t="e">
        <f>tbl_MTG_Set[[#This Row],[Collector Singles CardMarket Profit MTG Stocks]]/tbl_MTG_Set[[#This Row],[Collector Booster Cost]]</f>
        <v>#N/A</v>
      </c>
      <c r="BW722" s="10" t="b">
        <f>tbl_MTG_Set[[#This Row],[Collector Singles CardMarket Profit MTG Stocks]]&gt;0</f>
        <v>0</v>
      </c>
      <c r="BX722" s="10"/>
      <c r="BY722" s="10"/>
      <c r="BZ7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2" s="10" t="e">
        <f>tbl_MTG_Set[[#This Row],[Collector Singles CardMarket Profit BotBox]]/tbl_MTG_Set[[#This Row],[Collector Booster Cost]]</f>
        <v>#N/A</v>
      </c>
      <c r="CC722" s="10" t="b">
        <f>tbl_MTG_Set[[#This Row],[Collector Singles CardMarket Profit BotBox]]&gt;0</f>
        <v>0</v>
      </c>
      <c r="CD7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3" spans="1:86" hidden="1">
      <c r="A723">
        <v>755</v>
      </c>
      <c r="B723" t="s">
        <v>896</v>
      </c>
      <c r="C723">
        <v>6</v>
      </c>
      <c r="D723" s="3">
        <v>40374</v>
      </c>
      <c r="F723" t="s">
        <v>174</v>
      </c>
      <c r="G723">
        <v>1456</v>
      </c>
      <c r="H723">
        <f ca="1">MONTH(NOW())+12*YEAR(NOW())-MONTH(tbl_MTG_Set[[#This Row],[Released On]])-12*YEAR(tbl_MTG_Set[[#This Row],[Released On]])</f>
        <v>188</v>
      </c>
      <c r="I723" t="str">
        <f>_xlfn.XLOOKUP(tbl_MTG_Set[[#This Row],[Type Name]], tbl_MTG_Set_Type[Set Type], tbl_MTG_Set_Type[Index], "(Set Type not found)")</f>
        <v>(Set Type not found)</v>
      </c>
      <c r="J723" t="str">
        <f>_xlfn.XLOOKUP(tbl_MTG_Set[[#This Row],[Type Name]], tbl_MTG_Set_Type[Set Type], tbl_MTG_Set_Type[Buy Window Month Start], "(Set Type not found)")</f>
        <v>(Set Type not found)</v>
      </c>
      <c r="K723" s="3" t="e">
        <f>tbl_MTG_Set[[#This Row],[Released On]]+tbl_MTG_Set[[#This Row],[Buy Window Month Start]]*365.25/12</f>
        <v>#VALUE!</v>
      </c>
      <c r="L723" t="str">
        <f>_xlfn.XLOOKUP(tbl_MTG_Set[[#This Row],[Type Name]], tbl_MTG_Set_Type[Set Type], tbl_MTG_Set_Type[Buy Window Month End], "(Set Type not found)", 0, 1)</f>
        <v>(Set Type not found)</v>
      </c>
      <c r="M723" s="3" t="e">
        <f>tbl_MTG_Set[[#This Row],[Released On]]+tbl_MTG_Set[[#This Row],[Buy Window Month End]]*365.25/12</f>
        <v>#VALUE!</v>
      </c>
      <c r="N723" s="3" t="e">
        <f ca="1">AND(NOW()&gt;=tbl_MTG_Set[[#This Row],[Buy Window Start]], NOW()&lt;=tbl_MTG_Set[[#This Row],[Buy Window End]])</f>
        <v>#VALUE!</v>
      </c>
      <c r="O723" t="str">
        <f>_xlfn.XLOOKUP(tbl_MTG_Set[[#This Row],[Type Name]], tbl_MTG_Set_Type[Set Type], tbl_MTG_Set_Type[Heavy Printing Window Month Start], "(Set Type not found)", 0, 1)</f>
        <v>(Set Type not found)</v>
      </c>
      <c r="P723" s="3" t="e">
        <f>tbl_MTG_Set[[#This Row],[Released On]]+tbl_MTG_Set[[#This Row],[Heavy Printing Window Month Start]]*365.25/12</f>
        <v>#VALUE!</v>
      </c>
      <c r="Q723" t="str">
        <f>_xlfn.XLOOKUP(tbl_MTG_Set[[#This Row],[Type Name]], tbl_MTG_Set_Type[Set Type], tbl_MTG_Set_Type[Heavy Printing Window Month End], "(Set Type not found)", 0, 1)</f>
        <v>(Set Type not found)</v>
      </c>
      <c r="R723" s="3" t="e">
        <f>tbl_MTG_Set[[#This Row],[Released On]]+tbl_MTG_Set[[#This Row],[Heavy Printing Window Month End]]*365.25/12</f>
        <v>#VALUE!</v>
      </c>
      <c r="S723" s="3" t="e">
        <f ca="1">AND(NOW()&gt;=tbl_MTG_Set[[#This Row],[Heavy Printing Window Start]], NOW()&lt;=tbl_MTG_Set[[#This Row],[Heavy Printing Window End]])</f>
        <v>#VALUE!</v>
      </c>
      <c r="T723" t="str">
        <f>_xlfn.XLOOKUP(tbl_MTG_Set[[#This Row],[Type Name]], tbl_MTG_Set_Type[Set Type], tbl_MTG_Set_Type[Sell Window Month Start], "(Set Type not found)", 0, 1)</f>
        <v>(Set Type not found)</v>
      </c>
      <c r="U723" s="3" t="e">
        <f>tbl_MTG_Set[[#This Row],[Released On]]+tbl_MTG_Set[[#This Row],[Sell Window Month Start]]*365.25/12</f>
        <v>#VALUE!</v>
      </c>
      <c r="V723" t="str">
        <f>_xlfn.XLOOKUP(tbl_MTG_Set[[#This Row],[Type Name]], tbl_MTG_Set_Type[Set Type], tbl_MTG_Set_Type[Sell Window Month End], "(Set Type not found)", 0, 1)</f>
        <v>(Set Type not found)</v>
      </c>
      <c r="W723" s="3" t="e">
        <f>tbl_MTG_Set[[#This Row],[Released On]]+tbl_MTG_Set[[#This Row],[Sell Window Month End]]*365.25/12</f>
        <v>#VALUE!</v>
      </c>
      <c r="X723" s="3" t="e">
        <f ca="1">AND(NOW()&gt;=tbl_MTG_Set[[#This Row],[Sell Window Start]], NOW()&lt;=tbl_MTG_Set[[#This Row],[Sell Window End]])</f>
        <v>#VALUE!</v>
      </c>
      <c r="AG723" s="10"/>
      <c r="AH723" s="10"/>
      <c r="AM723" s="10" t="str" cm="1">
        <f t="array" ref="AM7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3" s="10" t="str" cm="1">
        <f t="array" ref="AN7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3" s="4" t="e">
        <f>_xlfn.XLOOKUP(tbl_MTG_Set[[#This Row],[Play Booster Box Product Id]], tbl_Product[Product Id], tbl_Product[Pack Size])</f>
        <v>#N/A</v>
      </c>
      <c r="AP723" s="10" t="e">
        <f>(tbl_MTG_Set[[#This Row],[Play Booster Box Cost]]+v_Item_Shipping_Cost_In)/tbl_MTG_Set[[#This Row],[Play Booster Box Size]]</f>
        <v>#VALUE!</v>
      </c>
      <c r="AQ723" s="10" t="str" cm="1">
        <f t="array" ref="AQ7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3" s="10"/>
      <c r="AS723" s="10"/>
      <c r="AT723" s="17" t="e">
        <f>tbl_MTG_Set[[#This Row],[Play Booster CardMarket Profit]]/tbl_MTG_Set[[#This Row],[Play Booster Cost]]</f>
        <v>#VALUE!</v>
      </c>
      <c r="AU723" s="10" t="e">
        <f>_xlfn.XLOOKUP(tbl_MTG_Set[[#This Row],[Collector Booster Box Product Id]], tbl_Product[Product Id], tbl_Product[Min Cost])</f>
        <v>#N/A</v>
      </c>
      <c r="AV723" s="10" t="e">
        <f>_xlfn.XLOOKUP(tbl_MTG_Set[[#This Row],[Collector Booster Box Product Id]], tbl_Product[Product Id], tbl_Product[Best Source])</f>
        <v>#N/A</v>
      </c>
      <c r="AW723" s="4" t="e">
        <f>_xlfn.XLOOKUP(tbl_MTG_Set[[#This Row],[Collector Booster Box Product Id]], tbl_Product[Product Id], tbl_Product[Pack Size])</f>
        <v>#N/A</v>
      </c>
      <c r="AX723" s="10" t="e">
        <f>(tbl_MTG_Set[[#This Row],[Collector Booster Box Cost]] + v_Item_Shipping_Cost_In) / tbl_MTG_Set[[#This Row],[Collector Booster Box Size]]</f>
        <v>#N/A</v>
      </c>
      <c r="AY723" s="10" t="str" cm="1">
        <f t="array" ref="AY7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3" s="10"/>
      <c r="BA7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3" s="17" t="e">
        <f>tbl_MTG_Set[[#This Row],[Collector Booster CardMarket Profit]]/tbl_MTG_Set[[#This Row],[Collector Booster Cost]]</f>
        <v>#N/A</v>
      </c>
      <c r="BC723" s="10"/>
      <c r="BF7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3" s="11" t="e">
        <f>tbl_MTG_Set[[#This Row],[Play Singles CardMarket Profit MTG Stocks]]/tbl_MTG_Set[[#This Row],[Play Booster Cost]]</f>
        <v>#VALUE!</v>
      </c>
      <c r="BI723" s="11" t="b">
        <f>tbl_MTG_Set[[#This Row],[Play Singles CardMarket Profit MTG Stocks]]&gt;0</f>
        <v>0</v>
      </c>
      <c r="BM723" s="10" t="e">
        <f>tbl_MTG_Set[[#This Row],[Play Booster Sell Price CardMarket]]*tbl_MTG_Set[[#This Row],[Play Booster Expected Market Value BotBox]]/tbl_MTG_Set[[#This Row],[Play Booster Sealed Market Value BotBox]]</f>
        <v>#VALUE!</v>
      </c>
      <c r="BN7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3" s="10" t="e">
        <f>tbl_MTG_Set[[#This Row],[Play Singles CardMarket Profit BotBox]]/tbl_MTG_Set[[#This Row],[Play Booster Cost]]</f>
        <v>#VALUE!</v>
      </c>
      <c r="BP723" s="10" t="b">
        <f>tbl_MTG_Set[[#This Row],[Play Singles CardMarket Profit BotBox]]&gt;0</f>
        <v>0</v>
      </c>
      <c r="BQ723" s="10"/>
      <c r="BR723" s="10"/>
      <c r="BS723" s="10"/>
      <c r="BT7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3" s="19" t="e">
        <f>tbl_MTG_Set[[#This Row],[Collector Singles CardMarket Profit MTG Stocks]]/tbl_MTG_Set[[#This Row],[Collector Booster Cost]]</f>
        <v>#N/A</v>
      </c>
      <c r="BW723" s="10" t="b">
        <f>tbl_MTG_Set[[#This Row],[Collector Singles CardMarket Profit MTG Stocks]]&gt;0</f>
        <v>0</v>
      </c>
      <c r="BX723" s="10"/>
      <c r="BY723" s="10"/>
      <c r="BZ7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3" s="10" t="e">
        <f>tbl_MTG_Set[[#This Row],[Collector Singles CardMarket Profit BotBox]]/tbl_MTG_Set[[#This Row],[Collector Booster Cost]]</f>
        <v>#N/A</v>
      </c>
      <c r="CC723" s="10" t="b">
        <f>tbl_MTG_Set[[#This Row],[Collector Singles CardMarket Profit BotBox]]&gt;0</f>
        <v>0</v>
      </c>
      <c r="CD7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4" spans="1:86" hidden="1">
      <c r="A724">
        <v>756</v>
      </c>
      <c r="B724" t="s">
        <v>897</v>
      </c>
      <c r="C724">
        <v>6</v>
      </c>
      <c r="D724" s="3">
        <v>40375</v>
      </c>
      <c r="F724" t="s">
        <v>174</v>
      </c>
      <c r="G724">
        <v>1458</v>
      </c>
      <c r="H724">
        <f ca="1">MONTH(NOW())+12*YEAR(NOW())-MONTH(tbl_MTG_Set[[#This Row],[Released On]])-12*YEAR(tbl_MTG_Set[[#This Row],[Released On]])</f>
        <v>188</v>
      </c>
      <c r="I724" t="str">
        <f>_xlfn.XLOOKUP(tbl_MTG_Set[[#This Row],[Type Name]], tbl_MTG_Set_Type[Set Type], tbl_MTG_Set_Type[Index], "(Set Type not found)")</f>
        <v>(Set Type not found)</v>
      </c>
      <c r="J724" t="str">
        <f>_xlfn.XLOOKUP(tbl_MTG_Set[[#This Row],[Type Name]], tbl_MTG_Set_Type[Set Type], tbl_MTG_Set_Type[Buy Window Month Start], "(Set Type not found)")</f>
        <v>(Set Type not found)</v>
      </c>
      <c r="K724" s="3" t="e">
        <f>tbl_MTG_Set[[#This Row],[Released On]]+tbl_MTG_Set[[#This Row],[Buy Window Month Start]]*365.25/12</f>
        <v>#VALUE!</v>
      </c>
      <c r="L724" t="str">
        <f>_xlfn.XLOOKUP(tbl_MTG_Set[[#This Row],[Type Name]], tbl_MTG_Set_Type[Set Type], tbl_MTG_Set_Type[Buy Window Month End], "(Set Type not found)", 0, 1)</f>
        <v>(Set Type not found)</v>
      </c>
      <c r="M724" s="3" t="e">
        <f>tbl_MTG_Set[[#This Row],[Released On]]+tbl_MTG_Set[[#This Row],[Buy Window Month End]]*365.25/12</f>
        <v>#VALUE!</v>
      </c>
      <c r="N724" s="3" t="e">
        <f ca="1">AND(NOW()&gt;=tbl_MTG_Set[[#This Row],[Buy Window Start]], NOW()&lt;=tbl_MTG_Set[[#This Row],[Buy Window End]])</f>
        <v>#VALUE!</v>
      </c>
      <c r="O724" t="str">
        <f>_xlfn.XLOOKUP(tbl_MTG_Set[[#This Row],[Type Name]], tbl_MTG_Set_Type[Set Type], tbl_MTG_Set_Type[Heavy Printing Window Month Start], "(Set Type not found)", 0, 1)</f>
        <v>(Set Type not found)</v>
      </c>
      <c r="P724" s="3" t="e">
        <f>tbl_MTG_Set[[#This Row],[Released On]]+tbl_MTG_Set[[#This Row],[Heavy Printing Window Month Start]]*365.25/12</f>
        <v>#VALUE!</v>
      </c>
      <c r="Q724" t="str">
        <f>_xlfn.XLOOKUP(tbl_MTG_Set[[#This Row],[Type Name]], tbl_MTG_Set_Type[Set Type], tbl_MTG_Set_Type[Heavy Printing Window Month End], "(Set Type not found)", 0, 1)</f>
        <v>(Set Type not found)</v>
      </c>
      <c r="R724" s="3" t="e">
        <f>tbl_MTG_Set[[#This Row],[Released On]]+tbl_MTG_Set[[#This Row],[Heavy Printing Window Month End]]*365.25/12</f>
        <v>#VALUE!</v>
      </c>
      <c r="S724" s="3" t="e">
        <f ca="1">AND(NOW()&gt;=tbl_MTG_Set[[#This Row],[Heavy Printing Window Start]], NOW()&lt;=tbl_MTG_Set[[#This Row],[Heavy Printing Window End]])</f>
        <v>#VALUE!</v>
      </c>
      <c r="T724" t="str">
        <f>_xlfn.XLOOKUP(tbl_MTG_Set[[#This Row],[Type Name]], tbl_MTG_Set_Type[Set Type], tbl_MTG_Set_Type[Sell Window Month Start], "(Set Type not found)", 0, 1)</f>
        <v>(Set Type not found)</v>
      </c>
      <c r="U724" s="3" t="e">
        <f>tbl_MTG_Set[[#This Row],[Released On]]+tbl_MTG_Set[[#This Row],[Sell Window Month Start]]*365.25/12</f>
        <v>#VALUE!</v>
      </c>
      <c r="V724" t="str">
        <f>_xlfn.XLOOKUP(tbl_MTG_Set[[#This Row],[Type Name]], tbl_MTG_Set_Type[Set Type], tbl_MTG_Set_Type[Sell Window Month End], "(Set Type not found)", 0, 1)</f>
        <v>(Set Type not found)</v>
      </c>
      <c r="W724" s="3" t="e">
        <f>tbl_MTG_Set[[#This Row],[Released On]]+tbl_MTG_Set[[#This Row],[Sell Window Month End]]*365.25/12</f>
        <v>#VALUE!</v>
      </c>
      <c r="X724" s="3" t="e">
        <f ca="1">AND(NOW()&gt;=tbl_MTG_Set[[#This Row],[Sell Window Start]], NOW()&lt;=tbl_MTG_Set[[#This Row],[Sell Window End]])</f>
        <v>#VALUE!</v>
      </c>
      <c r="AG724" s="10"/>
      <c r="AH724" s="10"/>
      <c r="AM724" s="10" t="str" cm="1">
        <f t="array" ref="AM7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4" s="10" t="str" cm="1">
        <f t="array" ref="AN7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4" s="4" t="e">
        <f>_xlfn.XLOOKUP(tbl_MTG_Set[[#This Row],[Play Booster Box Product Id]], tbl_Product[Product Id], tbl_Product[Pack Size])</f>
        <v>#N/A</v>
      </c>
      <c r="AP724" s="10" t="e">
        <f>(tbl_MTG_Set[[#This Row],[Play Booster Box Cost]]+v_Item_Shipping_Cost_In)/tbl_MTG_Set[[#This Row],[Play Booster Box Size]]</f>
        <v>#VALUE!</v>
      </c>
      <c r="AQ724" s="10" t="str" cm="1">
        <f t="array" ref="AQ7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4" s="10"/>
      <c r="AS724" s="10"/>
      <c r="AT724" s="17" t="e">
        <f>tbl_MTG_Set[[#This Row],[Play Booster CardMarket Profit]]/tbl_MTG_Set[[#This Row],[Play Booster Cost]]</f>
        <v>#VALUE!</v>
      </c>
      <c r="AU724" s="10" t="e">
        <f>_xlfn.XLOOKUP(tbl_MTG_Set[[#This Row],[Collector Booster Box Product Id]], tbl_Product[Product Id], tbl_Product[Min Cost])</f>
        <v>#N/A</v>
      </c>
      <c r="AV724" s="10" t="e">
        <f>_xlfn.XLOOKUP(tbl_MTG_Set[[#This Row],[Collector Booster Box Product Id]], tbl_Product[Product Id], tbl_Product[Best Source])</f>
        <v>#N/A</v>
      </c>
      <c r="AW724" s="4" t="e">
        <f>_xlfn.XLOOKUP(tbl_MTG_Set[[#This Row],[Collector Booster Box Product Id]], tbl_Product[Product Id], tbl_Product[Pack Size])</f>
        <v>#N/A</v>
      </c>
      <c r="AX724" s="10" t="e">
        <f>(tbl_MTG_Set[[#This Row],[Collector Booster Box Cost]] + v_Item_Shipping_Cost_In) / tbl_MTG_Set[[#This Row],[Collector Booster Box Size]]</f>
        <v>#N/A</v>
      </c>
      <c r="AY724" s="10" t="str" cm="1">
        <f t="array" ref="AY7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4" s="10"/>
      <c r="BA7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4" s="17" t="e">
        <f>tbl_MTG_Set[[#This Row],[Collector Booster CardMarket Profit]]/tbl_MTG_Set[[#This Row],[Collector Booster Cost]]</f>
        <v>#N/A</v>
      </c>
      <c r="BC724" s="10"/>
      <c r="BF7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4" s="11" t="e">
        <f>tbl_MTG_Set[[#This Row],[Play Singles CardMarket Profit MTG Stocks]]/tbl_MTG_Set[[#This Row],[Play Booster Cost]]</f>
        <v>#VALUE!</v>
      </c>
      <c r="BI724" s="11" t="b">
        <f>tbl_MTG_Set[[#This Row],[Play Singles CardMarket Profit MTG Stocks]]&gt;0</f>
        <v>0</v>
      </c>
      <c r="BM724" s="10" t="e">
        <f>tbl_MTG_Set[[#This Row],[Play Booster Sell Price CardMarket]]*tbl_MTG_Set[[#This Row],[Play Booster Expected Market Value BotBox]]/tbl_MTG_Set[[#This Row],[Play Booster Sealed Market Value BotBox]]</f>
        <v>#VALUE!</v>
      </c>
      <c r="BN7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4" s="10" t="e">
        <f>tbl_MTG_Set[[#This Row],[Play Singles CardMarket Profit BotBox]]/tbl_MTG_Set[[#This Row],[Play Booster Cost]]</f>
        <v>#VALUE!</v>
      </c>
      <c r="BP724" s="10" t="b">
        <f>tbl_MTG_Set[[#This Row],[Play Singles CardMarket Profit BotBox]]&gt;0</f>
        <v>0</v>
      </c>
      <c r="BQ724" s="10"/>
      <c r="BR724" s="10"/>
      <c r="BS724" s="10"/>
      <c r="BT7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4" s="19" t="e">
        <f>tbl_MTG_Set[[#This Row],[Collector Singles CardMarket Profit MTG Stocks]]/tbl_MTG_Set[[#This Row],[Collector Booster Cost]]</f>
        <v>#N/A</v>
      </c>
      <c r="BW724" s="10" t="b">
        <f>tbl_MTG_Set[[#This Row],[Collector Singles CardMarket Profit MTG Stocks]]&gt;0</f>
        <v>0</v>
      </c>
      <c r="BX724" s="10"/>
      <c r="BY724" s="10"/>
      <c r="BZ7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4" s="10" t="e">
        <f>tbl_MTG_Set[[#This Row],[Collector Singles CardMarket Profit BotBox]]/tbl_MTG_Set[[#This Row],[Collector Booster Cost]]</f>
        <v>#N/A</v>
      </c>
      <c r="CC724" s="10" t="b">
        <f>tbl_MTG_Set[[#This Row],[Collector Singles CardMarket Profit BotBox]]&gt;0</f>
        <v>0</v>
      </c>
      <c r="CD7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5" spans="1:86" hidden="1">
      <c r="A725">
        <v>757</v>
      </c>
      <c r="B725" t="s">
        <v>898</v>
      </c>
      <c r="C725">
        <v>150</v>
      </c>
      <c r="D725" s="3">
        <v>40347</v>
      </c>
      <c r="F725" t="s">
        <v>174</v>
      </c>
      <c r="G725">
        <v>1460</v>
      </c>
      <c r="H725">
        <f ca="1">MONTH(NOW())+12*YEAR(NOW())-MONTH(tbl_MTG_Set[[#This Row],[Released On]])-12*YEAR(tbl_MTG_Set[[#This Row],[Released On]])</f>
        <v>189</v>
      </c>
      <c r="I725" t="str">
        <f>_xlfn.XLOOKUP(tbl_MTG_Set[[#This Row],[Type Name]], tbl_MTG_Set_Type[Set Type], tbl_MTG_Set_Type[Index], "(Set Type not found)")</f>
        <v>(Set Type not found)</v>
      </c>
      <c r="J725" t="str">
        <f>_xlfn.XLOOKUP(tbl_MTG_Set[[#This Row],[Type Name]], tbl_MTG_Set_Type[Set Type], tbl_MTG_Set_Type[Buy Window Month Start], "(Set Type not found)")</f>
        <v>(Set Type not found)</v>
      </c>
      <c r="K725" s="3" t="e">
        <f>tbl_MTG_Set[[#This Row],[Released On]]+tbl_MTG_Set[[#This Row],[Buy Window Month Start]]*365.25/12</f>
        <v>#VALUE!</v>
      </c>
      <c r="L725" t="str">
        <f>_xlfn.XLOOKUP(tbl_MTG_Set[[#This Row],[Type Name]], tbl_MTG_Set_Type[Set Type], tbl_MTG_Set_Type[Buy Window Month End], "(Set Type not found)", 0, 1)</f>
        <v>(Set Type not found)</v>
      </c>
      <c r="M725" s="3" t="e">
        <f>tbl_MTG_Set[[#This Row],[Released On]]+tbl_MTG_Set[[#This Row],[Buy Window Month End]]*365.25/12</f>
        <v>#VALUE!</v>
      </c>
      <c r="N725" s="3" t="e">
        <f ca="1">AND(NOW()&gt;=tbl_MTG_Set[[#This Row],[Buy Window Start]], NOW()&lt;=tbl_MTG_Set[[#This Row],[Buy Window End]])</f>
        <v>#VALUE!</v>
      </c>
      <c r="O725" t="str">
        <f>_xlfn.XLOOKUP(tbl_MTG_Set[[#This Row],[Type Name]], tbl_MTG_Set_Type[Set Type], tbl_MTG_Set_Type[Heavy Printing Window Month Start], "(Set Type not found)", 0, 1)</f>
        <v>(Set Type not found)</v>
      </c>
      <c r="P725" s="3" t="e">
        <f>tbl_MTG_Set[[#This Row],[Released On]]+tbl_MTG_Set[[#This Row],[Heavy Printing Window Month Start]]*365.25/12</f>
        <v>#VALUE!</v>
      </c>
      <c r="Q725" t="str">
        <f>_xlfn.XLOOKUP(tbl_MTG_Set[[#This Row],[Type Name]], tbl_MTG_Set_Type[Set Type], tbl_MTG_Set_Type[Heavy Printing Window Month End], "(Set Type not found)", 0, 1)</f>
        <v>(Set Type not found)</v>
      </c>
      <c r="R725" s="3" t="e">
        <f>tbl_MTG_Set[[#This Row],[Released On]]+tbl_MTG_Set[[#This Row],[Heavy Printing Window Month End]]*365.25/12</f>
        <v>#VALUE!</v>
      </c>
      <c r="S725" s="3" t="e">
        <f ca="1">AND(NOW()&gt;=tbl_MTG_Set[[#This Row],[Heavy Printing Window Start]], NOW()&lt;=tbl_MTG_Set[[#This Row],[Heavy Printing Window End]])</f>
        <v>#VALUE!</v>
      </c>
      <c r="T725" t="str">
        <f>_xlfn.XLOOKUP(tbl_MTG_Set[[#This Row],[Type Name]], tbl_MTG_Set_Type[Set Type], tbl_MTG_Set_Type[Sell Window Month Start], "(Set Type not found)", 0, 1)</f>
        <v>(Set Type not found)</v>
      </c>
      <c r="U725" s="3" t="e">
        <f>tbl_MTG_Set[[#This Row],[Released On]]+tbl_MTG_Set[[#This Row],[Sell Window Month Start]]*365.25/12</f>
        <v>#VALUE!</v>
      </c>
      <c r="V725" t="str">
        <f>_xlfn.XLOOKUP(tbl_MTG_Set[[#This Row],[Type Name]], tbl_MTG_Set_Type[Set Type], tbl_MTG_Set_Type[Sell Window Month End], "(Set Type not found)", 0, 1)</f>
        <v>(Set Type not found)</v>
      </c>
      <c r="W725" s="3" t="e">
        <f>tbl_MTG_Set[[#This Row],[Released On]]+tbl_MTG_Set[[#This Row],[Sell Window Month End]]*365.25/12</f>
        <v>#VALUE!</v>
      </c>
      <c r="X725" s="3" t="e">
        <f ca="1">AND(NOW()&gt;=tbl_MTG_Set[[#This Row],[Sell Window Start]], NOW()&lt;=tbl_MTG_Set[[#This Row],[Sell Window End]])</f>
        <v>#VALUE!</v>
      </c>
      <c r="AG725" s="10"/>
      <c r="AH725" s="10"/>
      <c r="AM725" s="10" t="str" cm="1">
        <f t="array" ref="AM7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5" s="10" t="str" cm="1">
        <f t="array" ref="AN7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5" s="4" t="e">
        <f>_xlfn.XLOOKUP(tbl_MTG_Set[[#This Row],[Play Booster Box Product Id]], tbl_Product[Product Id], tbl_Product[Pack Size])</f>
        <v>#N/A</v>
      </c>
      <c r="AP725" s="10" t="e">
        <f>(tbl_MTG_Set[[#This Row],[Play Booster Box Cost]]+v_Item_Shipping_Cost_In)/tbl_MTG_Set[[#This Row],[Play Booster Box Size]]</f>
        <v>#VALUE!</v>
      </c>
      <c r="AQ725" s="10" t="str" cm="1">
        <f t="array" ref="AQ7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5" s="10"/>
      <c r="AS725" s="10"/>
      <c r="AT725" s="17" t="e">
        <f>tbl_MTG_Set[[#This Row],[Play Booster CardMarket Profit]]/tbl_MTG_Set[[#This Row],[Play Booster Cost]]</f>
        <v>#VALUE!</v>
      </c>
      <c r="AU725" s="10" t="e">
        <f>_xlfn.XLOOKUP(tbl_MTG_Set[[#This Row],[Collector Booster Box Product Id]], tbl_Product[Product Id], tbl_Product[Min Cost])</f>
        <v>#N/A</v>
      </c>
      <c r="AV725" s="10" t="e">
        <f>_xlfn.XLOOKUP(tbl_MTG_Set[[#This Row],[Collector Booster Box Product Id]], tbl_Product[Product Id], tbl_Product[Best Source])</f>
        <v>#N/A</v>
      </c>
      <c r="AW725" s="4" t="e">
        <f>_xlfn.XLOOKUP(tbl_MTG_Set[[#This Row],[Collector Booster Box Product Id]], tbl_Product[Product Id], tbl_Product[Pack Size])</f>
        <v>#N/A</v>
      </c>
      <c r="AX725" s="10" t="e">
        <f>(tbl_MTG_Set[[#This Row],[Collector Booster Box Cost]] + v_Item_Shipping_Cost_In) / tbl_MTG_Set[[#This Row],[Collector Booster Box Size]]</f>
        <v>#N/A</v>
      </c>
      <c r="AY725" s="10" t="str" cm="1">
        <f t="array" ref="AY7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5" s="10"/>
      <c r="BA7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5" s="17" t="e">
        <f>tbl_MTG_Set[[#This Row],[Collector Booster CardMarket Profit]]/tbl_MTG_Set[[#This Row],[Collector Booster Cost]]</f>
        <v>#N/A</v>
      </c>
      <c r="BC725" s="10"/>
      <c r="BF7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5" s="11" t="e">
        <f>tbl_MTG_Set[[#This Row],[Play Singles CardMarket Profit MTG Stocks]]/tbl_MTG_Set[[#This Row],[Play Booster Cost]]</f>
        <v>#VALUE!</v>
      </c>
      <c r="BI725" s="11" t="b">
        <f>tbl_MTG_Set[[#This Row],[Play Singles CardMarket Profit MTG Stocks]]&gt;0</f>
        <v>0</v>
      </c>
      <c r="BM725" s="10" t="e">
        <f>tbl_MTG_Set[[#This Row],[Play Booster Sell Price CardMarket]]*tbl_MTG_Set[[#This Row],[Play Booster Expected Market Value BotBox]]/tbl_MTG_Set[[#This Row],[Play Booster Sealed Market Value BotBox]]</f>
        <v>#VALUE!</v>
      </c>
      <c r="BN7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5" s="10" t="e">
        <f>tbl_MTG_Set[[#This Row],[Play Singles CardMarket Profit BotBox]]/tbl_MTG_Set[[#This Row],[Play Booster Cost]]</f>
        <v>#VALUE!</v>
      </c>
      <c r="BP725" s="10" t="b">
        <f>tbl_MTG_Set[[#This Row],[Play Singles CardMarket Profit BotBox]]&gt;0</f>
        <v>0</v>
      </c>
      <c r="BQ725" s="10"/>
      <c r="BR725" s="10"/>
      <c r="BS725" s="10"/>
      <c r="BT7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5" s="19" t="e">
        <f>tbl_MTG_Set[[#This Row],[Collector Singles CardMarket Profit MTG Stocks]]/tbl_MTG_Set[[#This Row],[Collector Booster Cost]]</f>
        <v>#N/A</v>
      </c>
      <c r="BW725" s="10" t="b">
        <f>tbl_MTG_Set[[#This Row],[Collector Singles CardMarket Profit MTG Stocks]]&gt;0</f>
        <v>0</v>
      </c>
      <c r="BX725" s="10"/>
      <c r="BY725" s="10"/>
      <c r="BZ7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5" s="10" t="e">
        <f>tbl_MTG_Set[[#This Row],[Collector Singles CardMarket Profit BotBox]]/tbl_MTG_Set[[#This Row],[Collector Booster Cost]]</f>
        <v>#N/A</v>
      </c>
      <c r="CC725" s="10" t="b">
        <f>tbl_MTG_Set[[#This Row],[Collector Singles CardMarket Profit BotBox]]&gt;0</f>
        <v>0</v>
      </c>
      <c r="CD7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6" spans="1:86" hidden="1">
      <c r="A726">
        <v>758</v>
      </c>
      <c r="B726" t="s">
        <v>899</v>
      </c>
      <c r="C726">
        <v>45</v>
      </c>
      <c r="D726" s="3">
        <v>40347</v>
      </c>
      <c r="F726" t="s">
        <v>174</v>
      </c>
      <c r="G726">
        <v>1462</v>
      </c>
      <c r="H726">
        <f ca="1">MONTH(NOW())+12*YEAR(NOW())-MONTH(tbl_MTG_Set[[#This Row],[Released On]])-12*YEAR(tbl_MTG_Set[[#This Row],[Released On]])</f>
        <v>189</v>
      </c>
      <c r="I726" t="str">
        <f>_xlfn.XLOOKUP(tbl_MTG_Set[[#This Row],[Type Name]], tbl_MTG_Set_Type[Set Type], tbl_MTG_Set_Type[Index], "(Set Type not found)")</f>
        <v>(Set Type not found)</v>
      </c>
      <c r="J726" t="str">
        <f>_xlfn.XLOOKUP(tbl_MTG_Set[[#This Row],[Type Name]], tbl_MTG_Set_Type[Set Type], tbl_MTG_Set_Type[Buy Window Month Start], "(Set Type not found)")</f>
        <v>(Set Type not found)</v>
      </c>
      <c r="K726" s="3" t="e">
        <f>tbl_MTG_Set[[#This Row],[Released On]]+tbl_MTG_Set[[#This Row],[Buy Window Month Start]]*365.25/12</f>
        <v>#VALUE!</v>
      </c>
      <c r="L726" t="str">
        <f>_xlfn.XLOOKUP(tbl_MTG_Set[[#This Row],[Type Name]], tbl_MTG_Set_Type[Set Type], tbl_MTG_Set_Type[Buy Window Month End], "(Set Type not found)", 0, 1)</f>
        <v>(Set Type not found)</v>
      </c>
      <c r="M726" s="3" t="e">
        <f>tbl_MTG_Set[[#This Row],[Released On]]+tbl_MTG_Set[[#This Row],[Buy Window Month End]]*365.25/12</f>
        <v>#VALUE!</v>
      </c>
      <c r="N726" s="3" t="e">
        <f ca="1">AND(NOW()&gt;=tbl_MTG_Set[[#This Row],[Buy Window Start]], NOW()&lt;=tbl_MTG_Set[[#This Row],[Buy Window End]])</f>
        <v>#VALUE!</v>
      </c>
      <c r="O726" t="str">
        <f>_xlfn.XLOOKUP(tbl_MTG_Set[[#This Row],[Type Name]], tbl_MTG_Set_Type[Set Type], tbl_MTG_Set_Type[Heavy Printing Window Month Start], "(Set Type not found)", 0, 1)</f>
        <v>(Set Type not found)</v>
      </c>
      <c r="P726" s="3" t="e">
        <f>tbl_MTG_Set[[#This Row],[Released On]]+tbl_MTG_Set[[#This Row],[Heavy Printing Window Month Start]]*365.25/12</f>
        <v>#VALUE!</v>
      </c>
      <c r="Q726" t="str">
        <f>_xlfn.XLOOKUP(tbl_MTG_Set[[#This Row],[Type Name]], tbl_MTG_Set_Type[Set Type], tbl_MTG_Set_Type[Heavy Printing Window Month End], "(Set Type not found)", 0, 1)</f>
        <v>(Set Type not found)</v>
      </c>
      <c r="R726" s="3" t="e">
        <f>tbl_MTG_Set[[#This Row],[Released On]]+tbl_MTG_Set[[#This Row],[Heavy Printing Window Month End]]*365.25/12</f>
        <v>#VALUE!</v>
      </c>
      <c r="S726" s="3" t="e">
        <f ca="1">AND(NOW()&gt;=tbl_MTG_Set[[#This Row],[Heavy Printing Window Start]], NOW()&lt;=tbl_MTG_Set[[#This Row],[Heavy Printing Window End]])</f>
        <v>#VALUE!</v>
      </c>
      <c r="T726" t="str">
        <f>_xlfn.XLOOKUP(tbl_MTG_Set[[#This Row],[Type Name]], tbl_MTG_Set_Type[Set Type], tbl_MTG_Set_Type[Sell Window Month Start], "(Set Type not found)", 0, 1)</f>
        <v>(Set Type not found)</v>
      </c>
      <c r="U726" s="3" t="e">
        <f>tbl_MTG_Set[[#This Row],[Released On]]+tbl_MTG_Set[[#This Row],[Sell Window Month Start]]*365.25/12</f>
        <v>#VALUE!</v>
      </c>
      <c r="V726" t="str">
        <f>_xlfn.XLOOKUP(tbl_MTG_Set[[#This Row],[Type Name]], tbl_MTG_Set_Type[Set Type], tbl_MTG_Set_Type[Sell Window Month End], "(Set Type not found)", 0, 1)</f>
        <v>(Set Type not found)</v>
      </c>
      <c r="W726" s="3" t="e">
        <f>tbl_MTG_Set[[#This Row],[Released On]]+tbl_MTG_Set[[#This Row],[Sell Window Month End]]*365.25/12</f>
        <v>#VALUE!</v>
      </c>
      <c r="X726" s="3" t="e">
        <f ca="1">AND(NOW()&gt;=tbl_MTG_Set[[#This Row],[Sell Window Start]], NOW()&lt;=tbl_MTG_Set[[#This Row],[Sell Window End]])</f>
        <v>#VALUE!</v>
      </c>
      <c r="AG726" s="10"/>
      <c r="AH726" s="10"/>
      <c r="AM726" s="10" t="str" cm="1">
        <f t="array" ref="AM7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6" s="10" t="str" cm="1">
        <f t="array" ref="AN7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6" s="4" t="e">
        <f>_xlfn.XLOOKUP(tbl_MTG_Set[[#This Row],[Play Booster Box Product Id]], tbl_Product[Product Id], tbl_Product[Pack Size])</f>
        <v>#N/A</v>
      </c>
      <c r="AP726" s="10" t="e">
        <f>(tbl_MTG_Set[[#This Row],[Play Booster Box Cost]]+v_Item_Shipping_Cost_In)/tbl_MTG_Set[[#This Row],[Play Booster Box Size]]</f>
        <v>#VALUE!</v>
      </c>
      <c r="AQ726" s="10" t="str" cm="1">
        <f t="array" ref="AQ7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6" s="10"/>
      <c r="AS726" s="10"/>
      <c r="AT726" s="17" t="e">
        <f>tbl_MTG_Set[[#This Row],[Play Booster CardMarket Profit]]/tbl_MTG_Set[[#This Row],[Play Booster Cost]]</f>
        <v>#VALUE!</v>
      </c>
      <c r="AU726" s="10" t="e">
        <f>_xlfn.XLOOKUP(tbl_MTG_Set[[#This Row],[Collector Booster Box Product Id]], tbl_Product[Product Id], tbl_Product[Min Cost])</f>
        <v>#N/A</v>
      </c>
      <c r="AV726" s="10" t="e">
        <f>_xlfn.XLOOKUP(tbl_MTG_Set[[#This Row],[Collector Booster Box Product Id]], tbl_Product[Product Id], tbl_Product[Best Source])</f>
        <v>#N/A</v>
      </c>
      <c r="AW726" s="4" t="e">
        <f>_xlfn.XLOOKUP(tbl_MTG_Set[[#This Row],[Collector Booster Box Product Id]], tbl_Product[Product Id], tbl_Product[Pack Size])</f>
        <v>#N/A</v>
      </c>
      <c r="AX726" s="10" t="e">
        <f>(tbl_MTG_Set[[#This Row],[Collector Booster Box Cost]] + v_Item_Shipping_Cost_In) / tbl_MTG_Set[[#This Row],[Collector Booster Box Size]]</f>
        <v>#N/A</v>
      </c>
      <c r="AY726" s="10" t="str" cm="1">
        <f t="array" ref="AY7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6" s="10"/>
      <c r="BA7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6" s="17" t="e">
        <f>tbl_MTG_Set[[#This Row],[Collector Booster CardMarket Profit]]/tbl_MTG_Set[[#This Row],[Collector Booster Cost]]</f>
        <v>#N/A</v>
      </c>
      <c r="BC726" s="10"/>
      <c r="BF7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6" s="11" t="e">
        <f>tbl_MTG_Set[[#This Row],[Play Singles CardMarket Profit MTG Stocks]]/tbl_MTG_Set[[#This Row],[Play Booster Cost]]</f>
        <v>#VALUE!</v>
      </c>
      <c r="BI726" s="11" t="b">
        <f>tbl_MTG_Set[[#This Row],[Play Singles CardMarket Profit MTG Stocks]]&gt;0</f>
        <v>0</v>
      </c>
      <c r="BM726" s="10" t="e">
        <f>tbl_MTG_Set[[#This Row],[Play Booster Sell Price CardMarket]]*tbl_MTG_Set[[#This Row],[Play Booster Expected Market Value BotBox]]/tbl_MTG_Set[[#This Row],[Play Booster Sealed Market Value BotBox]]</f>
        <v>#VALUE!</v>
      </c>
      <c r="BN7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6" s="10" t="e">
        <f>tbl_MTG_Set[[#This Row],[Play Singles CardMarket Profit BotBox]]/tbl_MTG_Set[[#This Row],[Play Booster Cost]]</f>
        <v>#VALUE!</v>
      </c>
      <c r="BP726" s="10" t="b">
        <f>tbl_MTG_Set[[#This Row],[Play Singles CardMarket Profit BotBox]]&gt;0</f>
        <v>0</v>
      </c>
      <c r="BQ726" s="10"/>
      <c r="BR726" s="10"/>
      <c r="BS726" s="10"/>
      <c r="BT7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6" s="19" t="e">
        <f>tbl_MTG_Set[[#This Row],[Collector Singles CardMarket Profit MTG Stocks]]/tbl_MTG_Set[[#This Row],[Collector Booster Cost]]</f>
        <v>#N/A</v>
      </c>
      <c r="BW726" s="10" t="b">
        <f>tbl_MTG_Set[[#This Row],[Collector Singles CardMarket Profit MTG Stocks]]&gt;0</f>
        <v>0</v>
      </c>
      <c r="BX726" s="10"/>
      <c r="BY726" s="10"/>
      <c r="BZ7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6" s="10" t="e">
        <f>tbl_MTG_Set[[#This Row],[Collector Singles CardMarket Profit BotBox]]/tbl_MTG_Set[[#This Row],[Collector Booster Cost]]</f>
        <v>#N/A</v>
      </c>
      <c r="CC726" s="10" t="b">
        <f>tbl_MTG_Set[[#This Row],[Collector Singles CardMarket Profit BotBox]]&gt;0</f>
        <v>0</v>
      </c>
      <c r="CD7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7" spans="1:86" hidden="1">
      <c r="A727">
        <v>759</v>
      </c>
      <c r="B727" t="s">
        <v>900</v>
      </c>
      <c r="C727">
        <v>113</v>
      </c>
      <c r="D727" s="3">
        <v>40333</v>
      </c>
      <c r="F727" t="s">
        <v>174</v>
      </c>
      <c r="G727">
        <v>1464</v>
      </c>
      <c r="H727">
        <f ca="1">MONTH(NOW())+12*YEAR(NOW())-MONTH(tbl_MTG_Set[[#This Row],[Released On]])-12*YEAR(tbl_MTG_Set[[#This Row],[Released On]])</f>
        <v>189</v>
      </c>
      <c r="I727" t="str">
        <f>_xlfn.XLOOKUP(tbl_MTG_Set[[#This Row],[Type Name]], tbl_MTG_Set_Type[Set Type], tbl_MTG_Set_Type[Index], "(Set Type not found)")</f>
        <v>(Set Type not found)</v>
      </c>
      <c r="J727" t="str">
        <f>_xlfn.XLOOKUP(tbl_MTG_Set[[#This Row],[Type Name]], tbl_MTG_Set_Type[Set Type], tbl_MTG_Set_Type[Buy Window Month Start], "(Set Type not found)")</f>
        <v>(Set Type not found)</v>
      </c>
      <c r="K727" s="3" t="e">
        <f>tbl_MTG_Set[[#This Row],[Released On]]+tbl_MTG_Set[[#This Row],[Buy Window Month Start]]*365.25/12</f>
        <v>#VALUE!</v>
      </c>
      <c r="L727" t="str">
        <f>_xlfn.XLOOKUP(tbl_MTG_Set[[#This Row],[Type Name]], tbl_MTG_Set_Type[Set Type], tbl_MTG_Set_Type[Buy Window Month End], "(Set Type not found)", 0, 1)</f>
        <v>(Set Type not found)</v>
      </c>
      <c r="M727" s="3" t="e">
        <f>tbl_MTG_Set[[#This Row],[Released On]]+tbl_MTG_Set[[#This Row],[Buy Window Month End]]*365.25/12</f>
        <v>#VALUE!</v>
      </c>
      <c r="N727" s="3" t="e">
        <f ca="1">AND(NOW()&gt;=tbl_MTG_Set[[#This Row],[Buy Window Start]], NOW()&lt;=tbl_MTG_Set[[#This Row],[Buy Window End]])</f>
        <v>#VALUE!</v>
      </c>
      <c r="O727" t="str">
        <f>_xlfn.XLOOKUP(tbl_MTG_Set[[#This Row],[Type Name]], tbl_MTG_Set_Type[Set Type], tbl_MTG_Set_Type[Heavy Printing Window Month Start], "(Set Type not found)", 0, 1)</f>
        <v>(Set Type not found)</v>
      </c>
      <c r="P727" s="3" t="e">
        <f>tbl_MTG_Set[[#This Row],[Released On]]+tbl_MTG_Set[[#This Row],[Heavy Printing Window Month Start]]*365.25/12</f>
        <v>#VALUE!</v>
      </c>
      <c r="Q727" t="str">
        <f>_xlfn.XLOOKUP(tbl_MTG_Set[[#This Row],[Type Name]], tbl_MTG_Set_Type[Set Type], tbl_MTG_Set_Type[Heavy Printing Window Month End], "(Set Type not found)", 0, 1)</f>
        <v>(Set Type not found)</v>
      </c>
      <c r="R727" s="3" t="e">
        <f>tbl_MTG_Set[[#This Row],[Released On]]+tbl_MTG_Set[[#This Row],[Heavy Printing Window Month End]]*365.25/12</f>
        <v>#VALUE!</v>
      </c>
      <c r="S727" s="3" t="e">
        <f ca="1">AND(NOW()&gt;=tbl_MTG_Set[[#This Row],[Heavy Printing Window Start]], NOW()&lt;=tbl_MTG_Set[[#This Row],[Heavy Printing Window End]])</f>
        <v>#VALUE!</v>
      </c>
      <c r="T727" t="str">
        <f>_xlfn.XLOOKUP(tbl_MTG_Set[[#This Row],[Type Name]], tbl_MTG_Set_Type[Set Type], tbl_MTG_Set_Type[Sell Window Month Start], "(Set Type not found)", 0, 1)</f>
        <v>(Set Type not found)</v>
      </c>
      <c r="U727" s="3" t="e">
        <f>tbl_MTG_Set[[#This Row],[Released On]]+tbl_MTG_Set[[#This Row],[Sell Window Month Start]]*365.25/12</f>
        <v>#VALUE!</v>
      </c>
      <c r="V727" t="str">
        <f>_xlfn.XLOOKUP(tbl_MTG_Set[[#This Row],[Type Name]], tbl_MTG_Set_Type[Set Type], tbl_MTG_Set_Type[Sell Window Month End], "(Set Type not found)", 0, 1)</f>
        <v>(Set Type not found)</v>
      </c>
      <c r="W727" s="3" t="e">
        <f>tbl_MTG_Set[[#This Row],[Released On]]+tbl_MTG_Set[[#This Row],[Sell Window Month End]]*365.25/12</f>
        <v>#VALUE!</v>
      </c>
      <c r="X727" s="3" t="e">
        <f ca="1">AND(NOW()&gt;=tbl_MTG_Set[[#This Row],[Sell Window Start]], NOW()&lt;=tbl_MTG_Set[[#This Row],[Sell Window End]])</f>
        <v>#VALUE!</v>
      </c>
      <c r="AG727" s="10"/>
      <c r="AH727" s="10"/>
      <c r="AM727" s="10" t="str" cm="1">
        <f t="array" ref="AM7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7" s="10" t="str" cm="1">
        <f t="array" ref="AN7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7" s="4" t="e">
        <f>_xlfn.XLOOKUP(tbl_MTG_Set[[#This Row],[Play Booster Box Product Id]], tbl_Product[Product Id], tbl_Product[Pack Size])</f>
        <v>#N/A</v>
      </c>
      <c r="AP727" s="10" t="e">
        <f>(tbl_MTG_Set[[#This Row],[Play Booster Box Cost]]+v_Item_Shipping_Cost_In)/tbl_MTG_Set[[#This Row],[Play Booster Box Size]]</f>
        <v>#VALUE!</v>
      </c>
      <c r="AQ727" s="10" t="str" cm="1">
        <f t="array" ref="AQ7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7" s="10"/>
      <c r="AS727" s="10"/>
      <c r="AT727" s="17" t="e">
        <f>tbl_MTG_Set[[#This Row],[Play Booster CardMarket Profit]]/tbl_MTG_Set[[#This Row],[Play Booster Cost]]</f>
        <v>#VALUE!</v>
      </c>
      <c r="AU727" s="10" t="e">
        <f>_xlfn.XLOOKUP(tbl_MTG_Set[[#This Row],[Collector Booster Box Product Id]], tbl_Product[Product Id], tbl_Product[Min Cost])</f>
        <v>#N/A</v>
      </c>
      <c r="AV727" s="10" t="e">
        <f>_xlfn.XLOOKUP(tbl_MTG_Set[[#This Row],[Collector Booster Box Product Id]], tbl_Product[Product Id], tbl_Product[Best Source])</f>
        <v>#N/A</v>
      </c>
      <c r="AW727" s="4" t="e">
        <f>_xlfn.XLOOKUP(tbl_MTG_Set[[#This Row],[Collector Booster Box Product Id]], tbl_Product[Product Id], tbl_Product[Pack Size])</f>
        <v>#N/A</v>
      </c>
      <c r="AX727" s="10" t="e">
        <f>(tbl_MTG_Set[[#This Row],[Collector Booster Box Cost]] + v_Item_Shipping_Cost_In) / tbl_MTG_Set[[#This Row],[Collector Booster Box Size]]</f>
        <v>#N/A</v>
      </c>
      <c r="AY727" s="10" t="str" cm="1">
        <f t="array" ref="AY7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7" s="10"/>
      <c r="BA7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7" s="17" t="e">
        <f>tbl_MTG_Set[[#This Row],[Collector Booster CardMarket Profit]]/tbl_MTG_Set[[#This Row],[Collector Booster Cost]]</f>
        <v>#N/A</v>
      </c>
      <c r="BC727" s="10"/>
      <c r="BF7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7" s="11" t="e">
        <f>tbl_MTG_Set[[#This Row],[Play Singles CardMarket Profit MTG Stocks]]/tbl_MTG_Set[[#This Row],[Play Booster Cost]]</f>
        <v>#VALUE!</v>
      </c>
      <c r="BI727" s="11" t="b">
        <f>tbl_MTG_Set[[#This Row],[Play Singles CardMarket Profit MTG Stocks]]&gt;0</f>
        <v>0</v>
      </c>
      <c r="BM727" s="10" t="e">
        <f>tbl_MTG_Set[[#This Row],[Play Booster Sell Price CardMarket]]*tbl_MTG_Set[[#This Row],[Play Booster Expected Market Value BotBox]]/tbl_MTG_Set[[#This Row],[Play Booster Sealed Market Value BotBox]]</f>
        <v>#VALUE!</v>
      </c>
      <c r="BN7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7" s="10" t="e">
        <f>tbl_MTG_Set[[#This Row],[Play Singles CardMarket Profit BotBox]]/tbl_MTG_Set[[#This Row],[Play Booster Cost]]</f>
        <v>#VALUE!</v>
      </c>
      <c r="BP727" s="10" t="b">
        <f>tbl_MTG_Set[[#This Row],[Play Singles CardMarket Profit BotBox]]&gt;0</f>
        <v>0</v>
      </c>
      <c r="BQ727" s="10"/>
      <c r="BR727" s="10"/>
      <c r="BS727" s="10"/>
      <c r="BT7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7" s="19" t="e">
        <f>tbl_MTG_Set[[#This Row],[Collector Singles CardMarket Profit MTG Stocks]]/tbl_MTG_Set[[#This Row],[Collector Booster Cost]]</f>
        <v>#N/A</v>
      </c>
      <c r="BW727" s="10" t="b">
        <f>tbl_MTG_Set[[#This Row],[Collector Singles CardMarket Profit MTG Stocks]]&gt;0</f>
        <v>0</v>
      </c>
      <c r="BX727" s="10"/>
      <c r="BY727" s="10"/>
      <c r="BZ7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7" s="10" t="e">
        <f>tbl_MTG_Set[[#This Row],[Collector Singles CardMarket Profit BotBox]]/tbl_MTG_Set[[#This Row],[Collector Booster Cost]]</f>
        <v>#N/A</v>
      </c>
      <c r="CC727" s="10" t="b">
        <f>tbl_MTG_Set[[#This Row],[Collector Singles CardMarket Profit BotBox]]&gt;0</f>
        <v>0</v>
      </c>
      <c r="CD7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8" spans="1:86" hidden="1">
      <c r="A728">
        <v>760</v>
      </c>
      <c r="B728" t="s">
        <v>901</v>
      </c>
      <c r="C728">
        <v>248</v>
      </c>
      <c r="D728" s="3">
        <v>40291</v>
      </c>
      <c r="F728" t="s">
        <v>174</v>
      </c>
      <c r="G728">
        <v>1466</v>
      </c>
      <c r="H728">
        <f ca="1">MONTH(NOW())+12*YEAR(NOW())-MONTH(tbl_MTG_Set[[#This Row],[Released On]])-12*YEAR(tbl_MTG_Set[[#This Row],[Released On]])</f>
        <v>191</v>
      </c>
      <c r="I728" t="str">
        <f>_xlfn.XLOOKUP(tbl_MTG_Set[[#This Row],[Type Name]], tbl_MTG_Set_Type[Set Type], tbl_MTG_Set_Type[Index], "(Set Type not found)")</f>
        <v>(Set Type not found)</v>
      </c>
      <c r="J728" t="str">
        <f>_xlfn.XLOOKUP(tbl_MTG_Set[[#This Row],[Type Name]], tbl_MTG_Set_Type[Set Type], tbl_MTG_Set_Type[Buy Window Month Start], "(Set Type not found)")</f>
        <v>(Set Type not found)</v>
      </c>
      <c r="K728" s="3" t="e">
        <f>tbl_MTG_Set[[#This Row],[Released On]]+tbl_MTG_Set[[#This Row],[Buy Window Month Start]]*365.25/12</f>
        <v>#VALUE!</v>
      </c>
      <c r="L728" t="str">
        <f>_xlfn.XLOOKUP(tbl_MTG_Set[[#This Row],[Type Name]], tbl_MTG_Set_Type[Set Type], tbl_MTG_Set_Type[Buy Window Month End], "(Set Type not found)", 0, 1)</f>
        <v>(Set Type not found)</v>
      </c>
      <c r="M728" s="3" t="e">
        <f>tbl_MTG_Set[[#This Row],[Released On]]+tbl_MTG_Set[[#This Row],[Buy Window Month End]]*365.25/12</f>
        <v>#VALUE!</v>
      </c>
      <c r="N728" s="3" t="e">
        <f ca="1">AND(NOW()&gt;=tbl_MTG_Set[[#This Row],[Buy Window Start]], NOW()&lt;=tbl_MTG_Set[[#This Row],[Buy Window End]])</f>
        <v>#VALUE!</v>
      </c>
      <c r="O728" t="str">
        <f>_xlfn.XLOOKUP(tbl_MTG_Set[[#This Row],[Type Name]], tbl_MTG_Set_Type[Set Type], tbl_MTG_Set_Type[Heavy Printing Window Month Start], "(Set Type not found)", 0, 1)</f>
        <v>(Set Type not found)</v>
      </c>
      <c r="P728" s="3" t="e">
        <f>tbl_MTG_Set[[#This Row],[Released On]]+tbl_MTG_Set[[#This Row],[Heavy Printing Window Month Start]]*365.25/12</f>
        <v>#VALUE!</v>
      </c>
      <c r="Q728" t="str">
        <f>_xlfn.XLOOKUP(tbl_MTG_Set[[#This Row],[Type Name]], tbl_MTG_Set_Type[Set Type], tbl_MTG_Set_Type[Heavy Printing Window Month End], "(Set Type not found)", 0, 1)</f>
        <v>(Set Type not found)</v>
      </c>
      <c r="R728" s="3" t="e">
        <f>tbl_MTG_Set[[#This Row],[Released On]]+tbl_MTG_Set[[#This Row],[Heavy Printing Window Month End]]*365.25/12</f>
        <v>#VALUE!</v>
      </c>
      <c r="S728" s="3" t="e">
        <f ca="1">AND(NOW()&gt;=tbl_MTG_Set[[#This Row],[Heavy Printing Window Start]], NOW()&lt;=tbl_MTG_Set[[#This Row],[Heavy Printing Window End]])</f>
        <v>#VALUE!</v>
      </c>
      <c r="T728" t="str">
        <f>_xlfn.XLOOKUP(tbl_MTG_Set[[#This Row],[Type Name]], tbl_MTG_Set_Type[Set Type], tbl_MTG_Set_Type[Sell Window Month Start], "(Set Type not found)", 0, 1)</f>
        <v>(Set Type not found)</v>
      </c>
      <c r="U728" s="3" t="e">
        <f>tbl_MTG_Set[[#This Row],[Released On]]+tbl_MTG_Set[[#This Row],[Sell Window Month Start]]*365.25/12</f>
        <v>#VALUE!</v>
      </c>
      <c r="V728" t="str">
        <f>_xlfn.XLOOKUP(tbl_MTG_Set[[#This Row],[Type Name]], tbl_MTG_Set_Type[Set Type], tbl_MTG_Set_Type[Sell Window Month End], "(Set Type not found)", 0, 1)</f>
        <v>(Set Type not found)</v>
      </c>
      <c r="W728" s="3" t="e">
        <f>tbl_MTG_Set[[#This Row],[Released On]]+tbl_MTG_Set[[#This Row],[Sell Window Month End]]*365.25/12</f>
        <v>#VALUE!</v>
      </c>
      <c r="X728" s="3" t="e">
        <f ca="1">AND(NOW()&gt;=tbl_MTG_Set[[#This Row],[Sell Window Start]], NOW()&lt;=tbl_MTG_Set[[#This Row],[Sell Window End]])</f>
        <v>#VALUE!</v>
      </c>
      <c r="AG728" s="10"/>
      <c r="AH728" s="10"/>
      <c r="AM728" s="10" t="str" cm="1">
        <f t="array" ref="AM7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8" s="10" t="str" cm="1">
        <f t="array" ref="AN7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8" s="4" t="e">
        <f>_xlfn.XLOOKUP(tbl_MTG_Set[[#This Row],[Play Booster Box Product Id]], tbl_Product[Product Id], tbl_Product[Pack Size])</f>
        <v>#N/A</v>
      </c>
      <c r="AP728" s="10" t="e">
        <f>(tbl_MTG_Set[[#This Row],[Play Booster Box Cost]]+v_Item_Shipping_Cost_In)/tbl_MTG_Set[[#This Row],[Play Booster Box Size]]</f>
        <v>#VALUE!</v>
      </c>
      <c r="AQ728" s="10" t="str" cm="1">
        <f t="array" ref="AQ7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8" s="10"/>
      <c r="AS728" s="10"/>
      <c r="AT728" s="17" t="e">
        <f>tbl_MTG_Set[[#This Row],[Play Booster CardMarket Profit]]/tbl_MTG_Set[[#This Row],[Play Booster Cost]]</f>
        <v>#VALUE!</v>
      </c>
      <c r="AU728" s="10" t="e">
        <f>_xlfn.XLOOKUP(tbl_MTG_Set[[#This Row],[Collector Booster Box Product Id]], tbl_Product[Product Id], tbl_Product[Min Cost])</f>
        <v>#N/A</v>
      </c>
      <c r="AV728" s="10" t="e">
        <f>_xlfn.XLOOKUP(tbl_MTG_Set[[#This Row],[Collector Booster Box Product Id]], tbl_Product[Product Id], tbl_Product[Best Source])</f>
        <v>#N/A</v>
      </c>
      <c r="AW728" s="4" t="e">
        <f>_xlfn.XLOOKUP(tbl_MTG_Set[[#This Row],[Collector Booster Box Product Id]], tbl_Product[Product Id], tbl_Product[Pack Size])</f>
        <v>#N/A</v>
      </c>
      <c r="AX728" s="10" t="e">
        <f>(tbl_MTG_Set[[#This Row],[Collector Booster Box Cost]] + v_Item_Shipping_Cost_In) / tbl_MTG_Set[[#This Row],[Collector Booster Box Size]]</f>
        <v>#N/A</v>
      </c>
      <c r="AY728" s="10" t="str" cm="1">
        <f t="array" ref="AY7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8" s="10"/>
      <c r="BA7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8" s="17" t="e">
        <f>tbl_MTG_Set[[#This Row],[Collector Booster CardMarket Profit]]/tbl_MTG_Set[[#This Row],[Collector Booster Cost]]</f>
        <v>#N/A</v>
      </c>
      <c r="BC728" s="10"/>
      <c r="BF7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8" s="11" t="e">
        <f>tbl_MTG_Set[[#This Row],[Play Singles CardMarket Profit MTG Stocks]]/tbl_MTG_Set[[#This Row],[Play Booster Cost]]</f>
        <v>#VALUE!</v>
      </c>
      <c r="BI728" s="11" t="b">
        <f>tbl_MTG_Set[[#This Row],[Play Singles CardMarket Profit MTG Stocks]]&gt;0</f>
        <v>0</v>
      </c>
      <c r="BM728" s="10" t="e">
        <f>tbl_MTG_Set[[#This Row],[Play Booster Sell Price CardMarket]]*tbl_MTG_Set[[#This Row],[Play Booster Expected Market Value BotBox]]/tbl_MTG_Set[[#This Row],[Play Booster Sealed Market Value BotBox]]</f>
        <v>#VALUE!</v>
      </c>
      <c r="BN7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8" s="10" t="e">
        <f>tbl_MTG_Set[[#This Row],[Play Singles CardMarket Profit BotBox]]/tbl_MTG_Set[[#This Row],[Play Booster Cost]]</f>
        <v>#VALUE!</v>
      </c>
      <c r="BP728" s="10" t="b">
        <f>tbl_MTG_Set[[#This Row],[Play Singles CardMarket Profit BotBox]]&gt;0</f>
        <v>0</v>
      </c>
      <c r="BQ728" s="10"/>
      <c r="BR728" s="10"/>
      <c r="BS728" s="10"/>
      <c r="BT7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8" s="19" t="e">
        <f>tbl_MTG_Set[[#This Row],[Collector Singles CardMarket Profit MTG Stocks]]/tbl_MTG_Set[[#This Row],[Collector Booster Cost]]</f>
        <v>#N/A</v>
      </c>
      <c r="BW728" s="10" t="b">
        <f>tbl_MTG_Set[[#This Row],[Collector Singles CardMarket Profit MTG Stocks]]&gt;0</f>
        <v>0</v>
      </c>
      <c r="BX728" s="10"/>
      <c r="BY728" s="10"/>
      <c r="BZ7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8" s="10" t="e">
        <f>tbl_MTG_Set[[#This Row],[Collector Singles CardMarket Profit BotBox]]/tbl_MTG_Set[[#This Row],[Collector Booster Cost]]</f>
        <v>#N/A</v>
      </c>
      <c r="CC728" s="10" t="b">
        <f>tbl_MTG_Set[[#This Row],[Collector Singles CardMarket Profit BotBox]]&gt;0</f>
        <v>0</v>
      </c>
      <c r="CD7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29" spans="1:86" hidden="1">
      <c r="A729">
        <v>761</v>
      </c>
      <c r="B729" t="s">
        <v>902</v>
      </c>
      <c r="C729">
        <v>4</v>
      </c>
      <c r="D729" s="3">
        <v>40291</v>
      </c>
      <c r="F729" t="s">
        <v>174</v>
      </c>
      <c r="G729">
        <v>1468</v>
      </c>
      <c r="H729">
        <f ca="1">MONTH(NOW())+12*YEAR(NOW())-MONTH(tbl_MTG_Set[[#This Row],[Released On]])-12*YEAR(tbl_MTG_Set[[#This Row],[Released On]])</f>
        <v>191</v>
      </c>
      <c r="I729" t="str">
        <f>_xlfn.XLOOKUP(tbl_MTG_Set[[#This Row],[Type Name]], tbl_MTG_Set_Type[Set Type], tbl_MTG_Set_Type[Index], "(Set Type not found)")</f>
        <v>(Set Type not found)</v>
      </c>
      <c r="J729" t="str">
        <f>_xlfn.XLOOKUP(tbl_MTG_Set[[#This Row],[Type Name]], tbl_MTG_Set_Type[Set Type], tbl_MTG_Set_Type[Buy Window Month Start], "(Set Type not found)")</f>
        <v>(Set Type not found)</v>
      </c>
      <c r="K729" s="3" t="e">
        <f>tbl_MTG_Set[[#This Row],[Released On]]+tbl_MTG_Set[[#This Row],[Buy Window Month Start]]*365.25/12</f>
        <v>#VALUE!</v>
      </c>
      <c r="L729" t="str">
        <f>_xlfn.XLOOKUP(tbl_MTG_Set[[#This Row],[Type Name]], tbl_MTG_Set_Type[Set Type], tbl_MTG_Set_Type[Buy Window Month End], "(Set Type not found)", 0, 1)</f>
        <v>(Set Type not found)</v>
      </c>
      <c r="M729" s="3" t="e">
        <f>tbl_MTG_Set[[#This Row],[Released On]]+tbl_MTG_Set[[#This Row],[Buy Window Month End]]*365.25/12</f>
        <v>#VALUE!</v>
      </c>
      <c r="N729" s="3" t="e">
        <f ca="1">AND(NOW()&gt;=tbl_MTG_Set[[#This Row],[Buy Window Start]], NOW()&lt;=tbl_MTG_Set[[#This Row],[Buy Window End]])</f>
        <v>#VALUE!</v>
      </c>
      <c r="O729" t="str">
        <f>_xlfn.XLOOKUP(tbl_MTG_Set[[#This Row],[Type Name]], tbl_MTG_Set_Type[Set Type], tbl_MTG_Set_Type[Heavy Printing Window Month Start], "(Set Type not found)", 0, 1)</f>
        <v>(Set Type not found)</v>
      </c>
      <c r="P729" s="3" t="e">
        <f>tbl_MTG_Set[[#This Row],[Released On]]+tbl_MTG_Set[[#This Row],[Heavy Printing Window Month Start]]*365.25/12</f>
        <v>#VALUE!</v>
      </c>
      <c r="Q729" t="str">
        <f>_xlfn.XLOOKUP(tbl_MTG_Set[[#This Row],[Type Name]], tbl_MTG_Set_Type[Set Type], tbl_MTG_Set_Type[Heavy Printing Window Month End], "(Set Type not found)", 0, 1)</f>
        <v>(Set Type not found)</v>
      </c>
      <c r="R729" s="3" t="e">
        <f>tbl_MTG_Set[[#This Row],[Released On]]+tbl_MTG_Set[[#This Row],[Heavy Printing Window Month End]]*365.25/12</f>
        <v>#VALUE!</v>
      </c>
      <c r="S729" s="3" t="e">
        <f ca="1">AND(NOW()&gt;=tbl_MTG_Set[[#This Row],[Heavy Printing Window Start]], NOW()&lt;=tbl_MTG_Set[[#This Row],[Heavy Printing Window End]])</f>
        <v>#VALUE!</v>
      </c>
      <c r="T729" t="str">
        <f>_xlfn.XLOOKUP(tbl_MTG_Set[[#This Row],[Type Name]], tbl_MTG_Set_Type[Set Type], tbl_MTG_Set_Type[Sell Window Month Start], "(Set Type not found)", 0, 1)</f>
        <v>(Set Type not found)</v>
      </c>
      <c r="U729" s="3" t="e">
        <f>tbl_MTG_Set[[#This Row],[Released On]]+tbl_MTG_Set[[#This Row],[Sell Window Month Start]]*365.25/12</f>
        <v>#VALUE!</v>
      </c>
      <c r="V729" t="str">
        <f>_xlfn.XLOOKUP(tbl_MTG_Set[[#This Row],[Type Name]], tbl_MTG_Set_Type[Set Type], tbl_MTG_Set_Type[Sell Window Month End], "(Set Type not found)", 0, 1)</f>
        <v>(Set Type not found)</v>
      </c>
      <c r="W729" s="3" t="e">
        <f>tbl_MTG_Set[[#This Row],[Released On]]+tbl_MTG_Set[[#This Row],[Sell Window Month End]]*365.25/12</f>
        <v>#VALUE!</v>
      </c>
      <c r="X729" s="3" t="e">
        <f ca="1">AND(NOW()&gt;=tbl_MTG_Set[[#This Row],[Sell Window Start]], NOW()&lt;=tbl_MTG_Set[[#This Row],[Sell Window End]])</f>
        <v>#VALUE!</v>
      </c>
      <c r="AG729" s="10"/>
      <c r="AH729" s="10"/>
      <c r="AM729" s="10" t="str" cm="1">
        <f t="array" ref="AM7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29" s="10" t="str" cm="1">
        <f t="array" ref="AN7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29" s="4" t="e">
        <f>_xlfn.XLOOKUP(tbl_MTG_Set[[#This Row],[Play Booster Box Product Id]], tbl_Product[Product Id], tbl_Product[Pack Size])</f>
        <v>#N/A</v>
      </c>
      <c r="AP729" s="10" t="e">
        <f>(tbl_MTG_Set[[#This Row],[Play Booster Box Cost]]+v_Item_Shipping_Cost_In)/tbl_MTG_Set[[#This Row],[Play Booster Box Size]]</f>
        <v>#VALUE!</v>
      </c>
      <c r="AQ729" s="10" t="str" cm="1">
        <f t="array" ref="AQ7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29" s="10"/>
      <c r="AS729" s="10"/>
      <c r="AT729" s="17" t="e">
        <f>tbl_MTG_Set[[#This Row],[Play Booster CardMarket Profit]]/tbl_MTG_Set[[#This Row],[Play Booster Cost]]</f>
        <v>#VALUE!</v>
      </c>
      <c r="AU729" s="10" t="e">
        <f>_xlfn.XLOOKUP(tbl_MTG_Set[[#This Row],[Collector Booster Box Product Id]], tbl_Product[Product Id], tbl_Product[Min Cost])</f>
        <v>#N/A</v>
      </c>
      <c r="AV729" s="10" t="e">
        <f>_xlfn.XLOOKUP(tbl_MTG_Set[[#This Row],[Collector Booster Box Product Id]], tbl_Product[Product Id], tbl_Product[Best Source])</f>
        <v>#N/A</v>
      </c>
      <c r="AW729" s="4" t="e">
        <f>_xlfn.XLOOKUP(tbl_MTG_Set[[#This Row],[Collector Booster Box Product Id]], tbl_Product[Product Id], tbl_Product[Pack Size])</f>
        <v>#N/A</v>
      </c>
      <c r="AX729" s="10" t="e">
        <f>(tbl_MTG_Set[[#This Row],[Collector Booster Box Cost]] + v_Item_Shipping_Cost_In) / tbl_MTG_Set[[#This Row],[Collector Booster Box Size]]</f>
        <v>#N/A</v>
      </c>
      <c r="AY729" s="10" t="str" cm="1">
        <f t="array" ref="AY7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29" s="10"/>
      <c r="BA7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29" s="17" t="e">
        <f>tbl_MTG_Set[[#This Row],[Collector Booster CardMarket Profit]]/tbl_MTG_Set[[#This Row],[Collector Booster Cost]]</f>
        <v>#N/A</v>
      </c>
      <c r="BC729" s="10"/>
      <c r="BF7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29" s="11" t="e">
        <f>tbl_MTG_Set[[#This Row],[Play Singles CardMarket Profit MTG Stocks]]/tbl_MTG_Set[[#This Row],[Play Booster Cost]]</f>
        <v>#VALUE!</v>
      </c>
      <c r="BI729" s="11" t="b">
        <f>tbl_MTG_Set[[#This Row],[Play Singles CardMarket Profit MTG Stocks]]&gt;0</f>
        <v>0</v>
      </c>
      <c r="BM729" s="10" t="e">
        <f>tbl_MTG_Set[[#This Row],[Play Booster Sell Price CardMarket]]*tbl_MTG_Set[[#This Row],[Play Booster Expected Market Value BotBox]]/tbl_MTG_Set[[#This Row],[Play Booster Sealed Market Value BotBox]]</f>
        <v>#VALUE!</v>
      </c>
      <c r="BN7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29" s="10" t="e">
        <f>tbl_MTG_Set[[#This Row],[Play Singles CardMarket Profit BotBox]]/tbl_MTG_Set[[#This Row],[Play Booster Cost]]</f>
        <v>#VALUE!</v>
      </c>
      <c r="BP729" s="10" t="b">
        <f>tbl_MTG_Set[[#This Row],[Play Singles CardMarket Profit BotBox]]&gt;0</f>
        <v>0</v>
      </c>
      <c r="BQ729" s="10"/>
      <c r="BR729" s="10"/>
      <c r="BS729" s="10"/>
      <c r="BT7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29" s="19" t="e">
        <f>tbl_MTG_Set[[#This Row],[Collector Singles CardMarket Profit MTG Stocks]]/tbl_MTG_Set[[#This Row],[Collector Booster Cost]]</f>
        <v>#N/A</v>
      </c>
      <c r="BW729" s="10" t="b">
        <f>tbl_MTG_Set[[#This Row],[Collector Singles CardMarket Profit MTG Stocks]]&gt;0</f>
        <v>0</v>
      </c>
      <c r="BX729" s="10"/>
      <c r="BY729" s="10"/>
      <c r="BZ7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29" s="10" t="e">
        <f>tbl_MTG_Set[[#This Row],[Collector Singles CardMarket Profit BotBox]]/tbl_MTG_Set[[#This Row],[Collector Booster Cost]]</f>
        <v>#N/A</v>
      </c>
      <c r="CC729" s="10" t="b">
        <f>tbl_MTG_Set[[#This Row],[Collector Singles CardMarket Profit BotBox]]&gt;0</f>
        <v>0</v>
      </c>
      <c r="CD7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0" spans="1:86" hidden="1">
      <c r="A730">
        <v>762</v>
      </c>
      <c r="B730" t="s">
        <v>903</v>
      </c>
      <c r="C730">
        <v>7</v>
      </c>
      <c r="D730" s="3">
        <v>40291</v>
      </c>
      <c r="F730" t="s">
        <v>174</v>
      </c>
      <c r="G730">
        <v>1470</v>
      </c>
      <c r="H730">
        <f ca="1">MONTH(NOW())+12*YEAR(NOW())-MONTH(tbl_MTG_Set[[#This Row],[Released On]])-12*YEAR(tbl_MTG_Set[[#This Row],[Released On]])</f>
        <v>191</v>
      </c>
      <c r="I730" t="str">
        <f>_xlfn.XLOOKUP(tbl_MTG_Set[[#This Row],[Type Name]], tbl_MTG_Set_Type[Set Type], tbl_MTG_Set_Type[Index], "(Set Type not found)")</f>
        <v>(Set Type not found)</v>
      </c>
      <c r="J730" t="str">
        <f>_xlfn.XLOOKUP(tbl_MTG_Set[[#This Row],[Type Name]], tbl_MTG_Set_Type[Set Type], tbl_MTG_Set_Type[Buy Window Month Start], "(Set Type not found)")</f>
        <v>(Set Type not found)</v>
      </c>
      <c r="K730" s="3" t="e">
        <f>tbl_MTG_Set[[#This Row],[Released On]]+tbl_MTG_Set[[#This Row],[Buy Window Month Start]]*365.25/12</f>
        <v>#VALUE!</v>
      </c>
      <c r="L730" t="str">
        <f>_xlfn.XLOOKUP(tbl_MTG_Set[[#This Row],[Type Name]], tbl_MTG_Set_Type[Set Type], tbl_MTG_Set_Type[Buy Window Month End], "(Set Type not found)", 0, 1)</f>
        <v>(Set Type not found)</v>
      </c>
      <c r="M730" s="3" t="e">
        <f>tbl_MTG_Set[[#This Row],[Released On]]+tbl_MTG_Set[[#This Row],[Buy Window Month End]]*365.25/12</f>
        <v>#VALUE!</v>
      </c>
      <c r="N730" s="3" t="e">
        <f ca="1">AND(NOW()&gt;=tbl_MTG_Set[[#This Row],[Buy Window Start]], NOW()&lt;=tbl_MTG_Set[[#This Row],[Buy Window End]])</f>
        <v>#VALUE!</v>
      </c>
      <c r="O730" t="str">
        <f>_xlfn.XLOOKUP(tbl_MTG_Set[[#This Row],[Type Name]], tbl_MTG_Set_Type[Set Type], tbl_MTG_Set_Type[Heavy Printing Window Month Start], "(Set Type not found)", 0, 1)</f>
        <v>(Set Type not found)</v>
      </c>
      <c r="P730" s="3" t="e">
        <f>tbl_MTG_Set[[#This Row],[Released On]]+tbl_MTG_Set[[#This Row],[Heavy Printing Window Month Start]]*365.25/12</f>
        <v>#VALUE!</v>
      </c>
      <c r="Q730" t="str">
        <f>_xlfn.XLOOKUP(tbl_MTG_Set[[#This Row],[Type Name]], tbl_MTG_Set_Type[Set Type], tbl_MTG_Set_Type[Heavy Printing Window Month End], "(Set Type not found)", 0, 1)</f>
        <v>(Set Type not found)</v>
      </c>
      <c r="R730" s="3" t="e">
        <f>tbl_MTG_Set[[#This Row],[Released On]]+tbl_MTG_Set[[#This Row],[Heavy Printing Window Month End]]*365.25/12</f>
        <v>#VALUE!</v>
      </c>
      <c r="S730" s="3" t="e">
        <f ca="1">AND(NOW()&gt;=tbl_MTG_Set[[#This Row],[Heavy Printing Window Start]], NOW()&lt;=tbl_MTG_Set[[#This Row],[Heavy Printing Window End]])</f>
        <v>#VALUE!</v>
      </c>
      <c r="T730" t="str">
        <f>_xlfn.XLOOKUP(tbl_MTG_Set[[#This Row],[Type Name]], tbl_MTG_Set_Type[Set Type], tbl_MTG_Set_Type[Sell Window Month Start], "(Set Type not found)", 0, 1)</f>
        <v>(Set Type not found)</v>
      </c>
      <c r="U730" s="3" t="e">
        <f>tbl_MTG_Set[[#This Row],[Released On]]+tbl_MTG_Set[[#This Row],[Sell Window Month Start]]*365.25/12</f>
        <v>#VALUE!</v>
      </c>
      <c r="V730" t="str">
        <f>_xlfn.XLOOKUP(tbl_MTG_Set[[#This Row],[Type Name]], tbl_MTG_Set_Type[Set Type], tbl_MTG_Set_Type[Sell Window Month End], "(Set Type not found)", 0, 1)</f>
        <v>(Set Type not found)</v>
      </c>
      <c r="W730" s="3" t="e">
        <f>tbl_MTG_Set[[#This Row],[Released On]]+tbl_MTG_Set[[#This Row],[Sell Window Month End]]*365.25/12</f>
        <v>#VALUE!</v>
      </c>
      <c r="X730" s="3" t="e">
        <f ca="1">AND(NOW()&gt;=tbl_MTG_Set[[#This Row],[Sell Window Start]], NOW()&lt;=tbl_MTG_Set[[#This Row],[Sell Window End]])</f>
        <v>#VALUE!</v>
      </c>
      <c r="AG730" s="10"/>
      <c r="AH730" s="10"/>
      <c r="AM730" s="10" t="str" cm="1">
        <f t="array" ref="AM7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0" s="10" t="str" cm="1">
        <f t="array" ref="AN7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0" s="4" t="e">
        <f>_xlfn.XLOOKUP(tbl_MTG_Set[[#This Row],[Play Booster Box Product Id]], tbl_Product[Product Id], tbl_Product[Pack Size])</f>
        <v>#N/A</v>
      </c>
      <c r="AP730" s="10" t="e">
        <f>(tbl_MTG_Set[[#This Row],[Play Booster Box Cost]]+v_Item_Shipping_Cost_In)/tbl_MTG_Set[[#This Row],[Play Booster Box Size]]</f>
        <v>#VALUE!</v>
      </c>
      <c r="AQ730" s="10" t="str" cm="1">
        <f t="array" ref="AQ7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0" s="10"/>
      <c r="AS730" s="10"/>
      <c r="AT730" s="17" t="e">
        <f>tbl_MTG_Set[[#This Row],[Play Booster CardMarket Profit]]/tbl_MTG_Set[[#This Row],[Play Booster Cost]]</f>
        <v>#VALUE!</v>
      </c>
      <c r="AU730" s="10" t="e">
        <f>_xlfn.XLOOKUP(tbl_MTG_Set[[#This Row],[Collector Booster Box Product Id]], tbl_Product[Product Id], tbl_Product[Min Cost])</f>
        <v>#N/A</v>
      </c>
      <c r="AV730" s="10" t="e">
        <f>_xlfn.XLOOKUP(tbl_MTG_Set[[#This Row],[Collector Booster Box Product Id]], tbl_Product[Product Id], tbl_Product[Best Source])</f>
        <v>#N/A</v>
      </c>
      <c r="AW730" s="4" t="e">
        <f>_xlfn.XLOOKUP(tbl_MTG_Set[[#This Row],[Collector Booster Box Product Id]], tbl_Product[Product Id], tbl_Product[Pack Size])</f>
        <v>#N/A</v>
      </c>
      <c r="AX730" s="10" t="e">
        <f>(tbl_MTG_Set[[#This Row],[Collector Booster Box Cost]] + v_Item_Shipping_Cost_In) / tbl_MTG_Set[[#This Row],[Collector Booster Box Size]]</f>
        <v>#N/A</v>
      </c>
      <c r="AY730" s="10" t="str" cm="1">
        <f t="array" ref="AY7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0" s="10"/>
      <c r="BA7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0" s="17" t="e">
        <f>tbl_MTG_Set[[#This Row],[Collector Booster CardMarket Profit]]/tbl_MTG_Set[[#This Row],[Collector Booster Cost]]</f>
        <v>#N/A</v>
      </c>
      <c r="BC730" s="10"/>
      <c r="BF7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0" s="11" t="e">
        <f>tbl_MTG_Set[[#This Row],[Play Singles CardMarket Profit MTG Stocks]]/tbl_MTG_Set[[#This Row],[Play Booster Cost]]</f>
        <v>#VALUE!</v>
      </c>
      <c r="BI730" s="11" t="b">
        <f>tbl_MTG_Set[[#This Row],[Play Singles CardMarket Profit MTG Stocks]]&gt;0</f>
        <v>0</v>
      </c>
      <c r="BM730" s="10" t="e">
        <f>tbl_MTG_Set[[#This Row],[Play Booster Sell Price CardMarket]]*tbl_MTG_Set[[#This Row],[Play Booster Expected Market Value BotBox]]/tbl_MTG_Set[[#This Row],[Play Booster Sealed Market Value BotBox]]</f>
        <v>#VALUE!</v>
      </c>
      <c r="BN7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0" s="10" t="e">
        <f>tbl_MTG_Set[[#This Row],[Play Singles CardMarket Profit BotBox]]/tbl_MTG_Set[[#This Row],[Play Booster Cost]]</f>
        <v>#VALUE!</v>
      </c>
      <c r="BP730" s="10" t="b">
        <f>tbl_MTG_Set[[#This Row],[Play Singles CardMarket Profit BotBox]]&gt;0</f>
        <v>0</v>
      </c>
      <c r="BQ730" s="10"/>
      <c r="BR730" s="10"/>
      <c r="BS730" s="10"/>
      <c r="BT7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0" s="19" t="e">
        <f>tbl_MTG_Set[[#This Row],[Collector Singles CardMarket Profit MTG Stocks]]/tbl_MTG_Set[[#This Row],[Collector Booster Cost]]</f>
        <v>#N/A</v>
      </c>
      <c r="BW730" s="10" t="b">
        <f>tbl_MTG_Set[[#This Row],[Collector Singles CardMarket Profit MTG Stocks]]&gt;0</f>
        <v>0</v>
      </c>
      <c r="BX730" s="10"/>
      <c r="BY730" s="10"/>
      <c r="BZ7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0" s="10" t="e">
        <f>tbl_MTG_Set[[#This Row],[Collector Singles CardMarket Profit BotBox]]/tbl_MTG_Set[[#This Row],[Collector Booster Cost]]</f>
        <v>#N/A</v>
      </c>
      <c r="CC730" s="10" t="b">
        <f>tbl_MTG_Set[[#This Row],[Collector Singles CardMarket Profit BotBox]]&gt;0</f>
        <v>0</v>
      </c>
      <c r="CD7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1" spans="1:86" hidden="1">
      <c r="A731">
        <v>763</v>
      </c>
      <c r="B731" t="s">
        <v>904</v>
      </c>
      <c r="C731">
        <v>71</v>
      </c>
      <c r="D731" s="3">
        <v>40256</v>
      </c>
      <c r="F731" t="s">
        <v>174</v>
      </c>
      <c r="G731">
        <v>1472</v>
      </c>
      <c r="H731">
        <f ca="1">MONTH(NOW())+12*YEAR(NOW())-MONTH(tbl_MTG_Set[[#This Row],[Released On]])-12*YEAR(tbl_MTG_Set[[#This Row],[Released On]])</f>
        <v>192</v>
      </c>
      <c r="I731" t="str">
        <f>_xlfn.XLOOKUP(tbl_MTG_Set[[#This Row],[Type Name]], tbl_MTG_Set_Type[Set Type], tbl_MTG_Set_Type[Index], "(Set Type not found)")</f>
        <v>(Set Type not found)</v>
      </c>
      <c r="J731" t="str">
        <f>_xlfn.XLOOKUP(tbl_MTG_Set[[#This Row],[Type Name]], tbl_MTG_Set_Type[Set Type], tbl_MTG_Set_Type[Buy Window Month Start], "(Set Type not found)")</f>
        <v>(Set Type not found)</v>
      </c>
      <c r="K731" s="3" t="e">
        <f>tbl_MTG_Set[[#This Row],[Released On]]+tbl_MTG_Set[[#This Row],[Buy Window Month Start]]*365.25/12</f>
        <v>#VALUE!</v>
      </c>
      <c r="L731" t="str">
        <f>_xlfn.XLOOKUP(tbl_MTG_Set[[#This Row],[Type Name]], tbl_MTG_Set_Type[Set Type], tbl_MTG_Set_Type[Buy Window Month End], "(Set Type not found)", 0, 1)</f>
        <v>(Set Type not found)</v>
      </c>
      <c r="M731" s="3" t="e">
        <f>tbl_MTG_Set[[#This Row],[Released On]]+tbl_MTG_Set[[#This Row],[Buy Window Month End]]*365.25/12</f>
        <v>#VALUE!</v>
      </c>
      <c r="N731" s="3" t="e">
        <f ca="1">AND(NOW()&gt;=tbl_MTG_Set[[#This Row],[Buy Window Start]], NOW()&lt;=tbl_MTG_Set[[#This Row],[Buy Window End]])</f>
        <v>#VALUE!</v>
      </c>
      <c r="O731" t="str">
        <f>_xlfn.XLOOKUP(tbl_MTG_Set[[#This Row],[Type Name]], tbl_MTG_Set_Type[Set Type], tbl_MTG_Set_Type[Heavy Printing Window Month Start], "(Set Type not found)", 0, 1)</f>
        <v>(Set Type not found)</v>
      </c>
      <c r="P731" s="3" t="e">
        <f>tbl_MTG_Set[[#This Row],[Released On]]+tbl_MTG_Set[[#This Row],[Heavy Printing Window Month Start]]*365.25/12</f>
        <v>#VALUE!</v>
      </c>
      <c r="Q731" t="str">
        <f>_xlfn.XLOOKUP(tbl_MTG_Set[[#This Row],[Type Name]], tbl_MTG_Set_Type[Set Type], tbl_MTG_Set_Type[Heavy Printing Window Month End], "(Set Type not found)", 0, 1)</f>
        <v>(Set Type not found)</v>
      </c>
      <c r="R731" s="3" t="e">
        <f>tbl_MTG_Set[[#This Row],[Released On]]+tbl_MTG_Set[[#This Row],[Heavy Printing Window Month End]]*365.25/12</f>
        <v>#VALUE!</v>
      </c>
      <c r="S731" s="3" t="e">
        <f ca="1">AND(NOW()&gt;=tbl_MTG_Set[[#This Row],[Heavy Printing Window Start]], NOW()&lt;=tbl_MTG_Set[[#This Row],[Heavy Printing Window End]])</f>
        <v>#VALUE!</v>
      </c>
      <c r="T731" t="str">
        <f>_xlfn.XLOOKUP(tbl_MTG_Set[[#This Row],[Type Name]], tbl_MTG_Set_Type[Set Type], tbl_MTG_Set_Type[Sell Window Month Start], "(Set Type not found)", 0, 1)</f>
        <v>(Set Type not found)</v>
      </c>
      <c r="U731" s="3" t="e">
        <f>tbl_MTG_Set[[#This Row],[Released On]]+tbl_MTG_Set[[#This Row],[Sell Window Month Start]]*365.25/12</f>
        <v>#VALUE!</v>
      </c>
      <c r="V731" t="str">
        <f>_xlfn.XLOOKUP(tbl_MTG_Set[[#This Row],[Type Name]], tbl_MTG_Set_Type[Set Type], tbl_MTG_Set_Type[Sell Window Month End], "(Set Type not found)", 0, 1)</f>
        <v>(Set Type not found)</v>
      </c>
      <c r="W731" s="3" t="e">
        <f>tbl_MTG_Set[[#This Row],[Released On]]+tbl_MTG_Set[[#This Row],[Sell Window Month End]]*365.25/12</f>
        <v>#VALUE!</v>
      </c>
      <c r="X731" s="3" t="e">
        <f ca="1">AND(NOW()&gt;=tbl_MTG_Set[[#This Row],[Sell Window Start]], NOW()&lt;=tbl_MTG_Set[[#This Row],[Sell Window End]])</f>
        <v>#VALUE!</v>
      </c>
      <c r="AG731" s="10"/>
      <c r="AH731" s="10"/>
      <c r="AM731" s="10" t="str" cm="1">
        <f t="array" ref="AM7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1" s="10" t="str" cm="1">
        <f t="array" ref="AN7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1" s="4" t="e">
        <f>_xlfn.XLOOKUP(tbl_MTG_Set[[#This Row],[Play Booster Box Product Id]], tbl_Product[Product Id], tbl_Product[Pack Size])</f>
        <v>#N/A</v>
      </c>
      <c r="AP731" s="10" t="e">
        <f>(tbl_MTG_Set[[#This Row],[Play Booster Box Cost]]+v_Item_Shipping_Cost_In)/tbl_MTG_Set[[#This Row],[Play Booster Box Size]]</f>
        <v>#VALUE!</v>
      </c>
      <c r="AQ731" s="10" t="str" cm="1">
        <f t="array" ref="AQ7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1" s="10"/>
      <c r="AS731" s="10"/>
      <c r="AT731" s="17" t="e">
        <f>tbl_MTG_Set[[#This Row],[Play Booster CardMarket Profit]]/tbl_MTG_Set[[#This Row],[Play Booster Cost]]</f>
        <v>#VALUE!</v>
      </c>
      <c r="AU731" s="10" t="e">
        <f>_xlfn.XLOOKUP(tbl_MTG_Set[[#This Row],[Collector Booster Box Product Id]], tbl_Product[Product Id], tbl_Product[Min Cost])</f>
        <v>#N/A</v>
      </c>
      <c r="AV731" s="10" t="e">
        <f>_xlfn.XLOOKUP(tbl_MTG_Set[[#This Row],[Collector Booster Box Product Id]], tbl_Product[Product Id], tbl_Product[Best Source])</f>
        <v>#N/A</v>
      </c>
      <c r="AW731" s="4" t="e">
        <f>_xlfn.XLOOKUP(tbl_MTG_Set[[#This Row],[Collector Booster Box Product Id]], tbl_Product[Product Id], tbl_Product[Pack Size])</f>
        <v>#N/A</v>
      </c>
      <c r="AX731" s="10" t="e">
        <f>(tbl_MTG_Set[[#This Row],[Collector Booster Box Cost]] + v_Item_Shipping_Cost_In) / tbl_MTG_Set[[#This Row],[Collector Booster Box Size]]</f>
        <v>#N/A</v>
      </c>
      <c r="AY731" s="10" t="str" cm="1">
        <f t="array" ref="AY7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1" s="10"/>
      <c r="BA7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1" s="17" t="e">
        <f>tbl_MTG_Set[[#This Row],[Collector Booster CardMarket Profit]]/tbl_MTG_Set[[#This Row],[Collector Booster Cost]]</f>
        <v>#N/A</v>
      </c>
      <c r="BC731" s="10"/>
      <c r="BF7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1" s="11" t="e">
        <f>tbl_MTG_Set[[#This Row],[Play Singles CardMarket Profit MTG Stocks]]/tbl_MTG_Set[[#This Row],[Play Booster Cost]]</f>
        <v>#VALUE!</v>
      </c>
      <c r="BI731" s="11" t="b">
        <f>tbl_MTG_Set[[#This Row],[Play Singles CardMarket Profit MTG Stocks]]&gt;0</f>
        <v>0</v>
      </c>
      <c r="BM731" s="10" t="e">
        <f>tbl_MTG_Set[[#This Row],[Play Booster Sell Price CardMarket]]*tbl_MTG_Set[[#This Row],[Play Booster Expected Market Value BotBox]]/tbl_MTG_Set[[#This Row],[Play Booster Sealed Market Value BotBox]]</f>
        <v>#VALUE!</v>
      </c>
      <c r="BN7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1" s="10" t="e">
        <f>tbl_MTG_Set[[#This Row],[Play Singles CardMarket Profit BotBox]]/tbl_MTG_Set[[#This Row],[Play Booster Cost]]</f>
        <v>#VALUE!</v>
      </c>
      <c r="BP731" s="10" t="b">
        <f>tbl_MTG_Set[[#This Row],[Play Singles CardMarket Profit BotBox]]&gt;0</f>
        <v>0</v>
      </c>
      <c r="BQ731" s="10"/>
      <c r="BR731" s="10"/>
      <c r="BS731" s="10"/>
      <c r="BT7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1" s="19" t="e">
        <f>tbl_MTG_Set[[#This Row],[Collector Singles CardMarket Profit MTG Stocks]]/tbl_MTG_Set[[#This Row],[Collector Booster Cost]]</f>
        <v>#N/A</v>
      </c>
      <c r="BW731" s="10" t="b">
        <f>tbl_MTG_Set[[#This Row],[Collector Singles CardMarket Profit MTG Stocks]]&gt;0</f>
        <v>0</v>
      </c>
      <c r="BX731" s="10"/>
      <c r="BY731" s="10"/>
      <c r="BZ7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1" s="10" t="e">
        <f>tbl_MTG_Set[[#This Row],[Collector Singles CardMarket Profit BotBox]]/tbl_MTG_Set[[#This Row],[Collector Booster Cost]]</f>
        <v>#N/A</v>
      </c>
      <c r="CC731" s="10" t="b">
        <f>tbl_MTG_Set[[#This Row],[Collector Singles CardMarket Profit BotBox]]&gt;0</f>
        <v>0</v>
      </c>
      <c r="CD7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2" spans="1:86" hidden="1">
      <c r="A732">
        <v>764</v>
      </c>
      <c r="B732" t="s">
        <v>905</v>
      </c>
      <c r="C732">
        <v>3</v>
      </c>
      <c r="D732" s="3">
        <v>40256</v>
      </c>
      <c r="F732" t="s">
        <v>174</v>
      </c>
      <c r="G732">
        <v>1474</v>
      </c>
      <c r="H732">
        <f ca="1">MONTH(NOW())+12*YEAR(NOW())-MONTH(tbl_MTG_Set[[#This Row],[Released On]])-12*YEAR(tbl_MTG_Set[[#This Row],[Released On]])</f>
        <v>192</v>
      </c>
      <c r="I732" t="str">
        <f>_xlfn.XLOOKUP(tbl_MTG_Set[[#This Row],[Type Name]], tbl_MTG_Set_Type[Set Type], tbl_MTG_Set_Type[Index], "(Set Type not found)")</f>
        <v>(Set Type not found)</v>
      </c>
      <c r="J732" t="str">
        <f>_xlfn.XLOOKUP(tbl_MTG_Set[[#This Row],[Type Name]], tbl_MTG_Set_Type[Set Type], tbl_MTG_Set_Type[Buy Window Month Start], "(Set Type not found)")</f>
        <v>(Set Type not found)</v>
      </c>
      <c r="K732" s="3" t="e">
        <f>tbl_MTG_Set[[#This Row],[Released On]]+tbl_MTG_Set[[#This Row],[Buy Window Month Start]]*365.25/12</f>
        <v>#VALUE!</v>
      </c>
      <c r="L732" t="str">
        <f>_xlfn.XLOOKUP(tbl_MTG_Set[[#This Row],[Type Name]], tbl_MTG_Set_Type[Set Type], tbl_MTG_Set_Type[Buy Window Month End], "(Set Type not found)", 0, 1)</f>
        <v>(Set Type not found)</v>
      </c>
      <c r="M732" s="3" t="e">
        <f>tbl_MTG_Set[[#This Row],[Released On]]+tbl_MTG_Set[[#This Row],[Buy Window Month End]]*365.25/12</f>
        <v>#VALUE!</v>
      </c>
      <c r="N732" s="3" t="e">
        <f ca="1">AND(NOW()&gt;=tbl_MTG_Set[[#This Row],[Buy Window Start]], NOW()&lt;=tbl_MTG_Set[[#This Row],[Buy Window End]])</f>
        <v>#VALUE!</v>
      </c>
      <c r="O732" t="str">
        <f>_xlfn.XLOOKUP(tbl_MTG_Set[[#This Row],[Type Name]], tbl_MTG_Set_Type[Set Type], tbl_MTG_Set_Type[Heavy Printing Window Month Start], "(Set Type not found)", 0, 1)</f>
        <v>(Set Type not found)</v>
      </c>
      <c r="P732" s="3" t="e">
        <f>tbl_MTG_Set[[#This Row],[Released On]]+tbl_MTG_Set[[#This Row],[Heavy Printing Window Month Start]]*365.25/12</f>
        <v>#VALUE!</v>
      </c>
      <c r="Q732" t="str">
        <f>_xlfn.XLOOKUP(tbl_MTG_Set[[#This Row],[Type Name]], tbl_MTG_Set_Type[Set Type], tbl_MTG_Set_Type[Heavy Printing Window Month End], "(Set Type not found)", 0, 1)</f>
        <v>(Set Type not found)</v>
      </c>
      <c r="R732" s="3" t="e">
        <f>tbl_MTG_Set[[#This Row],[Released On]]+tbl_MTG_Set[[#This Row],[Heavy Printing Window Month End]]*365.25/12</f>
        <v>#VALUE!</v>
      </c>
      <c r="S732" s="3" t="e">
        <f ca="1">AND(NOW()&gt;=tbl_MTG_Set[[#This Row],[Heavy Printing Window Start]], NOW()&lt;=tbl_MTG_Set[[#This Row],[Heavy Printing Window End]])</f>
        <v>#VALUE!</v>
      </c>
      <c r="T732" t="str">
        <f>_xlfn.XLOOKUP(tbl_MTG_Set[[#This Row],[Type Name]], tbl_MTG_Set_Type[Set Type], tbl_MTG_Set_Type[Sell Window Month Start], "(Set Type not found)", 0, 1)</f>
        <v>(Set Type not found)</v>
      </c>
      <c r="U732" s="3" t="e">
        <f>tbl_MTG_Set[[#This Row],[Released On]]+tbl_MTG_Set[[#This Row],[Sell Window Month Start]]*365.25/12</f>
        <v>#VALUE!</v>
      </c>
      <c r="V732" t="str">
        <f>_xlfn.XLOOKUP(tbl_MTG_Set[[#This Row],[Type Name]], tbl_MTG_Set_Type[Set Type], tbl_MTG_Set_Type[Sell Window Month End], "(Set Type not found)", 0, 1)</f>
        <v>(Set Type not found)</v>
      </c>
      <c r="W732" s="3" t="e">
        <f>tbl_MTG_Set[[#This Row],[Released On]]+tbl_MTG_Set[[#This Row],[Sell Window Month End]]*365.25/12</f>
        <v>#VALUE!</v>
      </c>
      <c r="X732" s="3" t="e">
        <f ca="1">AND(NOW()&gt;=tbl_MTG_Set[[#This Row],[Sell Window Start]], NOW()&lt;=tbl_MTG_Set[[#This Row],[Sell Window End]])</f>
        <v>#VALUE!</v>
      </c>
      <c r="AG732" s="10"/>
      <c r="AH732" s="10"/>
      <c r="AM732" s="10" t="str" cm="1">
        <f t="array" ref="AM7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2" s="10" t="str" cm="1">
        <f t="array" ref="AN7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2" s="4" t="e">
        <f>_xlfn.XLOOKUP(tbl_MTG_Set[[#This Row],[Play Booster Box Product Id]], tbl_Product[Product Id], tbl_Product[Pack Size])</f>
        <v>#N/A</v>
      </c>
      <c r="AP732" s="10" t="e">
        <f>(tbl_MTG_Set[[#This Row],[Play Booster Box Cost]]+v_Item_Shipping_Cost_In)/tbl_MTG_Set[[#This Row],[Play Booster Box Size]]</f>
        <v>#VALUE!</v>
      </c>
      <c r="AQ732" s="10" t="str" cm="1">
        <f t="array" ref="AQ7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2" s="10"/>
      <c r="AS732" s="10"/>
      <c r="AT732" s="17" t="e">
        <f>tbl_MTG_Set[[#This Row],[Play Booster CardMarket Profit]]/tbl_MTG_Set[[#This Row],[Play Booster Cost]]</f>
        <v>#VALUE!</v>
      </c>
      <c r="AU732" s="10" t="e">
        <f>_xlfn.XLOOKUP(tbl_MTG_Set[[#This Row],[Collector Booster Box Product Id]], tbl_Product[Product Id], tbl_Product[Min Cost])</f>
        <v>#N/A</v>
      </c>
      <c r="AV732" s="10" t="e">
        <f>_xlfn.XLOOKUP(tbl_MTG_Set[[#This Row],[Collector Booster Box Product Id]], tbl_Product[Product Id], tbl_Product[Best Source])</f>
        <v>#N/A</v>
      </c>
      <c r="AW732" s="4" t="e">
        <f>_xlfn.XLOOKUP(tbl_MTG_Set[[#This Row],[Collector Booster Box Product Id]], tbl_Product[Product Id], tbl_Product[Pack Size])</f>
        <v>#N/A</v>
      </c>
      <c r="AX732" s="10" t="e">
        <f>(tbl_MTG_Set[[#This Row],[Collector Booster Box Cost]] + v_Item_Shipping_Cost_In) / tbl_MTG_Set[[#This Row],[Collector Booster Box Size]]</f>
        <v>#N/A</v>
      </c>
      <c r="AY732" s="10" t="str" cm="1">
        <f t="array" ref="AY7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2" s="10"/>
      <c r="BA7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2" s="17" t="e">
        <f>tbl_MTG_Set[[#This Row],[Collector Booster CardMarket Profit]]/tbl_MTG_Set[[#This Row],[Collector Booster Cost]]</f>
        <v>#N/A</v>
      </c>
      <c r="BC732" s="10"/>
      <c r="BF7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2" s="11" t="e">
        <f>tbl_MTG_Set[[#This Row],[Play Singles CardMarket Profit MTG Stocks]]/tbl_MTG_Set[[#This Row],[Play Booster Cost]]</f>
        <v>#VALUE!</v>
      </c>
      <c r="BI732" s="11" t="b">
        <f>tbl_MTG_Set[[#This Row],[Play Singles CardMarket Profit MTG Stocks]]&gt;0</f>
        <v>0</v>
      </c>
      <c r="BM732" s="10" t="e">
        <f>tbl_MTG_Set[[#This Row],[Play Booster Sell Price CardMarket]]*tbl_MTG_Set[[#This Row],[Play Booster Expected Market Value BotBox]]/tbl_MTG_Set[[#This Row],[Play Booster Sealed Market Value BotBox]]</f>
        <v>#VALUE!</v>
      </c>
      <c r="BN7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2" s="10" t="e">
        <f>tbl_MTG_Set[[#This Row],[Play Singles CardMarket Profit BotBox]]/tbl_MTG_Set[[#This Row],[Play Booster Cost]]</f>
        <v>#VALUE!</v>
      </c>
      <c r="BP732" s="10" t="b">
        <f>tbl_MTG_Set[[#This Row],[Play Singles CardMarket Profit BotBox]]&gt;0</f>
        <v>0</v>
      </c>
      <c r="BQ732" s="10"/>
      <c r="BR732" s="10"/>
      <c r="BS732" s="10"/>
      <c r="BT7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2" s="19" t="e">
        <f>tbl_MTG_Set[[#This Row],[Collector Singles CardMarket Profit MTG Stocks]]/tbl_MTG_Set[[#This Row],[Collector Booster Cost]]</f>
        <v>#N/A</v>
      </c>
      <c r="BW732" s="10" t="b">
        <f>tbl_MTG_Set[[#This Row],[Collector Singles CardMarket Profit MTG Stocks]]&gt;0</f>
        <v>0</v>
      </c>
      <c r="BX732" s="10"/>
      <c r="BY732" s="10"/>
      <c r="BZ7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2" s="10" t="e">
        <f>tbl_MTG_Set[[#This Row],[Collector Singles CardMarket Profit BotBox]]/tbl_MTG_Set[[#This Row],[Collector Booster Cost]]</f>
        <v>#N/A</v>
      </c>
      <c r="CC732" s="10" t="b">
        <f>tbl_MTG_Set[[#This Row],[Collector Singles CardMarket Profit BotBox]]&gt;0</f>
        <v>0</v>
      </c>
      <c r="CD7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3" spans="1:86" hidden="1">
      <c r="A733">
        <v>765</v>
      </c>
      <c r="B733" t="s">
        <v>906</v>
      </c>
      <c r="C733">
        <v>145</v>
      </c>
      <c r="D733" s="3">
        <v>40214</v>
      </c>
      <c r="F733" t="s">
        <v>174</v>
      </c>
      <c r="G733">
        <v>1476</v>
      </c>
      <c r="H733">
        <f ca="1">MONTH(NOW())+12*YEAR(NOW())-MONTH(tbl_MTG_Set[[#This Row],[Released On]])-12*YEAR(tbl_MTG_Set[[#This Row],[Released On]])</f>
        <v>193</v>
      </c>
      <c r="I733" t="str">
        <f>_xlfn.XLOOKUP(tbl_MTG_Set[[#This Row],[Type Name]], tbl_MTG_Set_Type[Set Type], tbl_MTG_Set_Type[Index], "(Set Type not found)")</f>
        <v>(Set Type not found)</v>
      </c>
      <c r="J733" t="str">
        <f>_xlfn.XLOOKUP(tbl_MTG_Set[[#This Row],[Type Name]], tbl_MTG_Set_Type[Set Type], tbl_MTG_Set_Type[Buy Window Month Start], "(Set Type not found)")</f>
        <v>(Set Type not found)</v>
      </c>
      <c r="K733" s="3" t="e">
        <f>tbl_MTG_Set[[#This Row],[Released On]]+tbl_MTG_Set[[#This Row],[Buy Window Month Start]]*365.25/12</f>
        <v>#VALUE!</v>
      </c>
      <c r="L733" t="str">
        <f>_xlfn.XLOOKUP(tbl_MTG_Set[[#This Row],[Type Name]], tbl_MTG_Set_Type[Set Type], tbl_MTG_Set_Type[Buy Window Month End], "(Set Type not found)", 0, 1)</f>
        <v>(Set Type not found)</v>
      </c>
      <c r="M733" s="3" t="e">
        <f>tbl_MTG_Set[[#This Row],[Released On]]+tbl_MTG_Set[[#This Row],[Buy Window Month End]]*365.25/12</f>
        <v>#VALUE!</v>
      </c>
      <c r="N733" s="3" t="e">
        <f ca="1">AND(NOW()&gt;=tbl_MTG_Set[[#This Row],[Buy Window Start]], NOW()&lt;=tbl_MTG_Set[[#This Row],[Buy Window End]])</f>
        <v>#VALUE!</v>
      </c>
      <c r="O733" t="str">
        <f>_xlfn.XLOOKUP(tbl_MTG_Set[[#This Row],[Type Name]], tbl_MTG_Set_Type[Set Type], tbl_MTG_Set_Type[Heavy Printing Window Month Start], "(Set Type not found)", 0, 1)</f>
        <v>(Set Type not found)</v>
      </c>
      <c r="P733" s="3" t="e">
        <f>tbl_MTG_Set[[#This Row],[Released On]]+tbl_MTG_Set[[#This Row],[Heavy Printing Window Month Start]]*365.25/12</f>
        <v>#VALUE!</v>
      </c>
      <c r="Q733" t="str">
        <f>_xlfn.XLOOKUP(tbl_MTG_Set[[#This Row],[Type Name]], tbl_MTG_Set_Type[Set Type], tbl_MTG_Set_Type[Heavy Printing Window Month End], "(Set Type not found)", 0, 1)</f>
        <v>(Set Type not found)</v>
      </c>
      <c r="R733" s="3" t="e">
        <f>tbl_MTG_Set[[#This Row],[Released On]]+tbl_MTG_Set[[#This Row],[Heavy Printing Window Month End]]*365.25/12</f>
        <v>#VALUE!</v>
      </c>
      <c r="S733" s="3" t="e">
        <f ca="1">AND(NOW()&gt;=tbl_MTG_Set[[#This Row],[Heavy Printing Window Start]], NOW()&lt;=tbl_MTG_Set[[#This Row],[Heavy Printing Window End]])</f>
        <v>#VALUE!</v>
      </c>
      <c r="T733" t="str">
        <f>_xlfn.XLOOKUP(tbl_MTG_Set[[#This Row],[Type Name]], tbl_MTG_Set_Type[Set Type], tbl_MTG_Set_Type[Sell Window Month Start], "(Set Type not found)", 0, 1)</f>
        <v>(Set Type not found)</v>
      </c>
      <c r="U733" s="3" t="e">
        <f>tbl_MTG_Set[[#This Row],[Released On]]+tbl_MTG_Set[[#This Row],[Sell Window Month Start]]*365.25/12</f>
        <v>#VALUE!</v>
      </c>
      <c r="V733" t="str">
        <f>_xlfn.XLOOKUP(tbl_MTG_Set[[#This Row],[Type Name]], tbl_MTG_Set_Type[Set Type], tbl_MTG_Set_Type[Sell Window Month End], "(Set Type not found)", 0, 1)</f>
        <v>(Set Type not found)</v>
      </c>
      <c r="W733" s="3" t="e">
        <f>tbl_MTG_Set[[#This Row],[Released On]]+tbl_MTG_Set[[#This Row],[Sell Window Month End]]*365.25/12</f>
        <v>#VALUE!</v>
      </c>
      <c r="X733" s="3" t="e">
        <f ca="1">AND(NOW()&gt;=tbl_MTG_Set[[#This Row],[Sell Window Start]], NOW()&lt;=tbl_MTG_Set[[#This Row],[Sell Window End]])</f>
        <v>#VALUE!</v>
      </c>
      <c r="AG733" s="10"/>
      <c r="AH733" s="10"/>
      <c r="AM733" s="10" t="str" cm="1">
        <f t="array" ref="AM7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3" s="10" t="str" cm="1">
        <f t="array" ref="AN7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3" s="4" t="e">
        <f>_xlfn.XLOOKUP(tbl_MTG_Set[[#This Row],[Play Booster Box Product Id]], tbl_Product[Product Id], tbl_Product[Pack Size])</f>
        <v>#N/A</v>
      </c>
      <c r="AP733" s="10" t="e">
        <f>(tbl_MTG_Set[[#This Row],[Play Booster Box Cost]]+v_Item_Shipping_Cost_In)/tbl_MTG_Set[[#This Row],[Play Booster Box Size]]</f>
        <v>#VALUE!</v>
      </c>
      <c r="AQ733" s="10" t="str" cm="1">
        <f t="array" ref="AQ7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3" s="10"/>
      <c r="AS733" s="10"/>
      <c r="AT733" s="17" t="e">
        <f>tbl_MTG_Set[[#This Row],[Play Booster CardMarket Profit]]/tbl_MTG_Set[[#This Row],[Play Booster Cost]]</f>
        <v>#VALUE!</v>
      </c>
      <c r="AU733" s="10" t="e">
        <f>_xlfn.XLOOKUP(tbl_MTG_Set[[#This Row],[Collector Booster Box Product Id]], tbl_Product[Product Id], tbl_Product[Min Cost])</f>
        <v>#N/A</v>
      </c>
      <c r="AV733" s="10" t="e">
        <f>_xlfn.XLOOKUP(tbl_MTG_Set[[#This Row],[Collector Booster Box Product Id]], tbl_Product[Product Id], tbl_Product[Best Source])</f>
        <v>#N/A</v>
      </c>
      <c r="AW733" s="4" t="e">
        <f>_xlfn.XLOOKUP(tbl_MTG_Set[[#This Row],[Collector Booster Box Product Id]], tbl_Product[Product Id], tbl_Product[Pack Size])</f>
        <v>#N/A</v>
      </c>
      <c r="AX733" s="10" t="e">
        <f>(tbl_MTG_Set[[#This Row],[Collector Booster Box Cost]] + v_Item_Shipping_Cost_In) / tbl_MTG_Set[[#This Row],[Collector Booster Box Size]]</f>
        <v>#N/A</v>
      </c>
      <c r="AY733" s="10" t="str" cm="1">
        <f t="array" ref="AY7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3" s="10"/>
      <c r="BA7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3" s="17" t="e">
        <f>tbl_MTG_Set[[#This Row],[Collector Booster CardMarket Profit]]/tbl_MTG_Set[[#This Row],[Collector Booster Cost]]</f>
        <v>#N/A</v>
      </c>
      <c r="BC733" s="10"/>
      <c r="BF7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3" s="11" t="e">
        <f>tbl_MTG_Set[[#This Row],[Play Singles CardMarket Profit MTG Stocks]]/tbl_MTG_Set[[#This Row],[Play Booster Cost]]</f>
        <v>#VALUE!</v>
      </c>
      <c r="BI733" s="11" t="b">
        <f>tbl_MTG_Set[[#This Row],[Play Singles CardMarket Profit MTG Stocks]]&gt;0</f>
        <v>0</v>
      </c>
      <c r="BM733" s="10" t="e">
        <f>tbl_MTG_Set[[#This Row],[Play Booster Sell Price CardMarket]]*tbl_MTG_Set[[#This Row],[Play Booster Expected Market Value BotBox]]/tbl_MTG_Set[[#This Row],[Play Booster Sealed Market Value BotBox]]</f>
        <v>#VALUE!</v>
      </c>
      <c r="BN7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3" s="10" t="e">
        <f>tbl_MTG_Set[[#This Row],[Play Singles CardMarket Profit BotBox]]/tbl_MTG_Set[[#This Row],[Play Booster Cost]]</f>
        <v>#VALUE!</v>
      </c>
      <c r="BP733" s="10" t="b">
        <f>tbl_MTG_Set[[#This Row],[Play Singles CardMarket Profit BotBox]]&gt;0</f>
        <v>0</v>
      </c>
      <c r="BQ733" s="10"/>
      <c r="BR733" s="10"/>
      <c r="BS733" s="10"/>
      <c r="BT7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3" s="19" t="e">
        <f>tbl_MTG_Set[[#This Row],[Collector Singles CardMarket Profit MTG Stocks]]/tbl_MTG_Set[[#This Row],[Collector Booster Cost]]</f>
        <v>#N/A</v>
      </c>
      <c r="BW733" s="10" t="b">
        <f>tbl_MTG_Set[[#This Row],[Collector Singles CardMarket Profit MTG Stocks]]&gt;0</f>
        <v>0</v>
      </c>
      <c r="BX733" s="10"/>
      <c r="BY733" s="10"/>
      <c r="BZ7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3" s="10" t="e">
        <f>tbl_MTG_Set[[#This Row],[Collector Singles CardMarket Profit BotBox]]/tbl_MTG_Set[[#This Row],[Collector Booster Cost]]</f>
        <v>#N/A</v>
      </c>
      <c r="CC733" s="10" t="b">
        <f>tbl_MTG_Set[[#This Row],[Collector Singles CardMarket Profit BotBox]]&gt;0</f>
        <v>0</v>
      </c>
      <c r="CD7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4" spans="1:86" hidden="1">
      <c r="A734">
        <v>766</v>
      </c>
      <c r="B734" t="s">
        <v>907</v>
      </c>
      <c r="C734">
        <v>6</v>
      </c>
      <c r="D734" s="3">
        <v>40214</v>
      </c>
      <c r="F734" t="s">
        <v>174</v>
      </c>
      <c r="G734">
        <v>1478</v>
      </c>
      <c r="H734">
        <f ca="1">MONTH(NOW())+12*YEAR(NOW())-MONTH(tbl_MTG_Set[[#This Row],[Released On]])-12*YEAR(tbl_MTG_Set[[#This Row],[Released On]])</f>
        <v>193</v>
      </c>
      <c r="I734" t="str">
        <f>_xlfn.XLOOKUP(tbl_MTG_Set[[#This Row],[Type Name]], tbl_MTG_Set_Type[Set Type], tbl_MTG_Set_Type[Index], "(Set Type not found)")</f>
        <v>(Set Type not found)</v>
      </c>
      <c r="J734" t="str">
        <f>_xlfn.XLOOKUP(tbl_MTG_Set[[#This Row],[Type Name]], tbl_MTG_Set_Type[Set Type], tbl_MTG_Set_Type[Buy Window Month Start], "(Set Type not found)")</f>
        <v>(Set Type not found)</v>
      </c>
      <c r="K734" s="3" t="e">
        <f>tbl_MTG_Set[[#This Row],[Released On]]+tbl_MTG_Set[[#This Row],[Buy Window Month Start]]*365.25/12</f>
        <v>#VALUE!</v>
      </c>
      <c r="L734" t="str">
        <f>_xlfn.XLOOKUP(tbl_MTG_Set[[#This Row],[Type Name]], tbl_MTG_Set_Type[Set Type], tbl_MTG_Set_Type[Buy Window Month End], "(Set Type not found)", 0, 1)</f>
        <v>(Set Type not found)</v>
      </c>
      <c r="M734" s="3" t="e">
        <f>tbl_MTG_Set[[#This Row],[Released On]]+tbl_MTG_Set[[#This Row],[Buy Window Month End]]*365.25/12</f>
        <v>#VALUE!</v>
      </c>
      <c r="N734" s="3" t="e">
        <f ca="1">AND(NOW()&gt;=tbl_MTG_Set[[#This Row],[Buy Window Start]], NOW()&lt;=tbl_MTG_Set[[#This Row],[Buy Window End]])</f>
        <v>#VALUE!</v>
      </c>
      <c r="O734" t="str">
        <f>_xlfn.XLOOKUP(tbl_MTG_Set[[#This Row],[Type Name]], tbl_MTG_Set_Type[Set Type], tbl_MTG_Set_Type[Heavy Printing Window Month Start], "(Set Type not found)", 0, 1)</f>
        <v>(Set Type not found)</v>
      </c>
      <c r="P734" s="3" t="e">
        <f>tbl_MTG_Set[[#This Row],[Released On]]+tbl_MTG_Set[[#This Row],[Heavy Printing Window Month Start]]*365.25/12</f>
        <v>#VALUE!</v>
      </c>
      <c r="Q734" t="str">
        <f>_xlfn.XLOOKUP(tbl_MTG_Set[[#This Row],[Type Name]], tbl_MTG_Set_Type[Set Type], tbl_MTG_Set_Type[Heavy Printing Window Month End], "(Set Type not found)", 0, 1)</f>
        <v>(Set Type not found)</v>
      </c>
      <c r="R734" s="3" t="e">
        <f>tbl_MTG_Set[[#This Row],[Released On]]+tbl_MTG_Set[[#This Row],[Heavy Printing Window Month End]]*365.25/12</f>
        <v>#VALUE!</v>
      </c>
      <c r="S734" s="3" t="e">
        <f ca="1">AND(NOW()&gt;=tbl_MTG_Set[[#This Row],[Heavy Printing Window Start]], NOW()&lt;=tbl_MTG_Set[[#This Row],[Heavy Printing Window End]])</f>
        <v>#VALUE!</v>
      </c>
      <c r="T734" t="str">
        <f>_xlfn.XLOOKUP(tbl_MTG_Set[[#This Row],[Type Name]], tbl_MTG_Set_Type[Set Type], tbl_MTG_Set_Type[Sell Window Month Start], "(Set Type not found)", 0, 1)</f>
        <v>(Set Type not found)</v>
      </c>
      <c r="U734" s="3" t="e">
        <f>tbl_MTG_Set[[#This Row],[Released On]]+tbl_MTG_Set[[#This Row],[Sell Window Month Start]]*365.25/12</f>
        <v>#VALUE!</v>
      </c>
      <c r="V734" t="str">
        <f>_xlfn.XLOOKUP(tbl_MTG_Set[[#This Row],[Type Name]], tbl_MTG_Set_Type[Set Type], tbl_MTG_Set_Type[Sell Window Month End], "(Set Type not found)", 0, 1)</f>
        <v>(Set Type not found)</v>
      </c>
      <c r="W734" s="3" t="e">
        <f>tbl_MTG_Set[[#This Row],[Released On]]+tbl_MTG_Set[[#This Row],[Sell Window Month End]]*365.25/12</f>
        <v>#VALUE!</v>
      </c>
      <c r="X734" s="3" t="e">
        <f ca="1">AND(NOW()&gt;=tbl_MTG_Set[[#This Row],[Sell Window Start]], NOW()&lt;=tbl_MTG_Set[[#This Row],[Sell Window End]])</f>
        <v>#VALUE!</v>
      </c>
      <c r="AG734" s="10"/>
      <c r="AH734" s="10"/>
      <c r="AM734" s="10" t="str" cm="1">
        <f t="array" ref="AM7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4" s="10" t="str" cm="1">
        <f t="array" ref="AN7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4" s="4" t="e">
        <f>_xlfn.XLOOKUP(tbl_MTG_Set[[#This Row],[Play Booster Box Product Id]], tbl_Product[Product Id], tbl_Product[Pack Size])</f>
        <v>#N/A</v>
      </c>
      <c r="AP734" s="10" t="e">
        <f>(tbl_MTG_Set[[#This Row],[Play Booster Box Cost]]+v_Item_Shipping_Cost_In)/tbl_MTG_Set[[#This Row],[Play Booster Box Size]]</f>
        <v>#VALUE!</v>
      </c>
      <c r="AQ734" s="10" t="str" cm="1">
        <f t="array" ref="AQ7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4" s="10"/>
      <c r="AS734" s="10"/>
      <c r="AT734" s="17" t="e">
        <f>tbl_MTG_Set[[#This Row],[Play Booster CardMarket Profit]]/tbl_MTG_Set[[#This Row],[Play Booster Cost]]</f>
        <v>#VALUE!</v>
      </c>
      <c r="AU734" s="10" t="e">
        <f>_xlfn.XLOOKUP(tbl_MTG_Set[[#This Row],[Collector Booster Box Product Id]], tbl_Product[Product Id], tbl_Product[Min Cost])</f>
        <v>#N/A</v>
      </c>
      <c r="AV734" s="10" t="e">
        <f>_xlfn.XLOOKUP(tbl_MTG_Set[[#This Row],[Collector Booster Box Product Id]], tbl_Product[Product Id], tbl_Product[Best Source])</f>
        <v>#N/A</v>
      </c>
      <c r="AW734" s="4" t="e">
        <f>_xlfn.XLOOKUP(tbl_MTG_Set[[#This Row],[Collector Booster Box Product Id]], tbl_Product[Product Id], tbl_Product[Pack Size])</f>
        <v>#N/A</v>
      </c>
      <c r="AX734" s="10" t="e">
        <f>(tbl_MTG_Set[[#This Row],[Collector Booster Box Cost]] + v_Item_Shipping_Cost_In) / tbl_MTG_Set[[#This Row],[Collector Booster Box Size]]</f>
        <v>#N/A</v>
      </c>
      <c r="AY734" s="10" t="str" cm="1">
        <f t="array" ref="AY7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4" s="10"/>
      <c r="BA7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4" s="17" t="e">
        <f>tbl_MTG_Set[[#This Row],[Collector Booster CardMarket Profit]]/tbl_MTG_Set[[#This Row],[Collector Booster Cost]]</f>
        <v>#N/A</v>
      </c>
      <c r="BC734" s="10"/>
      <c r="BF7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4" s="11" t="e">
        <f>tbl_MTG_Set[[#This Row],[Play Singles CardMarket Profit MTG Stocks]]/tbl_MTG_Set[[#This Row],[Play Booster Cost]]</f>
        <v>#VALUE!</v>
      </c>
      <c r="BI734" s="11" t="b">
        <f>tbl_MTG_Set[[#This Row],[Play Singles CardMarket Profit MTG Stocks]]&gt;0</f>
        <v>0</v>
      </c>
      <c r="BM734" s="10" t="e">
        <f>tbl_MTG_Set[[#This Row],[Play Booster Sell Price CardMarket]]*tbl_MTG_Set[[#This Row],[Play Booster Expected Market Value BotBox]]/tbl_MTG_Set[[#This Row],[Play Booster Sealed Market Value BotBox]]</f>
        <v>#VALUE!</v>
      </c>
      <c r="BN7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4" s="10" t="e">
        <f>tbl_MTG_Set[[#This Row],[Play Singles CardMarket Profit BotBox]]/tbl_MTG_Set[[#This Row],[Play Booster Cost]]</f>
        <v>#VALUE!</v>
      </c>
      <c r="BP734" s="10" t="b">
        <f>tbl_MTG_Set[[#This Row],[Play Singles CardMarket Profit BotBox]]&gt;0</f>
        <v>0</v>
      </c>
      <c r="BQ734" s="10"/>
      <c r="BR734" s="10"/>
      <c r="BS734" s="10"/>
      <c r="BT7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4" s="19" t="e">
        <f>tbl_MTG_Set[[#This Row],[Collector Singles CardMarket Profit MTG Stocks]]/tbl_MTG_Set[[#This Row],[Collector Booster Cost]]</f>
        <v>#N/A</v>
      </c>
      <c r="BW734" s="10" t="b">
        <f>tbl_MTG_Set[[#This Row],[Collector Singles CardMarket Profit MTG Stocks]]&gt;0</f>
        <v>0</v>
      </c>
      <c r="BX734" s="10"/>
      <c r="BY734" s="10"/>
      <c r="BZ7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4" s="10" t="e">
        <f>tbl_MTG_Set[[#This Row],[Collector Singles CardMarket Profit BotBox]]/tbl_MTG_Set[[#This Row],[Collector Booster Cost]]</f>
        <v>#N/A</v>
      </c>
      <c r="CC734" s="10" t="b">
        <f>tbl_MTG_Set[[#This Row],[Collector Singles CardMarket Profit BotBox]]&gt;0</f>
        <v>0</v>
      </c>
      <c r="CD7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5" spans="1:86" hidden="1">
      <c r="A735">
        <v>767</v>
      </c>
      <c r="B735" t="s">
        <v>908</v>
      </c>
      <c r="C735">
        <v>6</v>
      </c>
      <c r="D735" s="3">
        <v>40214</v>
      </c>
      <c r="F735" t="s">
        <v>174</v>
      </c>
      <c r="G735">
        <v>1480</v>
      </c>
      <c r="H735">
        <f ca="1">MONTH(NOW())+12*YEAR(NOW())-MONTH(tbl_MTG_Set[[#This Row],[Released On]])-12*YEAR(tbl_MTG_Set[[#This Row],[Released On]])</f>
        <v>193</v>
      </c>
      <c r="I735" t="str">
        <f>_xlfn.XLOOKUP(tbl_MTG_Set[[#This Row],[Type Name]], tbl_MTG_Set_Type[Set Type], tbl_MTG_Set_Type[Index], "(Set Type not found)")</f>
        <v>(Set Type not found)</v>
      </c>
      <c r="J735" t="str">
        <f>_xlfn.XLOOKUP(tbl_MTG_Set[[#This Row],[Type Name]], tbl_MTG_Set_Type[Set Type], tbl_MTG_Set_Type[Buy Window Month Start], "(Set Type not found)")</f>
        <v>(Set Type not found)</v>
      </c>
      <c r="K735" s="3" t="e">
        <f>tbl_MTG_Set[[#This Row],[Released On]]+tbl_MTG_Set[[#This Row],[Buy Window Month Start]]*365.25/12</f>
        <v>#VALUE!</v>
      </c>
      <c r="L735" t="str">
        <f>_xlfn.XLOOKUP(tbl_MTG_Set[[#This Row],[Type Name]], tbl_MTG_Set_Type[Set Type], tbl_MTG_Set_Type[Buy Window Month End], "(Set Type not found)", 0, 1)</f>
        <v>(Set Type not found)</v>
      </c>
      <c r="M735" s="3" t="e">
        <f>tbl_MTG_Set[[#This Row],[Released On]]+tbl_MTG_Set[[#This Row],[Buy Window Month End]]*365.25/12</f>
        <v>#VALUE!</v>
      </c>
      <c r="N735" s="3" t="e">
        <f ca="1">AND(NOW()&gt;=tbl_MTG_Set[[#This Row],[Buy Window Start]], NOW()&lt;=tbl_MTG_Set[[#This Row],[Buy Window End]])</f>
        <v>#VALUE!</v>
      </c>
      <c r="O735" t="str">
        <f>_xlfn.XLOOKUP(tbl_MTG_Set[[#This Row],[Type Name]], tbl_MTG_Set_Type[Set Type], tbl_MTG_Set_Type[Heavy Printing Window Month Start], "(Set Type not found)", 0, 1)</f>
        <v>(Set Type not found)</v>
      </c>
      <c r="P735" s="3" t="e">
        <f>tbl_MTG_Set[[#This Row],[Released On]]+tbl_MTG_Set[[#This Row],[Heavy Printing Window Month Start]]*365.25/12</f>
        <v>#VALUE!</v>
      </c>
      <c r="Q735" t="str">
        <f>_xlfn.XLOOKUP(tbl_MTG_Set[[#This Row],[Type Name]], tbl_MTG_Set_Type[Set Type], tbl_MTG_Set_Type[Heavy Printing Window Month End], "(Set Type not found)", 0, 1)</f>
        <v>(Set Type not found)</v>
      </c>
      <c r="R735" s="3" t="e">
        <f>tbl_MTG_Set[[#This Row],[Released On]]+tbl_MTG_Set[[#This Row],[Heavy Printing Window Month End]]*365.25/12</f>
        <v>#VALUE!</v>
      </c>
      <c r="S735" s="3" t="e">
        <f ca="1">AND(NOW()&gt;=tbl_MTG_Set[[#This Row],[Heavy Printing Window Start]], NOW()&lt;=tbl_MTG_Set[[#This Row],[Heavy Printing Window End]])</f>
        <v>#VALUE!</v>
      </c>
      <c r="T735" t="str">
        <f>_xlfn.XLOOKUP(tbl_MTG_Set[[#This Row],[Type Name]], tbl_MTG_Set_Type[Set Type], tbl_MTG_Set_Type[Sell Window Month Start], "(Set Type not found)", 0, 1)</f>
        <v>(Set Type not found)</v>
      </c>
      <c r="U735" s="3" t="e">
        <f>tbl_MTG_Set[[#This Row],[Released On]]+tbl_MTG_Set[[#This Row],[Sell Window Month Start]]*365.25/12</f>
        <v>#VALUE!</v>
      </c>
      <c r="V735" t="str">
        <f>_xlfn.XLOOKUP(tbl_MTG_Set[[#This Row],[Type Name]], tbl_MTG_Set_Type[Set Type], tbl_MTG_Set_Type[Sell Window Month End], "(Set Type not found)", 0, 1)</f>
        <v>(Set Type not found)</v>
      </c>
      <c r="W735" s="3" t="e">
        <f>tbl_MTG_Set[[#This Row],[Released On]]+tbl_MTG_Set[[#This Row],[Sell Window Month End]]*365.25/12</f>
        <v>#VALUE!</v>
      </c>
      <c r="X735" s="3" t="e">
        <f ca="1">AND(NOW()&gt;=tbl_MTG_Set[[#This Row],[Sell Window Start]], NOW()&lt;=tbl_MTG_Set[[#This Row],[Sell Window End]])</f>
        <v>#VALUE!</v>
      </c>
      <c r="AG735" s="10"/>
      <c r="AH735" s="10"/>
      <c r="AM735" s="10" t="str" cm="1">
        <f t="array" ref="AM7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5" s="10" t="str" cm="1">
        <f t="array" ref="AN7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5" s="4" t="e">
        <f>_xlfn.XLOOKUP(tbl_MTG_Set[[#This Row],[Play Booster Box Product Id]], tbl_Product[Product Id], tbl_Product[Pack Size])</f>
        <v>#N/A</v>
      </c>
      <c r="AP735" s="10" t="e">
        <f>(tbl_MTG_Set[[#This Row],[Play Booster Box Cost]]+v_Item_Shipping_Cost_In)/tbl_MTG_Set[[#This Row],[Play Booster Box Size]]</f>
        <v>#VALUE!</v>
      </c>
      <c r="AQ735" s="10" t="str" cm="1">
        <f t="array" ref="AQ7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5" s="10"/>
      <c r="AS735" s="10"/>
      <c r="AT735" s="17" t="e">
        <f>tbl_MTG_Set[[#This Row],[Play Booster CardMarket Profit]]/tbl_MTG_Set[[#This Row],[Play Booster Cost]]</f>
        <v>#VALUE!</v>
      </c>
      <c r="AU735" s="10" t="e">
        <f>_xlfn.XLOOKUP(tbl_MTG_Set[[#This Row],[Collector Booster Box Product Id]], tbl_Product[Product Id], tbl_Product[Min Cost])</f>
        <v>#N/A</v>
      </c>
      <c r="AV735" s="10" t="e">
        <f>_xlfn.XLOOKUP(tbl_MTG_Set[[#This Row],[Collector Booster Box Product Id]], tbl_Product[Product Id], tbl_Product[Best Source])</f>
        <v>#N/A</v>
      </c>
      <c r="AW735" s="4" t="e">
        <f>_xlfn.XLOOKUP(tbl_MTG_Set[[#This Row],[Collector Booster Box Product Id]], tbl_Product[Product Id], tbl_Product[Pack Size])</f>
        <v>#N/A</v>
      </c>
      <c r="AX735" s="10" t="e">
        <f>(tbl_MTG_Set[[#This Row],[Collector Booster Box Cost]] + v_Item_Shipping_Cost_In) / tbl_MTG_Set[[#This Row],[Collector Booster Box Size]]</f>
        <v>#N/A</v>
      </c>
      <c r="AY735" s="10" t="str" cm="1">
        <f t="array" ref="AY7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5" s="10"/>
      <c r="BA7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5" s="17" t="e">
        <f>tbl_MTG_Set[[#This Row],[Collector Booster CardMarket Profit]]/tbl_MTG_Set[[#This Row],[Collector Booster Cost]]</f>
        <v>#N/A</v>
      </c>
      <c r="BC735" s="10"/>
      <c r="BF7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5" s="11" t="e">
        <f>tbl_MTG_Set[[#This Row],[Play Singles CardMarket Profit MTG Stocks]]/tbl_MTG_Set[[#This Row],[Play Booster Cost]]</f>
        <v>#VALUE!</v>
      </c>
      <c r="BI735" s="11" t="b">
        <f>tbl_MTG_Set[[#This Row],[Play Singles CardMarket Profit MTG Stocks]]&gt;0</f>
        <v>0</v>
      </c>
      <c r="BM735" s="10" t="e">
        <f>tbl_MTG_Set[[#This Row],[Play Booster Sell Price CardMarket]]*tbl_MTG_Set[[#This Row],[Play Booster Expected Market Value BotBox]]/tbl_MTG_Set[[#This Row],[Play Booster Sealed Market Value BotBox]]</f>
        <v>#VALUE!</v>
      </c>
      <c r="BN7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5" s="10" t="e">
        <f>tbl_MTG_Set[[#This Row],[Play Singles CardMarket Profit BotBox]]/tbl_MTG_Set[[#This Row],[Play Booster Cost]]</f>
        <v>#VALUE!</v>
      </c>
      <c r="BP735" s="10" t="b">
        <f>tbl_MTG_Set[[#This Row],[Play Singles CardMarket Profit BotBox]]&gt;0</f>
        <v>0</v>
      </c>
      <c r="BQ735" s="10"/>
      <c r="BR735" s="10"/>
      <c r="BS735" s="10"/>
      <c r="BT7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5" s="19" t="e">
        <f>tbl_MTG_Set[[#This Row],[Collector Singles CardMarket Profit MTG Stocks]]/tbl_MTG_Set[[#This Row],[Collector Booster Cost]]</f>
        <v>#N/A</v>
      </c>
      <c r="BW735" s="10" t="b">
        <f>tbl_MTG_Set[[#This Row],[Collector Singles CardMarket Profit MTG Stocks]]&gt;0</f>
        <v>0</v>
      </c>
      <c r="BX735" s="10"/>
      <c r="BY735" s="10"/>
      <c r="BZ7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5" s="10" t="e">
        <f>tbl_MTG_Set[[#This Row],[Collector Singles CardMarket Profit BotBox]]/tbl_MTG_Set[[#This Row],[Collector Booster Cost]]</f>
        <v>#N/A</v>
      </c>
      <c r="CC735" s="10" t="b">
        <f>tbl_MTG_Set[[#This Row],[Collector Singles CardMarket Profit BotBox]]&gt;0</f>
        <v>0</v>
      </c>
      <c r="CD7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6" spans="1:86" hidden="1">
      <c r="A736">
        <v>768</v>
      </c>
      <c r="B736" t="s">
        <v>909</v>
      </c>
      <c r="C736">
        <v>2</v>
      </c>
      <c r="D736" s="3">
        <v>40179</v>
      </c>
      <c r="F736" t="s">
        <v>174</v>
      </c>
      <c r="G736">
        <v>1482</v>
      </c>
      <c r="H736">
        <f ca="1">MONTH(NOW())+12*YEAR(NOW())-MONTH(tbl_MTG_Set[[#This Row],[Released On]])-12*YEAR(tbl_MTG_Set[[#This Row],[Released On]])</f>
        <v>194</v>
      </c>
      <c r="I736" t="str">
        <f>_xlfn.XLOOKUP(tbl_MTG_Set[[#This Row],[Type Name]], tbl_MTG_Set_Type[Set Type], tbl_MTG_Set_Type[Index], "(Set Type not found)")</f>
        <v>(Set Type not found)</v>
      </c>
      <c r="J736" t="str">
        <f>_xlfn.XLOOKUP(tbl_MTG_Set[[#This Row],[Type Name]], tbl_MTG_Set_Type[Set Type], tbl_MTG_Set_Type[Buy Window Month Start], "(Set Type not found)")</f>
        <v>(Set Type not found)</v>
      </c>
      <c r="K736" s="3" t="e">
        <f>tbl_MTG_Set[[#This Row],[Released On]]+tbl_MTG_Set[[#This Row],[Buy Window Month Start]]*365.25/12</f>
        <v>#VALUE!</v>
      </c>
      <c r="L736" t="str">
        <f>_xlfn.XLOOKUP(tbl_MTG_Set[[#This Row],[Type Name]], tbl_MTG_Set_Type[Set Type], tbl_MTG_Set_Type[Buy Window Month End], "(Set Type not found)", 0, 1)</f>
        <v>(Set Type not found)</v>
      </c>
      <c r="M736" s="3" t="e">
        <f>tbl_MTG_Set[[#This Row],[Released On]]+tbl_MTG_Set[[#This Row],[Buy Window Month End]]*365.25/12</f>
        <v>#VALUE!</v>
      </c>
      <c r="N736" s="3" t="e">
        <f ca="1">AND(NOW()&gt;=tbl_MTG_Set[[#This Row],[Buy Window Start]], NOW()&lt;=tbl_MTG_Set[[#This Row],[Buy Window End]])</f>
        <v>#VALUE!</v>
      </c>
      <c r="O736" t="str">
        <f>_xlfn.XLOOKUP(tbl_MTG_Set[[#This Row],[Type Name]], tbl_MTG_Set_Type[Set Type], tbl_MTG_Set_Type[Heavy Printing Window Month Start], "(Set Type not found)", 0, 1)</f>
        <v>(Set Type not found)</v>
      </c>
      <c r="P736" s="3" t="e">
        <f>tbl_MTG_Set[[#This Row],[Released On]]+tbl_MTG_Set[[#This Row],[Heavy Printing Window Month Start]]*365.25/12</f>
        <v>#VALUE!</v>
      </c>
      <c r="Q736" t="str">
        <f>_xlfn.XLOOKUP(tbl_MTG_Set[[#This Row],[Type Name]], tbl_MTG_Set_Type[Set Type], tbl_MTG_Set_Type[Heavy Printing Window Month End], "(Set Type not found)", 0, 1)</f>
        <v>(Set Type not found)</v>
      </c>
      <c r="R736" s="3" t="e">
        <f>tbl_MTG_Set[[#This Row],[Released On]]+tbl_MTG_Set[[#This Row],[Heavy Printing Window Month End]]*365.25/12</f>
        <v>#VALUE!</v>
      </c>
      <c r="S736" s="3" t="e">
        <f ca="1">AND(NOW()&gt;=tbl_MTG_Set[[#This Row],[Heavy Printing Window Start]], NOW()&lt;=tbl_MTG_Set[[#This Row],[Heavy Printing Window End]])</f>
        <v>#VALUE!</v>
      </c>
      <c r="T736" t="str">
        <f>_xlfn.XLOOKUP(tbl_MTG_Set[[#This Row],[Type Name]], tbl_MTG_Set_Type[Set Type], tbl_MTG_Set_Type[Sell Window Month Start], "(Set Type not found)", 0, 1)</f>
        <v>(Set Type not found)</v>
      </c>
      <c r="U736" s="3" t="e">
        <f>tbl_MTG_Set[[#This Row],[Released On]]+tbl_MTG_Set[[#This Row],[Sell Window Month Start]]*365.25/12</f>
        <v>#VALUE!</v>
      </c>
      <c r="V736" t="str">
        <f>_xlfn.XLOOKUP(tbl_MTG_Set[[#This Row],[Type Name]], tbl_MTG_Set_Type[Set Type], tbl_MTG_Set_Type[Sell Window Month End], "(Set Type not found)", 0, 1)</f>
        <v>(Set Type not found)</v>
      </c>
      <c r="W736" s="3" t="e">
        <f>tbl_MTG_Set[[#This Row],[Released On]]+tbl_MTG_Set[[#This Row],[Sell Window Month End]]*365.25/12</f>
        <v>#VALUE!</v>
      </c>
      <c r="X736" s="3" t="e">
        <f ca="1">AND(NOW()&gt;=tbl_MTG_Set[[#This Row],[Sell Window Start]], NOW()&lt;=tbl_MTG_Set[[#This Row],[Sell Window End]])</f>
        <v>#VALUE!</v>
      </c>
      <c r="AG736" s="10"/>
      <c r="AH736" s="10"/>
      <c r="AM736" s="10" t="str" cm="1">
        <f t="array" ref="AM7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6" s="10" t="str" cm="1">
        <f t="array" ref="AN7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6" s="4" t="e">
        <f>_xlfn.XLOOKUP(tbl_MTG_Set[[#This Row],[Play Booster Box Product Id]], tbl_Product[Product Id], tbl_Product[Pack Size])</f>
        <v>#N/A</v>
      </c>
      <c r="AP736" s="10" t="e">
        <f>(tbl_MTG_Set[[#This Row],[Play Booster Box Cost]]+v_Item_Shipping_Cost_In)/tbl_MTG_Set[[#This Row],[Play Booster Box Size]]</f>
        <v>#VALUE!</v>
      </c>
      <c r="AQ736" s="10" t="str" cm="1">
        <f t="array" ref="AQ7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6" s="10"/>
      <c r="AS736" s="10"/>
      <c r="AT736" s="17" t="e">
        <f>tbl_MTG_Set[[#This Row],[Play Booster CardMarket Profit]]/tbl_MTG_Set[[#This Row],[Play Booster Cost]]</f>
        <v>#VALUE!</v>
      </c>
      <c r="AU736" s="10" t="e">
        <f>_xlfn.XLOOKUP(tbl_MTG_Set[[#This Row],[Collector Booster Box Product Id]], tbl_Product[Product Id], tbl_Product[Min Cost])</f>
        <v>#N/A</v>
      </c>
      <c r="AV736" s="10" t="e">
        <f>_xlfn.XLOOKUP(tbl_MTG_Set[[#This Row],[Collector Booster Box Product Id]], tbl_Product[Product Id], tbl_Product[Best Source])</f>
        <v>#N/A</v>
      </c>
      <c r="AW736" s="4" t="e">
        <f>_xlfn.XLOOKUP(tbl_MTG_Set[[#This Row],[Collector Booster Box Product Id]], tbl_Product[Product Id], tbl_Product[Pack Size])</f>
        <v>#N/A</v>
      </c>
      <c r="AX736" s="10" t="e">
        <f>(tbl_MTG_Set[[#This Row],[Collector Booster Box Cost]] + v_Item_Shipping_Cost_In) / tbl_MTG_Set[[#This Row],[Collector Booster Box Size]]</f>
        <v>#N/A</v>
      </c>
      <c r="AY736" s="10" t="str" cm="1">
        <f t="array" ref="AY7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6" s="10"/>
      <c r="BA7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6" s="17" t="e">
        <f>tbl_MTG_Set[[#This Row],[Collector Booster CardMarket Profit]]/tbl_MTG_Set[[#This Row],[Collector Booster Cost]]</f>
        <v>#N/A</v>
      </c>
      <c r="BC736" s="10"/>
      <c r="BF7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6" s="11" t="e">
        <f>tbl_MTG_Set[[#This Row],[Play Singles CardMarket Profit MTG Stocks]]/tbl_MTG_Set[[#This Row],[Play Booster Cost]]</f>
        <v>#VALUE!</v>
      </c>
      <c r="BI736" s="11" t="b">
        <f>tbl_MTG_Set[[#This Row],[Play Singles CardMarket Profit MTG Stocks]]&gt;0</f>
        <v>0</v>
      </c>
      <c r="BM736" s="10" t="e">
        <f>tbl_MTG_Set[[#This Row],[Play Booster Sell Price CardMarket]]*tbl_MTG_Set[[#This Row],[Play Booster Expected Market Value BotBox]]/tbl_MTG_Set[[#This Row],[Play Booster Sealed Market Value BotBox]]</f>
        <v>#VALUE!</v>
      </c>
      <c r="BN7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6" s="10" t="e">
        <f>tbl_MTG_Set[[#This Row],[Play Singles CardMarket Profit BotBox]]/tbl_MTG_Set[[#This Row],[Play Booster Cost]]</f>
        <v>#VALUE!</v>
      </c>
      <c r="BP736" s="10" t="b">
        <f>tbl_MTG_Set[[#This Row],[Play Singles CardMarket Profit BotBox]]&gt;0</f>
        <v>0</v>
      </c>
      <c r="BQ736" s="10"/>
      <c r="BR736" s="10"/>
      <c r="BS736" s="10"/>
      <c r="BT7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6" s="19" t="e">
        <f>tbl_MTG_Set[[#This Row],[Collector Singles CardMarket Profit MTG Stocks]]/tbl_MTG_Set[[#This Row],[Collector Booster Cost]]</f>
        <v>#N/A</v>
      </c>
      <c r="BW736" s="10" t="b">
        <f>tbl_MTG_Set[[#This Row],[Collector Singles CardMarket Profit MTG Stocks]]&gt;0</f>
        <v>0</v>
      </c>
      <c r="BX736" s="10"/>
      <c r="BY736" s="10"/>
      <c r="BZ7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6" s="10" t="e">
        <f>tbl_MTG_Set[[#This Row],[Collector Singles CardMarket Profit BotBox]]/tbl_MTG_Set[[#This Row],[Collector Booster Cost]]</f>
        <v>#N/A</v>
      </c>
      <c r="CC736" s="10" t="b">
        <f>tbl_MTG_Set[[#This Row],[Collector Singles CardMarket Profit BotBox]]&gt;0</f>
        <v>0</v>
      </c>
      <c r="CD7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7" spans="1:86" hidden="1">
      <c r="A737">
        <v>769</v>
      </c>
      <c r="B737" t="s">
        <v>910</v>
      </c>
      <c r="C737">
        <v>5</v>
      </c>
      <c r="D737" s="3">
        <v>40179</v>
      </c>
      <c r="F737" t="s">
        <v>174</v>
      </c>
      <c r="G737">
        <v>1484</v>
      </c>
      <c r="H737">
        <f ca="1">MONTH(NOW())+12*YEAR(NOW())-MONTH(tbl_MTG_Set[[#This Row],[Released On]])-12*YEAR(tbl_MTG_Set[[#This Row],[Released On]])</f>
        <v>194</v>
      </c>
      <c r="I737" t="str">
        <f>_xlfn.XLOOKUP(tbl_MTG_Set[[#This Row],[Type Name]], tbl_MTG_Set_Type[Set Type], tbl_MTG_Set_Type[Index], "(Set Type not found)")</f>
        <v>(Set Type not found)</v>
      </c>
      <c r="J737" t="str">
        <f>_xlfn.XLOOKUP(tbl_MTG_Set[[#This Row],[Type Name]], tbl_MTG_Set_Type[Set Type], tbl_MTG_Set_Type[Buy Window Month Start], "(Set Type not found)")</f>
        <v>(Set Type not found)</v>
      </c>
      <c r="K737" s="3" t="e">
        <f>tbl_MTG_Set[[#This Row],[Released On]]+tbl_MTG_Set[[#This Row],[Buy Window Month Start]]*365.25/12</f>
        <v>#VALUE!</v>
      </c>
      <c r="L737" t="str">
        <f>_xlfn.XLOOKUP(tbl_MTG_Set[[#This Row],[Type Name]], tbl_MTG_Set_Type[Set Type], tbl_MTG_Set_Type[Buy Window Month End], "(Set Type not found)", 0, 1)</f>
        <v>(Set Type not found)</v>
      </c>
      <c r="M737" s="3" t="e">
        <f>tbl_MTG_Set[[#This Row],[Released On]]+tbl_MTG_Set[[#This Row],[Buy Window Month End]]*365.25/12</f>
        <v>#VALUE!</v>
      </c>
      <c r="N737" s="3" t="e">
        <f ca="1">AND(NOW()&gt;=tbl_MTG_Set[[#This Row],[Buy Window Start]], NOW()&lt;=tbl_MTG_Set[[#This Row],[Buy Window End]])</f>
        <v>#VALUE!</v>
      </c>
      <c r="O737" t="str">
        <f>_xlfn.XLOOKUP(tbl_MTG_Set[[#This Row],[Type Name]], tbl_MTG_Set_Type[Set Type], tbl_MTG_Set_Type[Heavy Printing Window Month Start], "(Set Type not found)", 0, 1)</f>
        <v>(Set Type not found)</v>
      </c>
      <c r="P737" s="3" t="e">
        <f>tbl_MTG_Set[[#This Row],[Released On]]+tbl_MTG_Set[[#This Row],[Heavy Printing Window Month Start]]*365.25/12</f>
        <v>#VALUE!</v>
      </c>
      <c r="Q737" t="str">
        <f>_xlfn.XLOOKUP(tbl_MTG_Set[[#This Row],[Type Name]], tbl_MTG_Set_Type[Set Type], tbl_MTG_Set_Type[Heavy Printing Window Month End], "(Set Type not found)", 0, 1)</f>
        <v>(Set Type not found)</v>
      </c>
      <c r="R737" s="3" t="e">
        <f>tbl_MTG_Set[[#This Row],[Released On]]+tbl_MTG_Set[[#This Row],[Heavy Printing Window Month End]]*365.25/12</f>
        <v>#VALUE!</v>
      </c>
      <c r="S737" s="3" t="e">
        <f ca="1">AND(NOW()&gt;=tbl_MTG_Set[[#This Row],[Heavy Printing Window Start]], NOW()&lt;=tbl_MTG_Set[[#This Row],[Heavy Printing Window End]])</f>
        <v>#VALUE!</v>
      </c>
      <c r="T737" t="str">
        <f>_xlfn.XLOOKUP(tbl_MTG_Set[[#This Row],[Type Name]], tbl_MTG_Set_Type[Set Type], tbl_MTG_Set_Type[Sell Window Month Start], "(Set Type not found)", 0, 1)</f>
        <v>(Set Type not found)</v>
      </c>
      <c r="U737" s="3" t="e">
        <f>tbl_MTG_Set[[#This Row],[Released On]]+tbl_MTG_Set[[#This Row],[Sell Window Month Start]]*365.25/12</f>
        <v>#VALUE!</v>
      </c>
      <c r="V737" t="str">
        <f>_xlfn.XLOOKUP(tbl_MTG_Set[[#This Row],[Type Name]], tbl_MTG_Set_Type[Set Type], tbl_MTG_Set_Type[Sell Window Month End], "(Set Type not found)", 0, 1)</f>
        <v>(Set Type not found)</v>
      </c>
      <c r="W737" s="3" t="e">
        <f>tbl_MTG_Set[[#This Row],[Released On]]+tbl_MTG_Set[[#This Row],[Sell Window Month End]]*365.25/12</f>
        <v>#VALUE!</v>
      </c>
      <c r="X737" s="3" t="e">
        <f ca="1">AND(NOW()&gt;=tbl_MTG_Set[[#This Row],[Sell Window Start]], NOW()&lt;=tbl_MTG_Set[[#This Row],[Sell Window End]])</f>
        <v>#VALUE!</v>
      </c>
      <c r="AG737" s="10"/>
      <c r="AH737" s="10"/>
      <c r="AM737" s="10" t="str" cm="1">
        <f t="array" ref="AM7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7" s="10" t="str" cm="1">
        <f t="array" ref="AN7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7" s="4" t="e">
        <f>_xlfn.XLOOKUP(tbl_MTG_Set[[#This Row],[Play Booster Box Product Id]], tbl_Product[Product Id], tbl_Product[Pack Size])</f>
        <v>#N/A</v>
      </c>
      <c r="AP737" s="10" t="e">
        <f>(tbl_MTG_Set[[#This Row],[Play Booster Box Cost]]+v_Item_Shipping_Cost_In)/tbl_MTG_Set[[#This Row],[Play Booster Box Size]]</f>
        <v>#VALUE!</v>
      </c>
      <c r="AQ737" s="10" t="str" cm="1">
        <f t="array" ref="AQ7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7" s="10"/>
      <c r="AS737" s="10"/>
      <c r="AT737" s="17" t="e">
        <f>tbl_MTG_Set[[#This Row],[Play Booster CardMarket Profit]]/tbl_MTG_Set[[#This Row],[Play Booster Cost]]</f>
        <v>#VALUE!</v>
      </c>
      <c r="AU737" s="10" t="e">
        <f>_xlfn.XLOOKUP(tbl_MTG_Set[[#This Row],[Collector Booster Box Product Id]], tbl_Product[Product Id], tbl_Product[Min Cost])</f>
        <v>#N/A</v>
      </c>
      <c r="AV737" s="10" t="e">
        <f>_xlfn.XLOOKUP(tbl_MTG_Set[[#This Row],[Collector Booster Box Product Id]], tbl_Product[Product Id], tbl_Product[Best Source])</f>
        <v>#N/A</v>
      </c>
      <c r="AW737" s="4" t="e">
        <f>_xlfn.XLOOKUP(tbl_MTG_Set[[#This Row],[Collector Booster Box Product Id]], tbl_Product[Product Id], tbl_Product[Pack Size])</f>
        <v>#N/A</v>
      </c>
      <c r="AX737" s="10" t="e">
        <f>(tbl_MTG_Set[[#This Row],[Collector Booster Box Cost]] + v_Item_Shipping_Cost_In) / tbl_MTG_Set[[#This Row],[Collector Booster Box Size]]</f>
        <v>#N/A</v>
      </c>
      <c r="AY737" s="10" t="str" cm="1">
        <f t="array" ref="AY7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7" s="10"/>
      <c r="BA7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7" s="17" t="e">
        <f>tbl_MTG_Set[[#This Row],[Collector Booster CardMarket Profit]]/tbl_MTG_Set[[#This Row],[Collector Booster Cost]]</f>
        <v>#N/A</v>
      </c>
      <c r="BC737" s="10"/>
      <c r="BF7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7" s="11" t="e">
        <f>tbl_MTG_Set[[#This Row],[Play Singles CardMarket Profit MTG Stocks]]/tbl_MTG_Set[[#This Row],[Play Booster Cost]]</f>
        <v>#VALUE!</v>
      </c>
      <c r="BI737" s="11" t="b">
        <f>tbl_MTG_Set[[#This Row],[Play Singles CardMarket Profit MTG Stocks]]&gt;0</f>
        <v>0</v>
      </c>
      <c r="BM737" s="10" t="e">
        <f>tbl_MTG_Set[[#This Row],[Play Booster Sell Price CardMarket]]*tbl_MTG_Set[[#This Row],[Play Booster Expected Market Value BotBox]]/tbl_MTG_Set[[#This Row],[Play Booster Sealed Market Value BotBox]]</f>
        <v>#VALUE!</v>
      </c>
      <c r="BN7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7" s="10" t="e">
        <f>tbl_MTG_Set[[#This Row],[Play Singles CardMarket Profit BotBox]]/tbl_MTG_Set[[#This Row],[Play Booster Cost]]</f>
        <v>#VALUE!</v>
      </c>
      <c r="BP737" s="10" t="b">
        <f>tbl_MTG_Set[[#This Row],[Play Singles CardMarket Profit BotBox]]&gt;0</f>
        <v>0</v>
      </c>
      <c r="BQ737" s="10"/>
      <c r="BR737" s="10"/>
      <c r="BS737" s="10"/>
      <c r="BT7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7" s="19" t="e">
        <f>tbl_MTG_Set[[#This Row],[Collector Singles CardMarket Profit MTG Stocks]]/tbl_MTG_Set[[#This Row],[Collector Booster Cost]]</f>
        <v>#N/A</v>
      </c>
      <c r="BW737" s="10" t="b">
        <f>tbl_MTG_Set[[#This Row],[Collector Singles CardMarket Profit MTG Stocks]]&gt;0</f>
        <v>0</v>
      </c>
      <c r="BX737" s="10"/>
      <c r="BY737" s="10"/>
      <c r="BZ7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7" s="10" t="e">
        <f>tbl_MTG_Set[[#This Row],[Collector Singles CardMarket Profit BotBox]]/tbl_MTG_Set[[#This Row],[Collector Booster Cost]]</f>
        <v>#N/A</v>
      </c>
      <c r="CC737" s="10" t="b">
        <f>tbl_MTG_Set[[#This Row],[Collector Singles CardMarket Profit BotBox]]&gt;0</f>
        <v>0</v>
      </c>
      <c r="CD7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8" spans="1:86" hidden="1">
      <c r="A738">
        <v>770</v>
      </c>
      <c r="B738" t="s">
        <v>911</v>
      </c>
      <c r="C738">
        <v>13</v>
      </c>
      <c r="D738" s="3">
        <v>40179</v>
      </c>
      <c r="F738" t="s">
        <v>174</v>
      </c>
      <c r="G738">
        <v>1486</v>
      </c>
      <c r="H738">
        <f ca="1">MONTH(NOW())+12*YEAR(NOW())-MONTH(tbl_MTG_Set[[#This Row],[Released On]])-12*YEAR(tbl_MTG_Set[[#This Row],[Released On]])</f>
        <v>194</v>
      </c>
      <c r="I738" t="str">
        <f>_xlfn.XLOOKUP(tbl_MTG_Set[[#This Row],[Type Name]], tbl_MTG_Set_Type[Set Type], tbl_MTG_Set_Type[Index], "(Set Type not found)")</f>
        <v>(Set Type not found)</v>
      </c>
      <c r="J738" t="str">
        <f>_xlfn.XLOOKUP(tbl_MTG_Set[[#This Row],[Type Name]], tbl_MTG_Set_Type[Set Type], tbl_MTG_Set_Type[Buy Window Month Start], "(Set Type not found)")</f>
        <v>(Set Type not found)</v>
      </c>
      <c r="K738" s="3" t="e">
        <f>tbl_MTG_Set[[#This Row],[Released On]]+tbl_MTG_Set[[#This Row],[Buy Window Month Start]]*365.25/12</f>
        <v>#VALUE!</v>
      </c>
      <c r="L738" t="str">
        <f>_xlfn.XLOOKUP(tbl_MTG_Set[[#This Row],[Type Name]], tbl_MTG_Set_Type[Set Type], tbl_MTG_Set_Type[Buy Window Month End], "(Set Type not found)", 0, 1)</f>
        <v>(Set Type not found)</v>
      </c>
      <c r="M738" s="3" t="e">
        <f>tbl_MTG_Set[[#This Row],[Released On]]+tbl_MTG_Set[[#This Row],[Buy Window Month End]]*365.25/12</f>
        <v>#VALUE!</v>
      </c>
      <c r="N738" s="3" t="e">
        <f ca="1">AND(NOW()&gt;=tbl_MTG_Set[[#This Row],[Buy Window Start]], NOW()&lt;=tbl_MTG_Set[[#This Row],[Buy Window End]])</f>
        <v>#VALUE!</v>
      </c>
      <c r="O738" t="str">
        <f>_xlfn.XLOOKUP(tbl_MTG_Set[[#This Row],[Type Name]], tbl_MTG_Set_Type[Set Type], tbl_MTG_Set_Type[Heavy Printing Window Month Start], "(Set Type not found)", 0, 1)</f>
        <v>(Set Type not found)</v>
      </c>
      <c r="P738" s="3" t="e">
        <f>tbl_MTG_Set[[#This Row],[Released On]]+tbl_MTG_Set[[#This Row],[Heavy Printing Window Month Start]]*365.25/12</f>
        <v>#VALUE!</v>
      </c>
      <c r="Q738" t="str">
        <f>_xlfn.XLOOKUP(tbl_MTG_Set[[#This Row],[Type Name]], tbl_MTG_Set_Type[Set Type], tbl_MTG_Set_Type[Heavy Printing Window Month End], "(Set Type not found)", 0, 1)</f>
        <v>(Set Type not found)</v>
      </c>
      <c r="R738" s="3" t="e">
        <f>tbl_MTG_Set[[#This Row],[Released On]]+tbl_MTG_Set[[#This Row],[Heavy Printing Window Month End]]*365.25/12</f>
        <v>#VALUE!</v>
      </c>
      <c r="S738" s="3" t="e">
        <f ca="1">AND(NOW()&gt;=tbl_MTG_Set[[#This Row],[Heavy Printing Window Start]], NOW()&lt;=tbl_MTG_Set[[#This Row],[Heavy Printing Window End]])</f>
        <v>#VALUE!</v>
      </c>
      <c r="T738" t="str">
        <f>_xlfn.XLOOKUP(tbl_MTG_Set[[#This Row],[Type Name]], tbl_MTG_Set_Type[Set Type], tbl_MTG_Set_Type[Sell Window Month Start], "(Set Type not found)", 0, 1)</f>
        <v>(Set Type not found)</v>
      </c>
      <c r="U738" s="3" t="e">
        <f>tbl_MTG_Set[[#This Row],[Released On]]+tbl_MTG_Set[[#This Row],[Sell Window Month Start]]*365.25/12</f>
        <v>#VALUE!</v>
      </c>
      <c r="V738" t="str">
        <f>_xlfn.XLOOKUP(tbl_MTG_Set[[#This Row],[Type Name]], tbl_MTG_Set_Type[Set Type], tbl_MTG_Set_Type[Sell Window Month End], "(Set Type not found)", 0, 1)</f>
        <v>(Set Type not found)</v>
      </c>
      <c r="W738" s="3" t="e">
        <f>tbl_MTG_Set[[#This Row],[Released On]]+tbl_MTG_Set[[#This Row],[Sell Window Month End]]*365.25/12</f>
        <v>#VALUE!</v>
      </c>
      <c r="X738" s="3" t="e">
        <f ca="1">AND(NOW()&gt;=tbl_MTG_Set[[#This Row],[Sell Window Start]], NOW()&lt;=tbl_MTG_Set[[#This Row],[Sell Window End]])</f>
        <v>#VALUE!</v>
      </c>
      <c r="AG738" s="10"/>
      <c r="AH738" s="10"/>
      <c r="AM738" s="10" t="str" cm="1">
        <f t="array" ref="AM7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8" s="10" t="str" cm="1">
        <f t="array" ref="AN7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8" s="4" t="e">
        <f>_xlfn.XLOOKUP(tbl_MTG_Set[[#This Row],[Play Booster Box Product Id]], tbl_Product[Product Id], tbl_Product[Pack Size])</f>
        <v>#N/A</v>
      </c>
      <c r="AP738" s="10" t="e">
        <f>(tbl_MTG_Set[[#This Row],[Play Booster Box Cost]]+v_Item_Shipping_Cost_In)/tbl_MTG_Set[[#This Row],[Play Booster Box Size]]</f>
        <v>#VALUE!</v>
      </c>
      <c r="AQ738" s="10" t="str" cm="1">
        <f t="array" ref="AQ7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8" s="10"/>
      <c r="AS738" s="10"/>
      <c r="AT738" s="17" t="e">
        <f>tbl_MTG_Set[[#This Row],[Play Booster CardMarket Profit]]/tbl_MTG_Set[[#This Row],[Play Booster Cost]]</f>
        <v>#VALUE!</v>
      </c>
      <c r="AU738" s="10" t="e">
        <f>_xlfn.XLOOKUP(tbl_MTG_Set[[#This Row],[Collector Booster Box Product Id]], tbl_Product[Product Id], tbl_Product[Min Cost])</f>
        <v>#N/A</v>
      </c>
      <c r="AV738" s="10" t="e">
        <f>_xlfn.XLOOKUP(tbl_MTG_Set[[#This Row],[Collector Booster Box Product Id]], tbl_Product[Product Id], tbl_Product[Best Source])</f>
        <v>#N/A</v>
      </c>
      <c r="AW738" s="4" t="e">
        <f>_xlfn.XLOOKUP(tbl_MTG_Set[[#This Row],[Collector Booster Box Product Id]], tbl_Product[Product Id], tbl_Product[Pack Size])</f>
        <v>#N/A</v>
      </c>
      <c r="AX738" s="10" t="e">
        <f>(tbl_MTG_Set[[#This Row],[Collector Booster Box Cost]] + v_Item_Shipping_Cost_In) / tbl_MTG_Set[[#This Row],[Collector Booster Box Size]]</f>
        <v>#N/A</v>
      </c>
      <c r="AY738" s="10" t="str" cm="1">
        <f t="array" ref="AY7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8" s="10"/>
      <c r="BA7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8" s="17" t="e">
        <f>tbl_MTG_Set[[#This Row],[Collector Booster CardMarket Profit]]/tbl_MTG_Set[[#This Row],[Collector Booster Cost]]</f>
        <v>#N/A</v>
      </c>
      <c r="BC738" s="10"/>
      <c r="BF7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8" s="11" t="e">
        <f>tbl_MTG_Set[[#This Row],[Play Singles CardMarket Profit MTG Stocks]]/tbl_MTG_Set[[#This Row],[Play Booster Cost]]</f>
        <v>#VALUE!</v>
      </c>
      <c r="BI738" s="11" t="b">
        <f>tbl_MTG_Set[[#This Row],[Play Singles CardMarket Profit MTG Stocks]]&gt;0</f>
        <v>0</v>
      </c>
      <c r="BM738" s="10" t="e">
        <f>tbl_MTG_Set[[#This Row],[Play Booster Sell Price CardMarket]]*tbl_MTG_Set[[#This Row],[Play Booster Expected Market Value BotBox]]/tbl_MTG_Set[[#This Row],[Play Booster Sealed Market Value BotBox]]</f>
        <v>#VALUE!</v>
      </c>
      <c r="BN7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8" s="10" t="e">
        <f>tbl_MTG_Set[[#This Row],[Play Singles CardMarket Profit BotBox]]/tbl_MTG_Set[[#This Row],[Play Booster Cost]]</f>
        <v>#VALUE!</v>
      </c>
      <c r="BP738" s="10" t="b">
        <f>tbl_MTG_Set[[#This Row],[Play Singles CardMarket Profit BotBox]]&gt;0</f>
        <v>0</v>
      </c>
      <c r="BQ738" s="10"/>
      <c r="BR738" s="10"/>
      <c r="BS738" s="10"/>
      <c r="BT7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8" s="19" t="e">
        <f>tbl_MTG_Set[[#This Row],[Collector Singles CardMarket Profit MTG Stocks]]/tbl_MTG_Set[[#This Row],[Collector Booster Cost]]</f>
        <v>#N/A</v>
      </c>
      <c r="BW738" s="10" t="b">
        <f>tbl_MTG_Set[[#This Row],[Collector Singles CardMarket Profit MTG Stocks]]&gt;0</f>
        <v>0</v>
      </c>
      <c r="BX738" s="10"/>
      <c r="BY738" s="10"/>
      <c r="BZ7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8" s="10" t="e">
        <f>tbl_MTG_Set[[#This Row],[Collector Singles CardMarket Profit BotBox]]/tbl_MTG_Set[[#This Row],[Collector Booster Cost]]</f>
        <v>#N/A</v>
      </c>
      <c r="CC738" s="10" t="b">
        <f>tbl_MTG_Set[[#This Row],[Collector Singles CardMarket Profit BotBox]]&gt;0</f>
        <v>0</v>
      </c>
      <c r="CD7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39" spans="1:86" hidden="1">
      <c r="A739">
        <v>771</v>
      </c>
      <c r="B739" t="s">
        <v>912</v>
      </c>
      <c r="C739">
        <v>8</v>
      </c>
      <c r="D739" s="3">
        <v>40179</v>
      </c>
      <c r="F739" t="s">
        <v>174</v>
      </c>
      <c r="G739">
        <v>1488</v>
      </c>
      <c r="H739">
        <f ca="1">MONTH(NOW())+12*YEAR(NOW())-MONTH(tbl_MTG_Set[[#This Row],[Released On]])-12*YEAR(tbl_MTG_Set[[#This Row],[Released On]])</f>
        <v>194</v>
      </c>
      <c r="I739" t="str">
        <f>_xlfn.XLOOKUP(tbl_MTG_Set[[#This Row],[Type Name]], tbl_MTG_Set_Type[Set Type], tbl_MTG_Set_Type[Index], "(Set Type not found)")</f>
        <v>(Set Type not found)</v>
      </c>
      <c r="J739" t="str">
        <f>_xlfn.XLOOKUP(tbl_MTG_Set[[#This Row],[Type Name]], tbl_MTG_Set_Type[Set Type], tbl_MTG_Set_Type[Buy Window Month Start], "(Set Type not found)")</f>
        <v>(Set Type not found)</v>
      </c>
      <c r="K739" s="3" t="e">
        <f>tbl_MTG_Set[[#This Row],[Released On]]+tbl_MTG_Set[[#This Row],[Buy Window Month Start]]*365.25/12</f>
        <v>#VALUE!</v>
      </c>
      <c r="L739" t="str">
        <f>_xlfn.XLOOKUP(tbl_MTG_Set[[#This Row],[Type Name]], tbl_MTG_Set_Type[Set Type], tbl_MTG_Set_Type[Buy Window Month End], "(Set Type not found)", 0, 1)</f>
        <v>(Set Type not found)</v>
      </c>
      <c r="M739" s="3" t="e">
        <f>tbl_MTG_Set[[#This Row],[Released On]]+tbl_MTG_Set[[#This Row],[Buy Window Month End]]*365.25/12</f>
        <v>#VALUE!</v>
      </c>
      <c r="N739" s="3" t="e">
        <f ca="1">AND(NOW()&gt;=tbl_MTG_Set[[#This Row],[Buy Window Start]], NOW()&lt;=tbl_MTG_Set[[#This Row],[Buy Window End]])</f>
        <v>#VALUE!</v>
      </c>
      <c r="O739" t="str">
        <f>_xlfn.XLOOKUP(tbl_MTG_Set[[#This Row],[Type Name]], tbl_MTG_Set_Type[Set Type], tbl_MTG_Set_Type[Heavy Printing Window Month Start], "(Set Type not found)", 0, 1)</f>
        <v>(Set Type not found)</v>
      </c>
      <c r="P739" s="3" t="e">
        <f>tbl_MTG_Set[[#This Row],[Released On]]+tbl_MTG_Set[[#This Row],[Heavy Printing Window Month Start]]*365.25/12</f>
        <v>#VALUE!</v>
      </c>
      <c r="Q739" t="str">
        <f>_xlfn.XLOOKUP(tbl_MTG_Set[[#This Row],[Type Name]], tbl_MTG_Set_Type[Set Type], tbl_MTG_Set_Type[Heavy Printing Window Month End], "(Set Type not found)", 0, 1)</f>
        <v>(Set Type not found)</v>
      </c>
      <c r="R739" s="3" t="e">
        <f>tbl_MTG_Set[[#This Row],[Released On]]+tbl_MTG_Set[[#This Row],[Heavy Printing Window Month End]]*365.25/12</f>
        <v>#VALUE!</v>
      </c>
      <c r="S739" s="3" t="e">
        <f ca="1">AND(NOW()&gt;=tbl_MTG_Set[[#This Row],[Heavy Printing Window Start]], NOW()&lt;=tbl_MTG_Set[[#This Row],[Heavy Printing Window End]])</f>
        <v>#VALUE!</v>
      </c>
      <c r="T739" t="str">
        <f>_xlfn.XLOOKUP(tbl_MTG_Set[[#This Row],[Type Name]], tbl_MTG_Set_Type[Set Type], tbl_MTG_Set_Type[Sell Window Month Start], "(Set Type not found)", 0, 1)</f>
        <v>(Set Type not found)</v>
      </c>
      <c r="U739" s="3" t="e">
        <f>tbl_MTG_Set[[#This Row],[Released On]]+tbl_MTG_Set[[#This Row],[Sell Window Month Start]]*365.25/12</f>
        <v>#VALUE!</v>
      </c>
      <c r="V739" t="str">
        <f>_xlfn.XLOOKUP(tbl_MTG_Set[[#This Row],[Type Name]], tbl_MTG_Set_Type[Set Type], tbl_MTG_Set_Type[Sell Window Month End], "(Set Type not found)", 0, 1)</f>
        <v>(Set Type not found)</v>
      </c>
      <c r="W739" s="3" t="e">
        <f>tbl_MTG_Set[[#This Row],[Released On]]+tbl_MTG_Set[[#This Row],[Sell Window Month End]]*365.25/12</f>
        <v>#VALUE!</v>
      </c>
      <c r="X739" s="3" t="e">
        <f ca="1">AND(NOW()&gt;=tbl_MTG_Set[[#This Row],[Sell Window Start]], NOW()&lt;=tbl_MTG_Set[[#This Row],[Sell Window End]])</f>
        <v>#VALUE!</v>
      </c>
      <c r="AG739" s="10"/>
      <c r="AH739" s="10"/>
      <c r="AM739" s="10" t="str" cm="1">
        <f t="array" ref="AM7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39" s="10" t="str" cm="1">
        <f t="array" ref="AN7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39" s="4" t="e">
        <f>_xlfn.XLOOKUP(tbl_MTG_Set[[#This Row],[Play Booster Box Product Id]], tbl_Product[Product Id], tbl_Product[Pack Size])</f>
        <v>#N/A</v>
      </c>
      <c r="AP739" s="10" t="e">
        <f>(tbl_MTG_Set[[#This Row],[Play Booster Box Cost]]+v_Item_Shipping_Cost_In)/tbl_MTG_Set[[#This Row],[Play Booster Box Size]]</f>
        <v>#VALUE!</v>
      </c>
      <c r="AQ739" s="10" t="str" cm="1">
        <f t="array" ref="AQ7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39" s="10"/>
      <c r="AS739" s="10"/>
      <c r="AT739" s="17" t="e">
        <f>tbl_MTG_Set[[#This Row],[Play Booster CardMarket Profit]]/tbl_MTG_Set[[#This Row],[Play Booster Cost]]</f>
        <v>#VALUE!</v>
      </c>
      <c r="AU739" s="10" t="e">
        <f>_xlfn.XLOOKUP(tbl_MTG_Set[[#This Row],[Collector Booster Box Product Id]], tbl_Product[Product Id], tbl_Product[Min Cost])</f>
        <v>#N/A</v>
      </c>
      <c r="AV739" s="10" t="e">
        <f>_xlfn.XLOOKUP(tbl_MTG_Set[[#This Row],[Collector Booster Box Product Id]], tbl_Product[Product Id], tbl_Product[Best Source])</f>
        <v>#N/A</v>
      </c>
      <c r="AW739" s="4" t="e">
        <f>_xlfn.XLOOKUP(tbl_MTG_Set[[#This Row],[Collector Booster Box Product Id]], tbl_Product[Product Id], tbl_Product[Pack Size])</f>
        <v>#N/A</v>
      </c>
      <c r="AX739" s="10" t="e">
        <f>(tbl_MTG_Set[[#This Row],[Collector Booster Box Cost]] + v_Item_Shipping_Cost_In) / tbl_MTG_Set[[#This Row],[Collector Booster Box Size]]</f>
        <v>#N/A</v>
      </c>
      <c r="AY739" s="10" t="str" cm="1">
        <f t="array" ref="AY7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39" s="10"/>
      <c r="BA7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39" s="17" t="e">
        <f>tbl_MTG_Set[[#This Row],[Collector Booster CardMarket Profit]]/tbl_MTG_Set[[#This Row],[Collector Booster Cost]]</f>
        <v>#N/A</v>
      </c>
      <c r="BC739" s="10"/>
      <c r="BF7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39" s="11" t="e">
        <f>tbl_MTG_Set[[#This Row],[Play Singles CardMarket Profit MTG Stocks]]/tbl_MTG_Set[[#This Row],[Play Booster Cost]]</f>
        <v>#VALUE!</v>
      </c>
      <c r="BI739" s="11" t="b">
        <f>tbl_MTG_Set[[#This Row],[Play Singles CardMarket Profit MTG Stocks]]&gt;0</f>
        <v>0</v>
      </c>
      <c r="BM739" s="10" t="e">
        <f>tbl_MTG_Set[[#This Row],[Play Booster Sell Price CardMarket]]*tbl_MTG_Set[[#This Row],[Play Booster Expected Market Value BotBox]]/tbl_MTG_Set[[#This Row],[Play Booster Sealed Market Value BotBox]]</f>
        <v>#VALUE!</v>
      </c>
      <c r="BN7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39" s="10" t="e">
        <f>tbl_MTG_Set[[#This Row],[Play Singles CardMarket Profit BotBox]]/tbl_MTG_Set[[#This Row],[Play Booster Cost]]</f>
        <v>#VALUE!</v>
      </c>
      <c r="BP739" s="10" t="b">
        <f>tbl_MTG_Set[[#This Row],[Play Singles CardMarket Profit BotBox]]&gt;0</f>
        <v>0</v>
      </c>
      <c r="BQ739" s="10"/>
      <c r="BR739" s="10"/>
      <c r="BS739" s="10"/>
      <c r="BT7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39" s="19" t="e">
        <f>tbl_MTG_Set[[#This Row],[Collector Singles CardMarket Profit MTG Stocks]]/tbl_MTG_Set[[#This Row],[Collector Booster Cost]]</f>
        <v>#N/A</v>
      </c>
      <c r="BW739" s="10" t="b">
        <f>tbl_MTG_Set[[#This Row],[Collector Singles CardMarket Profit MTG Stocks]]&gt;0</f>
        <v>0</v>
      </c>
      <c r="BX739" s="10"/>
      <c r="BY739" s="10"/>
      <c r="BZ7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39" s="10" t="e">
        <f>tbl_MTG_Set[[#This Row],[Collector Singles CardMarket Profit BotBox]]/tbl_MTG_Set[[#This Row],[Collector Booster Cost]]</f>
        <v>#N/A</v>
      </c>
      <c r="CC739" s="10" t="b">
        <f>tbl_MTG_Set[[#This Row],[Collector Singles CardMarket Profit BotBox]]&gt;0</f>
        <v>0</v>
      </c>
      <c r="CD7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0" spans="1:86" hidden="1">
      <c r="A740">
        <v>772</v>
      </c>
      <c r="B740" t="s">
        <v>913</v>
      </c>
      <c r="C740">
        <v>12</v>
      </c>
      <c r="D740" s="3">
        <v>40179</v>
      </c>
      <c r="F740" t="s">
        <v>174</v>
      </c>
      <c r="G740">
        <v>1490</v>
      </c>
      <c r="H740">
        <f ca="1">MONTH(NOW())+12*YEAR(NOW())-MONTH(tbl_MTG_Set[[#This Row],[Released On]])-12*YEAR(tbl_MTG_Set[[#This Row],[Released On]])</f>
        <v>194</v>
      </c>
      <c r="I740" t="str">
        <f>_xlfn.XLOOKUP(tbl_MTG_Set[[#This Row],[Type Name]], tbl_MTG_Set_Type[Set Type], tbl_MTG_Set_Type[Index], "(Set Type not found)")</f>
        <v>(Set Type not found)</v>
      </c>
      <c r="J740" t="str">
        <f>_xlfn.XLOOKUP(tbl_MTG_Set[[#This Row],[Type Name]], tbl_MTG_Set_Type[Set Type], tbl_MTG_Set_Type[Buy Window Month Start], "(Set Type not found)")</f>
        <v>(Set Type not found)</v>
      </c>
      <c r="K740" s="3" t="e">
        <f>tbl_MTG_Set[[#This Row],[Released On]]+tbl_MTG_Set[[#This Row],[Buy Window Month Start]]*365.25/12</f>
        <v>#VALUE!</v>
      </c>
      <c r="L740" t="str">
        <f>_xlfn.XLOOKUP(tbl_MTG_Set[[#This Row],[Type Name]], tbl_MTG_Set_Type[Set Type], tbl_MTG_Set_Type[Buy Window Month End], "(Set Type not found)", 0, 1)</f>
        <v>(Set Type not found)</v>
      </c>
      <c r="M740" s="3" t="e">
        <f>tbl_MTG_Set[[#This Row],[Released On]]+tbl_MTG_Set[[#This Row],[Buy Window Month End]]*365.25/12</f>
        <v>#VALUE!</v>
      </c>
      <c r="N740" s="3" t="e">
        <f ca="1">AND(NOW()&gt;=tbl_MTG_Set[[#This Row],[Buy Window Start]], NOW()&lt;=tbl_MTG_Set[[#This Row],[Buy Window End]])</f>
        <v>#VALUE!</v>
      </c>
      <c r="O740" t="str">
        <f>_xlfn.XLOOKUP(tbl_MTG_Set[[#This Row],[Type Name]], tbl_MTG_Set_Type[Set Type], tbl_MTG_Set_Type[Heavy Printing Window Month Start], "(Set Type not found)", 0, 1)</f>
        <v>(Set Type not found)</v>
      </c>
      <c r="P740" s="3" t="e">
        <f>tbl_MTG_Set[[#This Row],[Released On]]+tbl_MTG_Set[[#This Row],[Heavy Printing Window Month Start]]*365.25/12</f>
        <v>#VALUE!</v>
      </c>
      <c r="Q740" t="str">
        <f>_xlfn.XLOOKUP(tbl_MTG_Set[[#This Row],[Type Name]], tbl_MTG_Set_Type[Set Type], tbl_MTG_Set_Type[Heavy Printing Window Month End], "(Set Type not found)", 0, 1)</f>
        <v>(Set Type not found)</v>
      </c>
      <c r="R740" s="3" t="e">
        <f>tbl_MTG_Set[[#This Row],[Released On]]+tbl_MTG_Set[[#This Row],[Heavy Printing Window Month End]]*365.25/12</f>
        <v>#VALUE!</v>
      </c>
      <c r="S740" s="3" t="e">
        <f ca="1">AND(NOW()&gt;=tbl_MTG_Set[[#This Row],[Heavy Printing Window Start]], NOW()&lt;=tbl_MTG_Set[[#This Row],[Heavy Printing Window End]])</f>
        <v>#VALUE!</v>
      </c>
      <c r="T740" t="str">
        <f>_xlfn.XLOOKUP(tbl_MTG_Set[[#This Row],[Type Name]], tbl_MTG_Set_Type[Set Type], tbl_MTG_Set_Type[Sell Window Month Start], "(Set Type not found)", 0, 1)</f>
        <v>(Set Type not found)</v>
      </c>
      <c r="U740" s="3" t="e">
        <f>tbl_MTG_Set[[#This Row],[Released On]]+tbl_MTG_Set[[#This Row],[Sell Window Month Start]]*365.25/12</f>
        <v>#VALUE!</v>
      </c>
      <c r="V740" t="str">
        <f>_xlfn.XLOOKUP(tbl_MTG_Set[[#This Row],[Type Name]], tbl_MTG_Set_Type[Set Type], tbl_MTG_Set_Type[Sell Window Month End], "(Set Type not found)", 0, 1)</f>
        <v>(Set Type not found)</v>
      </c>
      <c r="W740" s="3" t="e">
        <f>tbl_MTG_Set[[#This Row],[Released On]]+tbl_MTG_Set[[#This Row],[Sell Window Month End]]*365.25/12</f>
        <v>#VALUE!</v>
      </c>
      <c r="X740" s="3" t="e">
        <f ca="1">AND(NOW()&gt;=tbl_MTG_Set[[#This Row],[Sell Window Start]], NOW()&lt;=tbl_MTG_Set[[#This Row],[Sell Window End]])</f>
        <v>#VALUE!</v>
      </c>
      <c r="AG740" s="10"/>
      <c r="AH740" s="10"/>
      <c r="AM740" s="10" t="str" cm="1">
        <f t="array" ref="AM7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0" s="10" t="str" cm="1">
        <f t="array" ref="AN7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0" s="4" t="e">
        <f>_xlfn.XLOOKUP(tbl_MTG_Set[[#This Row],[Play Booster Box Product Id]], tbl_Product[Product Id], tbl_Product[Pack Size])</f>
        <v>#N/A</v>
      </c>
      <c r="AP740" s="10" t="e">
        <f>(tbl_MTG_Set[[#This Row],[Play Booster Box Cost]]+v_Item_Shipping_Cost_In)/tbl_MTG_Set[[#This Row],[Play Booster Box Size]]</f>
        <v>#VALUE!</v>
      </c>
      <c r="AQ740" s="10" t="str" cm="1">
        <f t="array" ref="AQ7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0" s="10"/>
      <c r="AS740" s="10"/>
      <c r="AT740" s="17" t="e">
        <f>tbl_MTG_Set[[#This Row],[Play Booster CardMarket Profit]]/tbl_MTG_Set[[#This Row],[Play Booster Cost]]</f>
        <v>#VALUE!</v>
      </c>
      <c r="AU740" s="10" t="e">
        <f>_xlfn.XLOOKUP(tbl_MTG_Set[[#This Row],[Collector Booster Box Product Id]], tbl_Product[Product Id], tbl_Product[Min Cost])</f>
        <v>#N/A</v>
      </c>
      <c r="AV740" s="10" t="e">
        <f>_xlfn.XLOOKUP(tbl_MTG_Set[[#This Row],[Collector Booster Box Product Id]], tbl_Product[Product Id], tbl_Product[Best Source])</f>
        <v>#N/A</v>
      </c>
      <c r="AW740" s="4" t="e">
        <f>_xlfn.XLOOKUP(tbl_MTG_Set[[#This Row],[Collector Booster Box Product Id]], tbl_Product[Product Id], tbl_Product[Pack Size])</f>
        <v>#N/A</v>
      </c>
      <c r="AX740" s="10" t="e">
        <f>(tbl_MTG_Set[[#This Row],[Collector Booster Box Cost]] + v_Item_Shipping_Cost_In) / tbl_MTG_Set[[#This Row],[Collector Booster Box Size]]</f>
        <v>#N/A</v>
      </c>
      <c r="AY740" s="10" t="str" cm="1">
        <f t="array" ref="AY7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0" s="10"/>
      <c r="BA7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0" s="17" t="e">
        <f>tbl_MTG_Set[[#This Row],[Collector Booster CardMarket Profit]]/tbl_MTG_Set[[#This Row],[Collector Booster Cost]]</f>
        <v>#N/A</v>
      </c>
      <c r="BC740" s="10"/>
      <c r="BF7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0" s="11" t="e">
        <f>tbl_MTG_Set[[#This Row],[Play Singles CardMarket Profit MTG Stocks]]/tbl_MTG_Set[[#This Row],[Play Booster Cost]]</f>
        <v>#VALUE!</v>
      </c>
      <c r="BI740" s="11" t="b">
        <f>tbl_MTG_Set[[#This Row],[Play Singles CardMarket Profit MTG Stocks]]&gt;0</f>
        <v>0</v>
      </c>
      <c r="BM740" s="10" t="e">
        <f>tbl_MTG_Set[[#This Row],[Play Booster Sell Price CardMarket]]*tbl_MTG_Set[[#This Row],[Play Booster Expected Market Value BotBox]]/tbl_MTG_Set[[#This Row],[Play Booster Sealed Market Value BotBox]]</f>
        <v>#VALUE!</v>
      </c>
      <c r="BN7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0" s="10" t="e">
        <f>tbl_MTG_Set[[#This Row],[Play Singles CardMarket Profit BotBox]]/tbl_MTG_Set[[#This Row],[Play Booster Cost]]</f>
        <v>#VALUE!</v>
      </c>
      <c r="BP740" s="10" t="b">
        <f>tbl_MTG_Set[[#This Row],[Play Singles CardMarket Profit BotBox]]&gt;0</f>
        <v>0</v>
      </c>
      <c r="BQ740" s="10"/>
      <c r="BR740" s="10"/>
      <c r="BS740" s="10"/>
      <c r="BT7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0" s="19" t="e">
        <f>tbl_MTG_Set[[#This Row],[Collector Singles CardMarket Profit MTG Stocks]]/tbl_MTG_Set[[#This Row],[Collector Booster Cost]]</f>
        <v>#N/A</v>
      </c>
      <c r="BW740" s="10" t="b">
        <f>tbl_MTG_Set[[#This Row],[Collector Singles CardMarket Profit MTG Stocks]]&gt;0</f>
        <v>0</v>
      </c>
      <c r="BX740" s="10"/>
      <c r="BY740" s="10"/>
      <c r="BZ7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0" s="10" t="e">
        <f>tbl_MTG_Set[[#This Row],[Collector Singles CardMarket Profit BotBox]]/tbl_MTG_Set[[#This Row],[Collector Booster Cost]]</f>
        <v>#N/A</v>
      </c>
      <c r="CC740" s="10" t="b">
        <f>tbl_MTG_Set[[#This Row],[Collector Singles CardMarket Profit BotBox]]&gt;0</f>
        <v>0</v>
      </c>
      <c r="CD7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1" spans="1:86" hidden="1">
      <c r="A741">
        <v>773</v>
      </c>
      <c r="B741" t="s">
        <v>914</v>
      </c>
      <c r="C741">
        <v>41</v>
      </c>
      <c r="D741" s="3">
        <v>40137</v>
      </c>
      <c r="F741" t="s">
        <v>174</v>
      </c>
      <c r="G741">
        <v>1492</v>
      </c>
      <c r="H741">
        <f ca="1">MONTH(NOW())+12*YEAR(NOW())-MONTH(tbl_MTG_Set[[#This Row],[Released On]])-12*YEAR(tbl_MTG_Set[[#This Row],[Released On]])</f>
        <v>196</v>
      </c>
      <c r="I741" t="str">
        <f>_xlfn.XLOOKUP(tbl_MTG_Set[[#This Row],[Type Name]], tbl_MTG_Set_Type[Set Type], tbl_MTG_Set_Type[Index], "(Set Type not found)")</f>
        <v>(Set Type not found)</v>
      </c>
      <c r="J741" t="str">
        <f>_xlfn.XLOOKUP(tbl_MTG_Set[[#This Row],[Type Name]], tbl_MTG_Set_Type[Set Type], tbl_MTG_Set_Type[Buy Window Month Start], "(Set Type not found)")</f>
        <v>(Set Type not found)</v>
      </c>
      <c r="K741" s="3" t="e">
        <f>tbl_MTG_Set[[#This Row],[Released On]]+tbl_MTG_Set[[#This Row],[Buy Window Month Start]]*365.25/12</f>
        <v>#VALUE!</v>
      </c>
      <c r="L741" t="str">
        <f>_xlfn.XLOOKUP(tbl_MTG_Set[[#This Row],[Type Name]], tbl_MTG_Set_Type[Set Type], tbl_MTG_Set_Type[Buy Window Month End], "(Set Type not found)", 0, 1)</f>
        <v>(Set Type not found)</v>
      </c>
      <c r="M741" s="3" t="e">
        <f>tbl_MTG_Set[[#This Row],[Released On]]+tbl_MTG_Set[[#This Row],[Buy Window Month End]]*365.25/12</f>
        <v>#VALUE!</v>
      </c>
      <c r="N741" s="3" t="e">
        <f ca="1">AND(NOW()&gt;=tbl_MTG_Set[[#This Row],[Buy Window Start]], NOW()&lt;=tbl_MTG_Set[[#This Row],[Buy Window End]])</f>
        <v>#VALUE!</v>
      </c>
      <c r="O741" t="str">
        <f>_xlfn.XLOOKUP(tbl_MTG_Set[[#This Row],[Type Name]], tbl_MTG_Set_Type[Set Type], tbl_MTG_Set_Type[Heavy Printing Window Month Start], "(Set Type not found)", 0, 1)</f>
        <v>(Set Type not found)</v>
      </c>
      <c r="P741" s="3" t="e">
        <f>tbl_MTG_Set[[#This Row],[Released On]]+tbl_MTG_Set[[#This Row],[Heavy Printing Window Month Start]]*365.25/12</f>
        <v>#VALUE!</v>
      </c>
      <c r="Q741" t="str">
        <f>_xlfn.XLOOKUP(tbl_MTG_Set[[#This Row],[Type Name]], tbl_MTG_Set_Type[Set Type], tbl_MTG_Set_Type[Heavy Printing Window Month End], "(Set Type not found)", 0, 1)</f>
        <v>(Set Type not found)</v>
      </c>
      <c r="R741" s="3" t="e">
        <f>tbl_MTG_Set[[#This Row],[Released On]]+tbl_MTG_Set[[#This Row],[Heavy Printing Window Month End]]*365.25/12</f>
        <v>#VALUE!</v>
      </c>
      <c r="S741" s="3" t="e">
        <f ca="1">AND(NOW()&gt;=tbl_MTG_Set[[#This Row],[Heavy Printing Window Start]], NOW()&lt;=tbl_MTG_Set[[#This Row],[Heavy Printing Window End]])</f>
        <v>#VALUE!</v>
      </c>
      <c r="T741" t="str">
        <f>_xlfn.XLOOKUP(tbl_MTG_Set[[#This Row],[Type Name]], tbl_MTG_Set_Type[Set Type], tbl_MTG_Set_Type[Sell Window Month Start], "(Set Type not found)", 0, 1)</f>
        <v>(Set Type not found)</v>
      </c>
      <c r="U741" s="3" t="e">
        <f>tbl_MTG_Set[[#This Row],[Released On]]+tbl_MTG_Set[[#This Row],[Sell Window Month Start]]*365.25/12</f>
        <v>#VALUE!</v>
      </c>
      <c r="V741" t="str">
        <f>_xlfn.XLOOKUP(tbl_MTG_Set[[#This Row],[Type Name]], tbl_MTG_Set_Type[Set Type], tbl_MTG_Set_Type[Sell Window Month End], "(Set Type not found)", 0, 1)</f>
        <v>(Set Type not found)</v>
      </c>
      <c r="W741" s="3" t="e">
        <f>tbl_MTG_Set[[#This Row],[Released On]]+tbl_MTG_Set[[#This Row],[Sell Window Month End]]*365.25/12</f>
        <v>#VALUE!</v>
      </c>
      <c r="X741" s="3" t="e">
        <f ca="1">AND(NOW()&gt;=tbl_MTG_Set[[#This Row],[Sell Window Start]], NOW()&lt;=tbl_MTG_Set[[#This Row],[Sell Window End]])</f>
        <v>#VALUE!</v>
      </c>
      <c r="AG741" s="10"/>
      <c r="AH741" s="10"/>
      <c r="AM741" s="10" t="str" cm="1">
        <f t="array" ref="AM7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1" s="10" t="str" cm="1">
        <f t="array" ref="AN7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1" s="4" t="e">
        <f>_xlfn.XLOOKUP(tbl_MTG_Set[[#This Row],[Play Booster Box Product Id]], tbl_Product[Product Id], tbl_Product[Pack Size])</f>
        <v>#N/A</v>
      </c>
      <c r="AP741" s="10" t="e">
        <f>(tbl_MTG_Set[[#This Row],[Play Booster Box Cost]]+v_Item_Shipping_Cost_In)/tbl_MTG_Set[[#This Row],[Play Booster Box Size]]</f>
        <v>#VALUE!</v>
      </c>
      <c r="AQ741" s="10" t="str" cm="1">
        <f t="array" ref="AQ7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1" s="10"/>
      <c r="AS741" s="10"/>
      <c r="AT741" s="17" t="e">
        <f>tbl_MTG_Set[[#This Row],[Play Booster CardMarket Profit]]/tbl_MTG_Set[[#This Row],[Play Booster Cost]]</f>
        <v>#VALUE!</v>
      </c>
      <c r="AU741" s="10" t="e">
        <f>_xlfn.XLOOKUP(tbl_MTG_Set[[#This Row],[Collector Booster Box Product Id]], tbl_Product[Product Id], tbl_Product[Min Cost])</f>
        <v>#N/A</v>
      </c>
      <c r="AV741" s="10" t="e">
        <f>_xlfn.XLOOKUP(tbl_MTG_Set[[#This Row],[Collector Booster Box Product Id]], tbl_Product[Product Id], tbl_Product[Best Source])</f>
        <v>#N/A</v>
      </c>
      <c r="AW741" s="4" t="e">
        <f>_xlfn.XLOOKUP(tbl_MTG_Set[[#This Row],[Collector Booster Box Product Id]], tbl_Product[Product Id], tbl_Product[Pack Size])</f>
        <v>#N/A</v>
      </c>
      <c r="AX741" s="10" t="e">
        <f>(tbl_MTG_Set[[#This Row],[Collector Booster Box Cost]] + v_Item_Shipping_Cost_In) / tbl_MTG_Set[[#This Row],[Collector Booster Box Size]]</f>
        <v>#N/A</v>
      </c>
      <c r="AY741" s="10" t="str" cm="1">
        <f t="array" ref="AY7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1" s="10"/>
      <c r="BA7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1" s="17" t="e">
        <f>tbl_MTG_Set[[#This Row],[Collector Booster CardMarket Profit]]/tbl_MTG_Set[[#This Row],[Collector Booster Cost]]</f>
        <v>#N/A</v>
      </c>
      <c r="BC741" s="10"/>
      <c r="BF7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1" s="11" t="e">
        <f>tbl_MTG_Set[[#This Row],[Play Singles CardMarket Profit MTG Stocks]]/tbl_MTG_Set[[#This Row],[Play Booster Cost]]</f>
        <v>#VALUE!</v>
      </c>
      <c r="BI741" s="11" t="b">
        <f>tbl_MTG_Set[[#This Row],[Play Singles CardMarket Profit MTG Stocks]]&gt;0</f>
        <v>0</v>
      </c>
      <c r="BM741" s="10" t="e">
        <f>tbl_MTG_Set[[#This Row],[Play Booster Sell Price CardMarket]]*tbl_MTG_Set[[#This Row],[Play Booster Expected Market Value BotBox]]/tbl_MTG_Set[[#This Row],[Play Booster Sealed Market Value BotBox]]</f>
        <v>#VALUE!</v>
      </c>
      <c r="BN7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1" s="10" t="e">
        <f>tbl_MTG_Set[[#This Row],[Play Singles CardMarket Profit BotBox]]/tbl_MTG_Set[[#This Row],[Play Booster Cost]]</f>
        <v>#VALUE!</v>
      </c>
      <c r="BP741" s="10" t="b">
        <f>tbl_MTG_Set[[#This Row],[Play Singles CardMarket Profit BotBox]]&gt;0</f>
        <v>0</v>
      </c>
      <c r="BQ741" s="10"/>
      <c r="BR741" s="10"/>
      <c r="BS741" s="10"/>
      <c r="BT7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1" s="19" t="e">
        <f>tbl_MTG_Set[[#This Row],[Collector Singles CardMarket Profit MTG Stocks]]/tbl_MTG_Set[[#This Row],[Collector Booster Cost]]</f>
        <v>#N/A</v>
      </c>
      <c r="BW741" s="10" t="b">
        <f>tbl_MTG_Set[[#This Row],[Collector Singles CardMarket Profit MTG Stocks]]&gt;0</f>
        <v>0</v>
      </c>
      <c r="BX741" s="10"/>
      <c r="BY741" s="10"/>
      <c r="BZ7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1" s="10" t="e">
        <f>tbl_MTG_Set[[#This Row],[Collector Singles CardMarket Profit BotBox]]/tbl_MTG_Set[[#This Row],[Collector Booster Cost]]</f>
        <v>#N/A</v>
      </c>
      <c r="CC741" s="10" t="b">
        <f>tbl_MTG_Set[[#This Row],[Collector Singles CardMarket Profit BotBox]]&gt;0</f>
        <v>0</v>
      </c>
      <c r="CD7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2" spans="1:86" hidden="1">
      <c r="A742">
        <v>774</v>
      </c>
      <c r="B742" t="s">
        <v>915</v>
      </c>
      <c r="C742">
        <v>63</v>
      </c>
      <c r="D742" s="3">
        <v>40116</v>
      </c>
      <c r="F742" t="s">
        <v>174</v>
      </c>
      <c r="G742">
        <v>1494</v>
      </c>
      <c r="H742">
        <f ca="1">MONTH(NOW())+12*YEAR(NOW())-MONTH(tbl_MTG_Set[[#This Row],[Released On]])-12*YEAR(tbl_MTG_Set[[#This Row],[Released On]])</f>
        <v>197</v>
      </c>
      <c r="I742" t="str">
        <f>_xlfn.XLOOKUP(tbl_MTG_Set[[#This Row],[Type Name]], tbl_MTG_Set_Type[Set Type], tbl_MTG_Set_Type[Index], "(Set Type not found)")</f>
        <v>(Set Type not found)</v>
      </c>
      <c r="J742" t="str">
        <f>_xlfn.XLOOKUP(tbl_MTG_Set[[#This Row],[Type Name]], tbl_MTG_Set_Type[Set Type], tbl_MTG_Set_Type[Buy Window Month Start], "(Set Type not found)")</f>
        <v>(Set Type not found)</v>
      </c>
      <c r="K742" s="3" t="e">
        <f>tbl_MTG_Set[[#This Row],[Released On]]+tbl_MTG_Set[[#This Row],[Buy Window Month Start]]*365.25/12</f>
        <v>#VALUE!</v>
      </c>
      <c r="L742" t="str">
        <f>_xlfn.XLOOKUP(tbl_MTG_Set[[#This Row],[Type Name]], tbl_MTG_Set_Type[Set Type], tbl_MTG_Set_Type[Buy Window Month End], "(Set Type not found)", 0, 1)</f>
        <v>(Set Type not found)</v>
      </c>
      <c r="M742" s="3" t="e">
        <f>tbl_MTG_Set[[#This Row],[Released On]]+tbl_MTG_Set[[#This Row],[Buy Window Month End]]*365.25/12</f>
        <v>#VALUE!</v>
      </c>
      <c r="N742" s="3" t="e">
        <f ca="1">AND(NOW()&gt;=tbl_MTG_Set[[#This Row],[Buy Window Start]], NOW()&lt;=tbl_MTG_Set[[#This Row],[Buy Window End]])</f>
        <v>#VALUE!</v>
      </c>
      <c r="O742" t="str">
        <f>_xlfn.XLOOKUP(tbl_MTG_Set[[#This Row],[Type Name]], tbl_MTG_Set_Type[Set Type], tbl_MTG_Set_Type[Heavy Printing Window Month Start], "(Set Type not found)", 0, 1)</f>
        <v>(Set Type not found)</v>
      </c>
      <c r="P742" s="3" t="e">
        <f>tbl_MTG_Set[[#This Row],[Released On]]+tbl_MTG_Set[[#This Row],[Heavy Printing Window Month Start]]*365.25/12</f>
        <v>#VALUE!</v>
      </c>
      <c r="Q742" t="str">
        <f>_xlfn.XLOOKUP(tbl_MTG_Set[[#This Row],[Type Name]], tbl_MTG_Set_Type[Set Type], tbl_MTG_Set_Type[Heavy Printing Window Month End], "(Set Type not found)", 0, 1)</f>
        <v>(Set Type not found)</v>
      </c>
      <c r="R742" s="3" t="e">
        <f>tbl_MTG_Set[[#This Row],[Released On]]+tbl_MTG_Set[[#This Row],[Heavy Printing Window Month End]]*365.25/12</f>
        <v>#VALUE!</v>
      </c>
      <c r="S742" s="3" t="e">
        <f ca="1">AND(NOW()&gt;=tbl_MTG_Set[[#This Row],[Heavy Printing Window Start]], NOW()&lt;=tbl_MTG_Set[[#This Row],[Heavy Printing Window End]])</f>
        <v>#VALUE!</v>
      </c>
      <c r="T742" t="str">
        <f>_xlfn.XLOOKUP(tbl_MTG_Set[[#This Row],[Type Name]], tbl_MTG_Set_Type[Set Type], tbl_MTG_Set_Type[Sell Window Month Start], "(Set Type not found)", 0, 1)</f>
        <v>(Set Type not found)</v>
      </c>
      <c r="U742" s="3" t="e">
        <f>tbl_MTG_Set[[#This Row],[Released On]]+tbl_MTG_Set[[#This Row],[Sell Window Month Start]]*365.25/12</f>
        <v>#VALUE!</v>
      </c>
      <c r="V742" t="str">
        <f>_xlfn.XLOOKUP(tbl_MTG_Set[[#This Row],[Type Name]], tbl_MTG_Set_Type[Set Type], tbl_MTG_Set_Type[Sell Window Month End], "(Set Type not found)", 0, 1)</f>
        <v>(Set Type not found)</v>
      </c>
      <c r="W742" s="3" t="e">
        <f>tbl_MTG_Set[[#This Row],[Released On]]+tbl_MTG_Set[[#This Row],[Sell Window Month End]]*365.25/12</f>
        <v>#VALUE!</v>
      </c>
      <c r="X742" s="3" t="e">
        <f ca="1">AND(NOW()&gt;=tbl_MTG_Set[[#This Row],[Sell Window Start]], NOW()&lt;=tbl_MTG_Set[[#This Row],[Sell Window End]])</f>
        <v>#VALUE!</v>
      </c>
      <c r="AG742" s="10"/>
      <c r="AH742" s="10"/>
      <c r="AM742" s="10" t="str" cm="1">
        <f t="array" ref="AM7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2" s="10" t="str" cm="1">
        <f t="array" ref="AN7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2" s="4" t="e">
        <f>_xlfn.XLOOKUP(tbl_MTG_Set[[#This Row],[Play Booster Box Product Id]], tbl_Product[Product Id], tbl_Product[Pack Size])</f>
        <v>#N/A</v>
      </c>
      <c r="AP742" s="10" t="e">
        <f>(tbl_MTG_Set[[#This Row],[Play Booster Box Cost]]+v_Item_Shipping_Cost_In)/tbl_MTG_Set[[#This Row],[Play Booster Box Size]]</f>
        <v>#VALUE!</v>
      </c>
      <c r="AQ742" s="10" t="str" cm="1">
        <f t="array" ref="AQ7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2" s="10"/>
      <c r="AS742" s="10"/>
      <c r="AT742" s="17" t="e">
        <f>tbl_MTG_Set[[#This Row],[Play Booster CardMarket Profit]]/tbl_MTG_Set[[#This Row],[Play Booster Cost]]</f>
        <v>#VALUE!</v>
      </c>
      <c r="AU742" s="10" t="e">
        <f>_xlfn.XLOOKUP(tbl_MTG_Set[[#This Row],[Collector Booster Box Product Id]], tbl_Product[Product Id], tbl_Product[Min Cost])</f>
        <v>#N/A</v>
      </c>
      <c r="AV742" s="10" t="e">
        <f>_xlfn.XLOOKUP(tbl_MTG_Set[[#This Row],[Collector Booster Box Product Id]], tbl_Product[Product Id], tbl_Product[Best Source])</f>
        <v>#N/A</v>
      </c>
      <c r="AW742" s="4" t="e">
        <f>_xlfn.XLOOKUP(tbl_MTG_Set[[#This Row],[Collector Booster Box Product Id]], tbl_Product[Product Id], tbl_Product[Pack Size])</f>
        <v>#N/A</v>
      </c>
      <c r="AX742" s="10" t="e">
        <f>(tbl_MTG_Set[[#This Row],[Collector Booster Box Cost]] + v_Item_Shipping_Cost_In) / tbl_MTG_Set[[#This Row],[Collector Booster Box Size]]</f>
        <v>#N/A</v>
      </c>
      <c r="AY742" s="10" t="str" cm="1">
        <f t="array" ref="AY7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2" s="10"/>
      <c r="BA7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2" s="17" t="e">
        <f>tbl_MTG_Set[[#This Row],[Collector Booster CardMarket Profit]]/tbl_MTG_Set[[#This Row],[Collector Booster Cost]]</f>
        <v>#N/A</v>
      </c>
      <c r="BC742" s="10"/>
      <c r="BF7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2" s="11" t="e">
        <f>tbl_MTG_Set[[#This Row],[Play Singles CardMarket Profit MTG Stocks]]/tbl_MTG_Set[[#This Row],[Play Booster Cost]]</f>
        <v>#VALUE!</v>
      </c>
      <c r="BI742" s="11" t="b">
        <f>tbl_MTG_Set[[#This Row],[Play Singles CardMarket Profit MTG Stocks]]&gt;0</f>
        <v>0</v>
      </c>
      <c r="BM742" s="10" t="e">
        <f>tbl_MTG_Set[[#This Row],[Play Booster Sell Price CardMarket]]*tbl_MTG_Set[[#This Row],[Play Booster Expected Market Value BotBox]]/tbl_MTG_Set[[#This Row],[Play Booster Sealed Market Value BotBox]]</f>
        <v>#VALUE!</v>
      </c>
      <c r="BN7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2" s="10" t="e">
        <f>tbl_MTG_Set[[#This Row],[Play Singles CardMarket Profit BotBox]]/tbl_MTG_Set[[#This Row],[Play Booster Cost]]</f>
        <v>#VALUE!</v>
      </c>
      <c r="BP742" s="10" t="b">
        <f>tbl_MTG_Set[[#This Row],[Play Singles CardMarket Profit BotBox]]&gt;0</f>
        <v>0</v>
      </c>
      <c r="BQ742" s="10"/>
      <c r="BR742" s="10"/>
      <c r="BS742" s="10"/>
      <c r="BT7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2" s="19" t="e">
        <f>tbl_MTG_Set[[#This Row],[Collector Singles CardMarket Profit MTG Stocks]]/tbl_MTG_Set[[#This Row],[Collector Booster Cost]]</f>
        <v>#N/A</v>
      </c>
      <c r="BW742" s="10" t="b">
        <f>tbl_MTG_Set[[#This Row],[Collector Singles CardMarket Profit MTG Stocks]]&gt;0</f>
        <v>0</v>
      </c>
      <c r="BX742" s="10"/>
      <c r="BY742" s="10"/>
      <c r="BZ7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2" s="10" t="e">
        <f>tbl_MTG_Set[[#This Row],[Collector Singles CardMarket Profit BotBox]]/tbl_MTG_Set[[#This Row],[Collector Booster Cost]]</f>
        <v>#N/A</v>
      </c>
      <c r="CC742" s="10" t="b">
        <f>tbl_MTG_Set[[#This Row],[Collector Singles CardMarket Profit BotBox]]&gt;0</f>
        <v>0</v>
      </c>
      <c r="CD7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3" spans="1:86" hidden="1">
      <c r="A743">
        <v>775</v>
      </c>
      <c r="B743" t="s">
        <v>916</v>
      </c>
      <c r="C743">
        <v>3</v>
      </c>
      <c r="D743" s="3">
        <v>40116</v>
      </c>
      <c r="F743" t="s">
        <v>174</v>
      </c>
      <c r="G743">
        <v>1496</v>
      </c>
      <c r="H743">
        <f ca="1">MONTH(NOW())+12*YEAR(NOW())-MONTH(tbl_MTG_Set[[#This Row],[Released On]])-12*YEAR(tbl_MTG_Set[[#This Row],[Released On]])</f>
        <v>197</v>
      </c>
      <c r="I743" t="str">
        <f>_xlfn.XLOOKUP(tbl_MTG_Set[[#This Row],[Type Name]], tbl_MTG_Set_Type[Set Type], tbl_MTG_Set_Type[Index], "(Set Type not found)")</f>
        <v>(Set Type not found)</v>
      </c>
      <c r="J743" t="str">
        <f>_xlfn.XLOOKUP(tbl_MTG_Set[[#This Row],[Type Name]], tbl_MTG_Set_Type[Set Type], tbl_MTG_Set_Type[Buy Window Month Start], "(Set Type not found)")</f>
        <v>(Set Type not found)</v>
      </c>
      <c r="K743" s="3" t="e">
        <f>tbl_MTG_Set[[#This Row],[Released On]]+tbl_MTG_Set[[#This Row],[Buy Window Month Start]]*365.25/12</f>
        <v>#VALUE!</v>
      </c>
      <c r="L743" t="str">
        <f>_xlfn.XLOOKUP(tbl_MTG_Set[[#This Row],[Type Name]], tbl_MTG_Set_Type[Set Type], tbl_MTG_Set_Type[Buy Window Month End], "(Set Type not found)", 0, 1)</f>
        <v>(Set Type not found)</v>
      </c>
      <c r="M743" s="3" t="e">
        <f>tbl_MTG_Set[[#This Row],[Released On]]+tbl_MTG_Set[[#This Row],[Buy Window Month End]]*365.25/12</f>
        <v>#VALUE!</v>
      </c>
      <c r="N743" s="3" t="e">
        <f ca="1">AND(NOW()&gt;=tbl_MTG_Set[[#This Row],[Buy Window Start]], NOW()&lt;=tbl_MTG_Set[[#This Row],[Buy Window End]])</f>
        <v>#VALUE!</v>
      </c>
      <c r="O743" t="str">
        <f>_xlfn.XLOOKUP(tbl_MTG_Set[[#This Row],[Type Name]], tbl_MTG_Set_Type[Set Type], tbl_MTG_Set_Type[Heavy Printing Window Month Start], "(Set Type not found)", 0, 1)</f>
        <v>(Set Type not found)</v>
      </c>
      <c r="P743" s="3" t="e">
        <f>tbl_MTG_Set[[#This Row],[Released On]]+tbl_MTG_Set[[#This Row],[Heavy Printing Window Month Start]]*365.25/12</f>
        <v>#VALUE!</v>
      </c>
      <c r="Q743" t="str">
        <f>_xlfn.XLOOKUP(tbl_MTG_Set[[#This Row],[Type Name]], tbl_MTG_Set_Type[Set Type], tbl_MTG_Set_Type[Heavy Printing Window Month End], "(Set Type not found)", 0, 1)</f>
        <v>(Set Type not found)</v>
      </c>
      <c r="R743" s="3" t="e">
        <f>tbl_MTG_Set[[#This Row],[Released On]]+tbl_MTG_Set[[#This Row],[Heavy Printing Window Month End]]*365.25/12</f>
        <v>#VALUE!</v>
      </c>
      <c r="S743" s="3" t="e">
        <f ca="1">AND(NOW()&gt;=tbl_MTG_Set[[#This Row],[Heavy Printing Window Start]], NOW()&lt;=tbl_MTG_Set[[#This Row],[Heavy Printing Window End]])</f>
        <v>#VALUE!</v>
      </c>
      <c r="T743" t="str">
        <f>_xlfn.XLOOKUP(tbl_MTG_Set[[#This Row],[Type Name]], tbl_MTG_Set_Type[Set Type], tbl_MTG_Set_Type[Sell Window Month Start], "(Set Type not found)", 0, 1)</f>
        <v>(Set Type not found)</v>
      </c>
      <c r="U743" s="3" t="e">
        <f>tbl_MTG_Set[[#This Row],[Released On]]+tbl_MTG_Set[[#This Row],[Sell Window Month Start]]*365.25/12</f>
        <v>#VALUE!</v>
      </c>
      <c r="V743" t="str">
        <f>_xlfn.XLOOKUP(tbl_MTG_Set[[#This Row],[Type Name]], tbl_MTG_Set_Type[Set Type], tbl_MTG_Set_Type[Sell Window Month End], "(Set Type not found)", 0, 1)</f>
        <v>(Set Type not found)</v>
      </c>
      <c r="W743" s="3" t="e">
        <f>tbl_MTG_Set[[#This Row],[Released On]]+tbl_MTG_Set[[#This Row],[Sell Window Month End]]*365.25/12</f>
        <v>#VALUE!</v>
      </c>
      <c r="X743" s="3" t="e">
        <f ca="1">AND(NOW()&gt;=tbl_MTG_Set[[#This Row],[Sell Window Start]], NOW()&lt;=tbl_MTG_Set[[#This Row],[Sell Window End]])</f>
        <v>#VALUE!</v>
      </c>
      <c r="AG743" s="10"/>
      <c r="AH743" s="10"/>
      <c r="AM743" s="10" t="str" cm="1">
        <f t="array" ref="AM7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3" s="10" t="str" cm="1">
        <f t="array" ref="AN7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3" s="4" t="e">
        <f>_xlfn.XLOOKUP(tbl_MTG_Set[[#This Row],[Play Booster Box Product Id]], tbl_Product[Product Id], tbl_Product[Pack Size])</f>
        <v>#N/A</v>
      </c>
      <c r="AP743" s="10" t="e">
        <f>(tbl_MTG_Set[[#This Row],[Play Booster Box Cost]]+v_Item_Shipping_Cost_In)/tbl_MTG_Set[[#This Row],[Play Booster Box Size]]</f>
        <v>#VALUE!</v>
      </c>
      <c r="AQ743" s="10" t="str" cm="1">
        <f t="array" ref="AQ7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3" s="10"/>
      <c r="AS743" s="10"/>
      <c r="AT743" s="17" t="e">
        <f>tbl_MTG_Set[[#This Row],[Play Booster CardMarket Profit]]/tbl_MTG_Set[[#This Row],[Play Booster Cost]]</f>
        <v>#VALUE!</v>
      </c>
      <c r="AU743" s="10" t="e">
        <f>_xlfn.XLOOKUP(tbl_MTG_Set[[#This Row],[Collector Booster Box Product Id]], tbl_Product[Product Id], tbl_Product[Min Cost])</f>
        <v>#N/A</v>
      </c>
      <c r="AV743" s="10" t="e">
        <f>_xlfn.XLOOKUP(tbl_MTG_Set[[#This Row],[Collector Booster Box Product Id]], tbl_Product[Product Id], tbl_Product[Best Source])</f>
        <v>#N/A</v>
      </c>
      <c r="AW743" s="4" t="e">
        <f>_xlfn.XLOOKUP(tbl_MTG_Set[[#This Row],[Collector Booster Box Product Id]], tbl_Product[Product Id], tbl_Product[Pack Size])</f>
        <v>#N/A</v>
      </c>
      <c r="AX743" s="10" t="e">
        <f>(tbl_MTG_Set[[#This Row],[Collector Booster Box Cost]] + v_Item_Shipping_Cost_In) / tbl_MTG_Set[[#This Row],[Collector Booster Box Size]]</f>
        <v>#N/A</v>
      </c>
      <c r="AY743" s="10" t="str" cm="1">
        <f t="array" ref="AY7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3" s="10"/>
      <c r="BA7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3" s="17" t="e">
        <f>tbl_MTG_Set[[#This Row],[Collector Booster CardMarket Profit]]/tbl_MTG_Set[[#This Row],[Collector Booster Cost]]</f>
        <v>#N/A</v>
      </c>
      <c r="BC743" s="10"/>
      <c r="BF7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3" s="11" t="e">
        <f>tbl_MTG_Set[[#This Row],[Play Singles CardMarket Profit MTG Stocks]]/tbl_MTG_Set[[#This Row],[Play Booster Cost]]</f>
        <v>#VALUE!</v>
      </c>
      <c r="BI743" s="11" t="b">
        <f>tbl_MTG_Set[[#This Row],[Play Singles CardMarket Profit MTG Stocks]]&gt;0</f>
        <v>0</v>
      </c>
      <c r="BM743" s="10" t="e">
        <f>tbl_MTG_Set[[#This Row],[Play Booster Sell Price CardMarket]]*tbl_MTG_Set[[#This Row],[Play Booster Expected Market Value BotBox]]/tbl_MTG_Set[[#This Row],[Play Booster Sealed Market Value BotBox]]</f>
        <v>#VALUE!</v>
      </c>
      <c r="BN7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3" s="10" t="e">
        <f>tbl_MTG_Set[[#This Row],[Play Singles CardMarket Profit BotBox]]/tbl_MTG_Set[[#This Row],[Play Booster Cost]]</f>
        <v>#VALUE!</v>
      </c>
      <c r="BP743" s="10" t="b">
        <f>tbl_MTG_Set[[#This Row],[Play Singles CardMarket Profit BotBox]]&gt;0</f>
        <v>0</v>
      </c>
      <c r="BQ743" s="10"/>
      <c r="BR743" s="10"/>
      <c r="BS743" s="10"/>
      <c r="BT7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3" s="19" t="e">
        <f>tbl_MTG_Set[[#This Row],[Collector Singles CardMarket Profit MTG Stocks]]/tbl_MTG_Set[[#This Row],[Collector Booster Cost]]</f>
        <v>#N/A</v>
      </c>
      <c r="BW743" s="10" t="b">
        <f>tbl_MTG_Set[[#This Row],[Collector Singles CardMarket Profit MTG Stocks]]&gt;0</f>
        <v>0</v>
      </c>
      <c r="BX743" s="10"/>
      <c r="BY743" s="10"/>
      <c r="BZ7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3" s="10" t="e">
        <f>tbl_MTG_Set[[#This Row],[Collector Singles CardMarket Profit BotBox]]/tbl_MTG_Set[[#This Row],[Collector Booster Cost]]</f>
        <v>#N/A</v>
      </c>
      <c r="CC743" s="10" t="b">
        <f>tbl_MTG_Set[[#This Row],[Collector Singles CardMarket Profit BotBox]]&gt;0</f>
        <v>0</v>
      </c>
      <c r="CD7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4" spans="1:86" hidden="1">
      <c r="A744">
        <v>776</v>
      </c>
      <c r="B744" t="s">
        <v>917</v>
      </c>
      <c r="C744">
        <v>269</v>
      </c>
      <c r="D744" s="3">
        <v>40088</v>
      </c>
      <c r="E744" t="s">
        <v>59</v>
      </c>
      <c r="F744" t="s">
        <v>174</v>
      </c>
      <c r="G744">
        <v>1498</v>
      </c>
      <c r="H744">
        <f ca="1">MONTH(NOW())+12*YEAR(NOW())-MONTH(tbl_MTG_Set[[#This Row],[Released On]])-12*YEAR(tbl_MTG_Set[[#This Row],[Released On]])</f>
        <v>197</v>
      </c>
      <c r="I744">
        <f>_xlfn.XLOOKUP(tbl_MTG_Set[[#This Row],[Type Name]], tbl_MTG_Set_Type[Set Type], tbl_MTG_Set_Type[Index], "(Set Type not found)")</f>
        <v>1</v>
      </c>
      <c r="J744">
        <f>_xlfn.XLOOKUP(tbl_MTG_Set[[#This Row],[Type Name]], tbl_MTG_Set_Type[Set Type], tbl_MTG_Set_Type[Buy Window Month Start], "(Set Type not found)")</f>
        <v>18</v>
      </c>
      <c r="K744" s="3">
        <f>tbl_MTG_Set[[#This Row],[Released On]]+tbl_MTG_Set[[#This Row],[Buy Window Month Start]]*365.25/12</f>
        <v>40635.875</v>
      </c>
      <c r="L744">
        <f>_xlfn.XLOOKUP(tbl_MTG_Set[[#This Row],[Type Name]], tbl_MTG_Set_Type[Set Type], tbl_MTG_Set_Type[Buy Window Month End], "(Set Type not found)", 0, 1)</f>
        <v>24</v>
      </c>
      <c r="M744" s="3">
        <f>tbl_MTG_Set[[#This Row],[Released On]]+tbl_MTG_Set[[#This Row],[Buy Window Month End]]*365.25/12</f>
        <v>40818.5</v>
      </c>
      <c r="N744" s="3" t="b">
        <f ca="1">AND(NOW()&gt;=tbl_MTG_Set[[#This Row],[Buy Window Start]], NOW()&lt;=tbl_MTG_Set[[#This Row],[Buy Window End]])</f>
        <v>0</v>
      </c>
      <c r="O744">
        <f>_xlfn.XLOOKUP(tbl_MTG_Set[[#This Row],[Type Name]], tbl_MTG_Set_Type[Set Type], tbl_MTG_Set_Type[Heavy Printing Window Month Start], "(Set Type not found)", 0, 1)</f>
        <v>1</v>
      </c>
      <c r="P744" s="3">
        <f>tbl_MTG_Set[[#This Row],[Released On]]+tbl_MTG_Set[[#This Row],[Heavy Printing Window Month Start]]*365.25/12</f>
        <v>40118.4375</v>
      </c>
      <c r="Q744">
        <f>_xlfn.XLOOKUP(tbl_MTG_Set[[#This Row],[Type Name]], tbl_MTG_Set_Type[Set Type], tbl_MTG_Set_Type[Heavy Printing Window Month End], "(Set Type not found)", 0, 1)</f>
        <v>18</v>
      </c>
      <c r="R744" s="3">
        <f>tbl_MTG_Set[[#This Row],[Released On]]+tbl_MTG_Set[[#This Row],[Heavy Printing Window Month End]]*365.25/12</f>
        <v>40635.875</v>
      </c>
      <c r="S744" s="3" t="b">
        <f ca="1">AND(NOW()&gt;=tbl_MTG_Set[[#This Row],[Heavy Printing Window Start]], NOW()&lt;=tbl_MTG_Set[[#This Row],[Heavy Printing Window End]])</f>
        <v>0</v>
      </c>
      <c r="T744">
        <f>_xlfn.XLOOKUP(tbl_MTG_Set[[#This Row],[Type Name]], tbl_MTG_Set_Type[Set Type], tbl_MTG_Set_Type[Sell Window Month Start], "(Set Type not found)", 0, 1)</f>
        <v>36</v>
      </c>
      <c r="U744" s="3">
        <f>tbl_MTG_Set[[#This Row],[Released On]]+tbl_MTG_Set[[#This Row],[Sell Window Month Start]]*365.25/12</f>
        <v>41183.75</v>
      </c>
      <c r="V744">
        <f>_xlfn.XLOOKUP(tbl_MTG_Set[[#This Row],[Type Name]], tbl_MTG_Set_Type[Set Type], tbl_MTG_Set_Type[Sell Window Month End], "(Set Type not found)", 0, 1)</f>
        <v>48</v>
      </c>
      <c r="W744" s="3">
        <f>tbl_MTG_Set[[#This Row],[Released On]]+tbl_MTG_Set[[#This Row],[Sell Window Month End]]*365.25/12</f>
        <v>41549</v>
      </c>
      <c r="X744" s="3" t="b">
        <f ca="1">AND(NOW()&gt;=tbl_MTG_Set[[#This Row],[Sell Window Start]], NOW()&lt;=tbl_MTG_Set[[#This Row],[Sell Window End]])</f>
        <v>0</v>
      </c>
      <c r="AG744" s="10"/>
      <c r="AH744" s="10"/>
      <c r="AM744" s="10" t="str" cm="1">
        <f t="array" ref="AM7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4" s="10" t="str" cm="1">
        <f t="array" ref="AN7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4" s="4" t="e">
        <f>_xlfn.XLOOKUP(tbl_MTG_Set[[#This Row],[Play Booster Box Product Id]], tbl_Product[Product Id], tbl_Product[Pack Size])</f>
        <v>#N/A</v>
      </c>
      <c r="AP744" s="10" t="e">
        <f>(tbl_MTG_Set[[#This Row],[Play Booster Box Cost]]+v_Item_Shipping_Cost_In)/tbl_MTG_Set[[#This Row],[Play Booster Box Size]]</f>
        <v>#VALUE!</v>
      </c>
      <c r="AQ744" s="10" t="str" cm="1">
        <f t="array" ref="AQ7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4" s="10"/>
      <c r="AS744" s="10"/>
      <c r="AT744" s="17" t="e">
        <f>tbl_MTG_Set[[#This Row],[Play Booster CardMarket Profit]]/tbl_MTG_Set[[#This Row],[Play Booster Cost]]</f>
        <v>#VALUE!</v>
      </c>
      <c r="AU744" s="10" t="e">
        <f>_xlfn.XLOOKUP(tbl_MTG_Set[[#This Row],[Collector Booster Box Product Id]], tbl_Product[Product Id], tbl_Product[Min Cost])</f>
        <v>#N/A</v>
      </c>
      <c r="AV744" s="10" t="e">
        <f>_xlfn.XLOOKUP(tbl_MTG_Set[[#This Row],[Collector Booster Box Product Id]], tbl_Product[Product Id], tbl_Product[Best Source])</f>
        <v>#N/A</v>
      </c>
      <c r="AW744" s="4" t="e">
        <f>_xlfn.XLOOKUP(tbl_MTG_Set[[#This Row],[Collector Booster Box Product Id]], tbl_Product[Product Id], tbl_Product[Pack Size])</f>
        <v>#N/A</v>
      </c>
      <c r="AX744" s="10" t="e">
        <f>(tbl_MTG_Set[[#This Row],[Collector Booster Box Cost]] + v_Item_Shipping_Cost_In) / tbl_MTG_Set[[#This Row],[Collector Booster Box Size]]</f>
        <v>#N/A</v>
      </c>
      <c r="AY744" s="10" t="str" cm="1">
        <f t="array" ref="AY7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4" s="10"/>
      <c r="BA7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4" s="17" t="e">
        <f>tbl_MTG_Set[[#This Row],[Collector Booster CardMarket Profit]]/tbl_MTG_Set[[#This Row],[Collector Booster Cost]]</f>
        <v>#N/A</v>
      </c>
      <c r="BC744" s="10"/>
      <c r="BF7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4" s="11" t="e">
        <f>tbl_MTG_Set[[#This Row],[Play Singles CardMarket Profit MTG Stocks]]/tbl_MTG_Set[[#This Row],[Play Booster Cost]]</f>
        <v>#VALUE!</v>
      </c>
      <c r="BI744" s="11" t="b">
        <f>tbl_MTG_Set[[#This Row],[Play Singles CardMarket Profit MTG Stocks]]&gt;0</f>
        <v>0</v>
      </c>
      <c r="BM744" s="10" t="e">
        <f>tbl_MTG_Set[[#This Row],[Play Booster Sell Price CardMarket]]*tbl_MTG_Set[[#This Row],[Play Booster Expected Market Value BotBox]]/tbl_MTG_Set[[#This Row],[Play Booster Sealed Market Value BotBox]]</f>
        <v>#VALUE!</v>
      </c>
      <c r="BN7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4" s="10" t="e">
        <f>tbl_MTG_Set[[#This Row],[Play Singles CardMarket Profit BotBox]]/tbl_MTG_Set[[#This Row],[Play Booster Cost]]</f>
        <v>#VALUE!</v>
      </c>
      <c r="BP744" s="10" t="b">
        <f>tbl_MTG_Set[[#This Row],[Play Singles CardMarket Profit BotBox]]&gt;0</f>
        <v>0</v>
      </c>
      <c r="BQ744" s="10"/>
      <c r="BR744" s="10"/>
      <c r="BS744" s="10"/>
      <c r="BT7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4" s="19" t="e">
        <f>tbl_MTG_Set[[#This Row],[Collector Singles CardMarket Profit MTG Stocks]]/tbl_MTG_Set[[#This Row],[Collector Booster Cost]]</f>
        <v>#N/A</v>
      </c>
      <c r="BW744" s="10" t="b">
        <f>tbl_MTG_Set[[#This Row],[Collector Singles CardMarket Profit MTG Stocks]]&gt;0</f>
        <v>0</v>
      </c>
      <c r="BX744" s="10"/>
      <c r="BY744" s="10"/>
      <c r="BZ7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4" s="10" t="e">
        <f>tbl_MTG_Set[[#This Row],[Collector Singles CardMarket Profit BotBox]]/tbl_MTG_Set[[#This Row],[Collector Booster Cost]]</f>
        <v>#N/A</v>
      </c>
      <c r="CC744" s="10" t="b">
        <f>tbl_MTG_Set[[#This Row],[Collector Singles CardMarket Profit BotBox]]&gt;0</f>
        <v>0</v>
      </c>
      <c r="CD7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5" spans="1:86" hidden="1">
      <c r="A745">
        <v>777</v>
      </c>
      <c r="B745" t="s">
        <v>918</v>
      </c>
      <c r="C745">
        <v>5</v>
      </c>
      <c r="D745" s="3">
        <v>40088</v>
      </c>
      <c r="E745" t="s">
        <v>59</v>
      </c>
      <c r="F745" t="s">
        <v>174</v>
      </c>
      <c r="G745">
        <v>1500</v>
      </c>
      <c r="H745">
        <f ca="1">MONTH(NOW())+12*YEAR(NOW())-MONTH(tbl_MTG_Set[[#This Row],[Released On]])-12*YEAR(tbl_MTG_Set[[#This Row],[Released On]])</f>
        <v>197</v>
      </c>
      <c r="I745">
        <f>_xlfn.XLOOKUP(tbl_MTG_Set[[#This Row],[Type Name]], tbl_MTG_Set_Type[Set Type], tbl_MTG_Set_Type[Index], "(Set Type not found)")</f>
        <v>1</v>
      </c>
      <c r="J745">
        <f>_xlfn.XLOOKUP(tbl_MTG_Set[[#This Row],[Type Name]], tbl_MTG_Set_Type[Set Type], tbl_MTG_Set_Type[Buy Window Month Start], "(Set Type not found)")</f>
        <v>18</v>
      </c>
      <c r="K745" s="3">
        <f>tbl_MTG_Set[[#This Row],[Released On]]+tbl_MTG_Set[[#This Row],[Buy Window Month Start]]*365.25/12</f>
        <v>40635.875</v>
      </c>
      <c r="L745">
        <f>_xlfn.XLOOKUP(tbl_MTG_Set[[#This Row],[Type Name]], tbl_MTG_Set_Type[Set Type], tbl_MTG_Set_Type[Buy Window Month End], "(Set Type not found)", 0, 1)</f>
        <v>24</v>
      </c>
      <c r="M745" s="3">
        <f>tbl_MTG_Set[[#This Row],[Released On]]+tbl_MTG_Set[[#This Row],[Buy Window Month End]]*365.25/12</f>
        <v>40818.5</v>
      </c>
      <c r="N745" s="3" t="b">
        <f ca="1">AND(NOW()&gt;=tbl_MTG_Set[[#This Row],[Buy Window Start]], NOW()&lt;=tbl_MTG_Set[[#This Row],[Buy Window End]])</f>
        <v>0</v>
      </c>
      <c r="O745">
        <f>_xlfn.XLOOKUP(tbl_MTG_Set[[#This Row],[Type Name]], tbl_MTG_Set_Type[Set Type], tbl_MTG_Set_Type[Heavy Printing Window Month Start], "(Set Type not found)", 0, 1)</f>
        <v>1</v>
      </c>
      <c r="P745" s="3">
        <f>tbl_MTG_Set[[#This Row],[Released On]]+tbl_MTG_Set[[#This Row],[Heavy Printing Window Month Start]]*365.25/12</f>
        <v>40118.4375</v>
      </c>
      <c r="Q745">
        <f>_xlfn.XLOOKUP(tbl_MTG_Set[[#This Row],[Type Name]], tbl_MTG_Set_Type[Set Type], tbl_MTG_Set_Type[Heavy Printing Window Month End], "(Set Type not found)", 0, 1)</f>
        <v>18</v>
      </c>
      <c r="R745" s="3">
        <f>tbl_MTG_Set[[#This Row],[Released On]]+tbl_MTG_Set[[#This Row],[Heavy Printing Window Month End]]*365.25/12</f>
        <v>40635.875</v>
      </c>
      <c r="S745" s="3" t="b">
        <f ca="1">AND(NOW()&gt;=tbl_MTG_Set[[#This Row],[Heavy Printing Window Start]], NOW()&lt;=tbl_MTG_Set[[#This Row],[Heavy Printing Window End]])</f>
        <v>0</v>
      </c>
      <c r="T745">
        <f>_xlfn.XLOOKUP(tbl_MTG_Set[[#This Row],[Type Name]], tbl_MTG_Set_Type[Set Type], tbl_MTG_Set_Type[Sell Window Month Start], "(Set Type not found)", 0, 1)</f>
        <v>36</v>
      </c>
      <c r="U745" s="3">
        <f>tbl_MTG_Set[[#This Row],[Released On]]+tbl_MTG_Set[[#This Row],[Sell Window Month Start]]*365.25/12</f>
        <v>41183.75</v>
      </c>
      <c r="V745">
        <f>_xlfn.XLOOKUP(tbl_MTG_Set[[#This Row],[Type Name]], tbl_MTG_Set_Type[Set Type], tbl_MTG_Set_Type[Sell Window Month End], "(Set Type not found)", 0, 1)</f>
        <v>48</v>
      </c>
      <c r="W745" s="3">
        <f>tbl_MTG_Set[[#This Row],[Released On]]+tbl_MTG_Set[[#This Row],[Sell Window Month End]]*365.25/12</f>
        <v>41549</v>
      </c>
      <c r="X745" s="3" t="b">
        <f ca="1">AND(NOW()&gt;=tbl_MTG_Set[[#This Row],[Sell Window Start]], NOW()&lt;=tbl_MTG_Set[[#This Row],[Sell Window End]])</f>
        <v>0</v>
      </c>
      <c r="AG745" s="10"/>
      <c r="AH745" s="10"/>
      <c r="AM745" s="10" t="str" cm="1">
        <f t="array" ref="AM7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5" s="10" t="str" cm="1">
        <f t="array" ref="AN7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5" s="4" t="e">
        <f>_xlfn.XLOOKUP(tbl_MTG_Set[[#This Row],[Play Booster Box Product Id]], tbl_Product[Product Id], tbl_Product[Pack Size])</f>
        <v>#N/A</v>
      </c>
      <c r="AP745" s="10" t="e">
        <f>(tbl_MTG_Set[[#This Row],[Play Booster Box Cost]]+v_Item_Shipping_Cost_In)/tbl_MTG_Set[[#This Row],[Play Booster Box Size]]</f>
        <v>#VALUE!</v>
      </c>
      <c r="AQ745" s="10" t="str" cm="1">
        <f t="array" ref="AQ7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5" s="10"/>
      <c r="AS745" s="10"/>
      <c r="AT745" s="17" t="e">
        <f>tbl_MTG_Set[[#This Row],[Play Booster CardMarket Profit]]/tbl_MTG_Set[[#This Row],[Play Booster Cost]]</f>
        <v>#VALUE!</v>
      </c>
      <c r="AU745" s="10" t="e">
        <f>_xlfn.XLOOKUP(tbl_MTG_Set[[#This Row],[Collector Booster Box Product Id]], tbl_Product[Product Id], tbl_Product[Min Cost])</f>
        <v>#N/A</v>
      </c>
      <c r="AV745" s="10" t="e">
        <f>_xlfn.XLOOKUP(tbl_MTG_Set[[#This Row],[Collector Booster Box Product Id]], tbl_Product[Product Id], tbl_Product[Best Source])</f>
        <v>#N/A</v>
      </c>
      <c r="AW745" s="4" t="e">
        <f>_xlfn.XLOOKUP(tbl_MTG_Set[[#This Row],[Collector Booster Box Product Id]], tbl_Product[Product Id], tbl_Product[Pack Size])</f>
        <v>#N/A</v>
      </c>
      <c r="AX745" s="10" t="e">
        <f>(tbl_MTG_Set[[#This Row],[Collector Booster Box Cost]] + v_Item_Shipping_Cost_In) / tbl_MTG_Set[[#This Row],[Collector Booster Box Size]]</f>
        <v>#N/A</v>
      </c>
      <c r="AY745" s="10" t="str" cm="1">
        <f t="array" ref="AY7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5" s="10"/>
      <c r="BA7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5" s="17" t="e">
        <f>tbl_MTG_Set[[#This Row],[Collector Booster CardMarket Profit]]/tbl_MTG_Set[[#This Row],[Collector Booster Cost]]</f>
        <v>#N/A</v>
      </c>
      <c r="BC745" s="10"/>
      <c r="BF7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5" s="11" t="e">
        <f>tbl_MTG_Set[[#This Row],[Play Singles CardMarket Profit MTG Stocks]]/tbl_MTG_Set[[#This Row],[Play Booster Cost]]</f>
        <v>#VALUE!</v>
      </c>
      <c r="BI745" s="11" t="b">
        <f>tbl_MTG_Set[[#This Row],[Play Singles CardMarket Profit MTG Stocks]]&gt;0</f>
        <v>0</v>
      </c>
      <c r="BM745" s="10" t="e">
        <f>tbl_MTG_Set[[#This Row],[Play Booster Sell Price CardMarket]]*tbl_MTG_Set[[#This Row],[Play Booster Expected Market Value BotBox]]/tbl_MTG_Set[[#This Row],[Play Booster Sealed Market Value BotBox]]</f>
        <v>#VALUE!</v>
      </c>
      <c r="BN7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5" s="10" t="e">
        <f>tbl_MTG_Set[[#This Row],[Play Singles CardMarket Profit BotBox]]/tbl_MTG_Set[[#This Row],[Play Booster Cost]]</f>
        <v>#VALUE!</v>
      </c>
      <c r="BP745" s="10" t="b">
        <f>tbl_MTG_Set[[#This Row],[Play Singles CardMarket Profit BotBox]]&gt;0</f>
        <v>0</v>
      </c>
      <c r="BQ745" s="10"/>
      <c r="BR745" s="10"/>
      <c r="BS745" s="10"/>
      <c r="BT7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5" s="19" t="e">
        <f>tbl_MTG_Set[[#This Row],[Collector Singles CardMarket Profit MTG Stocks]]/tbl_MTG_Set[[#This Row],[Collector Booster Cost]]</f>
        <v>#N/A</v>
      </c>
      <c r="BW745" s="10" t="b">
        <f>tbl_MTG_Set[[#This Row],[Collector Singles CardMarket Profit MTG Stocks]]&gt;0</f>
        <v>0</v>
      </c>
      <c r="BX745" s="10"/>
      <c r="BY745" s="10"/>
      <c r="BZ7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5" s="10" t="e">
        <f>tbl_MTG_Set[[#This Row],[Collector Singles CardMarket Profit BotBox]]/tbl_MTG_Set[[#This Row],[Collector Booster Cost]]</f>
        <v>#N/A</v>
      </c>
      <c r="CC745" s="10" t="b">
        <f>tbl_MTG_Set[[#This Row],[Collector Singles CardMarket Profit BotBox]]&gt;0</f>
        <v>0</v>
      </c>
      <c r="CD7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6" spans="1:86" hidden="1">
      <c r="A746">
        <v>778</v>
      </c>
      <c r="B746" t="s">
        <v>919</v>
      </c>
      <c r="C746">
        <v>11</v>
      </c>
      <c r="D746" s="3">
        <v>40088</v>
      </c>
      <c r="E746" t="s">
        <v>59</v>
      </c>
      <c r="F746" t="s">
        <v>174</v>
      </c>
      <c r="G746">
        <v>1502</v>
      </c>
      <c r="H746">
        <f ca="1">MONTH(NOW())+12*YEAR(NOW())-MONTH(tbl_MTG_Set[[#This Row],[Released On]])-12*YEAR(tbl_MTG_Set[[#This Row],[Released On]])</f>
        <v>197</v>
      </c>
      <c r="I746">
        <f>_xlfn.XLOOKUP(tbl_MTG_Set[[#This Row],[Type Name]], tbl_MTG_Set_Type[Set Type], tbl_MTG_Set_Type[Index], "(Set Type not found)")</f>
        <v>1</v>
      </c>
      <c r="J746">
        <f>_xlfn.XLOOKUP(tbl_MTG_Set[[#This Row],[Type Name]], tbl_MTG_Set_Type[Set Type], tbl_MTG_Set_Type[Buy Window Month Start], "(Set Type not found)")</f>
        <v>18</v>
      </c>
      <c r="K746" s="3">
        <f>tbl_MTG_Set[[#This Row],[Released On]]+tbl_MTG_Set[[#This Row],[Buy Window Month Start]]*365.25/12</f>
        <v>40635.875</v>
      </c>
      <c r="L746">
        <f>_xlfn.XLOOKUP(tbl_MTG_Set[[#This Row],[Type Name]], tbl_MTG_Set_Type[Set Type], tbl_MTG_Set_Type[Buy Window Month End], "(Set Type not found)", 0, 1)</f>
        <v>24</v>
      </c>
      <c r="M746" s="3">
        <f>tbl_MTG_Set[[#This Row],[Released On]]+tbl_MTG_Set[[#This Row],[Buy Window Month End]]*365.25/12</f>
        <v>40818.5</v>
      </c>
      <c r="N746" s="3" t="b">
        <f ca="1">AND(NOW()&gt;=tbl_MTG_Set[[#This Row],[Buy Window Start]], NOW()&lt;=tbl_MTG_Set[[#This Row],[Buy Window End]])</f>
        <v>0</v>
      </c>
      <c r="O746">
        <f>_xlfn.XLOOKUP(tbl_MTG_Set[[#This Row],[Type Name]], tbl_MTG_Set_Type[Set Type], tbl_MTG_Set_Type[Heavy Printing Window Month Start], "(Set Type not found)", 0, 1)</f>
        <v>1</v>
      </c>
      <c r="P746" s="3">
        <f>tbl_MTG_Set[[#This Row],[Released On]]+tbl_MTG_Set[[#This Row],[Heavy Printing Window Month Start]]*365.25/12</f>
        <v>40118.4375</v>
      </c>
      <c r="Q746">
        <f>_xlfn.XLOOKUP(tbl_MTG_Set[[#This Row],[Type Name]], tbl_MTG_Set_Type[Set Type], tbl_MTG_Set_Type[Heavy Printing Window Month End], "(Set Type not found)", 0, 1)</f>
        <v>18</v>
      </c>
      <c r="R746" s="3">
        <f>tbl_MTG_Set[[#This Row],[Released On]]+tbl_MTG_Set[[#This Row],[Heavy Printing Window Month End]]*365.25/12</f>
        <v>40635.875</v>
      </c>
      <c r="S746" s="3" t="b">
        <f ca="1">AND(NOW()&gt;=tbl_MTG_Set[[#This Row],[Heavy Printing Window Start]], NOW()&lt;=tbl_MTG_Set[[#This Row],[Heavy Printing Window End]])</f>
        <v>0</v>
      </c>
      <c r="T746">
        <f>_xlfn.XLOOKUP(tbl_MTG_Set[[#This Row],[Type Name]], tbl_MTG_Set_Type[Set Type], tbl_MTG_Set_Type[Sell Window Month Start], "(Set Type not found)", 0, 1)</f>
        <v>36</v>
      </c>
      <c r="U746" s="3">
        <f>tbl_MTG_Set[[#This Row],[Released On]]+tbl_MTG_Set[[#This Row],[Sell Window Month Start]]*365.25/12</f>
        <v>41183.75</v>
      </c>
      <c r="V746">
        <f>_xlfn.XLOOKUP(tbl_MTG_Set[[#This Row],[Type Name]], tbl_MTG_Set_Type[Set Type], tbl_MTG_Set_Type[Sell Window Month End], "(Set Type not found)", 0, 1)</f>
        <v>48</v>
      </c>
      <c r="W746" s="3">
        <f>tbl_MTG_Set[[#This Row],[Released On]]+tbl_MTG_Set[[#This Row],[Sell Window Month End]]*365.25/12</f>
        <v>41549</v>
      </c>
      <c r="X746" s="3" t="b">
        <f ca="1">AND(NOW()&gt;=tbl_MTG_Set[[#This Row],[Sell Window Start]], NOW()&lt;=tbl_MTG_Set[[#This Row],[Sell Window End]])</f>
        <v>0</v>
      </c>
      <c r="AG746" s="10"/>
      <c r="AH746" s="10"/>
      <c r="AM746" s="10" t="str" cm="1">
        <f t="array" ref="AM7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6" s="10" t="str" cm="1">
        <f t="array" ref="AN7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6" s="4" t="e">
        <f>_xlfn.XLOOKUP(tbl_MTG_Set[[#This Row],[Play Booster Box Product Id]], tbl_Product[Product Id], tbl_Product[Pack Size])</f>
        <v>#N/A</v>
      </c>
      <c r="AP746" s="10" t="e">
        <f>(tbl_MTG_Set[[#This Row],[Play Booster Box Cost]]+v_Item_Shipping_Cost_In)/tbl_MTG_Set[[#This Row],[Play Booster Box Size]]</f>
        <v>#VALUE!</v>
      </c>
      <c r="AQ746" s="10" t="str" cm="1">
        <f t="array" ref="AQ7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6" s="10"/>
      <c r="AS746" s="10"/>
      <c r="AT746" s="17" t="e">
        <f>tbl_MTG_Set[[#This Row],[Play Booster CardMarket Profit]]/tbl_MTG_Set[[#This Row],[Play Booster Cost]]</f>
        <v>#VALUE!</v>
      </c>
      <c r="AU746" s="10" t="e">
        <f>_xlfn.XLOOKUP(tbl_MTG_Set[[#This Row],[Collector Booster Box Product Id]], tbl_Product[Product Id], tbl_Product[Min Cost])</f>
        <v>#N/A</v>
      </c>
      <c r="AV746" s="10" t="e">
        <f>_xlfn.XLOOKUP(tbl_MTG_Set[[#This Row],[Collector Booster Box Product Id]], tbl_Product[Product Id], tbl_Product[Best Source])</f>
        <v>#N/A</v>
      </c>
      <c r="AW746" s="4" t="e">
        <f>_xlfn.XLOOKUP(tbl_MTG_Set[[#This Row],[Collector Booster Box Product Id]], tbl_Product[Product Id], tbl_Product[Pack Size])</f>
        <v>#N/A</v>
      </c>
      <c r="AX746" s="10" t="e">
        <f>(tbl_MTG_Set[[#This Row],[Collector Booster Box Cost]] + v_Item_Shipping_Cost_In) / tbl_MTG_Set[[#This Row],[Collector Booster Box Size]]</f>
        <v>#N/A</v>
      </c>
      <c r="AY746" s="10" t="str" cm="1">
        <f t="array" ref="AY7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6" s="10"/>
      <c r="BA7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6" s="17" t="e">
        <f>tbl_MTG_Set[[#This Row],[Collector Booster CardMarket Profit]]/tbl_MTG_Set[[#This Row],[Collector Booster Cost]]</f>
        <v>#N/A</v>
      </c>
      <c r="BC746" s="10"/>
      <c r="BF7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6" s="11" t="e">
        <f>tbl_MTG_Set[[#This Row],[Play Singles CardMarket Profit MTG Stocks]]/tbl_MTG_Set[[#This Row],[Play Booster Cost]]</f>
        <v>#VALUE!</v>
      </c>
      <c r="BI746" s="11" t="b">
        <f>tbl_MTG_Set[[#This Row],[Play Singles CardMarket Profit MTG Stocks]]&gt;0</f>
        <v>0</v>
      </c>
      <c r="BM746" s="10" t="e">
        <f>tbl_MTG_Set[[#This Row],[Play Booster Sell Price CardMarket]]*tbl_MTG_Set[[#This Row],[Play Booster Expected Market Value BotBox]]/tbl_MTG_Set[[#This Row],[Play Booster Sealed Market Value BotBox]]</f>
        <v>#VALUE!</v>
      </c>
      <c r="BN7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6" s="10" t="e">
        <f>tbl_MTG_Set[[#This Row],[Play Singles CardMarket Profit BotBox]]/tbl_MTG_Set[[#This Row],[Play Booster Cost]]</f>
        <v>#VALUE!</v>
      </c>
      <c r="BP746" s="10" t="b">
        <f>tbl_MTG_Set[[#This Row],[Play Singles CardMarket Profit BotBox]]&gt;0</f>
        <v>0</v>
      </c>
      <c r="BQ746" s="10"/>
      <c r="BR746" s="10"/>
      <c r="BS746" s="10"/>
      <c r="BT7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6" s="19" t="e">
        <f>tbl_MTG_Set[[#This Row],[Collector Singles CardMarket Profit MTG Stocks]]/tbl_MTG_Set[[#This Row],[Collector Booster Cost]]</f>
        <v>#N/A</v>
      </c>
      <c r="BW746" s="10" t="b">
        <f>tbl_MTG_Set[[#This Row],[Collector Singles CardMarket Profit MTG Stocks]]&gt;0</f>
        <v>0</v>
      </c>
      <c r="BX746" s="10"/>
      <c r="BY746" s="10"/>
      <c r="BZ7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6" s="10" t="e">
        <f>tbl_MTG_Set[[#This Row],[Collector Singles CardMarket Profit BotBox]]/tbl_MTG_Set[[#This Row],[Collector Booster Cost]]</f>
        <v>#N/A</v>
      </c>
      <c r="CC746" s="10" t="b">
        <f>tbl_MTG_Set[[#This Row],[Collector Singles CardMarket Profit BotBox]]&gt;0</f>
        <v>0</v>
      </c>
      <c r="CD7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7" spans="1:86" hidden="1">
      <c r="A747">
        <v>779</v>
      </c>
      <c r="B747" t="s">
        <v>920</v>
      </c>
      <c r="C747">
        <v>230</v>
      </c>
      <c r="D747" s="3">
        <v>40063</v>
      </c>
      <c r="F747" t="s">
        <v>174</v>
      </c>
      <c r="G747">
        <v>1504</v>
      </c>
      <c r="H747">
        <f ca="1">MONTH(NOW())+12*YEAR(NOW())-MONTH(tbl_MTG_Set[[#This Row],[Released On]])-12*YEAR(tbl_MTG_Set[[#This Row],[Released On]])</f>
        <v>198</v>
      </c>
      <c r="I747" t="str">
        <f>_xlfn.XLOOKUP(tbl_MTG_Set[[#This Row],[Type Name]], tbl_MTG_Set_Type[Set Type], tbl_MTG_Set_Type[Index], "(Set Type not found)")</f>
        <v>(Set Type not found)</v>
      </c>
      <c r="J747" t="str">
        <f>_xlfn.XLOOKUP(tbl_MTG_Set[[#This Row],[Type Name]], tbl_MTG_Set_Type[Set Type], tbl_MTG_Set_Type[Buy Window Month Start], "(Set Type not found)")</f>
        <v>(Set Type not found)</v>
      </c>
      <c r="K747" s="3" t="e">
        <f>tbl_MTG_Set[[#This Row],[Released On]]+tbl_MTG_Set[[#This Row],[Buy Window Month Start]]*365.25/12</f>
        <v>#VALUE!</v>
      </c>
      <c r="L747" t="str">
        <f>_xlfn.XLOOKUP(tbl_MTG_Set[[#This Row],[Type Name]], tbl_MTG_Set_Type[Set Type], tbl_MTG_Set_Type[Buy Window Month End], "(Set Type not found)", 0, 1)</f>
        <v>(Set Type not found)</v>
      </c>
      <c r="M747" s="3" t="e">
        <f>tbl_MTG_Set[[#This Row],[Released On]]+tbl_MTG_Set[[#This Row],[Buy Window Month End]]*365.25/12</f>
        <v>#VALUE!</v>
      </c>
      <c r="N747" s="3" t="e">
        <f ca="1">AND(NOW()&gt;=tbl_MTG_Set[[#This Row],[Buy Window Start]], NOW()&lt;=tbl_MTG_Set[[#This Row],[Buy Window End]])</f>
        <v>#VALUE!</v>
      </c>
      <c r="O747" t="str">
        <f>_xlfn.XLOOKUP(tbl_MTG_Set[[#This Row],[Type Name]], tbl_MTG_Set_Type[Set Type], tbl_MTG_Set_Type[Heavy Printing Window Month Start], "(Set Type not found)", 0, 1)</f>
        <v>(Set Type not found)</v>
      </c>
      <c r="P747" s="3" t="e">
        <f>tbl_MTG_Set[[#This Row],[Released On]]+tbl_MTG_Set[[#This Row],[Heavy Printing Window Month Start]]*365.25/12</f>
        <v>#VALUE!</v>
      </c>
      <c r="Q747" t="str">
        <f>_xlfn.XLOOKUP(tbl_MTG_Set[[#This Row],[Type Name]], tbl_MTG_Set_Type[Set Type], tbl_MTG_Set_Type[Heavy Printing Window Month End], "(Set Type not found)", 0, 1)</f>
        <v>(Set Type not found)</v>
      </c>
      <c r="R747" s="3" t="e">
        <f>tbl_MTG_Set[[#This Row],[Released On]]+tbl_MTG_Set[[#This Row],[Heavy Printing Window Month End]]*365.25/12</f>
        <v>#VALUE!</v>
      </c>
      <c r="S747" s="3" t="e">
        <f ca="1">AND(NOW()&gt;=tbl_MTG_Set[[#This Row],[Heavy Printing Window Start]], NOW()&lt;=tbl_MTG_Set[[#This Row],[Heavy Printing Window End]])</f>
        <v>#VALUE!</v>
      </c>
      <c r="T747" t="str">
        <f>_xlfn.XLOOKUP(tbl_MTG_Set[[#This Row],[Type Name]], tbl_MTG_Set_Type[Set Type], tbl_MTG_Set_Type[Sell Window Month Start], "(Set Type not found)", 0, 1)</f>
        <v>(Set Type not found)</v>
      </c>
      <c r="U747" s="3" t="e">
        <f>tbl_MTG_Set[[#This Row],[Released On]]+tbl_MTG_Set[[#This Row],[Sell Window Month Start]]*365.25/12</f>
        <v>#VALUE!</v>
      </c>
      <c r="V747" t="str">
        <f>_xlfn.XLOOKUP(tbl_MTG_Set[[#This Row],[Type Name]], tbl_MTG_Set_Type[Set Type], tbl_MTG_Set_Type[Sell Window Month End], "(Set Type not found)", 0, 1)</f>
        <v>(Set Type not found)</v>
      </c>
      <c r="W747" s="3" t="e">
        <f>tbl_MTG_Set[[#This Row],[Released On]]+tbl_MTG_Set[[#This Row],[Sell Window Month End]]*365.25/12</f>
        <v>#VALUE!</v>
      </c>
      <c r="X747" s="3" t="e">
        <f ca="1">AND(NOW()&gt;=tbl_MTG_Set[[#This Row],[Sell Window Start]], NOW()&lt;=tbl_MTG_Set[[#This Row],[Sell Window End]])</f>
        <v>#VALUE!</v>
      </c>
      <c r="AG747" s="10"/>
      <c r="AH747" s="10"/>
      <c r="AM747" s="10" t="str" cm="1">
        <f t="array" ref="AM7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7" s="10" t="str" cm="1">
        <f t="array" ref="AN7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7" s="4" t="e">
        <f>_xlfn.XLOOKUP(tbl_MTG_Set[[#This Row],[Play Booster Box Product Id]], tbl_Product[Product Id], tbl_Product[Pack Size])</f>
        <v>#N/A</v>
      </c>
      <c r="AP747" s="10" t="e">
        <f>(tbl_MTG_Set[[#This Row],[Play Booster Box Cost]]+v_Item_Shipping_Cost_In)/tbl_MTG_Set[[#This Row],[Play Booster Box Size]]</f>
        <v>#VALUE!</v>
      </c>
      <c r="AQ747" s="10" t="str" cm="1">
        <f t="array" ref="AQ7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7" s="10"/>
      <c r="AS747" s="10"/>
      <c r="AT747" s="17" t="e">
        <f>tbl_MTG_Set[[#This Row],[Play Booster CardMarket Profit]]/tbl_MTG_Set[[#This Row],[Play Booster Cost]]</f>
        <v>#VALUE!</v>
      </c>
      <c r="AU747" s="10" t="e">
        <f>_xlfn.XLOOKUP(tbl_MTG_Set[[#This Row],[Collector Booster Box Product Id]], tbl_Product[Product Id], tbl_Product[Min Cost])</f>
        <v>#N/A</v>
      </c>
      <c r="AV747" s="10" t="e">
        <f>_xlfn.XLOOKUP(tbl_MTG_Set[[#This Row],[Collector Booster Box Product Id]], tbl_Product[Product Id], tbl_Product[Best Source])</f>
        <v>#N/A</v>
      </c>
      <c r="AW747" s="4" t="e">
        <f>_xlfn.XLOOKUP(tbl_MTG_Set[[#This Row],[Collector Booster Box Product Id]], tbl_Product[Product Id], tbl_Product[Pack Size])</f>
        <v>#N/A</v>
      </c>
      <c r="AX747" s="10" t="e">
        <f>(tbl_MTG_Set[[#This Row],[Collector Booster Box Cost]] + v_Item_Shipping_Cost_In) / tbl_MTG_Set[[#This Row],[Collector Booster Box Size]]</f>
        <v>#N/A</v>
      </c>
      <c r="AY747" s="10" t="str" cm="1">
        <f t="array" ref="AY7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7" s="10"/>
      <c r="BA7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7" s="17" t="e">
        <f>tbl_MTG_Set[[#This Row],[Collector Booster CardMarket Profit]]/tbl_MTG_Set[[#This Row],[Collector Booster Cost]]</f>
        <v>#N/A</v>
      </c>
      <c r="BC747" s="10"/>
      <c r="BF7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7" s="11" t="e">
        <f>tbl_MTG_Set[[#This Row],[Play Singles CardMarket Profit MTG Stocks]]/tbl_MTG_Set[[#This Row],[Play Booster Cost]]</f>
        <v>#VALUE!</v>
      </c>
      <c r="BI747" s="11" t="b">
        <f>tbl_MTG_Set[[#This Row],[Play Singles CardMarket Profit MTG Stocks]]&gt;0</f>
        <v>0</v>
      </c>
      <c r="BM747" s="10" t="e">
        <f>tbl_MTG_Set[[#This Row],[Play Booster Sell Price CardMarket]]*tbl_MTG_Set[[#This Row],[Play Booster Expected Market Value BotBox]]/tbl_MTG_Set[[#This Row],[Play Booster Sealed Market Value BotBox]]</f>
        <v>#VALUE!</v>
      </c>
      <c r="BN7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7" s="10" t="e">
        <f>tbl_MTG_Set[[#This Row],[Play Singles CardMarket Profit BotBox]]/tbl_MTG_Set[[#This Row],[Play Booster Cost]]</f>
        <v>#VALUE!</v>
      </c>
      <c r="BP747" s="10" t="b">
        <f>tbl_MTG_Set[[#This Row],[Play Singles CardMarket Profit BotBox]]&gt;0</f>
        <v>0</v>
      </c>
      <c r="BQ747" s="10"/>
      <c r="BR747" s="10"/>
      <c r="BS747" s="10"/>
      <c r="BT7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7" s="19" t="e">
        <f>tbl_MTG_Set[[#This Row],[Collector Singles CardMarket Profit MTG Stocks]]/tbl_MTG_Set[[#This Row],[Collector Booster Cost]]</f>
        <v>#N/A</v>
      </c>
      <c r="BW747" s="10" t="b">
        <f>tbl_MTG_Set[[#This Row],[Collector Singles CardMarket Profit MTG Stocks]]&gt;0</f>
        <v>0</v>
      </c>
      <c r="BX747" s="10"/>
      <c r="BY747" s="10"/>
      <c r="BZ7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7" s="10" t="e">
        <f>tbl_MTG_Set[[#This Row],[Collector Singles CardMarket Profit BotBox]]/tbl_MTG_Set[[#This Row],[Collector Booster Cost]]</f>
        <v>#N/A</v>
      </c>
      <c r="CC747" s="10" t="b">
        <f>tbl_MTG_Set[[#This Row],[Collector Singles CardMarket Profit BotBox]]&gt;0</f>
        <v>0</v>
      </c>
      <c r="CD7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8" spans="1:86" hidden="1">
      <c r="A748">
        <v>780</v>
      </c>
      <c r="B748" t="s">
        <v>921</v>
      </c>
      <c r="C748">
        <v>169</v>
      </c>
      <c r="D748" s="3">
        <v>40060</v>
      </c>
      <c r="F748" t="s">
        <v>174</v>
      </c>
      <c r="G748">
        <v>1506</v>
      </c>
      <c r="H748">
        <f ca="1">MONTH(NOW())+12*YEAR(NOW())-MONTH(tbl_MTG_Set[[#This Row],[Released On]])-12*YEAR(tbl_MTG_Set[[#This Row],[Released On]])</f>
        <v>198</v>
      </c>
      <c r="I748" t="str">
        <f>_xlfn.XLOOKUP(tbl_MTG_Set[[#This Row],[Type Name]], tbl_MTG_Set_Type[Set Type], tbl_MTG_Set_Type[Index], "(Set Type not found)")</f>
        <v>(Set Type not found)</v>
      </c>
      <c r="J748" t="str">
        <f>_xlfn.XLOOKUP(tbl_MTG_Set[[#This Row],[Type Name]], tbl_MTG_Set_Type[Set Type], tbl_MTG_Set_Type[Buy Window Month Start], "(Set Type not found)")</f>
        <v>(Set Type not found)</v>
      </c>
      <c r="K748" s="3" t="e">
        <f>tbl_MTG_Set[[#This Row],[Released On]]+tbl_MTG_Set[[#This Row],[Buy Window Month Start]]*365.25/12</f>
        <v>#VALUE!</v>
      </c>
      <c r="L748" t="str">
        <f>_xlfn.XLOOKUP(tbl_MTG_Set[[#This Row],[Type Name]], tbl_MTG_Set_Type[Set Type], tbl_MTG_Set_Type[Buy Window Month End], "(Set Type not found)", 0, 1)</f>
        <v>(Set Type not found)</v>
      </c>
      <c r="M748" s="3" t="e">
        <f>tbl_MTG_Set[[#This Row],[Released On]]+tbl_MTG_Set[[#This Row],[Buy Window Month End]]*365.25/12</f>
        <v>#VALUE!</v>
      </c>
      <c r="N748" s="3" t="e">
        <f ca="1">AND(NOW()&gt;=tbl_MTG_Set[[#This Row],[Buy Window Start]], NOW()&lt;=tbl_MTG_Set[[#This Row],[Buy Window End]])</f>
        <v>#VALUE!</v>
      </c>
      <c r="O748" t="str">
        <f>_xlfn.XLOOKUP(tbl_MTG_Set[[#This Row],[Type Name]], tbl_MTG_Set_Type[Set Type], tbl_MTG_Set_Type[Heavy Printing Window Month Start], "(Set Type not found)", 0, 1)</f>
        <v>(Set Type not found)</v>
      </c>
      <c r="P748" s="3" t="e">
        <f>tbl_MTG_Set[[#This Row],[Released On]]+tbl_MTG_Set[[#This Row],[Heavy Printing Window Month Start]]*365.25/12</f>
        <v>#VALUE!</v>
      </c>
      <c r="Q748" t="str">
        <f>_xlfn.XLOOKUP(tbl_MTG_Set[[#This Row],[Type Name]], tbl_MTG_Set_Type[Set Type], tbl_MTG_Set_Type[Heavy Printing Window Month End], "(Set Type not found)", 0, 1)</f>
        <v>(Set Type not found)</v>
      </c>
      <c r="R748" s="3" t="e">
        <f>tbl_MTG_Set[[#This Row],[Released On]]+tbl_MTG_Set[[#This Row],[Heavy Printing Window Month End]]*365.25/12</f>
        <v>#VALUE!</v>
      </c>
      <c r="S748" s="3" t="e">
        <f ca="1">AND(NOW()&gt;=tbl_MTG_Set[[#This Row],[Heavy Printing Window Start]], NOW()&lt;=tbl_MTG_Set[[#This Row],[Heavy Printing Window End]])</f>
        <v>#VALUE!</v>
      </c>
      <c r="T748" t="str">
        <f>_xlfn.XLOOKUP(tbl_MTG_Set[[#This Row],[Type Name]], tbl_MTG_Set_Type[Set Type], tbl_MTG_Set_Type[Sell Window Month Start], "(Set Type not found)", 0, 1)</f>
        <v>(Set Type not found)</v>
      </c>
      <c r="U748" s="3" t="e">
        <f>tbl_MTG_Set[[#This Row],[Released On]]+tbl_MTG_Set[[#This Row],[Sell Window Month Start]]*365.25/12</f>
        <v>#VALUE!</v>
      </c>
      <c r="V748" t="str">
        <f>_xlfn.XLOOKUP(tbl_MTG_Set[[#This Row],[Type Name]], tbl_MTG_Set_Type[Set Type], tbl_MTG_Set_Type[Sell Window Month End], "(Set Type not found)", 0, 1)</f>
        <v>(Set Type not found)</v>
      </c>
      <c r="W748" s="3" t="e">
        <f>tbl_MTG_Set[[#This Row],[Released On]]+tbl_MTG_Set[[#This Row],[Sell Window Month End]]*365.25/12</f>
        <v>#VALUE!</v>
      </c>
      <c r="X748" s="3" t="e">
        <f ca="1">AND(NOW()&gt;=tbl_MTG_Set[[#This Row],[Sell Window Start]], NOW()&lt;=tbl_MTG_Set[[#This Row],[Sell Window End]])</f>
        <v>#VALUE!</v>
      </c>
      <c r="AG748" s="10"/>
      <c r="AH748" s="10"/>
      <c r="AM748" s="10" t="str" cm="1">
        <f t="array" ref="AM7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8" s="10" t="str" cm="1">
        <f t="array" ref="AN7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8" s="4" t="e">
        <f>_xlfn.XLOOKUP(tbl_MTG_Set[[#This Row],[Play Booster Box Product Id]], tbl_Product[Product Id], tbl_Product[Pack Size])</f>
        <v>#N/A</v>
      </c>
      <c r="AP748" s="10" t="e">
        <f>(tbl_MTG_Set[[#This Row],[Play Booster Box Cost]]+v_Item_Shipping_Cost_In)/tbl_MTG_Set[[#This Row],[Play Booster Box Size]]</f>
        <v>#VALUE!</v>
      </c>
      <c r="AQ748" s="10" t="str" cm="1">
        <f t="array" ref="AQ7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8" s="10"/>
      <c r="AS748" s="10"/>
      <c r="AT748" s="17" t="e">
        <f>tbl_MTG_Set[[#This Row],[Play Booster CardMarket Profit]]/tbl_MTG_Set[[#This Row],[Play Booster Cost]]</f>
        <v>#VALUE!</v>
      </c>
      <c r="AU748" s="10" t="e">
        <f>_xlfn.XLOOKUP(tbl_MTG_Set[[#This Row],[Collector Booster Box Product Id]], tbl_Product[Product Id], tbl_Product[Min Cost])</f>
        <v>#N/A</v>
      </c>
      <c r="AV748" s="10" t="e">
        <f>_xlfn.XLOOKUP(tbl_MTG_Set[[#This Row],[Collector Booster Box Product Id]], tbl_Product[Product Id], tbl_Product[Best Source])</f>
        <v>#N/A</v>
      </c>
      <c r="AW748" s="4" t="e">
        <f>_xlfn.XLOOKUP(tbl_MTG_Set[[#This Row],[Collector Booster Box Product Id]], tbl_Product[Product Id], tbl_Product[Pack Size])</f>
        <v>#N/A</v>
      </c>
      <c r="AX748" s="10" t="e">
        <f>(tbl_MTG_Set[[#This Row],[Collector Booster Box Cost]] + v_Item_Shipping_Cost_In) / tbl_MTG_Set[[#This Row],[Collector Booster Box Size]]</f>
        <v>#N/A</v>
      </c>
      <c r="AY748" s="10" t="str" cm="1">
        <f t="array" ref="AY7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8" s="10"/>
      <c r="BA7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8" s="17" t="e">
        <f>tbl_MTG_Set[[#This Row],[Collector Booster CardMarket Profit]]/tbl_MTG_Set[[#This Row],[Collector Booster Cost]]</f>
        <v>#N/A</v>
      </c>
      <c r="BC748" s="10"/>
      <c r="BF7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8" s="11" t="e">
        <f>tbl_MTG_Set[[#This Row],[Play Singles CardMarket Profit MTG Stocks]]/tbl_MTG_Set[[#This Row],[Play Booster Cost]]</f>
        <v>#VALUE!</v>
      </c>
      <c r="BI748" s="11" t="b">
        <f>tbl_MTG_Set[[#This Row],[Play Singles CardMarket Profit MTG Stocks]]&gt;0</f>
        <v>0</v>
      </c>
      <c r="BM748" s="10" t="e">
        <f>tbl_MTG_Set[[#This Row],[Play Booster Sell Price CardMarket]]*tbl_MTG_Set[[#This Row],[Play Booster Expected Market Value BotBox]]/tbl_MTG_Set[[#This Row],[Play Booster Sealed Market Value BotBox]]</f>
        <v>#VALUE!</v>
      </c>
      <c r="BN7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8" s="10" t="e">
        <f>tbl_MTG_Set[[#This Row],[Play Singles CardMarket Profit BotBox]]/tbl_MTG_Set[[#This Row],[Play Booster Cost]]</f>
        <v>#VALUE!</v>
      </c>
      <c r="BP748" s="10" t="b">
        <f>tbl_MTG_Set[[#This Row],[Play Singles CardMarket Profit BotBox]]&gt;0</f>
        <v>0</v>
      </c>
      <c r="BQ748" s="10"/>
      <c r="BR748" s="10"/>
      <c r="BS748" s="10"/>
      <c r="BT7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8" s="19" t="e">
        <f>tbl_MTG_Set[[#This Row],[Collector Singles CardMarket Profit MTG Stocks]]/tbl_MTG_Set[[#This Row],[Collector Booster Cost]]</f>
        <v>#N/A</v>
      </c>
      <c r="BW748" s="10" t="b">
        <f>tbl_MTG_Set[[#This Row],[Collector Singles CardMarket Profit MTG Stocks]]&gt;0</f>
        <v>0</v>
      </c>
      <c r="BX748" s="10"/>
      <c r="BY748" s="10"/>
      <c r="BZ7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8" s="10" t="e">
        <f>tbl_MTG_Set[[#This Row],[Collector Singles CardMarket Profit BotBox]]/tbl_MTG_Set[[#This Row],[Collector Booster Cost]]</f>
        <v>#N/A</v>
      </c>
      <c r="CC748" s="10" t="b">
        <f>tbl_MTG_Set[[#This Row],[Collector Singles CardMarket Profit BotBox]]&gt;0</f>
        <v>0</v>
      </c>
      <c r="CD7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49" spans="1:86" hidden="1">
      <c r="A749">
        <v>781</v>
      </c>
      <c r="B749" t="s">
        <v>922</v>
      </c>
      <c r="C749">
        <v>1</v>
      </c>
      <c r="D749" s="3">
        <v>40060</v>
      </c>
      <c r="F749" t="s">
        <v>174</v>
      </c>
      <c r="G749">
        <v>1508</v>
      </c>
      <c r="H749">
        <f ca="1">MONTH(NOW())+12*YEAR(NOW())-MONTH(tbl_MTG_Set[[#This Row],[Released On]])-12*YEAR(tbl_MTG_Set[[#This Row],[Released On]])</f>
        <v>198</v>
      </c>
      <c r="I749" t="str">
        <f>_xlfn.XLOOKUP(tbl_MTG_Set[[#This Row],[Type Name]], tbl_MTG_Set_Type[Set Type], tbl_MTG_Set_Type[Index], "(Set Type not found)")</f>
        <v>(Set Type not found)</v>
      </c>
      <c r="J749" t="str">
        <f>_xlfn.XLOOKUP(tbl_MTG_Set[[#This Row],[Type Name]], tbl_MTG_Set_Type[Set Type], tbl_MTG_Set_Type[Buy Window Month Start], "(Set Type not found)")</f>
        <v>(Set Type not found)</v>
      </c>
      <c r="K749" s="3" t="e">
        <f>tbl_MTG_Set[[#This Row],[Released On]]+tbl_MTG_Set[[#This Row],[Buy Window Month Start]]*365.25/12</f>
        <v>#VALUE!</v>
      </c>
      <c r="L749" t="str">
        <f>_xlfn.XLOOKUP(tbl_MTG_Set[[#This Row],[Type Name]], tbl_MTG_Set_Type[Set Type], tbl_MTG_Set_Type[Buy Window Month End], "(Set Type not found)", 0, 1)</f>
        <v>(Set Type not found)</v>
      </c>
      <c r="M749" s="3" t="e">
        <f>tbl_MTG_Set[[#This Row],[Released On]]+tbl_MTG_Set[[#This Row],[Buy Window Month End]]*365.25/12</f>
        <v>#VALUE!</v>
      </c>
      <c r="N749" s="3" t="e">
        <f ca="1">AND(NOW()&gt;=tbl_MTG_Set[[#This Row],[Buy Window Start]], NOW()&lt;=tbl_MTG_Set[[#This Row],[Buy Window End]])</f>
        <v>#VALUE!</v>
      </c>
      <c r="O749" t="str">
        <f>_xlfn.XLOOKUP(tbl_MTG_Set[[#This Row],[Type Name]], tbl_MTG_Set_Type[Set Type], tbl_MTG_Set_Type[Heavy Printing Window Month Start], "(Set Type not found)", 0, 1)</f>
        <v>(Set Type not found)</v>
      </c>
      <c r="P749" s="3" t="e">
        <f>tbl_MTG_Set[[#This Row],[Released On]]+tbl_MTG_Set[[#This Row],[Heavy Printing Window Month Start]]*365.25/12</f>
        <v>#VALUE!</v>
      </c>
      <c r="Q749" t="str">
        <f>_xlfn.XLOOKUP(tbl_MTG_Set[[#This Row],[Type Name]], tbl_MTG_Set_Type[Set Type], tbl_MTG_Set_Type[Heavy Printing Window Month End], "(Set Type not found)", 0, 1)</f>
        <v>(Set Type not found)</v>
      </c>
      <c r="R749" s="3" t="e">
        <f>tbl_MTG_Set[[#This Row],[Released On]]+tbl_MTG_Set[[#This Row],[Heavy Printing Window Month End]]*365.25/12</f>
        <v>#VALUE!</v>
      </c>
      <c r="S749" s="3" t="e">
        <f ca="1">AND(NOW()&gt;=tbl_MTG_Set[[#This Row],[Heavy Printing Window Start]], NOW()&lt;=tbl_MTG_Set[[#This Row],[Heavy Printing Window End]])</f>
        <v>#VALUE!</v>
      </c>
      <c r="T749" t="str">
        <f>_xlfn.XLOOKUP(tbl_MTG_Set[[#This Row],[Type Name]], tbl_MTG_Set_Type[Set Type], tbl_MTG_Set_Type[Sell Window Month Start], "(Set Type not found)", 0, 1)</f>
        <v>(Set Type not found)</v>
      </c>
      <c r="U749" s="3" t="e">
        <f>tbl_MTG_Set[[#This Row],[Released On]]+tbl_MTG_Set[[#This Row],[Sell Window Month Start]]*365.25/12</f>
        <v>#VALUE!</v>
      </c>
      <c r="V749" t="str">
        <f>_xlfn.XLOOKUP(tbl_MTG_Set[[#This Row],[Type Name]], tbl_MTG_Set_Type[Set Type], tbl_MTG_Set_Type[Sell Window Month End], "(Set Type not found)", 0, 1)</f>
        <v>(Set Type not found)</v>
      </c>
      <c r="W749" s="3" t="e">
        <f>tbl_MTG_Set[[#This Row],[Released On]]+tbl_MTG_Set[[#This Row],[Sell Window Month End]]*365.25/12</f>
        <v>#VALUE!</v>
      </c>
      <c r="X749" s="3" t="e">
        <f ca="1">AND(NOW()&gt;=tbl_MTG_Set[[#This Row],[Sell Window Start]], NOW()&lt;=tbl_MTG_Set[[#This Row],[Sell Window End]])</f>
        <v>#VALUE!</v>
      </c>
      <c r="AG749" s="10"/>
      <c r="AH749" s="10"/>
      <c r="AM749" s="10" t="str" cm="1">
        <f t="array" ref="AM7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49" s="10" t="str" cm="1">
        <f t="array" ref="AN7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49" s="4" t="e">
        <f>_xlfn.XLOOKUP(tbl_MTG_Set[[#This Row],[Play Booster Box Product Id]], tbl_Product[Product Id], tbl_Product[Pack Size])</f>
        <v>#N/A</v>
      </c>
      <c r="AP749" s="10" t="e">
        <f>(tbl_MTG_Set[[#This Row],[Play Booster Box Cost]]+v_Item_Shipping_Cost_In)/tbl_MTG_Set[[#This Row],[Play Booster Box Size]]</f>
        <v>#VALUE!</v>
      </c>
      <c r="AQ749" s="10" t="str" cm="1">
        <f t="array" ref="AQ7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49" s="10"/>
      <c r="AS749" s="10"/>
      <c r="AT749" s="17" t="e">
        <f>tbl_MTG_Set[[#This Row],[Play Booster CardMarket Profit]]/tbl_MTG_Set[[#This Row],[Play Booster Cost]]</f>
        <v>#VALUE!</v>
      </c>
      <c r="AU749" s="10" t="e">
        <f>_xlfn.XLOOKUP(tbl_MTG_Set[[#This Row],[Collector Booster Box Product Id]], tbl_Product[Product Id], tbl_Product[Min Cost])</f>
        <v>#N/A</v>
      </c>
      <c r="AV749" s="10" t="e">
        <f>_xlfn.XLOOKUP(tbl_MTG_Set[[#This Row],[Collector Booster Box Product Id]], tbl_Product[Product Id], tbl_Product[Best Source])</f>
        <v>#N/A</v>
      </c>
      <c r="AW749" s="4" t="e">
        <f>_xlfn.XLOOKUP(tbl_MTG_Set[[#This Row],[Collector Booster Box Product Id]], tbl_Product[Product Id], tbl_Product[Pack Size])</f>
        <v>#N/A</v>
      </c>
      <c r="AX749" s="10" t="e">
        <f>(tbl_MTG_Set[[#This Row],[Collector Booster Box Cost]] + v_Item_Shipping_Cost_In) / tbl_MTG_Set[[#This Row],[Collector Booster Box Size]]</f>
        <v>#N/A</v>
      </c>
      <c r="AY749" s="10" t="str" cm="1">
        <f t="array" ref="AY7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49" s="10"/>
      <c r="BA7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49" s="17" t="e">
        <f>tbl_MTG_Set[[#This Row],[Collector Booster CardMarket Profit]]/tbl_MTG_Set[[#This Row],[Collector Booster Cost]]</f>
        <v>#N/A</v>
      </c>
      <c r="BC749" s="10"/>
      <c r="BF7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49" s="11" t="e">
        <f>tbl_MTG_Set[[#This Row],[Play Singles CardMarket Profit MTG Stocks]]/tbl_MTG_Set[[#This Row],[Play Booster Cost]]</f>
        <v>#VALUE!</v>
      </c>
      <c r="BI749" s="11" t="b">
        <f>tbl_MTG_Set[[#This Row],[Play Singles CardMarket Profit MTG Stocks]]&gt;0</f>
        <v>0</v>
      </c>
      <c r="BM749" s="10" t="e">
        <f>tbl_MTG_Set[[#This Row],[Play Booster Sell Price CardMarket]]*tbl_MTG_Set[[#This Row],[Play Booster Expected Market Value BotBox]]/tbl_MTG_Set[[#This Row],[Play Booster Sealed Market Value BotBox]]</f>
        <v>#VALUE!</v>
      </c>
      <c r="BN7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49" s="10" t="e">
        <f>tbl_MTG_Set[[#This Row],[Play Singles CardMarket Profit BotBox]]/tbl_MTG_Set[[#This Row],[Play Booster Cost]]</f>
        <v>#VALUE!</v>
      </c>
      <c r="BP749" s="10" t="b">
        <f>tbl_MTG_Set[[#This Row],[Play Singles CardMarket Profit BotBox]]&gt;0</f>
        <v>0</v>
      </c>
      <c r="BQ749" s="10"/>
      <c r="BR749" s="10"/>
      <c r="BS749" s="10"/>
      <c r="BT7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49" s="19" t="e">
        <f>tbl_MTG_Set[[#This Row],[Collector Singles CardMarket Profit MTG Stocks]]/tbl_MTG_Set[[#This Row],[Collector Booster Cost]]</f>
        <v>#N/A</v>
      </c>
      <c r="BW749" s="10" t="b">
        <f>tbl_MTG_Set[[#This Row],[Collector Singles CardMarket Profit MTG Stocks]]&gt;0</f>
        <v>0</v>
      </c>
      <c r="BX749" s="10"/>
      <c r="BY749" s="10"/>
      <c r="BZ7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49" s="10" t="e">
        <f>tbl_MTG_Set[[#This Row],[Collector Singles CardMarket Profit BotBox]]/tbl_MTG_Set[[#This Row],[Collector Booster Cost]]</f>
        <v>#N/A</v>
      </c>
      <c r="CC749" s="10" t="b">
        <f>tbl_MTG_Set[[#This Row],[Collector Singles CardMarket Profit BotBox]]&gt;0</f>
        <v>0</v>
      </c>
      <c r="CD7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0" spans="1:86" hidden="1">
      <c r="A750">
        <v>782</v>
      </c>
      <c r="B750" t="s">
        <v>923</v>
      </c>
      <c r="C750">
        <v>40</v>
      </c>
      <c r="D750" s="3">
        <v>40060</v>
      </c>
      <c r="F750" t="s">
        <v>174</v>
      </c>
      <c r="G750">
        <v>1510</v>
      </c>
      <c r="H750">
        <f ca="1">MONTH(NOW())+12*YEAR(NOW())-MONTH(tbl_MTG_Set[[#This Row],[Released On]])-12*YEAR(tbl_MTG_Set[[#This Row],[Released On]])</f>
        <v>198</v>
      </c>
      <c r="I750" t="str">
        <f>_xlfn.XLOOKUP(tbl_MTG_Set[[#This Row],[Type Name]], tbl_MTG_Set_Type[Set Type], tbl_MTG_Set_Type[Index], "(Set Type not found)")</f>
        <v>(Set Type not found)</v>
      </c>
      <c r="J750" t="str">
        <f>_xlfn.XLOOKUP(tbl_MTG_Set[[#This Row],[Type Name]], tbl_MTG_Set_Type[Set Type], tbl_MTG_Set_Type[Buy Window Month Start], "(Set Type not found)")</f>
        <v>(Set Type not found)</v>
      </c>
      <c r="K750" s="3" t="e">
        <f>tbl_MTG_Set[[#This Row],[Released On]]+tbl_MTG_Set[[#This Row],[Buy Window Month Start]]*365.25/12</f>
        <v>#VALUE!</v>
      </c>
      <c r="L750" t="str">
        <f>_xlfn.XLOOKUP(tbl_MTG_Set[[#This Row],[Type Name]], tbl_MTG_Set_Type[Set Type], tbl_MTG_Set_Type[Buy Window Month End], "(Set Type not found)", 0, 1)</f>
        <v>(Set Type not found)</v>
      </c>
      <c r="M750" s="3" t="e">
        <f>tbl_MTG_Set[[#This Row],[Released On]]+tbl_MTG_Set[[#This Row],[Buy Window Month End]]*365.25/12</f>
        <v>#VALUE!</v>
      </c>
      <c r="N750" s="3" t="e">
        <f ca="1">AND(NOW()&gt;=tbl_MTG_Set[[#This Row],[Buy Window Start]], NOW()&lt;=tbl_MTG_Set[[#This Row],[Buy Window End]])</f>
        <v>#VALUE!</v>
      </c>
      <c r="O750" t="str">
        <f>_xlfn.XLOOKUP(tbl_MTG_Set[[#This Row],[Type Name]], tbl_MTG_Set_Type[Set Type], tbl_MTG_Set_Type[Heavy Printing Window Month Start], "(Set Type not found)", 0, 1)</f>
        <v>(Set Type not found)</v>
      </c>
      <c r="P750" s="3" t="e">
        <f>tbl_MTG_Set[[#This Row],[Released On]]+tbl_MTG_Set[[#This Row],[Heavy Printing Window Month Start]]*365.25/12</f>
        <v>#VALUE!</v>
      </c>
      <c r="Q750" t="str">
        <f>_xlfn.XLOOKUP(tbl_MTG_Set[[#This Row],[Type Name]], tbl_MTG_Set_Type[Set Type], tbl_MTG_Set_Type[Heavy Printing Window Month End], "(Set Type not found)", 0, 1)</f>
        <v>(Set Type not found)</v>
      </c>
      <c r="R750" s="3" t="e">
        <f>tbl_MTG_Set[[#This Row],[Released On]]+tbl_MTG_Set[[#This Row],[Heavy Printing Window Month End]]*365.25/12</f>
        <v>#VALUE!</v>
      </c>
      <c r="S750" s="3" t="e">
        <f ca="1">AND(NOW()&gt;=tbl_MTG_Set[[#This Row],[Heavy Printing Window Start]], NOW()&lt;=tbl_MTG_Set[[#This Row],[Heavy Printing Window End]])</f>
        <v>#VALUE!</v>
      </c>
      <c r="T750" t="str">
        <f>_xlfn.XLOOKUP(tbl_MTG_Set[[#This Row],[Type Name]], tbl_MTG_Set_Type[Set Type], tbl_MTG_Set_Type[Sell Window Month Start], "(Set Type not found)", 0, 1)</f>
        <v>(Set Type not found)</v>
      </c>
      <c r="U750" s="3" t="e">
        <f>tbl_MTG_Set[[#This Row],[Released On]]+tbl_MTG_Set[[#This Row],[Sell Window Month Start]]*365.25/12</f>
        <v>#VALUE!</v>
      </c>
      <c r="V750" t="str">
        <f>_xlfn.XLOOKUP(tbl_MTG_Set[[#This Row],[Type Name]], tbl_MTG_Set_Type[Set Type], tbl_MTG_Set_Type[Sell Window Month End], "(Set Type not found)", 0, 1)</f>
        <v>(Set Type not found)</v>
      </c>
      <c r="W750" s="3" t="e">
        <f>tbl_MTG_Set[[#This Row],[Released On]]+tbl_MTG_Set[[#This Row],[Sell Window Month End]]*365.25/12</f>
        <v>#VALUE!</v>
      </c>
      <c r="X750" s="3" t="e">
        <f ca="1">AND(NOW()&gt;=tbl_MTG_Set[[#This Row],[Sell Window Start]], NOW()&lt;=tbl_MTG_Set[[#This Row],[Sell Window End]])</f>
        <v>#VALUE!</v>
      </c>
      <c r="AG750" s="10"/>
      <c r="AH750" s="10"/>
      <c r="AM750" s="10" t="str" cm="1">
        <f t="array" ref="AM7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0" s="10" t="str" cm="1">
        <f t="array" ref="AN7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0" s="4" t="e">
        <f>_xlfn.XLOOKUP(tbl_MTG_Set[[#This Row],[Play Booster Box Product Id]], tbl_Product[Product Id], tbl_Product[Pack Size])</f>
        <v>#N/A</v>
      </c>
      <c r="AP750" s="10" t="e">
        <f>(tbl_MTG_Set[[#This Row],[Play Booster Box Cost]]+v_Item_Shipping_Cost_In)/tbl_MTG_Set[[#This Row],[Play Booster Box Size]]</f>
        <v>#VALUE!</v>
      </c>
      <c r="AQ750" s="10" t="str" cm="1">
        <f t="array" ref="AQ7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0" s="10"/>
      <c r="AS750" s="10"/>
      <c r="AT750" s="17" t="e">
        <f>tbl_MTG_Set[[#This Row],[Play Booster CardMarket Profit]]/tbl_MTG_Set[[#This Row],[Play Booster Cost]]</f>
        <v>#VALUE!</v>
      </c>
      <c r="AU750" s="10" t="e">
        <f>_xlfn.XLOOKUP(tbl_MTG_Set[[#This Row],[Collector Booster Box Product Id]], tbl_Product[Product Id], tbl_Product[Min Cost])</f>
        <v>#N/A</v>
      </c>
      <c r="AV750" s="10" t="e">
        <f>_xlfn.XLOOKUP(tbl_MTG_Set[[#This Row],[Collector Booster Box Product Id]], tbl_Product[Product Id], tbl_Product[Best Source])</f>
        <v>#N/A</v>
      </c>
      <c r="AW750" s="4" t="e">
        <f>_xlfn.XLOOKUP(tbl_MTG_Set[[#This Row],[Collector Booster Box Product Id]], tbl_Product[Product Id], tbl_Product[Pack Size])</f>
        <v>#N/A</v>
      </c>
      <c r="AX750" s="10" t="e">
        <f>(tbl_MTG_Set[[#This Row],[Collector Booster Box Cost]] + v_Item_Shipping_Cost_In) / tbl_MTG_Set[[#This Row],[Collector Booster Box Size]]</f>
        <v>#N/A</v>
      </c>
      <c r="AY750" s="10" t="str" cm="1">
        <f t="array" ref="AY7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0" s="10"/>
      <c r="BA7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0" s="17" t="e">
        <f>tbl_MTG_Set[[#This Row],[Collector Booster CardMarket Profit]]/tbl_MTG_Set[[#This Row],[Collector Booster Cost]]</f>
        <v>#N/A</v>
      </c>
      <c r="BC750" s="10"/>
      <c r="BF7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0" s="11" t="e">
        <f>tbl_MTG_Set[[#This Row],[Play Singles CardMarket Profit MTG Stocks]]/tbl_MTG_Set[[#This Row],[Play Booster Cost]]</f>
        <v>#VALUE!</v>
      </c>
      <c r="BI750" s="11" t="b">
        <f>tbl_MTG_Set[[#This Row],[Play Singles CardMarket Profit MTG Stocks]]&gt;0</f>
        <v>0</v>
      </c>
      <c r="BM750" s="10" t="e">
        <f>tbl_MTG_Set[[#This Row],[Play Booster Sell Price CardMarket]]*tbl_MTG_Set[[#This Row],[Play Booster Expected Market Value BotBox]]/tbl_MTG_Set[[#This Row],[Play Booster Sealed Market Value BotBox]]</f>
        <v>#VALUE!</v>
      </c>
      <c r="BN7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0" s="10" t="e">
        <f>tbl_MTG_Set[[#This Row],[Play Singles CardMarket Profit BotBox]]/tbl_MTG_Set[[#This Row],[Play Booster Cost]]</f>
        <v>#VALUE!</v>
      </c>
      <c r="BP750" s="10" t="b">
        <f>tbl_MTG_Set[[#This Row],[Play Singles CardMarket Profit BotBox]]&gt;0</f>
        <v>0</v>
      </c>
      <c r="BQ750" s="10"/>
      <c r="BR750" s="10"/>
      <c r="BS750" s="10"/>
      <c r="BT7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0" s="19" t="e">
        <f>tbl_MTG_Set[[#This Row],[Collector Singles CardMarket Profit MTG Stocks]]/tbl_MTG_Set[[#This Row],[Collector Booster Cost]]</f>
        <v>#N/A</v>
      </c>
      <c r="BW750" s="10" t="b">
        <f>tbl_MTG_Set[[#This Row],[Collector Singles CardMarket Profit MTG Stocks]]&gt;0</f>
        <v>0</v>
      </c>
      <c r="BX750" s="10"/>
      <c r="BY750" s="10"/>
      <c r="BZ7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0" s="10" t="e">
        <f>tbl_MTG_Set[[#This Row],[Collector Singles CardMarket Profit BotBox]]/tbl_MTG_Set[[#This Row],[Collector Booster Cost]]</f>
        <v>#N/A</v>
      </c>
      <c r="CC750" s="10" t="b">
        <f>tbl_MTG_Set[[#This Row],[Collector Singles CardMarket Profit BotBox]]&gt;0</f>
        <v>0</v>
      </c>
      <c r="CD7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1" spans="1:86" hidden="1">
      <c r="A751">
        <v>783</v>
      </c>
      <c r="B751" t="s">
        <v>924</v>
      </c>
      <c r="C751">
        <v>15</v>
      </c>
      <c r="D751" s="3">
        <v>40053</v>
      </c>
      <c r="F751" t="s">
        <v>174</v>
      </c>
      <c r="G751">
        <v>1512</v>
      </c>
      <c r="H751">
        <f ca="1">MONTH(NOW())+12*YEAR(NOW())-MONTH(tbl_MTG_Set[[#This Row],[Released On]])-12*YEAR(tbl_MTG_Set[[#This Row],[Released On]])</f>
        <v>199</v>
      </c>
      <c r="I751" t="str">
        <f>_xlfn.XLOOKUP(tbl_MTG_Set[[#This Row],[Type Name]], tbl_MTG_Set_Type[Set Type], tbl_MTG_Set_Type[Index], "(Set Type not found)")</f>
        <v>(Set Type not found)</v>
      </c>
      <c r="J751" t="str">
        <f>_xlfn.XLOOKUP(tbl_MTG_Set[[#This Row],[Type Name]], tbl_MTG_Set_Type[Set Type], tbl_MTG_Set_Type[Buy Window Month Start], "(Set Type not found)")</f>
        <v>(Set Type not found)</v>
      </c>
      <c r="K751" s="3" t="e">
        <f>tbl_MTG_Set[[#This Row],[Released On]]+tbl_MTG_Set[[#This Row],[Buy Window Month Start]]*365.25/12</f>
        <v>#VALUE!</v>
      </c>
      <c r="L751" t="str">
        <f>_xlfn.XLOOKUP(tbl_MTG_Set[[#This Row],[Type Name]], tbl_MTG_Set_Type[Set Type], tbl_MTG_Set_Type[Buy Window Month End], "(Set Type not found)", 0, 1)</f>
        <v>(Set Type not found)</v>
      </c>
      <c r="M751" s="3" t="e">
        <f>tbl_MTG_Set[[#This Row],[Released On]]+tbl_MTG_Set[[#This Row],[Buy Window Month End]]*365.25/12</f>
        <v>#VALUE!</v>
      </c>
      <c r="N751" s="3" t="e">
        <f ca="1">AND(NOW()&gt;=tbl_MTG_Set[[#This Row],[Buy Window Start]], NOW()&lt;=tbl_MTG_Set[[#This Row],[Buy Window End]])</f>
        <v>#VALUE!</v>
      </c>
      <c r="O751" t="str">
        <f>_xlfn.XLOOKUP(tbl_MTG_Set[[#This Row],[Type Name]], tbl_MTG_Set_Type[Set Type], tbl_MTG_Set_Type[Heavy Printing Window Month Start], "(Set Type not found)", 0, 1)</f>
        <v>(Set Type not found)</v>
      </c>
      <c r="P751" s="3" t="e">
        <f>tbl_MTG_Set[[#This Row],[Released On]]+tbl_MTG_Set[[#This Row],[Heavy Printing Window Month Start]]*365.25/12</f>
        <v>#VALUE!</v>
      </c>
      <c r="Q751" t="str">
        <f>_xlfn.XLOOKUP(tbl_MTG_Set[[#This Row],[Type Name]], tbl_MTG_Set_Type[Set Type], tbl_MTG_Set_Type[Heavy Printing Window Month End], "(Set Type not found)", 0, 1)</f>
        <v>(Set Type not found)</v>
      </c>
      <c r="R751" s="3" t="e">
        <f>tbl_MTG_Set[[#This Row],[Released On]]+tbl_MTG_Set[[#This Row],[Heavy Printing Window Month End]]*365.25/12</f>
        <v>#VALUE!</v>
      </c>
      <c r="S751" s="3" t="e">
        <f ca="1">AND(NOW()&gt;=tbl_MTG_Set[[#This Row],[Heavy Printing Window Start]], NOW()&lt;=tbl_MTG_Set[[#This Row],[Heavy Printing Window End]])</f>
        <v>#VALUE!</v>
      </c>
      <c r="T751" t="str">
        <f>_xlfn.XLOOKUP(tbl_MTG_Set[[#This Row],[Type Name]], tbl_MTG_Set_Type[Set Type], tbl_MTG_Set_Type[Sell Window Month Start], "(Set Type not found)", 0, 1)</f>
        <v>(Set Type not found)</v>
      </c>
      <c r="U751" s="3" t="e">
        <f>tbl_MTG_Set[[#This Row],[Released On]]+tbl_MTG_Set[[#This Row],[Sell Window Month Start]]*365.25/12</f>
        <v>#VALUE!</v>
      </c>
      <c r="V751" t="str">
        <f>_xlfn.XLOOKUP(tbl_MTG_Set[[#This Row],[Type Name]], tbl_MTG_Set_Type[Set Type], tbl_MTG_Set_Type[Sell Window Month End], "(Set Type not found)", 0, 1)</f>
        <v>(Set Type not found)</v>
      </c>
      <c r="W751" s="3" t="e">
        <f>tbl_MTG_Set[[#This Row],[Released On]]+tbl_MTG_Set[[#This Row],[Sell Window Month End]]*365.25/12</f>
        <v>#VALUE!</v>
      </c>
      <c r="X751" s="3" t="e">
        <f ca="1">AND(NOW()&gt;=tbl_MTG_Set[[#This Row],[Sell Window Start]], NOW()&lt;=tbl_MTG_Set[[#This Row],[Sell Window End]])</f>
        <v>#VALUE!</v>
      </c>
      <c r="AG751" s="10"/>
      <c r="AH751" s="10"/>
      <c r="AM751" s="10" t="str" cm="1">
        <f t="array" ref="AM7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1" s="10" t="str" cm="1">
        <f t="array" ref="AN7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1" s="4" t="e">
        <f>_xlfn.XLOOKUP(tbl_MTG_Set[[#This Row],[Play Booster Box Product Id]], tbl_Product[Product Id], tbl_Product[Pack Size])</f>
        <v>#N/A</v>
      </c>
      <c r="AP751" s="10" t="e">
        <f>(tbl_MTG_Set[[#This Row],[Play Booster Box Cost]]+v_Item_Shipping_Cost_In)/tbl_MTG_Set[[#This Row],[Play Booster Box Size]]</f>
        <v>#VALUE!</v>
      </c>
      <c r="AQ751" s="10" t="str" cm="1">
        <f t="array" ref="AQ7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1" s="10"/>
      <c r="AS751" s="10"/>
      <c r="AT751" s="17" t="e">
        <f>tbl_MTG_Set[[#This Row],[Play Booster CardMarket Profit]]/tbl_MTG_Set[[#This Row],[Play Booster Cost]]</f>
        <v>#VALUE!</v>
      </c>
      <c r="AU751" s="10" t="e">
        <f>_xlfn.XLOOKUP(tbl_MTG_Set[[#This Row],[Collector Booster Box Product Id]], tbl_Product[Product Id], tbl_Product[Min Cost])</f>
        <v>#N/A</v>
      </c>
      <c r="AV751" s="10" t="e">
        <f>_xlfn.XLOOKUP(tbl_MTG_Set[[#This Row],[Collector Booster Box Product Id]], tbl_Product[Product Id], tbl_Product[Best Source])</f>
        <v>#N/A</v>
      </c>
      <c r="AW751" s="4" t="e">
        <f>_xlfn.XLOOKUP(tbl_MTG_Set[[#This Row],[Collector Booster Box Product Id]], tbl_Product[Product Id], tbl_Product[Pack Size])</f>
        <v>#N/A</v>
      </c>
      <c r="AX751" s="10" t="e">
        <f>(tbl_MTG_Set[[#This Row],[Collector Booster Box Cost]] + v_Item_Shipping_Cost_In) / tbl_MTG_Set[[#This Row],[Collector Booster Box Size]]</f>
        <v>#N/A</v>
      </c>
      <c r="AY751" s="10" t="str" cm="1">
        <f t="array" ref="AY7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1" s="10"/>
      <c r="BA7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1" s="17" t="e">
        <f>tbl_MTG_Set[[#This Row],[Collector Booster CardMarket Profit]]/tbl_MTG_Set[[#This Row],[Collector Booster Cost]]</f>
        <v>#N/A</v>
      </c>
      <c r="BC751" s="10"/>
      <c r="BF7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1" s="11" t="e">
        <f>tbl_MTG_Set[[#This Row],[Play Singles CardMarket Profit MTG Stocks]]/tbl_MTG_Set[[#This Row],[Play Booster Cost]]</f>
        <v>#VALUE!</v>
      </c>
      <c r="BI751" s="11" t="b">
        <f>tbl_MTG_Set[[#This Row],[Play Singles CardMarket Profit MTG Stocks]]&gt;0</f>
        <v>0</v>
      </c>
      <c r="BM751" s="10" t="e">
        <f>tbl_MTG_Set[[#This Row],[Play Booster Sell Price CardMarket]]*tbl_MTG_Set[[#This Row],[Play Booster Expected Market Value BotBox]]/tbl_MTG_Set[[#This Row],[Play Booster Sealed Market Value BotBox]]</f>
        <v>#VALUE!</v>
      </c>
      <c r="BN7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1" s="10" t="e">
        <f>tbl_MTG_Set[[#This Row],[Play Singles CardMarket Profit BotBox]]/tbl_MTG_Set[[#This Row],[Play Booster Cost]]</f>
        <v>#VALUE!</v>
      </c>
      <c r="BP751" s="10" t="b">
        <f>tbl_MTG_Set[[#This Row],[Play Singles CardMarket Profit BotBox]]&gt;0</f>
        <v>0</v>
      </c>
      <c r="BQ751" s="10"/>
      <c r="BR751" s="10"/>
      <c r="BS751" s="10"/>
      <c r="BT7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1" s="19" t="e">
        <f>tbl_MTG_Set[[#This Row],[Collector Singles CardMarket Profit MTG Stocks]]/tbl_MTG_Set[[#This Row],[Collector Booster Cost]]</f>
        <v>#N/A</v>
      </c>
      <c r="BW751" s="10" t="b">
        <f>tbl_MTG_Set[[#This Row],[Collector Singles CardMarket Profit MTG Stocks]]&gt;0</f>
        <v>0</v>
      </c>
      <c r="BX751" s="10"/>
      <c r="BY751" s="10"/>
      <c r="BZ7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1" s="10" t="e">
        <f>tbl_MTG_Set[[#This Row],[Collector Singles CardMarket Profit BotBox]]/tbl_MTG_Set[[#This Row],[Collector Booster Cost]]</f>
        <v>#N/A</v>
      </c>
      <c r="CC751" s="10" t="b">
        <f>tbl_MTG_Set[[#This Row],[Collector Singles CardMarket Profit BotBox]]&gt;0</f>
        <v>0</v>
      </c>
      <c r="CD7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2" spans="1:86" hidden="1">
      <c r="A752">
        <v>784</v>
      </c>
      <c r="B752" t="s">
        <v>925</v>
      </c>
      <c r="C752">
        <v>249</v>
      </c>
      <c r="D752" s="3">
        <v>40011</v>
      </c>
      <c r="F752" t="s">
        <v>174</v>
      </c>
      <c r="G752">
        <v>1514</v>
      </c>
      <c r="H752">
        <f ca="1">MONTH(NOW())+12*YEAR(NOW())-MONTH(tbl_MTG_Set[[#This Row],[Released On]])-12*YEAR(tbl_MTG_Set[[#This Row],[Released On]])</f>
        <v>200</v>
      </c>
      <c r="I752" t="str">
        <f>_xlfn.XLOOKUP(tbl_MTG_Set[[#This Row],[Type Name]], tbl_MTG_Set_Type[Set Type], tbl_MTG_Set_Type[Index], "(Set Type not found)")</f>
        <v>(Set Type not found)</v>
      </c>
      <c r="J752" t="str">
        <f>_xlfn.XLOOKUP(tbl_MTG_Set[[#This Row],[Type Name]], tbl_MTG_Set_Type[Set Type], tbl_MTG_Set_Type[Buy Window Month Start], "(Set Type not found)")</f>
        <v>(Set Type not found)</v>
      </c>
      <c r="K752" s="3" t="e">
        <f>tbl_MTG_Set[[#This Row],[Released On]]+tbl_MTG_Set[[#This Row],[Buy Window Month Start]]*365.25/12</f>
        <v>#VALUE!</v>
      </c>
      <c r="L752" t="str">
        <f>_xlfn.XLOOKUP(tbl_MTG_Set[[#This Row],[Type Name]], tbl_MTG_Set_Type[Set Type], tbl_MTG_Set_Type[Buy Window Month End], "(Set Type not found)", 0, 1)</f>
        <v>(Set Type not found)</v>
      </c>
      <c r="M752" s="3" t="e">
        <f>tbl_MTG_Set[[#This Row],[Released On]]+tbl_MTG_Set[[#This Row],[Buy Window Month End]]*365.25/12</f>
        <v>#VALUE!</v>
      </c>
      <c r="N752" s="3" t="e">
        <f ca="1">AND(NOW()&gt;=tbl_MTG_Set[[#This Row],[Buy Window Start]], NOW()&lt;=tbl_MTG_Set[[#This Row],[Buy Window End]])</f>
        <v>#VALUE!</v>
      </c>
      <c r="O752" t="str">
        <f>_xlfn.XLOOKUP(tbl_MTG_Set[[#This Row],[Type Name]], tbl_MTG_Set_Type[Set Type], tbl_MTG_Set_Type[Heavy Printing Window Month Start], "(Set Type not found)", 0, 1)</f>
        <v>(Set Type not found)</v>
      </c>
      <c r="P752" s="3" t="e">
        <f>tbl_MTG_Set[[#This Row],[Released On]]+tbl_MTG_Set[[#This Row],[Heavy Printing Window Month Start]]*365.25/12</f>
        <v>#VALUE!</v>
      </c>
      <c r="Q752" t="str">
        <f>_xlfn.XLOOKUP(tbl_MTG_Set[[#This Row],[Type Name]], tbl_MTG_Set_Type[Set Type], tbl_MTG_Set_Type[Heavy Printing Window Month End], "(Set Type not found)", 0, 1)</f>
        <v>(Set Type not found)</v>
      </c>
      <c r="R752" s="3" t="e">
        <f>tbl_MTG_Set[[#This Row],[Released On]]+tbl_MTG_Set[[#This Row],[Heavy Printing Window Month End]]*365.25/12</f>
        <v>#VALUE!</v>
      </c>
      <c r="S752" s="3" t="e">
        <f ca="1">AND(NOW()&gt;=tbl_MTG_Set[[#This Row],[Heavy Printing Window Start]], NOW()&lt;=tbl_MTG_Set[[#This Row],[Heavy Printing Window End]])</f>
        <v>#VALUE!</v>
      </c>
      <c r="T752" t="str">
        <f>_xlfn.XLOOKUP(tbl_MTG_Set[[#This Row],[Type Name]], tbl_MTG_Set_Type[Set Type], tbl_MTG_Set_Type[Sell Window Month Start], "(Set Type not found)", 0, 1)</f>
        <v>(Set Type not found)</v>
      </c>
      <c r="U752" s="3" t="e">
        <f>tbl_MTG_Set[[#This Row],[Released On]]+tbl_MTG_Set[[#This Row],[Sell Window Month Start]]*365.25/12</f>
        <v>#VALUE!</v>
      </c>
      <c r="V752" t="str">
        <f>_xlfn.XLOOKUP(tbl_MTG_Set[[#This Row],[Type Name]], tbl_MTG_Set_Type[Set Type], tbl_MTG_Set_Type[Sell Window Month End], "(Set Type not found)", 0, 1)</f>
        <v>(Set Type not found)</v>
      </c>
      <c r="W752" s="3" t="e">
        <f>tbl_MTG_Set[[#This Row],[Released On]]+tbl_MTG_Set[[#This Row],[Sell Window Month End]]*365.25/12</f>
        <v>#VALUE!</v>
      </c>
      <c r="X752" s="3" t="e">
        <f ca="1">AND(NOW()&gt;=tbl_MTG_Set[[#This Row],[Sell Window Start]], NOW()&lt;=tbl_MTG_Set[[#This Row],[Sell Window End]])</f>
        <v>#VALUE!</v>
      </c>
      <c r="AG752" s="10"/>
      <c r="AH752" s="10"/>
      <c r="AM752" s="10" t="str" cm="1">
        <f t="array" ref="AM7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2" s="10" t="str" cm="1">
        <f t="array" ref="AN7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2" s="4" t="e">
        <f>_xlfn.XLOOKUP(tbl_MTG_Set[[#This Row],[Play Booster Box Product Id]], tbl_Product[Product Id], tbl_Product[Pack Size])</f>
        <v>#N/A</v>
      </c>
      <c r="AP752" s="10" t="e">
        <f>(tbl_MTG_Set[[#This Row],[Play Booster Box Cost]]+v_Item_Shipping_Cost_In)/tbl_MTG_Set[[#This Row],[Play Booster Box Size]]</f>
        <v>#VALUE!</v>
      </c>
      <c r="AQ752" s="10" t="str" cm="1">
        <f t="array" ref="AQ7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2" s="10"/>
      <c r="AS752" s="10"/>
      <c r="AT752" s="17" t="e">
        <f>tbl_MTG_Set[[#This Row],[Play Booster CardMarket Profit]]/tbl_MTG_Set[[#This Row],[Play Booster Cost]]</f>
        <v>#VALUE!</v>
      </c>
      <c r="AU752" s="10" t="e">
        <f>_xlfn.XLOOKUP(tbl_MTG_Set[[#This Row],[Collector Booster Box Product Id]], tbl_Product[Product Id], tbl_Product[Min Cost])</f>
        <v>#N/A</v>
      </c>
      <c r="AV752" s="10" t="e">
        <f>_xlfn.XLOOKUP(tbl_MTG_Set[[#This Row],[Collector Booster Box Product Id]], tbl_Product[Product Id], tbl_Product[Best Source])</f>
        <v>#N/A</v>
      </c>
      <c r="AW752" s="4" t="e">
        <f>_xlfn.XLOOKUP(tbl_MTG_Set[[#This Row],[Collector Booster Box Product Id]], tbl_Product[Product Id], tbl_Product[Pack Size])</f>
        <v>#N/A</v>
      </c>
      <c r="AX752" s="10" t="e">
        <f>(tbl_MTG_Set[[#This Row],[Collector Booster Box Cost]] + v_Item_Shipping_Cost_In) / tbl_MTG_Set[[#This Row],[Collector Booster Box Size]]</f>
        <v>#N/A</v>
      </c>
      <c r="AY752" s="10" t="str" cm="1">
        <f t="array" ref="AY7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2" s="10"/>
      <c r="BA7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2" s="17" t="e">
        <f>tbl_MTG_Set[[#This Row],[Collector Booster CardMarket Profit]]/tbl_MTG_Set[[#This Row],[Collector Booster Cost]]</f>
        <v>#N/A</v>
      </c>
      <c r="BC752" s="10"/>
      <c r="BF7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2" s="11" t="e">
        <f>tbl_MTG_Set[[#This Row],[Play Singles CardMarket Profit MTG Stocks]]/tbl_MTG_Set[[#This Row],[Play Booster Cost]]</f>
        <v>#VALUE!</v>
      </c>
      <c r="BI752" s="11" t="b">
        <f>tbl_MTG_Set[[#This Row],[Play Singles CardMarket Profit MTG Stocks]]&gt;0</f>
        <v>0</v>
      </c>
      <c r="BM752" s="10" t="e">
        <f>tbl_MTG_Set[[#This Row],[Play Booster Sell Price CardMarket]]*tbl_MTG_Set[[#This Row],[Play Booster Expected Market Value BotBox]]/tbl_MTG_Set[[#This Row],[Play Booster Sealed Market Value BotBox]]</f>
        <v>#VALUE!</v>
      </c>
      <c r="BN7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2" s="10" t="e">
        <f>tbl_MTG_Set[[#This Row],[Play Singles CardMarket Profit BotBox]]/tbl_MTG_Set[[#This Row],[Play Booster Cost]]</f>
        <v>#VALUE!</v>
      </c>
      <c r="BP752" s="10" t="b">
        <f>tbl_MTG_Set[[#This Row],[Play Singles CardMarket Profit BotBox]]&gt;0</f>
        <v>0</v>
      </c>
      <c r="BQ752" s="10"/>
      <c r="BR752" s="10"/>
      <c r="BS752" s="10"/>
      <c r="BT7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2" s="19" t="e">
        <f>tbl_MTG_Set[[#This Row],[Collector Singles CardMarket Profit MTG Stocks]]/tbl_MTG_Set[[#This Row],[Collector Booster Cost]]</f>
        <v>#N/A</v>
      </c>
      <c r="BW752" s="10" t="b">
        <f>tbl_MTG_Set[[#This Row],[Collector Singles CardMarket Profit MTG Stocks]]&gt;0</f>
        <v>0</v>
      </c>
      <c r="BX752" s="10"/>
      <c r="BY752" s="10"/>
      <c r="BZ7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2" s="10" t="e">
        <f>tbl_MTG_Set[[#This Row],[Collector Singles CardMarket Profit BotBox]]/tbl_MTG_Set[[#This Row],[Collector Booster Cost]]</f>
        <v>#N/A</v>
      </c>
      <c r="CC752" s="10" t="b">
        <f>tbl_MTG_Set[[#This Row],[Collector Singles CardMarket Profit BotBox]]&gt;0</f>
        <v>0</v>
      </c>
      <c r="CD7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3" spans="1:86" hidden="1">
      <c r="A753">
        <v>785</v>
      </c>
      <c r="B753" t="s">
        <v>926</v>
      </c>
      <c r="C753">
        <v>3</v>
      </c>
      <c r="D753" s="3">
        <v>40010</v>
      </c>
      <c r="F753" t="s">
        <v>174</v>
      </c>
      <c r="G753">
        <v>1516</v>
      </c>
      <c r="H753">
        <f ca="1">MONTH(NOW())+12*YEAR(NOW())-MONTH(tbl_MTG_Set[[#This Row],[Released On]])-12*YEAR(tbl_MTG_Set[[#This Row],[Released On]])</f>
        <v>200</v>
      </c>
      <c r="I753" t="str">
        <f>_xlfn.XLOOKUP(tbl_MTG_Set[[#This Row],[Type Name]], tbl_MTG_Set_Type[Set Type], tbl_MTG_Set_Type[Index], "(Set Type not found)")</f>
        <v>(Set Type not found)</v>
      </c>
      <c r="J753" t="str">
        <f>_xlfn.XLOOKUP(tbl_MTG_Set[[#This Row],[Type Name]], tbl_MTG_Set_Type[Set Type], tbl_MTG_Set_Type[Buy Window Month Start], "(Set Type not found)")</f>
        <v>(Set Type not found)</v>
      </c>
      <c r="K753" s="3" t="e">
        <f>tbl_MTG_Set[[#This Row],[Released On]]+tbl_MTG_Set[[#This Row],[Buy Window Month Start]]*365.25/12</f>
        <v>#VALUE!</v>
      </c>
      <c r="L753" t="str">
        <f>_xlfn.XLOOKUP(tbl_MTG_Set[[#This Row],[Type Name]], tbl_MTG_Set_Type[Set Type], tbl_MTG_Set_Type[Buy Window Month End], "(Set Type not found)", 0, 1)</f>
        <v>(Set Type not found)</v>
      </c>
      <c r="M753" s="3" t="e">
        <f>tbl_MTG_Set[[#This Row],[Released On]]+tbl_MTG_Set[[#This Row],[Buy Window Month End]]*365.25/12</f>
        <v>#VALUE!</v>
      </c>
      <c r="N753" s="3" t="e">
        <f ca="1">AND(NOW()&gt;=tbl_MTG_Set[[#This Row],[Buy Window Start]], NOW()&lt;=tbl_MTG_Set[[#This Row],[Buy Window End]])</f>
        <v>#VALUE!</v>
      </c>
      <c r="O753" t="str">
        <f>_xlfn.XLOOKUP(tbl_MTG_Set[[#This Row],[Type Name]], tbl_MTG_Set_Type[Set Type], tbl_MTG_Set_Type[Heavy Printing Window Month Start], "(Set Type not found)", 0, 1)</f>
        <v>(Set Type not found)</v>
      </c>
      <c r="P753" s="3" t="e">
        <f>tbl_MTG_Set[[#This Row],[Released On]]+tbl_MTG_Set[[#This Row],[Heavy Printing Window Month Start]]*365.25/12</f>
        <v>#VALUE!</v>
      </c>
      <c r="Q753" t="str">
        <f>_xlfn.XLOOKUP(tbl_MTG_Set[[#This Row],[Type Name]], tbl_MTG_Set_Type[Set Type], tbl_MTG_Set_Type[Heavy Printing Window Month End], "(Set Type not found)", 0, 1)</f>
        <v>(Set Type not found)</v>
      </c>
      <c r="R753" s="3" t="e">
        <f>tbl_MTG_Set[[#This Row],[Released On]]+tbl_MTG_Set[[#This Row],[Heavy Printing Window Month End]]*365.25/12</f>
        <v>#VALUE!</v>
      </c>
      <c r="S753" s="3" t="e">
        <f ca="1">AND(NOW()&gt;=tbl_MTG_Set[[#This Row],[Heavy Printing Window Start]], NOW()&lt;=tbl_MTG_Set[[#This Row],[Heavy Printing Window End]])</f>
        <v>#VALUE!</v>
      </c>
      <c r="T753" t="str">
        <f>_xlfn.XLOOKUP(tbl_MTG_Set[[#This Row],[Type Name]], tbl_MTG_Set_Type[Set Type], tbl_MTG_Set_Type[Sell Window Month Start], "(Set Type not found)", 0, 1)</f>
        <v>(Set Type not found)</v>
      </c>
      <c r="U753" s="3" t="e">
        <f>tbl_MTG_Set[[#This Row],[Released On]]+tbl_MTG_Set[[#This Row],[Sell Window Month Start]]*365.25/12</f>
        <v>#VALUE!</v>
      </c>
      <c r="V753" t="str">
        <f>_xlfn.XLOOKUP(tbl_MTG_Set[[#This Row],[Type Name]], tbl_MTG_Set_Type[Set Type], tbl_MTG_Set_Type[Sell Window Month End], "(Set Type not found)", 0, 1)</f>
        <v>(Set Type not found)</v>
      </c>
      <c r="W753" s="3" t="e">
        <f>tbl_MTG_Set[[#This Row],[Released On]]+tbl_MTG_Set[[#This Row],[Sell Window Month End]]*365.25/12</f>
        <v>#VALUE!</v>
      </c>
      <c r="X753" s="3" t="e">
        <f ca="1">AND(NOW()&gt;=tbl_MTG_Set[[#This Row],[Sell Window Start]], NOW()&lt;=tbl_MTG_Set[[#This Row],[Sell Window End]])</f>
        <v>#VALUE!</v>
      </c>
      <c r="AG753" s="10"/>
      <c r="AH753" s="10"/>
      <c r="AM753" s="10" t="str" cm="1">
        <f t="array" ref="AM7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3" s="10" t="str" cm="1">
        <f t="array" ref="AN7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3" s="4" t="e">
        <f>_xlfn.XLOOKUP(tbl_MTG_Set[[#This Row],[Play Booster Box Product Id]], tbl_Product[Product Id], tbl_Product[Pack Size])</f>
        <v>#N/A</v>
      </c>
      <c r="AP753" s="10" t="e">
        <f>(tbl_MTG_Set[[#This Row],[Play Booster Box Cost]]+v_Item_Shipping_Cost_In)/tbl_MTG_Set[[#This Row],[Play Booster Box Size]]</f>
        <v>#VALUE!</v>
      </c>
      <c r="AQ753" s="10" t="str" cm="1">
        <f t="array" ref="AQ7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3" s="10"/>
      <c r="AS753" s="10"/>
      <c r="AT753" s="17" t="e">
        <f>tbl_MTG_Set[[#This Row],[Play Booster CardMarket Profit]]/tbl_MTG_Set[[#This Row],[Play Booster Cost]]</f>
        <v>#VALUE!</v>
      </c>
      <c r="AU753" s="10" t="e">
        <f>_xlfn.XLOOKUP(tbl_MTG_Set[[#This Row],[Collector Booster Box Product Id]], tbl_Product[Product Id], tbl_Product[Min Cost])</f>
        <v>#N/A</v>
      </c>
      <c r="AV753" s="10" t="e">
        <f>_xlfn.XLOOKUP(tbl_MTG_Set[[#This Row],[Collector Booster Box Product Id]], tbl_Product[Product Id], tbl_Product[Best Source])</f>
        <v>#N/A</v>
      </c>
      <c r="AW753" s="4" t="e">
        <f>_xlfn.XLOOKUP(tbl_MTG_Set[[#This Row],[Collector Booster Box Product Id]], tbl_Product[Product Id], tbl_Product[Pack Size])</f>
        <v>#N/A</v>
      </c>
      <c r="AX753" s="10" t="e">
        <f>(tbl_MTG_Set[[#This Row],[Collector Booster Box Cost]] + v_Item_Shipping_Cost_In) / tbl_MTG_Set[[#This Row],[Collector Booster Box Size]]</f>
        <v>#N/A</v>
      </c>
      <c r="AY753" s="10" t="str" cm="1">
        <f t="array" ref="AY7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3" s="10"/>
      <c r="BA7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3" s="17" t="e">
        <f>tbl_MTG_Set[[#This Row],[Collector Booster CardMarket Profit]]/tbl_MTG_Set[[#This Row],[Collector Booster Cost]]</f>
        <v>#N/A</v>
      </c>
      <c r="BC753" s="10"/>
      <c r="BF7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3" s="11" t="e">
        <f>tbl_MTG_Set[[#This Row],[Play Singles CardMarket Profit MTG Stocks]]/tbl_MTG_Set[[#This Row],[Play Booster Cost]]</f>
        <v>#VALUE!</v>
      </c>
      <c r="BI753" s="11" t="b">
        <f>tbl_MTG_Set[[#This Row],[Play Singles CardMarket Profit MTG Stocks]]&gt;0</f>
        <v>0</v>
      </c>
      <c r="BM753" s="10" t="e">
        <f>tbl_MTG_Set[[#This Row],[Play Booster Sell Price CardMarket]]*tbl_MTG_Set[[#This Row],[Play Booster Expected Market Value BotBox]]/tbl_MTG_Set[[#This Row],[Play Booster Sealed Market Value BotBox]]</f>
        <v>#VALUE!</v>
      </c>
      <c r="BN7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3" s="10" t="e">
        <f>tbl_MTG_Set[[#This Row],[Play Singles CardMarket Profit BotBox]]/tbl_MTG_Set[[#This Row],[Play Booster Cost]]</f>
        <v>#VALUE!</v>
      </c>
      <c r="BP753" s="10" t="b">
        <f>tbl_MTG_Set[[#This Row],[Play Singles CardMarket Profit BotBox]]&gt;0</f>
        <v>0</v>
      </c>
      <c r="BQ753" s="10"/>
      <c r="BR753" s="10"/>
      <c r="BS753" s="10"/>
      <c r="BT7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3" s="19" t="e">
        <f>tbl_MTG_Set[[#This Row],[Collector Singles CardMarket Profit MTG Stocks]]/tbl_MTG_Set[[#This Row],[Collector Booster Cost]]</f>
        <v>#N/A</v>
      </c>
      <c r="BW753" s="10" t="b">
        <f>tbl_MTG_Set[[#This Row],[Collector Singles CardMarket Profit MTG Stocks]]&gt;0</f>
        <v>0</v>
      </c>
      <c r="BX753" s="10"/>
      <c r="BY753" s="10"/>
      <c r="BZ7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3" s="10" t="e">
        <f>tbl_MTG_Set[[#This Row],[Collector Singles CardMarket Profit BotBox]]/tbl_MTG_Set[[#This Row],[Collector Booster Cost]]</f>
        <v>#N/A</v>
      </c>
      <c r="CC753" s="10" t="b">
        <f>tbl_MTG_Set[[#This Row],[Collector Singles CardMarket Profit BotBox]]&gt;0</f>
        <v>0</v>
      </c>
      <c r="CD7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4" spans="1:86" hidden="1">
      <c r="A754">
        <v>786</v>
      </c>
      <c r="B754" t="s">
        <v>927</v>
      </c>
      <c r="C754">
        <v>8</v>
      </c>
      <c r="D754" s="3">
        <v>40011</v>
      </c>
      <c r="F754" t="s">
        <v>174</v>
      </c>
      <c r="G754">
        <v>1518</v>
      </c>
      <c r="H754">
        <f ca="1">MONTH(NOW())+12*YEAR(NOW())-MONTH(tbl_MTG_Set[[#This Row],[Released On]])-12*YEAR(tbl_MTG_Set[[#This Row],[Released On]])</f>
        <v>200</v>
      </c>
      <c r="I754" t="str">
        <f>_xlfn.XLOOKUP(tbl_MTG_Set[[#This Row],[Type Name]], tbl_MTG_Set_Type[Set Type], tbl_MTG_Set_Type[Index], "(Set Type not found)")</f>
        <v>(Set Type not found)</v>
      </c>
      <c r="J754" t="str">
        <f>_xlfn.XLOOKUP(tbl_MTG_Set[[#This Row],[Type Name]], tbl_MTG_Set_Type[Set Type], tbl_MTG_Set_Type[Buy Window Month Start], "(Set Type not found)")</f>
        <v>(Set Type not found)</v>
      </c>
      <c r="K754" s="3" t="e">
        <f>tbl_MTG_Set[[#This Row],[Released On]]+tbl_MTG_Set[[#This Row],[Buy Window Month Start]]*365.25/12</f>
        <v>#VALUE!</v>
      </c>
      <c r="L754" t="str">
        <f>_xlfn.XLOOKUP(tbl_MTG_Set[[#This Row],[Type Name]], tbl_MTG_Set_Type[Set Type], tbl_MTG_Set_Type[Buy Window Month End], "(Set Type not found)", 0, 1)</f>
        <v>(Set Type not found)</v>
      </c>
      <c r="M754" s="3" t="e">
        <f>tbl_MTG_Set[[#This Row],[Released On]]+tbl_MTG_Set[[#This Row],[Buy Window Month End]]*365.25/12</f>
        <v>#VALUE!</v>
      </c>
      <c r="N754" s="3" t="e">
        <f ca="1">AND(NOW()&gt;=tbl_MTG_Set[[#This Row],[Buy Window Start]], NOW()&lt;=tbl_MTG_Set[[#This Row],[Buy Window End]])</f>
        <v>#VALUE!</v>
      </c>
      <c r="O754" t="str">
        <f>_xlfn.XLOOKUP(tbl_MTG_Set[[#This Row],[Type Name]], tbl_MTG_Set_Type[Set Type], tbl_MTG_Set_Type[Heavy Printing Window Month Start], "(Set Type not found)", 0, 1)</f>
        <v>(Set Type not found)</v>
      </c>
      <c r="P754" s="3" t="e">
        <f>tbl_MTG_Set[[#This Row],[Released On]]+tbl_MTG_Set[[#This Row],[Heavy Printing Window Month Start]]*365.25/12</f>
        <v>#VALUE!</v>
      </c>
      <c r="Q754" t="str">
        <f>_xlfn.XLOOKUP(tbl_MTG_Set[[#This Row],[Type Name]], tbl_MTG_Set_Type[Set Type], tbl_MTG_Set_Type[Heavy Printing Window Month End], "(Set Type not found)", 0, 1)</f>
        <v>(Set Type not found)</v>
      </c>
      <c r="R754" s="3" t="e">
        <f>tbl_MTG_Set[[#This Row],[Released On]]+tbl_MTG_Set[[#This Row],[Heavy Printing Window Month End]]*365.25/12</f>
        <v>#VALUE!</v>
      </c>
      <c r="S754" s="3" t="e">
        <f ca="1">AND(NOW()&gt;=tbl_MTG_Set[[#This Row],[Heavy Printing Window Start]], NOW()&lt;=tbl_MTG_Set[[#This Row],[Heavy Printing Window End]])</f>
        <v>#VALUE!</v>
      </c>
      <c r="T754" t="str">
        <f>_xlfn.XLOOKUP(tbl_MTG_Set[[#This Row],[Type Name]], tbl_MTG_Set_Type[Set Type], tbl_MTG_Set_Type[Sell Window Month Start], "(Set Type not found)", 0, 1)</f>
        <v>(Set Type not found)</v>
      </c>
      <c r="U754" s="3" t="e">
        <f>tbl_MTG_Set[[#This Row],[Released On]]+tbl_MTG_Set[[#This Row],[Sell Window Month Start]]*365.25/12</f>
        <v>#VALUE!</v>
      </c>
      <c r="V754" t="str">
        <f>_xlfn.XLOOKUP(tbl_MTG_Set[[#This Row],[Type Name]], tbl_MTG_Set_Type[Set Type], tbl_MTG_Set_Type[Sell Window Month End], "(Set Type not found)", 0, 1)</f>
        <v>(Set Type not found)</v>
      </c>
      <c r="W754" s="3" t="e">
        <f>tbl_MTG_Set[[#This Row],[Released On]]+tbl_MTG_Set[[#This Row],[Sell Window Month End]]*365.25/12</f>
        <v>#VALUE!</v>
      </c>
      <c r="X754" s="3" t="e">
        <f ca="1">AND(NOW()&gt;=tbl_MTG_Set[[#This Row],[Sell Window Start]], NOW()&lt;=tbl_MTG_Set[[#This Row],[Sell Window End]])</f>
        <v>#VALUE!</v>
      </c>
      <c r="AG754" s="10"/>
      <c r="AH754" s="10"/>
      <c r="AM754" s="10" t="str" cm="1">
        <f t="array" ref="AM7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4" s="10" t="str" cm="1">
        <f t="array" ref="AN7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4" s="4" t="e">
        <f>_xlfn.XLOOKUP(tbl_MTG_Set[[#This Row],[Play Booster Box Product Id]], tbl_Product[Product Id], tbl_Product[Pack Size])</f>
        <v>#N/A</v>
      </c>
      <c r="AP754" s="10" t="e">
        <f>(tbl_MTG_Set[[#This Row],[Play Booster Box Cost]]+v_Item_Shipping_Cost_In)/tbl_MTG_Set[[#This Row],[Play Booster Box Size]]</f>
        <v>#VALUE!</v>
      </c>
      <c r="AQ754" s="10" t="str" cm="1">
        <f t="array" ref="AQ7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4" s="10"/>
      <c r="AS754" s="10"/>
      <c r="AT754" s="17" t="e">
        <f>tbl_MTG_Set[[#This Row],[Play Booster CardMarket Profit]]/tbl_MTG_Set[[#This Row],[Play Booster Cost]]</f>
        <v>#VALUE!</v>
      </c>
      <c r="AU754" s="10" t="e">
        <f>_xlfn.XLOOKUP(tbl_MTG_Set[[#This Row],[Collector Booster Box Product Id]], tbl_Product[Product Id], tbl_Product[Min Cost])</f>
        <v>#N/A</v>
      </c>
      <c r="AV754" s="10" t="e">
        <f>_xlfn.XLOOKUP(tbl_MTG_Set[[#This Row],[Collector Booster Box Product Id]], tbl_Product[Product Id], tbl_Product[Best Source])</f>
        <v>#N/A</v>
      </c>
      <c r="AW754" s="4" t="e">
        <f>_xlfn.XLOOKUP(tbl_MTG_Set[[#This Row],[Collector Booster Box Product Id]], tbl_Product[Product Id], tbl_Product[Pack Size])</f>
        <v>#N/A</v>
      </c>
      <c r="AX754" s="10" t="e">
        <f>(tbl_MTG_Set[[#This Row],[Collector Booster Box Cost]] + v_Item_Shipping_Cost_In) / tbl_MTG_Set[[#This Row],[Collector Booster Box Size]]</f>
        <v>#N/A</v>
      </c>
      <c r="AY754" s="10" t="str" cm="1">
        <f t="array" ref="AY7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4" s="10"/>
      <c r="BA7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4" s="17" t="e">
        <f>tbl_MTG_Set[[#This Row],[Collector Booster CardMarket Profit]]/tbl_MTG_Set[[#This Row],[Collector Booster Cost]]</f>
        <v>#N/A</v>
      </c>
      <c r="BC754" s="10"/>
      <c r="BF7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4" s="11" t="e">
        <f>tbl_MTG_Set[[#This Row],[Play Singles CardMarket Profit MTG Stocks]]/tbl_MTG_Set[[#This Row],[Play Booster Cost]]</f>
        <v>#VALUE!</v>
      </c>
      <c r="BI754" s="11" t="b">
        <f>tbl_MTG_Set[[#This Row],[Play Singles CardMarket Profit MTG Stocks]]&gt;0</f>
        <v>0</v>
      </c>
      <c r="BM754" s="10" t="e">
        <f>tbl_MTG_Set[[#This Row],[Play Booster Sell Price CardMarket]]*tbl_MTG_Set[[#This Row],[Play Booster Expected Market Value BotBox]]/tbl_MTG_Set[[#This Row],[Play Booster Sealed Market Value BotBox]]</f>
        <v>#VALUE!</v>
      </c>
      <c r="BN7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4" s="10" t="e">
        <f>tbl_MTG_Set[[#This Row],[Play Singles CardMarket Profit BotBox]]/tbl_MTG_Set[[#This Row],[Play Booster Cost]]</f>
        <v>#VALUE!</v>
      </c>
      <c r="BP754" s="10" t="b">
        <f>tbl_MTG_Set[[#This Row],[Play Singles CardMarket Profit BotBox]]&gt;0</f>
        <v>0</v>
      </c>
      <c r="BQ754" s="10"/>
      <c r="BR754" s="10"/>
      <c r="BS754" s="10"/>
      <c r="BT7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4" s="19" t="e">
        <f>tbl_MTG_Set[[#This Row],[Collector Singles CardMarket Profit MTG Stocks]]/tbl_MTG_Set[[#This Row],[Collector Booster Cost]]</f>
        <v>#N/A</v>
      </c>
      <c r="BW754" s="10" t="b">
        <f>tbl_MTG_Set[[#This Row],[Collector Singles CardMarket Profit MTG Stocks]]&gt;0</f>
        <v>0</v>
      </c>
      <c r="BX754" s="10"/>
      <c r="BY754" s="10"/>
      <c r="BZ7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4" s="10" t="e">
        <f>tbl_MTG_Set[[#This Row],[Collector Singles CardMarket Profit BotBox]]/tbl_MTG_Set[[#This Row],[Collector Booster Cost]]</f>
        <v>#N/A</v>
      </c>
      <c r="CC754" s="10" t="b">
        <f>tbl_MTG_Set[[#This Row],[Collector Singles CardMarket Profit BotBox]]&gt;0</f>
        <v>0</v>
      </c>
      <c r="CD7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5" spans="1:86" hidden="1">
      <c r="A755">
        <v>787</v>
      </c>
      <c r="B755" t="s">
        <v>928</v>
      </c>
      <c r="C755">
        <v>145</v>
      </c>
      <c r="D755" s="3">
        <v>39933</v>
      </c>
      <c r="F755" t="s">
        <v>174</v>
      </c>
      <c r="G755">
        <v>1520</v>
      </c>
      <c r="H755">
        <f ca="1">MONTH(NOW())+12*YEAR(NOW())-MONTH(tbl_MTG_Set[[#This Row],[Released On]])-12*YEAR(tbl_MTG_Set[[#This Row],[Released On]])</f>
        <v>203</v>
      </c>
      <c r="I755" t="str">
        <f>_xlfn.XLOOKUP(tbl_MTG_Set[[#This Row],[Type Name]], tbl_MTG_Set_Type[Set Type], tbl_MTG_Set_Type[Index], "(Set Type not found)")</f>
        <v>(Set Type not found)</v>
      </c>
      <c r="J755" t="str">
        <f>_xlfn.XLOOKUP(tbl_MTG_Set[[#This Row],[Type Name]], tbl_MTG_Set_Type[Set Type], tbl_MTG_Set_Type[Buy Window Month Start], "(Set Type not found)")</f>
        <v>(Set Type not found)</v>
      </c>
      <c r="K755" s="3" t="e">
        <f>tbl_MTG_Set[[#This Row],[Released On]]+tbl_MTG_Set[[#This Row],[Buy Window Month Start]]*365.25/12</f>
        <v>#VALUE!</v>
      </c>
      <c r="L755" t="str">
        <f>_xlfn.XLOOKUP(tbl_MTG_Set[[#This Row],[Type Name]], tbl_MTG_Set_Type[Set Type], tbl_MTG_Set_Type[Buy Window Month End], "(Set Type not found)", 0, 1)</f>
        <v>(Set Type not found)</v>
      </c>
      <c r="M755" s="3" t="e">
        <f>tbl_MTG_Set[[#This Row],[Released On]]+tbl_MTG_Set[[#This Row],[Buy Window Month End]]*365.25/12</f>
        <v>#VALUE!</v>
      </c>
      <c r="N755" s="3" t="e">
        <f ca="1">AND(NOW()&gt;=tbl_MTG_Set[[#This Row],[Buy Window Start]], NOW()&lt;=tbl_MTG_Set[[#This Row],[Buy Window End]])</f>
        <v>#VALUE!</v>
      </c>
      <c r="O755" t="str">
        <f>_xlfn.XLOOKUP(tbl_MTG_Set[[#This Row],[Type Name]], tbl_MTG_Set_Type[Set Type], tbl_MTG_Set_Type[Heavy Printing Window Month Start], "(Set Type not found)", 0, 1)</f>
        <v>(Set Type not found)</v>
      </c>
      <c r="P755" s="3" t="e">
        <f>tbl_MTG_Set[[#This Row],[Released On]]+tbl_MTG_Set[[#This Row],[Heavy Printing Window Month Start]]*365.25/12</f>
        <v>#VALUE!</v>
      </c>
      <c r="Q755" t="str">
        <f>_xlfn.XLOOKUP(tbl_MTG_Set[[#This Row],[Type Name]], tbl_MTG_Set_Type[Set Type], tbl_MTG_Set_Type[Heavy Printing Window Month End], "(Set Type not found)", 0, 1)</f>
        <v>(Set Type not found)</v>
      </c>
      <c r="R755" s="3" t="e">
        <f>tbl_MTG_Set[[#This Row],[Released On]]+tbl_MTG_Set[[#This Row],[Heavy Printing Window Month End]]*365.25/12</f>
        <v>#VALUE!</v>
      </c>
      <c r="S755" s="3" t="e">
        <f ca="1">AND(NOW()&gt;=tbl_MTG_Set[[#This Row],[Heavy Printing Window Start]], NOW()&lt;=tbl_MTG_Set[[#This Row],[Heavy Printing Window End]])</f>
        <v>#VALUE!</v>
      </c>
      <c r="T755" t="str">
        <f>_xlfn.XLOOKUP(tbl_MTG_Set[[#This Row],[Type Name]], tbl_MTG_Set_Type[Set Type], tbl_MTG_Set_Type[Sell Window Month Start], "(Set Type not found)", 0, 1)</f>
        <v>(Set Type not found)</v>
      </c>
      <c r="U755" s="3" t="e">
        <f>tbl_MTG_Set[[#This Row],[Released On]]+tbl_MTG_Set[[#This Row],[Sell Window Month Start]]*365.25/12</f>
        <v>#VALUE!</v>
      </c>
      <c r="V755" t="str">
        <f>_xlfn.XLOOKUP(tbl_MTG_Set[[#This Row],[Type Name]], tbl_MTG_Set_Type[Set Type], tbl_MTG_Set_Type[Sell Window Month End], "(Set Type not found)", 0, 1)</f>
        <v>(Set Type not found)</v>
      </c>
      <c r="W755" s="3" t="e">
        <f>tbl_MTG_Set[[#This Row],[Released On]]+tbl_MTG_Set[[#This Row],[Sell Window Month End]]*365.25/12</f>
        <v>#VALUE!</v>
      </c>
      <c r="X755" s="3" t="e">
        <f ca="1">AND(NOW()&gt;=tbl_MTG_Set[[#This Row],[Sell Window Start]], NOW()&lt;=tbl_MTG_Set[[#This Row],[Sell Window End]])</f>
        <v>#VALUE!</v>
      </c>
      <c r="AG755" s="10"/>
      <c r="AH755" s="10"/>
      <c r="AM755" s="10" t="str" cm="1">
        <f t="array" ref="AM7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5" s="10" t="str" cm="1">
        <f t="array" ref="AN7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5" s="4" t="e">
        <f>_xlfn.XLOOKUP(tbl_MTG_Set[[#This Row],[Play Booster Box Product Id]], tbl_Product[Product Id], tbl_Product[Pack Size])</f>
        <v>#N/A</v>
      </c>
      <c r="AP755" s="10" t="e">
        <f>(tbl_MTG_Set[[#This Row],[Play Booster Box Cost]]+v_Item_Shipping_Cost_In)/tbl_MTG_Set[[#This Row],[Play Booster Box Size]]</f>
        <v>#VALUE!</v>
      </c>
      <c r="AQ755" s="10" t="str" cm="1">
        <f t="array" ref="AQ7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5" s="10"/>
      <c r="AS755" s="10"/>
      <c r="AT755" s="17" t="e">
        <f>tbl_MTG_Set[[#This Row],[Play Booster CardMarket Profit]]/tbl_MTG_Set[[#This Row],[Play Booster Cost]]</f>
        <v>#VALUE!</v>
      </c>
      <c r="AU755" s="10" t="e">
        <f>_xlfn.XLOOKUP(tbl_MTG_Set[[#This Row],[Collector Booster Box Product Id]], tbl_Product[Product Id], tbl_Product[Min Cost])</f>
        <v>#N/A</v>
      </c>
      <c r="AV755" s="10" t="e">
        <f>_xlfn.XLOOKUP(tbl_MTG_Set[[#This Row],[Collector Booster Box Product Id]], tbl_Product[Product Id], tbl_Product[Best Source])</f>
        <v>#N/A</v>
      </c>
      <c r="AW755" s="4" t="e">
        <f>_xlfn.XLOOKUP(tbl_MTG_Set[[#This Row],[Collector Booster Box Product Id]], tbl_Product[Product Id], tbl_Product[Pack Size])</f>
        <v>#N/A</v>
      </c>
      <c r="AX755" s="10" t="e">
        <f>(tbl_MTG_Set[[#This Row],[Collector Booster Box Cost]] + v_Item_Shipping_Cost_In) / tbl_MTG_Set[[#This Row],[Collector Booster Box Size]]</f>
        <v>#N/A</v>
      </c>
      <c r="AY755" s="10" t="str" cm="1">
        <f t="array" ref="AY7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5" s="10"/>
      <c r="BA7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5" s="17" t="e">
        <f>tbl_MTG_Set[[#This Row],[Collector Booster CardMarket Profit]]/tbl_MTG_Set[[#This Row],[Collector Booster Cost]]</f>
        <v>#N/A</v>
      </c>
      <c r="BC755" s="10"/>
      <c r="BF7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5" s="11" t="e">
        <f>tbl_MTG_Set[[#This Row],[Play Singles CardMarket Profit MTG Stocks]]/tbl_MTG_Set[[#This Row],[Play Booster Cost]]</f>
        <v>#VALUE!</v>
      </c>
      <c r="BI755" s="11" t="b">
        <f>tbl_MTG_Set[[#This Row],[Play Singles CardMarket Profit MTG Stocks]]&gt;0</f>
        <v>0</v>
      </c>
      <c r="BM755" s="10" t="e">
        <f>tbl_MTG_Set[[#This Row],[Play Booster Sell Price CardMarket]]*tbl_MTG_Set[[#This Row],[Play Booster Expected Market Value BotBox]]/tbl_MTG_Set[[#This Row],[Play Booster Sealed Market Value BotBox]]</f>
        <v>#VALUE!</v>
      </c>
      <c r="BN7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5" s="10" t="e">
        <f>tbl_MTG_Set[[#This Row],[Play Singles CardMarket Profit BotBox]]/tbl_MTG_Set[[#This Row],[Play Booster Cost]]</f>
        <v>#VALUE!</v>
      </c>
      <c r="BP755" s="10" t="b">
        <f>tbl_MTG_Set[[#This Row],[Play Singles CardMarket Profit BotBox]]&gt;0</f>
        <v>0</v>
      </c>
      <c r="BQ755" s="10"/>
      <c r="BR755" s="10"/>
      <c r="BS755" s="10"/>
      <c r="BT7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5" s="19" t="e">
        <f>tbl_MTG_Set[[#This Row],[Collector Singles CardMarket Profit MTG Stocks]]/tbl_MTG_Set[[#This Row],[Collector Booster Cost]]</f>
        <v>#N/A</v>
      </c>
      <c r="BW755" s="10" t="b">
        <f>tbl_MTG_Set[[#This Row],[Collector Singles CardMarket Profit MTG Stocks]]&gt;0</f>
        <v>0</v>
      </c>
      <c r="BX755" s="10"/>
      <c r="BY755" s="10"/>
      <c r="BZ7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5" s="10" t="e">
        <f>tbl_MTG_Set[[#This Row],[Collector Singles CardMarket Profit BotBox]]/tbl_MTG_Set[[#This Row],[Collector Booster Cost]]</f>
        <v>#N/A</v>
      </c>
      <c r="CC755" s="10" t="b">
        <f>tbl_MTG_Set[[#This Row],[Collector Singles CardMarket Profit BotBox]]&gt;0</f>
        <v>0</v>
      </c>
      <c r="CD7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6" spans="1:86" hidden="1">
      <c r="A756">
        <v>788</v>
      </c>
      <c r="B756" t="s">
        <v>929</v>
      </c>
      <c r="C756">
        <v>3</v>
      </c>
      <c r="D756" s="3">
        <v>39933</v>
      </c>
      <c r="F756" t="s">
        <v>174</v>
      </c>
      <c r="G756">
        <v>1522</v>
      </c>
      <c r="H756">
        <f ca="1">MONTH(NOW())+12*YEAR(NOW())-MONTH(tbl_MTG_Set[[#This Row],[Released On]])-12*YEAR(tbl_MTG_Set[[#This Row],[Released On]])</f>
        <v>203</v>
      </c>
      <c r="I756" t="str">
        <f>_xlfn.XLOOKUP(tbl_MTG_Set[[#This Row],[Type Name]], tbl_MTG_Set_Type[Set Type], tbl_MTG_Set_Type[Index], "(Set Type not found)")</f>
        <v>(Set Type not found)</v>
      </c>
      <c r="J756" t="str">
        <f>_xlfn.XLOOKUP(tbl_MTG_Set[[#This Row],[Type Name]], tbl_MTG_Set_Type[Set Type], tbl_MTG_Set_Type[Buy Window Month Start], "(Set Type not found)")</f>
        <v>(Set Type not found)</v>
      </c>
      <c r="K756" s="3" t="e">
        <f>tbl_MTG_Set[[#This Row],[Released On]]+tbl_MTG_Set[[#This Row],[Buy Window Month Start]]*365.25/12</f>
        <v>#VALUE!</v>
      </c>
      <c r="L756" t="str">
        <f>_xlfn.XLOOKUP(tbl_MTG_Set[[#This Row],[Type Name]], tbl_MTG_Set_Type[Set Type], tbl_MTG_Set_Type[Buy Window Month End], "(Set Type not found)", 0, 1)</f>
        <v>(Set Type not found)</v>
      </c>
      <c r="M756" s="3" t="e">
        <f>tbl_MTG_Set[[#This Row],[Released On]]+tbl_MTG_Set[[#This Row],[Buy Window Month End]]*365.25/12</f>
        <v>#VALUE!</v>
      </c>
      <c r="N756" s="3" t="e">
        <f ca="1">AND(NOW()&gt;=tbl_MTG_Set[[#This Row],[Buy Window Start]], NOW()&lt;=tbl_MTG_Set[[#This Row],[Buy Window End]])</f>
        <v>#VALUE!</v>
      </c>
      <c r="O756" t="str">
        <f>_xlfn.XLOOKUP(tbl_MTG_Set[[#This Row],[Type Name]], tbl_MTG_Set_Type[Set Type], tbl_MTG_Set_Type[Heavy Printing Window Month Start], "(Set Type not found)", 0, 1)</f>
        <v>(Set Type not found)</v>
      </c>
      <c r="P756" s="3" t="e">
        <f>tbl_MTG_Set[[#This Row],[Released On]]+tbl_MTG_Set[[#This Row],[Heavy Printing Window Month Start]]*365.25/12</f>
        <v>#VALUE!</v>
      </c>
      <c r="Q756" t="str">
        <f>_xlfn.XLOOKUP(tbl_MTG_Set[[#This Row],[Type Name]], tbl_MTG_Set_Type[Set Type], tbl_MTG_Set_Type[Heavy Printing Window Month End], "(Set Type not found)", 0, 1)</f>
        <v>(Set Type not found)</v>
      </c>
      <c r="R756" s="3" t="e">
        <f>tbl_MTG_Set[[#This Row],[Released On]]+tbl_MTG_Set[[#This Row],[Heavy Printing Window Month End]]*365.25/12</f>
        <v>#VALUE!</v>
      </c>
      <c r="S756" s="3" t="e">
        <f ca="1">AND(NOW()&gt;=tbl_MTG_Set[[#This Row],[Heavy Printing Window Start]], NOW()&lt;=tbl_MTG_Set[[#This Row],[Heavy Printing Window End]])</f>
        <v>#VALUE!</v>
      </c>
      <c r="T756" t="str">
        <f>_xlfn.XLOOKUP(tbl_MTG_Set[[#This Row],[Type Name]], tbl_MTG_Set_Type[Set Type], tbl_MTG_Set_Type[Sell Window Month Start], "(Set Type not found)", 0, 1)</f>
        <v>(Set Type not found)</v>
      </c>
      <c r="U756" s="3" t="e">
        <f>tbl_MTG_Set[[#This Row],[Released On]]+tbl_MTG_Set[[#This Row],[Sell Window Month Start]]*365.25/12</f>
        <v>#VALUE!</v>
      </c>
      <c r="V756" t="str">
        <f>_xlfn.XLOOKUP(tbl_MTG_Set[[#This Row],[Type Name]], tbl_MTG_Set_Type[Set Type], tbl_MTG_Set_Type[Sell Window Month End], "(Set Type not found)", 0, 1)</f>
        <v>(Set Type not found)</v>
      </c>
      <c r="W756" s="3" t="e">
        <f>tbl_MTG_Set[[#This Row],[Released On]]+tbl_MTG_Set[[#This Row],[Sell Window Month End]]*365.25/12</f>
        <v>#VALUE!</v>
      </c>
      <c r="X756" s="3" t="e">
        <f ca="1">AND(NOW()&gt;=tbl_MTG_Set[[#This Row],[Sell Window Start]], NOW()&lt;=tbl_MTG_Set[[#This Row],[Sell Window End]])</f>
        <v>#VALUE!</v>
      </c>
      <c r="AG756" s="10"/>
      <c r="AH756" s="10"/>
      <c r="AM756" s="10" t="str" cm="1">
        <f t="array" ref="AM7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6" s="10" t="str" cm="1">
        <f t="array" ref="AN7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6" s="4" t="e">
        <f>_xlfn.XLOOKUP(tbl_MTG_Set[[#This Row],[Play Booster Box Product Id]], tbl_Product[Product Id], tbl_Product[Pack Size])</f>
        <v>#N/A</v>
      </c>
      <c r="AP756" s="10" t="e">
        <f>(tbl_MTG_Set[[#This Row],[Play Booster Box Cost]]+v_Item_Shipping_Cost_In)/tbl_MTG_Set[[#This Row],[Play Booster Box Size]]</f>
        <v>#VALUE!</v>
      </c>
      <c r="AQ756" s="10" t="str" cm="1">
        <f t="array" ref="AQ7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6" s="10"/>
      <c r="AS756" s="10"/>
      <c r="AT756" s="17" t="e">
        <f>tbl_MTG_Set[[#This Row],[Play Booster CardMarket Profit]]/tbl_MTG_Set[[#This Row],[Play Booster Cost]]</f>
        <v>#VALUE!</v>
      </c>
      <c r="AU756" s="10" t="e">
        <f>_xlfn.XLOOKUP(tbl_MTG_Set[[#This Row],[Collector Booster Box Product Id]], tbl_Product[Product Id], tbl_Product[Min Cost])</f>
        <v>#N/A</v>
      </c>
      <c r="AV756" s="10" t="e">
        <f>_xlfn.XLOOKUP(tbl_MTG_Set[[#This Row],[Collector Booster Box Product Id]], tbl_Product[Product Id], tbl_Product[Best Source])</f>
        <v>#N/A</v>
      </c>
      <c r="AW756" s="4" t="e">
        <f>_xlfn.XLOOKUP(tbl_MTG_Set[[#This Row],[Collector Booster Box Product Id]], tbl_Product[Product Id], tbl_Product[Pack Size])</f>
        <v>#N/A</v>
      </c>
      <c r="AX756" s="10" t="e">
        <f>(tbl_MTG_Set[[#This Row],[Collector Booster Box Cost]] + v_Item_Shipping_Cost_In) / tbl_MTG_Set[[#This Row],[Collector Booster Box Size]]</f>
        <v>#N/A</v>
      </c>
      <c r="AY756" s="10" t="str" cm="1">
        <f t="array" ref="AY7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6" s="10"/>
      <c r="BA7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6" s="17" t="e">
        <f>tbl_MTG_Set[[#This Row],[Collector Booster CardMarket Profit]]/tbl_MTG_Set[[#This Row],[Collector Booster Cost]]</f>
        <v>#N/A</v>
      </c>
      <c r="BC756" s="10"/>
      <c r="BF7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6" s="11" t="e">
        <f>tbl_MTG_Set[[#This Row],[Play Singles CardMarket Profit MTG Stocks]]/tbl_MTG_Set[[#This Row],[Play Booster Cost]]</f>
        <v>#VALUE!</v>
      </c>
      <c r="BI756" s="11" t="b">
        <f>tbl_MTG_Set[[#This Row],[Play Singles CardMarket Profit MTG Stocks]]&gt;0</f>
        <v>0</v>
      </c>
      <c r="BM756" s="10" t="e">
        <f>tbl_MTG_Set[[#This Row],[Play Booster Sell Price CardMarket]]*tbl_MTG_Set[[#This Row],[Play Booster Expected Market Value BotBox]]/tbl_MTG_Set[[#This Row],[Play Booster Sealed Market Value BotBox]]</f>
        <v>#VALUE!</v>
      </c>
      <c r="BN7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6" s="10" t="e">
        <f>tbl_MTG_Set[[#This Row],[Play Singles CardMarket Profit BotBox]]/tbl_MTG_Set[[#This Row],[Play Booster Cost]]</f>
        <v>#VALUE!</v>
      </c>
      <c r="BP756" s="10" t="b">
        <f>tbl_MTG_Set[[#This Row],[Play Singles CardMarket Profit BotBox]]&gt;0</f>
        <v>0</v>
      </c>
      <c r="BQ756" s="10"/>
      <c r="BR756" s="10"/>
      <c r="BS756" s="10"/>
      <c r="BT7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6" s="19" t="e">
        <f>tbl_MTG_Set[[#This Row],[Collector Singles CardMarket Profit MTG Stocks]]/tbl_MTG_Set[[#This Row],[Collector Booster Cost]]</f>
        <v>#N/A</v>
      </c>
      <c r="BW756" s="10" t="b">
        <f>tbl_MTG_Set[[#This Row],[Collector Singles CardMarket Profit MTG Stocks]]&gt;0</f>
        <v>0</v>
      </c>
      <c r="BX756" s="10"/>
      <c r="BY756" s="10"/>
      <c r="BZ7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6" s="10" t="e">
        <f>tbl_MTG_Set[[#This Row],[Collector Singles CardMarket Profit BotBox]]/tbl_MTG_Set[[#This Row],[Collector Booster Cost]]</f>
        <v>#N/A</v>
      </c>
      <c r="CC756" s="10" t="b">
        <f>tbl_MTG_Set[[#This Row],[Collector Singles CardMarket Profit BotBox]]&gt;0</f>
        <v>0</v>
      </c>
      <c r="CD7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7" spans="1:86" hidden="1">
      <c r="A757">
        <v>789</v>
      </c>
      <c r="B757" t="s">
        <v>930</v>
      </c>
      <c r="C757">
        <v>4</v>
      </c>
      <c r="D757" s="3">
        <v>39933</v>
      </c>
      <c r="F757" t="s">
        <v>174</v>
      </c>
      <c r="G757">
        <v>1524</v>
      </c>
      <c r="H757">
        <f ca="1">MONTH(NOW())+12*YEAR(NOW())-MONTH(tbl_MTG_Set[[#This Row],[Released On]])-12*YEAR(tbl_MTG_Set[[#This Row],[Released On]])</f>
        <v>203</v>
      </c>
      <c r="I757" t="str">
        <f>_xlfn.XLOOKUP(tbl_MTG_Set[[#This Row],[Type Name]], tbl_MTG_Set_Type[Set Type], tbl_MTG_Set_Type[Index], "(Set Type not found)")</f>
        <v>(Set Type not found)</v>
      </c>
      <c r="J757" t="str">
        <f>_xlfn.XLOOKUP(tbl_MTG_Set[[#This Row],[Type Name]], tbl_MTG_Set_Type[Set Type], tbl_MTG_Set_Type[Buy Window Month Start], "(Set Type not found)")</f>
        <v>(Set Type not found)</v>
      </c>
      <c r="K757" s="3" t="e">
        <f>tbl_MTG_Set[[#This Row],[Released On]]+tbl_MTG_Set[[#This Row],[Buy Window Month Start]]*365.25/12</f>
        <v>#VALUE!</v>
      </c>
      <c r="L757" t="str">
        <f>_xlfn.XLOOKUP(tbl_MTG_Set[[#This Row],[Type Name]], tbl_MTG_Set_Type[Set Type], tbl_MTG_Set_Type[Buy Window Month End], "(Set Type not found)", 0, 1)</f>
        <v>(Set Type not found)</v>
      </c>
      <c r="M757" s="3" t="e">
        <f>tbl_MTG_Set[[#This Row],[Released On]]+tbl_MTG_Set[[#This Row],[Buy Window Month End]]*365.25/12</f>
        <v>#VALUE!</v>
      </c>
      <c r="N757" s="3" t="e">
        <f ca="1">AND(NOW()&gt;=tbl_MTG_Set[[#This Row],[Buy Window Start]], NOW()&lt;=tbl_MTG_Set[[#This Row],[Buy Window End]])</f>
        <v>#VALUE!</v>
      </c>
      <c r="O757" t="str">
        <f>_xlfn.XLOOKUP(tbl_MTG_Set[[#This Row],[Type Name]], tbl_MTG_Set_Type[Set Type], tbl_MTG_Set_Type[Heavy Printing Window Month Start], "(Set Type not found)", 0, 1)</f>
        <v>(Set Type not found)</v>
      </c>
      <c r="P757" s="3" t="e">
        <f>tbl_MTG_Set[[#This Row],[Released On]]+tbl_MTG_Set[[#This Row],[Heavy Printing Window Month Start]]*365.25/12</f>
        <v>#VALUE!</v>
      </c>
      <c r="Q757" t="str">
        <f>_xlfn.XLOOKUP(tbl_MTG_Set[[#This Row],[Type Name]], tbl_MTG_Set_Type[Set Type], tbl_MTG_Set_Type[Heavy Printing Window Month End], "(Set Type not found)", 0, 1)</f>
        <v>(Set Type not found)</v>
      </c>
      <c r="R757" s="3" t="e">
        <f>tbl_MTG_Set[[#This Row],[Released On]]+tbl_MTG_Set[[#This Row],[Heavy Printing Window Month End]]*365.25/12</f>
        <v>#VALUE!</v>
      </c>
      <c r="S757" s="3" t="e">
        <f ca="1">AND(NOW()&gt;=tbl_MTG_Set[[#This Row],[Heavy Printing Window Start]], NOW()&lt;=tbl_MTG_Set[[#This Row],[Heavy Printing Window End]])</f>
        <v>#VALUE!</v>
      </c>
      <c r="T757" t="str">
        <f>_xlfn.XLOOKUP(tbl_MTG_Set[[#This Row],[Type Name]], tbl_MTG_Set_Type[Set Type], tbl_MTG_Set_Type[Sell Window Month Start], "(Set Type not found)", 0, 1)</f>
        <v>(Set Type not found)</v>
      </c>
      <c r="U757" s="3" t="e">
        <f>tbl_MTG_Set[[#This Row],[Released On]]+tbl_MTG_Set[[#This Row],[Sell Window Month Start]]*365.25/12</f>
        <v>#VALUE!</v>
      </c>
      <c r="V757" t="str">
        <f>_xlfn.XLOOKUP(tbl_MTG_Set[[#This Row],[Type Name]], tbl_MTG_Set_Type[Set Type], tbl_MTG_Set_Type[Sell Window Month End], "(Set Type not found)", 0, 1)</f>
        <v>(Set Type not found)</v>
      </c>
      <c r="W757" s="3" t="e">
        <f>tbl_MTG_Set[[#This Row],[Released On]]+tbl_MTG_Set[[#This Row],[Sell Window Month End]]*365.25/12</f>
        <v>#VALUE!</v>
      </c>
      <c r="X757" s="3" t="e">
        <f ca="1">AND(NOW()&gt;=tbl_MTG_Set[[#This Row],[Sell Window Start]], NOW()&lt;=tbl_MTG_Set[[#This Row],[Sell Window End]])</f>
        <v>#VALUE!</v>
      </c>
      <c r="AG757" s="10"/>
      <c r="AH757" s="10"/>
      <c r="AM757" s="10" t="str" cm="1">
        <f t="array" ref="AM7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7" s="10" t="str" cm="1">
        <f t="array" ref="AN7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7" s="4" t="e">
        <f>_xlfn.XLOOKUP(tbl_MTG_Set[[#This Row],[Play Booster Box Product Id]], tbl_Product[Product Id], tbl_Product[Pack Size])</f>
        <v>#N/A</v>
      </c>
      <c r="AP757" s="10" t="e">
        <f>(tbl_MTG_Set[[#This Row],[Play Booster Box Cost]]+v_Item_Shipping_Cost_In)/tbl_MTG_Set[[#This Row],[Play Booster Box Size]]</f>
        <v>#VALUE!</v>
      </c>
      <c r="AQ757" s="10" t="str" cm="1">
        <f t="array" ref="AQ7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7" s="10"/>
      <c r="AS757" s="10"/>
      <c r="AT757" s="17" t="e">
        <f>tbl_MTG_Set[[#This Row],[Play Booster CardMarket Profit]]/tbl_MTG_Set[[#This Row],[Play Booster Cost]]</f>
        <v>#VALUE!</v>
      </c>
      <c r="AU757" s="10" t="e">
        <f>_xlfn.XLOOKUP(tbl_MTG_Set[[#This Row],[Collector Booster Box Product Id]], tbl_Product[Product Id], tbl_Product[Min Cost])</f>
        <v>#N/A</v>
      </c>
      <c r="AV757" s="10" t="e">
        <f>_xlfn.XLOOKUP(tbl_MTG_Set[[#This Row],[Collector Booster Box Product Id]], tbl_Product[Product Id], tbl_Product[Best Source])</f>
        <v>#N/A</v>
      </c>
      <c r="AW757" s="4" t="e">
        <f>_xlfn.XLOOKUP(tbl_MTG_Set[[#This Row],[Collector Booster Box Product Id]], tbl_Product[Product Id], tbl_Product[Pack Size])</f>
        <v>#N/A</v>
      </c>
      <c r="AX757" s="10" t="e">
        <f>(tbl_MTG_Set[[#This Row],[Collector Booster Box Cost]] + v_Item_Shipping_Cost_In) / tbl_MTG_Set[[#This Row],[Collector Booster Box Size]]</f>
        <v>#N/A</v>
      </c>
      <c r="AY757" s="10" t="str" cm="1">
        <f t="array" ref="AY7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7" s="10"/>
      <c r="BA7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7" s="17" t="e">
        <f>tbl_MTG_Set[[#This Row],[Collector Booster CardMarket Profit]]/tbl_MTG_Set[[#This Row],[Collector Booster Cost]]</f>
        <v>#N/A</v>
      </c>
      <c r="BC757" s="10"/>
      <c r="BF7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7" s="11" t="e">
        <f>tbl_MTG_Set[[#This Row],[Play Singles CardMarket Profit MTG Stocks]]/tbl_MTG_Set[[#This Row],[Play Booster Cost]]</f>
        <v>#VALUE!</v>
      </c>
      <c r="BI757" s="11" t="b">
        <f>tbl_MTG_Set[[#This Row],[Play Singles CardMarket Profit MTG Stocks]]&gt;0</f>
        <v>0</v>
      </c>
      <c r="BM757" s="10" t="e">
        <f>tbl_MTG_Set[[#This Row],[Play Booster Sell Price CardMarket]]*tbl_MTG_Set[[#This Row],[Play Booster Expected Market Value BotBox]]/tbl_MTG_Set[[#This Row],[Play Booster Sealed Market Value BotBox]]</f>
        <v>#VALUE!</v>
      </c>
      <c r="BN7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7" s="10" t="e">
        <f>tbl_MTG_Set[[#This Row],[Play Singles CardMarket Profit BotBox]]/tbl_MTG_Set[[#This Row],[Play Booster Cost]]</f>
        <v>#VALUE!</v>
      </c>
      <c r="BP757" s="10" t="b">
        <f>tbl_MTG_Set[[#This Row],[Play Singles CardMarket Profit BotBox]]&gt;0</f>
        <v>0</v>
      </c>
      <c r="BQ757" s="10"/>
      <c r="BR757" s="10"/>
      <c r="BS757" s="10"/>
      <c r="BT7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7" s="19" t="e">
        <f>tbl_MTG_Set[[#This Row],[Collector Singles CardMarket Profit MTG Stocks]]/tbl_MTG_Set[[#This Row],[Collector Booster Cost]]</f>
        <v>#N/A</v>
      </c>
      <c r="BW757" s="10" t="b">
        <f>tbl_MTG_Set[[#This Row],[Collector Singles CardMarket Profit MTG Stocks]]&gt;0</f>
        <v>0</v>
      </c>
      <c r="BX757" s="10"/>
      <c r="BY757" s="10"/>
      <c r="BZ7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7" s="10" t="e">
        <f>tbl_MTG_Set[[#This Row],[Collector Singles CardMarket Profit BotBox]]/tbl_MTG_Set[[#This Row],[Collector Booster Cost]]</f>
        <v>#N/A</v>
      </c>
      <c r="CC757" s="10" t="b">
        <f>tbl_MTG_Set[[#This Row],[Collector Singles CardMarket Profit BotBox]]&gt;0</f>
        <v>0</v>
      </c>
      <c r="CD7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8" spans="1:86" hidden="1">
      <c r="A758">
        <v>790</v>
      </c>
      <c r="B758" t="s">
        <v>931</v>
      </c>
      <c r="C758">
        <v>62</v>
      </c>
      <c r="D758" s="3">
        <v>39913</v>
      </c>
      <c r="F758" t="s">
        <v>174</v>
      </c>
      <c r="G758">
        <v>1526</v>
      </c>
      <c r="H758">
        <f ca="1">MONTH(NOW())+12*YEAR(NOW())-MONTH(tbl_MTG_Set[[#This Row],[Released On]])-12*YEAR(tbl_MTG_Set[[#This Row],[Released On]])</f>
        <v>203</v>
      </c>
      <c r="I758" t="str">
        <f>_xlfn.XLOOKUP(tbl_MTG_Set[[#This Row],[Type Name]], tbl_MTG_Set_Type[Set Type], tbl_MTG_Set_Type[Index], "(Set Type not found)")</f>
        <v>(Set Type not found)</v>
      </c>
      <c r="J758" t="str">
        <f>_xlfn.XLOOKUP(tbl_MTG_Set[[#This Row],[Type Name]], tbl_MTG_Set_Type[Set Type], tbl_MTG_Set_Type[Buy Window Month Start], "(Set Type not found)")</f>
        <v>(Set Type not found)</v>
      </c>
      <c r="K758" s="3" t="e">
        <f>tbl_MTG_Set[[#This Row],[Released On]]+tbl_MTG_Set[[#This Row],[Buy Window Month Start]]*365.25/12</f>
        <v>#VALUE!</v>
      </c>
      <c r="L758" t="str">
        <f>_xlfn.XLOOKUP(tbl_MTG_Set[[#This Row],[Type Name]], tbl_MTG_Set_Type[Set Type], tbl_MTG_Set_Type[Buy Window Month End], "(Set Type not found)", 0, 1)</f>
        <v>(Set Type not found)</v>
      </c>
      <c r="M758" s="3" t="e">
        <f>tbl_MTG_Set[[#This Row],[Released On]]+tbl_MTG_Set[[#This Row],[Buy Window Month End]]*365.25/12</f>
        <v>#VALUE!</v>
      </c>
      <c r="N758" s="3" t="e">
        <f ca="1">AND(NOW()&gt;=tbl_MTG_Set[[#This Row],[Buy Window Start]], NOW()&lt;=tbl_MTG_Set[[#This Row],[Buy Window End]])</f>
        <v>#VALUE!</v>
      </c>
      <c r="O758" t="str">
        <f>_xlfn.XLOOKUP(tbl_MTG_Set[[#This Row],[Type Name]], tbl_MTG_Set_Type[Set Type], tbl_MTG_Set_Type[Heavy Printing Window Month Start], "(Set Type not found)", 0, 1)</f>
        <v>(Set Type not found)</v>
      </c>
      <c r="P758" s="3" t="e">
        <f>tbl_MTG_Set[[#This Row],[Released On]]+tbl_MTG_Set[[#This Row],[Heavy Printing Window Month Start]]*365.25/12</f>
        <v>#VALUE!</v>
      </c>
      <c r="Q758" t="str">
        <f>_xlfn.XLOOKUP(tbl_MTG_Set[[#This Row],[Type Name]], tbl_MTG_Set_Type[Set Type], tbl_MTG_Set_Type[Heavy Printing Window Month End], "(Set Type not found)", 0, 1)</f>
        <v>(Set Type not found)</v>
      </c>
      <c r="R758" s="3" t="e">
        <f>tbl_MTG_Set[[#This Row],[Released On]]+tbl_MTG_Set[[#This Row],[Heavy Printing Window Month End]]*365.25/12</f>
        <v>#VALUE!</v>
      </c>
      <c r="S758" s="3" t="e">
        <f ca="1">AND(NOW()&gt;=tbl_MTG_Set[[#This Row],[Heavy Printing Window Start]], NOW()&lt;=tbl_MTG_Set[[#This Row],[Heavy Printing Window End]])</f>
        <v>#VALUE!</v>
      </c>
      <c r="T758" t="str">
        <f>_xlfn.XLOOKUP(tbl_MTG_Set[[#This Row],[Type Name]], tbl_MTG_Set_Type[Set Type], tbl_MTG_Set_Type[Sell Window Month Start], "(Set Type not found)", 0, 1)</f>
        <v>(Set Type not found)</v>
      </c>
      <c r="U758" s="3" t="e">
        <f>tbl_MTG_Set[[#This Row],[Released On]]+tbl_MTG_Set[[#This Row],[Sell Window Month Start]]*365.25/12</f>
        <v>#VALUE!</v>
      </c>
      <c r="V758" t="str">
        <f>_xlfn.XLOOKUP(tbl_MTG_Set[[#This Row],[Type Name]], tbl_MTG_Set_Type[Set Type], tbl_MTG_Set_Type[Sell Window Month End], "(Set Type not found)", 0, 1)</f>
        <v>(Set Type not found)</v>
      </c>
      <c r="W758" s="3" t="e">
        <f>tbl_MTG_Set[[#This Row],[Released On]]+tbl_MTG_Set[[#This Row],[Sell Window Month End]]*365.25/12</f>
        <v>#VALUE!</v>
      </c>
      <c r="X758" s="3" t="e">
        <f ca="1">AND(NOW()&gt;=tbl_MTG_Set[[#This Row],[Sell Window Start]], NOW()&lt;=tbl_MTG_Set[[#This Row],[Sell Window End]])</f>
        <v>#VALUE!</v>
      </c>
      <c r="AG758" s="10"/>
      <c r="AH758" s="10"/>
      <c r="AM758" s="10" t="str" cm="1">
        <f t="array" ref="AM7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8" s="10" t="str" cm="1">
        <f t="array" ref="AN7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8" s="4" t="e">
        <f>_xlfn.XLOOKUP(tbl_MTG_Set[[#This Row],[Play Booster Box Product Id]], tbl_Product[Product Id], tbl_Product[Pack Size])</f>
        <v>#N/A</v>
      </c>
      <c r="AP758" s="10" t="e">
        <f>(tbl_MTG_Set[[#This Row],[Play Booster Box Cost]]+v_Item_Shipping_Cost_In)/tbl_MTG_Set[[#This Row],[Play Booster Box Size]]</f>
        <v>#VALUE!</v>
      </c>
      <c r="AQ758" s="10" t="str" cm="1">
        <f t="array" ref="AQ7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8" s="10"/>
      <c r="AS758" s="10"/>
      <c r="AT758" s="17" t="e">
        <f>tbl_MTG_Set[[#This Row],[Play Booster CardMarket Profit]]/tbl_MTG_Set[[#This Row],[Play Booster Cost]]</f>
        <v>#VALUE!</v>
      </c>
      <c r="AU758" s="10" t="e">
        <f>_xlfn.XLOOKUP(tbl_MTG_Set[[#This Row],[Collector Booster Box Product Id]], tbl_Product[Product Id], tbl_Product[Min Cost])</f>
        <v>#N/A</v>
      </c>
      <c r="AV758" s="10" t="e">
        <f>_xlfn.XLOOKUP(tbl_MTG_Set[[#This Row],[Collector Booster Box Product Id]], tbl_Product[Product Id], tbl_Product[Best Source])</f>
        <v>#N/A</v>
      </c>
      <c r="AW758" s="4" t="e">
        <f>_xlfn.XLOOKUP(tbl_MTG_Set[[#This Row],[Collector Booster Box Product Id]], tbl_Product[Product Id], tbl_Product[Pack Size])</f>
        <v>#N/A</v>
      </c>
      <c r="AX758" s="10" t="e">
        <f>(tbl_MTG_Set[[#This Row],[Collector Booster Box Cost]] + v_Item_Shipping_Cost_In) / tbl_MTG_Set[[#This Row],[Collector Booster Box Size]]</f>
        <v>#N/A</v>
      </c>
      <c r="AY758" s="10" t="str" cm="1">
        <f t="array" ref="AY7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8" s="10"/>
      <c r="BA7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8" s="17" t="e">
        <f>tbl_MTG_Set[[#This Row],[Collector Booster CardMarket Profit]]/tbl_MTG_Set[[#This Row],[Collector Booster Cost]]</f>
        <v>#N/A</v>
      </c>
      <c r="BC758" s="10"/>
      <c r="BF7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8" s="11" t="e">
        <f>tbl_MTG_Set[[#This Row],[Play Singles CardMarket Profit MTG Stocks]]/tbl_MTG_Set[[#This Row],[Play Booster Cost]]</f>
        <v>#VALUE!</v>
      </c>
      <c r="BI758" s="11" t="b">
        <f>tbl_MTG_Set[[#This Row],[Play Singles CardMarket Profit MTG Stocks]]&gt;0</f>
        <v>0</v>
      </c>
      <c r="BM758" s="10" t="e">
        <f>tbl_MTG_Set[[#This Row],[Play Booster Sell Price CardMarket]]*tbl_MTG_Set[[#This Row],[Play Booster Expected Market Value BotBox]]/tbl_MTG_Set[[#This Row],[Play Booster Sealed Market Value BotBox]]</f>
        <v>#VALUE!</v>
      </c>
      <c r="BN7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8" s="10" t="e">
        <f>tbl_MTG_Set[[#This Row],[Play Singles CardMarket Profit BotBox]]/tbl_MTG_Set[[#This Row],[Play Booster Cost]]</f>
        <v>#VALUE!</v>
      </c>
      <c r="BP758" s="10" t="b">
        <f>tbl_MTG_Set[[#This Row],[Play Singles CardMarket Profit BotBox]]&gt;0</f>
        <v>0</v>
      </c>
      <c r="BQ758" s="10"/>
      <c r="BR758" s="10"/>
      <c r="BS758" s="10"/>
      <c r="BT7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8" s="19" t="e">
        <f>tbl_MTG_Set[[#This Row],[Collector Singles CardMarket Profit MTG Stocks]]/tbl_MTG_Set[[#This Row],[Collector Booster Cost]]</f>
        <v>#N/A</v>
      </c>
      <c r="BW758" s="10" t="b">
        <f>tbl_MTG_Set[[#This Row],[Collector Singles CardMarket Profit MTG Stocks]]&gt;0</f>
        <v>0</v>
      </c>
      <c r="BX758" s="10"/>
      <c r="BY758" s="10"/>
      <c r="BZ7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8" s="10" t="e">
        <f>tbl_MTG_Set[[#This Row],[Collector Singles CardMarket Profit BotBox]]/tbl_MTG_Set[[#This Row],[Collector Booster Cost]]</f>
        <v>#N/A</v>
      </c>
      <c r="CC758" s="10" t="b">
        <f>tbl_MTG_Set[[#This Row],[Collector Singles CardMarket Profit BotBox]]&gt;0</f>
        <v>0</v>
      </c>
      <c r="CD7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59" spans="1:86" hidden="1">
      <c r="A759">
        <v>791</v>
      </c>
      <c r="B759" t="s">
        <v>932</v>
      </c>
      <c r="C759">
        <v>3</v>
      </c>
      <c r="D759" s="3">
        <v>39913</v>
      </c>
      <c r="F759" t="s">
        <v>174</v>
      </c>
      <c r="G759">
        <v>1528</v>
      </c>
      <c r="H759">
        <f ca="1">MONTH(NOW())+12*YEAR(NOW())-MONTH(tbl_MTG_Set[[#This Row],[Released On]])-12*YEAR(tbl_MTG_Set[[#This Row],[Released On]])</f>
        <v>203</v>
      </c>
      <c r="I759" t="str">
        <f>_xlfn.XLOOKUP(tbl_MTG_Set[[#This Row],[Type Name]], tbl_MTG_Set_Type[Set Type], tbl_MTG_Set_Type[Index], "(Set Type not found)")</f>
        <v>(Set Type not found)</v>
      </c>
      <c r="J759" t="str">
        <f>_xlfn.XLOOKUP(tbl_MTG_Set[[#This Row],[Type Name]], tbl_MTG_Set_Type[Set Type], tbl_MTG_Set_Type[Buy Window Month Start], "(Set Type not found)")</f>
        <v>(Set Type not found)</v>
      </c>
      <c r="K759" s="3" t="e">
        <f>tbl_MTG_Set[[#This Row],[Released On]]+tbl_MTG_Set[[#This Row],[Buy Window Month Start]]*365.25/12</f>
        <v>#VALUE!</v>
      </c>
      <c r="L759" t="str">
        <f>_xlfn.XLOOKUP(tbl_MTG_Set[[#This Row],[Type Name]], tbl_MTG_Set_Type[Set Type], tbl_MTG_Set_Type[Buy Window Month End], "(Set Type not found)", 0, 1)</f>
        <v>(Set Type not found)</v>
      </c>
      <c r="M759" s="3" t="e">
        <f>tbl_MTG_Set[[#This Row],[Released On]]+tbl_MTG_Set[[#This Row],[Buy Window Month End]]*365.25/12</f>
        <v>#VALUE!</v>
      </c>
      <c r="N759" s="3" t="e">
        <f ca="1">AND(NOW()&gt;=tbl_MTG_Set[[#This Row],[Buy Window Start]], NOW()&lt;=tbl_MTG_Set[[#This Row],[Buy Window End]])</f>
        <v>#VALUE!</v>
      </c>
      <c r="O759" t="str">
        <f>_xlfn.XLOOKUP(tbl_MTG_Set[[#This Row],[Type Name]], tbl_MTG_Set_Type[Set Type], tbl_MTG_Set_Type[Heavy Printing Window Month Start], "(Set Type not found)", 0, 1)</f>
        <v>(Set Type not found)</v>
      </c>
      <c r="P759" s="3" t="e">
        <f>tbl_MTG_Set[[#This Row],[Released On]]+tbl_MTG_Set[[#This Row],[Heavy Printing Window Month Start]]*365.25/12</f>
        <v>#VALUE!</v>
      </c>
      <c r="Q759" t="str">
        <f>_xlfn.XLOOKUP(tbl_MTG_Set[[#This Row],[Type Name]], tbl_MTG_Set_Type[Set Type], tbl_MTG_Set_Type[Heavy Printing Window Month End], "(Set Type not found)", 0, 1)</f>
        <v>(Set Type not found)</v>
      </c>
      <c r="R759" s="3" t="e">
        <f>tbl_MTG_Set[[#This Row],[Released On]]+tbl_MTG_Set[[#This Row],[Heavy Printing Window Month End]]*365.25/12</f>
        <v>#VALUE!</v>
      </c>
      <c r="S759" s="3" t="e">
        <f ca="1">AND(NOW()&gt;=tbl_MTG_Set[[#This Row],[Heavy Printing Window Start]], NOW()&lt;=tbl_MTG_Set[[#This Row],[Heavy Printing Window End]])</f>
        <v>#VALUE!</v>
      </c>
      <c r="T759" t="str">
        <f>_xlfn.XLOOKUP(tbl_MTG_Set[[#This Row],[Type Name]], tbl_MTG_Set_Type[Set Type], tbl_MTG_Set_Type[Sell Window Month Start], "(Set Type not found)", 0, 1)</f>
        <v>(Set Type not found)</v>
      </c>
      <c r="U759" s="3" t="e">
        <f>tbl_MTG_Set[[#This Row],[Released On]]+tbl_MTG_Set[[#This Row],[Sell Window Month Start]]*365.25/12</f>
        <v>#VALUE!</v>
      </c>
      <c r="V759" t="str">
        <f>_xlfn.XLOOKUP(tbl_MTG_Set[[#This Row],[Type Name]], tbl_MTG_Set_Type[Set Type], tbl_MTG_Set_Type[Sell Window Month End], "(Set Type not found)", 0, 1)</f>
        <v>(Set Type not found)</v>
      </c>
      <c r="W759" s="3" t="e">
        <f>tbl_MTG_Set[[#This Row],[Released On]]+tbl_MTG_Set[[#This Row],[Sell Window Month End]]*365.25/12</f>
        <v>#VALUE!</v>
      </c>
      <c r="X759" s="3" t="e">
        <f ca="1">AND(NOW()&gt;=tbl_MTG_Set[[#This Row],[Sell Window Start]], NOW()&lt;=tbl_MTG_Set[[#This Row],[Sell Window End]])</f>
        <v>#VALUE!</v>
      </c>
      <c r="AG759" s="10"/>
      <c r="AH759" s="10"/>
      <c r="AM759" s="10" t="str" cm="1">
        <f t="array" ref="AM7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59" s="10" t="str" cm="1">
        <f t="array" ref="AN7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59" s="4" t="e">
        <f>_xlfn.XLOOKUP(tbl_MTG_Set[[#This Row],[Play Booster Box Product Id]], tbl_Product[Product Id], tbl_Product[Pack Size])</f>
        <v>#N/A</v>
      </c>
      <c r="AP759" s="10" t="e">
        <f>(tbl_MTG_Set[[#This Row],[Play Booster Box Cost]]+v_Item_Shipping_Cost_In)/tbl_MTG_Set[[#This Row],[Play Booster Box Size]]</f>
        <v>#VALUE!</v>
      </c>
      <c r="AQ759" s="10" t="str" cm="1">
        <f t="array" ref="AQ7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59" s="10"/>
      <c r="AS759" s="10"/>
      <c r="AT759" s="17" t="e">
        <f>tbl_MTG_Set[[#This Row],[Play Booster CardMarket Profit]]/tbl_MTG_Set[[#This Row],[Play Booster Cost]]</f>
        <v>#VALUE!</v>
      </c>
      <c r="AU759" s="10" t="e">
        <f>_xlfn.XLOOKUP(tbl_MTG_Set[[#This Row],[Collector Booster Box Product Id]], tbl_Product[Product Id], tbl_Product[Min Cost])</f>
        <v>#N/A</v>
      </c>
      <c r="AV759" s="10" t="e">
        <f>_xlfn.XLOOKUP(tbl_MTG_Set[[#This Row],[Collector Booster Box Product Id]], tbl_Product[Product Id], tbl_Product[Best Source])</f>
        <v>#N/A</v>
      </c>
      <c r="AW759" s="4" t="e">
        <f>_xlfn.XLOOKUP(tbl_MTG_Set[[#This Row],[Collector Booster Box Product Id]], tbl_Product[Product Id], tbl_Product[Pack Size])</f>
        <v>#N/A</v>
      </c>
      <c r="AX759" s="10" t="e">
        <f>(tbl_MTG_Set[[#This Row],[Collector Booster Box Cost]] + v_Item_Shipping_Cost_In) / tbl_MTG_Set[[#This Row],[Collector Booster Box Size]]</f>
        <v>#N/A</v>
      </c>
      <c r="AY759" s="10" t="str" cm="1">
        <f t="array" ref="AY7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59" s="10"/>
      <c r="BA7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59" s="17" t="e">
        <f>tbl_MTG_Set[[#This Row],[Collector Booster CardMarket Profit]]/tbl_MTG_Set[[#This Row],[Collector Booster Cost]]</f>
        <v>#N/A</v>
      </c>
      <c r="BC759" s="10"/>
      <c r="BF7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59" s="11" t="e">
        <f>tbl_MTG_Set[[#This Row],[Play Singles CardMarket Profit MTG Stocks]]/tbl_MTG_Set[[#This Row],[Play Booster Cost]]</f>
        <v>#VALUE!</v>
      </c>
      <c r="BI759" s="11" t="b">
        <f>tbl_MTG_Set[[#This Row],[Play Singles CardMarket Profit MTG Stocks]]&gt;0</f>
        <v>0</v>
      </c>
      <c r="BM759" s="10" t="e">
        <f>tbl_MTG_Set[[#This Row],[Play Booster Sell Price CardMarket]]*tbl_MTG_Set[[#This Row],[Play Booster Expected Market Value BotBox]]/tbl_MTG_Set[[#This Row],[Play Booster Sealed Market Value BotBox]]</f>
        <v>#VALUE!</v>
      </c>
      <c r="BN7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59" s="10" t="e">
        <f>tbl_MTG_Set[[#This Row],[Play Singles CardMarket Profit BotBox]]/tbl_MTG_Set[[#This Row],[Play Booster Cost]]</f>
        <v>#VALUE!</v>
      </c>
      <c r="BP759" s="10" t="b">
        <f>tbl_MTG_Set[[#This Row],[Play Singles CardMarket Profit BotBox]]&gt;0</f>
        <v>0</v>
      </c>
      <c r="BQ759" s="10"/>
      <c r="BR759" s="10"/>
      <c r="BS759" s="10"/>
      <c r="BT7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59" s="19" t="e">
        <f>tbl_MTG_Set[[#This Row],[Collector Singles CardMarket Profit MTG Stocks]]/tbl_MTG_Set[[#This Row],[Collector Booster Cost]]</f>
        <v>#N/A</v>
      </c>
      <c r="BW759" s="10" t="b">
        <f>tbl_MTG_Set[[#This Row],[Collector Singles CardMarket Profit MTG Stocks]]&gt;0</f>
        <v>0</v>
      </c>
      <c r="BX759" s="10"/>
      <c r="BY759" s="10"/>
      <c r="BZ7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59" s="10" t="e">
        <f>tbl_MTG_Set[[#This Row],[Collector Singles CardMarket Profit BotBox]]/tbl_MTG_Set[[#This Row],[Collector Booster Cost]]</f>
        <v>#N/A</v>
      </c>
      <c r="CC759" s="10" t="b">
        <f>tbl_MTG_Set[[#This Row],[Collector Singles CardMarket Profit BotBox]]&gt;0</f>
        <v>0</v>
      </c>
      <c r="CD7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0" spans="1:86" hidden="1">
      <c r="A760">
        <v>792</v>
      </c>
      <c r="B760" t="s">
        <v>933</v>
      </c>
      <c r="C760">
        <v>15</v>
      </c>
      <c r="D760" s="3">
        <v>39852</v>
      </c>
      <c r="F760" t="s">
        <v>174</v>
      </c>
      <c r="G760">
        <v>1530</v>
      </c>
      <c r="H760">
        <f ca="1">MONTH(NOW())+12*YEAR(NOW())-MONTH(tbl_MTG_Set[[#This Row],[Released On]])-12*YEAR(tbl_MTG_Set[[#This Row],[Released On]])</f>
        <v>205</v>
      </c>
      <c r="I760" t="str">
        <f>_xlfn.XLOOKUP(tbl_MTG_Set[[#This Row],[Type Name]], tbl_MTG_Set_Type[Set Type], tbl_MTG_Set_Type[Index], "(Set Type not found)")</f>
        <v>(Set Type not found)</v>
      </c>
      <c r="J760" t="str">
        <f>_xlfn.XLOOKUP(tbl_MTG_Set[[#This Row],[Type Name]], tbl_MTG_Set_Type[Set Type], tbl_MTG_Set_Type[Buy Window Month Start], "(Set Type not found)")</f>
        <v>(Set Type not found)</v>
      </c>
      <c r="K760" s="3" t="e">
        <f>tbl_MTG_Set[[#This Row],[Released On]]+tbl_MTG_Set[[#This Row],[Buy Window Month Start]]*365.25/12</f>
        <v>#VALUE!</v>
      </c>
      <c r="L760" t="str">
        <f>_xlfn.XLOOKUP(tbl_MTG_Set[[#This Row],[Type Name]], tbl_MTG_Set_Type[Set Type], tbl_MTG_Set_Type[Buy Window Month End], "(Set Type not found)", 0, 1)</f>
        <v>(Set Type not found)</v>
      </c>
      <c r="M760" s="3" t="e">
        <f>tbl_MTG_Set[[#This Row],[Released On]]+tbl_MTG_Set[[#This Row],[Buy Window Month End]]*365.25/12</f>
        <v>#VALUE!</v>
      </c>
      <c r="N760" s="3" t="e">
        <f ca="1">AND(NOW()&gt;=tbl_MTG_Set[[#This Row],[Buy Window Start]], NOW()&lt;=tbl_MTG_Set[[#This Row],[Buy Window End]])</f>
        <v>#VALUE!</v>
      </c>
      <c r="O760" t="str">
        <f>_xlfn.XLOOKUP(tbl_MTG_Set[[#This Row],[Type Name]], tbl_MTG_Set_Type[Set Type], tbl_MTG_Set_Type[Heavy Printing Window Month Start], "(Set Type not found)", 0, 1)</f>
        <v>(Set Type not found)</v>
      </c>
      <c r="P760" s="3" t="e">
        <f>tbl_MTG_Set[[#This Row],[Released On]]+tbl_MTG_Set[[#This Row],[Heavy Printing Window Month Start]]*365.25/12</f>
        <v>#VALUE!</v>
      </c>
      <c r="Q760" t="str">
        <f>_xlfn.XLOOKUP(tbl_MTG_Set[[#This Row],[Type Name]], tbl_MTG_Set_Type[Set Type], tbl_MTG_Set_Type[Heavy Printing Window Month End], "(Set Type not found)", 0, 1)</f>
        <v>(Set Type not found)</v>
      </c>
      <c r="R760" s="3" t="e">
        <f>tbl_MTG_Set[[#This Row],[Released On]]+tbl_MTG_Set[[#This Row],[Heavy Printing Window Month End]]*365.25/12</f>
        <v>#VALUE!</v>
      </c>
      <c r="S760" s="3" t="e">
        <f ca="1">AND(NOW()&gt;=tbl_MTG_Set[[#This Row],[Heavy Printing Window Start]], NOW()&lt;=tbl_MTG_Set[[#This Row],[Heavy Printing Window End]])</f>
        <v>#VALUE!</v>
      </c>
      <c r="T760" t="str">
        <f>_xlfn.XLOOKUP(tbl_MTG_Set[[#This Row],[Type Name]], tbl_MTG_Set_Type[Set Type], tbl_MTG_Set_Type[Sell Window Month Start], "(Set Type not found)", 0, 1)</f>
        <v>(Set Type not found)</v>
      </c>
      <c r="U760" s="3" t="e">
        <f>tbl_MTG_Set[[#This Row],[Released On]]+tbl_MTG_Set[[#This Row],[Sell Window Month Start]]*365.25/12</f>
        <v>#VALUE!</v>
      </c>
      <c r="V760" t="str">
        <f>_xlfn.XLOOKUP(tbl_MTG_Set[[#This Row],[Type Name]], tbl_MTG_Set_Type[Set Type], tbl_MTG_Set_Type[Sell Window Month End], "(Set Type not found)", 0, 1)</f>
        <v>(Set Type not found)</v>
      </c>
      <c r="W760" s="3" t="e">
        <f>tbl_MTG_Set[[#This Row],[Released On]]+tbl_MTG_Set[[#This Row],[Sell Window Month End]]*365.25/12</f>
        <v>#VALUE!</v>
      </c>
      <c r="X760" s="3" t="e">
        <f ca="1">AND(NOW()&gt;=tbl_MTG_Set[[#This Row],[Sell Window Start]], NOW()&lt;=tbl_MTG_Set[[#This Row],[Sell Window End]])</f>
        <v>#VALUE!</v>
      </c>
      <c r="AG760" s="10"/>
      <c r="AH760" s="10"/>
      <c r="AM760" s="10" t="str" cm="1">
        <f t="array" ref="AM7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0" s="10" t="str" cm="1">
        <f t="array" ref="AN7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0" s="4" t="e">
        <f>_xlfn.XLOOKUP(tbl_MTG_Set[[#This Row],[Play Booster Box Product Id]], tbl_Product[Product Id], tbl_Product[Pack Size])</f>
        <v>#N/A</v>
      </c>
      <c r="AP760" s="10" t="e">
        <f>(tbl_MTG_Set[[#This Row],[Play Booster Box Cost]]+v_Item_Shipping_Cost_In)/tbl_MTG_Set[[#This Row],[Play Booster Box Size]]</f>
        <v>#VALUE!</v>
      </c>
      <c r="AQ760" s="10" t="str" cm="1">
        <f t="array" ref="AQ7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0" s="10"/>
      <c r="AS760" s="10"/>
      <c r="AT760" s="17" t="e">
        <f>tbl_MTG_Set[[#This Row],[Play Booster CardMarket Profit]]/tbl_MTG_Set[[#This Row],[Play Booster Cost]]</f>
        <v>#VALUE!</v>
      </c>
      <c r="AU760" s="10" t="e">
        <f>_xlfn.XLOOKUP(tbl_MTG_Set[[#This Row],[Collector Booster Box Product Id]], tbl_Product[Product Id], tbl_Product[Min Cost])</f>
        <v>#N/A</v>
      </c>
      <c r="AV760" s="10" t="e">
        <f>_xlfn.XLOOKUP(tbl_MTG_Set[[#This Row],[Collector Booster Box Product Id]], tbl_Product[Product Id], tbl_Product[Best Source])</f>
        <v>#N/A</v>
      </c>
      <c r="AW760" s="4" t="e">
        <f>_xlfn.XLOOKUP(tbl_MTG_Set[[#This Row],[Collector Booster Box Product Id]], tbl_Product[Product Id], tbl_Product[Pack Size])</f>
        <v>#N/A</v>
      </c>
      <c r="AX760" s="10" t="e">
        <f>(tbl_MTG_Set[[#This Row],[Collector Booster Box Cost]] + v_Item_Shipping_Cost_In) / tbl_MTG_Set[[#This Row],[Collector Booster Box Size]]</f>
        <v>#N/A</v>
      </c>
      <c r="AY760" s="10" t="str" cm="1">
        <f t="array" ref="AY7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0" s="10"/>
      <c r="BA7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0" s="17" t="e">
        <f>tbl_MTG_Set[[#This Row],[Collector Booster CardMarket Profit]]/tbl_MTG_Set[[#This Row],[Collector Booster Cost]]</f>
        <v>#N/A</v>
      </c>
      <c r="BC760" s="10"/>
      <c r="BF7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0" s="11" t="e">
        <f>tbl_MTG_Set[[#This Row],[Play Singles CardMarket Profit MTG Stocks]]/tbl_MTG_Set[[#This Row],[Play Booster Cost]]</f>
        <v>#VALUE!</v>
      </c>
      <c r="BI760" s="11" t="b">
        <f>tbl_MTG_Set[[#This Row],[Play Singles CardMarket Profit MTG Stocks]]&gt;0</f>
        <v>0</v>
      </c>
      <c r="BM760" s="10" t="e">
        <f>tbl_MTG_Set[[#This Row],[Play Booster Sell Price CardMarket]]*tbl_MTG_Set[[#This Row],[Play Booster Expected Market Value BotBox]]/tbl_MTG_Set[[#This Row],[Play Booster Sealed Market Value BotBox]]</f>
        <v>#VALUE!</v>
      </c>
      <c r="BN7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0" s="10" t="e">
        <f>tbl_MTG_Set[[#This Row],[Play Singles CardMarket Profit BotBox]]/tbl_MTG_Set[[#This Row],[Play Booster Cost]]</f>
        <v>#VALUE!</v>
      </c>
      <c r="BP760" s="10" t="b">
        <f>tbl_MTG_Set[[#This Row],[Play Singles CardMarket Profit BotBox]]&gt;0</f>
        <v>0</v>
      </c>
      <c r="BQ760" s="10"/>
      <c r="BR760" s="10"/>
      <c r="BS760" s="10"/>
      <c r="BT7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0" s="19" t="e">
        <f>tbl_MTG_Set[[#This Row],[Collector Singles CardMarket Profit MTG Stocks]]/tbl_MTG_Set[[#This Row],[Collector Booster Cost]]</f>
        <v>#N/A</v>
      </c>
      <c r="BW760" s="10" t="b">
        <f>tbl_MTG_Set[[#This Row],[Collector Singles CardMarket Profit MTG Stocks]]&gt;0</f>
        <v>0</v>
      </c>
      <c r="BX760" s="10"/>
      <c r="BY760" s="10"/>
      <c r="BZ7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0" s="10" t="e">
        <f>tbl_MTG_Set[[#This Row],[Collector Singles CardMarket Profit BotBox]]/tbl_MTG_Set[[#This Row],[Collector Booster Cost]]</f>
        <v>#N/A</v>
      </c>
      <c r="CC760" s="10" t="b">
        <f>tbl_MTG_Set[[#This Row],[Collector Singles CardMarket Profit BotBox]]&gt;0</f>
        <v>0</v>
      </c>
      <c r="CD7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1" spans="1:86" hidden="1">
      <c r="A761">
        <v>793</v>
      </c>
      <c r="B761" t="s">
        <v>934</v>
      </c>
      <c r="C761">
        <v>145</v>
      </c>
      <c r="D761" s="3">
        <v>39850</v>
      </c>
      <c r="F761" t="s">
        <v>174</v>
      </c>
      <c r="G761">
        <v>1532</v>
      </c>
      <c r="H761">
        <f ca="1">MONTH(NOW())+12*YEAR(NOW())-MONTH(tbl_MTG_Set[[#This Row],[Released On]])-12*YEAR(tbl_MTG_Set[[#This Row],[Released On]])</f>
        <v>205</v>
      </c>
      <c r="I761" t="str">
        <f>_xlfn.XLOOKUP(tbl_MTG_Set[[#This Row],[Type Name]], tbl_MTG_Set_Type[Set Type], tbl_MTG_Set_Type[Index], "(Set Type not found)")</f>
        <v>(Set Type not found)</v>
      </c>
      <c r="J761" t="str">
        <f>_xlfn.XLOOKUP(tbl_MTG_Set[[#This Row],[Type Name]], tbl_MTG_Set_Type[Set Type], tbl_MTG_Set_Type[Buy Window Month Start], "(Set Type not found)")</f>
        <v>(Set Type not found)</v>
      </c>
      <c r="K761" s="3" t="e">
        <f>tbl_MTG_Set[[#This Row],[Released On]]+tbl_MTG_Set[[#This Row],[Buy Window Month Start]]*365.25/12</f>
        <v>#VALUE!</v>
      </c>
      <c r="L761" t="str">
        <f>_xlfn.XLOOKUP(tbl_MTG_Set[[#This Row],[Type Name]], tbl_MTG_Set_Type[Set Type], tbl_MTG_Set_Type[Buy Window Month End], "(Set Type not found)", 0, 1)</f>
        <v>(Set Type not found)</v>
      </c>
      <c r="M761" s="3" t="e">
        <f>tbl_MTG_Set[[#This Row],[Released On]]+tbl_MTG_Set[[#This Row],[Buy Window Month End]]*365.25/12</f>
        <v>#VALUE!</v>
      </c>
      <c r="N761" s="3" t="e">
        <f ca="1">AND(NOW()&gt;=tbl_MTG_Set[[#This Row],[Buy Window Start]], NOW()&lt;=tbl_MTG_Set[[#This Row],[Buy Window End]])</f>
        <v>#VALUE!</v>
      </c>
      <c r="O761" t="str">
        <f>_xlfn.XLOOKUP(tbl_MTG_Set[[#This Row],[Type Name]], tbl_MTG_Set_Type[Set Type], tbl_MTG_Set_Type[Heavy Printing Window Month Start], "(Set Type not found)", 0, 1)</f>
        <v>(Set Type not found)</v>
      </c>
      <c r="P761" s="3" t="e">
        <f>tbl_MTG_Set[[#This Row],[Released On]]+tbl_MTG_Set[[#This Row],[Heavy Printing Window Month Start]]*365.25/12</f>
        <v>#VALUE!</v>
      </c>
      <c r="Q761" t="str">
        <f>_xlfn.XLOOKUP(tbl_MTG_Set[[#This Row],[Type Name]], tbl_MTG_Set_Type[Set Type], tbl_MTG_Set_Type[Heavy Printing Window Month End], "(Set Type not found)", 0, 1)</f>
        <v>(Set Type not found)</v>
      </c>
      <c r="R761" s="3" t="e">
        <f>tbl_MTG_Set[[#This Row],[Released On]]+tbl_MTG_Set[[#This Row],[Heavy Printing Window Month End]]*365.25/12</f>
        <v>#VALUE!</v>
      </c>
      <c r="S761" s="3" t="e">
        <f ca="1">AND(NOW()&gt;=tbl_MTG_Set[[#This Row],[Heavy Printing Window Start]], NOW()&lt;=tbl_MTG_Set[[#This Row],[Heavy Printing Window End]])</f>
        <v>#VALUE!</v>
      </c>
      <c r="T761" t="str">
        <f>_xlfn.XLOOKUP(tbl_MTG_Set[[#This Row],[Type Name]], tbl_MTG_Set_Type[Set Type], tbl_MTG_Set_Type[Sell Window Month Start], "(Set Type not found)", 0, 1)</f>
        <v>(Set Type not found)</v>
      </c>
      <c r="U761" s="3" t="e">
        <f>tbl_MTG_Set[[#This Row],[Released On]]+tbl_MTG_Set[[#This Row],[Sell Window Month Start]]*365.25/12</f>
        <v>#VALUE!</v>
      </c>
      <c r="V761" t="str">
        <f>_xlfn.XLOOKUP(tbl_MTG_Set[[#This Row],[Type Name]], tbl_MTG_Set_Type[Set Type], tbl_MTG_Set_Type[Sell Window Month End], "(Set Type not found)", 0, 1)</f>
        <v>(Set Type not found)</v>
      </c>
      <c r="W761" s="3" t="e">
        <f>tbl_MTG_Set[[#This Row],[Released On]]+tbl_MTG_Set[[#This Row],[Sell Window Month End]]*365.25/12</f>
        <v>#VALUE!</v>
      </c>
      <c r="X761" s="3" t="e">
        <f ca="1">AND(NOW()&gt;=tbl_MTG_Set[[#This Row],[Sell Window Start]], NOW()&lt;=tbl_MTG_Set[[#This Row],[Sell Window End]])</f>
        <v>#VALUE!</v>
      </c>
      <c r="AG761" s="10"/>
      <c r="AH761" s="10"/>
      <c r="AM761" s="10" t="str" cm="1">
        <f t="array" ref="AM7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1" s="10" t="str" cm="1">
        <f t="array" ref="AN7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1" s="4" t="e">
        <f>_xlfn.XLOOKUP(tbl_MTG_Set[[#This Row],[Play Booster Box Product Id]], tbl_Product[Product Id], tbl_Product[Pack Size])</f>
        <v>#N/A</v>
      </c>
      <c r="AP761" s="10" t="e">
        <f>(tbl_MTG_Set[[#This Row],[Play Booster Box Cost]]+v_Item_Shipping_Cost_In)/tbl_MTG_Set[[#This Row],[Play Booster Box Size]]</f>
        <v>#VALUE!</v>
      </c>
      <c r="AQ761" s="10" t="str" cm="1">
        <f t="array" ref="AQ7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1" s="10"/>
      <c r="AS761" s="10"/>
      <c r="AT761" s="17" t="e">
        <f>tbl_MTG_Set[[#This Row],[Play Booster CardMarket Profit]]/tbl_MTG_Set[[#This Row],[Play Booster Cost]]</f>
        <v>#VALUE!</v>
      </c>
      <c r="AU761" s="10" t="e">
        <f>_xlfn.XLOOKUP(tbl_MTG_Set[[#This Row],[Collector Booster Box Product Id]], tbl_Product[Product Id], tbl_Product[Min Cost])</f>
        <v>#N/A</v>
      </c>
      <c r="AV761" s="10" t="e">
        <f>_xlfn.XLOOKUP(tbl_MTG_Set[[#This Row],[Collector Booster Box Product Id]], tbl_Product[Product Id], tbl_Product[Best Source])</f>
        <v>#N/A</v>
      </c>
      <c r="AW761" s="4" t="e">
        <f>_xlfn.XLOOKUP(tbl_MTG_Set[[#This Row],[Collector Booster Box Product Id]], tbl_Product[Product Id], tbl_Product[Pack Size])</f>
        <v>#N/A</v>
      </c>
      <c r="AX761" s="10" t="e">
        <f>(tbl_MTG_Set[[#This Row],[Collector Booster Box Cost]] + v_Item_Shipping_Cost_In) / tbl_MTG_Set[[#This Row],[Collector Booster Box Size]]</f>
        <v>#N/A</v>
      </c>
      <c r="AY761" s="10" t="str" cm="1">
        <f t="array" ref="AY7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1" s="10"/>
      <c r="BA7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1" s="17" t="e">
        <f>tbl_MTG_Set[[#This Row],[Collector Booster CardMarket Profit]]/tbl_MTG_Set[[#This Row],[Collector Booster Cost]]</f>
        <v>#N/A</v>
      </c>
      <c r="BC761" s="10"/>
      <c r="BF7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1" s="11" t="e">
        <f>tbl_MTG_Set[[#This Row],[Play Singles CardMarket Profit MTG Stocks]]/tbl_MTG_Set[[#This Row],[Play Booster Cost]]</f>
        <v>#VALUE!</v>
      </c>
      <c r="BI761" s="11" t="b">
        <f>tbl_MTG_Set[[#This Row],[Play Singles CardMarket Profit MTG Stocks]]&gt;0</f>
        <v>0</v>
      </c>
      <c r="BM761" s="10" t="e">
        <f>tbl_MTG_Set[[#This Row],[Play Booster Sell Price CardMarket]]*tbl_MTG_Set[[#This Row],[Play Booster Expected Market Value BotBox]]/tbl_MTG_Set[[#This Row],[Play Booster Sealed Market Value BotBox]]</f>
        <v>#VALUE!</v>
      </c>
      <c r="BN7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1" s="10" t="e">
        <f>tbl_MTG_Set[[#This Row],[Play Singles CardMarket Profit BotBox]]/tbl_MTG_Set[[#This Row],[Play Booster Cost]]</f>
        <v>#VALUE!</v>
      </c>
      <c r="BP761" s="10" t="b">
        <f>tbl_MTG_Set[[#This Row],[Play Singles CardMarket Profit BotBox]]&gt;0</f>
        <v>0</v>
      </c>
      <c r="BQ761" s="10"/>
      <c r="BR761" s="10"/>
      <c r="BS761" s="10"/>
      <c r="BT7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1" s="19" t="e">
        <f>tbl_MTG_Set[[#This Row],[Collector Singles CardMarket Profit MTG Stocks]]/tbl_MTG_Set[[#This Row],[Collector Booster Cost]]</f>
        <v>#N/A</v>
      </c>
      <c r="BW761" s="10" t="b">
        <f>tbl_MTG_Set[[#This Row],[Collector Singles CardMarket Profit MTG Stocks]]&gt;0</f>
        <v>0</v>
      </c>
      <c r="BX761" s="10"/>
      <c r="BY761" s="10"/>
      <c r="BZ7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1" s="10" t="e">
        <f>tbl_MTG_Set[[#This Row],[Collector Singles CardMarket Profit BotBox]]/tbl_MTG_Set[[#This Row],[Collector Booster Cost]]</f>
        <v>#N/A</v>
      </c>
      <c r="CC761" s="10" t="b">
        <f>tbl_MTG_Set[[#This Row],[Collector Singles CardMarket Profit BotBox]]&gt;0</f>
        <v>0</v>
      </c>
      <c r="CD7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2" spans="1:86" hidden="1">
      <c r="A762">
        <v>794</v>
      </c>
      <c r="B762" t="s">
        <v>935</v>
      </c>
      <c r="C762">
        <v>2</v>
      </c>
      <c r="D762" s="3">
        <v>39850</v>
      </c>
      <c r="F762" t="s">
        <v>174</v>
      </c>
      <c r="G762">
        <v>1534</v>
      </c>
      <c r="H762">
        <f ca="1">MONTH(NOW())+12*YEAR(NOW())-MONTH(tbl_MTG_Set[[#This Row],[Released On]])-12*YEAR(tbl_MTG_Set[[#This Row],[Released On]])</f>
        <v>205</v>
      </c>
      <c r="I762" t="str">
        <f>_xlfn.XLOOKUP(tbl_MTG_Set[[#This Row],[Type Name]], tbl_MTG_Set_Type[Set Type], tbl_MTG_Set_Type[Index], "(Set Type not found)")</f>
        <v>(Set Type not found)</v>
      </c>
      <c r="J762" t="str">
        <f>_xlfn.XLOOKUP(tbl_MTG_Set[[#This Row],[Type Name]], tbl_MTG_Set_Type[Set Type], tbl_MTG_Set_Type[Buy Window Month Start], "(Set Type not found)")</f>
        <v>(Set Type not found)</v>
      </c>
      <c r="K762" s="3" t="e">
        <f>tbl_MTG_Set[[#This Row],[Released On]]+tbl_MTG_Set[[#This Row],[Buy Window Month Start]]*365.25/12</f>
        <v>#VALUE!</v>
      </c>
      <c r="L762" t="str">
        <f>_xlfn.XLOOKUP(tbl_MTG_Set[[#This Row],[Type Name]], tbl_MTG_Set_Type[Set Type], tbl_MTG_Set_Type[Buy Window Month End], "(Set Type not found)", 0, 1)</f>
        <v>(Set Type not found)</v>
      </c>
      <c r="M762" s="3" t="e">
        <f>tbl_MTG_Set[[#This Row],[Released On]]+tbl_MTG_Set[[#This Row],[Buy Window Month End]]*365.25/12</f>
        <v>#VALUE!</v>
      </c>
      <c r="N762" s="3" t="e">
        <f ca="1">AND(NOW()&gt;=tbl_MTG_Set[[#This Row],[Buy Window Start]], NOW()&lt;=tbl_MTG_Set[[#This Row],[Buy Window End]])</f>
        <v>#VALUE!</v>
      </c>
      <c r="O762" t="str">
        <f>_xlfn.XLOOKUP(tbl_MTG_Set[[#This Row],[Type Name]], tbl_MTG_Set_Type[Set Type], tbl_MTG_Set_Type[Heavy Printing Window Month Start], "(Set Type not found)", 0, 1)</f>
        <v>(Set Type not found)</v>
      </c>
      <c r="P762" s="3" t="e">
        <f>tbl_MTG_Set[[#This Row],[Released On]]+tbl_MTG_Set[[#This Row],[Heavy Printing Window Month Start]]*365.25/12</f>
        <v>#VALUE!</v>
      </c>
      <c r="Q762" t="str">
        <f>_xlfn.XLOOKUP(tbl_MTG_Set[[#This Row],[Type Name]], tbl_MTG_Set_Type[Set Type], tbl_MTG_Set_Type[Heavy Printing Window Month End], "(Set Type not found)", 0, 1)</f>
        <v>(Set Type not found)</v>
      </c>
      <c r="R762" s="3" t="e">
        <f>tbl_MTG_Set[[#This Row],[Released On]]+tbl_MTG_Set[[#This Row],[Heavy Printing Window Month End]]*365.25/12</f>
        <v>#VALUE!</v>
      </c>
      <c r="S762" s="3" t="e">
        <f ca="1">AND(NOW()&gt;=tbl_MTG_Set[[#This Row],[Heavy Printing Window Start]], NOW()&lt;=tbl_MTG_Set[[#This Row],[Heavy Printing Window End]])</f>
        <v>#VALUE!</v>
      </c>
      <c r="T762" t="str">
        <f>_xlfn.XLOOKUP(tbl_MTG_Set[[#This Row],[Type Name]], tbl_MTG_Set_Type[Set Type], tbl_MTG_Set_Type[Sell Window Month Start], "(Set Type not found)", 0, 1)</f>
        <v>(Set Type not found)</v>
      </c>
      <c r="U762" s="3" t="e">
        <f>tbl_MTG_Set[[#This Row],[Released On]]+tbl_MTG_Set[[#This Row],[Sell Window Month Start]]*365.25/12</f>
        <v>#VALUE!</v>
      </c>
      <c r="V762" t="str">
        <f>_xlfn.XLOOKUP(tbl_MTG_Set[[#This Row],[Type Name]], tbl_MTG_Set_Type[Set Type], tbl_MTG_Set_Type[Sell Window Month End], "(Set Type not found)", 0, 1)</f>
        <v>(Set Type not found)</v>
      </c>
      <c r="W762" s="3" t="e">
        <f>tbl_MTG_Set[[#This Row],[Released On]]+tbl_MTG_Set[[#This Row],[Sell Window Month End]]*365.25/12</f>
        <v>#VALUE!</v>
      </c>
      <c r="X762" s="3" t="e">
        <f ca="1">AND(NOW()&gt;=tbl_MTG_Set[[#This Row],[Sell Window Start]], NOW()&lt;=tbl_MTG_Set[[#This Row],[Sell Window End]])</f>
        <v>#VALUE!</v>
      </c>
      <c r="AG762" s="10"/>
      <c r="AH762" s="10"/>
      <c r="AM762" s="10" t="str" cm="1">
        <f t="array" ref="AM7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2" s="10" t="str" cm="1">
        <f t="array" ref="AN7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2" s="4" t="e">
        <f>_xlfn.XLOOKUP(tbl_MTG_Set[[#This Row],[Play Booster Box Product Id]], tbl_Product[Product Id], tbl_Product[Pack Size])</f>
        <v>#N/A</v>
      </c>
      <c r="AP762" s="10" t="e">
        <f>(tbl_MTG_Set[[#This Row],[Play Booster Box Cost]]+v_Item_Shipping_Cost_In)/tbl_MTG_Set[[#This Row],[Play Booster Box Size]]</f>
        <v>#VALUE!</v>
      </c>
      <c r="AQ762" s="10" t="str" cm="1">
        <f t="array" ref="AQ7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2" s="10"/>
      <c r="AS762" s="10"/>
      <c r="AT762" s="17" t="e">
        <f>tbl_MTG_Set[[#This Row],[Play Booster CardMarket Profit]]/tbl_MTG_Set[[#This Row],[Play Booster Cost]]</f>
        <v>#VALUE!</v>
      </c>
      <c r="AU762" s="10" t="e">
        <f>_xlfn.XLOOKUP(tbl_MTG_Set[[#This Row],[Collector Booster Box Product Id]], tbl_Product[Product Id], tbl_Product[Min Cost])</f>
        <v>#N/A</v>
      </c>
      <c r="AV762" s="10" t="e">
        <f>_xlfn.XLOOKUP(tbl_MTG_Set[[#This Row],[Collector Booster Box Product Id]], tbl_Product[Product Id], tbl_Product[Best Source])</f>
        <v>#N/A</v>
      </c>
      <c r="AW762" s="4" t="e">
        <f>_xlfn.XLOOKUP(tbl_MTG_Set[[#This Row],[Collector Booster Box Product Id]], tbl_Product[Product Id], tbl_Product[Pack Size])</f>
        <v>#N/A</v>
      </c>
      <c r="AX762" s="10" t="e">
        <f>(tbl_MTG_Set[[#This Row],[Collector Booster Box Cost]] + v_Item_Shipping_Cost_In) / tbl_MTG_Set[[#This Row],[Collector Booster Box Size]]</f>
        <v>#N/A</v>
      </c>
      <c r="AY762" s="10" t="str" cm="1">
        <f t="array" ref="AY7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2" s="10"/>
      <c r="BA7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2" s="17" t="e">
        <f>tbl_MTG_Set[[#This Row],[Collector Booster CardMarket Profit]]/tbl_MTG_Set[[#This Row],[Collector Booster Cost]]</f>
        <v>#N/A</v>
      </c>
      <c r="BC762" s="10"/>
      <c r="BF7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2" s="11" t="e">
        <f>tbl_MTG_Set[[#This Row],[Play Singles CardMarket Profit MTG Stocks]]/tbl_MTG_Set[[#This Row],[Play Booster Cost]]</f>
        <v>#VALUE!</v>
      </c>
      <c r="BI762" s="11" t="b">
        <f>tbl_MTG_Set[[#This Row],[Play Singles CardMarket Profit MTG Stocks]]&gt;0</f>
        <v>0</v>
      </c>
      <c r="BM762" s="10" t="e">
        <f>tbl_MTG_Set[[#This Row],[Play Booster Sell Price CardMarket]]*tbl_MTG_Set[[#This Row],[Play Booster Expected Market Value BotBox]]/tbl_MTG_Set[[#This Row],[Play Booster Sealed Market Value BotBox]]</f>
        <v>#VALUE!</v>
      </c>
      <c r="BN7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2" s="10" t="e">
        <f>tbl_MTG_Set[[#This Row],[Play Singles CardMarket Profit BotBox]]/tbl_MTG_Set[[#This Row],[Play Booster Cost]]</f>
        <v>#VALUE!</v>
      </c>
      <c r="BP762" s="10" t="b">
        <f>tbl_MTG_Set[[#This Row],[Play Singles CardMarket Profit BotBox]]&gt;0</f>
        <v>0</v>
      </c>
      <c r="BQ762" s="10"/>
      <c r="BR762" s="10"/>
      <c r="BS762" s="10"/>
      <c r="BT7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2" s="19" t="e">
        <f>tbl_MTG_Set[[#This Row],[Collector Singles CardMarket Profit MTG Stocks]]/tbl_MTG_Set[[#This Row],[Collector Booster Cost]]</f>
        <v>#N/A</v>
      </c>
      <c r="BW762" s="10" t="b">
        <f>tbl_MTG_Set[[#This Row],[Collector Singles CardMarket Profit MTG Stocks]]&gt;0</f>
        <v>0</v>
      </c>
      <c r="BX762" s="10"/>
      <c r="BY762" s="10"/>
      <c r="BZ7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2" s="10" t="e">
        <f>tbl_MTG_Set[[#This Row],[Collector Singles CardMarket Profit BotBox]]/tbl_MTG_Set[[#This Row],[Collector Booster Cost]]</f>
        <v>#N/A</v>
      </c>
      <c r="CC762" s="10" t="b">
        <f>tbl_MTG_Set[[#This Row],[Collector Singles CardMarket Profit BotBox]]&gt;0</f>
        <v>0</v>
      </c>
      <c r="CD7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3" spans="1:86" hidden="1">
      <c r="A763">
        <v>795</v>
      </c>
      <c r="B763" t="s">
        <v>936</v>
      </c>
      <c r="C763">
        <v>2</v>
      </c>
      <c r="D763" s="3">
        <v>39850</v>
      </c>
      <c r="F763" t="s">
        <v>174</v>
      </c>
      <c r="G763">
        <v>1536</v>
      </c>
      <c r="H763">
        <f ca="1">MONTH(NOW())+12*YEAR(NOW())-MONTH(tbl_MTG_Set[[#This Row],[Released On]])-12*YEAR(tbl_MTG_Set[[#This Row],[Released On]])</f>
        <v>205</v>
      </c>
      <c r="I763" t="str">
        <f>_xlfn.XLOOKUP(tbl_MTG_Set[[#This Row],[Type Name]], tbl_MTG_Set_Type[Set Type], tbl_MTG_Set_Type[Index], "(Set Type not found)")</f>
        <v>(Set Type not found)</v>
      </c>
      <c r="J763" t="str">
        <f>_xlfn.XLOOKUP(tbl_MTG_Set[[#This Row],[Type Name]], tbl_MTG_Set_Type[Set Type], tbl_MTG_Set_Type[Buy Window Month Start], "(Set Type not found)")</f>
        <v>(Set Type not found)</v>
      </c>
      <c r="K763" s="3" t="e">
        <f>tbl_MTG_Set[[#This Row],[Released On]]+tbl_MTG_Set[[#This Row],[Buy Window Month Start]]*365.25/12</f>
        <v>#VALUE!</v>
      </c>
      <c r="L763" t="str">
        <f>_xlfn.XLOOKUP(tbl_MTG_Set[[#This Row],[Type Name]], tbl_MTG_Set_Type[Set Type], tbl_MTG_Set_Type[Buy Window Month End], "(Set Type not found)", 0, 1)</f>
        <v>(Set Type not found)</v>
      </c>
      <c r="M763" s="3" t="e">
        <f>tbl_MTG_Set[[#This Row],[Released On]]+tbl_MTG_Set[[#This Row],[Buy Window Month End]]*365.25/12</f>
        <v>#VALUE!</v>
      </c>
      <c r="N763" s="3" t="e">
        <f ca="1">AND(NOW()&gt;=tbl_MTG_Set[[#This Row],[Buy Window Start]], NOW()&lt;=tbl_MTG_Set[[#This Row],[Buy Window End]])</f>
        <v>#VALUE!</v>
      </c>
      <c r="O763" t="str">
        <f>_xlfn.XLOOKUP(tbl_MTG_Set[[#This Row],[Type Name]], tbl_MTG_Set_Type[Set Type], tbl_MTG_Set_Type[Heavy Printing Window Month Start], "(Set Type not found)", 0, 1)</f>
        <v>(Set Type not found)</v>
      </c>
      <c r="P763" s="3" t="e">
        <f>tbl_MTG_Set[[#This Row],[Released On]]+tbl_MTG_Set[[#This Row],[Heavy Printing Window Month Start]]*365.25/12</f>
        <v>#VALUE!</v>
      </c>
      <c r="Q763" t="str">
        <f>_xlfn.XLOOKUP(tbl_MTG_Set[[#This Row],[Type Name]], tbl_MTG_Set_Type[Set Type], tbl_MTG_Set_Type[Heavy Printing Window Month End], "(Set Type not found)", 0, 1)</f>
        <v>(Set Type not found)</v>
      </c>
      <c r="R763" s="3" t="e">
        <f>tbl_MTG_Set[[#This Row],[Released On]]+tbl_MTG_Set[[#This Row],[Heavy Printing Window Month End]]*365.25/12</f>
        <v>#VALUE!</v>
      </c>
      <c r="S763" s="3" t="e">
        <f ca="1">AND(NOW()&gt;=tbl_MTG_Set[[#This Row],[Heavy Printing Window Start]], NOW()&lt;=tbl_MTG_Set[[#This Row],[Heavy Printing Window End]])</f>
        <v>#VALUE!</v>
      </c>
      <c r="T763" t="str">
        <f>_xlfn.XLOOKUP(tbl_MTG_Set[[#This Row],[Type Name]], tbl_MTG_Set_Type[Set Type], tbl_MTG_Set_Type[Sell Window Month Start], "(Set Type not found)", 0, 1)</f>
        <v>(Set Type not found)</v>
      </c>
      <c r="U763" s="3" t="e">
        <f>tbl_MTG_Set[[#This Row],[Released On]]+tbl_MTG_Set[[#This Row],[Sell Window Month Start]]*365.25/12</f>
        <v>#VALUE!</v>
      </c>
      <c r="V763" t="str">
        <f>_xlfn.XLOOKUP(tbl_MTG_Set[[#This Row],[Type Name]], tbl_MTG_Set_Type[Set Type], tbl_MTG_Set_Type[Sell Window Month End], "(Set Type not found)", 0, 1)</f>
        <v>(Set Type not found)</v>
      </c>
      <c r="W763" s="3" t="e">
        <f>tbl_MTG_Set[[#This Row],[Released On]]+tbl_MTG_Set[[#This Row],[Sell Window Month End]]*365.25/12</f>
        <v>#VALUE!</v>
      </c>
      <c r="X763" s="3" t="e">
        <f ca="1">AND(NOW()&gt;=tbl_MTG_Set[[#This Row],[Sell Window Start]], NOW()&lt;=tbl_MTG_Set[[#This Row],[Sell Window End]])</f>
        <v>#VALUE!</v>
      </c>
      <c r="AG763" s="10"/>
      <c r="AH763" s="10"/>
      <c r="AM763" s="10" t="str" cm="1">
        <f t="array" ref="AM7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3" s="10" t="str" cm="1">
        <f t="array" ref="AN7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3" s="4" t="e">
        <f>_xlfn.XLOOKUP(tbl_MTG_Set[[#This Row],[Play Booster Box Product Id]], tbl_Product[Product Id], tbl_Product[Pack Size])</f>
        <v>#N/A</v>
      </c>
      <c r="AP763" s="10" t="e">
        <f>(tbl_MTG_Set[[#This Row],[Play Booster Box Cost]]+v_Item_Shipping_Cost_In)/tbl_MTG_Set[[#This Row],[Play Booster Box Size]]</f>
        <v>#VALUE!</v>
      </c>
      <c r="AQ763" s="10" t="str" cm="1">
        <f t="array" ref="AQ7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3" s="10"/>
      <c r="AS763" s="10"/>
      <c r="AT763" s="17" t="e">
        <f>tbl_MTG_Set[[#This Row],[Play Booster CardMarket Profit]]/tbl_MTG_Set[[#This Row],[Play Booster Cost]]</f>
        <v>#VALUE!</v>
      </c>
      <c r="AU763" s="10" t="e">
        <f>_xlfn.XLOOKUP(tbl_MTG_Set[[#This Row],[Collector Booster Box Product Id]], tbl_Product[Product Id], tbl_Product[Min Cost])</f>
        <v>#N/A</v>
      </c>
      <c r="AV763" s="10" t="e">
        <f>_xlfn.XLOOKUP(tbl_MTG_Set[[#This Row],[Collector Booster Box Product Id]], tbl_Product[Product Id], tbl_Product[Best Source])</f>
        <v>#N/A</v>
      </c>
      <c r="AW763" s="4" t="e">
        <f>_xlfn.XLOOKUP(tbl_MTG_Set[[#This Row],[Collector Booster Box Product Id]], tbl_Product[Product Id], tbl_Product[Pack Size])</f>
        <v>#N/A</v>
      </c>
      <c r="AX763" s="10" t="e">
        <f>(tbl_MTG_Set[[#This Row],[Collector Booster Box Cost]] + v_Item_Shipping_Cost_In) / tbl_MTG_Set[[#This Row],[Collector Booster Box Size]]</f>
        <v>#N/A</v>
      </c>
      <c r="AY763" s="10" t="str" cm="1">
        <f t="array" ref="AY7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3" s="10"/>
      <c r="BA7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3" s="17" t="e">
        <f>tbl_MTG_Set[[#This Row],[Collector Booster CardMarket Profit]]/tbl_MTG_Set[[#This Row],[Collector Booster Cost]]</f>
        <v>#N/A</v>
      </c>
      <c r="BC763" s="10"/>
      <c r="BF7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3" s="11" t="e">
        <f>tbl_MTG_Set[[#This Row],[Play Singles CardMarket Profit MTG Stocks]]/tbl_MTG_Set[[#This Row],[Play Booster Cost]]</f>
        <v>#VALUE!</v>
      </c>
      <c r="BI763" s="11" t="b">
        <f>tbl_MTG_Set[[#This Row],[Play Singles CardMarket Profit MTG Stocks]]&gt;0</f>
        <v>0</v>
      </c>
      <c r="BM763" s="10" t="e">
        <f>tbl_MTG_Set[[#This Row],[Play Booster Sell Price CardMarket]]*tbl_MTG_Set[[#This Row],[Play Booster Expected Market Value BotBox]]/tbl_MTG_Set[[#This Row],[Play Booster Sealed Market Value BotBox]]</f>
        <v>#VALUE!</v>
      </c>
      <c r="BN7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3" s="10" t="e">
        <f>tbl_MTG_Set[[#This Row],[Play Singles CardMarket Profit BotBox]]/tbl_MTG_Set[[#This Row],[Play Booster Cost]]</f>
        <v>#VALUE!</v>
      </c>
      <c r="BP763" s="10" t="b">
        <f>tbl_MTG_Set[[#This Row],[Play Singles CardMarket Profit BotBox]]&gt;0</f>
        <v>0</v>
      </c>
      <c r="BQ763" s="10"/>
      <c r="BR763" s="10"/>
      <c r="BS763" s="10"/>
      <c r="BT7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3" s="19" t="e">
        <f>tbl_MTG_Set[[#This Row],[Collector Singles CardMarket Profit MTG Stocks]]/tbl_MTG_Set[[#This Row],[Collector Booster Cost]]</f>
        <v>#N/A</v>
      </c>
      <c r="BW763" s="10" t="b">
        <f>tbl_MTG_Set[[#This Row],[Collector Singles CardMarket Profit MTG Stocks]]&gt;0</f>
        <v>0</v>
      </c>
      <c r="BX763" s="10"/>
      <c r="BY763" s="10"/>
      <c r="BZ7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3" s="10" t="e">
        <f>tbl_MTG_Set[[#This Row],[Collector Singles CardMarket Profit BotBox]]/tbl_MTG_Set[[#This Row],[Collector Booster Cost]]</f>
        <v>#N/A</v>
      </c>
      <c r="CC763" s="10" t="b">
        <f>tbl_MTG_Set[[#This Row],[Collector Singles CardMarket Profit BotBox]]&gt;0</f>
        <v>0</v>
      </c>
      <c r="CD7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4" spans="1:86" hidden="1">
      <c r="A764">
        <v>796</v>
      </c>
      <c r="B764" t="s">
        <v>937</v>
      </c>
      <c r="C764">
        <v>1</v>
      </c>
      <c r="D764" s="3">
        <v>39814</v>
      </c>
      <c r="F764" t="s">
        <v>174</v>
      </c>
      <c r="G764">
        <v>1538</v>
      </c>
      <c r="H764">
        <f ca="1">MONTH(NOW())+12*YEAR(NOW())-MONTH(tbl_MTG_Set[[#This Row],[Released On]])-12*YEAR(tbl_MTG_Set[[#This Row],[Released On]])</f>
        <v>206</v>
      </c>
      <c r="I764" t="str">
        <f>_xlfn.XLOOKUP(tbl_MTG_Set[[#This Row],[Type Name]], tbl_MTG_Set_Type[Set Type], tbl_MTG_Set_Type[Index], "(Set Type not found)")</f>
        <v>(Set Type not found)</v>
      </c>
      <c r="J764" t="str">
        <f>_xlfn.XLOOKUP(tbl_MTG_Set[[#This Row],[Type Name]], tbl_MTG_Set_Type[Set Type], tbl_MTG_Set_Type[Buy Window Month Start], "(Set Type not found)")</f>
        <v>(Set Type not found)</v>
      </c>
      <c r="K764" s="3" t="e">
        <f>tbl_MTG_Set[[#This Row],[Released On]]+tbl_MTG_Set[[#This Row],[Buy Window Month Start]]*365.25/12</f>
        <v>#VALUE!</v>
      </c>
      <c r="L764" t="str">
        <f>_xlfn.XLOOKUP(tbl_MTG_Set[[#This Row],[Type Name]], tbl_MTG_Set_Type[Set Type], tbl_MTG_Set_Type[Buy Window Month End], "(Set Type not found)", 0, 1)</f>
        <v>(Set Type not found)</v>
      </c>
      <c r="M764" s="3" t="e">
        <f>tbl_MTG_Set[[#This Row],[Released On]]+tbl_MTG_Set[[#This Row],[Buy Window Month End]]*365.25/12</f>
        <v>#VALUE!</v>
      </c>
      <c r="N764" s="3" t="e">
        <f ca="1">AND(NOW()&gt;=tbl_MTG_Set[[#This Row],[Buy Window Start]], NOW()&lt;=tbl_MTG_Set[[#This Row],[Buy Window End]])</f>
        <v>#VALUE!</v>
      </c>
      <c r="O764" t="str">
        <f>_xlfn.XLOOKUP(tbl_MTG_Set[[#This Row],[Type Name]], tbl_MTG_Set_Type[Set Type], tbl_MTG_Set_Type[Heavy Printing Window Month Start], "(Set Type not found)", 0, 1)</f>
        <v>(Set Type not found)</v>
      </c>
      <c r="P764" s="3" t="e">
        <f>tbl_MTG_Set[[#This Row],[Released On]]+tbl_MTG_Set[[#This Row],[Heavy Printing Window Month Start]]*365.25/12</f>
        <v>#VALUE!</v>
      </c>
      <c r="Q764" t="str">
        <f>_xlfn.XLOOKUP(tbl_MTG_Set[[#This Row],[Type Name]], tbl_MTG_Set_Type[Set Type], tbl_MTG_Set_Type[Heavy Printing Window Month End], "(Set Type not found)", 0, 1)</f>
        <v>(Set Type not found)</v>
      </c>
      <c r="R764" s="3" t="e">
        <f>tbl_MTG_Set[[#This Row],[Released On]]+tbl_MTG_Set[[#This Row],[Heavy Printing Window Month End]]*365.25/12</f>
        <v>#VALUE!</v>
      </c>
      <c r="S764" s="3" t="e">
        <f ca="1">AND(NOW()&gt;=tbl_MTG_Set[[#This Row],[Heavy Printing Window Start]], NOW()&lt;=tbl_MTG_Set[[#This Row],[Heavy Printing Window End]])</f>
        <v>#VALUE!</v>
      </c>
      <c r="T764" t="str">
        <f>_xlfn.XLOOKUP(tbl_MTG_Set[[#This Row],[Type Name]], tbl_MTG_Set_Type[Set Type], tbl_MTG_Set_Type[Sell Window Month Start], "(Set Type not found)", 0, 1)</f>
        <v>(Set Type not found)</v>
      </c>
      <c r="U764" s="3" t="e">
        <f>tbl_MTG_Set[[#This Row],[Released On]]+tbl_MTG_Set[[#This Row],[Sell Window Month Start]]*365.25/12</f>
        <v>#VALUE!</v>
      </c>
      <c r="V764" t="str">
        <f>_xlfn.XLOOKUP(tbl_MTG_Set[[#This Row],[Type Name]], tbl_MTG_Set_Type[Set Type], tbl_MTG_Set_Type[Sell Window Month End], "(Set Type not found)", 0, 1)</f>
        <v>(Set Type not found)</v>
      </c>
      <c r="W764" s="3" t="e">
        <f>tbl_MTG_Set[[#This Row],[Released On]]+tbl_MTG_Set[[#This Row],[Sell Window Month End]]*365.25/12</f>
        <v>#VALUE!</v>
      </c>
      <c r="X764" s="3" t="e">
        <f ca="1">AND(NOW()&gt;=tbl_MTG_Set[[#This Row],[Sell Window Start]], NOW()&lt;=tbl_MTG_Set[[#This Row],[Sell Window End]])</f>
        <v>#VALUE!</v>
      </c>
      <c r="AG764" s="10"/>
      <c r="AH764" s="10"/>
      <c r="AM764" s="10" t="str" cm="1">
        <f t="array" ref="AM7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4" s="10" t="str" cm="1">
        <f t="array" ref="AN7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4" s="4" t="e">
        <f>_xlfn.XLOOKUP(tbl_MTG_Set[[#This Row],[Play Booster Box Product Id]], tbl_Product[Product Id], tbl_Product[Pack Size])</f>
        <v>#N/A</v>
      </c>
      <c r="AP764" s="10" t="e">
        <f>(tbl_MTG_Set[[#This Row],[Play Booster Box Cost]]+v_Item_Shipping_Cost_In)/tbl_MTG_Set[[#This Row],[Play Booster Box Size]]</f>
        <v>#VALUE!</v>
      </c>
      <c r="AQ764" s="10" t="str" cm="1">
        <f t="array" ref="AQ7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4" s="10"/>
      <c r="AS764" s="10"/>
      <c r="AT764" s="17" t="e">
        <f>tbl_MTG_Set[[#This Row],[Play Booster CardMarket Profit]]/tbl_MTG_Set[[#This Row],[Play Booster Cost]]</f>
        <v>#VALUE!</v>
      </c>
      <c r="AU764" s="10" t="e">
        <f>_xlfn.XLOOKUP(tbl_MTG_Set[[#This Row],[Collector Booster Box Product Id]], tbl_Product[Product Id], tbl_Product[Min Cost])</f>
        <v>#N/A</v>
      </c>
      <c r="AV764" s="10" t="e">
        <f>_xlfn.XLOOKUP(tbl_MTG_Set[[#This Row],[Collector Booster Box Product Id]], tbl_Product[Product Id], tbl_Product[Best Source])</f>
        <v>#N/A</v>
      </c>
      <c r="AW764" s="4" t="e">
        <f>_xlfn.XLOOKUP(tbl_MTG_Set[[#This Row],[Collector Booster Box Product Id]], tbl_Product[Product Id], tbl_Product[Pack Size])</f>
        <v>#N/A</v>
      </c>
      <c r="AX764" s="10" t="e">
        <f>(tbl_MTG_Set[[#This Row],[Collector Booster Box Cost]] + v_Item_Shipping_Cost_In) / tbl_MTG_Set[[#This Row],[Collector Booster Box Size]]</f>
        <v>#N/A</v>
      </c>
      <c r="AY764" s="10" t="str" cm="1">
        <f t="array" ref="AY7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4" s="10"/>
      <c r="BA7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4" s="17" t="e">
        <f>tbl_MTG_Set[[#This Row],[Collector Booster CardMarket Profit]]/tbl_MTG_Set[[#This Row],[Collector Booster Cost]]</f>
        <v>#N/A</v>
      </c>
      <c r="BC764" s="10"/>
      <c r="BF7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4" s="11" t="e">
        <f>tbl_MTG_Set[[#This Row],[Play Singles CardMarket Profit MTG Stocks]]/tbl_MTG_Set[[#This Row],[Play Booster Cost]]</f>
        <v>#VALUE!</v>
      </c>
      <c r="BI764" s="11" t="b">
        <f>tbl_MTG_Set[[#This Row],[Play Singles CardMarket Profit MTG Stocks]]&gt;0</f>
        <v>0</v>
      </c>
      <c r="BM764" s="10" t="e">
        <f>tbl_MTG_Set[[#This Row],[Play Booster Sell Price CardMarket]]*tbl_MTG_Set[[#This Row],[Play Booster Expected Market Value BotBox]]/tbl_MTG_Set[[#This Row],[Play Booster Sealed Market Value BotBox]]</f>
        <v>#VALUE!</v>
      </c>
      <c r="BN7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4" s="10" t="e">
        <f>tbl_MTG_Set[[#This Row],[Play Singles CardMarket Profit BotBox]]/tbl_MTG_Set[[#This Row],[Play Booster Cost]]</f>
        <v>#VALUE!</v>
      </c>
      <c r="BP764" s="10" t="b">
        <f>tbl_MTG_Set[[#This Row],[Play Singles CardMarket Profit BotBox]]&gt;0</f>
        <v>0</v>
      </c>
      <c r="BQ764" s="10"/>
      <c r="BR764" s="10"/>
      <c r="BS764" s="10"/>
      <c r="BT7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4" s="19" t="e">
        <f>tbl_MTG_Set[[#This Row],[Collector Singles CardMarket Profit MTG Stocks]]/tbl_MTG_Set[[#This Row],[Collector Booster Cost]]</f>
        <v>#N/A</v>
      </c>
      <c r="BW764" s="10" t="b">
        <f>tbl_MTG_Set[[#This Row],[Collector Singles CardMarket Profit MTG Stocks]]&gt;0</f>
        <v>0</v>
      </c>
      <c r="BX764" s="10"/>
      <c r="BY764" s="10"/>
      <c r="BZ7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4" s="10" t="e">
        <f>tbl_MTG_Set[[#This Row],[Collector Singles CardMarket Profit BotBox]]/tbl_MTG_Set[[#This Row],[Collector Booster Cost]]</f>
        <v>#N/A</v>
      </c>
      <c r="CC764" s="10" t="b">
        <f>tbl_MTG_Set[[#This Row],[Collector Singles CardMarket Profit BotBox]]&gt;0</f>
        <v>0</v>
      </c>
      <c r="CD7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5" spans="1:86" hidden="1">
      <c r="A765">
        <v>797</v>
      </c>
      <c r="B765" t="s">
        <v>938</v>
      </c>
      <c r="C765">
        <v>5</v>
      </c>
      <c r="D765" s="3">
        <v>39814</v>
      </c>
      <c r="F765" t="s">
        <v>174</v>
      </c>
      <c r="G765">
        <v>1540</v>
      </c>
      <c r="H765">
        <f ca="1">MONTH(NOW())+12*YEAR(NOW())-MONTH(tbl_MTG_Set[[#This Row],[Released On]])-12*YEAR(tbl_MTG_Set[[#This Row],[Released On]])</f>
        <v>206</v>
      </c>
      <c r="I765" t="str">
        <f>_xlfn.XLOOKUP(tbl_MTG_Set[[#This Row],[Type Name]], tbl_MTG_Set_Type[Set Type], tbl_MTG_Set_Type[Index], "(Set Type not found)")</f>
        <v>(Set Type not found)</v>
      </c>
      <c r="J765" t="str">
        <f>_xlfn.XLOOKUP(tbl_MTG_Set[[#This Row],[Type Name]], tbl_MTG_Set_Type[Set Type], tbl_MTG_Set_Type[Buy Window Month Start], "(Set Type not found)")</f>
        <v>(Set Type not found)</v>
      </c>
      <c r="K765" s="3" t="e">
        <f>tbl_MTG_Set[[#This Row],[Released On]]+tbl_MTG_Set[[#This Row],[Buy Window Month Start]]*365.25/12</f>
        <v>#VALUE!</v>
      </c>
      <c r="L765" t="str">
        <f>_xlfn.XLOOKUP(tbl_MTG_Set[[#This Row],[Type Name]], tbl_MTG_Set_Type[Set Type], tbl_MTG_Set_Type[Buy Window Month End], "(Set Type not found)", 0, 1)</f>
        <v>(Set Type not found)</v>
      </c>
      <c r="M765" s="3" t="e">
        <f>tbl_MTG_Set[[#This Row],[Released On]]+tbl_MTG_Set[[#This Row],[Buy Window Month End]]*365.25/12</f>
        <v>#VALUE!</v>
      </c>
      <c r="N765" s="3" t="e">
        <f ca="1">AND(NOW()&gt;=tbl_MTG_Set[[#This Row],[Buy Window Start]], NOW()&lt;=tbl_MTG_Set[[#This Row],[Buy Window End]])</f>
        <v>#VALUE!</v>
      </c>
      <c r="O765" t="str">
        <f>_xlfn.XLOOKUP(tbl_MTG_Set[[#This Row],[Type Name]], tbl_MTG_Set_Type[Set Type], tbl_MTG_Set_Type[Heavy Printing Window Month Start], "(Set Type not found)", 0, 1)</f>
        <v>(Set Type not found)</v>
      </c>
      <c r="P765" s="3" t="e">
        <f>tbl_MTG_Set[[#This Row],[Released On]]+tbl_MTG_Set[[#This Row],[Heavy Printing Window Month Start]]*365.25/12</f>
        <v>#VALUE!</v>
      </c>
      <c r="Q765" t="str">
        <f>_xlfn.XLOOKUP(tbl_MTG_Set[[#This Row],[Type Name]], tbl_MTG_Set_Type[Set Type], tbl_MTG_Set_Type[Heavy Printing Window Month End], "(Set Type not found)", 0, 1)</f>
        <v>(Set Type not found)</v>
      </c>
      <c r="R765" s="3" t="e">
        <f>tbl_MTG_Set[[#This Row],[Released On]]+tbl_MTG_Set[[#This Row],[Heavy Printing Window Month End]]*365.25/12</f>
        <v>#VALUE!</v>
      </c>
      <c r="S765" s="3" t="e">
        <f ca="1">AND(NOW()&gt;=tbl_MTG_Set[[#This Row],[Heavy Printing Window Start]], NOW()&lt;=tbl_MTG_Set[[#This Row],[Heavy Printing Window End]])</f>
        <v>#VALUE!</v>
      </c>
      <c r="T765" t="str">
        <f>_xlfn.XLOOKUP(tbl_MTG_Set[[#This Row],[Type Name]], tbl_MTG_Set_Type[Set Type], tbl_MTG_Set_Type[Sell Window Month Start], "(Set Type not found)", 0, 1)</f>
        <v>(Set Type not found)</v>
      </c>
      <c r="U765" s="3" t="e">
        <f>tbl_MTG_Set[[#This Row],[Released On]]+tbl_MTG_Set[[#This Row],[Sell Window Month Start]]*365.25/12</f>
        <v>#VALUE!</v>
      </c>
      <c r="V765" t="str">
        <f>_xlfn.XLOOKUP(tbl_MTG_Set[[#This Row],[Type Name]], tbl_MTG_Set_Type[Set Type], tbl_MTG_Set_Type[Sell Window Month End], "(Set Type not found)", 0, 1)</f>
        <v>(Set Type not found)</v>
      </c>
      <c r="W765" s="3" t="e">
        <f>tbl_MTG_Set[[#This Row],[Released On]]+tbl_MTG_Set[[#This Row],[Sell Window Month End]]*365.25/12</f>
        <v>#VALUE!</v>
      </c>
      <c r="X765" s="3" t="e">
        <f ca="1">AND(NOW()&gt;=tbl_MTG_Set[[#This Row],[Sell Window Start]], NOW()&lt;=tbl_MTG_Set[[#This Row],[Sell Window End]])</f>
        <v>#VALUE!</v>
      </c>
      <c r="AG765" s="10"/>
      <c r="AH765" s="10"/>
      <c r="AM765" s="10" t="str" cm="1">
        <f t="array" ref="AM7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5" s="10" t="str" cm="1">
        <f t="array" ref="AN7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5" s="4" t="e">
        <f>_xlfn.XLOOKUP(tbl_MTG_Set[[#This Row],[Play Booster Box Product Id]], tbl_Product[Product Id], tbl_Product[Pack Size])</f>
        <v>#N/A</v>
      </c>
      <c r="AP765" s="10" t="e">
        <f>(tbl_MTG_Set[[#This Row],[Play Booster Box Cost]]+v_Item_Shipping_Cost_In)/tbl_MTG_Set[[#This Row],[Play Booster Box Size]]</f>
        <v>#VALUE!</v>
      </c>
      <c r="AQ765" s="10" t="str" cm="1">
        <f t="array" ref="AQ7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5" s="10"/>
      <c r="AS765" s="10"/>
      <c r="AT765" s="17" t="e">
        <f>tbl_MTG_Set[[#This Row],[Play Booster CardMarket Profit]]/tbl_MTG_Set[[#This Row],[Play Booster Cost]]</f>
        <v>#VALUE!</v>
      </c>
      <c r="AU765" s="10" t="e">
        <f>_xlfn.XLOOKUP(tbl_MTG_Set[[#This Row],[Collector Booster Box Product Id]], tbl_Product[Product Id], tbl_Product[Min Cost])</f>
        <v>#N/A</v>
      </c>
      <c r="AV765" s="10" t="e">
        <f>_xlfn.XLOOKUP(tbl_MTG_Set[[#This Row],[Collector Booster Box Product Id]], tbl_Product[Product Id], tbl_Product[Best Source])</f>
        <v>#N/A</v>
      </c>
      <c r="AW765" s="4" t="e">
        <f>_xlfn.XLOOKUP(tbl_MTG_Set[[#This Row],[Collector Booster Box Product Id]], tbl_Product[Product Id], tbl_Product[Pack Size])</f>
        <v>#N/A</v>
      </c>
      <c r="AX765" s="10" t="e">
        <f>(tbl_MTG_Set[[#This Row],[Collector Booster Box Cost]] + v_Item_Shipping_Cost_In) / tbl_MTG_Set[[#This Row],[Collector Booster Box Size]]</f>
        <v>#N/A</v>
      </c>
      <c r="AY765" s="10" t="str" cm="1">
        <f t="array" ref="AY7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5" s="10"/>
      <c r="BA7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5" s="17" t="e">
        <f>tbl_MTG_Set[[#This Row],[Collector Booster CardMarket Profit]]/tbl_MTG_Set[[#This Row],[Collector Booster Cost]]</f>
        <v>#N/A</v>
      </c>
      <c r="BC765" s="10"/>
      <c r="BF7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5" s="11" t="e">
        <f>tbl_MTG_Set[[#This Row],[Play Singles CardMarket Profit MTG Stocks]]/tbl_MTG_Set[[#This Row],[Play Booster Cost]]</f>
        <v>#VALUE!</v>
      </c>
      <c r="BI765" s="11" t="b">
        <f>tbl_MTG_Set[[#This Row],[Play Singles CardMarket Profit MTG Stocks]]&gt;0</f>
        <v>0</v>
      </c>
      <c r="BM765" s="10" t="e">
        <f>tbl_MTG_Set[[#This Row],[Play Booster Sell Price CardMarket]]*tbl_MTG_Set[[#This Row],[Play Booster Expected Market Value BotBox]]/tbl_MTG_Set[[#This Row],[Play Booster Sealed Market Value BotBox]]</f>
        <v>#VALUE!</v>
      </c>
      <c r="BN7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5" s="10" t="e">
        <f>tbl_MTG_Set[[#This Row],[Play Singles CardMarket Profit BotBox]]/tbl_MTG_Set[[#This Row],[Play Booster Cost]]</f>
        <v>#VALUE!</v>
      </c>
      <c r="BP765" s="10" t="b">
        <f>tbl_MTG_Set[[#This Row],[Play Singles CardMarket Profit BotBox]]&gt;0</f>
        <v>0</v>
      </c>
      <c r="BQ765" s="10"/>
      <c r="BR765" s="10"/>
      <c r="BS765" s="10"/>
      <c r="BT7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5" s="19" t="e">
        <f>tbl_MTG_Set[[#This Row],[Collector Singles CardMarket Profit MTG Stocks]]/tbl_MTG_Set[[#This Row],[Collector Booster Cost]]</f>
        <v>#N/A</v>
      </c>
      <c r="BW765" s="10" t="b">
        <f>tbl_MTG_Set[[#This Row],[Collector Singles CardMarket Profit MTG Stocks]]&gt;0</f>
        <v>0</v>
      </c>
      <c r="BX765" s="10"/>
      <c r="BY765" s="10"/>
      <c r="BZ7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5" s="10" t="e">
        <f>tbl_MTG_Set[[#This Row],[Collector Singles CardMarket Profit BotBox]]/tbl_MTG_Set[[#This Row],[Collector Booster Cost]]</f>
        <v>#N/A</v>
      </c>
      <c r="CC765" s="10" t="b">
        <f>tbl_MTG_Set[[#This Row],[Collector Singles CardMarket Profit BotBox]]&gt;0</f>
        <v>0</v>
      </c>
      <c r="CD7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6" spans="1:86" hidden="1">
      <c r="A766">
        <v>798</v>
      </c>
      <c r="B766" t="s">
        <v>939</v>
      </c>
      <c r="C766">
        <v>12</v>
      </c>
      <c r="D766" s="3">
        <v>39814</v>
      </c>
      <c r="F766" t="s">
        <v>174</v>
      </c>
      <c r="G766">
        <v>1542</v>
      </c>
      <c r="H766">
        <f ca="1">MONTH(NOW())+12*YEAR(NOW())-MONTH(tbl_MTG_Set[[#This Row],[Released On]])-12*YEAR(tbl_MTG_Set[[#This Row],[Released On]])</f>
        <v>206</v>
      </c>
      <c r="I766" t="str">
        <f>_xlfn.XLOOKUP(tbl_MTG_Set[[#This Row],[Type Name]], tbl_MTG_Set_Type[Set Type], tbl_MTG_Set_Type[Index], "(Set Type not found)")</f>
        <v>(Set Type not found)</v>
      </c>
      <c r="J766" t="str">
        <f>_xlfn.XLOOKUP(tbl_MTG_Set[[#This Row],[Type Name]], tbl_MTG_Set_Type[Set Type], tbl_MTG_Set_Type[Buy Window Month Start], "(Set Type not found)")</f>
        <v>(Set Type not found)</v>
      </c>
      <c r="K766" s="3" t="e">
        <f>tbl_MTG_Set[[#This Row],[Released On]]+tbl_MTG_Set[[#This Row],[Buy Window Month Start]]*365.25/12</f>
        <v>#VALUE!</v>
      </c>
      <c r="L766" t="str">
        <f>_xlfn.XLOOKUP(tbl_MTG_Set[[#This Row],[Type Name]], tbl_MTG_Set_Type[Set Type], tbl_MTG_Set_Type[Buy Window Month End], "(Set Type not found)", 0, 1)</f>
        <v>(Set Type not found)</v>
      </c>
      <c r="M766" s="3" t="e">
        <f>tbl_MTG_Set[[#This Row],[Released On]]+tbl_MTG_Set[[#This Row],[Buy Window Month End]]*365.25/12</f>
        <v>#VALUE!</v>
      </c>
      <c r="N766" s="3" t="e">
        <f ca="1">AND(NOW()&gt;=tbl_MTG_Set[[#This Row],[Buy Window Start]], NOW()&lt;=tbl_MTG_Set[[#This Row],[Buy Window End]])</f>
        <v>#VALUE!</v>
      </c>
      <c r="O766" t="str">
        <f>_xlfn.XLOOKUP(tbl_MTG_Set[[#This Row],[Type Name]], tbl_MTG_Set_Type[Set Type], tbl_MTG_Set_Type[Heavy Printing Window Month Start], "(Set Type not found)", 0, 1)</f>
        <v>(Set Type not found)</v>
      </c>
      <c r="P766" s="3" t="e">
        <f>tbl_MTG_Set[[#This Row],[Released On]]+tbl_MTG_Set[[#This Row],[Heavy Printing Window Month Start]]*365.25/12</f>
        <v>#VALUE!</v>
      </c>
      <c r="Q766" t="str">
        <f>_xlfn.XLOOKUP(tbl_MTG_Set[[#This Row],[Type Name]], tbl_MTG_Set_Type[Set Type], tbl_MTG_Set_Type[Heavy Printing Window Month End], "(Set Type not found)", 0, 1)</f>
        <v>(Set Type not found)</v>
      </c>
      <c r="R766" s="3" t="e">
        <f>tbl_MTG_Set[[#This Row],[Released On]]+tbl_MTG_Set[[#This Row],[Heavy Printing Window Month End]]*365.25/12</f>
        <v>#VALUE!</v>
      </c>
      <c r="S766" s="3" t="e">
        <f ca="1">AND(NOW()&gt;=tbl_MTG_Set[[#This Row],[Heavy Printing Window Start]], NOW()&lt;=tbl_MTG_Set[[#This Row],[Heavy Printing Window End]])</f>
        <v>#VALUE!</v>
      </c>
      <c r="T766" t="str">
        <f>_xlfn.XLOOKUP(tbl_MTG_Set[[#This Row],[Type Name]], tbl_MTG_Set_Type[Set Type], tbl_MTG_Set_Type[Sell Window Month Start], "(Set Type not found)", 0, 1)</f>
        <v>(Set Type not found)</v>
      </c>
      <c r="U766" s="3" t="e">
        <f>tbl_MTG_Set[[#This Row],[Released On]]+tbl_MTG_Set[[#This Row],[Sell Window Month Start]]*365.25/12</f>
        <v>#VALUE!</v>
      </c>
      <c r="V766" t="str">
        <f>_xlfn.XLOOKUP(tbl_MTG_Set[[#This Row],[Type Name]], tbl_MTG_Set_Type[Set Type], tbl_MTG_Set_Type[Sell Window Month End], "(Set Type not found)", 0, 1)</f>
        <v>(Set Type not found)</v>
      </c>
      <c r="W766" s="3" t="e">
        <f>tbl_MTG_Set[[#This Row],[Released On]]+tbl_MTG_Set[[#This Row],[Sell Window Month End]]*365.25/12</f>
        <v>#VALUE!</v>
      </c>
      <c r="X766" s="3" t="e">
        <f ca="1">AND(NOW()&gt;=tbl_MTG_Set[[#This Row],[Sell Window Start]], NOW()&lt;=tbl_MTG_Set[[#This Row],[Sell Window End]])</f>
        <v>#VALUE!</v>
      </c>
      <c r="AG766" s="10"/>
      <c r="AH766" s="10"/>
      <c r="AM766" s="10" t="str" cm="1">
        <f t="array" ref="AM7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6" s="10" t="str" cm="1">
        <f t="array" ref="AN7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6" s="4" t="e">
        <f>_xlfn.XLOOKUP(tbl_MTG_Set[[#This Row],[Play Booster Box Product Id]], tbl_Product[Product Id], tbl_Product[Pack Size])</f>
        <v>#N/A</v>
      </c>
      <c r="AP766" s="10" t="e">
        <f>(tbl_MTG_Set[[#This Row],[Play Booster Box Cost]]+v_Item_Shipping_Cost_In)/tbl_MTG_Set[[#This Row],[Play Booster Box Size]]</f>
        <v>#VALUE!</v>
      </c>
      <c r="AQ766" s="10" t="str" cm="1">
        <f t="array" ref="AQ7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6" s="10"/>
      <c r="AS766" s="10"/>
      <c r="AT766" s="17" t="e">
        <f>tbl_MTG_Set[[#This Row],[Play Booster CardMarket Profit]]/tbl_MTG_Set[[#This Row],[Play Booster Cost]]</f>
        <v>#VALUE!</v>
      </c>
      <c r="AU766" s="10" t="e">
        <f>_xlfn.XLOOKUP(tbl_MTG_Set[[#This Row],[Collector Booster Box Product Id]], tbl_Product[Product Id], tbl_Product[Min Cost])</f>
        <v>#N/A</v>
      </c>
      <c r="AV766" s="10" t="e">
        <f>_xlfn.XLOOKUP(tbl_MTG_Set[[#This Row],[Collector Booster Box Product Id]], tbl_Product[Product Id], tbl_Product[Best Source])</f>
        <v>#N/A</v>
      </c>
      <c r="AW766" s="4" t="e">
        <f>_xlfn.XLOOKUP(tbl_MTG_Set[[#This Row],[Collector Booster Box Product Id]], tbl_Product[Product Id], tbl_Product[Pack Size])</f>
        <v>#N/A</v>
      </c>
      <c r="AX766" s="10" t="e">
        <f>(tbl_MTG_Set[[#This Row],[Collector Booster Box Cost]] + v_Item_Shipping_Cost_In) / tbl_MTG_Set[[#This Row],[Collector Booster Box Size]]</f>
        <v>#N/A</v>
      </c>
      <c r="AY766" s="10" t="str" cm="1">
        <f t="array" ref="AY7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6" s="10"/>
      <c r="BA7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6" s="17" t="e">
        <f>tbl_MTG_Set[[#This Row],[Collector Booster CardMarket Profit]]/tbl_MTG_Set[[#This Row],[Collector Booster Cost]]</f>
        <v>#N/A</v>
      </c>
      <c r="BC766" s="10"/>
      <c r="BF7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6" s="11" t="e">
        <f>tbl_MTG_Set[[#This Row],[Play Singles CardMarket Profit MTG Stocks]]/tbl_MTG_Set[[#This Row],[Play Booster Cost]]</f>
        <v>#VALUE!</v>
      </c>
      <c r="BI766" s="11" t="b">
        <f>tbl_MTG_Set[[#This Row],[Play Singles CardMarket Profit MTG Stocks]]&gt;0</f>
        <v>0</v>
      </c>
      <c r="BM766" s="10" t="e">
        <f>tbl_MTG_Set[[#This Row],[Play Booster Sell Price CardMarket]]*tbl_MTG_Set[[#This Row],[Play Booster Expected Market Value BotBox]]/tbl_MTG_Set[[#This Row],[Play Booster Sealed Market Value BotBox]]</f>
        <v>#VALUE!</v>
      </c>
      <c r="BN7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6" s="10" t="e">
        <f>tbl_MTG_Set[[#This Row],[Play Singles CardMarket Profit BotBox]]/tbl_MTG_Set[[#This Row],[Play Booster Cost]]</f>
        <v>#VALUE!</v>
      </c>
      <c r="BP766" s="10" t="b">
        <f>tbl_MTG_Set[[#This Row],[Play Singles CardMarket Profit BotBox]]&gt;0</f>
        <v>0</v>
      </c>
      <c r="BQ766" s="10"/>
      <c r="BR766" s="10"/>
      <c r="BS766" s="10"/>
      <c r="BT7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6" s="19" t="e">
        <f>tbl_MTG_Set[[#This Row],[Collector Singles CardMarket Profit MTG Stocks]]/tbl_MTG_Set[[#This Row],[Collector Booster Cost]]</f>
        <v>#N/A</v>
      </c>
      <c r="BW766" s="10" t="b">
        <f>tbl_MTG_Set[[#This Row],[Collector Singles CardMarket Profit MTG Stocks]]&gt;0</f>
        <v>0</v>
      </c>
      <c r="BX766" s="10"/>
      <c r="BY766" s="10"/>
      <c r="BZ7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6" s="10" t="e">
        <f>tbl_MTG_Set[[#This Row],[Collector Singles CardMarket Profit BotBox]]/tbl_MTG_Set[[#This Row],[Collector Booster Cost]]</f>
        <v>#N/A</v>
      </c>
      <c r="CC766" s="10" t="b">
        <f>tbl_MTG_Set[[#This Row],[Collector Singles CardMarket Profit BotBox]]&gt;0</f>
        <v>0</v>
      </c>
      <c r="CD7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7" spans="1:86" hidden="1">
      <c r="A767">
        <v>799</v>
      </c>
      <c r="B767" t="s">
        <v>940</v>
      </c>
      <c r="C767">
        <v>13</v>
      </c>
      <c r="D767" s="3">
        <v>39814</v>
      </c>
      <c r="F767" t="s">
        <v>174</v>
      </c>
      <c r="G767">
        <v>1544</v>
      </c>
      <c r="H767">
        <f ca="1">MONTH(NOW())+12*YEAR(NOW())-MONTH(tbl_MTG_Set[[#This Row],[Released On]])-12*YEAR(tbl_MTG_Set[[#This Row],[Released On]])</f>
        <v>206</v>
      </c>
      <c r="I767" t="str">
        <f>_xlfn.XLOOKUP(tbl_MTG_Set[[#This Row],[Type Name]], tbl_MTG_Set_Type[Set Type], tbl_MTG_Set_Type[Index], "(Set Type not found)")</f>
        <v>(Set Type not found)</v>
      </c>
      <c r="J767" t="str">
        <f>_xlfn.XLOOKUP(tbl_MTG_Set[[#This Row],[Type Name]], tbl_MTG_Set_Type[Set Type], tbl_MTG_Set_Type[Buy Window Month Start], "(Set Type not found)")</f>
        <v>(Set Type not found)</v>
      </c>
      <c r="K767" s="3" t="e">
        <f>tbl_MTG_Set[[#This Row],[Released On]]+tbl_MTG_Set[[#This Row],[Buy Window Month Start]]*365.25/12</f>
        <v>#VALUE!</v>
      </c>
      <c r="L767" t="str">
        <f>_xlfn.XLOOKUP(tbl_MTG_Set[[#This Row],[Type Name]], tbl_MTG_Set_Type[Set Type], tbl_MTG_Set_Type[Buy Window Month End], "(Set Type not found)", 0, 1)</f>
        <v>(Set Type not found)</v>
      </c>
      <c r="M767" s="3" t="e">
        <f>tbl_MTG_Set[[#This Row],[Released On]]+tbl_MTG_Set[[#This Row],[Buy Window Month End]]*365.25/12</f>
        <v>#VALUE!</v>
      </c>
      <c r="N767" s="3" t="e">
        <f ca="1">AND(NOW()&gt;=tbl_MTG_Set[[#This Row],[Buy Window Start]], NOW()&lt;=tbl_MTG_Set[[#This Row],[Buy Window End]])</f>
        <v>#VALUE!</v>
      </c>
      <c r="O767" t="str">
        <f>_xlfn.XLOOKUP(tbl_MTG_Set[[#This Row],[Type Name]], tbl_MTG_Set_Type[Set Type], tbl_MTG_Set_Type[Heavy Printing Window Month Start], "(Set Type not found)", 0, 1)</f>
        <v>(Set Type not found)</v>
      </c>
      <c r="P767" s="3" t="e">
        <f>tbl_MTG_Set[[#This Row],[Released On]]+tbl_MTG_Set[[#This Row],[Heavy Printing Window Month Start]]*365.25/12</f>
        <v>#VALUE!</v>
      </c>
      <c r="Q767" t="str">
        <f>_xlfn.XLOOKUP(tbl_MTG_Set[[#This Row],[Type Name]], tbl_MTG_Set_Type[Set Type], tbl_MTG_Set_Type[Heavy Printing Window Month End], "(Set Type not found)", 0, 1)</f>
        <v>(Set Type not found)</v>
      </c>
      <c r="R767" s="3" t="e">
        <f>tbl_MTG_Set[[#This Row],[Released On]]+tbl_MTG_Set[[#This Row],[Heavy Printing Window Month End]]*365.25/12</f>
        <v>#VALUE!</v>
      </c>
      <c r="S767" s="3" t="e">
        <f ca="1">AND(NOW()&gt;=tbl_MTG_Set[[#This Row],[Heavy Printing Window Start]], NOW()&lt;=tbl_MTG_Set[[#This Row],[Heavy Printing Window End]])</f>
        <v>#VALUE!</v>
      </c>
      <c r="T767" t="str">
        <f>_xlfn.XLOOKUP(tbl_MTG_Set[[#This Row],[Type Name]], tbl_MTG_Set_Type[Set Type], tbl_MTG_Set_Type[Sell Window Month Start], "(Set Type not found)", 0, 1)</f>
        <v>(Set Type not found)</v>
      </c>
      <c r="U767" s="3" t="e">
        <f>tbl_MTG_Set[[#This Row],[Released On]]+tbl_MTG_Set[[#This Row],[Sell Window Month Start]]*365.25/12</f>
        <v>#VALUE!</v>
      </c>
      <c r="V767" t="str">
        <f>_xlfn.XLOOKUP(tbl_MTG_Set[[#This Row],[Type Name]], tbl_MTG_Set_Type[Set Type], tbl_MTG_Set_Type[Sell Window Month End], "(Set Type not found)", 0, 1)</f>
        <v>(Set Type not found)</v>
      </c>
      <c r="W767" s="3" t="e">
        <f>tbl_MTG_Set[[#This Row],[Released On]]+tbl_MTG_Set[[#This Row],[Sell Window Month End]]*365.25/12</f>
        <v>#VALUE!</v>
      </c>
      <c r="X767" s="3" t="e">
        <f ca="1">AND(NOW()&gt;=tbl_MTG_Set[[#This Row],[Sell Window Start]], NOW()&lt;=tbl_MTG_Set[[#This Row],[Sell Window End]])</f>
        <v>#VALUE!</v>
      </c>
      <c r="AG767" s="10"/>
      <c r="AH767" s="10"/>
      <c r="AM767" s="10" t="str" cm="1">
        <f t="array" ref="AM7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7" s="10" t="str" cm="1">
        <f t="array" ref="AN7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7" s="4" t="e">
        <f>_xlfn.XLOOKUP(tbl_MTG_Set[[#This Row],[Play Booster Box Product Id]], tbl_Product[Product Id], tbl_Product[Pack Size])</f>
        <v>#N/A</v>
      </c>
      <c r="AP767" s="10" t="e">
        <f>(tbl_MTG_Set[[#This Row],[Play Booster Box Cost]]+v_Item_Shipping_Cost_In)/tbl_MTG_Set[[#This Row],[Play Booster Box Size]]</f>
        <v>#VALUE!</v>
      </c>
      <c r="AQ767" s="10" t="str" cm="1">
        <f t="array" ref="AQ7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7" s="10"/>
      <c r="AS767" s="10"/>
      <c r="AT767" s="17" t="e">
        <f>tbl_MTG_Set[[#This Row],[Play Booster CardMarket Profit]]/tbl_MTG_Set[[#This Row],[Play Booster Cost]]</f>
        <v>#VALUE!</v>
      </c>
      <c r="AU767" s="10" t="e">
        <f>_xlfn.XLOOKUP(tbl_MTG_Set[[#This Row],[Collector Booster Box Product Id]], tbl_Product[Product Id], tbl_Product[Min Cost])</f>
        <v>#N/A</v>
      </c>
      <c r="AV767" s="10" t="e">
        <f>_xlfn.XLOOKUP(tbl_MTG_Set[[#This Row],[Collector Booster Box Product Id]], tbl_Product[Product Id], tbl_Product[Best Source])</f>
        <v>#N/A</v>
      </c>
      <c r="AW767" s="4" t="e">
        <f>_xlfn.XLOOKUP(tbl_MTG_Set[[#This Row],[Collector Booster Box Product Id]], tbl_Product[Product Id], tbl_Product[Pack Size])</f>
        <v>#N/A</v>
      </c>
      <c r="AX767" s="10" t="e">
        <f>(tbl_MTG_Set[[#This Row],[Collector Booster Box Cost]] + v_Item_Shipping_Cost_In) / tbl_MTG_Set[[#This Row],[Collector Booster Box Size]]</f>
        <v>#N/A</v>
      </c>
      <c r="AY767" s="10" t="str" cm="1">
        <f t="array" ref="AY7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7" s="10"/>
      <c r="BA7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7" s="17" t="e">
        <f>tbl_MTG_Set[[#This Row],[Collector Booster CardMarket Profit]]/tbl_MTG_Set[[#This Row],[Collector Booster Cost]]</f>
        <v>#N/A</v>
      </c>
      <c r="BC767" s="10"/>
      <c r="BF7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7" s="11" t="e">
        <f>tbl_MTG_Set[[#This Row],[Play Singles CardMarket Profit MTG Stocks]]/tbl_MTG_Set[[#This Row],[Play Booster Cost]]</f>
        <v>#VALUE!</v>
      </c>
      <c r="BI767" s="11" t="b">
        <f>tbl_MTG_Set[[#This Row],[Play Singles CardMarket Profit MTG Stocks]]&gt;0</f>
        <v>0</v>
      </c>
      <c r="BM767" s="10" t="e">
        <f>tbl_MTG_Set[[#This Row],[Play Booster Sell Price CardMarket]]*tbl_MTG_Set[[#This Row],[Play Booster Expected Market Value BotBox]]/tbl_MTG_Set[[#This Row],[Play Booster Sealed Market Value BotBox]]</f>
        <v>#VALUE!</v>
      </c>
      <c r="BN7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7" s="10" t="e">
        <f>tbl_MTG_Set[[#This Row],[Play Singles CardMarket Profit BotBox]]/tbl_MTG_Set[[#This Row],[Play Booster Cost]]</f>
        <v>#VALUE!</v>
      </c>
      <c r="BP767" s="10" t="b">
        <f>tbl_MTG_Set[[#This Row],[Play Singles CardMarket Profit BotBox]]&gt;0</f>
        <v>0</v>
      </c>
      <c r="BQ767" s="10"/>
      <c r="BR767" s="10"/>
      <c r="BS767" s="10"/>
      <c r="BT7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7" s="19" t="e">
        <f>tbl_MTG_Set[[#This Row],[Collector Singles CardMarket Profit MTG Stocks]]/tbl_MTG_Set[[#This Row],[Collector Booster Cost]]</f>
        <v>#N/A</v>
      </c>
      <c r="BW767" s="10" t="b">
        <f>tbl_MTG_Set[[#This Row],[Collector Singles CardMarket Profit MTG Stocks]]&gt;0</f>
        <v>0</v>
      </c>
      <c r="BX767" s="10"/>
      <c r="BY767" s="10"/>
      <c r="BZ7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7" s="10" t="e">
        <f>tbl_MTG_Set[[#This Row],[Collector Singles CardMarket Profit BotBox]]/tbl_MTG_Set[[#This Row],[Collector Booster Cost]]</f>
        <v>#N/A</v>
      </c>
      <c r="CC767" s="10" t="b">
        <f>tbl_MTG_Set[[#This Row],[Collector Singles CardMarket Profit BotBox]]&gt;0</f>
        <v>0</v>
      </c>
      <c r="CD7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8" spans="1:86" hidden="1">
      <c r="A768">
        <v>800</v>
      </c>
      <c r="B768" t="s">
        <v>941</v>
      </c>
      <c r="C768">
        <v>10</v>
      </c>
      <c r="D768" s="3">
        <v>39814</v>
      </c>
      <c r="F768" t="s">
        <v>174</v>
      </c>
      <c r="G768">
        <v>1546</v>
      </c>
      <c r="H768">
        <f ca="1">MONTH(NOW())+12*YEAR(NOW())-MONTH(tbl_MTG_Set[[#This Row],[Released On]])-12*YEAR(tbl_MTG_Set[[#This Row],[Released On]])</f>
        <v>206</v>
      </c>
      <c r="I768" t="str">
        <f>_xlfn.XLOOKUP(tbl_MTG_Set[[#This Row],[Type Name]], tbl_MTG_Set_Type[Set Type], tbl_MTG_Set_Type[Index], "(Set Type not found)")</f>
        <v>(Set Type not found)</v>
      </c>
      <c r="J768" t="str">
        <f>_xlfn.XLOOKUP(tbl_MTG_Set[[#This Row],[Type Name]], tbl_MTG_Set_Type[Set Type], tbl_MTG_Set_Type[Buy Window Month Start], "(Set Type not found)")</f>
        <v>(Set Type not found)</v>
      </c>
      <c r="K768" s="3" t="e">
        <f>tbl_MTG_Set[[#This Row],[Released On]]+tbl_MTG_Set[[#This Row],[Buy Window Month Start]]*365.25/12</f>
        <v>#VALUE!</v>
      </c>
      <c r="L768" t="str">
        <f>_xlfn.XLOOKUP(tbl_MTG_Set[[#This Row],[Type Name]], tbl_MTG_Set_Type[Set Type], tbl_MTG_Set_Type[Buy Window Month End], "(Set Type not found)", 0, 1)</f>
        <v>(Set Type not found)</v>
      </c>
      <c r="M768" s="3" t="e">
        <f>tbl_MTG_Set[[#This Row],[Released On]]+tbl_MTG_Set[[#This Row],[Buy Window Month End]]*365.25/12</f>
        <v>#VALUE!</v>
      </c>
      <c r="N768" s="3" t="e">
        <f ca="1">AND(NOW()&gt;=tbl_MTG_Set[[#This Row],[Buy Window Start]], NOW()&lt;=tbl_MTG_Set[[#This Row],[Buy Window End]])</f>
        <v>#VALUE!</v>
      </c>
      <c r="O768" t="str">
        <f>_xlfn.XLOOKUP(tbl_MTG_Set[[#This Row],[Type Name]], tbl_MTG_Set_Type[Set Type], tbl_MTG_Set_Type[Heavy Printing Window Month Start], "(Set Type not found)", 0, 1)</f>
        <v>(Set Type not found)</v>
      </c>
      <c r="P768" s="3" t="e">
        <f>tbl_MTG_Set[[#This Row],[Released On]]+tbl_MTG_Set[[#This Row],[Heavy Printing Window Month Start]]*365.25/12</f>
        <v>#VALUE!</v>
      </c>
      <c r="Q768" t="str">
        <f>_xlfn.XLOOKUP(tbl_MTG_Set[[#This Row],[Type Name]], tbl_MTG_Set_Type[Set Type], tbl_MTG_Set_Type[Heavy Printing Window Month End], "(Set Type not found)", 0, 1)</f>
        <v>(Set Type not found)</v>
      </c>
      <c r="R768" s="3" t="e">
        <f>tbl_MTG_Set[[#This Row],[Released On]]+tbl_MTG_Set[[#This Row],[Heavy Printing Window Month End]]*365.25/12</f>
        <v>#VALUE!</v>
      </c>
      <c r="S768" s="3" t="e">
        <f ca="1">AND(NOW()&gt;=tbl_MTG_Set[[#This Row],[Heavy Printing Window Start]], NOW()&lt;=tbl_MTG_Set[[#This Row],[Heavy Printing Window End]])</f>
        <v>#VALUE!</v>
      </c>
      <c r="T768" t="str">
        <f>_xlfn.XLOOKUP(tbl_MTG_Set[[#This Row],[Type Name]], tbl_MTG_Set_Type[Set Type], tbl_MTG_Set_Type[Sell Window Month Start], "(Set Type not found)", 0, 1)</f>
        <v>(Set Type not found)</v>
      </c>
      <c r="U768" s="3" t="e">
        <f>tbl_MTG_Set[[#This Row],[Released On]]+tbl_MTG_Set[[#This Row],[Sell Window Month Start]]*365.25/12</f>
        <v>#VALUE!</v>
      </c>
      <c r="V768" t="str">
        <f>_xlfn.XLOOKUP(tbl_MTG_Set[[#This Row],[Type Name]], tbl_MTG_Set_Type[Set Type], tbl_MTG_Set_Type[Sell Window Month End], "(Set Type not found)", 0, 1)</f>
        <v>(Set Type not found)</v>
      </c>
      <c r="W768" s="3" t="e">
        <f>tbl_MTG_Set[[#This Row],[Released On]]+tbl_MTG_Set[[#This Row],[Sell Window Month End]]*365.25/12</f>
        <v>#VALUE!</v>
      </c>
      <c r="X768" s="3" t="e">
        <f ca="1">AND(NOW()&gt;=tbl_MTG_Set[[#This Row],[Sell Window Start]], NOW()&lt;=tbl_MTG_Set[[#This Row],[Sell Window End]])</f>
        <v>#VALUE!</v>
      </c>
      <c r="AG768" s="10"/>
      <c r="AH768" s="10"/>
      <c r="AM768" s="10" t="str" cm="1">
        <f t="array" ref="AM7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8" s="10" t="str" cm="1">
        <f t="array" ref="AN7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8" s="4" t="e">
        <f>_xlfn.XLOOKUP(tbl_MTG_Set[[#This Row],[Play Booster Box Product Id]], tbl_Product[Product Id], tbl_Product[Pack Size])</f>
        <v>#N/A</v>
      </c>
      <c r="AP768" s="10" t="e">
        <f>(tbl_MTG_Set[[#This Row],[Play Booster Box Cost]]+v_Item_Shipping_Cost_In)/tbl_MTG_Set[[#This Row],[Play Booster Box Size]]</f>
        <v>#VALUE!</v>
      </c>
      <c r="AQ768" s="10" t="str" cm="1">
        <f t="array" ref="AQ7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8" s="10"/>
      <c r="AS768" s="10"/>
      <c r="AT768" s="17" t="e">
        <f>tbl_MTG_Set[[#This Row],[Play Booster CardMarket Profit]]/tbl_MTG_Set[[#This Row],[Play Booster Cost]]</f>
        <v>#VALUE!</v>
      </c>
      <c r="AU768" s="10" t="e">
        <f>_xlfn.XLOOKUP(tbl_MTG_Set[[#This Row],[Collector Booster Box Product Id]], tbl_Product[Product Id], tbl_Product[Min Cost])</f>
        <v>#N/A</v>
      </c>
      <c r="AV768" s="10" t="e">
        <f>_xlfn.XLOOKUP(tbl_MTG_Set[[#This Row],[Collector Booster Box Product Id]], tbl_Product[Product Id], tbl_Product[Best Source])</f>
        <v>#N/A</v>
      </c>
      <c r="AW768" s="4" t="e">
        <f>_xlfn.XLOOKUP(tbl_MTG_Set[[#This Row],[Collector Booster Box Product Id]], tbl_Product[Product Id], tbl_Product[Pack Size])</f>
        <v>#N/A</v>
      </c>
      <c r="AX768" s="10" t="e">
        <f>(tbl_MTG_Set[[#This Row],[Collector Booster Box Cost]] + v_Item_Shipping_Cost_In) / tbl_MTG_Set[[#This Row],[Collector Booster Box Size]]</f>
        <v>#N/A</v>
      </c>
      <c r="AY768" s="10" t="str" cm="1">
        <f t="array" ref="AY7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8" s="10"/>
      <c r="BA7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8" s="17" t="e">
        <f>tbl_MTG_Set[[#This Row],[Collector Booster CardMarket Profit]]/tbl_MTG_Set[[#This Row],[Collector Booster Cost]]</f>
        <v>#N/A</v>
      </c>
      <c r="BC768" s="10"/>
      <c r="BF7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8" s="11" t="e">
        <f>tbl_MTG_Set[[#This Row],[Play Singles CardMarket Profit MTG Stocks]]/tbl_MTG_Set[[#This Row],[Play Booster Cost]]</f>
        <v>#VALUE!</v>
      </c>
      <c r="BI768" s="11" t="b">
        <f>tbl_MTG_Set[[#This Row],[Play Singles CardMarket Profit MTG Stocks]]&gt;0</f>
        <v>0</v>
      </c>
      <c r="BM768" s="10" t="e">
        <f>tbl_MTG_Set[[#This Row],[Play Booster Sell Price CardMarket]]*tbl_MTG_Set[[#This Row],[Play Booster Expected Market Value BotBox]]/tbl_MTG_Set[[#This Row],[Play Booster Sealed Market Value BotBox]]</f>
        <v>#VALUE!</v>
      </c>
      <c r="BN7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8" s="10" t="e">
        <f>tbl_MTG_Set[[#This Row],[Play Singles CardMarket Profit BotBox]]/tbl_MTG_Set[[#This Row],[Play Booster Cost]]</f>
        <v>#VALUE!</v>
      </c>
      <c r="BP768" s="10" t="b">
        <f>tbl_MTG_Set[[#This Row],[Play Singles CardMarket Profit BotBox]]&gt;0</f>
        <v>0</v>
      </c>
      <c r="BQ768" s="10"/>
      <c r="BR768" s="10"/>
      <c r="BS768" s="10"/>
      <c r="BT7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8" s="19" t="e">
        <f>tbl_MTG_Set[[#This Row],[Collector Singles CardMarket Profit MTG Stocks]]/tbl_MTG_Set[[#This Row],[Collector Booster Cost]]</f>
        <v>#N/A</v>
      </c>
      <c r="BW768" s="10" t="b">
        <f>tbl_MTG_Set[[#This Row],[Collector Singles CardMarket Profit MTG Stocks]]&gt;0</f>
        <v>0</v>
      </c>
      <c r="BX768" s="10"/>
      <c r="BY768" s="10"/>
      <c r="BZ7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8" s="10" t="e">
        <f>tbl_MTG_Set[[#This Row],[Collector Singles CardMarket Profit BotBox]]/tbl_MTG_Set[[#This Row],[Collector Booster Cost]]</f>
        <v>#N/A</v>
      </c>
      <c r="CC768" s="10" t="b">
        <f>tbl_MTG_Set[[#This Row],[Collector Singles CardMarket Profit BotBox]]&gt;0</f>
        <v>0</v>
      </c>
      <c r="CD7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69" spans="1:86" hidden="1">
      <c r="A769">
        <v>801</v>
      </c>
      <c r="B769" t="s">
        <v>942</v>
      </c>
      <c r="C769">
        <v>64</v>
      </c>
      <c r="D769" s="3">
        <v>39759</v>
      </c>
      <c r="F769" t="s">
        <v>174</v>
      </c>
      <c r="G769">
        <v>1548</v>
      </c>
      <c r="H769">
        <f ca="1">MONTH(NOW())+12*YEAR(NOW())-MONTH(tbl_MTG_Set[[#This Row],[Released On]])-12*YEAR(tbl_MTG_Set[[#This Row],[Released On]])</f>
        <v>208</v>
      </c>
      <c r="I769" t="str">
        <f>_xlfn.XLOOKUP(tbl_MTG_Set[[#This Row],[Type Name]], tbl_MTG_Set_Type[Set Type], tbl_MTG_Set_Type[Index], "(Set Type not found)")</f>
        <v>(Set Type not found)</v>
      </c>
      <c r="J769" t="str">
        <f>_xlfn.XLOOKUP(tbl_MTG_Set[[#This Row],[Type Name]], tbl_MTG_Set_Type[Set Type], tbl_MTG_Set_Type[Buy Window Month Start], "(Set Type not found)")</f>
        <v>(Set Type not found)</v>
      </c>
      <c r="K769" s="3" t="e">
        <f>tbl_MTG_Set[[#This Row],[Released On]]+tbl_MTG_Set[[#This Row],[Buy Window Month Start]]*365.25/12</f>
        <v>#VALUE!</v>
      </c>
      <c r="L769" t="str">
        <f>_xlfn.XLOOKUP(tbl_MTG_Set[[#This Row],[Type Name]], tbl_MTG_Set_Type[Set Type], tbl_MTG_Set_Type[Buy Window Month End], "(Set Type not found)", 0, 1)</f>
        <v>(Set Type not found)</v>
      </c>
      <c r="M769" s="3" t="e">
        <f>tbl_MTG_Set[[#This Row],[Released On]]+tbl_MTG_Set[[#This Row],[Buy Window Month End]]*365.25/12</f>
        <v>#VALUE!</v>
      </c>
      <c r="N769" s="3" t="e">
        <f ca="1">AND(NOW()&gt;=tbl_MTG_Set[[#This Row],[Buy Window Start]], NOW()&lt;=tbl_MTG_Set[[#This Row],[Buy Window End]])</f>
        <v>#VALUE!</v>
      </c>
      <c r="O769" t="str">
        <f>_xlfn.XLOOKUP(tbl_MTG_Set[[#This Row],[Type Name]], tbl_MTG_Set_Type[Set Type], tbl_MTG_Set_Type[Heavy Printing Window Month Start], "(Set Type not found)", 0, 1)</f>
        <v>(Set Type not found)</v>
      </c>
      <c r="P769" s="3" t="e">
        <f>tbl_MTG_Set[[#This Row],[Released On]]+tbl_MTG_Set[[#This Row],[Heavy Printing Window Month Start]]*365.25/12</f>
        <v>#VALUE!</v>
      </c>
      <c r="Q769" t="str">
        <f>_xlfn.XLOOKUP(tbl_MTG_Set[[#This Row],[Type Name]], tbl_MTG_Set_Type[Set Type], tbl_MTG_Set_Type[Heavy Printing Window Month End], "(Set Type not found)", 0, 1)</f>
        <v>(Set Type not found)</v>
      </c>
      <c r="R769" s="3" t="e">
        <f>tbl_MTG_Set[[#This Row],[Released On]]+tbl_MTG_Set[[#This Row],[Heavy Printing Window Month End]]*365.25/12</f>
        <v>#VALUE!</v>
      </c>
      <c r="S769" s="3" t="e">
        <f ca="1">AND(NOW()&gt;=tbl_MTG_Set[[#This Row],[Heavy Printing Window Start]], NOW()&lt;=tbl_MTG_Set[[#This Row],[Heavy Printing Window End]])</f>
        <v>#VALUE!</v>
      </c>
      <c r="T769" t="str">
        <f>_xlfn.XLOOKUP(tbl_MTG_Set[[#This Row],[Type Name]], tbl_MTG_Set_Type[Set Type], tbl_MTG_Set_Type[Sell Window Month Start], "(Set Type not found)", 0, 1)</f>
        <v>(Set Type not found)</v>
      </c>
      <c r="U769" s="3" t="e">
        <f>tbl_MTG_Set[[#This Row],[Released On]]+tbl_MTG_Set[[#This Row],[Sell Window Month Start]]*365.25/12</f>
        <v>#VALUE!</v>
      </c>
      <c r="V769" t="str">
        <f>_xlfn.XLOOKUP(tbl_MTG_Set[[#This Row],[Type Name]], tbl_MTG_Set_Type[Set Type], tbl_MTG_Set_Type[Sell Window Month End], "(Set Type not found)", 0, 1)</f>
        <v>(Set Type not found)</v>
      </c>
      <c r="W769" s="3" t="e">
        <f>tbl_MTG_Set[[#This Row],[Released On]]+tbl_MTG_Set[[#This Row],[Sell Window Month End]]*365.25/12</f>
        <v>#VALUE!</v>
      </c>
      <c r="X769" s="3" t="e">
        <f ca="1">AND(NOW()&gt;=tbl_MTG_Set[[#This Row],[Sell Window Start]], NOW()&lt;=tbl_MTG_Set[[#This Row],[Sell Window End]])</f>
        <v>#VALUE!</v>
      </c>
      <c r="AG769" s="10"/>
      <c r="AH769" s="10"/>
      <c r="AM769" s="10" t="str" cm="1">
        <f t="array" ref="AM7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69" s="10" t="str" cm="1">
        <f t="array" ref="AN7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69" s="4" t="e">
        <f>_xlfn.XLOOKUP(tbl_MTG_Set[[#This Row],[Play Booster Box Product Id]], tbl_Product[Product Id], tbl_Product[Pack Size])</f>
        <v>#N/A</v>
      </c>
      <c r="AP769" s="10" t="e">
        <f>(tbl_MTG_Set[[#This Row],[Play Booster Box Cost]]+v_Item_Shipping_Cost_In)/tbl_MTG_Set[[#This Row],[Play Booster Box Size]]</f>
        <v>#VALUE!</v>
      </c>
      <c r="AQ769" s="10" t="str" cm="1">
        <f t="array" ref="AQ7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69" s="10"/>
      <c r="AS769" s="10"/>
      <c r="AT769" s="17" t="e">
        <f>tbl_MTG_Set[[#This Row],[Play Booster CardMarket Profit]]/tbl_MTG_Set[[#This Row],[Play Booster Cost]]</f>
        <v>#VALUE!</v>
      </c>
      <c r="AU769" s="10" t="e">
        <f>_xlfn.XLOOKUP(tbl_MTG_Set[[#This Row],[Collector Booster Box Product Id]], tbl_Product[Product Id], tbl_Product[Min Cost])</f>
        <v>#N/A</v>
      </c>
      <c r="AV769" s="10" t="e">
        <f>_xlfn.XLOOKUP(tbl_MTG_Set[[#This Row],[Collector Booster Box Product Id]], tbl_Product[Product Id], tbl_Product[Best Source])</f>
        <v>#N/A</v>
      </c>
      <c r="AW769" s="4" t="e">
        <f>_xlfn.XLOOKUP(tbl_MTG_Set[[#This Row],[Collector Booster Box Product Id]], tbl_Product[Product Id], tbl_Product[Pack Size])</f>
        <v>#N/A</v>
      </c>
      <c r="AX769" s="10" t="e">
        <f>(tbl_MTG_Set[[#This Row],[Collector Booster Box Cost]] + v_Item_Shipping_Cost_In) / tbl_MTG_Set[[#This Row],[Collector Booster Box Size]]</f>
        <v>#N/A</v>
      </c>
      <c r="AY769" s="10" t="str" cm="1">
        <f t="array" ref="AY7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69" s="10"/>
      <c r="BA7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69" s="17" t="e">
        <f>tbl_MTG_Set[[#This Row],[Collector Booster CardMarket Profit]]/tbl_MTG_Set[[#This Row],[Collector Booster Cost]]</f>
        <v>#N/A</v>
      </c>
      <c r="BC769" s="10"/>
      <c r="BF7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69" s="11" t="e">
        <f>tbl_MTG_Set[[#This Row],[Play Singles CardMarket Profit MTG Stocks]]/tbl_MTG_Set[[#This Row],[Play Booster Cost]]</f>
        <v>#VALUE!</v>
      </c>
      <c r="BI769" s="11" t="b">
        <f>tbl_MTG_Set[[#This Row],[Play Singles CardMarket Profit MTG Stocks]]&gt;0</f>
        <v>0</v>
      </c>
      <c r="BM769" s="10" t="e">
        <f>tbl_MTG_Set[[#This Row],[Play Booster Sell Price CardMarket]]*tbl_MTG_Set[[#This Row],[Play Booster Expected Market Value BotBox]]/tbl_MTG_Set[[#This Row],[Play Booster Sealed Market Value BotBox]]</f>
        <v>#VALUE!</v>
      </c>
      <c r="BN7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69" s="10" t="e">
        <f>tbl_MTG_Set[[#This Row],[Play Singles CardMarket Profit BotBox]]/tbl_MTG_Set[[#This Row],[Play Booster Cost]]</f>
        <v>#VALUE!</v>
      </c>
      <c r="BP769" s="10" t="b">
        <f>tbl_MTG_Set[[#This Row],[Play Singles CardMarket Profit BotBox]]&gt;0</f>
        <v>0</v>
      </c>
      <c r="BQ769" s="10"/>
      <c r="BR769" s="10"/>
      <c r="BS769" s="10"/>
      <c r="BT7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69" s="19" t="e">
        <f>tbl_MTG_Set[[#This Row],[Collector Singles CardMarket Profit MTG Stocks]]/tbl_MTG_Set[[#This Row],[Collector Booster Cost]]</f>
        <v>#N/A</v>
      </c>
      <c r="BW769" s="10" t="b">
        <f>tbl_MTG_Set[[#This Row],[Collector Singles CardMarket Profit MTG Stocks]]&gt;0</f>
        <v>0</v>
      </c>
      <c r="BX769" s="10"/>
      <c r="BY769" s="10"/>
      <c r="BZ7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69" s="10" t="e">
        <f>tbl_MTG_Set[[#This Row],[Collector Singles CardMarket Profit BotBox]]/tbl_MTG_Set[[#This Row],[Collector Booster Cost]]</f>
        <v>#N/A</v>
      </c>
      <c r="CC769" s="10" t="b">
        <f>tbl_MTG_Set[[#This Row],[Collector Singles CardMarket Profit BotBox]]&gt;0</f>
        <v>0</v>
      </c>
      <c r="CD7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0" spans="1:86" hidden="1">
      <c r="A770">
        <v>802</v>
      </c>
      <c r="B770" t="s">
        <v>943</v>
      </c>
      <c r="C770">
        <v>1</v>
      </c>
      <c r="D770" s="3">
        <v>39759</v>
      </c>
      <c r="F770" t="s">
        <v>174</v>
      </c>
      <c r="G770">
        <v>1550</v>
      </c>
      <c r="H770">
        <f ca="1">MONTH(NOW())+12*YEAR(NOW())-MONTH(tbl_MTG_Set[[#This Row],[Released On]])-12*YEAR(tbl_MTG_Set[[#This Row],[Released On]])</f>
        <v>208</v>
      </c>
      <c r="I770" t="str">
        <f>_xlfn.XLOOKUP(tbl_MTG_Set[[#This Row],[Type Name]], tbl_MTG_Set_Type[Set Type], tbl_MTG_Set_Type[Index], "(Set Type not found)")</f>
        <v>(Set Type not found)</v>
      </c>
      <c r="J770" t="str">
        <f>_xlfn.XLOOKUP(tbl_MTG_Set[[#This Row],[Type Name]], tbl_MTG_Set_Type[Set Type], tbl_MTG_Set_Type[Buy Window Month Start], "(Set Type not found)")</f>
        <v>(Set Type not found)</v>
      </c>
      <c r="K770" s="3" t="e">
        <f>tbl_MTG_Set[[#This Row],[Released On]]+tbl_MTG_Set[[#This Row],[Buy Window Month Start]]*365.25/12</f>
        <v>#VALUE!</v>
      </c>
      <c r="L770" t="str">
        <f>_xlfn.XLOOKUP(tbl_MTG_Set[[#This Row],[Type Name]], tbl_MTG_Set_Type[Set Type], tbl_MTG_Set_Type[Buy Window Month End], "(Set Type not found)", 0, 1)</f>
        <v>(Set Type not found)</v>
      </c>
      <c r="M770" s="3" t="e">
        <f>tbl_MTG_Set[[#This Row],[Released On]]+tbl_MTG_Set[[#This Row],[Buy Window Month End]]*365.25/12</f>
        <v>#VALUE!</v>
      </c>
      <c r="N770" s="3" t="e">
        <f ca="1">AND(NOW()&gt;=tbl_MTG_Set[[#This Row],[Buy Window Start]], NOW()&lt;=tbl_MTG_Set[[#This Row],[Buy Window End]])</f>
        <v>#VALUE!</v>
      </c>
      <c r="O770" t="str">
        <f>_xlfn.XLOOKUP(tbl_MTG_Set[[#This Row],[Type Name]], tbl_MTG_Set_Type[Set Type], tbl_MTG_Set_Type[Heavy Printing Window Month Start], "(Set Type not found)", 0, 1)</f>
        <v>(Set Type not found)</v>
      </c>
      <c r="P770" s="3" t="e">
        <f>tbl_MTG_Set[[#This Row],[Released On]]+tbl_MTG_Set[[#This Row],[Heavy Printing Window Month Start]]*365.25/12</f>
        <v>#VALUE!</v>
      </c>
      <c r="Q770" t="str">
        <f>_xlfn.XLOOKUP(tbl_MTG_Set[[#This Row],[Type Name]], tbl_MTG_Set_Type[Set Type], tbl_MTG_Set_Type[Heavy Printing Window Month End], "(Set Type not found)", 0, 1)</f>
        <v>(Set Type not found)</v>
      </c>
      <c r="R770" s="3" t="e">
        <f>tbl_MTG_Set[[#This Row],[Released On]]+tbl_MTG_Set[[#This Row],[Heavy Printing Window Month End]]*365.25/12</f>
        <v>#VALUE!</v>
      </c>
      <c r="S770" s="3" t="e">
        <f ca="1">AND(NOW()&gt;=tbl_MTG_Set[[#This Row],[Heavy Printing Window Start]], NOW()&lt;=tbl_MTG_Set[[#This Row],[Heavy Printing Window End]])</f>
        <v>#VALUE!</v>
      </c>
      <c r="T770" t="str">
        <f>_xlfn.XLOOKUP(tbl_MTG_Set[[#This Row],[Type Name]], tbl_MTG_Set_Type[Set Type], tbl_MTG_Set_Type[Sell Window Month Start], "(Set Type not found)", 0, 1)</f>
        <v>(Set Type not found)</v>
      </c>
      <c r="U770" s="3" t="e">
        <f>tbl_MTG_Set[[#This Row],[Released On]]+tbl_MTG_Set[[#This Row],[Sell Window Month Start]]*365.25/12</f>
        <v>#VALUE!</v>
      </c>
      <c r="V770" t="str">
        <f>_xlfn.XLOOKUP(tbl_MTG_Set[[#This Row],[Type Name]], tbl_MTG_Set_Type[Set Type], tbl_MTG_Set_Type[Sell Window Month End], "(Set Type not found)", 0, 1)</f>
        <v>(Set Type not found)</v>
      </c>
      <c r="W770" s="3" t="e">
        <f>tbl_MTG_Set[[#This Row],[Released On]]+tbl_MTG_Set[[#This Row],[Sell Window Month End]]*365.25/12</f>
        <v>#VALUE!</v>
      </c>
      <c r="X770" s="3" t="e">
        <f ca="1">AND(NOW()&gt;=tbl_MTG_Set[[#This Row],[Sell Window Start]], NOW()&lt;=tbl_MTG_Set[[#This Row],[Sell Window End]])</f>
        <v>#VALUE!</v>
      </c>
      <c r="AG770" s="10"/>
      <c r="AH770" s="10"/>
      <c r="AM770" s="10" t="str" cm="1">
        <f t="array" ref="AM7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0" s="10" t="str" cm="1">
        <f t="array" ref="AN7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0" s="4" t="e">
        <f>_xlfn.XLOOKUP(tbl_MTG_Set[[#This Row],[Play Booster Box Product Id]], tbl_Product[Product Id], tbl_Product[Pack Size])</f>
        <v>#N/A</v>
      </c>
      <c r="AP770" s="10" t="e">
        <f>(tbl_MTG_Set[[#This Row],[Play Booster Box Cost]]+v_Item_Shipping_Cost_In)/tbl_MTG_Set[[#This Row],[Play Booster Box Size]]</f>
        <v>#VALUE!</v>
      </c>
      <c r="AQ770" s="10" t="str" cm="1">
        <f t="array" ref="AQ7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0" s="10"/>
      <c r="AS770" s="10"/>
      <c r="AT770" s="17" t="e">
        <f>tbl_MTG_Set[[#This Row],[Play Booster CardMarket Profit]]/tbl_MTG_Set[[#This Row],[Play Booster Cost]]</f>
        <v>#VALUE!</v>
      </c>
      <c r="AU770" s="10" t="e">
        <f>_xlfn.XLOOKUP(tbl_MTG_Set[[#This Row],[Collector Booster Box Product Id]], tbl_Product[Product Id], tbl_Product[Min Cost])</f>
        <v>#N/A</v>
      </c>
      <c r="AV770" s="10" t="e">
        <f>_xlfn.XLOOKUP(tbl_MTG_Set[[#This Row],[Collector Booster Box Product Id]], tbl_Product[Product Id], tbl_Product[Best Source])</f>
        <v>#N/A</v>
      </c>
      <c r="AW770" s="4" t="e">
        <f>_xlfn.XLOOKUP(tbl_MTG_Set[[#This Row],[Collector Booster Box Product Id]], tbl_Product[Product Id], tbl_Product[Pack Size])</f>
        <v>#N/A</v>
      </c>
      <c r="AX770" s="10" t="e">
        <f>(tbl_MTG_Set[[#This Row],[Collector Booster Box Cost]] + v_Item_Shipping_Cost_In) / tbl_MTG_Set[[#This Row],[Collector Booster Box Size]]</f>
        <v>#N/A</v>
      </c>
      <c r="AY770" s="10" t="str" cm="1">
        <f t="array" ref="AY7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0" s="10"/>
      <c r="BA7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0" s="17" t="e">
        <f>tbl_MTG_Set[[#This Row],[Collector Booster CardMarket Profit]]/tbl_MTG_Set[[#This Row],[Collector Booster Cost]]</f>
        <v>#N/A</v>
      </c>
      <c r="BC770" s="10"/>
      <c r="BF7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0" s="11" t="e">
        <f>tbl_MTG_Set[[#This Row],[Play Singles CardMarket Profit MTG Stocks]]/tbl_MTG_Set[[#This Row],[Play Booster Cost]]</f>
        <v>#VALUE!</v>
      </c>
      <c r="BI770" s="11" t="b">
        <f>tbl_MTG_Set[[#This Row],[Play Singles CardMarket Profit MTG Stocks]]&gt;0</f>
        <v>0</v>
      </c>
      <c r="BM770" s="10" t="e">
        <f>tbl_MTG_Set[[#This Row],[Play Booster Sell Price CardMarket]]*tbl_MTG_Set[[#This Row],[Play Booster Expected Market Value BotBox]]/tbl_MTG_Set[[#This Row],[Play Booster Sealed Market Value BotBox]]</f>
        <v>#VALUE!</v>
      </c>
      <c r="BN7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0" s="10" t="e">
        <f>tbl_MTG_Set[[#This Row],[Play Singles CardMarket Profit BotBox]]/tbl_MTG_Set[[#This Row],[Play Booster Cost]]</f>
        <v>#VALUE!</v>
      </c>
      <c r="BP770" s="10" t="b">
        <f>tbl_MTG_Set[[#This Row],[Play Singles CardMarket Profit BotBox]]&gt;0</f>
        <v>0</v>
      </c>
      <c r="BQ770" s="10"/>
      <c r="BR770" s="10"/>
      <c r="BS770" s="10"/>
      <c r="BT7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0" s="19" t="e">
        <f>tbl_MTG_Set[[#This Row],[Collector Singles CardMarket Profit MTG Stocks]]/tbl_MTG_Set[[#This Row],[Collector Booster Cost]]</f>
        <v>#N/A</v>
      </c>
      <c r="BW770" s="10" t="b">
        <f>tbl_MTG_Set[[#This Row],[Collector Singles CardMarket Profit MTG Stocks]]&gt;0</f>
        <v>0</v>
      </c>
      <c r="BX770" s="10"/>
      <c r="BY770" s="10"/>
      <c r="BZ7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0" s="10" t="e">
        <f>tbl_MTG_Set[[#This Row],[Collector Singles CardMarket Profit BotBox]]/tbl_MTG_Set[[#This Row],[Collector Booster Cost]]</f>
        <v>#N/A</v>
      </c>
      <c r="CC770" s="10" t="b">
        <f>tbl_MTG_Set[[#This Row],[Collector Singles CardMarket Profit BotBox]]&gt;0</f>
        <v>0</v>
      </c>
      <c r="CD7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1" spans="1:86" hidden="1">
      <c r="A771">
        <v>803</v>
      </c>
      <c r="B771" t="s">
        <v>944</v>
      </c>
      <c r="C771">
        <v>250</v>
      </c>
      <c r="D771" s="3">
        <v>39724</v>
      </c>
      <c r="F771" t="s">
        <v>174</v>
      </c>
      <c r="G771">
        <v>1552</v>
      </c>
      <c r="H771">
        <f ca="1">MONTH(NOW())+12*YEAR(NOW())-MONTH(tbl_MTG_Set[[#This Row],[Released On]])-12*YEAR(tbl_MTG_Set[[#This Row],[Released On]])</f>
        <v>209</v>
      </c>
      <c r="I771" t="str">
        <f>_xlfn.XLOOKUP(tbl_MTG_Set[[#This Row],[Type Name]], tbl_MTG_Set_Type[Set Type], tbl_MTG_Set_Type[Index], "(Set Type not found)")</f>
        <v>(Set Type not found)</v>
      </c>
      <c r="J771" t="str">
        <f>_xlfn.XLOOKUP(tbl_MTG_Set[[#This Row],[Type Name]], tbl_MTG_Set_Type[Set Type], tbl_MTG_Set_Type[Buy Window Month Start], "(Set Type not found)")</f>
        <v>(Set Type not found)</v>
      </c>
      <c r="K771" s="3" t="e">
        <f>tbl_MTG_Set[[#This Row],[Released On]]+tbl_MTG_Set[[#This Row],[Buy Window Month Start]]*365.25/12</f>
        <v>#VALUE!</v>
      </c>
      <c r="L771" t="str">
        <f>_xlfn.XLOOKUP(tbl_MTG_Set[[#This Row],[Type Name]], tbl_MTG_Set_Type[Set Type], tbl_MTG_Set_Type[Buy Window Month End], "(Set Type not found)", 0, 1)</f>
        <v>(Set Type not found)</v>
      </c>
      <c r="M771" s="3" t="e">
        <f>tbl_MTG_Set[[#This Row],[Released On]]+tbl_MTG_Set[[#This Row],[Buy Window Month End]]*365.25/12</f>
        <v>#VALUE!</v>
      </c>
      <c r="N771" s="3" t="e">
        <f ca="1">AND(NOW()&gt;=tbl_MTG_Set[[#This Row],[Buy Window Start]], NOW()&lt;=tbl_MTG_Set[[#This Row],[Buy Window End]])</f>
        <v>#VALUE!</v>
      </c>
      <c r="O771" t="str">
        <f>_xlfn.XLOOKUP(tbl_MTG_Set[[#This Row],[Type Name]], tbl_MTG_Set_Type[Set Type], tbl_MTG_Set_Type[Heavy Printing Window Month Start], "(Set Type not found)", 0, 1)</f>
        <v>(Set Type not found)</v>
      </c>
      <c r="P771" s="3" t="e">
        <f>tbl_MTG_Set[[#This Row],[Released On]]+tbl_MTG_Set[[#This Row],[Heavy Printing Window Month Start]]*365.25/12</f>
        <v>#VALUE!</v>
      </c>
      <c r="Q771" t="str">
        <f>_xlfn.XLOOKUP(tbl_MTG_Set[[#This Row],[Type Name]], tbl_MTG_Set_Type[Set Type], tbl_MTG_Set_Type[Heavy Printing Window Month End], "(Set Type not found)", 0, 1)</f>
        <v>(Set Type not found)</v>
      </c>
      <c r="R771" s="3" t="e">
        <f>tbl_MTG_Set[[#This Row],[Released On]]+tbl_MTG_Set[[#This Row],[Heavy Printing Window Month End]]*365.25/12</f>
        <v>#VALUE!</v>
      </c>
      <c r="S771" s="3" t="e">
        <f ca="1">AND(NOW()&gt;=tbl_MTG_Set[[#This Row],[Heavy Printing Window Start]], NOW()&lt;=tbl_MTG_Set[[#This Row],[Heavy Printing Window End]])</f>
        <v>#VALUE!</v>
      </c>
      <c r="T771" t="str">
        <f>_xlfn.XLOOKUP(tbl_MTG_Set[[#This Row],[Type Name]], tbl_MTG_Set_Type[Set Type], tbl_MTG_Set_Type[Sell Window Month Start], "(Set Type not found)", 0, 1)</f>
        <v>(Set Type not found)</v>
      </c>
      <c r="U771" s="3" t="e">
        <f>tbl_MTG_Set[[#This Row],[Released On]]+tbl_MTG_Set[[#This Row],[Sell Window Month Start]]*365.25/12</f>
        <v>#VALUE!</v>
      </c>
      <c r="V771" t="str">
        <f>_xlfn.XLOOKUP(tbl_MTG_Set[[#This Row],[Type Name]], tbl_MTG_Set_Type[Set Type], tbl_MTG_Set_Type[Sell Window Month End], "(Set Type not found)", 0, 1)</f>
        <v>(Set Type not found)</v>
      </c>
      <c r="W771" s="3" t="e">
        <f>tbl_MTG_Set[[#This Row],[Released On]]+tbl_MTG_Set[[#This Row],[Sell Window Month End]]*365.25/12</f>
        <v>#VALUE!</v>
      </c>
      <c r="X771" s="3" t="e">
        <f ca="1">AND(NOW()&gt;=tbl_MTG_Set[[#This Row],[Sell Window Start]], NOW()&lt;=tbl_MTG_Set[[#This Row],[Sell Window End]])</f>
        <v>#VALUE!</v>
      </c>
      <c r="AG771" s="10"/>
      <c r="AH771" s="10"/>
      <c r="AM771" s="10" t="str" cm="1">
        <f t="array" ref="AM7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1" s="10" t="str" cm="1">
        <f t="array" ref="AN7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1" s="4" t="e">
        <f>_xlfn.XLOOKUP(tbl_MTG_Set[[#This Row],[Play Booster Box Product Id]], tbl_Product[Product Id], tbl_Product[Pack Size])</f>
        <v>#N/A</v>
      </c>
      <c r="AP771" s="10" t="e">
        <f>(tbl_MTG_Set[[#This Row],[Play Booster Box Cost]]+v_Item_Shipping_Cost_In)/tbl_MTG_Set[[#This Row],[Play Booster Box Size]]</f>
        <v>#VALUE!</v>
      </c>
      <c r="AQ771" s="10" t="str" cm="1">
        <f t="array" ref="AQ7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1" s="10"/>
      <c r="AS771" s="10"/>
      <c r="AT771" s="17" t="e">
        <f>tbl_MTG_Set[[#This Row],[Play Booster CardMarket Profit]]/tbl_MTG_Set[[#This Row],[Play Booster Cost]]</f>
        <v>#VALUE!</v>
      </c>
      <c r="AU771" s="10" t="e">
        <f>_xlfn.XLOOKUP(tbl_MTG_Set[[#This Row],[Collector Booster Box Product Id]], tbl_Product[Product Id], tbl_Product[Min Cost])</f>
        <v>#N/A</v>
      </c>
      <c r="AV771" s="10" t="e">
        <f>_xlfn.XLOOKUP(tbl_MTG_Set[[#This Row],[Collector Booster Box Product Id]], tbl_Product[Product Id], tbl_Product[Best Source])</f>
        <v>#N/A</v>
      </c>
      <c r="AW771" s="4" t="e">
        <f>_xlfn.XLOOKUP(tbl_MTG_Set[[#This Row],[Collector Booster Box Product Id]], tbl_Product[Product Id], tbl_Product[Pack Size])</f>
        <v>#N/A</v>
      </c>
      <c r="AX771" s="10" t="e">
        <f>(tbl_MTG_Set[[#This Row],[Collector Booster Box Cost]] + v_Item_Shipping_Cost_In) / tbl_MTG_Set[[#This Row],[Collector Booster Box Size]]</f>
        <v>#N/A</v>
      </c>
      <c r="AY771" s="10" t="str" cm="1">
        <f t="array" ref="AY7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1" s="10"/>
      <c r="BA7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1" s="17" t="e">
        <f>tbl_MTG_Set[[#This Row],[Collector Booster CardMarket Profit]]/tbl_MTG_Set[[#This Row],[Collector Booster Cost]]</f>
        <v>#N/A</v>
      </c>
      <c r="BC771" s="10"/>
      <c r="BF7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1" s="11" t="e">
        <f>tbl_MTG_Set[[#This Row],[Play Singles CardMarket Profit MTG Stocks]]/tbl_MTG_Set[[#This Row],[Play Booster Cost]]</f>
        <v>#VALUE!</v>
      </c>
      <c r="BI771" s="11" t="b">
        <f>tbl_MTG_Set[[#This Row],[Play Singles CardMarket Profit MTG Stocks]]&gt;0</f>
        <v>0</v>
      </c>
      <c r="BM771" s="10" t="e">
        <f>tbl_MTG_Set[[#This Row],[Play Booster Sell Price CardMarket]]*tbl_MTG_Set[[#This Row],[Play Booster Expected Market Value BotBox]]/tbl_MTG_Set[[#This Row],[Play Booster Sealed Market Value BotBox]]</f>
        <v>#VALUE!</v>
      </c>
      <c r="BN7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1" s="10" t="e">
        <f>tbl_MTG_Set[[#This Row],[Play Singles CardMarket Profit BotBox]]/tbl_MTG_Set[[#This Row],[Play Booster Cost]]</f>
        <v>#VALUE!</v>
      </c>
      <c r="BP771" s="10" t="b">
        <f>tbl_MTG_Set[[#This Row],[Play Singles CardMarket Profit BotBox]]&gt;0</f>
        <v>0</v>
      </c>
      <c r="BQ771" s="10"/>
      <c r="BR771" s="10"/>
      <c r="BS771" s="10"/>
      <c r="BT7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1" s="19" t="e">
        <f>tbl_MTG_Set[[#This Row],[Collector Singles CardMarket Profit MTG Stocks]]/tbl_MTG_Set[[#This Row],[Collector Booster Cost]]</f>
        <v>#N/A</v>
      </c>
      <c r="BW771" s="10" t="b">
        <f>tbl_MTG_Set[[#This Row],[Collector Singles CardMarket Profit MTG Stocks]]&gt;0</f>
        <v>0</v>
      </c>
      <c r="BX771" s="10"/>
      <c r="BY771" s="10"/>
      <c r="BZ7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1" s="10" t="e">
        <f>tbl_MTG_Set[[#This Row],[Collector Singles CardMarket Profit BotBox]]/tbl_MTG_Set[[#This Row],[Collector Booster Cost]]</f>
        <v>#N/A</v>
      </c>
      <c r="CC771" s="10" t="b">
        <f>tbl_MTG_Set[[#This Row],[Collector Singles CardMarket Profit BotBox]]&gt;0</f>
        <v>0</v>
      </c>
      <c r="CD7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2" spans="1:86" hidden="1">
      <c r="A772">
        <v>804</v>
      </c>
      <c r="B772" t="s">
        <v>945</v>
      </c>
      <c r="C772">
        <v>2</v>
      </c>
      <c r="D772" s="3">
        <v>39724</v>
      </c>
      <c r="F772" t="s">
        <v>174</v>
      </c>
      <c r="G772">
        <v>1554</v>
      </c>
      <c r="H772">
        <f ca="1">MONTH(NOW())+12*YEAR(NOW())-MONTH(tbl_MTG_Set[[#This Row],[Released On]])-12*YEAR(tbl_MTG_Set[[#This Row],[Released On]])</f>
        <v>209</v>
      </c>
      <c r="I772" t="str">
        <f>_xlfn.XLOOKUP(tbl_MTG_Set[[#This Row],[Type Name]], tbl_MTG_Set_Type[Set Type], tbl_MTG_Set_Type[Index], "(Set Type not found)")</f>
        <v>(Set Type not found)</v>
      </c>
      <c r="J772" t="str">
        <f>_xlfn.XLOOKUP(tbl_MTG_Set[[#This Row],[Type Name]], tbl_MTG_Set_Type[Set Type], tbl_MTG_Set_Type[Buy Window Month Start], "(Set Type not found)")</f>
        <v>(Set Type not found)</v>
      </c>
      <c r="K772" s="3" t="e">
        <f>tbl_MTG_Set[[#This Row],[Released On]]+tbl_MTG_Set[[#This Row],[Buy Window Month Start]]*365.25/12</f>
        <v>#VALUE!</v>
      </c>
      <c r="L772" t="str">
        <f>_xlfn.XLOOKUP(tbl_MTG_Set[[#This Row],[Type Name]], tbl_MTG_Set_Type[Set Type], tbl_MTG_Set_Type[Buy Window Month End], "(Set Type not found)", 0, 1)</f>
        <v>(Set Type not found)</v>
      </c>
      <c r="M772" s="3" t="e">
        <f>tbl_MTG_Set[[#This Row],[Released On]]+tbl_MTG_Set[[#This Row],[Buy Window Month End]]*365.25/12</f>
        <v>#VALUE!</v>
      </c>
      <c r="N772" s="3" t="e">
        <f ca="1">AND(NOW()&gt;=tbl_MTG_Set[[#This Row],[Buy Window Start]], NOW()&lt;=tbl_MTG_Set[[#This Row],[Buy Window End]])</f>
        <v>#VALUE!</v>
      </c>
      <c r="O772" t="str">
        <f>_xlfn.XLOOKUP(tbl_MTG_Set[[#This Row],[Type Name]], tbl_MTG_Set_Type[Set Type], tbl_MTG_Set_Type[Heavy Printing Window Month Start], "(Set Type not found)", 0, 1)</f>
        <v>(Set Type not found)</v>
      </c>
      <c r="P772" s="3" t="e">
        <f>tbl_MTG_Set[[#This Row],[Released On]]+tbl_MTG_Set[[#This Row],[Heavy Printing Window Month Start]]*365.25/12</f>
        <v>#VALUE!</v>
      </c>
      <c r="Q772" t="str">
        <f>_xlfn.XLOOKUP(tbl_MTG_Set[[#This Row],[Type Name]], tbl_MTG_Set_Type[Set Type], tbl_MTG_Set_Type[Heavy Printing Window Month End], "(Set Type not found)", 0, 1)</f>
        <v>(Set Type not found)</v>
      </c>
      <c r="R772" s="3" t="e">
        <f>tbl_MTG_Set[[#This Row],[Released On]]+tbl_MTG_Set[[#This Row],[Heavy Printing Window Month End]]*365.25/12</f>
        <v>#VALUE!</v>
      </c>
      <c r="S772" s="3" t="e">
        <f ca="1">AND(NOW()&gt;=tbl_MTG_Set[[#This Row],[Heavy Printing Window Start]], NOW()&lt;=tbl_MTG_Set[[#This Row],[Heavy Printing Window End]])</f>
        <v>#VALUE!</v>
      </c>
      <c r="T772" t="str">
        <f>_xlfn.XLOOKUP(tbl_MTG_Set[[#This Row],[Type Name]], tbl_MTG_Set_Type[Set Type], tbl_MTG_Set_Type[Sell Window Month Start], "(Set Type not found)", 0, 1)</f>
        <v>(Set Type not found)</v>
      </c>
      <c r="U772" s="3" t="e">
        <f>tbl_MTG_Set[[#This Row],[Released On]]+tbl_MTG_Set[[#This Row],[Sell Window Month Start]]*365.25/12</f>
        <v>#VALUE!</v>
      </c>
      <c r="V772" t="str">
        <f>_xlfn.XLOOKUP(tbl_MTG_Set[[#This Row],[Type Name]], tbl_MTG_Set_Type[Set Type], tbl_MTG_Set_Type[Sell Window Month End], "(Set Type not found)", 0, 1)</f>
        <v>(Set Type not found)</v>
      </c>
      <c r="W772" s="3" t="e">
        <f>tbl_MTG_Set[[#This Row],[Released On]]+tbl_MTG_Set[[#This Row],[Sell Window Month End]]*365.25/12</f>
        <v>#VALUE!</v>
      </c>
      <c r="X772" s="3" t="e">
        <f ca="1">AND(NOW()&gt;=tbl_MTG_Set[[#This Row],[Sell Window Start]], NOW()&lt;=tbl_MTG_Set[[#This Row],[Sell Window End]])</f>
        <v>#VALUE!</v>
      </c>
      <c r="AG772" s="10"/>
      <c r="AH772" s="10"/>
      <c r="AM772" s="10" t="str" cm="1">
        <f t="array" ref="AM7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2" s="10" t="str" cm="1">
        <f t="array" ref="AN7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2" s="4" t="e">
        <f>_xlfn.XLOOKUP(tbl_MTG_Set[[#This Row],[Play Booster Box Product Id]], tbl_Product[Product Id], tbl_Product[Pack Size])</f>
        <v>#N/A</v>
      </c>
      <c r="AP772" s="10" t="e">
        <f>(tbl_MTG_Set[[#This Row],[Play Booster Box Cost]]+v_Item_Shipping_Cost_In)/tbl_MTG_Set[[#This Row],[Play Booster Box Size]]</f>
        <v>#VALUE!</v>
      </c>
      <c r="AQ772" s="10" t="str" cm="1">
        <f t="array" ref="AQ7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2" s="10"/>
      <c r="AS772" s="10"/>
      <c r="AT772" s="17" t="e">
        <f>tbl_MTG_Set[[#This Row],[Play Booster CardMarket Profit]]/tbl_MTG_Set[[#This Row],[Play Booster Cost]]</f>
        <v>#VALUE!</v>
      </c>
      <c r="AU772" s="10" t="e">
        <f>_xlfn.XLOOKUP(tbl_MTG_Set[[#This Row],[Collector Booster Box Product Id]], tbl_Product[Product Id], tbl_Product[Min Cost])</f>
        <v>#N/A</v>
      </c>
      <c r="AV772" s="10" t="e">
        <f>_xlfn.XLOOKUP(tbl_MTG_Set[[#This Row],[Collector Booster Box Product Id]], tbl_Product[Product Id], tbl_Product[Best Source])</f>
        <v>#N/A</v>
      </c>
      <c r="AW772" s="4" t="e">
        <f>_xlfn.XLOOKUP(tbl_MTG_Set[[#This Row],[Collector Booster Box Product Id]], tbl_Product[Product Id], tbl_Product[Pack Size])</f>
        <v>#N/A</v>
      </c>
      <c r="AX772" s="10" t="e">
        <f>(tbl_MTG_Set[[#This Row],[Collector Booster Box Cost]] + v_Item_Shipping_Cost_In) / tbl_MTG_Set[[#This Row],[Collector Booster Box Size]]</f>
        <v>#N/A</v>
      </c>
      <c r="AY772" s="10" t="str" cm="1">
        <f t="array" ref="AY7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2" s="10"/>
      <c r="BA7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2" s="17" t="e">
        <f>tbl_MTG_Set[[#This Row],[Collector Booster CardMarket Profit]]/tbl_MTG_Set[[#This Row],[Collector Booster Cost]]</f>
        <v>#N/A</v>
      </c>
      <c r="BC772" s="10"/>
      <c r="BF7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2" s="11" t="e">
        <f>tbl_MTG_Set[[#This Row],[Play Singles CardMarket Profit MTG Stocks]]/tbl_MTG_Set[[#This Row],[Play Booster Cost]]</f>
        <v>#VALUE!</v>
      </c>
      <c r="BI772" s="11" t="b">
        <f>tbl_MTG_Set[[#This Row],[Play Singles CardMarket Profit MTG Stocks]]&gt;0</f>
        <v>0</v>
      </c>
      <c r="BM772" s="10" t="e">
        <f>tbl_MTG_Set[[#This Row],[Play Booster Sell Price CardMarket]]*tbl_MTG_Set[[#This Row],[Play Booster Expected Market Value BotBox]]/tbl_MTG_Set[[#This Row],[Play Booster Sealed Market Value BotBox]]</f>
        <v>#VALUE!</v>
      </c>
      <c r="BN7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2" s="10" t="e">
        <f>tbl_MTG_Set[[#This Row],[Play Singles CardMarket Profit BotBox]]/tbl_MTG_Set[[#This Row],[Play Booster Cost]]</f>
        <v>#VALUE!</v>
      </c>
      <c r="BP772" s="10" t="b">
        <f>tbl_MTG_Set[[#This Row],[Play Singles CardMarket Profit BotBox]]&gt;0</f>
        <v>0</v>
      </c>
      <c r="BQ772" s="10"/>
      <c r="BR772" s="10"/>
      <c r="BS772" s="10"/>
      <c r="BT7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2" s="19" t="e">
        <f>tbl_MTG_Set[[#This Row],[Collector Singles CardMarket Profit MTG Stocks]]/tbl_MTG_Set[[#This Row],[Collector Booster Cost]]</f>
        <v>#N/A</v>
      </c>
      <c r="BW772" s="10" t="b">
        <f>tbl_MTG_Set[[#This Row],[Collector Singles CardMarket Profit MTG Stocks]]&gt;0</f>
        <v>0</v>
      </c>
      <c r="BX772" s="10"/>
      <c r="BY772" s="10"/>
      <c r="BZ7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2" s="10" t="e">
        <f>tbl_MTG_Set[[#This Row],[Collector Singles CardMarket Profit BotBox]]/tbl_MTG_Set[[#This Row],[Collector Booster Cost]]</f>
        <v>#N/A</v>
      </c>
      <c r="CC772" s="10" t="b">
        <f>tbl_MTG_Set[[#This Row],[Collector Singles CardMarket Profit BotBox]]&gt;0</f>
        <v>0</v>
      </c>
      <c r="CD7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3" spans="1:86" hidden="1">
      <c r="A773">
        <v>805</v>
      </c>
      <c r="B773" t="s">
        <v>946</v>
      </c>
      <c r="C773">
        <v>10</v>
      </c>
      <c r="D773" s="3">
        <v>39724</v>
      </c>
      <c r="F773" t="s">
        <v>174</v>
      </c>
      <c r="G773">
        <v>1556</v>
      </c>
      <c r="H773">
        <f ca="1">MONTH(NOW())+12*YEAR(NOW())-MONTH(tbl_MTG_Set[[#This Row],[Released On]])-12*YEAR(tbl_MTG_Set[[#This Row],[Released On]])</f>
        <v>209</v>
      </c>
      <c r="I773" t="str">
        <f>_xlfn.XLOOKUP(tbl_MTG_Set[[#This Row],[Type Name]], tbl_MTG_Set_Type[Set Type], tbl_MTG_Set_Type[Index], "(Set Type not found)")</f>
        <v>(Set Type not found)</v>
      </c>
      <c r="J773" t="str">
        <f>_xlfn.XLOOKUP(tbl_MTG_Set[[#This Row],[Type Name]], tbl_MTG_Set_Type[Set Type], tbl_MTG_Set_Type[Buy Window Month Start], "(Set Type not found)")</f>
        <v>(Set Type not found)</v>
      </c>
      <c r="K773" s="3" t="e">
        <f>tbl_MTG_Set[[#This Row],[Released On]]+tbl_MTG_Set[[#This Row],[Buy Window Month Start]]*365.25/12</f>
        <v>#VALUE!</v>
      </c>
      <c r="L773" t="str">
        <f>_xlfn.XLOOKUP(tbl_MTG_Set[[#This Row],[Type Name]], tbl_MTG_Set_Type[Set Type], tbl_MTG_Set_Type[Buy Window Month End], "(Set Type not found)", 0, 1)</f>
        <v>(Set Type not found)</v>
      </c>
      <c r="M773" s="3" t="e">
        <f>tbl_MTG_Set[[#This Row],[Released On]]+tbl_MTG_Set[[#This Row],[Buy Window Month End]]*365.25/12</f>
        <v>#VALUE!</v>
      </c>
      <c r="N773" s="3" t="e">
        <f ca="1">AND(NOW()&gt;=tbl_MTG_Set[[#This Row],[Buy Window Start]], NOW()&lt;=tbl_MTG_Set[[#This Row],[Buy Window End]])</f>
        <v>#VALUE!</v>
      </c>
      <c r="O773" t="str">
        <f>_xlfn.XLOOKUP(tbl_MTG_Set[[#This Row],[Type Name]], tbl_MTG_Set_Type[Set Type], tbl_MTG_Set_Type[Heavy Printing Window Month Start], "(Set Type not found)", 0, 1)</f>
        <v>(Set Type not found)</v>
      </c>
      <c r="P773" s="3" t="e">
        <f>tbl_MTG_Set[[#This Row],[Released On]]+tbl_MTG_Set[[#This Row],[Heavy Printing Window Month Start]]*365.25/12</f>
        <v>#VALUE!</v>
      </c>
      <c r="Q773" t="str">
        <f>_xlfn.XLOOKUP(tbl_MTG_Set[[#This Row],[Type Name]], tbl_MTG_Set_Type[Set Type], tbl_MTG_Set_Type[Heavy Printing Window Month End], "(Set Type not found)", 0, 1)</f>
        <v>(Set Type not found)</v>
      </c>
      <c r="R773" s="3" t="e">
        <f>tbl_MTG_Set[[#This Row],[Released On]]+tbl_MTG_Set[[#This Row],[Heavy Printing Window Month End]]*365.25/12</f>
        <v>#VALUE!</v>
      </c>
      <c r="S773" s="3" t="e">
        <f ca="1">AND(NOW()&gt;=tbl_MTG_Set[[#This Row],[Heavy Printing Window Start]], NOW()&lt;=tbl_MTG_Set[[#This Row],[Heavy Printing Window End]])</f>
        <v>#VALUE!</v>
      </c>
      <c r="T773" t="str">
        <f>_xlfn.XLOOKUP(tbl_MTG_Set[[#This Row],[Type Name]], tbl_MTG_Set_Type[Set Type], tbl_MTG_Set_Type[Sell Window Month Start], "(Set Type not found)", 0, 1)</f>
        <v>(Set Type not found)</v>
      </c>
      <c r="U773" s="3" t="e">
        <f>tbl_MTG_Set[[#This Row],[Released On]]+tbl_MTG_Set[[#This Row],[Sell Window Month Start]]*365.25/12</f>
        <v>#VALUE!</v>
      </c>
      <c r="V773" t="str">
        <f>_xlfn.XLOOKUP(tbl_MTG_Set[[#This Row],[Type Name]], tbl_MTG_Set_Type[Set Type], tbl_MTG_Set_Type[Sell Window Month End], "(Set Type not found)", 0, 1)</f>
        <v>(Set Type not found)</v>
      </c>
      <c r="W773" s="3" t="e">
        <f>tbl_MTG_Set[[#This Row],[Released On]]+tbl_MTG_Set[[#This Row],[Sell Window Month End]]*365.25/12</f>
        <v>#VALUE!</v>
      </c>
      <c r="X773" s="3" t="e">
        <f ca="1">AND(NOW()&gt;=tbl_MTG_Set[[#This Row],[Sell Window Start]], NOW()&lt;=tbl_MTG_Set[[#This Row],[Sell Window End]])</f>
        <v>#VALUE!</v>
      </c>
      <c r="AG773" s="10"/>
      <c r="AH773" s="10"/>
      <c r="AM773" s="10" t="str" cm="1">
        <f t="array" ref="AM7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3" s="10" t="str" cm="1">
        <f t="array" ref="AN7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3" s="4" t="e">
        <f>_xlfn.XLOOKUP(tbl_MTG_Set[[#This Row],[Play Booster Box Product Id]], tbl_Product[Product Id], tbl_Product[Pack Size])</f>
        <v>#N/A</v>
      </c>
      <c r="AP773" s="10" t="e">
        <f>(tbl_MTG_Set[[#This Row],[Play Booster Box Cost]]+v_Item_Shipping_Cost_In)/tbl_MTG_Set[[#This Row],[Play Booster Box Size]]</f>
        <v>#VALUE!</v>
      </c>
      <c r="AQ773" s="10" t="str" cm="1">
        <f t="array" ref="AQ7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3" s="10"/>
      <c r="AS773" s="10"/>
      <c r="AT773" s="17" t="e">
        <f>tbl_MTG_Set[[#This Row],[Play Booster CardMarket Profit]]/tbl_MTG_Set[[#This Row],[Play Booster Cost]]</f>
        <v>#VALUE!</v>
      </c>
      <c r="AU773" s="10" t="e">
        <f>_xlfn.XLOOKUP(tbl_MTG_Set[[#This Row],[Collector Booster Box Product Id]], tbl_Product[Product Id], tbl_Product[Min Cost])</f>
        <v>#N/A</v>
      </c>
      <c r="AV773" s="10" t="e">
        <f>_xlfn.XLOOKUP(tbl_MTG_Set[[#This Row],[Collector Booster Box Product Id]], tbl_Product[Product Id], tbl_Product[Best Source])</f>
        <v>#N/A</v>
      </c>
      <c r="AW773" s="4" t="e">
        <f>_xlfn.XLOOKUP(tbl_MTG_Set[[#This Row],[Collector Booster Box Product Id]], tbl_Product[Product Id], tbl_Product[Pack Size])</f>
        <v>#N/A</v>
      </c>
      <c r="AX773" s="10" t="e">
        <f>(tbl_MTG_Set[[#This Row],[Collector Booster Box Cost]] + v_Item_Shipping_Cost_In) / tbl_MTG_Set[[#This Row],[Collector Booster Box Size]]</f>
        <v>#N/A</v>
      </c>
      <c r="AY773" s="10" t="str" cm="1">
        <f t="array" ref="AY7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3" s="10"/>
      <c r="BA7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3" s="17" t="e">
        <f>tbl_MTG_Set[[#This Row],[Collector Booster CardMarket Profit]]/tbl_MTG_Set[[#This Row],[Collector Booster Cost]]</f>
        <v>#N/A</v>
      </c>
      <c r="BC773" s="10"/>
      <c r="BF7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3" s="11" t="e">
        <f>tbl_MTG_Set[[#This Row],[Play Singles CardMarket Profit MTG Stocks]]/tbl_MTG_Set[[#This Row],[Play Booster Cost]]</f>
        <v>#VALUE!</v>
      </c>
      <c r="BI773" s="11" t="b">
        <f>tbl_MTG_Set[[#This Row],[Play Singles CardMarket Profit MTG Stocks]]&gt;0</f>
        <v>0</v>
      </c>
      <c r="BM773" s="10" t="e">
        <f>tbl_MTG_Set[[#This Row],[Play Booster Sell Price CardMarket]]*tbl_MTG_Set[[#This Row],[Play Booster Expected Market Value BotBox]]/tbl_MTG_Set[[#This Row],[Play Booster Sealed Market Value BotBox]]</f>
        <v>#VALUE!</v>
      </c>
      <c r="BN7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3" s="10" t="e">
        <f>tbl_MTG_Set[[#This Row],[Play Singles CardMarket Profit BotBox]]/tbl_MTG_Set[[#This Row],[Play Booster Cost]]</f>
        <v>#VALUE!</v>
      </c>
      <c r="BP773" s="10" t="b">
        <f>tbl_MTG_Set[[#This Row],[Play Singles CardMarket Profit BotBox]]&gt;0</f>
        <v>0</v>
      </c>
      <c r="BQ773" s="10"/>
      <c r="BR773" s="10"/>
      <c r="BS773" s="10"/>
      <c r="BT7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3" s="19" t="e">
        <f>tbl_MTG_Set[[#This Row],[Collector Singles CardMarket Profit MTG Stocks]]/tbl_MTG_Set[[#This Row],[Collector Booster Cost]]</f>
        <v>#N/A</v>
      </c>
      <c r="BW773" s="10" t="b">
        <f>tbl_MTG_Set[[#This Row],[Collector Singles CardMarket Profit MTG Stocks]]&gt;0</f>
        <v>0</v>
      </c>
      <c r="BX773" s="10"/>
      <c r="BY773" s="10"/>
      <c r="BZ7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3" s="10" t="e">
        <f>tbl_MTG_Set[[#This Row],[Collector Singles CardMarket Profit BotBox]]/tbl_MTG_Set[[#This Row],[Collector Booster Cost]]</f>
        <v>#N/A</v>
      </c>
      <c r="CC773" s="10" t="b">
        <f>tbl_MTG_Set[[#This Row],[Collector Singles CardMarket Profit BotBox]]&gt;0</f>
        <v>0</v>
      </c>
      <c r="CD7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4" spans="1:86" hidden="1">
      <c r="A774">
        <v>806</v>
      </c>
      <c r="B774" t="s">
        <v>947</v>
      </c>
      <c r="C774">
        <v>245</v>
      </c>
      <c r="D774" s="3">
        <v>39713</v>
      </c>
      <c r="F774" t="s">
        <v>174</v>
      </c>
      <c r="G774">
        <v>1558</v>
      </c>
      <c r="H774">
        <f ca="1">MONTH(NOW())+12*YEAR(NOW())-MONTH(tbl_MTG_Set[[#This Row],[Released On]])-12*YEAR(tbl_MTG_Set[[#This Row],[Released On]])</f>
        <v>210</v>
      </c>
      <c r="I774" t="str">
        <f>_xlfn.XLOOKUP(tbl_MTG_Set[[#This Row],[Type Name]], tbl_MTG_Set_Type[Set Type], tbl_MTG_Set_Type[Index], "(Set Type not found)")</f>
        <v>(Set Type not found)</v>
      </c>
      <c r="J774" t="str">
        <f>_xlfn.XLOOKUP(tbl_MTG_Set[[#This Row],[Type Name]], tbl_MTG_Set_Type[Set Type], tbl_MTG_Set_Type[Buy Window Month Start], "(Set Type not found)")</f>
        <v>(Set Type not found)</v>
      </c>
      <c r="K774" s="3" t="e">
        <f>tbl_MTG_Set[[#This Row],[Released On]]+tbl_MTG_Set[[#This Row],[Buy Window Month Start]]*365.25/12</f>
        <v>#VALUE!</v>
      </c>
      <c r="L774" t="str">
        <f>_xlfn.XLOOKUP(tbl_MTG_Set[[#This Row],[Type Name]], tbl_MTG_Set_Type[Set Type], tbl_MTG_Set_Type[Buy Window Month End], "(Set Type not found)", 0, 1)</f>
        <v>(Set Type not found)</v>
      </c>
      <c r="M774" s="3" t="e">
        <f>tbl_MTG_Set[[#This Row],[Released On]]+tbl_MTG_Set[[#This Row],[Buy Window Month End]]*365.25/12</f>
        <v>#VALUE!</v>
      </c>
      <c r="N774" s="3" t="e">
        <f ca="1">AND(NOW()&gt;=tbl_MTG_Set[[#This Row],[Buy Window Start]], NOW()&lt;=tbl_MTG_Set[[#This Row],[Buy Window End]])</f>
        <v>#VALUE!</v>
      </c>
      <c r="O774" t="str">
        <f>_xlfn.XLOOKUP(tbl_MTG_Set[[#This Row],[Type Name]], tbl_MTG_Set_Type[Set Type], tbl_MTG_Set_Type[Heavy Printing Window Month Start], "(Set Type not found)", 0, 1)</f>
        <v>(Set Type not found)</v>
      </c>
      <c r="P774" s="3" t="e">
        <f>tbl_MTG_Set[[#This Row],[Released On]]+tbl_MTG_Set[[#This Row],[Heavy Printing Window Month Start]]*365.25/12</f>
        <v>#VALUE!</v>
      </c>
      <c r="Q774" t="str">
        <f>_xlfn.XLOOKUP(tbl_MTG_Set[[#This Row],[Type Name]], tbl_MTG_Set_Type[Set Type], tbl_MTG_Set_Type[Heavy Printing Window Month End], "(Set Type not found)", 0, 1)</f>
        <v>(Set Type not found)</v>
      </c>
      <c r="R774" s="3" t="e">
        <f>tbl_MTG_Set[[#This Row],[Released On]]+tbl_MTG_Set[[#This Row],[Heavy Printing Window Month End]]*365.25/12</f>
        <v>#VALUE!</v>
      </c>
      <c r="S774" s="3" t="e">
        <f ca="1">AND(NOW()&gt;=tbl_MTG_Set[[#This Row],[Heavy Printing Window Start]], NOW()&lt;=tbl_MTG_Set[[#This Row],[Heavy Printing Window End]])</f>
        <v>#VALUE!</v>
      </c>
      <c r="T774" t="str">
        <f>_xlfn.XLOOKUP(tbl_MTG_Set[[#This Row],[Type Name]], tbl_MTG_Set_Type[Set Type], tbl_MTG_Set_Type[Sell Window Month Start], "(Set Type not found)", 0, 1)</f>
        <v>(Set Type not found)</v>
      </c>
      <c r="U774" s="3" t="e">
        <f>tbl_MTG_Set[[#This Row],[Released On]]+tbl_MTG_Set[[#This Row],[Sell Window Month Start]]*365.25/12</f>
        <v>#VALUE!</v>
      </c>
      <c r="V774" t="str">
        <f>_xlfn.XLOOKUP(tbl_MTG_Set[[#This Row],[Type Name]], tbl_MTG_Set_Type[Set Type], tbl_MTG_Set_Type[Sell Window Month End], "(Set Type not found)", 0, 1)</f>
        <v>(Set Type not found)</v>
      </c>
      <c r="W774" s="3" t="e">
        <f>tbl_MTG_Set[[#This Row],[Released On]]+tbl_MTG_Set[[#This Row],[Sell Window Month End]]*365.25/12</f>
        <v>#VALUE!</v>
      </c>
      <c r="X774" s="3" t="e">
        <f ca="1">AND(NOW()&gt;=tbl_MTG_Set[[#This Row],[Sell Window Start]], NOW()&lt;=tbl_MTG_Set[[#This Row],[Sell Window End]])</f>
        <v>#VALUE!</v>
      </c>
      <c r="AG774" s="10"/>
      <c r="AH774" s="10"/>
      <c r="AM774" s="10" t="str" cm="1">
        <f t="array" ref="AM7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4" s="10" t="str" cm="1">
        <f t="array" ref="AN7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4" s="4" t="e">
        <f>_xlfn.XLOOKUP(tbl_MTG_Set[[#This Row],[Play Booster Box Product Id]], tbl_Product[Product Id], tbl_Product[Pack Size])</f>
        <v>#N/A</v>
      </c>
      <c r="AP774" s="10" t="e">
        <f>(tbl_MTG_Set[[#This Row],[Play Booster Box Cost]]+v_Item_Shipping_Cost_In)/tbl_MTG_Set[[#This Row],[Play Booster Box Size]]</f>
        <v>#VALUE!</v>
      </c>
      <c r="AQ774" s="10" t="str" cm="1">
        <f t="array" ref="AQ7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4" s="10"/>
      <c r="AS774" s="10"/>
      <c r="AT774" s="17" t="e">
        <f>tbl_MTG_Set[[#This Row],[Play Booster CardMarket Profit]]/tbl_MTG_Set[[#This Row],[Play Booster Cost]]</f>
        <v>#VALUE!</v>
      </c>
      <c r="AU774" s="10" t="e">
        <f>_xlfn.XLOOKUP(tbl_MTG_Set[[#This Row],[Collector Booster Box Product Id]], tbl_Product[Product Id], tbl_Product[Min Cost])</f>
        <v>#N/A</v>
      </c>
      <c r="AV774" s="10" t="e">
        <f>_xlfn.XLOOKUP(tbl_MTG_Set[[#This Row],[Collector Booster Box Product Id]], tbl_Product[Product Id], tbl_Product[Best Source])</f>
        <v>#N/A</v>
      </c>
      <c r="AW774" s="4" t="e">
        <f>_xlfn.XLOOKUP(tbl_MTG_Set[[#This Row],[Collector Booster Box Product Id]], tbl_Product[Product Id], tbl_Product[Pack Size])</f>
        <v>#N/A</v>
      </c>
      <c r="AX774" s="10" t="e">
        <f>(tbl_MTG_Set[[#This Row],[Collector Booster Box Cost]] + v_Item_Shipping_Cost_In) / tbl_MTG_Set[[#This Row],[Collector Booster Box Size]]</f>
        <v>#N/A</v>
      </c>
      <c r="AY774" s="10" t="str" cm="1">
        <f t="array" ref="AY7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4" s="10"/>
      <c r="BA7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4" s="17" t="e">
        <f>tbl_MTG_Set[[#This Row],[Collector Booster CardMarket Profit]]/tbl_MTG_Set[[#This Row],[Collector Booster Cost]]</f>
        <v>#N/A</v>
      </c>
      <c r="BC774" s="10"/>
      <c r="BF7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4" s="11" t="e">
        <f>tbl_MTG_Set[[#This Row],[Play Singles CardMarket Profit MTG Stocks]]/tbl_MTG_Set[[#This Row],[Play Booster Cost]]</f>
        <v>#VALUE!</v>
      </c>
      <c r="BI774" s="11" t="b">
        <f>tbl_MTG_Set[[#This Row],[Play Singles CardMarket Profit MTG Stocks]]&gt;0</f>
        <v>0</v>
      </c>
      <c r="BM774" s="10" t="e">
        <f>tbl_MTG_Set[[#This Row],[Play Booster Sell Price CardMarket]]*tbl_MTG_Set[[#This Row],[Play Booster Expected Market Value BotBox]]/tbl_MTG_Set[[#This Row],[Play Booster Sealed Market Value BotBox]]</f>
        <v>#VALUE!</v>
      </c>
      <c r="BN7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4" s="10" t="e">
        <f>tbl_MTG_Set[[#This Row],[Play Singles CardMarket Profit BotBox]]/tbl_MTG_Set[[#This Row],[Play Booster Cost]]</f>
        <v>#VALUE!</v>
      </c>
      <c r="BP774" s="10" t="b">
        <f>tbl_MTG_Set[[#This Row],[Play Singles CardMarket Profit BotBox]]&gt;0</f>
        <v>0</v>
      </c>
      <c r="BQ774" s="10"/>
      <c r="BR774" s="10"/>
      <c r="BS774" s="10"/>
      <c r="BT7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4" s="19" t="e">
        <f>tbl_MTG_Set[[#This Row],[Collector Singles CardMarket Profit MTG Stocks]]/tbl_MTG_Set[[#This Row],[Collector Booster Cost]]</f>
        <v>#N/A</v>
      </c>
      <c r="BW774" s="10" t="b">
        <f>tbl_MTG_Set[[#This Row],[Collector Singles CardMarket Profit MTG Stocks]]&gt;0</f>
        <v>0</v>
      </c>
      <c r="BX774" s="10"/>
      <c r="BY774" s="10"/>
      <c r="BZ7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4" s="10" t="e">
        <f>tbl_MTG_Set[[#This Row],[Collector Singles CardMarket Profit BotBox]]/tbl_MTG_Set[[#This Row],[Collector Booster Cost]]</f>
        <v>#N/A</v>
      </c>
      <c r="CC774" s="10" t="b">
        <f>tbl_MTG_Set[[#This Row],[Collector Singles CardMarket Profit BotBox]]&gt;0</f>
        <v>0</v>
      </c>
      <c r="CD7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5" spans="1:86" hidden="1">
      <c r="A775">
        <v>807</v>
      </c>
      <c r="B775" t="s">
        <v>948</v>
      </c>
      <c r="C775">
        <v>15</v>
      </c>
      <c r="D775" s="3">
        <v>39689</v>
      </c>
      <c r="F775" t="s">
        <v>174</v>
      </c>
      <c r="G775">
        <v>1560</v>
      </c>
      <c r="H775">
        <f ca="1">MONTH(NOW())+12*YEAR(NOW())-MONTH(tbl_MTG_Set[[#This Row],[Released On]])-12*YEAR(tbl_MTG_Set[[#This Row],[Released On]])</f>
        <v>211</v>
      </c>
      <c r="I775" t="str">
        <f>_xlfn.XLOOKUP(tbl_MTG_Set[[#This Row],[Type Name]], tbl_MTG_Set_Type[Set Type], tbl_MTG_Set_Type[Index], "(Set Type not found)")</f>
        <v>(Set Type not found)</v>
      </c>
      <c r="J775" t="str">
        <f>_xlfn.XLOOKUP(tbl_MTG_Set[[#This Row],[Type Name]], tbl_MTG_Set_Type[Set Type], tbl_MTG_Set_Type[Buy Window Month Start], "(Set Type not found)")</f>
        <v>(Set Type not found)</v>
      </c>
      <c r="K775" s="3" t="e">
        <f>tbl_MTG_Set[[#This Row],[Released On]]+tbl_MTG_Set[[#This Row],[Buy Window Month Start]]*365.25/12</f>
        <v>#VALUE!</v>
      </c>
      <c r="L775" t="str">
        <f>_xlfn.XLOOKUP(tbl_MTG_Set[[#This Row],[Type Name]], tbl_MTG_Set_Type[Set Type], tbl_MTG_Set_Type[Buy Window Month End], "(Set Type not found)", 0, 1)</f>
        <v>(Set Type not found)</v>
      </c>
      <c r="M775" s="3" t="e">
        <f>tbl_MTG_Set[[#This Row],[Released On]]+tbl_MTG_Set[[#This Row],[Buy Window Month End]]*365.25/12</f>
        <v>#VALUE!</v>
      </c>
      <c r="N775" s="3" t="e">
        <f ca="1">AND(NOW()&gt;=tbl_MTG_Set[[#This Row],[Buy Window Start]], NOW()&lt;=tbl_MTG_Set[[#This Row],[Buy Window End]])</f>
        <v>#VALUE!</v>
      </c>
      <c r="O775" t="str">
        <f>_xlfn.XLOOKUP(tbl_MTG_Set[[#This Row],[Type Name]], tbl_MTG_Set_Type[Set Type], tbl_MTG_Set_Type[Heavy Printing Window Month Start], "(Set Type not found)", 0, 1)</f>
        <v>(Set Type not found)</v>
      </c>
      <c r="P775" s="3" t="e">
        <f>tbl_MTG_Set[[#This Row],[Released On]]+tbl_MTG_Set[[#This Row],[Heavy Printing Window Month Start]]*365.25/12</f>
        <v>#VALUE!</v>
      </c>
      <c r="Q775" t="str">
        <f>_xlfn.XLOOKUP(tbl_MTG_Set[[#This Row],[Type Name]], tbl_MTG_Set_Type[Set Type], tbl_MTG_Set_Type[Heavy Printing Window Month End], "(Set Type not found)", 0, 1)</f>
        <v>(Set Type not found)</v>
      </c>
      <c r="R775" s="3" t="e">
        <f>tbl_MTG_Set[[#This Row],[Released On]]+tbl_MTG_Set[[#This Row],[Heavy Printing Window Month End]]*365.25/12</f>
        <v>#VALUE!</v>
      </c>
      <c r="S775" s="3" t="e">
        <f ca="1">AND(NOW()&gt;=tbl_MTG_Set[[#This Row],[Heavy Printing Window Start]], NOW()&lt;=tbl_MTG_Set[[#This Row],[Heavy Printing Window End]])</f>
        <v>#VALUE!</v>
      </c>
      <c r="T775" t="str">
        <f>_xlfn.XLOOKUP(tbl_MTG_Set[[#This Row],[Type Name]], tbl_MTG_Set_Type[Set Type], tbl_MTG_Set_Type[Sell Window Month Start], "(Set Type not found)", 0, 1)</f>
        <v>(Set Type not found)</v>
      </c>
      <c r="U775" s="3" t="e">
        <f>tbl_MTG_Set[[#This Row],[Released On]]+tbl_MTG_Set[[#This Row],[Sell Window Month Start]]*365.25/12</f>
        <v>#VALUE!</v>
      </c>
      <c r="V775" t="str">
        <f>_xlfn.XLOOKUP(tbl_MTG_Set[[#This Row],[Type Name]], tbl_MTG_Set_Type[Set Type], tbl_MTG_Set_Type[Sell Window Month End], "(Set Type not found)", 0, 1)</f>
        <v>(Set Type not found)</v>
      </c>
      <c r="W775" s="3" t="e">
        <f>tbl_MTG_Set[[#This Row],[Released On]]+tbl_MTG_Set[[#This Row],[Sell Window Month End]]*365.25/12</f>
        <v>#VALUE!</v>
      </c>
      <c r="X775" s="3" t="e">
        <f ca="1">AND(NOW()&gt;=tbl_MTG_Set[[#This Row],[Sell Window Start]], NOW()&lt;=tbl_MTG_Set[[#This Row],[Sell Window End]])</f>
        <v>#VALUE!</v>
      </c>
      <c r="AG775" s="10"/>
      <c r="AH775" s="10"/>
      <c r="AM775" s="10" t="str" cm="1">
        <f t="array" ref="AM7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5" s="10" t="str" cm="1">
        <f t="array" ref="AN7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5" s="4" t="e">
        <f>_xlfn.XLOOKUP(tbl_MTG_Set[[#This Row],[Play Booster Box Product Id]], tbl_Product[Product Id], tbl_Product[Pack Size])</f>
        <v>#N/A</v>
      </c>
      <c r="AP775" s="10" t="e">
        <f>(tbl_MTG_Set[[#This Row],[Play Booster Box Cost]]+v_Item_Shipping_Cost_In)/tbl_MTG_Set[[#This Row],[Play Booster Box Size]]</f>
        <v>#VALUE!</v>
      </c>
      <c r="AQ775" s="10" t="str" cm="1">
        <f t="array" ref="AQ7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5" s="10"/>
      <c r="AS775" s="10"/>
      <c r="AT775" s="17" t="e">
        <f>tbl_MTG_Set[[#This Row],[Play Booster CardMarket Profit]]/tbl_MTG_Set[[#This Row],[Play Booster Cost]]</f>
        <v>#VALUE!</v>
      </c>
      <c r="AU775" s="10" t="e">
        <f>_xlfn.XLOOKUP(tbl_MTG_Set[[#This Row],[Collector Booster Box Product Id]], tbl_Product[Product Id], tbl_Product[Min Cost])</f>
        <v>#N/A</v>
      </c>
      <c r="AV775" s="10" t="e">
        <f>_xlfn.XLOOKUP(tbl_MTG_Set[[#This Row],[Collector Booster Box Product Id]], tbl_Product[Product Id], tbl_Product[Best Source])</f>
        <v>#N/A</v>
      </c>
      <c r="AW775" s="4" t="e">
        <f>_xlfn.XLOOKUP(tbl_MTG_Set[[#This Row],[Collector Booster Box Product Id]], tbl_Product[Product Id], tbl_Product[Pack Size])</f>
        <v>#N/A</v>
      </c>
      <c r="AX775" s="10" t="e">
        <f>(tbl_MTG_Set[[#This Row],[Collector Booster Box Cost]] + v_Item_Shipping_Cost_In) / tbl_MTG_Set[[#This Row],[Collector Booster Box Size]]</f>
        <v>#N/A</v>
      </c>
      <c r="AY775" s="10" t="str" cm="1">
        <f t="array" ref="AY7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5" s="10"/>
      <c r="BA7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5" s="17" t="e">
        <f>tbl_MTG_Set[[#This Row],[Collector Booster CardMarket Profit]]/tbl_MTG_Set[[#This Row],[Collector Booster Cost]]</f>
        <v>#N/A</v>
      </c>
      <c r="BC775" s="10"/>
      <c r="BF7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5" s="11" t="e">
        <f>tbl_MTG_Set[[#This Row],[Play Singles CardMarket Profit MTG Stocks]]/tbl_MTG_Set[[#This Row],[Play Booster Cost]]</f>
        <v>#VALUE!</v>
      </c>
      <c r="BI775" s="11" t="b">
        <f>tbl_MTG_Set[[#This Row],[Play Singles CardMarket Profit MTG Stocks]]&gt;0</f>
        <v>0</v>
      </c>
      <c r="BM775" s="10" t="e">
        <f>tbl_MTG_Set[[#This Row],[Play Booster Sell Price CardMarket]]*tbl_MTG_Set[[#This Row],[Play Booster Expected Market Value BotBox]]/tbl_MTG_Set[[#This Row],[Play Booster Sealed Market Value BotBox]]</f>
        <v>#VALUE!</v>
      </c>
      <c r="BN7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5" s="10" t="e">
        <f>tbl_MTG_Set[[#This Row],[Play Singles CardMarket Profit BotBox]]/tbl_MTG_Set[[#This Row],[Play Booster Cost]]</f>
        <v>#VALUE!</v>
      </c>
      <c r="BP775" s="10" t="b">
        <f>tbl_MTG_Set[[#This Row],[Play Singles CardMarket Profit BotBox]]&gt;0</f>
        <v>0</v>
      </c>
      <c r="BQ775" s="10"/>
      <c r="BR775" s="10"/>
      <c r="BS775" s="10"/>
      <c r="BT7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5" s="19" t="e">
        <f>tbl_MTG_Set[[#This Row],[Collector Singles CardMarket Profit MTG Stocks]]/tbl_MTG_Set[[#This Row],[Collector Booster Cost]]</f>
        <v>#N/A</v>
      </c>
      <c r="BW775" s="10" t="b">
        <f>tbl_MTG_Set[[#This Row],[Collector Singles CardMarket Profit MTG Stocks]]&gt;0</f>
        <v>0</v>
      </c>
      <c r="BX775" s="10"/>
      <c r="BY775" s="10"/>
      <c r="BZ7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5" s="10" t="e">
        <f>tbl_MTG_Set[[#This Row],[Collector Singles CardMarket Profit BotBox]]/tbl_MTG_Set[[#This Row],[Collector Booster Cost]]</f>
        <v>#N/A</v>
      </c>
      <c r="CC775" s="10" t="b">
        <f>tbl_MTG_Set[[#This Row],[Collector Singles CardMarket Profit BotBox]]&gt;0</f>
        <v>0</v>
      </c>
      <c r="CD7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6" spans="1:86" hidden="1">
      <c r="A776">
        <v>808</v>
      </c>
      <c r="B776" t="s">
        <v>949</v>
      </c>
      <c r="C776">
        <v>180</v>
      </c>
      <c r="D776" s="3">
        <v>39654</v>
      </c>
      <c r="F776" t="s">
        <v>174</v>
      </c>
      <c r="G776">
        <v>1562</v>
      </c>
      <c r="H776">
        <f ca="1">MONTH(NOW())+12*YEAR(NOW())-MONTH(tbl_MTG_Set[[#This Row],[Released On]])-12*YEAR(tbl_MTG_Set[[#This Row],[Released On]])</f>
        <v>212</v>
      </c>
      <c r="I776" t="str">
        <f>_xlfn.XLOOKUP(tbl_MTG_Set[[#This Row],[Type Name]], tbl_MTG_Set_Type[Set Type], tbl_MTG_Set_Type[Index], "(Set Type not found)")</f>
        <v>(Set Type not found)</v>
      </c>
      <c r="J776" t="str">
        <f>_xlfn.XLOOKUP(tbl_MTG_Set[[#This Row],[Type Name]], tbl_MTG_Set_Type[Set Type], tbl_MTG_Set_Type[Buy Window Month Start], "(Set Type not found)")</f>
        <v>(Set Type not found)</v>
      </c>
      <c r="K776" s="3" t="e">
        <f>tbl_MTG_Set[[#This Row],[Released On]]+tbl_MTG_Set[[#This Row],[Buy Window Month Start]]*365.25/12</f>
        <v>#VALUE!</v>
      </c>
      <c r="L776" t="str">
        <f>_xlfn.XLOOKUP(tbl_MTG_Set[[#This Row],[Type Name]], tbl_MTG_Set_Type[Set Type], tbl_MTG_Set_Type[Buy Window Month End], "(Set Type not found)", 0, 1)</f>
        <v>(Set Type not found)</v>
      </c>
      <c r="M776" s="3" t="e">
        <f>tbl_MTG_Set[[#This Row],[Released On]]+tbl_MTG_Set[[#This Row],[Buy Window Month End]]*365.25/12</f>
        <v>#VALUE!</v>
      </c>
      <c r="N776" s="3" t="e">
        <f ca="1">AND(NOW()&gt;=tbl_MTG_Set[[#This Row],[Buy Window Start]], NOW()&lt;=tbl_MTG_Set[[#This Row],[Buy Window End]])</f>
        <v>#VALUE!</v>
      </c>
      <c r="O776" t="str">
        <f>_xlfn.XLOOKUP(tbl_MTG_Set[[#This Row],[Type Name]], tbl_MTG_Set_Type[Set Type], tbl_MTG_Set_Type[Heavy Printing Window Month Start], "(Set Type not found)", 0, 1)</f>
        <v>(Set Type not found)</v>
      </c>
      <c r="P776" s="3" t="e">
        <f>tbl_MTG_Set[[#This Row],[Released On]]+tbl_MTG_Set[[#This Row],[Heavy Printing Window Month Start]]*365.25/12</f>
        <v>#VALUE!</v>
      </c>
      <c r="Q776" t="str">
        <f>_xlfn.XLOOKUP(tbl_MTG_Set[[#This Row],[Type Name]], tbl_MTG_Set_Type[Set Type], tbl_MTG_Set_Type[Heavy Printing Window Month End], "(Set Type not found)", 0, 1)</f>
        <v>(Set Type not found)</v>
      </c>
      <c r="R776" s="3" t="e">
        <f>tbl_MTG_Set[[#This Row],[Released On]]+tbl_MTG_Set[[#This Row],[Heavy Printing Window Month End]]*365.25/12</f>
        <v>#VALUE!</v>
      </c>
      <c r="S776" s="3" t="e">
        <f ca="1">AND(NOW()&gt;=tbl_MTG_Set[[#This Row],[Heavy Printing Window Start]], NOW()&lt;=tbl_MTG_Set[[#This Row],[Heavy Printing Window End]])</f>
        <v>#VALUE!</v>
      </c>
      <c r="T776" t="str">
        <f>_xlfn.XLOOKUP(tbl_MTG_Set[[#This Row],[Type Name]], tbl_MTG_Set_Type[Set Type], tbl_MTG_Set_Type[Sell Window Month Start], "(Set Type not found)", 0, 1)</f>
        <v>(Set Type not found)</v>
      </c>
      <c r="U776" s="3" t="e">
        <f>tbl_MTG_Set[[#This Row],[Released On]]+tbl_MTG_Set[[#This Row],[Sell Window Month Start]]*365.25/12</f>
        <v>#VALUE!</v>
      </c>
      <c r="V776" t="str">
        <f>_xlfn.XLOOKUP(tbl_MTG_Set[[#This Row],[Type Name]], tbl_MTG_Set_Type[Set Type], tbl_MTG_Set_Type[Sell Window Month End], "(Set Type not found)", 0, 1)</f>
        <v>(Set Type not found)</v>
      </c>
      <c r="W776" s="3" t="e">
        <f>tbl_MTG_Set[[#This Row],[Released On]]+tbl_MTG_Set[[#This Row],[Sell Window Month End]]*365.25/12</f>
        <v>#VALUE!</v>
      </c>
      <c r="X776" s="3" t="e">
        <f ca="1">AND(NOW()&gt;=tbl_MTG_Set[[#This Row],[Sell Window Start]], NOW()&lt;=tbl_MTG_Set[[#This Row],[Sell Window End]])</f>
        <v>#VALUE!</v>
      </c>
      <c r="AG776" s="10"/>
      <c r="AH776" s="10"/>
      <c r="AM776" s="10" t="str" cm="1">
        <f t="array" ref="AM7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6" s="10" t="str" cm="1">
        <f t="array" ref="AN7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6" s="4" t="e">
        <f>_xlfn.XLOOKUP(tbl_MTG_Set[[#This Row],[Play Booster Box Product Id]], tbl_Product[Product Id], tbl_Product[Pack Size])</f>
        <v>#N/A</v>
      </c>
      <c r="AP776" s="10" t="e">
        <f>(tbl_MTG_Set[[#This Row],[Play Booster Box Cost]]+v_Item_Shipping_Cost_In)/tbl_MTG_Set[[#This Row],[Play Booster Box Size]]</f>
        <v>#VALUE!</v>
      </c>
      <c r="AQ776" s="10" t="str" cm="1">
        <f t="array" ref="AQ7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6" s="10"/>
      <c r="AS776" s="10"/>
      <c r="AT776" s="17" t="e">
        <f>tbl_MTG_Set[[#This Row],[Play Booster CardMarket Profit]]/tbl_MTG_Set[[#This Row],[Play Booster Cost]]</f>
        <v>#VALUE!</v>
      </c>
      <c r="AU776" s="10" t="e">
        <f>_xlfn.XLOOKUP(tbl_MTG_Set[[#This Row],[Collector Booster Box Product Id]], tbl_Product[Product Id], tbl_Product[Min Cost])</f>
        <v>#N/A</v>
      </c>
      <c r="AV776" s="10" t="e">
        <f>_xlfn.XLOOKUP(tbl_MTG_Set[[#This Row],[Collector Booster Box Product Id]], tbl_Product[Product Id], tbl_Product[Best Source])</f>
        <v>#N/A</v>
      </c>
      <c r="AW776" s="4" t="e">
        <f>_xlfn.XLOOKUP(tbl_MTG_Set[[#This Row],[Collector Booster Box Product Id]], tbl_Product[Product Id], tbl_Product[Pack Size])</f>
        <v>#N/A</v>
      </c>
      <c r="AX776" s="10" t="e">
        <f>(tbl_MTG_Set[[#This Row],[Collector Booster Box Cost]] + v_Item_Shipping_Cost_In) / tbl_MTG_Set[[#This Row],[Collector Booster Box Size]]</f>
        <v>#N/A</v>
      </c>
      <c r="AY776" s="10" t="str" cm="1">
        <f t="array" ref="AY7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6" s="10"/>
      <c r="BA7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6" s="17" t="e">
        <f>tbl_MTG_Set[[#This Row],[Collector Booster CardMarket Profit]]/tbl_MTG_Set[[#This Row],[Collector Booster Cost]]</f>
        <v>#N/A</v>
      </c>
      <c r="BC776" s="10"/>
      <c r="BF7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6" s="11" t="e">
        <f>tbl_MTG_Set[[#This Row],[Play Singles CardMarket Profit MTG Stocks]]/tbl_MTG_Set[[#This Row],[Play Booster Cost]]</f>
        <v>#VALUE!</v>
      </c>
      <c r="BI776" s="11" t="b">
        <f>tbl_MTG_Set[[#This Row],[Play Singles CardMarket Profit MTG Stocks]]&gt;0</f>
        <v>0</v>
      </c>
      <c r="BM776" s="10" t="e">
        <f>tbl_MTG_Set[[#This Row],[Play Booster Sell Price CardMarket]]*tbl_MTG_Set[[#This Row],[Play Booster Expected Market Value BotBox]]/tbl_MTG_Set[[#This Row],[Play Booster Sealed Market Value BotBox]]</f>
        <v>#VALUE!</v>
      </c>
      <c r="BN7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6" s="10" t="e">
        <f>tbl_MTG_Set[[#This Row],[Play Singles CardMarket Profit BotBox]]/tbl_MTG_Set[[#This Row],[Play Booster Cost]]</f>
        <v>#VALUE!</v>
      </c>
      <c r="BP776" s="10" t="b">
        <f>tbl_MTG_Set[[#This Row],[Play Singles CardMarket Profit BotBox]]&gt;0</f>
        <v>0</v>
      </c>
      <c r="BQ776" s="10"/>
      <c r="BR776" s="10"/>
      <c r="BS776" s="10"/>
      <c r="BT7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6" s="19" t="e">
        <f>tbl_MTG_Set[[#This Row],[Collector Singles CardMarket Profit MTG Stocks]]/tbl_MTG_Set[[#This Row],[Collector Booster Cost]]</f>
        <v>#N/A</v>
      </c>
      <c r="BW776" s="10" t="b">
        <f>tbl_MTG_Set[[#This Row],[Collector Singles CardMarket Profit MTG Stocks]]&gt;0</f>
        <v>0</v>
      </c>
      <c r="BX776" s="10"/>
      <c r="BY776" s="10"/>
      <c r="BZ7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6" s="10" t="e">
        <f>tbl_MTG_Set[[#This Row],[Collector Singles CardMarket Profit BotBox]]/tbl_MTG_Set[[#This Row],[Collector Booster Cost]]</f>
        <v>#N/A</v>
      </c>
      <c r="CC776" s="10" t="b">
        <f>tbl_MTG_Set[[#This Row],[Collector Singles CardMarket Profit BotBox]]&gt;0</f>
        <v>0</v>
      </c>
      <c r="CD7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7" spans="1:86" hidden="1">
      <c r="A777">
        <v>809</v>
      </c>
      <c r="B777" t="s">
        <v>950</v>
      </c>
      <c r="C777">
        <v>2</v>
      </c>
      <c r="D777" s="3">
        <v>39654</v>
      </c>
      <c r="F777" t="s">
        <v>174</v>
      </c>
      <c r="G777">
        <v>1564</v>
      </c>
      <c r="H777">
        <f ca="1">MONTH(NOW())+12*YEAR(NOW())-MONTH(tbl_MTG_Set[[#This Row],[Released On]])-12*YEAR(tbl_MTG_Set[[#This Row],[Released On]])</f>
        <v>212</v>
      </c>
      <c r="I777" t="str">
        <f>_xlfn.XLOOKUP(tbl_MTG_Set[[#This Row],[Type Name]], tbl_MTG_Set_Type[Set Type], tbl_MTG_Set_Type[Index], "(Set Type not found)")</f>
        <v>(Set Type not found)</v>
      </c>
      <c r="J777" t="str">
        <f>_xlfn.XLOOKUP(tbl_MTG_Set[[#This Row],[Type Name]], tbl_MTG_Set_Type[Set Type], tbl_MTG_Set_Type[Buy Window Month Start], "(Set Type not found)")</f>
        <v>(Set Type not found)</v>
      </c>
      <c r="K777" s="3" t="e">
        <f>tbl_MTG_Set[[#This Row],[Released On]]+tbl_MTG_Set[[#This Row],[Buy Window Month Start]]*365.25/12</f>
        <v>#VALUE!</v>
      </c>
      <c r="L777" t="str">
        <f>_xlfn.XLOOKUP(tbl_MTG_Set[[#This Row],[Type Name]], tbl_MTG_Set_Type[Set Type], tbl_MTG_Set_Type[Buy Window Month End], "(Set Type not found)", 0, 1)</f>
        <v>(Set Type not found)</v>
      </c>
      <c r="M777" s="3" t="e">
        <f>tbl_MTG_Set[[#This Row],[Released On]]+tbl_MTG_Set[[#This Row],[Buy Window Month End]]*365.25/12</f>
        <v>#VALUE!</v>
      </c>
      <c r="N777" s="3" t="e">
        <f ca="1">AND(NOW()&gt;=tbl_MTG_Set[[#This Row],[Buy Window Start]], NOW()&lt;=tbl_MTG_Set[[#This Row],[Buy Window End]])</f>
        <v>#VALUE!</v>
      </c>
      <c r="O777" t="str">
        <f>_xlfn.XLOOKUP(tbl_MTG_Set[[#This Row],[Type Name]], tbl_MTG_Set_Type[Set Type], tbl_MTG_Set_Type[Heavy Printing Window Month Start], "(Set Type not found)", 0, 1)</f>
        <v>(Set Type not found)</v>
      </c>
      <c r="P777" s="3" t="e">
        <f>tbl_MTG_Set[[#This Row],[Released On]]+tbl_MTG_Set[[#This Row],[Heavy Printing Window Month Start]]*365.25/12</f>
        <v>#VALUE!</v>
      </c>
      <c r="Q777" t="str">
        <f>_xlfn.XLOOKUP(tbl_MTG_Set[[#This Row],[Type Name]], tbl_MTG_Set_Type[Set Type], tbl_MTG_Set_Type[Heavy Printing Window Month End], "(Set Type not found)", 0, 1)</f>
        <v>(Set Type not found)</v>
      </c>
      <c r="R777" s="3" t="e">
        <f>tbl_MTG_Set[[#This Row],[Released On]]+tbl_MTG_Set[[#This Row],[Heavy Printing Window Month End]]*365.25/12</f>
        <v>#VALUE!</v>
      </c>
      <c r="S777" s="3" t="e">
        <f ca="1">AND(NOW()&gt;=tbl_MTG_Set[[#This Row],[Heavy Printing Window Start]], NOW()&lt;=tbl_MTG_Set[[#This Row],[Heavy Printing Window End]])</f>
        <v>#VALUE!</v>
      </c>
      <c r="T777" t="str">
        <f>_xlfn.XLOOKUP(tbl_MTG_Set[[#This Row],[Type Name]], tbl_MTG_Set_Type[Set Type], tbl_MTG_Set_Type[Sell Window Month Start], "(Set Type not found)", 0, 1)</f>
        <v>(Set Type not found)</v>
      </c>
      <c r="U777" s="3" t="e">
        <f>tbl_MTG_Set[[#This Row],[Released On]]+tbl_MTG_Set[[#This Row],[Sell Window Month Start]]*365.25/12</f>
        <v>#VALUE!</v>
      </c>
      <c r="V777" t="str">
        <f>_xlfn.XLOOKUP(tbl_MTG_Set[[#This Row],[Type Name]], tbl_MTG_Set_Type[Set Type], tbl_MTG_Set_Type[Sell Window Month End], "(Set Type not found)", 0, 1)</f>
        <v>(Set Type not found)</v>
      </c>
      <c r="W777" s="3" t="e">
        <f>tbl_MTG_Set[[#This Row],[Released On]]+tbl_MTG_Set[[#This Row],[Sell Window Month End]]*365.25/12</f>
        <v>#VALUE!</v>
      </c>
      <c r="X777" s="3" t="e">
        <f ca="1">AND(NOW()&gt;=tbl_MTG_Set[[#This Row],[Sell Window Start]], NOW()&lt;=tbl_MTG_Set[[#This Row],[Sell Window End]])</f>
        <v>#VALUE!</v>
      </c>
      <c r="AG777" s="10"/>
      <c r="AH777" s="10"/>
      <c r="AM777" s="10" t="str" cm="1">
        <f t="array" ref="AM7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7" s="10" t="str" cm="1">
        <f t="array" ref="AN7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7" s="4" t="e">
        <f>_xlfn.XLOOKUP(tbl_MTG_Set[[#This Row],[Play Booster Box Product Id]], tbl_Product[Product Id], tbl_Product[Pack Size])</f>
        <v>#N/A</v>
      </c>
      <c r="AP777" s="10" t="e">
        <f>(tbl_MTG_Set[[#This Row],[Play Booster Box Cost]]+v_Item_Shipping_Cost_In)/tbl_MTG_Set[[#This Row],[Play Booster Box Size]]</f>
        <v>#VALUE!</v>
      </c>
      <c r="AQ777" s="10" t="str" cm="1">
        <f t="array" ref="AQ7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7" s="10"/>
      <c r="AS777" s="10"/>
      <c r="AT777" s="17" t="e">
        <f>tbl_MTG_Set[[#This Row],[Play Booster CardMarket Profit]]/tbl_MTG_Set[[#This Row],[Play Booster Cost]]</f>
        <v>#VALUE!</v>
      </c>
      <c r="AU777" s="10" t="e">
        <f>_xlfn.XLOOKUP(tbl_MTG_Set[[#This Row],[Collector Booster Box Product Id]], tbl_Product[Product Id], tbl_Product[Min Cost])</f>
        <v>#N/A</v>
      </c>
      <c r="AV777" s="10" t="e">
        <f>_xlfn.XLOOKUP(tbl_MTG_Set[[#This Row],[Collector Booster Box Product Id]], tbl_Product[Product Id], tbl_Product[Best Source])</f>
        <v>#N/A</v>
      </c>
      <c r="AW777" s="4" t="e">
        <f>_xlfn.XLOOKUP(tbl_MTG_Set[[#This Row],[Collector Booster Box Product Id]], tbl_Product[Product Id], tbl_Product[Pack Size])</f>
        <v>#N/A</v>
      </c>
      <c r="AX777" s="10" t="e">
        <f>(tbl_MTG_Set[[#This Row],[Collector Booster Box Cost]] + v_Item_Shipping_Cost_In) / tbl_MTG_Set[[#This Row],[Collector Booster Box Size]]</f>
        <v>#N/A</v>
      </c>
      <c r="AY777" s="10" t="str" cm="1">
        <f t="array" ref="AY7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7" s="10"/>
      <c r="BA7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7" s="17" t="e">
        <f>tbl_MTG_Set[[#This Row],[Collector Booster CardMarket Profit]]/tbl_MTG_Set[[#This Row],[Collector Booster Cost]]</f>
        <v>#N/A</v>
      </c>
      <c r="BC777" s="10"/>
      <c r="BF7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7" s="11" t="e">
        <f>tbl_MTG_Set[[#This Row],[Play Singles CardMarket Profit MTG Stocks]]/tbl_MTG_Set[[#This Row],[Play Booster Cost]]</f>
        <v>#VALUE!</v>
      </c>
      <c r="BI777" s="11" t="b">
        <f>tbl_MTG_Set[[#This Row],[Play Singles CardMarket Profit MTG Stocks]]&gt;0</f>
        <v>0</v>
      </c>
      <c r="BM777" s="10" t="e">
        <f>tbl_MTG_Set[[#This Row],[Play Booster Sell Price CardMarket]]*tbl_MTG_Set[[#This Row],[Play Booster Expected Market Value BotBox]]/tbl_MTG_Set[[#This Row],[Play Booster Sealed Market Value BotBox]]</f>
        <v>#VALUE!</v>
      </c>
      <c r="BN7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7" s="10" t="e">
        <f>tbl_MTG_Set[[#This Row],[Play Singles CardMarket Profit BotBox]]/tbl_MTG_Set[[#This Row],[Play Booster Cost]]</f>
        <v>#VALUE!</v>
      </c>
      <c r="BP777" s="10" t="b">
        <f>tbl_MTG_Set[[#This Row],[Play Singles CardMarket Profit BotBox]]&gt;0</f>
        <v>0</v>
      </c>
      <c r="BQ777" s="10"/>
      <c r="BR777" s="10"/>
      <c r="BS777" s="10"/>
      <c r="BT7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7" s="19" t="e">
        <f>tbl_MTG_Set[[#This Row],[Collector Singles CardMarket Profit MTG Stocks]]/tbl_MTG_Set[[#This Row],[Collector Booster Cost]]</f>
        <v>#N/A</v>
      </c>
      <c r="BW777" s="10" t="b">
        <f>tbl_MTG_Set[[#This Row],[Collector Singles CardMarket Profit MTG Stocks]]&gt;0</f>
        <v>0</v>
      </c>
      <c r="BX777" s="10"/>
      <c r="BY777" s="10"/>
      <c r="BZ7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7" s="10" t="e">
        <f>tbl_MTG_Set[[#This Row],[Collector Singles CardMarket Profit BotBox]]/tbl_MTG_Set[[#This Row],[Collector Booster Cost]]</f>
        <v>#N/A</v>
      </c>
      <c r="CC777" s="10" t="b">
        <f>tbl_MTG_Set[[#This Row],[Collector Singles CardMarket Profit BotBox]]&gt;0</f>
        <v>0</v>
      </c>
      <c r="CD7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8" spans="1:86" hidden="1">
      <c r="A778">
        <v>810</v>
      </c>
      <c r="B778" t="s">
        <v>951</v>
      </c>
      <c r="C778">
        <v>7</v>
      </c>
      <c r="D778" s="3">
        <v>39654</v>
      </c>
      <c r="F778" t="s">
        <v>174</v>
      </c>
      <c r="G778">
        <v>1566</v>
      </c>
      <c r="H778">
        <f ca="1">MONTH(NOW())+12*YEAR(NOW())-MONTH(tbl_MTG_Set[[#This Row],[Released On]])-12*YEAR(tbl_MTG_Set[[#This Row],[Released On]])</f>
        <v>212</v>
      </c>
      <c r="I778" t="str">
        <f>_xlfn.XLOOKUP(tbl_MTG_Set[[#This Row],[Type Name]], tbl_MTG_Set_Type[Set Type], tbl_MTG_Set_Type[Index], "(Set Type not found)")</f>
        <v>(Set Type not found)</v>
      </c>
      <c r="J778" t="str">
        <f>_xlfn.XLOOKUP(tbl_MTG_Set[[#This Row],[Type Name]], tbl_MTG_Set_Type[Set Type], tbl_MTG_Set_Type[Buy Window Month Start], "(Set Type not found)")</f>
        <v>(Set Type not found)</v>
      </c>
      <c r="K778" s="3" t="e">
        <f>tbl_MTG_Set[[#This Row],[Released On]]+tbl_MTG_Set[[#This Row],[Buy Window Month Start]]*365.25/12</f>
        <v>#VALUE!</v>
      </c>
      <c r="L778" t="str">
        <f>_xlfn.XLOOKUP(tbl_MTG_Set[[#This Row],[Type Name]], tbl_MTG_Set_Type[Set Type], tbl_MTG_Set_Type[Buy Window Month End], "(Set Type not found)", 0, 1)</f>
        <v>(Set Type not found)</v>
      </c>
      <c r="M778" s="3" t="e">
        <f>tbl_MTG_Set[[#This Row],[Released On]]+tbl_MTG_Set[[#This Row],[Buy Window Month End]]*365.25/12</f>
        <v>#VALUE!</v>
      </c>
      <c r="N778" s="3" t="e">
        <f ca="1">AND(NOW()&gt;=tbl_MTG_Set[[#This Row],[Buy Window Start]], NOW()&lt;=tbl_MTG_Set[[#This Row],[Buy Window End]])</f>
        <v>#VALUE!</v>
      </c>
      <c r="O778" t="str">
        <f>_xlfn.XLOOKUP(tbl_MTG_Set[[#This Row],[Type Name]], tbl_MTG_Set_Type[Set Type], tbl_MTG_Set_Type[Heavy Printing Window Month Start], "(Set Type not found)", 0, 1)</f>
        <v>(Set Type not found)</v>
      </c>
      <c r="P778" s="3" t="e">
        <f>tbl_MTG_Set[[#This Row],[Released On]]+tbl_MTG_Set[[#This Row],[Heavy Printing Window Month Start]]*365.25/12</f>
        <v>#VALUE!</v>
      </c>
      <c r="Q778" t="str">
        <f>_xlfn.XLOOKUP(tbl_MTG_Set[[#This Row],[Type Name]], tbl_MTG_Set_Type[Set Type], tbl_MTG_Set_Type[Heavy Printing Window Month End], "(Set Type not found)", 0, 1)</f>
        <v>(Set Type not found)</v>
      </c>
      <c r="R778" s="3" t="e">
        <f>tbl_MTG_Set[[#This Row],[Released On]]+tbl_MTG_Set[[#This Row],[Heavy Printing Window Month End]]*365.25/12</f>
        <v>#VALUE!</v>
      </c>
      <c r="S778" s="3" t="e">
        <f ca="1">AND(NOW()&gt;=tbl_MTG_Set[[#This Row],[Heavy Printing Window Start]], NOW()&lt;=tbl_MTG_Set[[#This Row],[Heavy Printing Window End]])</f>
        <v>#VALUE!</v>
      </c>
      <c r="T778" t="str">
        <f>_xlfn.XLOOKUP(tbl_MTG_Set[[#This Row],[Type Name]], tbl_MTG_Set_Type[Set Type], tbl_MTG_Set_Type[Sell Window Month Start], "(Set Type not found)", 0, 1)</f>
        <v>(Set Type not found)</v>
      </c>
      <c r="U778" s="3" t="e">
        <f>tbl_MTG_Set[[#This Row],[Released On]]+tbl_MTG_Set[[#This Row],[Sell Window Month Start]]*365.25/12</f>
        <v>#VALUE!</v>
      </c>
      <c r="V778" t="str">
        <f>_xlfn.XLOOKUP(tbl_MTG_Set[[#This Row],[Type Name]], tbl_MTG_Set_Type[Set Type], tbl_MTG_Set_Type[Sell Window Month End], "(Set Type not found)", 0, 1)</f>
        <v>(Set Type not found)</v>
      </c>
      <c r="W778" s="3" t="e">
        <f>tbl_MTG_Set[[#This Row],[Released On]]+tbl_MTG_Set[[#This Row],[Sell Window Month End]]*365.25/12</f>
        <v>#VALUE!</v>
      </c>
      <c r="X778" s="3" t="e">
        <f ca="1">AND(NOW()&gt;=tbl_MTG_Set[[#This Row],[Sell Window Start]], NOW()&lt;=tbl_MTG_Set[[#This Row],[Sell Window End]])</f>
        <v>#VALUE!</v>
      </c>
      <c r="AG778" s="10"/>
      <c r="AH778" s="10"/>
      <c r="AM778" s="10" t="str" cm="1">
        <f t="array" ref="AM7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8" s="10" t="str" cm="1">
        <f t="array" ref="AN7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8" s="4" t="e">
        <f>_xlfn.XLOOKUP(tbl_MTG_Set[[#This Row],[Play Booster Box Product Id]], tbl_Product[Product Id], tbl_Product[Pack Size])</f>
        <v>#N/A</v>
      </c>
      <c r="AP778" s="10" t="e">
        <f>(tbl_MTG_Set[[#This Row],[Play Booster Box Cost]]+v_Item_Shipping_Cost_In)/tbl_MTG_Set[[#This Row],[Play Booster Box Size]]</f>
        <v>#VALUE!</v>
      </c>
      <c r="AQ778" s="10" t="str" cm="1">
        <f t="array" ref="AQ7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8" s="10"/>
      <c r="AS778" s="10"/>
      <c r="AT778" s="17" t="e">
        <f>tbl_MTG_Set[[#This Row],[Play Booster CardMarket Profit]]/tbl_MTG_Set[[#This Row],[Play Booster Cost]]</f>
        <v>#VALUE!</v>
      </c>
      <c r="AU778" s="10" t="e">
        <f>_xlfn.XLOOKUP(tbl_MTG_Set[[#This Row],[Collector Booster Box Product Id]], tbl_Product[Product Id], tbl_Product[Min Cost])</f>
        <v>#N/A</v>
      </c>
      <c r="AV778" s="10" t="e">
        <f>_xlfn.XLOOKUP(tbl_MTG_Set[[#This Row],[Collector Booster Box Product Id]], tbl_Product[Product Id], tbl_Product[Best Source])</f>
        <v>#N/A</v>
      </c>
      <c r="AW778" s="4" t="e">
        <f>_xlfn.XLOOKUP(tbl_MTG_Set[[#This Row],[Collector Booster Box Product Id]], tbl_Product[Product Id], tbl_Product[Pack Size])</f>
        <v>#N/A</v>
      </c>
      <c r="AX778" s="10" t="e">
        <f>(tbl_MTG_Set[[#This Row],[Collector Booster Box Cost]] + v_Item_Shipping_Cost_In) / tbl_MTG_Set[[#This Row],[Collector Booster Box Size]]</f>
        <v>#N/A</v>
      </c>
      <c r="AY778" s="10" t="str" cm="1">
        <f t="array" ref="AY7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8" s="10"/>
      <c r="BA7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8" s="17" t="e">
        <f>tbl_MTG_Set[[#This Row],[Collector Booster CardMarket Profit]]/tbl_MTG_Set[[#This Row],[Collector Booster Cost]]</f>
        <v>#N/A</v>
      </c>
      <c r="BC778" s="10"/>
      <c r="BF7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8" s="11" t="e">
        <f>tbl_MTG_Set[[#This Row],[Play Singles CardMarket Profit MTG Stocks]]/tbl_MTG_Set[[#This Row],[Play Booster Cost]]</f>
        <v>#VALUE!</v>
      </c>
      <c r="BI778" s="11" t="b">
        <f>tbl_MTG_Set[[#This Row],[Play Singles CardMarket Profit MTG Stocks]]&gt;0</f>
        <v>0</v>
      </c>
      <c r="BM778" s="10" t="e">
        <f>tbl_MTG_Set[[#This Row],[Play Booster Sell Price CardMarket]]*tbl_MTG_Set[[#This Row],[Play Booster Expected Market Value BotBox]]/tbl_MTG_Set[[#This Row],[Play Booster Sealed Market Value BotBox]]</f>
        <v>#VALUE!</v>
      </c>
      <c r="BN7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8" s="10" t="e">
        <f>tbl_MTG_Set[[#This Row],[Play Singles CardMarket Profit BotBox]]/tbl_MTG_Set[[#This Row],[Play Booster Cost]]</f>
        <v>#VALUE!</v>
      </c>
      <c r="BP778" s="10" t="b">
        <f>tbl_MTG_Set[[#This Row],[Play Singles CardMarket Profit BotBox]]&gt;0</f>
        <v>0</v>
      </c>
      <c r="BQ778" s="10"/>
      <c r="BR778" s="10"/>
      <c r="BS778" s="10"/>
      <c r="BT7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8" s="19" t="e">
        <f>tbl_MTG_Set[[#This Row],[Collector Singles CardMarket Profit MTG Stocks]]/tbl_MTG_Set[[#This Row],[Collector Booster Cost]]</f>
        <v>#N/A</v>
      </c>
      <c r="BW778" s="10" t="b">
        <f>tbl_MTG_Set[[#This Row],[Collector Singles CardMarket Profit MTG Stocks]]&gt;0</f>
        <v>0</v>
      </c>
      <c r="BX778" s="10"/>
      <c r="BY778" s="10"/>
      <c r="BZ7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8" s="10" t="e">
        <f>tbl_MTG_Set[[#This Row],[Collector Singles CardMarket Profit BotBox]]/tbl_MTG_Set[[#This Row],[Collector Booster Cost]]</f>
        <v>#N/A</v>
      </c>
      <c r="CC778" s="10" t="b">
        <f>tbl_MTG_Set[[#This Row],[Collector Singles CardMarket Profit BotBox]]&gt;0</f>
        <v>0</v>
      </c>
      <c r="CD7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79" spans="1:86" hidden="1">
      <c r="A779">
        <v>811</v>
      </c>
      <c r="B779" t="s">
        <v>952</v>
      </c>
      <c r="C779">
        <v>302</v>
      </c>
      <c r="D779" s="3">
        <v>39570</v>
      </c>
      <c r="F779" t="s">
        <v>174</v>
      </c>
      <c r="G779">
        <v>1568</v>
      </c>
      <c r="H779">
        <f ca="1">MONTH(NOW())+12*YEAR(NOW())-MONTH(tbl_MTG_Set[[#This Row],[Released On]])-12*YEAR(tbl_MTG_Set[[#This Row],[Released On]])</f>
        <v>214</v>
      </c>
      <c r="I779" t="str">
        <f>_xlfn.XLOOKUP(tbl_MTG_Set[[#This Row],[Type Name]], tbl_MTG_Set_Type[Set Type], tbl_MTG_Set_Type[Index], "(Set Type not found)")</f>
        <v>(Set Type not found)</v>
      </c>
      <c r="J779" t="str">
        <f>_xlfn.XLOOKUP(tbl_MTG_Set[[#This Row],[Type Name]], tbl_MTG_Set_Type[Set Type], tbl_MTG_Set_Type[Buy Window Month Start], "(Set Type not found)")</f>
        <v>(Set Type not found)</v>
      </c>
      <c r="K779" s="3" t="e">
        <f>tbl_MTG_Set[[#This Row],[Released On]]+tbl_MTG_Set[[#This Row],[Buy Window Month Start]]*365.25/12</f>
        <v>#VALUE!</v>
      </c>
      <c r="L779" t="str">
        <f>_xlfn.XLOOKUP(tbl_MTG_Set[[#This Row],[Type Name]], tbl_MTG_Set_Type[Set Type], tbl_MTG_Set_Type[Buy Window Month End], "(Set Type not found)", 0, 1)</f>
        <v>(Set Type not found)</v>
      </c>
      <c r="M779" s="3" t="e">
        <f>tbl_MTG_Set[[#This Row],[Released On]]+tbl_MTG_Set[[#This Row],[Buy Window Month End]]*365.25/12</f>
        <v>#VALUE!</v>
      </c>
      <c r="N779" s="3" t="e">
        <f ca="1">AND(NOW()&gt;=tbl_MTG_Set[[#This Row],[Buy Window Start]], NOW()&lt;=tbl_MTG_Set[[#This Row],[Buy Window End]])</f>
        <v>#VALUE!</v>
      </c>
      <c r="O779" t="str">
        <f>_xlfn.XLOOKUP(tbl_MTG_Set[[#This Row],[Type Name]], tbl_MTG_Set_Type[Set Type], tbl_MTG_Set_Type[Heavy Printing Window Month Start], "(Set Type not found)", 0, 1)</f>
        <v>(Set Type not found)</v>
      </c>
      <c r="P779" s="3" t="e">
        <f>tbl_MTG_Set[[#This Row],[Released On]]+tbl_MTG_Set[[#This Row],[Heavy Printing Window Month Start]]*365.25/12</f>
        <v>#VALUE!</v>
      </c>
      <c r="Q779" t="str">
        <f>_xlfn.XLOOKUP(tbl_MTG_Set[[#This Row],[Type Name]], tbl_MTG_Set_Type[Set Type], tbl_MTG_Set_Type[Heavy Printing Window Month End], "(Set Type not found)", 0, 1)</f>
        <v>(Set Type not found)</v>
      </c>
      <c r="R779" s="3" t="e">
        <f>tbl_MTG_Set[[#This Row],[Released On]]+tbl_MTG_Set[[#This Row],[Heavy Printing Window Month End]]*365.25/12</f>
        <v>#VALUE!</v>
      </c>
      <c r="S779" s="3" t="e">
        <f ca="1">AND(NOW()&gt;=tbl_MTG_Set[[#This Row],[Heavy Printing Window Start]], NOW()&lt;=tbl_MTG_Set[[#This Row],[Heavy Printing Window End]])</f>
        <v>#VALUE!</v>
      </c>
      <c r="T779" t="str">
        <f>_xlfn.XLOOKUP(tbl_MTG_Set[[#This Row],[Type Name]], tbl_MTG_Set_Type[Set Type], tbl_MTG_Set_Type[Sell Window Month Start], "(Set Type not found)", 0, 1)</f>
        <v>(Set Type not found)</v>
      </c>
      <c r="U779" s="3" t="e">
        <f>tbl_MTG_Set[[#This Row],[Released On]]+tbl_MTG_Set[[#This Row],[Sell Window Month Start]]*365.25/12</f>
        <v>#VALUE!</v>
      </c>
      <c r="V779" t="str">
        <f>_xlfn.XLOOKUP(tbl_MTG_Set[[#This Row],[Type Name]], tbl_MTG_Set_Type[Set Type], tbl_MTG_Set_Type[Sell Window Month End], "(Set Type not found)", 0, 1)</f>
        <v>(Set Type not found)</v>
      </c>
      <c r="W779" s="3" t="e">
        <f>tbl_MTG_Set[[#This Row],[Released On]]+tbl_MTG_Set[[#This Row],[Sell Window Month End]]*365.25/12</f>
        <v>#VALUE!</v>
      </c>
      <c r="X779" s="3" t="e">
        <f ca="1">AND(NOW()&gt;=tbl_MTG_Set[[#This Row],[Sell Window Start]], NOW()&lt;=tbl_MTG_Set[[#This Row],[Sell Window End]])</f>
        <v>#VALUE!</v>
      </c>
      <c r="AG779" s="10"/>
      <c r="AH779" s="10"/>
      <c r="AM779" s="10" t="str" cm="1">
        <f t="array" ref="AM7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79" s="10" t="str" cm="1">
        <f t="array" ref="AN7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79" s="4" t="e">
        <f>_xlfn.XLOOKUP(tbl_MTG_Set[[#This Row],[Play Booster Box Product Id]], tbl_Product[Product Id], tbl_Product[Pack Size])</f>
        <v>#N/A</v>
      </c>
      <c r="AP779" s="10" t="e">
        <f>(tbl_MTG_Set[[#This Row],[Play Booster Box Cost]]+v_Item_Shipping_Cost_In)/tbl_MTG_Set[[#This Row],[Play Booster Box Size]]</f>
        <v>#VALUE!</v>
      </c>
      <c r="AQ779" s="10" t="str" cm="1">
        <f t="array" ref="AQ7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79" s="10"/>
      <c r="AS779" s="10"/>
      <c r="AT779" s="17" t="e">
        <f>tbl_MTG_Set[[#This Row],[Play Booster CardMarket Profit]]/tbl_MTG_Set[[#This Row],[Play Booster Cost]]</f>
        <v>#VALUE!</v>
      </c>
      <c r="AU779" s="10" t="e">
        <f>_xlfn.XLOOKUP(tbl_MTG_Set[[#This Row],[Collector Booster Box Product Id]], tbl_Product[Product Id], tbl_Product[Min Cost])</f>
        <v>#N/A</v>
      </c>
      <c r="AV779" s="10" t="e">
        <f>_xlfn.XLOOKUP(tbl_MTG_Set[[#This Row],[Collector Booster Box Product Id]], tbl_Product[Product Id], tbl_Product[Best Source])</f>
        <v>#N/A</v>
      </c>
      <c r="AW779" s="4" t="e">
        <f>_xlfn.XLOOKUP(tbl_MTG_Set[[#This Row],[Collector Booster Box Product Id]], tbl_Product[Product Id], tbl_Product[Pack Size])</f>
        <v>#N/A</v>
      </c>
      <c r="AX779" s="10" t="e">
        <f>(tbl_MTG_Set[[#This Row],[Collector Booster Box Cost]] + v_Item_Shipping_Cost_In) / tbl_MTG_Set[[#This Row],[Collector Booster Box Size]]</f>
        <v>#N/A</v>
      </c>
      <c r="AY779" s="10" t="str" cm="1">
        <f t="array" ref="AY7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79" s="10"/>
      <c r="BA7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79" s="17" t="e">
        <f>tbl_MTG_Set[[#This Row],[Collector Booster CardMarket Profit]]/tbl_MTG_Set[[#This Row],[Collector Booster Cost]]</f>
        <v>#N/A</v>
      </c>
      <c r="BC779" s="10"/>
      <c r="BF7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79" s="11" t="e">
        <f>tbl_MTG_Set[[#This Row],[Play Singles CardMarket Profit MTG Stocks]]/tbl_MTG_Set[[#This Row],[Play Booster Cost]]</f>
        <v>#VALUE!</v>
      </c>
      <c r="BI779" s="11" t="b">
        <f>tbl_MTG_Set[[#This Row],[Play Singles CardMarket Profit MTG Stocks]]&gt;0</f>
        <v>0</v>
      </c>
      <c r="BM779" s="10" t="e">
        <f>tbl_MTG_Set[[#This Row],[Play Booster Sell Price CardMarket]]*tbl_MTG_Set[[#This Row],[Play Booster Expected Market Value BotBox]]/tbl_MTG_Set[[#This Row],[Play Booster Sealed Market Value BotBox]]</f>
        <v>#VALUE!</v>
      </c>
      <c r="BN7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79" s="10" t="e">
        <f>tbl_MTG_Set[[#This Row],[Play Singles CardMarket Profit BotBox]]/tbl_MTG_Set[[#This Row],[Play Booster Cost]]</f>
        <v>#VALUE!</v>
      </c>
      <c r="BP779" s="10" t="b">
        <f>tbl_MTG_Set[[#This Row],[Play Singles CardMarket Profit BotBox]]&gt;0</f>
        <v>0</v>
      </c>
      <c r="BQ779" s="10"/>
      <c r="BR779" s="10"/>
      <c r="BS779" s="10"/>
      <c r="BT7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79" s="19" t="e">
        <f>tbl_MTG_Set[[#This Row],[Collector Singles CardMarket Profit MTG Stocks]]/tbl_MTG_Set[[#This Row],[Collector Booster Cost]]</f>
        <v>#N/A</v>
      </c>
      <c r="BW779" s="10" t="b">
        <f>tbl_MTG_Set[[#This Row],[Collector Singles CardMarket Profit MTG Stocks]]&gt;0</f>
        <v>0</v>
      </c>
      <c r="BX779" s="10"/>
      <c r="BY779" s="10"/>
      <c r="BZ7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79" s="10" t="e">
        <f>tbl_MTG_Set[[#This Row],[Collector Singles CardMarket Profit BotBox]]/tbl_MTG_Set[[#This Row],[Collector Booster Cost]]</f>
        <v>#N/A</v>
      </c>
      <c r="CC779" s="10" t="b">
        <f>tbl_MTG_Set[[#This Row],[Collector Singles CardMarket Profit BotBox]]&gt;0</f>
        <v>0</v>
      </c>
      <c r="CD7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0" spans="1:86" hidden="1">
      <c r="A780">
        <v>812</v>
      </c>
      <c r="B780" t="s">
        <v>953</v>
      </c>
      <c r="C780">
        <v>2</v>
      </c>
      <c r="D780" s="3">
        <v>39570</v>
      </c>
      <c r="F780" t="s">
        <v>174</v>
      </c>
      <c r="G780">
        <v>1570</v>
      </c>
      <c r="H780">
        <f ca="1">MONTH(NOW())+12*YEAR(NOW())-MONTH(tbl_MTG_Set[[#This Row],[Released On]])-12*YEAR(tbl_MTG_Set[[#This Row],[Released On]])</f>
        <v>214</v>
      </c>
      <c r="I780" t="str">
        <f>_xlfn.XLOOKUP(tbl_MTG_Set[[#This Row],[Type Name]], tbl_MTG_Set_Type[Set Type], tbl_MTG_Set_Type[Index], "(Set Type not found)")</f>
        <v>(Set Type not found)</v>
      </c>
      <c r="J780" t="str">
        <f>_xlfn.XLOOKUP(tbl_MTG_Set[[#This Row],[Type Name]], tbl_MTG_Set_Type[Set Type], tbl_MTG_Set_Type[Buy Window Month Start], "(Set Type not found)")</f>
        <v>(Set Type not found)</v>
      </c>
      <c r="K780" s="3" t="e">
        <f>tbl_MTG_Set[[#This Row],[Released On]]+tbl_MTG_Set[[#This Row],[Buy Window Month Start]]*365.25/12</f>
        <v>#VALUE!</v>
      </c>
      <c r="L780" t="str">
        <f>_xlfn.XLOOKUP(tbl_MTG_Set[[#This Row],[Type Name]], tbl_MTG_Set_Type[Set Type], tbl_MTG_Set_Type[Buy Window Month End], "(Set Type not found)", 0, 1)</f>
        <v>(Set Type not found)</v>
      </c>
      <c r="M780" s="3" t="e">
        <f>tbl_MTG_Set[[#This Row],[Released On]]+tbl_MTG_Set[[#This Row],[Buy Window Month End]]*365.25/12</f>
        <v>#VALUE!</v>
      </c>
      <c r="N780" s="3" t="e">
        <f ca="1">AND(NOW()&gt;=tbl_MTG_Set[[#This Row],[Buy Window Start]], NOW()&lt;=tbl_MTG_Set[[#This Row],[Buy Window End]])</f>
        <v>#VALUE!</v>
      </c>
      <c r="O780" t="str">
        <f>_xlfn.XLOOKUP(tbl_MTG_Set[[#This Row],[Type Name]], tbl_MTG_Set_Type[Set Type], tbl_MTG_Set_Type[Heavy Printing Window Month Start], "(Set Type not found)", 0, 1)</f>
        <v>(Set Type not found)</v>
      </c>
      <c r="P780" s="3" t="e">
        <f>tbl_MTG_Set[[#This Row],[Released On]]+tbl_MTG_Set[[#This Row],[Heavy Printing Window Month Start]]*365.25/12</f>
        <v>#VALUE!</v>
      </c>
      <c r="Q780" t="str">
        <f>_xlfn.XLOOKUP(tbl_MTG_Set[[#This Row],[Type Name]], tbl_MTG_Set_Type[Set Type], tbl_MTG_Set_Type[Heavy Printing Window Month End], "(Set Type not found)", 0, 1)</f>
        <v>(Set Type not found)</v>
      </c>
      <c r="R780" s="3" t="e">
        <f>tbl_MTG_Set[[#This Row],[Released On]]+tbl_MTG_Set[[#This Row],[Heavy Printing Window Month End]]*365.25/12</f>
        <v>#VALUE!</v>
      </c>
      <c r="S780" s="3" t="e">
        <f ca="1">AND(NOW()&gt;=tbl_MTG_Set[[#This Row],[Heavy Printing Window Start]], NOW()&lt;=tbl_MTG_Set[[#This Row],[Heavy Printing Window End]])</f>
        <v>#VALUE!</v>
      </c>
      <c r="T780" t="str">
        <f>_xlfn.XLOOKUP(tbl_MTG_Set[[#This Row],[Type Name]], tbl_MTG_Set_Type[Set Type], tbl_MTG_Set_Type[Sell Window Month Start], "(Set Type not found)", 0, 1)</f>
        <v>(Set Type not found)</v>
      </c>
      <c r="U780" s="3" t="e">
        <f>tbl_MTG_Set[[#This Row],[Released On]]+tbl_MTG_Set[[#This Row],[Sell Window Month Start]]*365.25/12</f>
        <v>#VALUE!</v>
      </c>
      <c r="V780" t="str">
        <f>_xlfn.XLOOKUP(tbl_MTG_Set[[#This Row],[Type Name]], tbl_MTG_Set_Type[Set Type], tbl_MTG_Set_Type[Sell Window Month End], "(Set Type not found)", 0, 1)</f>
        <v>(Set Type not found)</v>
      </c>
      <c r="W780" s="3" t="e">
        <f>tbl_MTG_Set[[#This Row],[Released On]]+tbl_MTG_Set[[#This Row],[Sell Window Month End]]*365.25/12</f>
        <v>#VALUE!</v>
      </c>
      <c r="X780" s="3" t="e">
        <f ca="1">AND(NOW()&gt;=tbl_MTG_Set[[#This Row],[Sell Window Start]], NOW()&lt;=tbl_MTG_Set[[#This Row],[Sell Window End]])</f>
        <v>#VALUE!</v>
      </c>
      <c r="AG780" s="10"/>
      <c r="AH780" s="10"/>
      <c r="AM780" s="10" t="str" cm="1">
        <f t="array" ref="AM7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0" s="10" t="str" cm="1">
        <f t="array" ref="AN7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0" s="4" t="e">
        <f>_xlfn.XLOOKUP(tbl_MTG_Set[[#This Row],[Play Booster Box Product Id]], tbl_Product[Product Id], tbl_Product[Pack Size])</f>
        <v>#N/A</v>
      </c>
      <c r="AP780" s="10" t="e">
        <f>(tbl_MTG_Set[[#This Row],[Play Booster Box Cost]]+v_Item_Shipping_Cost_In)/tbl_MTG_Set[[#This Row],[Play Booster Box Size]]</f>
        <v>#VALUE!</v>
      </c>
      <c r="AQ780" s="10" t="str" cm="1">
        <f t="array" ref="AQ7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0" s="10"/>
      <c r="AS780" s="10"/>
      <c r="AT780" s="17" t="e">
        <f>tbl_MTG_Set[[#This Row],[Play Booster CardMarket Profit]]/tbl_MTG_Set[[#This Row],[Play Booster Cost]]</f>
        <v>#VALUE!</v>
      </c>
      <c r="AU780" s="10" t="e">
        <f>_xlfn.XLOOKUP(tbl_MTG_Set[[#This Row],[Collector Booster Box Product Id]], tbl_Product[Product Id], tbl_Product[Min Cost])</f>
        <v>#N/A</v>
      </c>
      <c r="AV780" s="10" t="e">
        <f>_xlfn.XLOOKUP(tbl_MTG_Set[[#This Row],[Collector Booster Box Product Id]], tbl_Product[Product Id], tbl_Product[Best Source])</f>
        <v>#N/A</v>
      </c>
      <c r="AW780" s="4" t="e">
        <f>_xlfn.XLOOKUP(tbl_MTG_Set[[#This Row],[Collector Booster Box Product Id]], tbl_Product[Product Id], tbl_Product[Pack Size])</f>
        <v>#N/A</v>
      </c>
      <c r="AX780" s="10" t="e">
        <f>(tbl_MTG_Set[[#This Row],[Collector Booster Box Cost]] + v_Item_Shipping_Cost_In) / tbl_MTG_Set[[#This Row],[Collector Booster Box Size]]</f>
        <v>#N/A</v>
      </c>
      <c r="AY780" s="10" t="str" cm="1">
        <f t="array" ref="AY7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0" s="10"/>
      <c r="BA7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0" s="17" t="e">
        <f>tbl_MTG_Set[[#This Row],[Collector Booster CardMarket Profit]]/tbl_MTG_Set[[#This Row],[Collector Booster Cost]]</f>
        <v>#N/A</v>
      </c>
      <c r="BC780" s="10"/>
      <c r="BF7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0" s="11" t="e">
        <f>tbl_MTG_Set[[#This Row],[Play Singles CardMarket Profit MTG Stocks]]/tbl_MTG_Set[[#This Row],[Play Booster Cost]]</f>
        <v>#VALUE!</v>
      </c>
      <c r="BI780" s="11" t="b">
        <f>tbl_MTG_Set[[#This Row],[Play Singles CardMarket Profit MTG Stocks]]&gt;0</f>
        <v>0</v>
      </c>
      <c r="BM780" s="10" t="e">
        <f>tbl_MTG_Set[[#This Row],[Play Booster Sell Price CardMarket]]*tbl_MTG_Set[[#This Row],[Play Booster Expected Market Value BotBox]]/tbl_MTG_Set[[#This Row],[Play Booster Sealed Market Value BotBox]]</f>
        <v>#VALUE!</v>
      </c>
      <c r="BN7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0" s="10" t="e">
        <f>tbl_MTG_Set[[#This Row],[Play Singles CardMarket Profit BotBox]]/tbl_MTG_Set[[#This Row],[Play Booster Cost]]</f>
        <v>#VALUE!</v>
      </c>
      <c r="BP780" s="10" t="b">
        <f>tbl_MTG_Set[[#This Row],[Play Singles CardMarket Profit BotBox]]&gt;0</f>
        <v>0</v>
      </c>
      <c r="BQ780" s="10"/>
      <c r="BR780" s="10"/>
      <c r="BS780" s="10"/>
      <c r="BT7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0" s="19" t="e">
        <f>tbl_MTG_Set[[#This Row],[Collector Singles CardMarket Profit MTG Stocks]]/tbl_MTG_Set[[#This Row],[Collector Booster Cost]]</f>
        <v>#N/A</v>
      </c>
      <c r="BW780" s="10" t="b">
        <f>tbl_MTG_Set[[#This Row],[Collector Singles CardMarket Profit MTG Stocks]]&gt;0</f>
        <v>0</v>
      </c>
      <c r="BX780" s="10"/>
      <c r="BY780" s="10"/>
      <c r="BZ7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0" s="10" t="e">
        <f>tbl_MTG_Set[[#This Row],[Collector Singles CardMarket Profit BotBox]]/tbl_MTG_Set[[#This Row],[Collector Booster Cost]]</f>
        <v>#N/A</v>
      </c>
      <c r="CC780" s="10" t="b">
        <f>tbl_MTG_Set[[#This Row],[Collector Singles CardMarket Profit BotBox]]&gt;0</f>
        <v>0</v>
      </c>
      <c r="CD7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1" spans="1:86" hidden="1">
      <c r="A781">
        <v>813</v>
      </c>
      <c r="B781" t="s">
        <v>954</v>
      </c>
      <c r="C781">
        <v>12</v>
      </c>
      <c r="D781" s="3">
        <v>39570</v>
      </c>
      <c r="F781" t="s">
        <v>174</v>
      </c>
      <c r="G781">
        <v>1572</v>
      </c>
      <c r="H781">
        <f ca="1">MONTH(NOW())+12*YEAR(NOW())-MONTH(tbl_MTG_Set[[#This Row],[Released On]])-12*YEAR(tbl_MTG_Set[[#This Row],[Released On]])</f>
        <v>214</v>
      </c>
      <c r="I781" t="str">
        <f>_xlfn.XLOOKUP(tbl_MTG_Set[[#This Row],[Type Name]], tbl_MTG_Set_Type[Set Type], tbl_MTG_Set_Type[Index], "(Set Type not found)")</f>
        <v>(Set Type not found)</v>
      </c>
      <c r="J781" t="str">
        <f>_xlfn.XLOOKUP(tbl_MTG_Set[[#This Row],[Type Name]], tbl_MTG_Set_Type[Set Type], tbl_MTG_Set_Type[Buy Window Month Start], "(Set Type not found)")</f>
        <v>(Set Type not found)</v>
      </c>
      <c r="K781" s="3" t="e">
        <f>tbl_MTG_Set[[#This Row],[Released On]]+tbl_MTG_Set[[#This Row],[Buy Window Month Start]]*365.25/12</f>
        <v>#VALUE!</v>
      </c>
      <c r="L781" t="str">
        <f>_xlfn.XLOOKUP(tbl_MTG_Set[[#This Row],[Type Name]], tbl_MTG_Set_Type[Set Type], tbl_MTG_Set_Type[Buy Window Month End], "(Set Type not found)", 0, 1)</f>
        <v>(Set Type not found)</v>
      </c>
      <c r="M781" s="3" t="e">
        <f>tbl_MTG_Set[[#This Row],[Released On]]+tbl_MTG_Set[[#This Row],[Buy Window Month End]]*365.25/12</f>
        <v>#VALUE!</v>
      </c>
      <c r="N781" s="3" t="e">
        <f ca="1">AND(NOW()&gt;=tbl_MTG_Set[[#This Row],[Buy Window Start]], NOW()&lt;=tbl_MTG_Set[[#This Row],[Buy Window End]])</f>
        <v>#VALUE!</v>
      </c>
      <c r="O781" t="str">
        <f>_xlfn.XLOOKUP(tbl_MTG_Set[[#This Row],[Type Name]], tbl_MTG_Set_Type[Set Type], tbl_MTG_Set_Type[Heavy Printing Window Month Start], "(Set Type not found)", 0, 1)</f>
        <v>(Set Type not found)</v>
      </c>
      <c r="P781" s="3" t="e">
        <f>tbl_MTG_Set[[#This Row],[Released On]]+tbl_MTG_Set[[#This Row],[Heavy Printing Window Month Start]]*365.25/12</f>
        <v>#VALUE!</v>
      </c>
      <c r="Q781" t="str">
        <f>_xlfn.XLOOKUP(tbl_MTG_Set[[#This Row],[Type Name]], tbl_MTG_Set_Type[Set Type], tbl_MTG_Set_Type[Heavy Printing Window Month End], "(Set Type not found)", 0, 1)</f>
        <v>(Set Type not found)</v>
      </c>
      <c r="R781" s="3" t="e">
        <f>tbl_MTG_Set[[#This Row],[Released On]]+tbl_MTG_Set[[#This Row],[Heavy Printing Window Month End]]*365.25/12</f>
        <v>#VALUE!</v>
      </c>
      <c r="S781" s="3" t="e">
        <f ca="1">AND(NOW()&gt;=tbl_MTG_Set[[#This Row],[Heavy Printing Window Start]], NOW()&lt;=tbl_MTG_Set[[#This Row],[Heavy Printing Window End]])</f>
        <v>#VALUE!</v>
      </c>
      <c r="T781" t="str">
        <f>_xlfn.XLOOKUP(tbl_MTG_Set[[#This Row],[Type Name]], tbl_MTG_Set_Type[Set Type], tbl_MTG_Set_Type[Sell Window Month Start], "(Set Type not found)", 0, 1)</f>
        <v>(Set Type not found)</v>
      </c>
      <c r="U781" s="3" t="e">
        <f>tbl_MTG_Set[[#This Row],[Released On]]+tbl_MTG_Set[[#This Row],[Sell Window Month Start]]*365.25/12</f>
        <v>#VALUE!</v>
      </c>
      <c r="V781" t="str">
        <f>_xlfn.XLOOKUP(tbl_MTG_Set[[#This Row],[Type Name]], tbl_MTG_Set_Type[Set Type], tbl_MTG_Set_Type[Sell Window Month End], "(Set Type not found)", 0, 1)</f>
        <v>(Set Type not found)</v>
      </c>
      <c r="W781" s="3" t="e">
        <f>tbl_MTG_Set[[#This Row],[Released On]]+tbl_MTG_Set[[#This Row],[Sell Window Month End]]*365.25/12</f>
        <v>#VALUE!</v>
      </c>
      <c r="X781" s="3" t="e">
        <f ca="1">AND(NOW()&gt;=tbl_MTG_Set[[#This Row],[Sell Window Start]], NOW()&lt;=tbl_MTG_Set[[#This Row],[Sell Window End]])</f>
        <v>#VALUE!</v>
      </c>
      <c r="AG781" s="10"/>
      <c r="AH781" s="10"/>
      <c r="AM781" s="10" t="str" cm="1">
        <f t="array" ref="AM7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1" s="10" t="str" cm="1">
        <f t="array" ref="AN7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1" s="4" t="e">
        <f>_xlfn.XLOOKUP(tbl_MTG_Set[[#This Row],[Play Booster Box Product Id]], tbl_Product[Product Id], tbl_Product[Pack Size])</f>
        <v>#N/A</v>
      </c>
      <c r="AP781" s="10" t="e">
        <f>(tbl_MTG_Set[[#This Row],[Play Booster Box Cost]]+v_Item_Shipping_Cost_In)/tbl_MTG_Set[[#This Row],[Play Booster Box Size]]</f>
        <v>#VALUE!</v>
      </c>
      <c r="AQ781" s="10" t="str" cm="1">
        <f t="array" ref="AQ7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1" s="10"/>
      <c r="AS781" s="10"/>
      <c r="AT781" s="17" t="e">
        <f>tbl_MTG_Set[[#This Row],[Play Booster CardMarket Profit]]/tbl_MTG_Set[[#This Row],[Play Booster Cost]]</f>
        <v>#VALUE!</v>
      </c>
      <c r="AU781" s="10" t="e">
        <f>_xlfn.XLOOKUP(tbl_MTG_Set[[#This Row],[Collector Booster Box Product Id]], tbl_Product[Product Id], tbl_Product[Min Cost])</f>
        <v>#N/A</v>
      </c>
      <c r="AV781" s="10" t="e">
        <f>_xlfn.XLOOKUP(tbl_MTG_Set[[#This Row],[Collector Booster Box Product Id]], tbl_Product[Product Id], tbl_Product[Best Source])</f>
        <v>#N/A</v>
      </c>
      <c r="AW781" s="4" t="e">
        <f>_xlfn.XLOOKUP(tbl_MTG_Set[[#This Row],[Collector Booster Box Product Id]], tbl_Product[Product Id], tbl_Product[Pack Size])</f>
        <v>#N/A</v>
      </c>
      <c r="AX781" s="10" t="e">
        <f>(tbl_MTG_Set[[#This Row],[Collector Booster Box Cost]] + v_Item_Shipping_Cost_In) / tbl_MTG_Set[[#This Row],[Collector Booster Box Size]]</f>
        <v>#N/A</v>
      </c>
      <c r="AY781" s="10" t="str" cm="1">
        <f t="array" ref="AY7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1" s="10"/>
      <c r="BA7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1" s="17" t="e">
        <f>tbl_MTG_Set[[#This Row],[Collector Booster CardMarket Profit]]/tbl_MTG_Set[[#This Row],[Collector Booster Cost]]</f>
        <v>#N/A</v>
      </c>
      <c r="BC781" s="10"/>
      <c r="BF7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1" s="11" t="e">
        <f>tbl_MTG_Set[[#This Row],[Play Singles CardMarket Profit MTG Stocks]]/tbl_MTG_Set[[#This Row],[Play Booster Cost]]</f>
        <v>#VALUE!</v>
      </c>
      <c r="BI781" s="11" t="b">
        <f>tbl_MTG_Set[[#This Row],[Play Singles CardMarket Profit MTG Stocks]]&gt;0</f>
        <v>0</v>
      </c>
      <c r="BM781" s="10" t="e">
        <f>tbl_MTG_Set[[#This Row],[Play Booster Sell Price CardMarket]]*tbl_MTG_Set[[#This Row],[Play Booster Expected Market Value BotBox]]/tbl_MTG_Set[[#This Row],[Play Booster Sealed Market Value BotBox]]</f>
        <v>#VALUE!</v>
      </c>
      <c r="BN7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1" s="10" t="e">
        <f>tbl_MTG_Set[[#This Row],[Play Singles CardMarket Profit BotBox]]/tbl_MTG_Set[[#This Row],[Play Booster Cost]]</f>
        <v>#VALUE!</v>
      </c>
      <c r="BP781" s="10" t="b">
        <f>tbl_MTG_Set[[#This Row],[Play Singles CardMarket Profit BotBox]]&gt;0</f>
        <v>0</v>
      </c>
      <c r="BQ781" s="10"/>
      <c r="BR781" s="10"/>
      <c r="BS781" s="10"/>
      <c r="BT7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1" s="19" t="e">
        <f>tbl_MTG_Set[[#This Row],[Collector Singles CardMarket Profit MTG Stocks]]/tbl_MTG_Set[[#This Row],[Collector Booster Cost]]</f>
        <v>#N/A</v>
      </c>
      <c r="BW781" s="10" t="b">
        <f>tbl_MTG_Set[[#This Row],[Collector Singles CardMarket Profit MTG Stocks]]&gt;0</f>
        <v>0</v>
      </c>
      <c r="BX781" s="10"/>
      <c r="BY781" s="10"/>
      <c r="BZ7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1" s="10" t="e">
        <f>tbl_MTG_Set[[#This Row],[Collector Singles CardMarket Profit BotBox]]/tbl_MTG_Set[[#This Row],[Collector Booster Cost]]</f>
        <v>#N/A</v>
      </c>
      <c r="CC781" s="10" t="b">
        <f>tbl_MTG_Set[[#This Row],[Collector Singles CardMarket Profit BotBox]]&gt;0</f>
        <v>0</v>
      </c>
      <c r="CD7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2" spans="1:86" hidden="1">
      <c r="A782">
        <v>814</v>
      </c>
      <c r="B782" t="s">
        <v>955</v>
      </c>
      <c r="C782">
        <v>2</v>
      </c>
      <c r="D782" s="3">
        <v>39539</v>
      </c>
      <c r="F782" t="s">
        <v>174</v>
      </c>
      <c r="G782">
        <v>1574</v>
      </c>
      <c r="H782">
        <f ca="1">MONTH(NOW())+12*YEAR(NOW())-MONTH(tbl_MTG_Set[[#This Row],[Released On]])-12*YEAR(tbl_MTG_Set[[#This Row],[Released On]])</f>
        <v>215</v>
      </c>
      <c r="I782" t="str">
        <f>_xlfn.XLOOKUP(tbl_MTG_Set[[#This Row],[Type Name]], tbl_MTG_Set_Type[Set Type], tbl_MTG_Set_Type[Index], "(Set Type not found)")</f>
        <v>(Set Type not found)</v>
      </c>
      <c r="J782" t="str">
        <f>_xlfn.XLOOKUP(tbl_MTG_Set[[#This Row],[Type Name]], tbl_MTG_Set_Type[Set Type], tbl_MTG_Set_Type[Buy Window Month Start], "(Set Type not found)")</f>
        <v>(Set Type not found)</v>
      </c>
      <c r="K782" s="3" t="e">
        <f>tbl_MTG_Set[[#This Row],[Released On]]+tbl_MTG_Set[[#This Row],[Buy Window Month Start]]*365.25/12</f>
        <v>#VALUE!</v>
      </c>
      <c r="L782" t="str">
        <f>_xlfn.XLOOKUP(tbl_MTG_Set[[#This Row],[Type Name]], tbl_MTG_Set_Type[Set Type], tbl_MTG_Set_Type[Buy Window Month End], "(Set Type not found)", 0, 1)</f>
        <v>(Set Type not found)</v>
      </c>
      <c r="M782" s="3" t="e">
        <f>tbl_MTG_Set[[#This Row],[Released On]]+tbl_MTG_Set[[#This Row],[Buy Window Month End]]*365.25/12</f>
        <v>#VALUE!</v>
      </c>
      <c r="N782" s="3" t="e">
        <f ca="1">AND(NOW()&gt;=tbl_MTG_Set[[#This Row],[Buy Window Start]], NOW()&lt;=tbl_MTG_Set[[#This Row],[Buy Window End]])</f>
        <v>#VALUE!</v>
      </c>
      <c r="O782" t="str">
        <f>_xlfn.XLOOKUP(tbl_MTG_Set[[#This Row],[Type Name]], tbl_MTG_Set_Type[Set Type], tbl_MTG_Set_Type[Heavy Printing Window Month Start], "(Set Type not found)", 0, 1)</f>
        <v>(Set Type not found)</v>
      </c>
      <c r="P782" s="3" t="e">
        <f>tbl_MTG_Set[[#This Row],[Released On]]+tbl_MTG_Set[[#This Row],[Heavy Printing Window Month Start]]*365.25/12</f>
        <v>#VALUE!</v>
      </c>
      <c r="Q782" t="str">
        <f>_xlfn.XLOOKUP(tbl_MTG_Set[[#This Row],[Type Name]], tbl_MTG_Set_Type[Set Type], tbl_MTG_Set_Type[Heavy Printing Window Month End], "(Set Type not found)", 0, 1)</f>
        <v>(Set Type not found)</v>
      </c>
      <c r="R782" s="3" t="e">
        <f>tbl_MTG_Set[[#This Row],[Released On]]+tbl_MTG_Set[[#This Row],[Heavy Printing Window Month End]]*365.25/12</f>
        <v>#VALUE!</v>
      </c>
      <c r="S782" s="3" t="e">
        <f ca="1">AND(NOW()&gt;=tbl_MTG_Set[[#This Row],[Heavy Printing Window Start]], NOW()&lt;=tbl_MTG_Set[[#This Row],[Heavy Printing Window End]])</f>
        <v>#VALUE!</v>
      </c>
      <c r="T782" t="str">
        <f>_xlfn.XLOOKUP(tbl_MTG_Set[[#This Row],[Type Name]], tbl_MTG_Set_Type[Set Type], tbl_MTG_Set_Type[Sell Window Month Start], "(Set Type not found)", 0, 1)</f>
        <v>(Set Type not found)</v>
      </c>
      <c r="U782" s="3" t="e">
        <f>tbl_MTG_Set[[#This Row],[Released On]]+tbl_MTG_Set[[#This Row],[Sell Window Month Start]]*365.25/12</f>
        <v>#VALUE!</v>
      </c>
      <c r="V782" t="str">
        <f>_xlfn.XLOOKUP(tbl_MTG_Set[[#This Row],[Type Name]], tbl_MTG_Set_Type[Set Type], tbl_MTG_Set_Type[Sell Window Month End], "(Set Type not found)", 0, 1)</f>
        <v>(Set Type not found)</v>
      </c>
      <c r="W782" s="3" t="e">
        <f>tbl_MTG_Set[[#This Row],[Released On]]+tbl_MTG_Set[[#This Row],[Sell Window Month End]]*365.25/12</f>
        <v>#VALUE!</v>
      </c>
      <c r="X782" s="3" t="e">
        <f ca="1">AND(NOW()&gt;=tbl_MTG_Set[[#This Row],[Sell Window Start]], NOW()&lt;=tbl_MTG_Set[[#This Row],[Sell Window End]])</f>
        <v>#VALUE!</v>
      </c>
      <c r="AG782" s="10"/>
      <c r="AH782" s="10"/>
      <c r="AM782" s="10" t="str" cm="1">
        <f t="array" ref="AM7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2" s="10" t="str" cm="1">
        <f t="array" ref="AN7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2" s="4" t="e">
        <f>_xlfn.XLOOKUP(tbl_MTG_Set[[#This Row],[Play Booster Box Product Id]], tbl_Product[Product Id], tbl_Product[Pack Size])</f>
        <v>#N/A</v>
      </c>
      <c r="AP782" s="10" t="e">
        <f>(tbl_MTG_Set[[#This Row],[Play Booster Box Cost]]+v_Item_Shipping_Cost_In)/tbl_MTG_Set[[#This Row],[Play Booster Box Size]]</f>
        <v>#VALUE!</v>
      </c>
      <c r="AQ782" s="10" t="str" cm="1">
        <f t="array" ref="AQ7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2" s="10"/>
      <c r="AS782" s="10"/>
      <c r="AT782" s="17" t="e">
        <f>tbl_MTG_Set[[#This Row],[Play Booster CardMarket Profit]]/tbl_MTG_Set[[#This Row],[Play Booster Cost]]</f>
        <v>#VALUE!</v>
      </c>
      <c r="AU782" s="10" t="e">
        <f>_xlfn.XLOOKUP(tbl_MTG_Set[[#This Row],[Collector Booster Box Product Id]], tbl_Product[Product Id], tbl_Product[Min Cost])</f>
        <v>#N/A</v>
      </c>
      <c r="AV782" s="10" t="e">
        <f>_xlfn.XLOOKUP(tbl_MTG_Set[[#This Row],[Collector Booster Box Product Id]], tbl_Product[Product Id], tbl_Product[Best Source])</f>
        <v>#N/A</v>
      </c>
      <c r="AW782" s="4" t="e">
        <f>_xlfn.XLOOKUP(tbl_MTG_Set[[#This Row],[Collector Booster Box Product Id]], tbl_Product[Product Id], tbl_Product[Pack Size])</f>
        <v>#N/A</v>
      </c>
      <c r="AX782" s="10" t="e">
        <f>(tbl_MTG_Set[[#This Row],[Collector Booster Box Cost]] + v_Item_Shipping_Cost_In) / tbl_MTG_Set[[#This Row],[Collector Booster Box Size]]</f>
        <v>#N/A</v>
      </c>
      <c r="AY782" s="10" t="str" cm="1">
        <f t="array" ref="AY7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2" s="10"/>
      <c r="BA7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2" s="17" t="e">
        <f>tbl_MTG_Set[[#This Row],[Collector Booster CardMarket Profit]]/tbl_MTG_Set[[#This Row],[Collector Booster Cost]]</f>
        <v>#N/A</v>
      </c>
      <c r="BC782" s="10"/>
      <c r="BF7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2" s="11" t="e">
        <f>tbl_MTG_Set[[#This Row],[Play Singles CardMarket Profit MTG Stocks]]/tbl_MTG_Set[[#This Row],[Play Booster Cost]]</f>
        <v>#VALUE!</v>
      </c>
      <c r="BI782" s="11" t="b">
        <f>tbl_MTG_Set[[#This Row],[Play Singles CardMarket Profit MTG Stocks]]&gt;0</f>
        <v>0</v>
      </c>
      <c r="BM782" s="10" t="e">
        <f>tbl_MTG_Set[[#This Row],[Play Booster Sell Price CardMarket]]*tbl_MTG_Set[[#This Row],[Play Booster Expected Market Value BotBox]]/tbl_MTG_Set[[#This Row],[Play Booster Sealed Market Value BotBox]]</f>
        <v>#VALUE!</v>
      </c>
      <c r="BN7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2" s="10" t="e">
        <f>tbl_MTG_Set[[#This Row],[Play Singles CardMarket Profit BotBox]]/tbl_MTG_Set[[#This Row],[Play Booster Cost]]</f>
        <v>#VALUE!</v>
      </c>
      <c r="BP782" s="10" t="b">
        <f>tbl_MTG_Set[[#This Row],[Play Singles CardMarket Profit BotBox]]&gt;0</f>
        <v>0</v>
      </c>
      <c r="BQ782" s="10"/>
      <c r="BR782" s="10"/>
      <c r="BS782" s="10"/>
      <c r="BT7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2" s="19" t="e">
        <f>tbl_MTG_Set[[#This Row],[Collector Singles CardMarket Profit MTG Stocks]]/tbl_MTG_Set[[#This Row],[Collector Booster Cost]]</f>
        <v>#N/A</v>
      </c>
      <c r="BW782" s="10" t="b">
        <f>tbl_MTG_Set[[#This Row],[Collector Singles CardMarket Profit MTG Stocks]]&gt;0</f>
        <v>0</v>
      </c>
      <c r="BX782" s="10"/>
      <c r="BY782" s="10"/>
      <c r="BZ7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2" s="10" t="e">
        <f>tbl_MTG_Set[[#This Row],[Collector Singles CardMarket Profit BotBox]]/tbl_MTG_Set[[#This Row],[Collector Booster Cost]]</f>
        <v>#N/A</v>
      </c>
      <c r="CC782" s="10" t="b">
        <f>tbl_MTG_Set[[#This Row],[Collector Singles CardMarket Profit BotBox]]&gt;0</f>
        <v>0</v>
      </c>
      <c r="CD7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3" spans="1:86" hidden="1">
      <c r="A783">
        <v>815</v>
      </c>
      <c r="B783" t="s">
        <v>956</v>
      </c>
      <c r="C783">
        <v>150</v>
      </c>
      <c r="D783" s="3">
        <v>39479</v>
      </c>
      <c r="F783" t="s">
        <v>174</v>
      </c>
      <c r="G783">
        <v>1576</v>
      </c>
      <c r="H783">
        <f ca="1">MONTH(NOW())+12*YEAR(NOW())-MONTH(tbl_MTG_Set[[#This Row],[Released On]])-12*YEAR(tbl_MTG_Set[[#This Row],[Released On]])</f>
        <v>217</v>
      </c>
      <c r="I783" t="str">
        <f>_xlfn.XLOOKUP(tbl_MTG_Set[[#This Row],[Type Name]], tbl_MTG_Set_Type[Set Type], tbl_MTG_Set_Type[Index], "(Set Type not found)")</f>
        <v>(Set Type not found)</v>
      </c>
      <c r="J783" t="str">
        <f>_xlfn.XLOOKUP(tbl_MTG_Set[[#This Row],[Type Name]], tbl_MTG_Set_Type[Set Type], tbl_MTG_Set_Type[Buy Window Month Start], "(Set Type not found)")</f>
        <v>(Set Type not found)</v>
      </c>
      <c r="K783" s="3" t="e">
        <f>tbl_MTG_Set[[#This Row],[Released On]]+tbl_MTG_Set[[#This Row],[Buy Window Month Start]]*365.25/12</f>
        <v>#VALUE!</v>
      </c>
      <c r="L783" t="str">
        <f>_xlfn.XLOOKUP(tbl_MTG_Set[[#This Row],[Type Name]], tbl_MTG_Set_Type[Set Type], tbl_MTG_Set_Type[Buy Window Month End], "(Set Type not found)", 0, 1)</f>
        <v>(Set Type not found)</v>
      </c>
      <c r="M783" s="3" t="e">
        <f>tbl_MTG_Set[[#This Row],[Released On]]+tbl_MTG_Set[[#This Row],[Buy Window Month End]]*365.25/12</f>
        <v>#VALUE!</v>
      </c>
      <c r="N783" s="3" t="e">
        <f ca="1">AND(NOW()&gt;=tbl_MTG_Set[[#This Row],[Buy Window Start]], NOW()&lt;=tbl_MTG_Set[[#This Row],[Buy Window End]])</f>
        <v>#VALUE!</v>
      </c>
      <c r="O783" t="str">
        <f>_xlfn.XLOOKUP(tbl_MTG_Set[[#This Row],[Type Name]], tbl_MTG_Set_Type[Set Type], tbl_MTG_Set_Type[Heavy Printing Window Month Start], "(Set Type not found)", 0, 1)</f>
        <v>(Set Type not found)</v>
      </c>
      <c r="P783" s="3" t="e">
        <f>tbl_MTG_Set[[#This Row],[Released On]]+tbl_MTG_Set[[#This Row],[Heavy Printing Window Month Start]]*365.25/12</f>
        <v>#VALUE!</v>
      </c>
      <c r="Q783" t="str">
        <f>_xlfn.XLOOKUP(tbl_MTG_Set[[#This Row],[Type Name]], tbl_MTG_Set_Type[Set Type], tbl_MTG_Set_Type[Heavy Printing Window Month End], "(Set Type not found)", 0, 1)</f>
        <v>(Set Type not found)</v>
      </c>
      <c r="R783" s="3" t="e">
        <f>tbl_MTG_Set[[#This Row],[Released On]]+tbl_MTG_Set[[#This Row],[Heavy Printing Window Month End]]*365.25/12</f>
        <v>#VALUE!</v>
      </c>
      <c r="S783" s="3" t="e">
        <f ca="1">AND(NOW()&gt;=tbl_MTG_Set[[#This Row],[Heavy Printing Window Start]], NOW()&lt;=tbl_MTG_Set[[#This Row],[Heavy Printing Window End]])</f>
        <v>#VALUE!</v>
      </c>
      <c r="T783" t="str">
        <f>_xlfn.XLOOKUP(tbl_MTG_Set[[#This Row],[Type Name]], tbl_MTG_Set_Type[Set Type], tbl_MTG_Set_Type[Sell Window Month Start], "(Set Type not found)", 0, 1)</f>
        <v>(Set Type not found)</v>
      </c>
      <c r="U783" s="3" t="e">
        <f>tbl_MTG_Set[[#This Row],[Released On]]+tbl_MTG_Set[[#This Row],[Sell Window Month Start]]*365.25/12</f>
        <v>#VALUE!</v>
      </c>
      <c r="V783" t="str">
        <f>_xlfn.XLOOKUP(tbl_MTG_Set[[#This Row],[Type Name]], tbl_MTG_Set_Type[Set Type], tbl_MTG_Set_Type[Sell Window Month End], "(Set Type not found)", 0, 1)</f>
        <v>(Set Type not found)</v>
      </c>
      <c r="W783" s="3" t="e">
        <f>tbl_MTG_Set[[#This Row],[Released On]]+tbl_MTG_Set[[#This Row],[Sell Window Month End]]*365.25/12</f>
        <v>#VALUE!</v>
      </c>
      <c r="X783" s="3" t="e">
        <f ca="1">AND(NOW()&gt;=tbl_MTG_Set[[#This Row],[Sell Window Start]], NOW()&lt;=tbl_MTG_Set[[#This Row],[Sell Window End]])</f>
        <v>#VALUE!</v>
      </c>
      <c r="AG783" s="10"/>
      <c r="AH783" s="10"/>
      <c r="AM783" s="10" t="str" cm="1">
        <f t="array" ref="AM7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3" s="10" t="str" cm="1">
        <f t="array" ref="AN7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3" s="4" t="e">
        <f>_xlfn.XLOOKUP(tbl_MTG_Set[[#This Row],[Play Booster Box Product Id]], tbl_Product[Product Id], tbl_Product[Pack Size])</f>
        <v>#N/A</v>
      </c>
      <c r="AP783" s="10" t="e">
        <f>(tbl_MTG_Set[[#This Row],[Play Booster Box Cost]]+v_Item_Shipping_Cost_In)/tbl_MTG_Set[[#This Row],[Play Booster Box Size]]</f>
        <v>#VALUE!</v>
      </c>
      <c r="AQ783" s="10" t="str" cm="1">
        <f t="array" ref="AQ7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3" s="10"/>
      <c r="AS783" s="10"/>
      <c r="AT783" s="17" t="e">
        <f>tbl_MTG_Set[[#This Row],[Play Booster CardMarket Profit]]/tbl_MTG_Set[[#This Row],[Play Booster Cost]]</f>
        <v>#VALUE!</v>
      </c>
      <c r="AU783" s="10" t="e">
        <f>_xlfn.XLOOKUP(tbl_MTG_Set[[#This Row],[Collector Booster Box Product Id]], tbl_Product[Product Id], tbl_Product[Min Cost])</f>
        <v>#N/A</v>
      </c>
      <c r="AV783" s="10" t="e">
        <f>_xlfn.XLOOKUP(tbl_MTG_Set[[#This Row],[Collector Booster Box Product Id]], tbl_Product[Product Id], tbl_Product[Best Source])</f>
        <v>#N/A</v>
      </c>
      <c r="AW783" s="4" t="e">
        <f>_xlfn.XLOOKUP(tbl_MTG_Set[[#This Row],[Collector Booster Box Product Id]], tbl_Product[Product Id], tbl_Product[Pack Size])</f>
        <v>#N/A</v>
      </c>
      <c r="AX783" s="10" t="e">
        <f>(tbl_MTG_Set[[#This Row],[Collector Booster Box Cost]] + v_Item_Shipping_Cost_In) / tbl_MTG_Set[[#This Row],[Collector Booster Box Size]]</f>
        <v>#N/A</v>
      </c>
      <c r="AY783" s="10" t="str" cm="1">
        <f t="array" ref="AY7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3" s="10"/>
      <c r="BA7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3" s="17" t="e">
        <f>tbl_MTG_Set[[#This Row],[Collector Booster CardMarket Profit]]/tbl_MTG_Set[[#This Row],[Collector Booster Cost]]</f>
        <v>#N/A</v>
      </c>
      <c r="BC783" s="10"/>
      <c r="BF7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3" s="11" t="e">
        <f>tbl_MTG_Set[[#This Row],[Play Singles CardMarket Profit MTG Stocks]]/tbl_MTG_Set[[#This Row],[Play Booster Cost]]</f>
        <v>#VALUE!</v>
      </c>
      <c r="BI783" s="11" t="b">
        <f>tbl_MTG_Set[[#This Row],[Play Singles CardMarket Profit MTG Stocks]]&gt;0</f>
        <v>0</v>
      </c>
      <c r="BM783" s="10" t="e">
        <f>tbl_MTG_Set[[#This Row],[Play Booster Sell Price CardMarket]]*tbl_MTG_Set[[#This Row],[Play Booster Expected Market Value BotBox]]/tbl_MTG_Set[[#This Row],[Play Booster Sealed Market Value BotBox]]</f>
        <v>#VALUE!</v>
      </c>
      <c r="BN7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3" s="10" t="e">
        <f>tbl_MTG_Set[[#This Row],[Play Singles CardMarket Profit BotBox]]/tbl_MTG_Set[[#This Row],[Play Booster Cost]]</f>
        <v>#VALUE!</v>
      </c>
      <c r="BP783" s="10" t="b">
        <f>tbl_MTG_Set[[#This Row],[Play Singles CardMarket Profit BotBox]]&gt;0</f>
        <v>0</v>
      </c>
      <c r="BQ783" s="10"/>
      <c r="BR783" s="10"/>
      <c r="BS783" s="10"/>
      <c r="BT7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3" s="19" t="e">
        <f>tbl_MTG_Set[[#This Row],[Collector Singles CardMarket Profit MTG Stocks]]/tbl_MTG_Set[[#This Row],[Collector Booster Cost]]</f>
        <v>#N/A</v>
      </c>
      <c r="BW783" s="10" t="b">
        <f>tbl_MTG_Set[[#This Row],[Collector Singles CardMarket Profit MTG Stocks]]&gt;0</f>
        <v>0</v>
      </c>
      <c r="BX783" s="10"/>
      <c r="BY783" s="10"/>
      <c r="BZ7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3" s="10" t="e">
        <f>tbl_MTG_Set[[#This Row],[Collector Singles CardMarket Profit BotBox]]/tbl_MTG_Set[[#This Row],[Collector Booster Cost]]</f>
        <v>#N/A</v>
      </c>
      <c r="CC783" s="10" t="b">
        <f>tbl_MTG_Set[[#This Row],[Collector Singles CardMarket Profit BotBox]]&gt;0</f>
        <v>0</v>
      </c>
      <c r="CD7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4" spans="1:86" hidden="1">
      <c r="A784">
        <v>816</v>
      </c>
      <c r="B784" t="s">
        <v>957</v>
      </c>
      <c r="C784">
        <v>2</v>
      </c>
      <c r="D784" s="3">
        <v>39479</v>
      </c>
      <c r="F784" t="s">
        <v>174</v>
      </c>
      <c r="G784">
        <v>1578</v>
      </c>
      <c r="H784">
        <f ca="1">MONTH(NOW())+12*YEAR(NOW())-MONTH(tbl_MTG_Set[[#This Row],[Released On]])-12*YEAR(tbl_MTG_Set[[#This Row],[Released On]])</f>
        <v>217</v>
      </c>
      <c r="I784" t="str">
        <f>_xlfn.XLOOKUP(tbl_MTG_Set[[#This Row],[Type Name]], tbl_MTG_Set_Type[Set Type], tbl_MTG_Set_Type[Index], "(Set Type not found)")</f>
        <v>(Set Type not found)</v>
      </c>
      <c r="J784" t="str">
        <f>_xlfn.XLOOKUP(tbl_MTG_Set[[#This Row],[Type Name]], tbl_MTG_Set_Type[Set Type], tbl_MTG_Set_Type[Buy Window Month Start], "(Set Type not found)")</f>
        <v>(Set Type not found)</v>
      </c>
      <c r="K784" s="3" t="e">
        <f>tbl_MTG_Set[[#This Row],[Released On]]+tbl_MTG_Set[[#This Row],[Buy Window Month Start]]*365.25/12</f>
        <v>#VALUE!</v>
      </c>
      <c r="L784" t="str">
        <f>_xlfn.XLOOKUP(tbl_MTG_Set[[#This Row],[Type Name]], tbl_MTG_Set_Type[Set Type], tbl_MTG_Set_Type[Buy Window Month End], "(Set Type not found)", 0, 1)</f>
        <v>(Set Type not found)</v>
      </c>
      <c r="M784" s="3" t="e">
        <f>tbl_MTG_Set[[#This Row],[Released On]]+tbl_MTG_Set[[#This Row],[Buy Window Month End]]*365.25/12</f>
        <v>#VALUE!</v>
      </c>
      <c r="N784" s="3" t="e">
        <f ca="1">AND(NOW()&gt;=tbl_MTG_Set[[#This Row],[Buy Window Start]], NOW()&lt;=tbl_MTG_Set[[#This Row],[Buy Window End]])</f>
        <v>#VALUE!</v>
      </c>
      <c r="O784" t="str">
        <f>_xlfn.XLOOKUP(tbl_MTG_Set[[#This Row],[Type Name]], tbl_MTG_Set_Type[Set Type], tbl_MTG_Set_Type[Heavy Printing Window Month Start], "(Set Type not found)", 0, 1)</f>
        <v>(Set Type not found)</v>
      </c>
      <c r="P784" s="3" t="e">
        <f>tbl_MTG_Set[[#This Row],[Released On]]+tbl_MTG_Set[[#This Row],[Heavy Printing Window Month Start]]*365.25/12</f>
        <v>#VALUE!</v>
      </c>
      <c r="Q784" t="str">
        <f>_xlfn.XLOOKUP(tbl_MTG_Set[[#This Row],[Type Name]], tbl_MTG_Set_Type[Set Type], tbl_MTG_Set_Type[Heavy Printing Window Month End], "(Set Type not found)", 0, 1)</f>
        <v>(Set Type not found)</v>
      </c>
      <c r="R784" s="3" t="e">
        <f>tbl_MTG_Set[[#This Row],[Released On]]+tbl_MTG_Set[[#This Row],[Heavy Printing Window Month End]]*365.25/12</f>
        <v>#VALUE!</v>
      </c>
      <c r="S784" s="3" t="e">
        <f ca="1">AND(NOW()&gt;=tbl_MTG_Set[[#This Row],[Heavy Printing Window Start]], NOW()&lt;=tbl_MTG_Set[[#This Row],[Heavy Printing Window End]])</f>
        <v>#VALUE!</v>
      </c>
      <c r="T784" t="str">
        <f>_xlfn.XLOOKUP(tbl_MTG_Set[[#This Row],[Type Name]], tbl_MTG_Set_Type[Set Type], tbl_MTG_Set_Type[Sell Window Month Start], "(Set Type not found)", 0, 1)</f>
        <v>(Set Type not found)</v>
      </c>
      <c r="U784" s="3" t="e">
        <f>tbl_MTG_Set[[#This Row],[Released On]]+tbl_MTG_Set[[#This Row],[Sell Window Month Start]]*365.25/12</f>
        <v>#VALUE!</v>
      </c>
      <c r="V784" t="str">
        <f>_xlfn.XLOOKUP(tbl_MTG_Set[[#This Row],[Type Name]], tbl_MTG_Set_Type[Set Type], tbl_MTG_Set_Type[Sell Window Month End], "(Set Type not found)", 0, 1)</f>
        <v>(Set Type not found)</v>
      </c>
      <c r="W784" s="3" t="e">
        <f>tbl_MTG_Set[[#This Row],[Released On]]+tbl_MTG_Set[[#This Row],[Sell Window Month End]]*365.25/12</f>
        <v>#VALUE!</v>
      </c>
      <c r="X784" s="3" t="e">
        <f ca="1">AND(NOW()&gt;=tbl_MTG_Set[[#This Row],[Sell Window Start]], NOW()&lt;=tbl_MTG_Set[[#This Row],[Sell Window End]])</f>
        <v>#VALUE!</v>
      </c>
      <c r="AG784" s="10"/>
      <c r="AH784" s="10"/>
      <c r="AM784" s="10" t="str" cm="1">
        <f t="array" ref="AM7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4" s="10" t="str" cm="1">
        <f t="array" ref="AN7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4" s="4" t="e">
        <f>_xlfn.XLOOKUP(tbl_MTG_Set[[#This Row],[Play Booster Box Product Id]], tbl_Product[Product Id], tbl_Product[Pack Size])</f>
        <v>#N/A</v>
      </c>
      <c r="AP784" s="10" t="e">
        <f>(tbl_MTG_Set[[#This Row],[Play Booster Box Cost]]+v_Item_Shipping_Cost_In)/tbl_MTG_Set[[#This Row],[Play Booster Box Size]]</f>
        <v>#VALUE!</v>
      </c>
      <c r="AQ784" s="10" t="str" cm="1">
        <f t="array" ref="AQ7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4" s="10"/>
      <c r="AS784" s="10"/>
      <c r="AT784" s="17" t="e">
        <f>tbl_MTG_Set[[#This Row],[Play Booster CardMarket Profit]]/tbl_MTG_Set[[#This Row],[Play Booster Cost]]</f>
        <v>#VALUE!</v>
      </c>
      <c r="AU784" s="10" t="e">
        <f>_xlfn.XLOOKUP(tbl_MTG_Set[[#This Row],[Collector Booster Box Product Id]], tbl_Product[Product Id], tbl_Product[Min Cost])</f>
        <v>#N/A</v>
      </c>
      <c r="AV784" s="10" t="e">
        <f>_xlfn.XLOOKUP(tbl_MTG_Set[[#This Row],[Collector Booster Box Product Id]], tbl_Product[Product Id], tbl_Product[Best Source])</f>
        <v>#N/A</v>
      </c>
      <c r="AW784" s="4" t="e">
        <f>_xlfn.XLOOKUP(tbl_MTG_Set[[#This Row],[Collector Booster Box Product Id]], tbl_Product[Product Id], tbl_Product[Pack Size])</f>
        <v>#N/A</v>
      </c>
      <c r="AX784" s="10" t="e">
        <f>(tbl_MTG_Set[[#This Row],[Collector Booster Box Cost]] + v_Item_Shipping_Cost_In) / tbl_MTG_Set[[#This Row],[Collector Booster Box Size]]</f>
        <v>#N/A</v>
      </c>
      <c r="AY784" s="10" t="str" cm="1">
        <f t="array" ref="AY7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4" s="10"/>
      <c r="BA7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4" s="17" t="e">
        <f>tbl_MTG_Set[[#This Row],[Collector Booster CardMarket Profit]]/tbl_MTG_Set[[#This Row],[Collector Booster Cost]]</f>
        <v>#N/A</v>
      </c>
      <c r="BC784" s="10"/>
      <c r="BF7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4" s="11" t="e">
        <f>tbl_MTG_Set[[#This Row],[Play Singles CardMarket Profit MTG Stocks]]/tbl_MTG_Set[[#This Row],[Play Booster Cost]]</f>
        <v>#VALUE!</v>
      </c>
      <c r="BI784" s="11" t="b">
        <f>tbl_MTG_Set[[#This Row],[Play Singles CardMarket Profit MTG Stocks]]&gt;0</f>
        <v>0</v>
      </c>
      <c r="BM784" s="10" t="e">
        <f>tbl_MTG_Set[[#This Row],[Play Booster Sell Price CardMarket]]*tbl_MTG_Set[[#This Row],[Play Booster Expected Market Value BotBox]]/tbl_MTG_Set[[#This Row],[Play Booster Sealed Market Value BotBox]]</f>
        <v>#VALUE!</v>
      </c>
      <c r="BN7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4" s="10" t="e">
        <f>tbl_MTG_Set[[#This Row],[Play Singles CardMarket Profit BotBox]]/tbl_MTG_Set[[#This Row],[Play Booster Cost]]</f>
        <v>#VALUE!</v>
      </c>
      <c r="BP784" s="10" t="b">
        <f>tbl_MTG_Set[[#This Row],[Play Singles CardMarket Profit BotBox]]&gt;0</f>
        <v>0</v>
      </c>
      <c r="BQ784" s="10"/>
      <c r="BR784" s="10"/>
      <c r="BS784" s="10"/>
      <c r="BT7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4" s="19" t="e">
        <f>tbl_MTG_Set[[#This Row],[Collector Singles CardMarket Profit MTG Stocks]]/tbl_MTG_Set[[#This Row],[Collector Booster Cost]]</f>
        <v>#N/A</v>
      </c>
      <c r="BW784" s="10" t="b">
        <f>tbl_MTG_Set[[#This Row],[Collector Singles CardMarket Profit MTG Stocks]]&gt;0</f>
        <v>0</v>
      </c>
      <c r="BX784" s="10"/>
      <c r="BY784" s="10"/>
      <c r="BZ7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4" s="10" t="e">
        <f>tbl_MTG_Set[[#This Row],[Collector Singles CardMarket Profit BotBox]]/tbl_MTG_Set[[#This Row],[Collector Booster Cost]]</f>
        <v>#N/A</v>
      </c>
      <c r="CC784" s="10" t="b">
        <f>tbl_MTG_Set[[#This Row],[Collector Singles CardMarket Profit BotBox]]&gt;0</f>
        <v>0</v>
      </c>
      <c r="CD7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5" spans="1:86" hidden="1">
      <c r="A785">
        <v>817</v>
      </c>
      <c r="B785" t="s">
        <v>958</v>
      </c>
      <c r="C785">
        <v>3</v>
      </c>
      <c r="D785" s="3">
        <v>39479</v>
      </c>
      <c r="F785" t="s">
        <v>174</v>
      </c>
      <c r="G785">
        <v>1580</v>
      </c>
      <c r="H785">
        <f ca="1">MONTH(NOW())+12*YEAR(NOW())-MONTH(tbl_MTG_Set[[#This Row],[Released On]])-12*YEAR(tbl_MTG_Set[[#This Row],[Released On]])</f>
        <v>217</v>
      </c>
      <c r="I785" t="str">
        <f>_xlfn.XLOOKUP(tbl_MTG_Set[[#This Row],[Type Name]], tbl_MTG_Set_Type[Set Type], tbl_MTG_Set_Type[Index], "(Set Type not found)")</f>
        <v>(Set Type not found)</v>
      </c>
      <c r="J785" t="str">
        <f>_xlfn.XLOOKUP(tbl_MTG_Set[[#This Row],[Type Name]], tbl_MTG_Set_Type[Set Type], tbl_MTG_Set_Type[Buy Window Month Start], "(Set Type not found)")</f>
        <v>(Set Type not found)</v>
      </c>
      <c r="K785" s="3" t="e">
        <f>tbl_MTG_Set[[#This Row],[Released On]]+tbl_MTG_Set[[#This Row],[Buy Window Month Start]]*365.25/12</f>
        <v>#VALUE!</v>
      </c>
      <c r="L785" t="str">
        <f>_xlfn.XLOOKUP(tbl_MTG_Set[[#This Row],[Type Name]], tbl_MTG_Set_Type[Set Type], tbl_MTG_Set_Type[Buy Window Month End], "(Set Type not found)", 0, 1)</f>
        <v>(Set Type not found)</v>
      </c>
      <c r="M785" s="3" t="e">
        <f>tbl_MTG_Set[[#This Row],[Released On]]+tbl_MTG_Set[[#This Row],[Buy Window Month End]]*365.25/12</f>
        <v>#VALUE!</v>
      </c>
      <c r="N785" s="3" t="e">
        <f ca="1">AND(NOW()&gt;=tbl_MTG_Set[[#This Row],[Buy Window Start]], NOW()&lt;=tbl_MTG_Set[[#This Row],[Buy Window End]])</f>
        <v>#VALUE!</v>
      </c>
      <c r="O785" t="str">
        <f>_xlfn.XLOOKUP(tbl_MTG_Set[[#This Row],[Type Name]], tbl_MTG_Set_Type[Set Type], tbl_MTG_Set_Type[Heavy Printing Window Month Start], "(Set Type not found)", 0, 1)</f>
        <v>(Set Type not found)</v>
      </c>
      <c r="P785" s="3" t="e">
        <f>tbl_MTG_Set[[#This Row],[Released On]]+tbl_MTG_Set[[#This Row],[Heavy Printing Window Month Start]]*365.25/12</f>
        <v>#VALUE!</v>
      </c>
      <c r="Q785" t="str">
        <f>_xlfn.XLOOKUP(tbl_MTG_Set[[#This Row],[Type Name]], tbl_MTG_Set_Type[Set Type], tbl_MTG_Set_Type[Heavy Printing Window Month End], "(Set Type not found)", 0, 1)</f>
        <v>(Set Type not found)</v>
      </c>
      <c r="R785" s="3" t="e">
        <f>tbl_MTG_Set[[#This Row],[Released On]]+tbl_MTG_Set[[#This Row],[Heavy Printing Window Month End]]*365.25/12</f>
        <v>#VALUE!</v>
      </c>
      <c r="S785" s="3" t="e">
        <f ca="1">AND(NOW()&gt;=tbl_MTG_Set[[#This Row],[Heavy Printing Window Start]], NOW()&lt;=tbl_MTG_Set[[#This Row],[Heavy Printing Window End]])</f>
        <v>#VALUE!</v>
      </c>
      <c r="T785" t="str">
        <f>_xlfn.XLOOKUP(tbl_MTG_Set[[#This Row],[Type Name]], tbl_MTG_Set_Type[Set Type], tbl_MTG_Set_Type[Sell Window Month Start], "(Set Type not found)", 0, 1)</f>
        <v>(Set Type not found)</v>
      </c>
      <c r="U785" s="3" t="e">
        <f>tbl_MTG_Set[[#This Row],[Released On]]+tbl_MTG_Set[[#This Row],[Sell Window Month Start]]*365.25/12</f>
        <v>#VALUE!</v>
      </c>
      <c r="V785" t="str">
        <f>_xlfn.XLOOKUP(tbl_MTG_Set[[#This Row],[Type Name]], tbl_MTG_Set_Type[Set Type], tbl_MTG_Set_Type[Sell Window Month End], "(Set Type not found)", 0, 1)</f>
        <v>(Set Type not found)</v>
      </c>
      <c r="W785" s="3" t="e">
        <f>tbl_MTG_Set[[#This Row],[Released On]]+tbl_MTG_Set[[#This Row],[Sell Window Month End]]*365.25/12</f>
        <v>#VALUE!</v>
      </c>
      <c r="X785" s="3" t="e">
        <f ca="1">AND(NOW()&gt;=tbl_MTG_Set[[#This Row],[Sell Window Start]], NOW()&lt;=tbl_MTG_Set[[#This Row],[Sell Window End]])</f>
        <v>#VALUE!</v>
      </c>
      <c r="AG785" s="10"/>
      <c r="AH785" s="10"/>
      <c r="AM785" s="10" t="str" cm="1">
        <f t="array" ref="AM7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5" s="10" t="str" cm="1">
        <f t="array" ref="AN7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5" s="4" t="e">
        <f>_xlfn.XLOOKUP(tbl_MTG_Set[[#This Row],[Play Booster Box Product Id]], tbl_Product[Product Id], tbl_Product[Pack Size])</f>
        <v>#N/A</v>
      </c>
      <c r="AP785" s="10" t="e">
        <f>(tbl_MTG_Set[[#This Row],[Play Booster Box Cost]]+v_Item_Shipping_Cost_In)/tbl_MTG_Set[[#This Row],[Play Booster Box Size]]</f>
        <v>#VALUE!</v>
      </c>
      <c r="AQ785" s="10" t="str" cm="1">
        <f t="array" ref="AQ7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5" s="10"/>
      <c r="AS785" s="10"/>
      <c r="AT785" s="17" t="e">
        <f>tbl_MTG_Set[[#This Row],[Play Booster CardMarket Profit]]/tbl_MTG_Set[[#This Row],[Play Booster Cost]]</f>
        <v>#VALUE!</v>
      </c>
      <c r="AU785" s="10" t="e">
        <f>_xlfn.XLOOKUP(tbl_MTG_Set[[#This Row],[Collector Booster Box Product Id]], tbl_Product[Product Id], tbl_Product[Min Cost])</f>
        <v>#N/A</v>
      </c>
      <c r="AV785" s="10" t="e">
        <f>_xlfn.XLOOKUP(tbl_MTG_Set[[#This Row],[Collector Booster Box Product Id]], tbl_Product[Product Id], tbl_Product[Best Source])</f>
        <v>#N/A</v>
      </c>
      <c r="AW785" s="4" t="e">
        <f>_xlfn.XLOOKUP(tbl_MTG_Set[[#This Row],[Collector Booster Box Product Id]], tbl_Product[Product Id], tbl_Product[Pack Size])</f>
        <v>#N/A</v>
      </c>
      <c r="AX785" s="10" t="e">
        <f>(tbl_MTG_Set[[#This Row],[Collector Booster Box Cost]] + v_Item_Shipping_Cost_In) / tbl_MTG_Set[[#This Row],[Collector Booster Box Size]]</f>
        <v>#N/A</v>
      </c>
      <c r="AY785" s="10" t="str" cm="1">
        <f t="array" ref="AY7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5" s="10"/>
      <c r="BA7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5" s="17" t="e">
        <f>tbl_MTG_Set[[#This Row],[Collector Booster CardMarket Profit]]/tbl_MTG_Set[[#This Row],[Collector Booster Cost]]</f>
        <v>#N/A</v>
      </c>
      <c r="BC785" s="10"/>
      <c r="BF7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5" s="11" t="e">
        <f>tbl_MTG_Set[[#This Row],[Play Singles CardMarket Profit MTG Stocks]]/tbl_MTG_Set[[#This Row],[Play Booster Cost]]</f>
        <v>#VALUE!</v>
      </c>
      <c r="BI785" s="11" t="b">
        <f>tbl_MTG_Set[[#This Row],[Play Singles CardMarket Profit MTG Stocks]]&gt;0</f>
        <v>0</v>
      </c>
      <c r="BM785" s="10" t="e">
        <f>tbl_MTG_Set[[#This Row],[Play Booster Sell Price CardMarket]]*tbl_MTG_Set[[#This Row],[Play Booster Expected Market Value BotBox]]/tbl_MTG_Set[[#This Row],[Play Booster Sealed Market Value BotBox]]</f>
        <v>#VALUE!</v>
      </c>
      <c r="BN7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5" s="10" t="e">
        <f>tbl_MTG_Set[[#This Row],[Play Singles CardMarket Profit BotBox]]/tbl_MTG_Set[[#This Row],[Play Booster Cost]]</f>
        <v>#VALUE!</v>
      </c>
      <c r="BP785" s="10" t="b">
        <f>tbl_MTG_Set[[#This Row],[Play Singles CardMarket Profit BotBox]]&gt;0</f>
        <v>0</v>
      </c>
      <c r="BQ785" s="10"/>
      <c r="BR785" s="10"/>
      <c r="BS785" s="10"/>
      <c r="BT7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5" s="19" t="e">
        <f>tbl_MTG_Set[[#This Row],[Collector Singles CardMarket Profit MTG Stocks]]/tbl_MTG_Set[[#This Row],[Collector Booster Cost]]</f>
        <v>#N/A</v>
      </c>
      <c r="BW785" s="10" t="b">
        <f>tbl_MTG_Set[[#This Row],[Collector Singles CardMarket Profit MTG Stocks]]&gt;0</f>
        <v>0</v>
      </c>
      <c r="BX785" s="10"/>
      <c r="BY785" s="10"/>
      <c r="BZ7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5" s="10" t="e">
        <f>tbl_MTG_Set[[#This Row],[Collector Singles CardMarket Profit BotBox]]/tbl_MTG_Set[[#This Row],[Collector Booster Cost]]</f>
        <v>#N/A</v>
      </c>
      <c r="CC785" s="10" t="b">
        <f>tbl_MTG_Set[[#This Row],[Collector Singles CardMarket Profit BotBox]]&gt;0</f>
        <v>0</v>
      </c>
      <c r="CD7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6" spans="1:86" hidden="1">
      <c r="A786">
        <v>818</v>
      </c>
      <c r="B786" t="s">
        <v>959</v>
      </c>
      <c r="C786">
        <v>6</v>
      </c>
      <c r="D786" s="3">
        <v>39448</v>
      </c>
      <c r="F786" t="s">
        <v>174</v>
      </c>
      <c r="G786">
        <v>1582</v>
      </c>
      <c r="H786">
        <f ca="1">MONTH(NOW())+12*YEAR(NOW())-MONTH(tbl_MTG_Set[[#This Row],[Released On]])-12*YEAR(tbl_MTG_Set[[#This Row],[Released On]])</f>
        <v>218</v>
      </c>
      <c r="I786" t="str">
        <f>_xlfn.XLOOKUP(tbl_MTG_Set[[#This Row],[Type Name]], tbl_MTG_Set_Type[Set Type], tbl_MTG_Set_Type[Index], "(Set Type not found)")</f>
        <v>(Set Type not found)</v>
      </c>
      <c r="J786" t="str">
        <f>_xlfn.XLOOKUP(tbl_MTG_Set[[#This Row],[Type Name]], tbl_MTG_Set_Type[Set Type], tbl_MTG_Set_Type[Buy Window Month Start], "(Set Type not found)")</f>
        <v>(Set Type not found)</v>
      </c>
      <c r="K786" s="3" t="e">
        <f>tbl_MTG_Set[[#This Row],[Released On]]+tbl_MTG_Set[[#This Row],[Buy Window Month Start]]*365.25/12</f>
        <v>#VALUE!</v>
      </c>
      <c r="L786" t="str">
        <f>_xlfn.XLOOKUP(tbl_MTG_Set[[#This Row],[Type Name]], tbl_MTG_Set_Type[Set Type], tbl_MTG_Set_Type[Buy Window Month End], "(Set Type not found)", 0, 1)</f>
        <v>(Set Type not found)</v>
      </c>
      <c r="M786" s="3" t="e">
        <f>tbl_MTG_Set[[#This Row],[Released On]]+tbl_MTG_Set[[#This Row],[Buy Window Month End]]*365.25/12</f>
        <v>#VALUE!</v>
      </c>
      <c r="N786" s="3" t="e">
        <f ca="1">AND(NOW()&gt;=tbl_MTG_Set[[#This Row],[Buy Window Start]], NOW()&lt;=tbl_MTG_Set[[#This Row],[Buy Window End]])</f>
        <v>#VALUE!</v>
      </c>
      <c r="O786" t="str">
        <f>_xlfn.XLOOKUP(tbl_MTG_Set[[#This Row],[Type Name]], tbl_MTG_Set_Type[Set Type], tbl_MTG_Set_Type[Heavy Printing Window Month Start], "(Set Type not found)", 0, 1)</f>
        <v>(Set Type not found)</v>
      </c>
      <c r="P786" s="3" t="e">
        <f>tbl_MTG_Set[[#This Row],[Released On]]+tbl_MTG_Set[[#This Row],[Heavy Printing Window Month Start]]*365.25/12</f>
        <v>#VALUE!</v>
      </c>
      <c r="Q786" t="str">
        <f>_xlfn.XLOOKUP(tbl_MTG_Set[[#This Row],[Type Name]], tbl_MTG_Set_Type[Set Type], tbl_MTG_Set_Type[Heavy Printing Window Month End], "(Set Type not found)", 0, 1)</f>
        <v>(Set Type not found)</v>
      </c>
      <c r="R786" s="3" t="e">
        <f>tbl_MTG_Set[[#This Row],[Released On]]+tbl_MTG_Set[[#This Row],[Heavy Printing Window Month End]]*365.25/12</f>
        <v>#VALUE!</v>
      </c>
      <c r="S786" s="3" t="e">
        <f ca="1">AND(NOW()&gt;=tbl_MTG_Set[[#This Row],[Heavy Printing Window Start]], NOW()&lt;=tbl_MTG_Set[[#This Row],[Heavy Printing Window End]])</f>
        <v>#VALUE!</v>
      </c>
      <c r="T786" t="str">
        <f>_xlfn.XLOOKUP(tbl_MTG_Set[[#This Row],[Type Name]], tbl_MTG_Set_Type[Set Type], tbl_MTG_Set_Type[Sell Window Month Start], "(Set Type not found)", 0, 1)</f>
        <v>(Set Type not found)</v>
      </c>
      <c r="U786" s="3" t="e">
        <f>tbl_MTG_Set[[#This Row],[Released On]]+tbl_MTG_Set[[#This Row],[Sell Window Month Start]]*365.25/12</f>
        <v>#VALUE!</v>
      </c>
      <c r="V786" t="str">
        <f>_xlfn.XLOOKUP(tbl_MTG_Set[[#This Row],[Type Name]], tbl_MTG_Set_Type[Set Type], tbl_MTG_Set_Type[Sell Window Month End], "(Set Type not found)", 0, 1)</f>
        <v>(Set Type not found)</v>
      </c>
      <c r="W786" s="3" t="e">
        <f>tbl_MTG_Set[[#This Row],[Released On]]+tbl_MTG_Set[[#This Row],[Sell Window Month End]]*365.25/12</f>
        <v>#VALUE!</v>
      </c>
      <c r="X786" s="3" t="e">
        <f ca="1">AND(NOW()&gt;=tbl_MTG_Set[[#This Row],[Sell Window Start]], NOW()&lt;=tbl_MTG_Set[[#This Row],[Sell Window End]])</f>
        <v>#VALUE!</v>
      </c>
      <c r="AG786" s="10"/>
      <c r="AH786" s="10"/>
      <c r="AM786" s="10" t="str" cm="1">
        <f t="array" ref="AM7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6" s="10" t="str" cm="1">
        <f t="array" ref="AN7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6" s="4" t="e">
        <f>_xlfn.XLOOKUP(tbl_MTG_Set[[#This Row],[Play Booster Box Product Id]], tbl_Product[Product Id], tbl_Product[Pack Size])</f>
        <v>#N/A</v>
      </c>
      <c r="AP786" s="10" t="e">
        <f>(tbl_MTG_Set[[#This Row],[Play Booster Box Cost]]+v_Item_Shipping_Cost_In)/tbl_MTG_Set[[#This Row],[Play Booster Box Size]]</f>
        <v>#VALUE!</v>
      </c>
      <c r="AQ786" s="10" t="str" cm="1">
        <f t="array" ref="AQ7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6" s="10"/>
      <c r="AS786" s="10"/>
      <c r="AT786" s="17" t="e">
        <f>tbl_MTG_Set[[#This Row],[Play Booster CardMarket Profit]]/tbl_MTG_Set[[#This Row],[Play Booster Cost]]</f>
        <v>#VALUE!</v>
      </c>
      <c r="AU786" s="10" t="e">
        <f>_xlfn.XLOOKUP(tbl_MTG_Set[[#This Row],[Collector Booster Box Product Id]], tbl_Product[Product Id], tbl_Product[Min Cost])</f>
        <v>#N/A</v>
      </c>
      <c r="AV786" s="10" t="e">
        <f>_xlfn.XLOOKUP(tbl_MTG_Set[[#This Row],[Collector Booster Box Product Id]], tbl_Product[Product Id], tbl_Product[Best Source])</f>
        <v>#N/A</v>
      </c>
      <c r="AW786" s="4" t="e">
        <f>_xlfn.XLOOKUP(tbl_MTG_Set[[#This Row],[Collector Booster Box Product Id]], tbl_Product[Product Id], tbl_Product[Pack Size])</f>
        <v>#N/A</v>
      </c>
      <c r="AX786" s="10" t="e">
        <f>(tbl_MTG_Set[[#This Row],[Collector Booster Box Cost]] + v_Item_Shipping_Cost_In) / tbl_MTG_Set[[#This Row],[Collector Booster Box Size]]</f>
        <v>#N/A</v>
      </c>
      <c r="AY786" s="10" t="str" cm="1">
        <f t="array" ref="AY7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6" s="10"/>
      <c r="BA7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6" s="17" t="e">
        <f>tbl_MTG_Set[[#This Row],[Collector Booster CardMarket Profit]]/tbl_MTG_Set[[#This Row],[Collector Booster Cost]]</f>
        <v>#N/A</v>
      </c>
      <c r="BC786" s="10"/>
      <c r="BF7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6" s="11" t="e">
        <f>tbl_MTG_Set[[#This Row],[Play Singles CardMarket Profit MTG Stocks]]/tbl_MTG_Set[[#This Row],[Play Booster Cost]]</f>
        <v>#VALUE!</v>
      </c>
      <c r="BI786" s="11" t="b">
        <f>tbl_MTG_Set[[#This Row],[Play Singles CardMarket Profit MTG Stocks]]&gt;0</f>
        <v>0</v>
      </c>
      <c r="BM786" s="10" t="e">
        <f>tbl_MTG_Set[[#This Row],[Play Booster Sell Price CardMarket]]*tbl_MTG_Set[[#This Row],[Play Booster Expected Market Value BotBox]]/tbl_MTG_Set[[#This Row],[Play Booster Sealed Market Value BotBox]]</f>
        <v>#VALUE!</v>
      </c>
      <c r="BN7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6" s="10" t="e">
        <f>tbl_MTG_Set[[#This Row],[Play Singles CardMarket Profit BotBox]]/tbl_MTG_Set[[#This Row],[Play Booster Cost]]</f>
        <v>#VALUE!</v>
      </c>
      <c r="BP786" s="10" t="b">
        <f>tbl_MTG_Set[[#This Row],[Play Singles CardMarket Profit BotBox]]&gt;0</f>
        <v>0</v>
      </c>
      <c r="BQ786" s="10"/>
      <c r="BR786" s="10"/>
      <c r="BS786" s="10"/>
      <c r="BT7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6" s="19" t="e">
        <f>tbl_MTG_Set[[#This Row],[Collector Singles CardMarket Profit MTG Stocks]]/tbl_MTG_Set[[#This Row],[Collector Booster Cost]]</f>
        <v>#N/A</v>
      </c>
      <c r="BW786" s="10" t="b">
        <f>tbl_MTG_Set[[#This Row],[Collector Singles CardMarket Profit MTG Stocks]]&gt;0</f>
        <v>0</v>
      </c>
      <c r="BX786" s="10"/>
      <c r="BY786" s="10"/>
      <c r="BZ7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6" s="10" t="e">
        <f>tbl_MTG_Set[[#This Row],[Collector Singles CardMarket Profit BotBox]]/tbl_MTG_Set[[#This Row],[Collector Booster Cost]]</f>
        <v>#N/A</v>
      </c>
      <c r="CC786" s="10" t="b">
        <f>tbl_MTG_Set[[#This Row],[Collector Singles CardMarket Profit BotBox]]&gt;0</f>
        <v>0</v>
      </c>
      <c r="CD7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7" spans="1:86" hidden="1">
      <c r="A787">
        <v>819</v>
      </c>
      <c r="B787" t="s">
        <v>960</v>
      </c>
      <c r="C787">
        <v>7</v>
      </c>
      <c r="D787" s="3">
        <v>39448</v>
      </c>
      <c r="F787" t="s">
        <v>174</v>
      </c>
      <c r="G787">
        <v>1584</v>
      </c>
      <c r="H787">
        <f ca="1">MONTH(NOW())+12*YEAR(NOW())-MONTH(tbl_MTG_Set[[#This Row],[Released On]])-12*YEAR(tbl_MTG_Set[[#This Row],[Released On]])</f>
        <v>218</v>
      </c>
      <c r="I787" t="str">
        <f>_xlfn.XLOOKUP(tbl_MTG_Set[[#This Row],[Type Name]], tbl_MTG_Set_Type[Set Type], tbl_MTG_Set_Type[Index], "(Set Type not found)")</f>
        <v>(Set Type not found)</v>
      </c>
      <c r="J787" t="str">
        <f>_xlfn.XLOOKUP(tbl_MTG_Set[[#This Row],[Type Name]], tbl_MTG_Set_Type[Set Type], tbl_MTG_Set_Type[Buy Window Month Start], "(Set Type not found)")</f>
        <v>(Set Type not found)</v>
      </c>
      <c r="K787" s="3" t="e">
        <f>tbl_MTG_Set[[#This Row],[Released On]]+tbl_MTG_Set[[#This Row],[Buy Window Month Start]]*365.25/12</f>
        <v>#VALUE!</v>
      </c>
      <c r="L787" t="str">
        <f>_xlfn.XLOOKUP(tbl_MTG_Set[[#This Row],[Type Name]], tbl_MTG_Set_Type[Set Type], tbl_MTG_Set_Type[Buy Window Month End], "(Set Type not found)", 0, 1)</f>
        <v>(Set Type not found)</v>
      </c>
      <c r="M787" s="3" t="e">
        <f>tbl_MTG_Set[[#This Row],[Released On]]+tbl_MTG_Set[[#This Row],[Buy Window Month End]]*365.25/12</f>
        <v>#VALUE!</v>
      </c>
      <c r="N787" s="3" t="e">
        <f ca="1">AND(NOW()&gt;=tbl_MTG_Set[[#This Row],[Buy Window Start]], NOW()&lt;=tbl_MTG_Set[[#This Row],[Buy Window End]])</f>
        <v>#VALUE!</v>
      </c>
      <c r="O787" t="str">
        <f>_xlfn.XLOOKUP(tbl_MTG_Set[[#This Row],[Type Name]], tbl_MTG_Set_Type[Set Type], tbl_MTG_Set_Type[Heavy Printing Window Month Start], "(Set Type not found)", 0, 1)</f>
        <v>(Set Type not found)</v>
      </c>
      <c r="P787" s="3" t="e">
        <f>tbl_MTG_Set[[#This Row],[Released On]]+tbl_MTG_Set[[#This Row],[Heavy Printing Window Month Start]]*365.25/12</f>
        <v>#VALUE!</v>
      </c>
      <c r="Q787" t="str">
        <f>_xlfn.XLOOKUP(tbl_MTG_Set[[#This Row],[Type Name]], tbl_MTG_Set_Type[Set Type], tbl_MTG_Set_Type[Heavy Printing Window Month End], "(Set Type not found)", 0, 1)</f>
        <v>(Set Type not found)</v>
      </c>
      <c r="R787" s="3" t="e">
        <f>tbl_MTG_Set[[#This Row],[Released On]]+tbl_MTG_Set[[#This Row],[Heavy Printing Window Month End]]*365.25/12</f>
        <v>#VALUE!</v>
      </c>
      <c r="S787" s="3" t="e">
        <f ca="1">AND(NOW()&gt;=tbl_MTG_Set[[#This Row],[Heavy Printing Window Start]], NOW()&lt;=tbl_MTG_Set[[#This Row],[Heavy Printing Window End]])</f>
        <v>#VALUE!</v>
      </c>
      <c r="T787" t="str">
        <f>_xlfn.XLOOKUP(tbl_MTG_Set[[#This Row],[Type Name]], tbl_MTG_Set_Type[Set Type], tbl_MTG_Set_Type[Sell Window Month Start], "(Set Type not found)", 0, 1)</f>
        <v>(Set Type not found)</v>
      </c>
      <c r="U787" s="3" t="e">
        <f>tbl_MTG_Set[[#This Row],[Released On]]+tbl_MTG_Set[[#This Row],[Sell Window Month Start]]*365.25/12</f>
        <v>#VALUE!</v>
      </c>
      <c r="V787" t="str">
        <f>_xlfn.XLOOKUP(tbl_MTG_Set[[#This Row],[Type Name]], tbl_MTG_Set_Type[Set Type], tbl_MTG_Set_Type[Sell Window Month End], "(Set Type not found)", 0, 1)</f>
        <v>(Set Type not found)</v>
      </c>
      <c r="W787" s="3" t="e">
        <f>tbl_MTG_Set[[#This Row],[Released On]]+tbl_MTG_Set[[#This Row],[Sell Window Month End]]*365.25/12</f>
        <v>#VALUE!</v>
      </c>
      <c r="X787" s="3" t="e">
        <f ca="1">AND(NOW()&gt;=tbl_MTG_Set[[#This Row],[Sell Window Start]], NOW()&lt;=tbl_MTG_Set[[#This Row],[Sell Window End]])</f>
        <v>#VALUE!</v>
      </c>
      <c r="AG787" s="10"/>
      <c r="AH787" s="10"/>
      <c r="AM787" s="10" t="str" cm="1">
        <f t="array" ref="AM7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7" s="10" t="str" cm="1">
        <f t="array" ref="AN7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7" s="4" t="e">
        <f>_xlfn.XLOOKUP(tbl_MTG_Set[[#This Row],[Play Booster Box Product Id]], tbl_Product[Product Id], tbl_Product[Pack Size])</f>
        <v>#N/A</v>
      </c>
      <c r="AP787" s="10" t="e">
        <f>(tbl_MTG_Set[[#This Row],[Play Booster Box Cost]]+v_Item_Shipping_Cost_In)/tbl_MTG_Set[[#This Row],[Play Booster Box Size]]</f>
        <v>#VALUE!</v>
      </c>
      <c r="AQ787" s="10" t="str" cm="1">
        <f t="array" ref="AQ7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7" s="10"/>
      <c r="AS787" s="10"/>
      <c r="AT787" s="17" t="e">
        <f>tbl_MTG_Set[[#This Row],[Play Booster CardMarket Profit]]/tbl_MTG_Set[[#This Row],[Play Booster Cost]]</f>
        <v>#VALUE!</v>
      </c>
      <c r="AU787" s="10" t="e">
        <f>_xlfn.XLOOKUP(tbl_MTG_Set[[#This Row],[Collector Booster Box Product Id]], tbl_Product[Product Id], tbl_Product[Min Cost])</f>
        <v>#N/A</v>
      </c>
      <c r="AV787" s="10" t="e">
        <f>_xlfn.XLOOKUP(tbl_MTG_Set[[#This Row],[Collector Booster Box Product Id]], tbl_Product[Product Id], tbl_Product[Best Source])</f>
        <v>#N/A</v>
      </c>
      <c r="AW787" s="4" t="e">
        <f>_xlfn.XLOOKUP(tbl_MTG_Set[[#This Row],[Collector Booster Box Product Id]], tbl_Product[Product Id], tbl_Product[Pack Size])</f>
        <v>#N/A</v>
      </c>
      <c r="AX787" s="10" t="e">
        <f>(tbl_MTG_Set[[#This Row],[Collector Booster Box Cost]] + v_Item_Shipping_Cost_In) / tbl_MTG_Set[[#This Row],[Collector Booster Box Size]]</f>
        <v>#N/A</v>
      </c>
      <c r="AY787" s="10" t="str" cm="1">
        <f t="array" ref="AY7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7" s="10"/>
      <c r="BA7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7" s="17" t="e">
        <f>tbl_MTG_Set[[#This Row],[Collector Booster CardMarket Profit]]/tbl_MTG_Set[[#This Row],[Collector Booster Cost]]</f>
        <v>#N/A</v>
      </c>
      <c r="BC787" s="10"/>
      <c r="BF7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7" s="11" t="e">
        <f>tbl_MTG_Set[[#This Row],[Play Singles CardMarket Profit MTG Stocks]]/tbl_MTG_Set[[#This Row],[Play Booster Cost]]</f>
        <v>#VALUE!</v>
      </c>
      <c r="BI787" s="11" t="b">
        <f>tbl_MTG_Set[[#This Row],[Play Singles CardMarket Profit MTG Stocks]]&gt;0</f>
        <v>0</v>
      </c>
      <c r="BM787" s="10" t="e">
        <f>tbl_MTG_Set[[#This Row],[Play Booster Sell Price CardMarket]]*tbl_MTG_Set[[#This Row],[Play Booster Expected Market Value BotBox]]/tbl_MTG_Set[[#This Row],[Play Booster Sealed Market Value BotBox]]</f>
        <v>#VALUE!</v>
      </c>
      <c r="BN7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7" s="10" t="e">
        <f>tbl_MTG_Set[[#This Row],[Play Singles CardMarket Profit BotBox]]/tbl_MTG_Set[[#This Row],[Play Booster Cost]]</f>
        <v>#VALUE!</v>
      </c>
      <c r="BP787" s="10" t="b">
        <f>tbl_MTG_Set[[#This Row],[Play Singles CardMarket Profit BotBox]]&gt;0</f>
        <v>0</v>
      </c>
      <c r="BQ787" s="10"/>
      <c r="BR787" s="10"/>
      <c r="BS787" s="10"/>
      <c r="BT7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7" s="19" t="e">
        <f>tbl_MTG_Set[[#This Row],[Collector Singles CardMarket Profit MTG Stocks]]/tbl_MTG_Set[[#This Row],[Collector Booster Cost]]</f>
        <v>#N/A</v>
      </c>
      <c r="BW787" s="10" t="b">
        <f>tbl_MTG_Set[[#This Row],[Collector Singles CardMarket Profit MTG Stocks]]&gt;0</f>
        <v>0</v>
      </c>
      <c r="BX787" s="10"/>
      <c r="BY787" s="10"/>
      <c r="BZ7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7" s="10" t="e">
        <f>tbl_MTG_Set[[#This Row],[Collector Singles CardMarket Profit BotBox]]/tbl_MTG_Set[[#This Row],[Collector Booster Cost]]</f>
        <v>#N/A</v>
      </c>
      <c r="CC787" s="10" t="b">
        <f>tbl_MTG_Set[[#This Row],[Collector Singles CardMarket Profit BotBox]]&gt;0</f>
        <v>0</v>
      </c>
      <c r="CD7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8" spans="1:86" hidden="1">
      <c r="A788">
        <v>820</v>
      </c>
      <c r="B788" t="s">
        <v>961</v>
      </c>
      <c r="C788">
        <v>12</v>
      </c>
      <c r="D788" s="3">
        <v>39448</v>
      </c>
      <c r="F788" t="s">
        <v>174</v>
      </c>
      <c r="G788">
        <v>1586</v>
      </c>
      <c r="H788">
        <f ca="1">MONTH(NOW())+12*YEAR(NOW())-MONTH(tbl_MTG_Set[[#This Row],[Released On]])-12*YEAR(tbl_MTG_Set[[#This Row],[Released On]])</f>
        <v>218</v>
      </c>
      <c r="I788" t="str">
        <f>_xlfn.XLOOKUP(tbl_MTG_Set[[#This Row],[Type Name]], tbl_MTG_Set_Type[Set Type], tbl_MTG_Set_Type[Index], "(Set Type not found)")</f>
        <v>(Set Type not found)</v>
      </c>
      <c r="J788" t="str">
        <f>_xlfn.XLOOKUP(tbl_MTG_Set[[#This Row],[Type Name]], tbl_MTG_Set_Type[Set Type], tbl_MTG_Set_Type[Buy Window Month Start], "(Set Type not found)")</f>
        <v>(Set Type not found)</v>
      </c>
      <c r="K788" s="3" t="e">
        <f>tbl_MTG_Set[[#This Row],[Released On]]+tbl_MTG_Set[[#This Row],[Buy Window Month Start]]*365.25/12</f>
        <v>#VALUE!</v>
      </c>
      <c r="L788" t="str">
        <f>_xlfn.XLOOKUP(tbl_MTG_Set[[#This Row],[Type Name]], tbl_MTG_Set_Type[Set Type], tbl_MTG_Set_Type[Buy Window Month End], "(Set Type not found)", 0, 1)</f>
        <v>(Set Type not found)</v>
      </c>
      <c r="M788" s="3" t="e">
        <f>tbl_MTG_Set[[#This Row],[Released On]]+tbl_MTG_Set[[#This Row],[Buy Window Month End]]*365.25/12</f>
        <v>#VALUE!</v>
      </c>
      <c r="N788" s="3" t="e">
        <f ca="1">AND(NOW()&gt;=tbl_MTG_Set[[#This Row],[Buy Window Start]], NOW()&lt;=tbl_MTG_Set[[#This Row],[Buy Window End]])</f>
        <v>#VALUE!</v>
      </c>
      <c r="O788" t="str">
        <f>_xlfn.XLOOKUP(tbl_MTG_Set[[#This Row],[Type Name]], tbl_MTG_Set_Type[Set Type], tbl_MTG_Set_Type[Heavy Printing Window Month Start], "(Set Type not found)", 0, 1)</f>
        <v>(Set Type not found)</v>
      </c>
      <c r="P788" s="3" t="e">
        <f>tbl_MTG_Set[[#This Row],[Released On]]+tbl_MTG_Set[[#This Row],[Heavy Printing Window Month Start]]*365.25/12</f>
        <v>#VALUE!</v>
      </c>
      <c r="Q788" t="str">
        <f>_xlfn.XLOOKUP(tbl_MTG_Set[[#This Row],[Type Name]], tbl_MTG_Set_Type[Set Type], tbl_MTG_Set_Type[Heavy Printing Window Month End], "(Set Type not found)", 0, 1)</f>
        <v>(Set Type not found)</v>
      </c>
      <c r="R788" s="3" t="e">
        <f>tbl_MTG_Set[[#This Row],[Released On]]+tbl_MTG_Set[[#This Row],[Heavy Printing Window Month End]]*365.25/12</f>
        <v>#VALUE!</v>
      </c>
      <c r="S788" s="3" t="e">
        <f ca="1">AND(NOW()&gt;=tbl_MTG_Set[[#This Row],[Heavy Printing Window Start]], NOW()&lt;=tbl_MTG_Set[[#This Row],[Heavy Printing Window End]])</f>
        <v>#VALUE!</v>
      </c>
      <c r="T788" t="str">
        <f>_xlfn.XLOOKUP(tbl_MTG_Set[[#This Row],[Type Name]], tbl_MTG_Set_Type[Set Type], tbl_MTG_Set_Type[Sell Window Month Start], "(Set Type not found)", 0, 1)</f>
        <v>(Set Type not found)</v>
      </c>
      <c r="U788" s="3" t="e">
        <f>tbl_MTG_Set[[#This Row],[Released On]]+tbl_MTG_Set[[#This Row],[Sell Window Month Start]]*365.25/12</f>
        <v>#VALUE!</v>
      </c>
      <c r="V788" t="str">
        <f>_xlfn.XLOOKUP(tbl_MTG_Set[[#This Row],[Type Name]], tbl_MTG_Set_Type[Set Type], tbl_MTG_Set_Type[Sell Window Month End], "(Set Type not found)", 0, 1)</f>
        <v>(Set Type not found)</v>
      </c>
      <c r="W788" s="3" t="e">
        <f>tbl_MTG_Set[[#This Row],[Released On]]+tbl_MTG_Set[[#This Row],[Sell Window Month End]]*365.25/12</f>
        <v>#VALUE!</v>
      </c>
      <c r="X788" s="3" t="e">
        <f ca="1">AND(NOW()&gt;=tbl_MTG_Set[[#This Row],[Sell Window Start]], NOW()&lt;=tbl_MTG_Set[[#This Row],[Sell Window End]])</f>
        <v>#VALUE!</v>
      </c>
      <c r="AG788" s="10"/>
      <c r="AH788" s="10"/>
      <c r="AM788" s="10" t="str" cm="1">
        <f t="array" ref="AM7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8" s="10" t="str" cm="1">
        <f t="array" ref="AN7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8" s="4" t="e">
        <f>_xlfn.XLOOKUP(tbl_MTG_Set[[#This Row],[Play Booster Box Product Id]], tbl_Product[Product Id], tbl_Product[Pack Size])</f>
        <v>#N/A</v>
      </c>
      <c r="AP788" s="10" t="e">
        <f>(tbl_MTG_Set[[#This Row],[Play Booster Box Cost]]+v_Item_Shipping_Cost_In)/tbl_MTG_Set[[#This Row],[Play Booster Box Size]]</f>
        <v>#VALUE!</v>
      </c>
      <c r="AQ788" s="10" t="str" cm="1">
        <f t="array" ref="AQ7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8" s="10"/>
      <c r="AS788" s="10"/>
      <c r="AT788" s="17" t="e">
        <f>tbl_MTG_Set[[#This Row],[Play Booster CardMarket Profit]]/tbl_MTG_Set[[#This Row],[Play Booster Cost]]</f>
        <v>#VALUE!</v>
      </c>
      <c r="AU788" s="10" t="e">
        <f>_xlfn.XLOOKUP(tbl_MTG_Set[[#This Row],[Collector Booster Box Product Id]], tbl_Product[Product Id], tbl_Product[Min Cost])</f>
        <v>#N/A</v>
      </c>
      <c r="AV788" s="10" t="e">
        <f>_xlfn.XLOOKUP(tbl_MTG_Set[[#This Row],[Collector Booster Box Product Id]], tbl_Product[Product Id], tbl_Product[Best Source])</f>
        <v>#N/A</v>
      </c>
      <c r="AW788" s="4" t="e">
        <f>_xlfn.XLOOKUP(tbl_MTG_Set[[#This Row],[Collector Booster Box Product Id]], tbl_Product[Product Id], tbl_Product[Pack Size])</f>
        <v>#N/A</v>
      </c>
      <c r="AX788" s="10" t="e">
        <f>(tbl_MTG_Set[[#This Row],[Collector Booster Box Cost]] + v_Item_Shipping_Cost_In) / tbl_MTG_Set[[#This Row],[Collector Booster Box Size]]</f>
        <v>#N/A</v>
      </c>
      <c r="AY788" s="10" t="str" cm="1">
        <f t="array" ref="AY7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8" s="10"/>
      <c r="BA7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8" s="17" t="e">
        <f>tbl_MTG_Set[[#This Row],[Collector Booster CardMarket Profit]]/tbl_MTG_Set[[#This Row],[Collector Booster Cost]]</f>
        <v>#N/A</v>
      </c>
      <c r="BC788" s="10"/>
      <c r="BF7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8" s="11" t="e">
        <f>tbl_MTG_Set[[#This Row],[Play Singles CardMarket Profit MTG Stocks]]/tbl_MTG_Set[[#This Row],[Play Booster Cost]]</f>
        <v>#VALUE!</v>
      </c>
      <c r="BI788" s="11" t="b">
        <f>tbl_MTG_Set[[#This Row],[Play Singles CardMarket Profit MTG Stocks]]&gt;0</f>
        <v>0</v>
      </c>
      <c r="BM788" s="10" t="e">
        <f>tbl_MTG_Set[[#This Row],[Play Booster Sell Price CardMarket]]*tbl_MTG_Set[[#This Row],[Play Booster Expected Market Value BotBox]]/tbl_MTG_Set[[#This Row],[Play Booster Sealed Market Value BotBox]]</f>
        <v>#VALUE!</v>
      </c>
      <c r="BN7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8" s="10" t="e">
        <f>tbl_MTG_Set[[#This Row],[Play Singles CardMarket Profit BotBox]]/tbl_MTG_Set[[#This Row],[Play Booster Cost]]</f>
        <v>#VALUE!</v>
      </c>
      <c r="BP788" s="10" t="b">
        <f>tbl_MTG_Set[[#This Row],[Play Singles CardMarket Profit BotBox]]&gt;0</f>
        <v>0</v>
      </c>
      <c r="BQ788" s="10"/>
      <c r="BR788" s="10"/>
      <c r="BS788" s="10"/>
      <c r="BT7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8" s="19" t="e">
        <f>tbl_MTG_Set[[#This Row],[Collector Singles CardMarket Profit MTG Stocks]]/tbl_MTG_Set[[#This Row],[Collector Booster Cost]]</f>
        <v>#N/A</v>
      </c>
      <c r="BW788" s="10" t="b">
        <f>tbl_MTG_Set[[#This Row],[Collector Singles CardMarket Profit MTG Stocks]]&gt;0</f>
        <v>0</v>
      </c>
      <c r="BX788" s="10"/>
      <c r="BY788" s="10"/>
      <c r="BZ7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8" s="10" t="e">
        <f>tbl_MTG_Set[[#This Row],[Collector Singles CardMarket Profit BotBox]]/tbl_MTG_Set[[#This Row],[Collector Booster Cost]]</f>
        <v>#N/A</v>
      </c>
      <c r="CC788" s="10" t="b">
        <f>tbl_MTG_Set[[#This Row],[Collector Singles CardMarket Profit BotBox]]&gt;0</f>
        <v>0</v>
      </c>
      <c r="CD7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89" spans="1:86" hidden="1">
      <c r="A789">
        <v>821</v>
      </c>
      <c r="B789" t="s">
        <v>962</v>
      </c>
      <c r="C789">
        <v>5</v>
      </c>
      <c r="D789" s="3">
        <v>39448</v>
      </c>
      <c r="F789" t="s">
        <v>174</v>
      </c>
      <c r="G789">
        <v>1588</v>
      </c>
      <c r="H789">
        <f ca="1">MONTH(NOW())+12*YEAR(NOW())-MONTH(tbl_MTG_Set[[#This Row],[Released On]])-12*YEAR(tbl_MTG_Set[[#This Row],[Released On]])</f>
        <v>218</v>
      </c>
      <c r="I789" t="str">
        <f>_xlfn.XLOOKUP(tbl_MTG_Set[[#This Row],[Type Name]], tbl_MTG_Set_Type[Set Type], tbl_MTG_Set_Type[Index], "(Set Type not found)")</f>
        <v>(Set Type not found)</v>
      </c>
      <c r="J789" t="str">
        <f>_xlfn.XLOOKUP(tbl_MTG_Set[[#This Row],[Type Name]], tbl_MTG_Set_Type[Set Type], tbl_MTG_Set_Type[Buy Window Month Start], "(Set Type not found)")</f>
        <v>(Set Type not found)</v>
      </c>
      <c r="K789" s="3" t="e">
        <f>tbl_MTG_Set[[#This Row],[Released On]]+tbl_MTG_Set[[#This Row],[Buy Window Month Start]]*365.25/12</f>
        <v>#VALUE!</v>
      </c>
      <c r="L789" t="str">
        <f>_xlfn.XLOOKUP(tbl_MTG_Set[[#This Row],[Type Name]], tbl_MTG_Set_Type[Set Type], tbl_MTG_Set_Type[Buy Window Month End], "(Set Type not found)", 0, 1)</f>
        <v>(Set Type not found)</v>
      </c>
      <c r="M789" s="3" t="e">
        <f>tbl_MTG_Set[[#This Row],[Released On]]+tbl_MTG_Set[[#This Row],[Buy Window Month End]]*365.25/12</f>
        <v>#VALUE!</v>
      </c>
      <c r="N789" s="3" t="e">
        <f ca="1">AND(NOW()&gt;=tbl_MTG_Set[[#This Row],[Buy Window Start]], NOW()&lt;=tbl_MTG_Set[[#This Row],[Buy Window End]])</f>
        <v>#VALUE!</v>
      </c>
      <c r="O789" t="str">
        <f>_xlfn.XLOOKUP(tbl_MTG_Set[[#This Row],[Type Name]], tbl_MTG_Set_Type[Set Type], tbl_MTG_Set_Type[Heavy Printing Window Month Start], "(Set Type not found)", 0, 1)</f>
        <v>(Set Type not found)</v>
      </c>
      <c r="P789" s="3" t="e">
        <f>tbl_MTG_Set[[#This Row],[Released On]]+tbl_MTG_Set[[#This Row],[Heavy Printing Window Month Start]]*365.25/12</f>
        <v>#VALUE!</v>
      </c>
      <c r="Q789" t="str">
        <f>_xlfn.XLOOKUP(tbl_MTG_Set[[#This Row],[Type Name]], tbl_MTG_Set_Type[Set Type], tbl_MTG_Set_Type[Heavy Printing Window Month End], "(Set Type not found)", 0, 1)</f>
        <v>(Set Type not found)</v>
      </c>
      <c r="R789" s="3" t="e">
        <f>tbl_MTG_Set[[#This Row],[Released On]]+tbl_MTG_Set[[#This Row],[Heavy Printing Window Month End]]*365.25/12</f>
        <v>#VALUE!</v>
      </c>
      <c r="S789" s="3" t="e">
        <f ca="1">AND(NOW()&gt;=tbl_MTG_Set[[#This Row],[Heavy Printing Window Start]], NOW()&lt;=tbl_MTG_Set[[#This Row],[Heavy Printing Window End]])</f>
        <v>#VALUE!</v>
      </c>
      <c r="T789" t="str">
        <f>_xlfn.XLOOKUP(tbl_MTG_Set[[#This Row],[Type Name]], tbl_MTG_Set_Type[Set Type], tbl_MTG_Set_Type[Sell Window Month Start], "(Set Type not found)", 0, 1)</f>
        <v>(Set Type not found)</v>
      </c>
      <c r="U789" s="3" t="e">
        <f>tbl_MTG_Set[[#This Row],[Released On]]+tbl_MTG_Set[[#This Row],[Sell Window Month Start]]*365.25/12</f>
        <v>#VALUE!</v>
      </c>
      <c r="V789" t="str">
        <f>_xlfn.XLOOKUP(tbl_MTG_Set[[#This Row],[Type Name]], tbl_MTG_Set_Type[Set Type], tbl_MTG_Set_Type[Sell Window Month End], "(Set Type not found)", 0, 1)</f>
        <v>(Set Type not found)</v>
      </c>
      <c r="W789" s="3" t="e">
        <f>tbl_MTG_Set[[#This Row],[Released On]]+tbl_MTG_Set[[#This Row],[Sell Window Month End]]*365.25/12</f>
        <v>#VALUE!</v>
      </c>
      <c r="X789" s="3" t="e">
        <f ca="1">AND(NOW()&gt;=tbl_MTG_Set[[#This Row],[Sell Window Start]], NOW()&lt;=tbl_MTG_Set[[#This Row],[Sell Window End]])</f>
        <v>#VALUE!</v>
      </c>
      <c r="AG789" s="10"/>
      <c r="AH789" s="10"/>
      <c r="AM789" s="10" t="str" cm="1">
        <f t="array" ref="AM7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89" s="10" t="str" cm="1">
        <f t="array" ref="AN7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89" s="4" t="e">
        <f>_xlfn.XLOOKUP(tbl_MTG_Set[[#This Row],[Play Booster Box Product Id]], tbl_Product[Product Id], tbl_Product[Pack Size])</f>
        <v>#N/A</v>
      </c>
      <c r="AP789" s="10" t="e">
        <f>(tbl_MTG_Set[[#This Row],[Play Booster Box Cost]]+v_Item_Shipping_Cost_In)/tbl_MTG_Set[[#This Row],[Play Booster Box Size]]</f>
        <v>#VALUE!</v>
      </c>
      <c r="AQ789" s="10" t="str" cm="1">
        <f t="array" ref="AQ7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89" s="10"/>
      <c r="AS789" s="10"/>
      <c r="AT789" s="17" t="e">
        <f>tbl_MTG_Set[[#This Row],[Play Booster CardMarket Profit]]/tbl_MTG_Set[[#This Row],[Play Booster Cost]]</f>
        <v>#VALUE!</v>
      </c>
      <c r="AU789" s="10" t="e">
        <f>_xlfn.XLOOKUP(tbl_MTG_Set[[#This Row],[Collector Booster Box Product Id]], tbl_Product[Product Id], tbl_Product[Min Cost])</f>
        <v>#N/A</v>
      </c>
      <c r="AV789" s="10" t="e">
        <f>_xlfn.XLOOKUP(tbl_MTG_Set[[#This Row],[Collector Booster Box Product Id]], tbl_Product[Product Id], tbl_Product[Best Source])</f>
        <v>#N/A</v>
      </c>
      <c r="AW789" s="4" t="e">
        <f>_xlfn.XLOOKUP(tbl_MTG_Set[[#This Row],[Collector Booster Box Product Id]], tbl_Product[Product Id], tbl_Product[Pack Size])</f>
        <v>#N/A</v>
      </c>
      <c r="AX789" s="10" t="e">
        <f>(tbl_MTG_Set[[#This Row],[Collector Booster Box Cost]] + v_Item_Shipping_Cost_In) / tbl_MTG_Set[[#This Row],[Collector Booster Box Size]]</f>
        <v>#N/A</v>
      </c>
      <c r="AY789" s="10" t="str" cm="1">
        <f t="array" ref="AY7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89" s="10"/>
      <c r="BA7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89" s="17" t="e">
        <f>tbl_MTG_Set[[#This Row],[Collector Booster CardMarket Profit]]/tbl_MTG_Set[[#This Row],[Collector Booster Cost]]</f>
        <v>#N/A</v>
      </c>
      <c r="BC789" s="10"/>
      <c r="BF7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89" s="11" t="e">
        <f>tbl_MTG_Set[[#This Row],[Play Singles CardMarket Profit MTG Stocks]]/tbl_MTG_Set[[#This Row],[Play Booster Cost]]</f>
        <v>#VALUE!</v>
      </c>
      <c r="BI789" s="11" t="b">
        <f>tbl_MTG_Set[[#This Row],[Play Singles CardMarket Profit MTG Stocks]]&gt;0</f>
        <v>0</v>
      </c>
      <c r="BM789" s="10" t="e">
        <f>tbl_MTG_Set[[#This Row],[Play Booster Sell Price CardMarket]]*tbl_MTG_Set[[#This Row],[Play Booster Expected Market Value BotBox]]/tbl_MTG_Set[[#This Row],[Play Booster Sealed Market Value BotBox]]</f>
        <v>#VALUE!</v>
      </c>
      <c r="BN7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89" s="10" t="e">
        <f>tbl_MTG_Set[[#This Row],[Play Singles CardMarket Profit BotBox]]/tbl_MTG_Set[[#This Row],[Play Booster Cost]]</f>
        <v>#VALUE!</v>
      </c>
      <c r="BP789" s="10" t="b">
        <f>tbl_MTG_Set[[#This Row],[Play Singles CardMarket Profit BotBox]]&gt;0</f>
        <v>0</v>
      </c>
      <c r="BQ789" s="10"/>
      <c r="BR789" s="10"/>
      <c r="BS789" s="10"/>
      <c r="BT7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89" s="19" t="e">
        <f>tbl_MTG_Set[[#This Row],[Collector Singles CardMarket Profit MTG Stocks]]/tbl_MTG_Set[[#This Row],[Collector Booster Cost]]</f>
        <v>#N/A</v>
      </c>
      <c r="BW789" s="10" t="b">
        <f>tbl_MTG_Set[[#This Row],[Collector Singles CardMarket Profit MTG Stocks]]&gt;0</f>
        <v>0</v>
      </c>
      <c r="BX789" s="10"/>
      <c r="BY789" s="10"/>
      <c r="BZ7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89" s="10" t="e">
        <f>tbl_MTG_Set[[#This Row],[Collector Singles CardMarket Profit BotBox]]/tbl_MTG_Set[[#This Row],[Collector Booster Cost]]</f>
        <v>#N/A</v>
      </c>
      <c r="CC789" s="10" t="b">
        <f>tbl_MTG_Set[[#This Row],[Collector Singles CardMarket Profit BotBox]]&gt;0</f>
        <v>0</v>
      </c>
      <c r="CD7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0" spans="1:86" hidden="1">
      <c r="A790">
        <v>822</v>
      </c>
      <c r="B790" t="s">
        <v>963</v>
      </c>
      <c r="C790">
        <v>62</v>
      </c>
      <c r="D790" s="3">
        <v>39402</v>
      </c>
      <c r="F790" t="s">
        <v>174</v>
      </c>
      <c r="G790">
        <v>1590</v>
      </c>
      <c r="H790">
        <f ca="1">MONTH(NOW())+12*YEAR(NOW())-MONTH(tbl_MTG_Set[[#This Row],[Released On]])-12*YEAR(tbl_MTG_Set[[#This Row],[Released On]])</f>
        <v>220</v>
      </c>
      <c r="I790" t="str">
        <f>_xlfn.XLOOKUP(tbl_MTG_Set[[#This Row],[Type Name]], tbl_MTG_Set_Type[Set Type], tbl_MTG_Set_Type[Index], "(Set Type not found)")</f>
        <v>(Set Type not found)</v>
      </c>
      <c r="J790" t="str">
        <f>_xlfn.XLOOKUP(tbl_MTG_Set[[#This Row],[Type Name]], tbl_MTG_Set_Type[Set Type], tbl_MTG_Set_Type[Buy Window Month Start], "(Set Type not found)")</f>
        <v>(Set Type not found)</v>
      </c>
      <c r="K790" s="3" t="e">
        <f>tbl_MTG_Set[[#This Row],[Released On]]+tbl_MTG_Set[[#This Row],[Buy Window Month Start]]*365.25/12</f>
        <v>#VALUE!</v>
      </c>
      <c r="L790" t="str">
        <f>_xlfn.XLOOKUP(tbl_MTG_Set[[#This Row],[Type Name]], tbl_MTG_Set_Type[Set Type], tbl_MTG_Set_Type[Buy Window Month End], "(Set Type not found)", 0, 1)</f>
        <v>(Set Type not found)</v>
      </c>
      <c r="M790" s="3" t="e">
        <f>tbl_MTG_Set[[#This Row],[Released On]]+tbl_MTG_Set[[#This Row],[Buy Window Month End]]*365.25/12</f>
        <v>#VALUE!</v>
      </c>
      <c r="N790" s="3" t="e">
        <f ca="1">AND(NOW()&gt;=tbl_MTG_Set[[#This Row],[Buy Window Start]], NOW()&lt;=tbl_MTG_Set[[#This Row],[Buy Window End]])</f>
        <v>#VALUE!</v>
      </c>
      <c r="O790" t="str">
        <f>_xlfn.XLOOKUP(tbl_MTG_Set[[#This Row],[Type Name]], tbl_MTG_Set_Type[Set Type], tbl_MTG_Set_Type[Heavy Printing Window Month Start], "(Set Type not found)", 0, 1)</f>
        <v>(Set Type not found)</v>
      </c>
      <c r="P790" s="3" t="e">
        <f>tbl_MTG_Set[[#This Row],[Released On]]+tbl_MTG_Set[[#This Row],[Heavy Printing Window Month Start]]*365.25/12</f>
        <v>#VALUE!</v>
      </c>
      <c r="Q790" t="str">
        <f>_xlfn.XLOOKUP(tbl_MTG_Set[[#This Row],[Type Name]], tbl_MTG_Set_Type[Set Type], tbl_MTG_Set_Type[Heavy Printing Window Month End], "(Set Type not found)", 0, 1)</f>
        <v>(Set Type not found)</v>
      </c>
      <c r="R790" s="3" t="e">
        <f>tbl_MTG_Set[[#This Row],[Released On]]+tbl_MTG_Set[[#This Row],[Heavy Printing Window Month End]]*365.25/12</f>
        <v>#VALUE!</v>
      </c>
      <c r="S790" s="3" t="e">
        <f ca="1">AND(NOW()&gt;=tbl_MTG_Set[[#This Row],[Heavy Printing Window Start]], NOW()&lt;=tbl_MTG_Set[[#This Row],[Heavy Printing Window End]])</f>
        <v>#VALUE!</v>
      </c>
      <c r="T790" t="str">
        <f>_xlfn.XLOOKUP(tbl_MTG_Set[[#This Row],[Type Name]], tbl_MTG_Set_Type[Set Type], tbl_MTG_Set_Type[Sell Window Month Start], "(Set Type not found)", 0, 1)</f>
        <v>(Set Type not found)</v>
      </c>
      <c r="U790" s="3" t="e">
        <f>tbl_MTG_Set[[#This Row],[Released On]]+tbl_MTG_Set[[#This Row],[Sell Window Month Start]]*365.25/12</f>
        <v>#VALUE!</v>
      </c>
      <c r="V790" t="str">
        <f>_xlfn.XLOOKUP(tbl_MTG_Set[[#This Row],[Type Name]], tbl_MTG_Set_Type[Set Type], tbl_MTG_Set_Type[Sell Window Month End], "(Set Type not found)", 0, 1)</f>
        <v>(Set Type not found)</v>
      </c>
      <c r="W790" s="3" t="e">
        <f>tbl_MTG_Set[[#This Row],[Released On]]+tbl_MTG_Set[[#This Row],[Sell Window Month End]]*365.25/12</f>
        <v>#VALUE!</v>
      </c>
      <c r="X790" s="3" t="e">
        <f ca="1">AND(NOW()&gt;=tbl_MTG_Set[[#This Row],[Sell Window Start]], NOW()&lt;=tbl_MTG_Set[[#This Row],[Sell Window End]])</f>
        <v>#VALUE!</v>
      </c>
      <c r="AG790" s="10"/>
      <c r="AH790" s="10"/>
      <c r="AM790" s="10" t="str" cm="1">
        <f t="array" ref="AM7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0" s="10" t="str" cm="1">
        <f t="array" ref="AN7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0" s="4" t="e">
        <f>_xlfn.XLOOKUP(tbl_MTG_Set[[#This Row],[Play Booster Box Product Id]], tbl_Product[Product Id], tbl_Product[Pack Size])</f>
        <v>#N/A</v>
      </c>
      <c r="AP790" s="10" t="e">
        <f>(tbl_MTG_Set[[#This Row],[Play Booster Box Cost]]+v_Item_Shipping_Cost_In)/tbl_MTG_Set[[#This Row],[Play Booster Box Size]]</f>
        <v>#VALUE!</v>
      </c>
      <c r="AQ790" s="10" t="str" cm="1">
        <f t="array" ref="AQ7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0" s="10"/>
      <c r="AS790" s="10"/>
      <c r="AT790" s="17" t="e">
        <f>tbl_MTG_Set[[#This Row],[Play Booster CardMarket Profit]]/tbl_MTG_Set[[#This Row],[Play Booster Cost]]</f>
        <v>#VALUE!</v>
      </c>
      <c r="AU790" s="10" t="e">
        <f>_xlfn.XLOOKUP(tbl_MTG_Set[[#This Row],[Collector Booster Box Product Id]], tbl_Product[Product Id], tbl_Product[Min Cost])</f>
        <v>#N/A</v>
      </c>
      <c r="AV790" s="10" t="e">
        <f>_xlfn.XLOOKUP(tbl_MTG_Set[[#This Row],[Collector Booster Box Product Id]], tbl_Product[Product Id], tbl_Product[Best Source])</f>
        <v>#N/A</v>
      </c>
      <c r="AW790" s="4" t="e">
        <f>_xlfn.XLOOKUP(tbl_MTG_Set[[#This Row],[Collector Booster Box Product Id]], tbl_Product[Product Id], tbl_Product[Pack Size])</f>
        <v>#N/A</v>
      </c>
      <c r="AX790" s="10" t="e">
        <f>(tbl_MTG_Set[[#This Row],[Collector Booster Box Cost]] + v_Item_Shipping_Cost_In) / tbl_MTG_Set[[#This Row],[Collector Booster Box Size]]</f>
        <v>#N/A</v>
      </c>
      <c r="AY790" s="10" t="str" cm="1">
        <f t="array" ref="AY7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0" s="10"/>
      <c r="BA7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0" s="17" t="e">
        <f>tbl_MTG_Set[[#This Row],[Collector Booster CardMarket Profit]]/tbl_MTG_Set[[#This Row],[Collector Booster Cost]]</f>
        <v>#N/A</v>
      </c>
      <c r="BC790" s="10"/>
      <c r="BF7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0" s="11" t="e">
        <f>tbl_MTG_Set[[#This Row],[Play Singles CardMarket Profit MTG Stocks]]/tbl_MTG_Set[[#This Row],[Play Booster Cost]]</f>
        <v>#VALUE!</v>
      </c>
      <c r="BI790" s="11" t="b">
        <f>tbl_MTG_Set[[#This Row],[Play Singles CardMarket Profit MTG Stocks]]&gt;0</f>
        <v>0</v>
      </c>
      <c r="BM790" s="10" t="e">
        <f>tbl_MTG_Set[[#This Row],[Play Booster Sell Price CardMarket]]*tbl_MTG_Set[[#This Row],[Play Booster Expected Market Value BotBox]]/tbl_MTG_Set[[#This Row],[Play Booster Sealed Market Value BotBox]]</f>
        <v>#VALUE!</v>
      </c>
      <c r="BN7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0" s="10" t="e">
        <f>tbl_MTG_Set[[#This Row],[Play Singles CardMarket Profit BotBox]]/tbl_MTG_Set[[#This Row],[Play Booster Cost]]</f>
        <v>#VALUE!</v>
      </c>
      <c r="BP790" s="10" t="b">
        <f>tbl_MTG_Set[[#This Row],[Play Singles CardMarket Profit BotBox]]&gt;0</f>
        <v>0</v>
      </c>
      <c r="BQ790" s="10"/>
      <c r="BR790" s="10"/>
      <c r="BS790" s="10"/>
      <c r="BT7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0" s="19" t="e">
        <f>tbl_MTG_Set[[#This Row],[Collector Singles CardMarket Profit MTG Stocks]]/tbl_MTG_Set[[#This Row],[Collector Booster Cost]]</f>
        <v>#N/A</v>
      </c>
      <c r="BW790" s="10" t="b">
        <f>tbl_MTG_Set[[#This Row],[Collector Singles CardMarket Profit MTG Stocks]]&gt;0</f>
        <v>0</v>
      </c>
      <c r="BX790" s="10"/>
      <c r="BY790" s="10"/>
      <c r="BZ7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0" s="10" t="e">
        <f>tbl_MTG_Set[[#This Row],[Collector Singles CardMarket Profit BotBox]]/tbl_MTG_Set[[#This Row],[Collector Booster Cost]]</f>
        <v>#N/A</v>
      </c>
      <c r="CC790" s="10" t="b">
        <f>tbl_MTG_Set[[#This Row],[Collector Singles CardMarket Profit BotBox]]&gt;0</f>
        <v>0</v>
      </c>
      <c r="CD7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1" spans="1:86" hidden="1">
      <c r="A791">
        <v>823</v>
      </c>
      <c r="B791" t="s">
        <v>964</v>
      </c>
      <c r="C791">
        <v>3</v>
      </c>
      <c r="D791" s="3">
        <v>39402</v>
      </c>
      <c r="F791" t="s">
        <v>174</v>
      </c>
      <c r="G791">
        <v>1592</v>
      </c>
      <c r="H791">
        <f ca="1">MONTH(NOW())+12*YEAR(NOW())-MONTH(tbl_MTG_Set[[#This Row],[Released On]])-12*YEAR(tbl_MTG_Set[[#This Row],[Released On]])</f>
        <v>220</v>
      </c>
      <c r="I791" t="str">
        <f>_xlfn.XLOOKUP(tbl_MTG_Set[[#This Row],[Type Name]], tbl_MTG_Set_Type[Set Type], tbl_MTG_Set_Type[Index], "(Set Type not found)")</f>
        <v>(Set Type not found)</v>
      </c>
      <c r="J791" t="str">
        <f>_xlfn.XLOOKUP(tbl_MTG_Set[[#This Row],[Type Name]], tbl_MTG_Set_Type[Set Type], tbl_MTG_Set_Type[Buy Window Month Start], "(Set Type not found)")</f>
        <v>(Set Type not found)</v>
      </c>
      <c r="K791" s="3" t="e">
        <f>tbl_MTG_Set[[#This Row],[Released On]]+tbl_MTG_Set[[#This Row],[Buy Window Month Start]]*365.25/12</f>
        <v>#VALUE!</v>
      </c>
      <c r="L791" t="str">
        <f>_xlfn.XLOOKUP(tbl_MTG_Set[[#This Row],[Type Name]], tbl_MTG_Set_Type[Set Type], tbl_MTG_Set_Type[Buy Window Month End], "(Set Type not found)", 0, 1)</f>
        <v>(Set Type not found)</v>
      </c>
      <c r="M791" s="3" t="e">
        <f>tbl_MTG_Set[[#This Row],[Released On]]+tbl_MTG_Set[[#This Row],[Buy Window Month End]]*365.25/12</f>
        <v>#VALUE!</v>
      </c>
      <c r="N791" s="3" t="e">
        <f ca="1">AND(NOW()&gt;=tbl_MTG_Set[[#This Row],[Buy Window Start]], NOW()&lt;=tbl_MTG_Set[[#This Row],[Buy Window End]])</f>
        <v>#VALUE!</v>
      </c>
      <c r="O791" t="str">
        <f>_xlfn.XLOOKUP(tbl_MTG_Set[[#This Row],[Type Name]], tbl_MTG_Set_Type[Set Type], tbl_MTG_Set_Type[Heavy Printing Window Month Start], "(Set Type not found)", 0, 1)</f>
        <v>(Set Type not found)</v>
      </c>
      <c r="P791" s="3" t="e">
        <f>tbl_MTG_Set[[#This Row],[Released On]]+tbl_MTG_Set[[#This Row],[Heavy Printing Window Month Start]]*365.25/12</f>
        <v>#VALUE!</v>
      </c>
      <c r="Q791" t="str">
        <f>_xlfn.XLOOKUP(tbl_MTG_Set[[#This Row],[Type Name]], tbl_MTG_Set_Type[Set Type], tbl_MTG_Set_Type[Heavy Printing Window Month End], "(Set Type not found)", 0, 1)</f>
        <v>(Set Type not found)</v>
      </c>
      <c r="R791" s="3" t="e">
        <f>tbl_MTG_Set[[#This Row],[Released On]]+tbl_MTG_Set[[#This Row],[Heavy Printing Window Month End]]*365.25/12</f>
        <v>#VALUE!</v>
      </c>
      <c r="S791" s="3" t="e">
        <f ca="1">AND(NOW()&gt;=tbl_MTG_Set[[#This Row],[Heavy Printing Window Start]], NOW()&lt;=tbl_MTG_Set[[#This Row],[Heavy Printing Window End]])</f>
        <v>#VALUE!</v>
      </c>
      <c r="T791" t="str">
        <f>_xlfn.XLOOKUP(tbl_MTG_Set[[#This Row],[Type Name]], tbl_MTG_Set_Type[Set Type], tbl_MTG_Set_Type[Sell Window Month Start], "(Set Type not found)", 0, 1)</f>
        <v>(Set Type not found)</v>
      </c>
      <c r="U791" s="3" t="e">
        <f>tbl_MTG_Set[[#This Row],[Released On]]+tbl_MTG_Set[[#This Row],[Sell Window Month Start]]*365.25/12</f>
        <v>#VALUE!</v>
      </c>
      <c r="V791" t="str">
        <f>_xlfn.XLOOKUP(tbl_MTG_Set[[#This Row],[Type Name]], tbl_MTG_Set_Type[Set Type], tbl_MTG_Set_Type[Sell Window Month End], "(Set Type not found)", 0, 1)</f>
        <v>(Set Type not found)</v>
      </c>
      <c r="W791" s="3" t="e">
        <f>tbl_MTG_Set[[#This Row],[Released On]]+tbl_MTG_Set[[#This Row],[Sell Window Month End]]*365.25/12</f>
        <v>#VALUE!</v>
      </c>
      <c r="X791" s="3" t="e">
        <f ca="1">AND(NOW()&gt;=tbl_MTG_Set[[#This Row],[Sell Window Start]], NOW()&lt;=tbl_MTG_Set[[#This Row],[Sell Window End]])</f>
        <v>#VALUE!</v>
      </c>
      <c r="AG791" s="10"/>
      <c r="AH791" s="10"/>
      <c r="AM791" s="10" t="str" cm="1">
        <f t="array" ref="AM7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1" s="10" t="str" cm="1">
        <f t="array" ref="AN7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1" s="4" t="e">
        <f>_xlfn.XLOOKUP(tbl_MTG_Set[[#This Row],[Play Booster Box Product Id]], tbl_Product[Product Id], tbl_Product[Pack Size])</f>
        <v>#N/A</v>
      </c>
      <c r="AP791" s="10" t="e">
        <f>(tbl_MTG_Set[[#This Row],[Play Booster Box Cost]]+v_Item_Shipping_Cost_In)/tbl_MTG_Set[[#This Row],[Play Booster Box Size]]</f>
        <v>#VALUE!</v>
      </c>
      <c r="AQ791" s="10" t="str" cm="1">
        <f t="array" ref="AQ7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1" s="10"/>
      <c r="AS791" s="10"/>
      <c r="AT791" s="17" t="e">
        <f>tbl_MTG_Set[[#This Row],[Play Booster CardMarket Profit]]/tbl_MTG_Set[[#This Row],[Play Booster Cost]]</f>
        <v>#VALUE!</v>
      </c>
      <c r="AU791" s="10" t="e">
        <f>_xlfn.XLOOKUP(tbl_MTG_Set[[#This Row],[Collector Booster Box Product Id]], tbl_Product[Product Id], tbl_Product[Min Cost])</f>
        <v>#N/A</v>
      </c>
      <c r="AV791" s="10" t="e">
        <f>_xlfn.XLOOKUP(tbl_MTG_Set[[#This Row],[Collector Booster Box Product Id]], tbl_Product[Product Id], tbl_Product[Best Source])</f>
        <v>#N/A</v>
      </c>
      <c r="AW791" s="4" t="e">
        <f>_xlfn.XLOOKUP(tbl_MTG_Set[[#This Row],[Collector Booster Box Product Id]], tbl_Product[Product Id], tbl_Product[Pack Size])</f>
        <v>#N/A</v>
      </c>
      <c r="AX791" s="10" t="e">
        <f>(tbl_MTG_Set[[#This Row],[Collector Booster Box Cost]] + v_Item_Shipping_Cost_In) / tbl_MTG_Set[[#This Row],[Collector Booster Box Size]]</f>
        <v>#N/A</v>
      </c>
      <c r="AY791" s="10" t="str" cm="1">
        <f t="array" ref="AY7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1" s="10"/>
      <c r="BA7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1" s="17" t="e">
        <f>tbl_MTG_Set[[#This Row],[Collector Booster CardMarket Profit]]/tbl_MTG_Set[[#This Row],[Collector Booster Cost]]</f>
        <v>#N/A</v>
      </c>
      <c r="BC791" s="10"/>
      <c r="BF7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1" s="11" t="e">
        <f>tbl_MTG_Set[[#This Row],[Play Singles CardMarket Profit MTG Stocks]]/tbl_MTG_Set[[#This Row],[Play Booster Cost]]</f>
        <v>#VALUE!</v>
      </c>
      <c r="BI791" s="11" t="b">
        <f>tbl_MTG_Set[[#This Row],[Play Singles CardMarket Profit MTG Stocks]]&gt;0</f>
        <v>0</v>
      </c>
      <c r="BM791" s="10" t="e">
        <f>tbl_MTG_Set[[#This Row],[Play Booster Sell Price CardMarket]]*tbl_MTG_Set[[#This Row],[Play Booster Expected Market Value BotBox]]/tbl_MTG_Set[[#This Row],[Play Booster Sealed Market Value BotBox]]</f>
        <v>#VALUE!</v>
      </c>
      <c r="BN7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1" s="10" t="e">
        <f>tbl_MTG_Set[[#This Row],[Play Singles CardMarket Profit BotBox]]/tbl_MTG_Set[[#This Row],[Play Booster Cost]]</f>
        <v>#VALUE!</v>
      </c>
      <c r="BP791" s="10" t="b">
        <f>tbl_MTG_Set[[#This Row],[Play Singles CardMarket Profit BotBox]]&gt;0</f>
        <v>0</v>
      </c>
      <c r="BQ791" s="10"/>
      <c r="BR791" s="10"/>
      <c r="BS791" s="10"/>
      <c r="BT7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1" s="19" t="e">
        <f>tbl_MTG_Set[[#This Row],[Collector Singles CardMarket Profit MTG Stocks]]/tbl_MTG_Set[[#This Row],[Collector Booster Cost]]</f>
        <v>#N/A</v>
      </c>
      <c r="BW791" s="10" t="b">
        <f>tbl_MTG_Set[[#This Row],[Collector Singles CardMarket Profit MTG Stocks]]&gt;0</f>
        <v>0</v>
      </c>
      <c r="BX791" s="10"/>
      <c r="BY791" s="10"/>
      <c r="BZ7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1" s="10" t="e">
        <f>tbl_MTG_Set[[#This Row],[Collector Singles CardMarket Profit BotBox]]/tbl_MTG_Set[[#This Row],[Collector Booster Cost]]</f>
        <v>#N/A</v>
      </c>
      <c r="CC791" s="10" t="b">
        <f>tbl_MTG_Set[[#This Row],[Collector Singles CardMarket Profit BotBox]]&gt;0</f>
        <v>0</v>
      </c>
      <c r="CD7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2" spans="1:86" hidden="1">
      <c r="A792">
        <v>824</v>
      </c>
      <c r="B792" t="s">
        <v>965</v>
      </c>
      <c r="C792">
        <v>301</v>
      </c>
      <c r="D792" s="3">
        <v>39367</v>
      </c>
      <c r="F792" t="s">
        <v>174</v>
      </c>
      <c r="G792">
        <v>1594</v>
      </c>
      <c r="H792">
        <f ca="1">MONTH(NOW())+12*YEAR(NOW())-MONTH(tbl_MTG_Set[[#This Row],[Released On]])-12*YEAR(tbl_MTG_Set[[#This Row],[Released On]])</f>
        <v>221</v>
      </c>
      <c r="I792" t="str">
        <f>_xlfn.XLOOKUP(tbl_MTG_Set[[#This Row],[Type Name]], tbl_MTG_Set_Type[Set Type], tbl_MTG_Set_Type[Index], "(Set Type not found)")</f>
        <v>(Set Type not found)</v>
      </c>
      <c r="J792" t="str">
        <f>_xlfn.XLOOKUP(tbl_MTG_Set[[#This Row],[Type Name]], tbl_MTG_Set_Type[Set Type], tbl_MTG_Set_Type[Buy Window Month Start], "(Set Type not found)")</f>
        <v>(Set Type not found)</v>
      </c>
      <c r="K792" s="3" t="e">
        <f>tbl_MTG_Set[[#This Row],[Released On]]+tbl_MTG_Set[[#This Row],[Buy Window Month Start]]*365.25/12</f>
        <v>#VALUE!</v>
      </c>
      <c r="L792" t="str">
        <f>_xlfn.XLOOKUP(tbl_MTG_Set[[#This Row],[Type Name]], tbl_MTG_Set_Type[Set Type], tbl_MTG_Set_Type[Buy Window Month End], "(Set Type not found)", 0, 1)</f>
        <v>(Set Type not found)</v>
      </c>
      <c r="M792" s="3" t="e">
        <f>tbl_MTG_Set[[#This Row],[Released On]]+tbl_MTG_Set[[#This Row],[Buy Window Month End]]*365.25/12</f>
        <v>#VALUE!</v>
      </c>
      <c r="N792" s="3" t="e">
        <f ca="1">AND(NOW()&gt;=tbl_MTG_Set[[#This Row],[Buy Window Start]], NOW()&lt;=tbl_MTG_Set[[#This Row],[Buy Window End]])</f>
        <v>#VALUE!</v>
      </c>
      <c r="O792" t="str">
        <f>_xlfn.XLOOKUP(tbl_MTG_Set[[#This Row],[Type Name]], tbl_MTG_Set_Type[Set Type], tbl_MTG_Set_Type[Heavy Printing Window Month Start], "(Set Type not found)", 0, 1)</f>
        <v>(Set Type not found)</v>
      </c>
      <c r="P792" s="3" t="e">
        <f>tbl_MTG_Set[[#This Row],[Released On]]+tbl_MTG_Set[[#This Row],[Heavy Printing Window Month Start]]*365.25/12</f>
        <v>#VALUE!</v>
      </c>
      <c r="Q792" t="str">
        <f>_xlfn.XLOOKUP(tbl_MTG_Set[[#This Row],[Type Name]], tbl_MTG_Set_Type[Set Type], tbl_MTG_Set_Type[Heavy Printing Window Month End], "(Set Type not found)", 0, 1)</f>
        <v>(Set Type not found)</v>
      </c>
      <c r="R792" s="3" t="e">
        <f>tbl_MTG_Set[[#This Row],[Released On]]+tbl_MTG_Set[[#This Row],[Heavy Printing Window Month End]]*365.25/12</f>
        <v>#VALUE!</v>
      </c>
      <c r="S792" s="3" t="e">
        <f ca="1">AND(NOW()&gt;=tbl_MTG_Set[[#This Row],[Heavy Printing Window Start]], NOW()&lt;=tbl_MTG_Set[[#This Row],[Heavy Printing Window End]])</f>
        <v>#VALUE!</v>
      </c>
      <c r="T792" t="str">
        <f>_xlfn.XLOOKUP(tbl_MTG_Set[[#This Row],[Type Name]], tbl_MTG_Set_Type[Set Type], tbl_MTG_Set_Type[Sell Window Month Start], "(Set Type not found)", 0, 1)</f>
        <v>(Set Type not found)</v>
      </c>
      <c r="U792" s="3" t="e">
        <f>tbl_MTG_Set[[#This Row],[Released On]]+tbl_MTG_Set[[#This Row],[Sell Window Month Start]]*365.25/12</f>
        <v>#VALUE!</v>
      </c>
      <c r="V792" t="str">
        <f>_xlfn.XLOOKUP(tbl_MTG_Set[[#This Row],[Type Name]], tbl_MTG_Set_Type[Set Type], tbl_MTG_Set_Type[Sell Window Month End], "(Set Type not found)", 0, 1)</f>
        <v>(Set Type not found)</v>
      </c>
      <c r="W792" s="3" t="e">
        <f>tbl_MTG_Set[[#This Row],[Released On]]+tbl_MTG_Set[[#This Row],[Sell Window Month End]]*365.25/12</f>
        <v>#VALUE!</v>
      </c>
      <c r="X792" s="3" t="e">
        <f ca="1">AND(NOW()&gt;=tbl_MTG_Set[[#This Row],[Sell Window Start]], NOW()&lt;=tbl_MTG_Set[[#This Row],[Sell Window End]])</f>
        <v>#VALUE!</v>
      </c>
      <c r="AG792" s="10"/>
      <c r="AH792" s="10"/>
      <c r="AM792" s="10" t="str" cm="1">
        <f t="array" ref="AM7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2" s="10" t="str" cm="1">
        <f t="array" ref="AN7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2" s="4" t="e">
        <f>_xlfn.XLOOKUP(tbl_MTG_Set[[#This Row],[Play Booster Box Product Id]], tbl_Product[Product Id], tbl_Product[Pack Size])</f>
        <v>#N/A</v>
      </c>
      <c r="AP792" s="10" t="e">
        <f>(tbl_MTG_Set[[#This Row],[Play Booster Box Cost]]+v_Item_Shipping_Cost_In)/tbl_MTG_Set[[#This Row],[Play Booster Box Size]]</f>
        <v>#VALUE!</v>
      </c>
      <c r="AQ792" s="10" t="str" cm="1">
        <f t="array" ref="AQ7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2" s="10"/>
      <c r="AS792" s="10"/>
      <c r="AT792" s="17" t="e">
        <f>tbl_MTG_Set[[#This Row],[Play Booster CardMarket Profit]]/tbl_MTG_Set[[#This Row],[Play Booster Cost]]</f>
        <v>#VALUE!</v>
      </c>
      <c r="AU792" s="10" t="e">
        <f>_xlfn.XLOOKUP(tbl_MTG_Set[[#This Row],[Collector Booster Box Product Id]], tbl_Product[Product Id], tbl_Product[Min Cost])</f>
        <v>#N/A</v>
      </c>
      <c r="AV792" s="10" t="e">
        <f>_xlfn.XLOOKUP(tbl_MTG_Set[[#This Row],[Collector Booster Box Product Id]], tbl_Product[Product Id], tbl_Product[Best Source])</f>
        <v>#N/A</v>
      </c>
      <c r="AW792" s="4" t="e">
        <f>_xlfn.XLOOKUP(tbl_MTG_Set[[#This Row],[Collector Booster Box Product Id]], tbl_Product[Product Id], tbl_Product[Pack Size])</f>
        <v>#N/A</v>
      </c>
      <c r="AX792" s="10" t="e">
        <f>(tbl_MTG_Set[[#This Row],[Collector Booster Box Cost]] + v_Item_Shipping_Cost_In) / tbl_MTG_Set[[#This Row],[Collector Booster Box Size]]</f>
        <v>#N/A</v>
      </c>
      <c r="AY792" s="10" t="str" cm="1">
        <f t="array" ref="AY7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2" s="10"/>
      <c r="BA7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2" s="17" t="e">
        <f>tbl_MTG_Set[[#This Row],[Collector Booster CardMarket Profit]]/tbl_MTG_Set[[#This Row],[Collector Booster Cost]]</f>
        <v>#N/A</v>
      </c>
      <c r="BC792" s="10"/>
      <c r="BF7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2" s="11" t="e">
        <f>tbl_MTG_Set[[#This Row],[Play Singles CardMarket Profit MTG Stocks]]/tbl_MTG_Set[[#This Row],[Play Booster Cost]]</f>
        <v>#VALUE!</v>
      </c>
      <c r="BI792" s="11" t="b">
        <f>tbl_MTG_Set[[#This Row],[Play Singles CardMarket Profit MTG Stocks]]&gt;0</f>
        <v>0</v>
      </c>
      <c r="BM792" s="10" t="e">
        <f>tbl_MTG_Set[[#This Row],[Play Booster Sell Price CardMarket]]*tbl_MTG_Set[[#This Row],[Play Booster Expected Market Value BotBox]]/tbl_MTG_Set[[#This Row],[Play Booster Sealed Market Value BotBox]]</f>
        <v>#VALUE!</v>
      </c>
      <c r="BN7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2" s="10" t="e">
        <f>tbl_MTG_Set[[#This Row],[Play Singles CardMarket Profit BotBox]]/tbl_MTG_Set[[#This Row],[Play Booster Cost]]</f>
        <v>#VALUE!</v>
      </c>
      <c r="BP792" s="10" t="b">
        <f>tbl_MTG_Set[[#This Row],[Play Singles CardMarket Profit BotBox]]&gt;0</f>
        <v>0</v>
      </c>
      <c r="BQ792" s="10"/>
      <c r="BR792" s="10"/>
      <c r="BS792" s="10"/>
      <c r="BT7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2" s="19" t="e">
        <f>tbl_MTG_Set[[#This Row],[Collector Singles CardMarket Profit MTG Stocks]]/tbl_MTG_Set[[#This Row],[Collector Booster Cost]]</f>
        <v>#N/A</v>
      </c>
      <c r="BW792" s="10" t="b">
        <f>tbl_MTG_Set[[#This Row],[Collector Singles CardMarket Profit MTG Stocks]]&gt;0</f>
        <v>0</v>
      </c>
      <c r="BX792" s="10"/>
      <c r="BY792" s="10"/>
      <c r="BZ7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2" s="10" t="e">
        <f>tbl_MTG_Set[[#This Row],[Collector Singles CardMarket Profit BotBox]]/tbl_MTG_Set[[#This Row],[Collector Booster Cost]]</f>
        <v>#N/A</v>
      </c>
      <c r="CC792" s="10" t="b">
        <f>tbl_MTG_Set[[#This Row],[Collector Singles CardMarket Profit BotBox]]&gt;0</f>
        <v>0</v>
      </c>
      <c r="CD7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3" spans="1:86" hidden="1">
      <c r="A793">
        <v>825</v>
      </c>
      <c r="B793" t="s">
        <v>966</v>
      </c>
      <c r="C793">
        <v>3</v>
      </c>
      <c r="D793" s="3">
        <v>39367</v>
      </c>
      <c r="F793" t="s">
        <v>174</v>
      </c>
      <c r="G793">
        <v>1596</v>
      </c>
      <c r="H793">
        <f ca="1">MONTH(NOW())+12*YEAR(NOW())-MONTH(tbl_MTG_Set[[#This Row],[Released On]])-12*YEAR(tbl_MTG_Set[[#This Row],[Released On]])</f>
        <v>221</v>
      </c>
      <c r="I793" t="str">
        <f>_xlfn.XLOOKUP(tbl_MTG_Set[[#This Row],[Type Name]], tbl_MTG_Set_Type[Set Type], tbl_MTG_Set_Type[Index], "(Set Type not found)")</f>
        <v>(Set Type not found)</v>
      </c>
      <c r="J793" t="str">
        <f>_xlfn.XLOOKUP(tbl_MTG_Set[[#This Row],[Type Name]], tbl_MTG_Set_Type[Set Type], tbl_MTG_Set_Type[Buy Window Month Start], "(Set Type not found)")</f>
        <v>(Set Type not found)</v>
      </c>
      <c r="K793" s="3" t="e">
        <f>tbl_MTG_Set[[#This Row],[Released On]]+tbl_MTG_Set[[#This Row],[Buy Window Month Start]]*365.25/12</f>
        <v>#VALUE!</v>
      </c>
      <c r="L793" t="str">
        <f>_xlfn.XLOOKUP(tbl_MTG_Set[[#This Row],[Type Name]], tbl_MTG_Set_Type[Set Type], tbl_MTG_Set_Type[Buy Window Month End], "(Set Type not found)", 0, 1)</f>
        <v>(Set Type not found)</v>
      </c>
      <c r="M793" s="3" t="e">
        <f>tbl_MTG_Set[[#This Row],[Released On]]+tbl_MTG_Set[[#This Row],[Buy Window Month End]]*365.25/12</f>
        <v>#VALUE!</v>
      </c>
      <c r="N793" s="3" t="e">
        <f ca="1">AND(NOW()&gt;=tbl_MTG_Set[[#This Row],[Buy Window Start]], NOW()&lt;=tbl_MTG_Set[[#This Row],[Buy Window End]])</f>
        <v>#VALUE!</v>
      </c>
      <c r="O793" t="str">
        <f>_xlfn.XLOOKUP(tbl_MTG_Set[[#This Row],[Type Name]], tbl_MTG_Set_Type[Set Type], tbl_MTG_Set_Type[Heavy Printing Window Month Start], "(Set Type not found)", 0, 1)</f>
        <v>(Set Type not found)</v>
      </c>
      <c r="P793" s="3" t="e">
        <f>tbl_MTG_Set[[#This Row],[Released On]]+tbl_MTG_Set[[#This Row],[Heavy Printing Window Month Start]]*365.25/12</f>
        <v>#VALUE!</v>
      </c>
      <c r="Q793" t="str">
        <f>_xlfn.XLOOKUP(tbl_MTG_Set[[#This Row],[Type Name]], tbl_MTG_Set_Type[Set Type], tbl_MTG_Set_Type[Heavy Printing Window Month End], "(Set Type not found)", 0, 1)</f>
        <v>(Set Type not found)</v>
      </c>
      <c r="R793" s="3" t="e">
        <f>tbl_MTG_Set[[#This Row],[Released On]]+tbl_MTG_Set[[#This Row],[Heavy Printing Window Month End]]*365.25/12</f>
        <v>#VALUE!</v>
      </c>
      <c r="S793" s="3" t="e">
        <f ca="1">AND(NOW()&gt;=tbl_MTG_Set[[#This Row],[Heavy Printing Window Start]], NOW()&lt;=tbl_MTG_Set[[#This Row],[Heavy Printing Window End]])</f>
        <v>#VALUE!</v>
      </c>
      <c r="T793" t="str">
        <f>_xlfn.XLOOKUP(tbl_MTG_Set[[#This Row],[Type Name]], tbl_MTG_Set_Type[Set Type], tbl_MTG_Set_Type[Sell Window Month Start], "(Set Type not found)", 0, 1)</f>
        <v>(Set Type not found)</v>
      </c>
      <c r="U793" s="3" t="e">
        <f>tbl_MTG_Set[[#This Row],[Released On]]+tbl_MTG_Set[[#This Row],[Sell Window Month Start]]*365.25/12</f>
        <v>#VALUE!</v>
      </c>
      <c r="V793" t="str">
        <f>_xlfn.XLOOKUP(tbl_MTG_Set[[#This Row],[Type Name]], tbl_MTG_Set_Type[Set Type], tbl_MTG_Set_Type[Sell Window Month End], "(Set Type not found)", 0, 1)</f>
        <v>(Set Type not found)</v>
      </c>
      <c r="W793" s="3" t="e">
        <f>tbl_MTG_Set[[#This Row],[Released On]]+tbl_MTG_Set[[#This Row],[Sell Window Month End]]*365.25/12</f>
        <v>#VALUE!</v>
      </c>
      <c r="X793" s="3" t="e">
        <f ca="1">AND(NOW()&gt;=tbl_MTG_Set[[#This Row],[Sell Window Start]], NOW()&lt;=tbl_MTG_Set[[#This Row],[Sell Window End]])</f>
        <v>#VALUE!</v>
      </c>
      <c r="AG793" s="10"/>
      <c r="AH793" s="10"/>
      <c r="AM793" s="10" t="str" cm="1">
        <f t="array" ref="AM7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3" s="10" t="str" cm="1">
        <f t="array" ref="AN7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3" s="4" t="e">
        <f>_xlfn.XLOOKUP(tbl_MTG_Set[[#This Row],[Play Booster Box Product Id]], tbl_Product[Product Id], tbl_Product[Pack Size])</f>
        <v>#N/A</v>
      </c>
      <c r="AP793" s="10" t="e">
        <f>(tbl_MTG_Set[[#This Row],[Play Booster Box Cost]]+v_Item_Shipping_Cost_In)/tbl_MTG_Set[[#This Row],[Play Booster Box Size]]</f>
        <v>#VALUE!</v>
      </c>
      <c r="AQ793" s="10" t="str" cm="1">
        <f t="array" ref="AQ7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3" s="10"/>
      <c r="AS793" s="10"/>
      <c r="AT793" s="17" t="e">
        <f>tbl_MTG_Set[[#This Row],[Play Booster CardMarket Profit]]/tbl_MTG_Set[[#This Row],[Play Booster Cost]]</f>
        <v>#VALUE!</v>
      </c>
      <c r="AU793" s="10" t="e">
        <f>_xlfn.XLOOKUP(tbl_MTG_Set[[#This Row],[Collector Booster Box Product Id]], tbl_Product[Product Id], tbl_Product[Min Cost])</f>
        <v>#N/A</v>
      </c>
      <c r="AV793" s="10" t="e">
        <f>_xlfn.XLOOKUP(tbl_MTG_Set[[#This Row],[Collector Booster Box Product Id]], tbl_Product[Product Id], tbl_Product[Best Source])</f>
        <v>#N/A</v>
      </c>
      <c r="AW793" s="4" t="e">
        <f>_xlfn.XLOOKUP(tbl_MTG_Set[[#This Row],[Collector Booster Box Product Id]], tbl_Product[Product Id], tbl_Product[Pack Size])</f>
        <v>#N/A</v>
      </c>
      <c r="AX793" s="10" t="e">
        <f>(tbl_MTG_Set[[#This Row],[Collector Booster Box Cost]] + v_Item_Shipping_Cost_In) / tbl_MTG_Set[[#This Row],[Collector Booster Box Size]]</f>
        <v>#N/A</v>
      </c>
      <c r="AY793" s="10" t="str" cm="1">
        <f t="array" ref="AY7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3" s="10"/>
      <c r="BA7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3" s="17" t="e">
        <f>tbl_MTG_Set[[#This Row],[Collector Booster CardMarket Profit]]/tbl_MTG_Set[[#This Row],[Collector Booster Cost]]</f>
        <v>#N/A</v>
      </c>
      <c r="BC793" s="10"/>
      <c r="BF7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3" s="11" t="e">
        <f>tbl_MTG_Set[[#This Row],[Play Singles CardMarket Profit MTG Stocks]]/tbl_MTG_Set[[#This Row],[Play Booster Cost]]</f>
        <v>#VALUE!</v>
      </c>
      <c r="BI793" s="11" t="b">
        <f>tbl_MTG_Set[[#This Row],[Play Singles CardMarket Profit MTG Stocks]]&gt;0</f>
        <v>0</v>
      </c>
      <c r="BM793" s="10" t="e">
        <f>tbl_MTG_Set[[#This Row],[Play Booster Sell Price CardMarket]]*tbl_MTG_Set[[#This Row],[Play Booster Expected Market Value BotBox]]/tbl_MTG_Set[[#This Row],[Play Booster Sealed Market Value BotBox]]</f>
        <v>#VALUE!</v>
      </c>
      <c r="BN7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3" s="10" t="e">
        <f>tbl_MTG_Set[[#This Row],[Play Singles CardMarket Profit BotBox]]/tbl_MTG_Set[[#This Row],[Play Booster Cost]]</f>
        <v>#VALUE!</v>
      </c>
      <c r="BP793" s="10" t="b">
        <f>tbl_MTG_Set[[#This Row],[Play Singles CardMarket Profit BotBox]]&gt;0</f>
        <v>0</v>
      </c>
      <c r="BQ793" s="10"/>
      <c r="BR793" s="10"/>
      <c r="BS793" s="10"/>
      <c r="BT7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3" s="19" t="e">
        <f>tbl_MTG_Set[[#This Row],[Collector Singles CardMarket Profit MTG Stocks]]/tbl_MTG_Set[[#This Row],[Collector Booster Cost]]</f>
        <v>#N/A</v>
      </c>
      <c r="BW793" s="10" t="b">
        <f>tbl_MTG_Set[[#This Row],[Collector Singles CardMarket Profit MTG Stocks]]&gt;0</f>
        <v>0</v>
      </c>
      <c r="BX793" s="10"/>
      <c r="BY793" s="10"/>
      <c r="BZ7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3" s="10" t="e">
        <f>tbl_MTG_Set[[#This Row],[Collector Singles CardMarket Profit BotBox]]/tbl_MTG_Set[[#This Row],[Collector Booster Cost]]</f>
        <v>#N/A</v>
      </c>
      <c r="CC793" s="10" t="b">
        <f>tbl_MTG_Set[[#This Row],[Collector Singles CardMarket Profit BotBox]]&gt;0</f>
        <v>0</v>
      </c>
      <c r="CD7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4" spans="1:86" hidden="1">
      <c r="A794">
        <v>826</v>
      </c>
      <c r="B794" t="s">
        <v>967</v>
      </c>
      <c r="C794">
        <v>11</v>
      </c>
      <c r="D794" s="3">
        <v>39367</v>
      </c>
      <c r="F794" t="s">
        <v>174</v>
      </c>
      <c r="G794">
        <v>1598</v>
      </c>
      <c r="H794">
        <f ca="1">MONTH(NOW())+12*YEAR(NOW())-MONTH(tbl_MTG_Set[[#This Row],[Released On]])-12*YEAR(tbl_MTG_Set[[#This Row],[Released On]])</f>
        <v>221</v>
      </c>
      <c r="I794" t="str">
        <f>_xlfn.XLOOKUP(tbl_MTG_Set[[#This Row],[Type Name]], tbl_MTG_Set_Type[Set Type], tbl_MTG_Set_Type[Index], "(Set Type not found)")</f>
        <v>(Set Type not found)</v>
      </c>
      <c r="J794" t="str">
        <f>_xlfn.XLOOKUP(tbl_MTG_Set[[#This Row],[Type Name]], tbl_MTG_Set_Type[Set Type], tbl_MTG_Set_Type[Buy Window Month Start], "(Set Type not found)")</f>
        <v>(Set Type not found)</v>
      </c>
      <c r="K794" s="3" t="e">
        <f>tbl_MTG_Set[[#This Row],[Released On]]+tbl_MTG_Set[[#This Row],[Buy Window Month Start]]*365.25/12</f>
        <v>#VALUE!</v>
      </c>
      <c r="L794" t="str">
        <f>_xlfn.XLOOKUP(tbl_MTG_Set[[#This Row],[Type Name]], tbl_MTG_Set_Type[Set Type], tbl_MTG_Set_Type[Buy Window Month End], "(Set Type not found)", 0, 1)</f>
        <v>(Set Type not found)</v>
      </c>
      <c r="M794" s="3" t="e">
        <f>tbl_MTG_Set[[#This Row],[Released On]]+tbl_MTG_Set[[#This Row],[Buy Window Month End]]*365.25/12</f>
        <v>#VALUE!</v>
      </c>
      <c r="N794" s="3" t="e">
        <f ca="1">AND(NOW()&gt;=tbl_MTG_Set[[#This Row],[Buy Window Start]], NOW()&lt;=tbl_MTG_Set[[#This Row],[Buy Window End]])</f>
        <v>#VALUE!</v>
      </c>
      <c r="O794" t="str">
        <f>_xlfn.XLOOKUP(tbl_MTG_Set[[#This Row],[Type Name]], tbl_MTG_Set_Type[Set Type], tbl_MTG_Set_Type[Heavy Printing Window Month Start], "(Set Type not found)", 0, 1)</f>
        <v>(Set Type not found)</v>
      </c>
      <c r="P794" s="3" t="e">
        <f>tbl_MTG_Set[[#This Row],[Released On]]+tbl_MTG_Set[[#This Row],[Heavy Printing Window Month Start]]*365.25/12</f>
        <v>#VALUE!</v>
      </c>
      <c r="Q794" t="str">
        <f>_xlfn.XLOOKUP(tbl_MTG_Set[[#This Row],[Type Name]], tbl_MTG_Set_Type[Set Type], tbl_MTG_Set_Type[Heavy Printing Window Month End], "(Set Type not found)", 0, 1)</f>
        <v>(Set Type not found)</v>
      </c>
      <c r="R794" s="3" t="e">
        <f>tbl_MTG_Set[[#This Row],[Released On]]+tbl_MTG_Set[[#This Row],[Heavy Printing Window Month End]]*365.25/12</f>
        <v>#VALUE!</v>
      </c>
      <c r="S794" s="3" t="e">
        <f ca="1">AND(NOW()&gt;=tbl_MTG_Set[[#This Row],[Heavy Printing Window Start]], NOW()&lt;=tbl_MTG_Set[[#This Row],[Heavy Printing Window End]])</f>
        <v>#VALUE!</v>
      </c>
      <c r="T794" t="str">
        <f>_xlfn.XLOOKUP(tbl_MTG_Set[[#This Row],[Type Name]], tbl_MTG_Set_Type[Set Type], tbl_MTG_Set_Type[Sell Window Month Start], "(Set Type not found)", 0, 1)</f>
        <v>(Set Type not found)</v>
      </c>
      <c r="U794" s="3" t="e">
        <f>tbl_MTG_Set[[#This Row],[Released On]]+tbl_MTG_Set[[#This Row],[Sell Window Month Start]]*365.25/12</f>
        <v>#VALUE!</v>
      </c>
      <c r="V794" t="str">
        <f>_xlfn.XLOOKUP(tbl_MTG_Set[[#This Row],[Type Name]], tbl_MTG_Set_Type[Set Type], tbl_MTG_Set_Type[Sell Window Month End], "(Set Type not found)", 0, 1)</f>
        <v>(Set Type not found)</v>
      </c>
      <c r="W794" s="3" t="e">
        <f>tbl_MTG_Set[[#This Row],[Released On]]+tbl_MTG_Set[[#This Row],[Sell Window Month End]]*365.25/12</f>
        <v>#VALUE!</v>
      </c>
      <c r="X794" s="3" t="e">
        <f ca="1">AND(NOW()&gt;=tbl_MTG_Set[[#This Row],[Sell Window Start]], NOW()&lt;=tbl_MTG_Set[[#This Row],[Sell Window End]])</f>
        <v>#VALUE!</v>
      </c>
      <c r="AG794" s="10"/>
      <c r="AH794" s="10"/>
      <c r="AM794" s="10" t="str" cm="1">
        <f t="array" ref="AM7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4" s="10" t="str" cm="1">
        <f t="array" ref="AN7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4" s="4" t="e">
        <f>_xlfn.XLOOKUP(tbl_MTG_Set[[#This Row],[Play Booster Box Product Id]], tbl_Product[Product Id], tbl_Product[Pack Size])</f>
        <v>#N/A</v>
      </c>
      <c r="AP794" s="10" t="e">
        <f>(tbl_MTG_Set[[#This Row],[Play Booster Box Cost]]+v_Item_Shipping_Cost_In)/tbl_MTG_Set[[#This Row],[Play Booster Box Size]]</f>
        <v>#VALUE!</v>
      </c>
      <c r="AQ794" s="10" t="str" cm="1">
        <f t="array" ref="AQ7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4" s="10"/>
      <c r="AS794" s="10"/>
      <c r="AT794" s="17" t="e">
        <f>tbl_MTG_Set[[#This Row],[Play Booster CardMarket Profit]]/tbl_MTG_Set[[#This Row],[Play Booster Cost]]</f>
        <v>#VALUE!</v>
      </c>
      <c r="AU794" s="10" t="e">
        <f>_xlfn.XLOOKUP(tbl_MTG_Set[[#This Row],[Collector Booster Box Product Id]], tbl_Product[Product Id], tbl_Product[Min Cost])</f>
        <v>#N/A</v>
      </c>
      <c r="AV794" s="10" t="e">
        <f>_xlfn.XLOOKUP(tbl_MTG_Set[[#This Row],[Collector Booster Box Product Id]], tbl_Product[Product Id], tbl_Product[Best Source])</f>
        <v>#N/A</v>
      </c>
      <c r="AW794" s="4" t="e">
        <f>_xlfn.XLOOKUP(tbl_MTG_Set[[#This Row],[Collector Booster Box Product Id]], tbl_Product[Product Id], tbl_Product[Pack Size])</f>
        <v>#N/A</v>
      </c>
      <c r="AX794" s="10" t="e">
        <f>(tbl_MTG_Set[[#This Row],[Collector Booster Box Cost]] + v_Item_Shipping_Cost_In) / tbl_MTG_Set[[#This Row],[Collector Booster Box Size]]</f>
        <v>#N/A</v>
      </c>
      <c r="AY794" s="10" t="str" cm="1">
        <f t="array" ref="AY7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4" s="10"/>
      <c r="BA7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4" s="17" t="e">
        <f>tbl_MTG_Set[[#This Row],[Collector Booster CardMarket Profit]]/tbl_MTG_Set[[#This Row],[Collector Booster Cost]]</f>
        <v>#N/A</v>
      </c>
      <c r="BC794" s="10"/>
      <c r="BF7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4" s="11" t="e">
        <f>tbl_MTG_Set[[#This Row],[Play Singles CardMarket Profit MTG Stocks]]/tbl_MTG_Set[[#This Row],[Play Booster Cost]]</f>
        <v>#VALUE!</v>
      </c>
      <c r="BI794" s="11" t="b">
        <f>tbl_MTG_Set[[#This Row],[Play Singles CardMarket Profit MTG Stocks]]&gt;0</f>
        <v>0</v>
      </c>
      <c r="BM794" s="10" t="e">
        <f>tbl_MTG_Set[[#This Row],[Play Booster Sell Price CardMarket]]*tbl_MTG_Set[[#This Row],[Play Booster Expected Market Value BotBox]]/tbl_MTG_Set[[#This Row],[Play Booster Sealed Market Value BotBox]]</f>
        <v>#VALUE!</v>
      </c>
      <c r="BN7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4" s="10" t="e">
        <f>tbl_MTG_Set[[#This Row],[Play Singles CardMarket Profit BotBox]]/tbl_MTG_Set[[#This Row],[Play Booster Cost]]</f>
        <v>#VALUE!</v>
      </c>
      <c r="BP794" s="10" t="b">
        <f>tbl_MTG_Set[[#This Row],[Play Singles CardMarket Profit BotBox]]&gt;0</f>
        <v>0</v>
      </c>
      <c r="BQ794" s="10"/>
      <c r="BR794" s="10"/>
      <c r="BS794" s="10"/>
      <c r="BT7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4" s="19" t="e">
        <f>tbl_MTG_Set[[#This Row],[Collector Singles CardMarket Profit MTG Stocks]]/tbl_MTG_Set[[#This Row],[Collector Booster Cost]]</f>
        <v>#N/A</v>
      </c>
      <c r="BW794" s="10" t="b">
        <f>tbl_MTG_Set[[#This Row],[Collector Singles CardMarket Profit MTG Stocks]]&gt;0</f>
        <v>0</v>
      </c>
      <c r="BX794" s="10"/>
      <c r="BY794" s="10"/>
      <c r="BZ7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4" s="10" t="e">
        <f>tbl_MTG_Set[[#This Row],[Collector Singles CardMarket Profit BotBox]]/tbl_MTG_Set[[#This Row],[Collector Booster Cost]]</f>
        <v>#N/A</v>
      </c>
      <c r="CC794" s="10" t="b">
        <f>tbl_MTG_Set[[#This Row],[Collector Singles CardMarket Profit BotBox]]&gt;0</f>
        <v>0</v>
      </c>
      <c r="CD7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5" spans="1:86" hidden="1">
      <c r="A795">
        <v>827</v>
      </c>
      <c r="B795" t="s">
        <v>968</v>
      </c>
      <c r="C795">
        <v>195</v>
      </c>
      <c r="D795" s="3">
        <v>39335</v>
      </c>
      <c r="F795" t="s">
        <v>174</v>
      </c>
      <c r="G795">
        <v>1600</v>
      </c>
      <c r="H795">
        <f ca="1">MONTH(NOW())+12*YEAR(NOW())-MONTH(tbl_MTG_Set[[#This Row],[Released On]])-12*YEAR(tbl_MTG_Set[[#This Row],[Released On]])</f>
        <v>222</v>
      </c>
      <c r="I795" t="str">
        <f>_xlfn.XLOOKUP(tbl_MTG_Set[[#This Row],[Type Name]], tbl_MTG_Set_Type[Set Type], tbl_MTG_Set_Type[Index], "(Set Type not found)")</f>
        <v>(Set Type not found)</v>
      </c>
      <c r="J795" t="str">
        <f>_xlfn.XLOOKUP(tbl_MTG_Set[[#This Row],[Type Name]], tbl_MTG_Set_Type[Set Type], tbl_MTG_Set_Type[Buy Window Month Start], "(Set Type not found)")</f>
        <v>(Set Type not found)</v>
      </c>
      <c r="K795" s="3" t="e">
        <f>tbl_MTG_Set[[#This Row],[Released On]]+tbl_MTG_Set[[#This Row],[Buy Window Month Start]]*365.25/12</f>
        <v>#VALUE!</v>
      </c>
      <c r="L795" t="str">
        <f>_xlfn.XLOOKUP(tbl_MTG_Set[[#This Row],[Type Name]], tbl_MTG_Set_Type[Set Type], tbl_MTG_Set_Type[Buy Window Month End], "(Set Type not found)", 0, 1)</f>
        <v>(Set Type not found)</v>
      </c>
      <c r="M795" s="3" t="e">
        <f>tbl_MTG_Set[[#This Row],[Released On]]+tbl_MTG_Set[[#This Row],[Buy Window Month End]]*365.25/12</f>
        <v>#VALUE!</v>
      </c>
      <c r="N795" s="3" t="e">
        <f ca="1">AND(NOW()&gt;=tbl_MTG_Set[[#This Row],[Buy Window Start]], NOW()&lt;=tbl_MTG_Set[[#This Row],[Buy Window End]])</f>
        <v>#VALUE!</v>
      </c>
      <c r="O795" t="str">
        <f>_xlfn.XLOOKUP(tbl_MTG_Set[[#This Row],[Type Name]], tbl_MTG_Set_Type[Set Type], tbl_MTG_Set_Type[Heavy Printing Window Month Start], "(Set Type not found)", 0, 1)</f>
        <v>(Set Type not found)</v>
      </c>
      <c r="P795" s="3" t="e">
        <f>tbl_MTG_Set[[#This Row],[Released On]]+tbl_MTG_Set[[#This Row],[Heavy Printing Window Month Start]]*365.25/12</f>
        <v>#VALUE!</v>
      </c>
      <c r="Q795" t="str">
        <f>_xlfn.XLOOKUP(tbl_MTG_Set[[#This Row],[Type Name]], tbl_MTG_Set_Type[Set Type], tbl_MTG_Set_Type[Heavy Printing Window Month End], "(Set Type not found)", 0, 1)</f>
        <v>(Set Type not found)</v>
      </c>
      <c r="R795" s="3" t="e">
        <f>tbl_MTG_Set[[#This Row],[Released On]]+tbl_MTG_Set[[#This Row],[Heavy Printing Window Month End]]*365.25/12</f>
        <v>#VALUE!</v>
      </c>
      <c r="S795" s="3" t="e">
        <f ca="1">AND(NOW()&gt;=tbl_MTG_Set[[#This Row],[Heavy Printing Window Start]], NOW()&lt;=tbl_MTG_Set[[#This Row],[Heavy Printing Window End]])</f>
        <v>#VALUE!</v>
      </c>
      <c r="T795" t="str">
        <f>_xlfn.XLOOKUP(tbl_MTG_Set[[#This Row],[Type Name]], tbl_MTG_Set_Type[Set Type], tbl_MTG_Set_Type[Sell Window Month Start], "(Set Type not found)", 0, 1)</f>
        <v>(Set Type not found)</v>
      </c>
      <c r="U795" s="3" t="e">
        <f>tbl_MTG_Set[[#This Row],[Released On]]+tbl_MTG_Set[[#This Row],[Sell Window Month Start]]*365.25/12</f>
        <v>#VALUE!</v>
      </c>
      <c r="V795" t="str">
        <f>_xlfn.XLOOKUP(tbl_MTG_Set[[#This Row],[Type Name]], tbl_MTG_Set_Type[Set Type], tbl_MTG_Set_Type[Sell Window Month End], "(Set Type not found)", 0, 1)</f>
        <v>(Set Type not found)</v>
      </c>
      <c r="W795" s="3" t="e">
        <f>tbl_MTG_Set[[#This Row],[Released On]]+tbl_MTG_Set[[#This Row],[Sell Window Month End]]*365.25/12</f>
        <v>#VALUE!</v>
      </c>
      <c r="X795" s="3" t="e">
        <f ca="1">AND(NOW()&gt;=tbl_MTG_Set[[#This Row],[Sell Window Start]], NOW()&lt;=tbl_MTG_Set[[#This Row],[Sell Window End]])</f>
        <v>#VALUE!</v>
      </c>
      <c r="AG795" s="10"/>
      <c r="AH795" s="10"/>
      <c r="AM795" s="10" t="str" cm="1">
        <f t="array" ref="AM7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5" s="10" t="str" cm="1">
        <f t="array" ref="AN7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5" s="4" t="e">
        <f>_xlfn.XLOOKUP(tbl_MTG_Set[[#This Row],[Play Booster Box Product Id]], tbl_Product[Product Id], tbl_Product[Pack Size])</f>
        <v>#N/A</v>
      </c>
      <c r="AP795" s="10" t="e">
        <f>(tbl_MTG_Set[[#This Row],[Play Booster Box Cost]]+v_Item_Shipping_Cost_In)/tbl_MTG_Set[[#This Row],[Play Booster Box Size]]</f>
        <v>#VALUE!</v>
      </c>
      <c r="AQ795" s="10" t="str" cm="1">
        <f t="array" ref="AQ7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5" s="10"/>
      <c r="AS795" s="10"/>
      <c r="AT795" s="17" t="e">
        <f>tbl_MTG_Set[[#This Row],[Play Booster CardMarket Profit]]/tbl_MTG_Set[[#This Row],[Play Booster Cost]]</f>
        <v>#VALUE!</v>
      </c>
      <c r="AU795" s="10" t="e">
        <f>_xlfn.XLOOKUP(tbl_MTG_Set[[#This Row],[Collector Booster Box Product Id]], tbl_Product[Product Id], tbl_Product[Min Cost])</f>
        <v>#N/A</v>
      </c>
      <c r="AV795" s="10" t="e">
        <f>_xlfn.XLOOKUP(tbl_MTG_Set[[#This Row],[Collector Booster Box Product Id]], tbl_Product[Product Id], tbl_Product[Best Source])</f>
        <v>#N/A</v>
      </c>
      <c r="AW795" s="4" t="e">
        <f>_xlfn.XLOOKUP(tbl_MTG_Set[[#This Row],[Collector Booster Box Product Id]], tbl_Product[Product Id], tbl_Product[Pack Size])</f>
        <v>#N/A</v>
      </c>
      <c r="AX795" s="10" t="e">
        <f>(tbl_MTG_Set[[#This Row],[Collector Booster Box Cost]] + v_Item_Shipping_Cost_In) / tbl_MTG_Set[[#This Row],[Collector Booster Box Size]]</f>
        <v>#N/A</v>
      </c>
      <c r="AY795" s="10" t="str" cm="1">
        <f t="array" ref="AY7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5" s="10"/>
      <c r="BA7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5" s="17" t="e">
        <f>tbl_MTG_Set[[#This Row],[Collector Booster CardMarket Profit]]/tbl_MTG_Set[[#This Row],[Collector Booster Cost]]</f>
        <v>#N/A</v>
      </c>
      <c r="BC795" s="10"/>
      <c r="BF7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5" s="11" t="e">
        <f>tbl_MTG_Set[[#This Row],[Play Singles CardMarket Profit MTG Stocks]]/tbl_MTG_Set[[#This Row],[Play Booster Cost]]</f>
        <v>#VALUE!</v>
      </c>
      <c r="BI795" s="11" t="b">
        <f>tbl_MTG_Set[[#This Row],[Play Singles CardMarket Profit MTG Stocks]]&gt;0</f>
        <v>0</v>
      </c>
      <c r="BM795" s="10" t="e">
        <f>tbl_MTG_Set[[#This Row],[Play Booster Sell Price CardMarket]]*tbl_MTG_Set[[#This Row],[Play Booster Expected Market Value BotBox]]/tbl_MTG_Set[[#This Row],[Play Booster Sealed Market Value BotBox]]</f>
        <v>#VALUE!</v>
      </c>
      <c r="BN7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5" s="10" t="e">
        <f>tbl_MTG_Set[[#This Row],[Play Singles CardMarket Profit BotBox]]/tbl_MTG_Set[[#This Row],[Play Booster Cost]]</f>
        <v>#VALUE!</v>
      </c>
      <c r="BP795" s="10" t="b">
        <f>tbl_MTG_Set[[#This Row],[Play Singles CardMarket Profit BotBox]]&gt;0</f>
        <v>0</v>
      </c>
      <c r="BQ795" s="10"/>
      <c r="BR795" s="10"/>
      <c r="BS795" s="10"/>
      <c r="BT7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5" s="19" t="e">
        <f>tbl_MTG_Set[[#This Row],[Collector Singles CardMarket Profit MTG Stocks]]/tbl_MTG_Set[[#This Row],[Collector Booster Cost]]</f>
        <v>#N/A</v>
      </c>
      <c r="BW795" s="10" t="b">
        <f>tbl_MTG_Set[[#This Row],[Collector Singles CardMarket Profit MTG Stocks]]&gt;0</f>
        <v>0</v>
      </c>
      <c r="BX795" s="10"/>
      <c r="BY795" s="10"/>
      <c r="BZ7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5" s="10" t="e">
        <f>tbl_MTG_Set[[#This Row],[Collector Singles CardMarket Profit BotBox]]/tbl_MTG_Set[[#This Row],[Collector Booster Cost]]</f>
        <v>#N/A</v>
      </c>
      <c r="CC795" s="10" t="b">
        <f>tbl_MTG_Set[[#This Row],[Collector Singles CardMarket Profit BotBox]]&gt;0</f>
        <v>0</v>
      </c>
      <c r="CD7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6" spans="1:86" hidden="1">
      <c r="A796">
        <v>828</v>
      </c>
      <c r="B796" t="s">
        <v>969</v>
      </c>
      <c r="C796">
        <v>510</v>
      </c>
      <c r="D796" s="3">
        <v>39276</v>
      </c>
      <c r="F796" t="s">
        <v>174</v>
      </c>
      <c r="G796">
        <v>1602</v>
      </c>
      <c r="H796">
        <f ca="1">MONTH(NOW())+12*YEAR(NOW())-MONTH(tbl_MTG_Set[[#This Row],[Released On]])-12*YEAR(tbl_MTG_Set[[#This Row],[Released On]])</f>
        <v>224</v>
      </c>
      <c r="I796" t="str">
        <f>_xlfn.XLOOKUP(tbl_MTG_Set[[#This Row],[Type Name]], tbl_MTG_Set_Type[Set Type], tbl_MTG_Set_Type[Index], "(Set Type not found)")</f>
        <v>(Set Type not found)</v>
      </c>
      <c r="J796" t="str">
        <f>_xlfn.XLOOKUP(tbl_MTG_Set[[#This Row],[Type Name]], tbl_MTG_Set_Type[Set Type], tbl_MTG_Set_Type[Buy Window Month Start], "(Set Type not found)")</f>
        <v>(Set Type not found)</v>
      </c>
      <c r="K796" s="3" t="e">
        <f>tbl_MTG_Set[[#This Row],[Released On]]+tbl_MTG_Set[[#This Row],[Buy Window Month Start]]*365.25/12</f>
        <v>#VALUE!</v>
      </c>
      <c r="L796" t="str">
        <f>_xlfn.XLOOKUP(tbl_MTG_Set[[#This Row],[Type Name]], tbl_MTG_Set_Type[Set Type], tbl_MTG_Set_Type[Buy Window Month End], "(Set Type not found)", 0, 1)</f>
        <v>(Set Type not found)</v>
      </c>
      <c r="M796" s="3" t="e">
        <f>tbl_MTG_Set[[#This Row],[Released On]]+tbl_MTG_Set[[#This Row],[Buy Window Month End]]*365.25/12</f>
        <v>#VALUE!</v>
      </c>
      <c r="N796" s="3" t="e">
        <f ca="1">AND(NOW()&gt;=tbl_MTG_Set[[#This Row],[Buy Window Start]], NOW()&lt;=tbl_MTG_Set[[#This Row],[Buy Window End]])</f>
        <v>#VALUE!</v>
      </c>
      <c r="O796" t="str">
        <f>_xlfn.XLOOKUP(tbl_MTG_Set[[#This Row],[Type Name]], tbl_MTG_Set_Type[Set Type], tbl_MTG_Set_Type[Heavy Printing Window Month Start], "(Set Type not found)", 0, 1)</f>
        <v>(Set Type not found)</v>
      </c>
      <c r="P796" s="3" t="e">
        <f>tbl_MTG_Set[[#This Row],[Released On]]+tbl_MTG_Set[[#This Row],[Heavy Printing Window Month Start]]*365.25/12</f>
        <v>#VALUE!</v>
      </c>
      <c r="Q796" t="str">
        <f>_xlfn.XLOOKUP(tbl_MTG_Set[[#This Row],[Type Name]], tbl_MTG_Set_Type[Set Type], tbl_MTG_Set_Type[Heavy Printing Window Month End], "(Set Type not found)", 0, 1)</f>
        <v>(Set Type not found)</v>
      </c>
      <c r="R796" s="3" t="e">
        <f>tbl_MTG_Set[[#This Row],[Released On]]+tbl_MTG_Set[[#This Row],[Heavy Printing Window Month End]]*365.25/12</f>
        <v>#VALUE!</v>
      </c>
      <c r="S796" s="3" t="e">
        <f ca="1">AND(NOW()&gt;=tbl_MTG_Set[[#This Row],[Heavy Printing Window Start]], NOW()&lt;=tbl_MTG_Set[[#This Row],[Heavy Printing Window End]])</f>
        <v>#VALUE!</v>
      </c>
      <c r="T796" t="str">
        <f>_xlfn.XLOOKUP(tbl_MTG_Set[[#This Row],[Type Name]], tbl_MTG_Set_Type[Set Type], tbl_MTG_Set_Type[Sell Window Month Start], "(Set Type not found)", 0, 1)</f>
        <v>(Set Type not found)</v>
      </c>
      <c r="U796" s="3" t="e">
        <f>tbl_MTG_Set[[#This Row],[Released On]]+tbl_MTG_Set[[#This Row],[Sell Window Month Start]]*365.25/12</f>
        <v>#VALUE!</v>
      </c>
      <c r="V796" t="str">
        <f>_xlfn.XLOOKUP(tbl_MTG_Set[[#This Row],[Type Name]], tbl_MTG_Set_Type[Set Type], tbl_MTG_Set_Type[Sell Window Month End], "(Set Type not found)", 0, 1)</f>
        <v>(Set Type not found)</v>
      </c>
      <c r="W796" s="3" t="e">
        <f>tbl_MTG_Set[[#This Row],[Released On]]+tbl_MTG_Set[[#This Row],[Sell Window Month End]]*365.25/12</f>
        <v>#VALUE!</v>
      </c>
      <c r="X796" s="3" t="e">
        <f ca="1">AND(NOW()&gt;=tbl_MTG_Set[[#This Row],[Sell Window Start]], NOW()&lt;=tbl_MTG_Set[[#This Row],[Sell Window End]])</f>
        <v>#VALUE!</v>
      </c>
      <c r="AG796" s="10"/>
      <c r="AH796" s="10"/>
      <c r="AM796" s="10" t="str" cm="1">
        <f t="array" ref="AM7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6" s="10" t="str" cm="1">
        <f t="array" ref="AN7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6" s="4" t="e">
        <f>_xlfn.XLOOKUP(tbl_MTG_Set[[#This Row],[Play Booster Box Product Id]], tbl_Product[Product Id], tbl_Product[Pack Size])</f>
        <v>#N/A</v>
      </c>
      <c r="AP796" s="10" t="e">
        <f>(tbl_MTG_Set[[#This Row],[Play Booster Box Cost]]+v_Item_Shipping_Cost_In)/tbl_MTG_Set[[#This Row],[Play Booster Box Size]]</f>
        <v>#VALUE!</v>
      </c>
      <c r="AQ796" s="10" t="str" cm="1">
        <f t="array" ref="AQ7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6" s="10"/>
      <c r="AS796" s="10"/>
      <c r="AT796" s="17" t="e">
        <f>tbl_MTG_Set[[#This Row],[Play Booster CardMarket Profit]]/tbl_MTG_Set[[#This Row],[Play Booster Cost]]</f>
        <v>#VALUE!</v>
      </c>
      <c r="AU796" s="10" t="e">
        <f>_xlfn.XLOOKUP(tbl_MTG_Set[[#This Row],[Collector Booster Box Product Id]], tbl_Product[Product Id], tbl_Product[Min Cost])</f>
        <v>#N/A</v>
      </c>
      <c r="AV796" s="10" t="e">
        <f>_xlfn.XLOOKUP(tbl_MTG_Set[[#This Row],[Collector Booster Box Product Id]], tbl_Product[Product Id], tbl_Product[Best Source])</f>
        <v>#N/A</v>
      </c>
      <c r="AW796" s="4" t="e">
        <f>_xlfn.XLOOKUP(tbl_MTG_Set[[#This Row],[Collector Booster Box Product Id]], tbl_Product[Product Id], tbl_Product[Pack Size])</f>
        <v>#N/A</v>
      </c>
      <c r="AX796" s="10" t="e">
        <f>(tbl_MTG_Set[[#This Row],[Collector Booster Box Cost]] + v_Item_Shipping_Cost_In) / tbl_MTG_Set[[#This Row],[Collector Booster Box Size]]</f>
        <v>#N/A</v>
      </c>
      <c r="AY796" s="10" t="str" cm="1">
        <f t="array" ref="AY7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6" s="10"/>
      <c r="BA7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6" s="17" t="e">
        <f>tbl_MTG_Set[[#This Row],[Collector Booster CardMarket Profit]]/tbl_MTG_Set[[#This Row],[Collector Booster Cost]]</f>
        <v>#N/A</v>
      </c>
      <c r="BC796" s="10"/>
      <c r="BF7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6" s="11" t="e">
        <f>tbl_MTG_Set[[#This Row],[Play Singles CardMarket Profit MTG Stocks]]/tbl_MTG_Set[[#This Row],[Play Booster Cost]]</f>
        <v>#VALUE!</v>
      </c>
      <c r="BI796" s="11" t="b">
        <f>tbl_MTG_Set[[#This Row],[Play Singles CardMarket Profit MTG Stocks]]&gt;0</f>
        <v>0</v>
      </c>
      <c r="BM796" s="10" t="e">
        <f>tbl_MTG_Set[[#This Row],[Play Booster Sell Price CardMarket]]*tbl_MTG_Set[[#This Row],[Play Booster Expected Market Value BotBox]]/tbl_MTG_Set[[#This Row],[Play Booster Sealed Market Value BotBox]]</f>
        <v>#VALUE!</v>
      </c>
      <c r="BN7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6" s="10" t="e">
        <f>tbl_MTG_Set[[#This Row],[Play Singles CardMarket Profit BotBox]]/tbl_MTG_Set[[#This Row],[Play Booster Cost]]</f>
        <v>#VALUE!</v>
      </c>
      <c r="BP796" s="10" t="b">
        <f>tbl_MTG_Set[[#This Row],[Play Singles CardMarket Profit BotBox]]&gt;0</f>
        <v>0</v>
      </c>
      <c r="BQ796" s="10"/>
      <c r="BR796" s="10"/>
      <c r="BS796" s="10"/>
      <c r="BT7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6" s="19" t="e">
        <f>tbl_MTG_Set[[#This Row],[Collector Singles CardMarket Profit MTG Stocks]]/tbl_MTG_Set[[#This Row],[Collector Booster Cost]]</f>
        <v>#N/A</v>
      </c>
      <c r="BW796" s="10" t="b">
        <f>tbl_MTG_Set[[#This Row],[Collector Singles CardMarket Profit MTG Stocks]]&gt;0</f>
        <v>0</v>
      </c>
      <c r="BX796" s="10"/>
      <c r="BY796" s="10"/>
      <c r="BZ7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6" s="10" t="e">
        <f>tbl_MTG_Set[[#This Row],[Collector Singles CardMarket Profit BotBox]]/tbl_MTG_Set[[#This Row],[Collector Booster Cost]]</f>
        <v>#N/A</v>
      </c>
      <c r="CC796" s="10" t="b">
        <f>tbl_MTG_Set[[#This Row],[Collector Singles CardMarket Profit BotBox]]&gt;0</f>
        <v>0</v>
      </c>
      <c r="CD7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7" spans="1:86" hidden="1">
      <c r="A797">
        <v>829</v>
      </c>
      <c r="B797" t="s">
        <v>970</v>
      </c>
      <c r="C797">
        <v>3</v>
      </c>
      <c r="D797" s="3">
        <v>39276</v>
      </c>
      <c r="F797" t="s">
        <v>174</v>
      </c>
      <c r="G797">
        <v>1604</v>
      </c>
      <c r="H797">
        <f ca="1">MONTH(NOW())+12*YEAR(NOW())-MONTH(tbl_MTG_Set[[#This Row],[Released On]])-12*YEAR(tbl_MTG_Set[[#This Row],[Released On]])</f>
        <v>224</v>
      </c>
      <c r="I797" t="str">
        <f>_xlfn.XLOOKUP(tbl_MTG_Set[[#This Row],[Type Name]], tbl_MTG_Set_Type[Set Type], tbl_MTG_Set_Type[Index], "(Set Type not found)")</f>
        <v>(Set Type not found)</v>
      </c>
      <c r="J797" t="str">
        <f>_xlfn.XLOOKUP(tbl_MTG_Set[[#This Row],[Type Name]], tbl_MTG_Set_Type[Set Type], tbl_MTG_Set_Type[Buy Window Month Start], "(Set Type not found)")</f>
        <v>(Set Type not found)</v>
      </c>
      <c r="K797" s="3" t="e">
        <f>tbl_MTG_Set[[#This Row],[Released On]]+tbl_MTG_Set[[#This Row],[Buy Window Month Start]]*365.25/12</f>
        <v>#VALUE!</v>
      </c>
      <c r="L797" t="str">
        <f>_xlfn.XLOOKUP(tbl_MTG_Set[[#This Row],[Type Name]], tbl_MTG_Set_Type[Set Type], tbl_MTG_Set_Type[Buy Window Month End], "(Set Type not found)", 0, 1)</f>
        <v>(Set Type not found)</v>
      </c>
      <c r="M797" s="3" t="e">
        <f>tbl_MTG_Set[[#This Row],[Released On]]+tbl_MTG_Set[[#This Row],[Buy Window Month End]]*365.25/12</f>
        <v>#VALUE!</v>
      </c>
      <c r="N797" s="3" t="e">
        <f ca="1">AND(NOW()&gt;=tbl_MTG_Set[[#This Row],[Buy Window Start]], NOW()&lt;=tbl_MTG_Set[[#This Row],[Buy Window End]])</f>
        <v>#VALUE!</v>
      </c>
      <c r="O797" t="str">
        <f>_xlfn.XLOOKUP(tbl_MTG_Set[[#This Row],[Type Name]], tbl_MTG_Set_Type[Set Type], tbl_MTG_Set_Type[Heavy Printing Window Month Start], "(Set Type not found)", 0, 1)</f>
        <v>(Set Type not found)</v>
      </c>
      <c r="P797" s="3" t="e">
        <f>tbl_MTG_Set[[#This Row],[Released On]]+tbl_MTG_Set[[#This Row],[Heavy Printing Window Month Start]]*365.25/12</f>
        <v>#VALUE!</v>
      </c>
      <c r="Q797" t="str">
        <f>_xlfn.XLOOKUP(tbl_MTG_Set[[#This Row],[Type Name]], tbl_MTG_Set_Type[Set Type], tbl_MTG_Set_Type[Heavy Printing Window Month End], "(Set Type not found)", 0, 1)</f>
        <v>(Set Type not found)</v>
      </c>
      <c r="R797" s="3" t="e">
        <f>tbl_MTG_Set[[#This Row],[Released On]]+tbl_MTG_Set[[#This Row],[Heavy Printing Window Month End]]*365.25/12</f>
        <v>#VALUE!</v>
      </c>
      <c r="S797" s="3" t="e">
        <f ca="1">AND(NOW()&gt;=tbl_MTG_Set[[#This Row],[Heavy Printing Window Start]], NOW()&lt;=tbl_MTG_Set[[#This Row],[Heavy Printing Window End]])</f>
        <v>#VALUE!</v>
      </c>
      <c r="T797" t="str">
        <f>_xlfn.XLOOKUP(tbl_MTG_Set[[#This Row],[Type Name]], tbl_MTG_Set_Type[Set Type], tbl_MTG_Set_Type[Sell Window Month Start], "(Set Type not found)", 0, 1)</f>
        <v>(Set Type not found)</v>
      </c>
      <c r="U797" s="3" t="e">
        <f>tbl_MTG_Set[[#This Row],[Released On]]+tbl_MTG_Set[[#This Row],[Sell Window Month Start]]*365.25/12</f>
        <v>#VALUE!</v>
      </c>
      <c r="V797" t="str">
        <f>_xlfn.XLOOKUP(tbl_MTG_Set[[#This Row],[Type Name]], tbl_MTG_Set_Type[Set Type], tbl_MTG_Set_Type[Sell Window Month End], "(Set Type not found)", 0, 1)</f>
        <v>(Set Type not found)</v>
      </c>
      <c r="W797" s="3" t="e">
        <f>tbl_MTG_Set[[#This Row],[Released On]]+tbl_MTG_Set[[#This Row],[Sell Window Month End]]*365.25/12</f>
        <v>#VALUE!</v>
      </c>
      <c r="X797" s="3" t="e">
        <f ca="1">AND(NOW()&gt;=tbl_MTG_Set[[#This Row],[Sell Window Start]], NOW()&lt;=tbl_MTG_Set[[#This Row],[Sell Window End]])</f>
        <v>#VALUE!</v>
      </c>
      <c r="AG797" s="10"/>
      <c r="AH797" s="10"/>
      <c r="AM797" s="10" t="str" cm="1">
        <f t="array" ref="AM7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7" s="10" t="str" cm="1">
        <f t="array" ref="AN7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7" s="4" t="e">
        <f>_xlfn.XLOOKUP(tbl_MTG_Set[[#This Row],[Play Booster Box Product Id]], tbl_Product[Product Id], tbl_Product[Pack Size])</f>
        <v>#N/A</v>
      </c>
      <c r="AP797" s="10" t="e">
        <f>(tbl_MTG_Set[[#This Row],[Play Booster Box Cost]]+v_Item_Shipping_Cost_In)/tbl_MTG_Set[[#This Row],[Play Booster Box Size]]</f>
        <v>#VALUE!</v>
      </c>
      <c r="AQ797" s="10" t="str" cm="1">
        <f t="array" ref="AQ7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7" s="10"/>
      <c r="AS797" s="10"/>
      <c r="AT797" s="17" t="e">
        <f>tbl_MTG_Set[[#This Row],[Play Booster CardMarket Profit]]/tbl_MTG_Set[[#This Row],[Play Booster Cost]]</f>
        <v>#VALUE!</v>
      </c>
      <c r="AU797" s="10" t="e">
        <f>_xlfn.XLOOKUP(tbl_MTG_Set[[#This Row],[Collector Booster Box Product Id]], tbl_Product[Product Id], tbl_Product[Min Cost])</f>
        <v>#N/A</v>
      </c>
      <c r="AV797" s="10" t="e">
        <f>_xlfn.XLOOKUP(tbl_MTG_Set[[#This Row],[Collector Booster Box Product Id]], tbl_Product[Product Id], tbl_Product[Best Source])</f>
        <v>#N/A</v>
      </c>
      <c r="AW797" s="4" t="e">
        <f>_xlfn.XLOOKUP(tbl_MTG_Set[[#This Row],[Collector Booster Box Product Id]], tbl_Product[Product Id], tbl_Product[Pack Size])</f>
        <v>#N/A</v>
      </c>
      <c r="AX797" s="10" t="e">
        <f>(tbl_MTG_Set[[#This Row],[Collector Booster Box Cost]] + v_Item_Shipping_Cost_In) / tbl_MTG_Set[[#This Row],[Collector Booster Box Size]]</f>
        <v>#N/A</v>
      </c>
      <c r="AY797" s="10" t="str" cm="1">
        <f t="array" ref="AY7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7" s="10"/>
      <c r="BA7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7" s="17" t="e">
        <f>tbl_MTG_Set[[#This Row],[Collector Booster CardMarket Profit]]/tbl_MTG_Set[[#This Row],[Collector Booster Cost]]</f>
        <v>#N/A</v>
      </c>
      <c r="BC797" s="10"/>
      <c r="BF7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7" s="11" t="e">
        <f>tbl_MTG_Set[[#This Row],[Play Singles CardMarket Profit MTG Stocks]]/tbl_MTG_Set[[#This Row],[Play Booster Cost]]</f>
        <v>#VALUE!</v>
      </c>
      <c r="BI797" s="11" t="b">
        <f>tbl_MTG_Set[[#This Row],[Play Singles CardMarket Profit MTG Stocks]]&gt;0</f>
        <v>0</v>
      </c>
      <c r="BM797" s="10" t="e">
        <f>tbl_MTG_Set[[#This Row],[Play Booster Sell Price CardMarket]]*tbl_MTG_Set[[#This Row],[Play Booster Expected Market Value BotBox]]/tbl_MTG_Set[[#This Row],[Play Booster Sealed Market Value BotBox]]</f>
        <v>#VALUE!</v>
      </c>
      <c r="BN7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7" s="10" t="e">
        <f>tbl_MTG_Set[[#This Row],[Play Singles CardMarket Profit BotBox]]/tbl_MTG_Set[[#This Row],[Play Booster Cost]]</f>
        <v>#VALUE!</v>
      </c>
      <c r="BP797" s="10" t="b">
        <f>tbl_MTG_Set[[#This Row],[Play Singles CardMarket Profit BotBox]]&gt;0</f>
        <v>0</v>
      </c>
      <c r="BQ797" s="10"/>
      <c r="BR797" s="10"/>
      <c r="BS797" s="10"/>
      <c r="BT7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7" s="19" t="e">
        <f>tbl_MTG_Set[[#This Row],[Collector Singles CardMarket Profit MTG Stocks]]/tbl_MTG_Set[[#This Row],[Collector Booster Cost]]</f>
        <v>#N/A</v>
      </c>
      <c r="BW797" s="10" t="b">
        <f>tbl_MTG_Set[[#This Row],[Collector Singles CardMarket Profit MTG Stocks]]&gt;0</f>
        <v>0</v>
      </c>
      <c r="BX797" s="10"/>
      <c r="BY797" s="10"/>
      <c r="BZ7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7" s="10" t="e">
        <f>tbl_MTG_Set[[#This Row],[Collector Singles CardMarket Profit BotBox]]/tbl_MTG_Set[[#This Row],[Collector Booster Cost]]</f>
        <v>#N/A</v>
      </c>
      <c r="CC797" s="10" t="b">
        <f>tbl_MTG_Set[[#This Row],[Collector Singles CardMarket Profit BotBox]]&gt;0</f>
        <v>0</v>
      </c>
      <c r="CD7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8" spans="1:86" hidden="1">
      <c r="A798">
        <v>830</v>
      </c>
      <c r="B798" t="s">
        <v>971</v>
      </c>
      <c r="C798">
        <v>6</v>
      </c>
      <c r="D798" s="3">
        <v>39276</v>
      </c>
      <c r="F798" t="s">
        <v>174</v>
      </c>
      <c r="G798">
        <v>1606</v>
      </c>
      <c r="H798">
        <f ca="1">MONTH(NOW())+12*YEAR(NOW())-MONTH(tbl_MTG_Set[[#This Row],[Released On]])-12*YEAR(tbl_MTG_Set[[#This Row],[Released On]])</f>
        <v>224</v>
      </c>
      <c r="I798" t="str">
        <f>_xlfn.XLOOKUP(tbl_MTG_Set[[#This Row],[Type Name]], tbl_MTG_Set_Type[Set Type], tbl_MTG_Set_Type[Index], "(Set Type not found)")</f>
        <v>(Set Type not found)</v>
      </c>
      <c r="J798" t="str">
        <f>_xlfn.XLOOKUP(tbl_MTG_Set[[#This Row],[Type Name]], tbl_MTG_Set_Type[Set Type], tbl_MTG_Set_Type[Buy Window Month Start], "(Set Type not found)")</f>
        <v>(Set Type not found)</v>
      </c>
      <c r="K798" s="3" t="e">
        <f>tbl_MTG_Set[[#This Row],[Released On]]+tbl_MTG_Set[[#This Row],[Buy Window Month Start]]*365.25/12</f>
        <v>#VALUE!</v>
      </c>
      <c r="L798" t="str">
        <f>_xlfn.XLOOKUP(tbl_MTG_Set[[#This Row],[Type Name]], tbl_MTG_Set_Type[Set Type], tbl_MTG_Set_Type[Buy Window Month End], "(Set Type not found)", 0, 1)</f>
        <v>(Set Type not found)</v>
      </c>
      <c r="M798" s="3" t="e">
        <f>tbl_MTG_Set[[#This Row],[Released On]]+tbl_MTG_Set[[#This Row],[Buy Window Month End]]*365.25/12</f>
        <v>#VALUE!</v>
      </c>
      <c r="N798" s="3" t="e">
        <f ca="1">AND(NOW()&gt;=tbl_MTG_Set[[#This Row],[Buy Window Start]], NOW()&lt;=tbl_MTG_Set[[#This Row],[Buy Window End]])</f>
        <v>#VALUE!</v>
      </c>
      <c r="O798" t="str">
        <f>_xlfn.XLOOKUP(tbl_MTG_Set[[#This Row],[Type Name]], tbl_MTG_Set_Type[Set Type], tbl_MTG_Set_Type[Heavy Printing Window Month Start], "(Set Type not found)", 0, 1)</f>
        <v>(Set Type not found)</v>
      </c>
      <c r="P798" s="3" t="e">
        <f>tbl_MTG_Set[[#This Row],[Released On]]+tbl_MTG_Set[[#This Row],[Heavy Printing Window Month Start]]*365.25/12</f>
        <v>#VALUE!</v>
      </c>
      <c r="Q798" t="str">
        <f>_xlfn.XLOOKUP(tbl_MTG_Set[[#This Row],[Type Name]], tbl_MTG_Set_Type[Set Type], tbl_MTG_Set_Type[Heavy Printing Window Month End], "(Set Type not found)", 0, 1)</f>
        <v>(Set Type not found)</v>
      </c>
      <c r="R798" s="3" t="e">
        <f>tbl_MTG_Set[[#This Row],[Released On]]+tbl_MTG_Set[[#This Row],[Heavy Printing Window Month End]]*365.25/12</f>
        <v>#VALUE!</v>
      </c>
      <c r="S798" s="3" t="e">
        <f ca="1">AND(NOW()&gt;=tbl_MTG_Set[[#This Row],[Heavy Printing Window Start]], NOW()&lt;=tbl_MTG_Set[[#This Row],[Heavy Printing Window End]])</f>
        <v>#VALUE!</v>
      </c>
      <c r="T798" t="str">
        <f>_xlfn.XLOOKUP(tbl_MTG_Set[[#This Row],[Type Name]], tbl_MTG_Set_Type[Set Type], tbl_MTG_Set_Type[Sell Window Month Start], "(Set Type not found)", 0, 1)</f>
        <v>(Set Type not found)</v>
      </c>
      <c r="U798" s="3" t="e">
        <f>tbl_MTG_Set[[#This Row],[Released On]]+tbl_MTG_Set[[#This Row],[Sell Window Month Start]]*365.25/12</f>
        <v>#VALUE!</v>
      </c>
      <c r="V798" t="str">
        <f>_xlfn.XLOOKUP(tbl_MTG_Set[[#This Row],[Type Name]], tbl_MTG_Set_Type[Set Type], tbl_MTG_Set_Type[Sell Window Month End], "(Set Type not found)", 0, 1)</f>
        <v>(Set Type not found)</v>
      </c>
      <c r="W798" s="3" t="e">
        <f>tbl_MTG_Set[[#This Row],[Released On]]+tbl_MTG_Set[[#This Row],[Sell Window Month End]]*365.25/12</f>
        <v>#VALUE!</v>
      </c>
      <c r="X798" s="3" t="e">
        <f ca="1">AND(NOW()&gt;=tbl_MTG_Set[[#This Row],[Sell Window Start]], NOW()&lt;=tbl_MTG_Set[[#This Row],[Sell Window End]])</f>
        <v>#VALUE!</v>
      </c>
      <c r="AG798" s="10"/>
      <c r="AH798" s="10"/>
      <c r="AM798" s="10" t="str" cm="1">
        <f t="array" ref="AM7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8" s="10" t="str" cm="1">
        <f t="array" ref="AN7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8" s="4" t="e">
        <f>_xlfn.XLOOKUP(tbl_MTG_Set[[#This Row],[Play Booster Box Product Id]], tbl_Product[Product Id], tbl_Product[Pack Size])</f>
        <v>#N/A</v>
      </c>
      <c r="AP798" s="10" t="e">
        <f>(tbl_MTG_Set[[#This Row],[Play Booster Box Cost]]+v_Item_Shipping_Cost_In)/tbl_MTG_Set[[#This Row],[Play Booster Box Size]]</f>
        <v>#VALUE!</v>
      </c>
      <c r="AQ798" s="10" t="str" cm="1">
        <f t="array" ref="AQ7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8" s="10"/>
      <c r="AS798" s="10"/>
      <c r="AT798" s="17" t="e">
        <f>tbl_MTG_Set[[#This Row],[Play Booster CardMarket Profit]]/tbl_MTG_Set[[#This Row],[Play Booster Cost]]</f>
        <v>#VALUE!</v>
      </c>
      <c r="AU798" s="10" t="e">
        <f>_xlfn.XLOOKUP(tbl_MTG_Set[[#This Row],[Collector Booster Box Product Id]], tbl_Product[Product Id], tbl_Product[Min Cost])</f>
        <v>#N/A</v>
      </c>
      <c r="AV798" s="10" t="e">
        <f>_xlfn.XLOOKUP(tbl_MTG_Set[[#This Row],[Collector Booster Box Product Id]], tbl_Product[Product Id], tbl_Product[Best Source])</f>
        <v>#N/A</v>
      </c>
      <c r="AW798" s="4" t="e">
        <f>_xlfn.XLOOKUP(tbl_MTG_Set[[#This Row],[Collector Booster Box Product Id]], tbl_Product[Product Id], tbl_Product[Pack Size])</f>
        <v>#N/A</v>
      </c>
      <c r="AX798" s="10" t="e">
        <f>(tbl_MTG_Set[[#This Row],[Collector Booster Box Cost]] + v_Item_Shipping_Cost_In) / tbl_MTG_Set[[#This Row],[Collector Booster Box Size]]</f>
        <v>#N/A</v>
      </c>
      <c r="AY798" s="10" t="str" cm="1">
        <f t="array" ref="AY7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8" s="10"/>
      <c r="BA7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8" s="17" t="e">
        <f>tbl_MTG_Set[[#This Row],[Collector Booster CardMarket Profit]]/tbl_MTG_Set[[#This Row],[Collector Booster Cost]]</f>
        <v>#N/A</v>
      </c>
      <c r="BC798" s="10"/>
      <c r="BF7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8" s="11" t="e">
        <f>tbl_MTG_Set[[#This Row],[Play Singles CardMarket Profit MTG Stocks]]/tbl_MTG_Set[[#This Row],[Play Booster Cost]]</f>
        <v>#VALUE!</v>
      </c>
      <c r="BI798" s="11" t="b">
        <f>tbl_MTG_Set[[#This Row],[Play Singles CardMarket Profit MTG Stocks]]&gt;0</f>
        <v>0</v>
      </c>
      <c r="BM798" s="10" t="e">
        <f>tbl_MTG_Set[[#This Row],[Play Booster Sell Price CardMarket]]*tbl_MTG_Set[[#This Row],[Play Booster Expected Market Value BotBox]]/tbl_MTG_Set[[#This Row],[Play Booster Sealed Market Value BotBox]]</f>
        <v>#VALUE!</v>
      </c>
      <c r="BN7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8" s="10" t="e">
        <f>tbl_MTG_Set[[#This Row],[Play Singles CardMarket Profit BotBox]]/tbl_MTG_Set[[#This Row],[Play Booster Cost]]</f>
        <v>#VALUE!</v>
      </c>
      <c r="BP798" s="10" t="b">
        <f>tbl_MTG_Set[[#This Row],[Play Singles CardMarket Profit BotBox]]&gt;0</f>
        <v>0</v>
      </c>
      <c r="BQ798" s="10"/>
      <c r="BR798" s="10"/>
      <c r="BS798" s="10"/>
      <c r="BT7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8" s="19" t="e">
        <f>tbl_MTG_Set[[#This Row],[Collector Singles CardMarket Profit MTG Stocks]]/tbl_MTG_Set[[#This Row],[Collector Booster Cost]]</f>
        <v>#N/A</v>
      </c>
      <c r="BW798" s="10" t="b">
        <f>tbl_MTG_Set[[#This Row],[Collector Singles CardMarket Profit MTG Stocks]]&gt;0</f>
        <v>0</v>
      </c>
      <c r="BX798" s="10"/>
      <c r="BY798" s="10"/>
      <c r="BZ7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8" s="10" t="e">
        <f>tbl_MTG_Set[[#This Row],[Collector Singles CardMarket Profit BotBox]]/tbl_MTG_Set[[#This Row],[Collector Booster Cost]]</f>
        <v>#N/A</v>
      </c>
      <c r="CC798" s="10" t="b">
        <f>tbl_MTG_Set[[#This Row],[Collector Singles CardMarket Profit BotBox]]&gt;0</f>
        <v>0</v>
      </c>
      <c r="CD7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799" spans="1:86" hidden="1">
      <c r="A799">
        <v>831</v>
      </c>
      <c r="B799" t="s">
        <v>972</v>
      </c>
      <c r="C799">
        <v>180</v>
      </c>
      <c r="D799" s="3">
        <v>39206</v>
      </c>
      <c r="F799" t="s">
        <v>174</v>
      </c>
      <c r="G799">
        <v>1608</v>
      </c>
      <c r="H799">
        <f ca="1">MONTH(NOW())+12*YEAR(NOW())-MONTH(tbl_MTG_Set[[#This Row],[Released On]])-12*YEAR(tbl_MTG_Set[[#This Row],[Released On]])</f>
        <v>226</v>
      </c>
      <c r="I799" t="str">
        <f>_xlfn.XLOOKUP(tbl_MTG_Set[[#This Row],[Type Name]], tbl_MTG_Set_Type[Set Type], tbl_MTG_Set_Type[Index], "(Set Type not found)")</f>
        <v>(Set Type not found)</v>
      </c>
      <c r="J799" t="str">
        <f>_xlfn.XLOOKUP(tbl_MTG_Set[[#This Row],[Type Name]], tbl_MTG_Set_Type[Set Type], tbl_MTG_Set_Type[Buy Window Month Start], "(Set Type not found)")</f>
        <v>(Set Type not found)</v>
      </c>
      <c r="K799" s="3" t="e">
        <f>tbl_MTG_Set[[#This Row],[Released On]]+tbl_MTG_Set[[#This Row],[Buy Window Month Start]]*365.25/12</f>
        <v>#VALUE!</v>
      </c>
      <c r="L799" t="str">
        <f>_xlfn.XLOOKUP(tbl_MTG_Set[[#This Row],[Type Name]], tbl_MTG_Set_Type[Set Type], tbl_MTG_Set_Type[Buy Window Month End], "(Set Type not found)", 0, 1)</f>
        <v>(Set Type not found)</v>
      </c>
      <c r="M799" s="3" t="e">
        <f>tbl_MTG_Set[[#This Row],[Released On]]+tbl_MTG_Set[[#This Row],[Buy Window Month End]]*365.25/12</f>
        <v>#VALUE!</v>
      </c>
      <c r="N799" s="3" t="e">
        <f ca="1">AND(NOW()&gt;=tbl_MTG_Set[[#This Row],[Buy Window Start]], NOW()&lt;=tbl_MTG_Set[[#This Row],[Buy Window End]])</f>
        <v>#VALUE!</v>
      </c>
      <c r="O799" t="str">
        <f>_xlfn.XLOOKUP(tbl_MTG_Set[[#This Row],[Type Name]], tbl_MTG_Set_Type[Set Type], tbl_MTG_Set_Type[Heavy Printing Window Month Start], "(Set Type not found)", 0, 1)</f>
        <v>(Set Type not found)</v>
      </c>
      <c r="P799" s="3" t="e">
        <f>tbl_MTG_Set[[#This Row],[Released On]]+tbl_MTG_Set[[#This Row],[Heavy Printing Window Month Start]]*365.25/12</f>
        <v>#VALUE!</v>
      </c>
      <c r="Q799" t="str">
        <f>_xlfn.XLOOKUP(tbl_MTG_Set[[#This Row],[Type Name]], tbl_MTG_Set_Type[Set Type], tbl_MTG_Set_Type[Heavy Printing Window Month End], "(Set Type not found)", 0, 1)</f>
        <v>(Set Type not found)</v>
      </c>
      <c r="R799" s="3" t="e">
        <f>tbl_MTG_Set[[#This Row],[Released On]]+tbl_MTG_Set[[#This Row],[Heavy Printing Window Month End]]*365.25/12</f>
        <v>#VALUE!</v>
      </c>
      <c r="S799" s="3" t="e">
        <f ca="1">AND(NOW()&gt;=tbl_MTG_Set[[#This Row],[Heavy Printing Window Start]], NOW()&lt;=tbl_MTG_Set[[#This Row],[Heavy Printing Window End]])</f>
        <v>#VALUE!</v>
      </c>
      <c r="T799" t="str">
        <f>_xlfn.XLOOKUP(tbl_MTG_Set[[#This Row],[Type Name]], tbl_MTG_Set_Type[Set Type], tbl_MTG_Set_Type[Sell Window Month Start], "(Set Type not found)", 0, 1)</f>
        <v>(Set Type not found)</v>
      </c>
      <c r="U799" s="3" t="e">
        <f>tbl_MTG_Set[[#This Row],[Released On]]+tbl_MTG_Set[[#This Row],[Sell Window Month Start]]*365.25/12</f>
        <v>#VALUE!</v>
      </c>
      <c r="V799" t="str">
        <f>_xlfn.XLOOKUP(tbl_MTG_Set[[#This Row],[Type Name]], tbl_MTG_Set_Type[Set Type], tbl_MTG_Set_Type[Sell Window Month End], "(Set Type not found)", 0, 1)</f>
        <v>(Set Type not found)</v>
      </c>
      <c r="W799" s="3" t="e">
        <f>tbl_MTG_Set[[#This Row],[Released On]]+tbl_MTG_Set[[#This Row],[Sell Window Month End]]*365.25/12</f>
        <v>#VALUE!</v>
      </c>
      <c r="X799" s="3" t="e">
        <f ca="1">AND(NOW()&gt;=tbl_MTG_Set[[#This Row],[Sell Window Start]], NOW()&lt;=tbl_MTG_Set[[#This Row],[Sell Window End]])</f>
        <v>#VALUE!</v>
      </c>
      <c r="AG799" s="10"/>
      <c r="AH799" s="10"/>
      <c r="AM799" s="10" t="str" cm="1">
        <f t="array" ref="AM7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799" s="10" t="str" cm="1">
        <f t="array" ref="AN7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799" s="4" t="e">
        <f>_xlfn.XLOOKUP(tbl_MTG_Set[[#This Row],[Play Booster Box Product Id]], tbl_Product[Product Id], tbl_Product[Pack Size])</f>
        <v>#N/A</v>
      </c>
      <c r="AP799" s="10" t="e">
        <f>(tbl_MTG_Set[[#This Row],[Play Booster Box Cost]]+v_Item_Shipping_Cost_In)/tbl_MTG_Set[[#This Row],[Play Booster Box Size]]</f>
        <v>#VALUE!</v>
      </c>
      <c r="AQ799" s="10" t="str" cm="1">
        <f t="array" ref="AQ7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799" s="10"/>
      <c r="AS799" s="10"/>
      <c r="AT799" s="17" t="e">
        <f>tbl_MTG_Set[[#This Row],[Play Booster CardMarket Profit]]/tbl_MTG_Set[[#This Row],[Play Booster Cost]]</f>
        <v>#VALUE!</v>
      </c>
      <c r="AU799" s="10" t="e">
        <f>_xlfn.XLOOKUP(tbl_MTG_Set[[#This Row],[Collector Booster Box Product Id]], tbl_Product[Product Id], tbl_Product[Min Cost])</f>
        <v>#N/A</v>
      </c>
      <c r="AV799" s="10" t="e">
        <f>_xlfn.XLOOKUP(tbl_MTG_Set[[#This Row],[Collector Booster Box Product Id]], tbl_Product[Product Id], tbl_Product[Best Source])</f>
        <v>#N/A</v>
      </c>
      <c r="AW799" s="4" t="e">
        <f>_xlfn.XLOOKUP(tbl_MTG_Set[[#This Row],[Collector Booster Box Product Id]], tbl_Product[Product Id], tbl_Product[Pack Size])</f>
        <v>#N/A</v>
      </c>
      <c r="AX799" s="10" t="e">
        <f>(tbl_MTG_Set[[#This Row],[Collector Booster Box Cost]] + v_Item_Shipping_Cost_In) / tbl_MTG_Set[[#This Row],[Collector Booster Box Size]]</f>
        <v>#N/A</v>
      </c>
      <c r="AY799" s="10" t="str" cm="1">
        <f t="array" ref="AY7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799" s="10"/>
      <c r="BA7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799" s="17" t="e">
        <f>tbl_MTG_Set[[#This Row],[Collector Booster CardMarket Profit]]/tbl_MTG_Set[[#This Row],[Collector Booster Cost]]</f>
        <v>#N/A</v>
      </c>
      <c r="BC799" s="10"/>
      <c r="BF7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7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799" s="11" t="e">
        <f>tbl_MTG_Set[[#This Row],[Play Singles CardMarket Profit MTG Stocks]]/tbl_MTG_Set[[#This Row],[Play Booster Cost]]</f>
        <v>#VALUE!</v>
      </c>
      <c r="BI799" s="11" t="b">
        <f>tbl_MTG_Set[[#This Row],[Play Singles CardMarket Profit MTG Stocks]]&gt;0</f>
        <v>0</v>
      </c>
      <c r="BM799" s="10" t="e">
        <f>tbl_MTG_Set[[#This Row],[Play Booster Sell Price CardMarket]]*tbl_MTG_Set[[#This Row],[Play Booster Expected Market Value BotBox]]/tbl_MTG_Set[[#This Row],[Play Booster Sealed Market Value BotBox]]</f>
        <v>#VALUE!</v>
      </c>
      <c r="BN7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799" s="10" t="e">
        <f>tbl_MTG_Set[[#This Row],[Play Singles CardMarket Profit BotBox]]/tbl_MTG_Set[[#This Row],[Play Booster Cost]]</f>
        <v>#VALUE!</v>
      </c>
      <c r="BP799" s="10" t="b">
        <f>tbl_MTG_Set[[#This Row],[Play Singles CardMarket Profit BotBox]]&gt;0</f>
        <v>0</v>
      </c>
      <c r="BQ799" s="10"/>
      <c r="BR799" s="10"/>
      <c r="BS799" s="10"/>
      <c r="BT7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7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799" s="19" t="e">
        <f>tbl_MTG_Set[[#This Row],[Collector Singles CardMarket Profit MTG Stocks]]/tbl_MTG_Set[[#This Row],[Collector Booster Cost]]</f>
        <v>#N/A</v>
      </c>
      <c r="BW799" s="10" t="b">
        <f>tbl_MTG_Set[[#This Row],[Collector Singles CardMarket Profit MTG Stocks]]&gt;0</f>
        <v>0</v>
      </c>
      <c r="BX799" s="10"/>
      <c r="BY799" s="10"/>
      <c r="BZ7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7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799" s="10" t="e">
        <f>tbl_MTG_Set[[#This Row],[Collector Singles CardMarket Profit BotBox]]/tbl_MTG_Set[[#This Row],[Collector Booster Cost]]</f>
        <v>#N/A</v>
      </c>
      <c r="CC799" s="10" t="b">
        <f>tbl_MTG_Set[[#This Row],[Collector Singles CardMarket Profit BotBox]]&gt;0</f>
        <v>0</v>
      </c>
      <c r="CD7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7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7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7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7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0" spans="1:86" hidden="1">
      <c r="A800">
        <v>832</v>
      </c>
      <c r="B800" t="s">
        <v>973</v>
      </c>
      <c r="C800">
        <v>2</v>
      </c>
      <c r="D800" s="3">
        <v>39206</v>
      </c>
      <c r="F800" t="s">
        <v>174</v>
      </c>
      <c r="G800">
        <v>1610</v>
      </c>
      <c r="H800">
        <f ca="1">MONTH(NOW())+12*YEAR(NOW())-MONTH(tbl_MTG_Set[[#This Row],[Released On]])-12*YEAR(tbl_MTG_Set[[#This Row],[Released On]])</f>
        <v>226</v>
      </c>
      <c r="I800" t="str">
        <f>_xlfn.XLOOKUP(tbl_MTG_Set[[#This Row],[Type Name]], tbl_MTG_Set_Type[Set Type], tbl_MTG_Set_Type[Index], "(Set Type not found)")</f>
        <v>(Set Type not found)</v>
      </c>
      <c r="J800" t="str">
        <f>_xlfn.XLOOKUP(tbl_MTG_Set[[#This Row],[Type Name]], tbl_MTG_Set_Type[Set Type], tbl_MTG_Set_Type[Buy Window Month Start], "(Set Type not found)")</f>
        <v>(Set Type not found)</v>
      </c>
      <c r="K800" s="3" t="e">
        <f>tbl_MTG_Set[[#This Row],[Released On]]+tbl_MTG_Set[[#This Row],[Buy Window Month Start]]*365.25/12</f>
        <v>#VALUE!</v>
      </c>
      <c r="L800" t="str">
        <f>_xlfn.XLOOKUP(tbl_MTG_Set[[#This Row],[Type Name]], tbl_MTG_Set_Type[Set Type], tbl_MTG_Set_Type[Buy Window Month End], "(Set Type not found)", 0, 1)</f>
        <v>(Set Type not found)</v>
      </c>
      <c r="M800" s="3" t="e">
        <f>tbl_MTG_Set[[#This Row],[Released On]]+tbl_MTG_Set[[#This Row],[Buy Window Month End]]*365.25/12</f>
        <v>#VALUE!</v>
      </c>
      <c r="N800" s="3" t="e">
        <f ca="1">AND(NOW()&gt;=tbl_MTG_Set[[#This Row],[Buy Window Start]], NOW()&lt;=tbl_MTG_Set[[#This Row],[Buy Window End]])</f>
        <v>#VALUE!</v>
      </c>
      <c r="O800" t="str">
        <f>_xlfn.XLOOKUP(tbl_MTG_Set[[#This Row],[Type Name]], tbl_MTG_Set_Type[Set Type], tbl_MTG_Set_Type[Heavy Printing Window Month Start], "(Set Type not found)", 0, 1)</f>
        <v>(Set Type not found)</v>
      </c>
      <c r="P800" s="3" t="e">
        <f>tbl_MTG_Set[[#This Row],[Released On]]+tbl_MTG_Set[[#This Row],[Heavy Printing Window Month Start]]*365.25/12</f>
        <v>#VALUE!</v>
      </c>
      <c r="Q800" t="str">
        <f>_xlfn.XLOOKUP(tbl_MTG_Set[[#This Row],[Type Name]], tbl_MTG_Set_Type[Set Type], tbl_MTG_Set_Type[Heavy Printing Window Month End], "(Set Type not found)", 0, 1)</f>
        <v>(Set Type not found)</v>
      </c>
      <c r="R800" s="3" t="e">
        <f>tbl_MTG_Set[[#This Row],[Released On]]+tbl_MTG_Set[[#This Row],[Heavy Printing Window Month End]]*365.25/12</f>
        <v>#VALUE!</v>
      </c>
      <c r="S800" s="3" t="e">
        <f ca="1">AND(NOW()&gt;=tbl_MTG_Set[[#This Row],[Heavy Printing Window Start]], NOW()&lt;=tbl_MTG_Set[[#This Row],[Heavy Printing Window End]])</f>
        <v>#VALUE!</v>
      </c>
      <c r="T800" t="str">
        <f>_xlfn.XLOOKUP(tbl_MTG_Set[[#This Row],[Type Name]], tbl_MTG_Set_Type[Set Type], tbl_MTG_Set_Type[Sell Window Month Start], "(Set Type not found)", 0, 1)</f>
        <v>(Set Type not found)</v>
      </c>
      <c r="U800" s="3" t="e">
        <f>tbl_MTG_Set[[#This Row],[Released On]]+tbl_MTG_Set[[#This Row],[Sell Window Month Start]]*365.25/12</f>
        <v>#VALUE!</v>
      </c>
      <c r="V800" t="str">
        <f>_xlfn.XLOOKUP(tbl_MTG_Set[[#This Row],[Type Name]], tbl_MTG_Set_Type[Set Type], tbl_MTG_Set_Type[Sell Window Month End], "(Set Type not found)", 0, 1)</f>
        <v>(Set Type not found)</v>
      </c>
      <c r="W800" s="3" t="e">
        <f>tbl_MTG_Set[[#This Row],[Released On]]+tbl_MTG_Set[[#This Row],[Sell Window Month End]]*365.25/12</f>
        <v>#VALUE!</v>
      </c>
      <c r="X800" s="3" t="e">
        <f ca="1">AND(NOW()&gt;=tbl_MTG_Set[[#This Row],[Sell Window Start]], NOW()&lt;=tbl_MTG_Set[[#This Row],[Sell Window End]])</f>
        <v>#VALUE!</v>
      </c>
      <c r="AG800" s="10"/>
      <c r="AH800" s="10"/>
      <c r="AM800" s="10" t="str" cm="1">
        <f t="array" ref="AM8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0" s="10" t="str" cm="1">
        <f t="array" ref="AN8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0" s="4" t="e">
        <f>_xlfn.XLOOKUP(tbl_MTG_Set[[#This Row],[Play Booster Box Product Id]], tbl_Product[Product Id], tbl_Product[Pack Size])</f>
        <v>#N/A</v>
      </c>
      <c r="AP800" s="10" t="e">
        <f>(tbl_MTG_Set[[#This Row],[Play Booster Box Cost]]+v_Item_Shipping_Cost_In)/tbl_MTG_Set[[#This Row],[Play Booster Box Size]]</f>
        <v>#VALUE!</v>
      </c>
      <c r="AQ800" s="10" t="str" cm="1">
        <f t="array" ref="AQ8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0" s="10"/>
      <c r="AS800" s="10"/>
      <c r="AT800" s="17" t="e">
        <f>tbl_MTG_Set[[#This Row],[Play Booster CardMarket Profit]]/tbl_MTG_Set[[#This Row],[Play Booster Cost]]</f>
        <v>#VALUE!</v>
      </c>
      <c r="AU800" s="10" t="e">
        <f>_xlfn.XLOOKUP(tbl_MTG_Set[[#This Row],[Collector Booster Box Product Id]], tbl_Product[Product Id], tbl_Product[Min Cost])</f>
        <v>#N/A</v>
      </c>
      <c r="AV800" s="10" t="e">
        <f>_xlfn.XLOOKUP(tbl_MTG_Set[[#This Row],[Collector Booster Box Product Id]], tbl_Product[Product Id], tbl_Product[Best Source])</f>
        <v>#N/A</v>
      </c>
      <c r="AW800" s="4" t="e">
        <f>_xlfn.XLOOKUP(tbl_MTG_Set[[#This Row],[Collector Booster Box Product Id]], tbl_Product[Product Id], tbl_Product[Pack Size])</f>
        <v>#N/A</v>
      </c>
      <c r="AX800" s="10" t="e">
        <f>(tbl_MTG_Set[[#This Row],[Collector Booster Box Cost]] + v_Item_Shipping_Cost_In) / tbl_MTG_Set[[#This Row],[Collector Booster Box Size]]</f>
        <v>#N/A</v>
      </c>
      <c r="AY800" s="10" t="str" cm="1">
        <f t="array" ref="AY8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0" s="10"/>
      <c r="BA8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0" s="17" t="e">
        <f>tbl_MTG_Set[[#This Row],[Collector Booster CardMarket Profit]]/tbl_MTG_Set[[#This Row],[Collector Booster Cost]]</f>
        <v>#N/A</v>
      </c>
      <c r="BC800" s="10"/>
      <c r="BF8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0" s="11" t="e">
        <f>tbl_MTG_Set[[#This Row],[Play Singles CardMarket Profit MTG Stocks]]/tbl_MTG_Set[[#This Row],[Play Booster Cost]]</f>
        <v>#VALUE!</v>
      </c>
      <c r="BI800" s="11" t="b">
        <f>tbl_MTG_Set[[#This Row],[Play Singles CardMarket Profit MTG Stocks]]&gt;0</f>
        <v>0</v>
      </c>
      <c r="BM800" s="10" t="e">
        <f>tbl_MTG_Set[[#This Row],[Play Booster Sell Price CardMarket]]*tbl_MTG_Set[[#This Row],[Play Booster Expected Market Value BotBox]]/tbl_MTG_Set[[#This Row],[Play Booster Sealed Market Value BotBox]]</f>
        <v>#VALUE!</v>
      </c>
      <c r="BN8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0" s="10" t="e">
        <f>tbl_MTG_Set[[#This Row],[Play Singles CardMarket Profit BotBox]]/tbl_MTG_Set[[#This Row],[Play Booster Cost]]</f>
        <v>#VALUE!</v>
      </c>
      <c r="BP800" s="10" t="b">
        <f>tbl_MTG_Set[[#This Row],[Play Singles CardMarket Profit BotBox]]&gt;0</f>
        <v>0</v>
      </c>
      <c r="BQ800" s="10"/>
      <c r="BR800" s="10"/>
      <c r="BS800" s="10"/>
      <c r="BT8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0" s="19" t="e">
        <f>tbl_MTG_Set[[#This Row],[Collector Singles CardMarket Profit MTG Stocks]]/tbl_MTG_Set[[#This Row],[Collector Booster Cost]]</f>
        <v>#N/A</v>
      </c>
      <c r="BW800" s="10" t="b">
        <f>tbl_MTG_Set[[#This Row],[Collector Singles CardMarket Profit MTG Stocks]]&gt;0</f>
        <v>0</v>
      </c>
      <c r="BX800" s="10"/>
      <c r="BY800" s="10"/>
      <c r="BZ8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0" s="10" t="e">
        <f>tbl_MTG_Set[[#This Row],[Collector Singles CardMarket Profit BotBox]]/tbl_MTG_Set[[#This Row],[Collector Booster Cost]]</f>
        <v>#N/A</v>
      </c>
      <c r="CC800" s="10" t="b">
        <f>tbl_MTG_Set[[#This Row],[Collector Singles CardMarket Profit BotBox]]&gt;0</f>
        <v>0</v>
      </c>
      <c r="CD8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1" spans="1:86" hidden="1">
      <c r="A801">
        <v>833</v>
      </c>
      <c r="B801" t="s">
        <v>974</v>
      </c>
      <c r="C801">
        <v>20</v>
      </c>
      <c r="D801" s="3">
        <v>39137</v>
      </c>
      <c r="F801" t="s">
        <v>174</v>
      </c>
      <c r="G801">
        <v>1612</v>
      </c>
      <c r="H801">
        <f ca="1">MONTH(NOW())+12*YEAR(NOW())-MONTH(tbl_MTG_Set[[#This Row],[Released On]])-12*YEAR(tbl_MTG_Set[[#This Row],[Released On]])</f>
        <v>229</v>
      </c>
      <c r="I801" t="str">
        <f>_xlfn.XLOOKUP(tbl_MTG_Set[[#This Row],[Type Name]], tbl_MTG_Set_Type[Set Type], tbl_MTG_Set_Type[Index], "(Set Type not found)")</f>
        <v>(Set Type not found)</v>
      </c>
      <c r="J801" t="str">
        <f>_xlfn.XLOOKUP(tbl_MTG_Set[[#This Row],[Type Name]], tbl_MTG_Set_Type[Set Type], tbl_MTG_Set_Type[Buy Window Month Start], "(Set Type not found)")</f>
        <v>(Set Type not found)</v>
      </c>
      <c r="K801" s="3" t="e">
        <f>tbl_MTG_Set[[#This Row],[Released On]]+tbl_MTG_Set[[#This Row],[Buy Window Month Start]]*365.25/12</f>
        <v>#VALUE!</v>
      </c>
      <c r="L801" t="str">
        <f>_xlfn.XLOOKUP(tbl_MTG_Set[[#This Row],[Type Name]], tbl_MTG_Set_Type[Set Type], tbl_MTG_Set_Type[Buy Window Month End], "(Set Type not found)", 0, 1)</f>
        <v>(Set Type not found)</v>
      </c>
      <c r="M801" s="3" t="e">
        <f>tbl_MTG_Set[[#This Row],[Released On]]+tbl_MTG_Set[[#This Row],[Buy Window Month End]]*365.25/12</f>
        <v>#VALUE!</v>
      </c>
      <c r="N801" s="3" t="e">
        <f ca="1">AND(NOW()&gt;=tbl_MTG_Set[[#This Row],[Buy Window Start]], NOW()&lt;=tbl_MTG_Set[[#This Row],[Buy Window End]])</f>
        <v>#VALUE!</v>
      </c>
      <c r="O801" t="str">
        <f>_xlfn.XLOOKUP(tbl_MTG_Set[[#This Row],[Type Name]], tbl_MTG_Set_Type[Set Type], tbl_MTG_Set_Type[Heavy Printing Window Month Start], "(Set Type not found)", 0, 1)</f>
        <v>(Set Type not found)</v>
      </c>
      <c r="P801" s="3" t="e">
        <f>tbl_MTG_Set[[#This Row],[Released On]]+tbl_MTG_Set[[#This Row],[Heavy Printing Window Month Start]]*365.25/12</f>
        <v>#VALUE!</v>
      </c>
      <c r="Q801" t="str">
        <f>_xlfn.XLOOKUP(tbl_MTG_Set[[#This Row],[Type Name]], tbl_MTG_Set_Type[Set Type], tbl_MTG_Set_Type[Heavy Printing Window Month End], "(Set Type not found)", 0, 1)</f>
        <v>(Set Type not found)</v>
      </c>
      <c r="R801" s="3" t="e">
        <f>tbl_MTG_Set[[#This Row],[Released On]]+tbl_MTG_Set[[#This Row],[Heavy Printing Window Month End]]*365.25/12</f>
        <v>#VALUE!</v>
      </c>
      <c r="S801" s="3" t="e">
        <f ca="1">AND(NOW()&gt;=tbl_MTG_Set[[#This Row],[Heavy Printing Window Start]], NOW()&lt;=tbl_MTG_Set[[#This Row],[Heavy Printing Window End]])</f>
        <v>#VALUE!</v>
      </c>
      <c r="T801" t="str">
        <f>_xlfn.XLOOKUP(tbl_MTG_Set[[#This Row],[Type Name]], tbl_MTG_Set_Type[Set Type], tbl_MTG_Set_Type[Sell Window Month Start], "(Set Type not found)", 0, 1)</f>
        <v>(Set Type not found)</v>
      </c>
      <c r="U801" s="3" t="e">
        <f>tbl_MTG_Set[[#This Row],[Released On]]+tbl_MTG_Set[[#This Row],[Sell Window Month Start]]*365.25/12</f>
        <v>#VALUE!</v>
      </c>
      <c r="V801" t="str">
        <f>_xlfn.XLOOKUP(tbl_MTG_Set[[#This Row],[Type Name]], tbl_MTG_Set_Type[Set Type], tbl_MTG_Set_Type[Sell Window Month End], "(Set Type not found)", 0, 1)</f>
        <v>(Set Type not found)</v>
      </c>
      <c r="W801" s="3" t="e">
        <f>tbl_MTG_Set[[#This Row],[Released On]]+tbl_MTG_Set[[#This Row],[Sell Window Month End]]*365.25/12</f>
        <v>#VALUE!</v>
      </c>
      <c r="X801" s="3" t="e">
        <f ca="1">AND(NOW()&gt;=tbl_MTG_Set[[#This Row],[Sell Window Start]], NOW()&lt;=tbl_MTG_Set[[#This Row],[Sell Window End]])</f>
        <v>#VALUE!</v>
      </c>
      <c r="AG801" s="10"/>
      <c r="AH801" s="10"/>
      <c r="AM801" s="10" t="str" cm="1">
        <f t="array" ref="AM8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1" s="10" t="str" cm="1">
        <f t="array" ref="AN8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1" s="4" t="e">
        <f>_xlfn.XLOOKUP(tbl_MTG_Set[[#This Row],[Play Booster Box Product Id]], tbl_Product[Product Id], tbl_Product[Pack Size])</f>
        <v>#N/A</v>
      </c>
      <c r="AP801" s="10" t="e">
        <f>(tbl_MTG_Set[[#This Row],[Play Booster Box Cost]]+v_Item_Shipping_Cost_In)/tbl_MTG_Set[[#This Row],[Play Booster Box Size]]</f>
        <v>#VALUE!</v>
      </c>
      <c r="AQ801" s="10" t="str" cm="1">
        <f t="array" ref="AQ8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1" s="10"/>
      <c r="AS801" s="10"/>
      <c r="AT801" s="17" t="e">
        <f>tbl_MTG_Set[[#This Row],[Play Booster CardMarket Profit]]/tbl_MTG_Set[[#This Row],[Play Booster Cost]]</f>
        <v>#VALUE!</v>
      </c>
      <c r="AU801" s="10" t="e">
        <f>_xlfn.XLOOKUP(tbl_MTG_Set[[#This Row],[Collector Booster Box Product Id]], tbl_Product[Product Id], tbl_Product[Min Cost])</f>
        <v>#N/A</v>
      </c>
      <c r="AV801" s="10" t="e">
        <f>_xlfn.XLOOKUP(tbl_MTG_Set[[#This Row],[Collector Booster Box Product Id]], tbl_Product[Product Id], tbl_Product[Best Source])</f>
        <v>#N/A</v>
      </c>
      <c r="AW801" s="4" t="e">
        <f>_xlfn.XLOOKUP(tbl_MTG_Set[[#This Row],[Collector Booster Box Product Id]], tbl_Product[Product Id], tbl_Product[Pack Size])</f>
        <v>#N/A</v>
      </c>
      <c r="AX801" s="10" t="e">
        <f>(tbl_MTG_Set[[#This Row],[Collector Booster Box Cost]] + v_Item_Shipping_Cost_In) / tbl_MTG_Set[[#This Row],[Collector Booster Box Size]]</f>
        <v>#N/A</v>
      </c>
      <c r="AY801" s="10" t="str" cm="1">
        <f t="array" ref="AY8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1" s="10"/>
      <c r="BA8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1" s="17" t="e">
        <f>tbl_MTG_Set[[#This Row],[Collector Booster CardMarket Profit]]/tbl_MTG_Set[[#This Row],[Collector Booster Cost]]</f>
        <v>#N/A</v>
      </c>
      <c r="BC801" s="10"/>
      <c r="BF8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1" s="11" t="e">
        <f>tbl_MTG_Set[[#This Row],[Play Singles CardMarket Profit MTG Stocks]]/tbl_MTG_Set[[#This Row],[Play Booster Cost]]</f>
        <v>#VALUE!</v>
      </c>
      <c r="BI801" s="11" t="b">
        <f>tbl_MTG_Set[[#This Row],[Play Singles CardMarket Profit MTG Stocks]]&gt;0</f>
        <v>0</v>
      </c>
      <c r="BM801" s="10" t="e">
        <f>tbl_MTG_Set[[#This Row],[Play Booster Sell Price CardMarket]]*tbl_MTG_Set[[#This Row],[Play Booster Expected Market Value BotBox]]/tbl_MTG_Set[[#This Row],[Play Booster Sealed Market Value BotBox]]</f>
        <v>#VALUE!</v>
      </c>
      <c r="BN8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1" s="10" t="e">
        <f>tbl_MTG_Set[[#This Row],[Play Singles CardMarket Profit BotBox]]/tbl_MTG_Set[[#This Row],[Play Booster Cost]]</f>
        <v>#VALUE!</v>
      </c>
      <c r="BP801" s="10" t="b">
        <f>tbl_MTG_Set[[#This Row],[Play Singles CardMarket Profit BotBox]]&gt;0</f>
        <v>0</v>
      </c>
      <c r="BQ801" s="10"/>
      <c r="BR801" s="10"/>
      <c r="BS801" s="10"/>
      <c r="BT8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1" s="19" t="e">
        <f>tbl_MTG_Set[[#This Row],[Collector Singles CardMarket Profit MTG Stocks]]/tbl_MTG_Set[[#This Row],[Collector Booster Cost]]</f>
        <v>#N/A</v>
      </c>
      <c r="BW801" s="10" t="b">
        <f>tbl_MTG_Set[[#This Row],[Collector Singles CardMarket Profit MTG Stocks]]&gt;0</f>
        <v>0</v>
      </c>
      <c r="BX801" s="10"/>
      <c r="BY801" s="10"/>
      <c r="BZ8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1" s="10" t="e">
        <f>tbl_MTG_Set[[#This Row],[Collector Singles CardMarket Profit BotBox]]/tbl_MTG_Set[[#This Row],[Collector Booster Cost]]</f>
        <v>#N/A</v>
      </c>
      <c r="CC801" s="10" t="b">
        <f>tbl_MTG_Set[[#This Row],[Collector Singles CardMarket Profit BotBox]]&gt;0</f>
        <v>0</v>
      </c>
      <c r="CD8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2" spans="1:86" hidden="1">
      <c r="A802">
        <v>834</v>
      </c>
      <c r="B802" t="s">
        <v>975</v>
      </c>
      <c r="C802">
        <v>17</v>
      </c>
      <c r="D802" s="3">
        <v>39122</v>
      </c>
      <c r="F802" t="s">
        <v>174</v>
      </c>
      <c r="G802">
        <v>1614</v>
      </c>
      <c r="H802">
        <f ca="1">MONTH(NOW())+12*YEAR(NOW())-MONTH(tbl_MTG_Set[[#This Row],[Released On]])-12*YEAR(tbl_MTG_Set[[#This Row],[Released On]])</f>
        <v>229</v>
      </c>
      <c r="I802" t="str">
        <f>_xlfn.XLOOKUP(tbl_MTG_Set[[#This Row],[Type Name]], tbl_MTG_Set_Type[Set Type], tbl_MTG_Set_Type[Index], "(Set Type not found)")</f>
        <v>(Set Type not found)</v>
      </c>
      <c r="J802" t="str">
        <f>_xlfn.XLOOKUP(tbl_MTG_Set[[#This Row],[Type Name]], tbl_MTG_Set_Type[Set Type], tbl_MTG_Set_Type[Buy Window Month Start], "(Set Type not found)")</f>
        <v>(Set Type not found)</v>
      </c>
      <c r="K802" s="3" t="e">
        <f>tbl_MTG_Set[[#This Row],[Released On]]+tbl_MTG_Set[[#This Row],[Buy Window Month Start]]*365.25/12</f>
        <v>#VALUE!</v>
      </c>
      <c r="L802" t="str">
        <f>_xlfn.XLOOKUP(tbl_MTG_Set[[#This Row],[Type Name]], tbl_MTG_Set_Type[Set Type], tbl_MTG_Set_Type[Buy Window Month End], "(Set Type not found)", 0, 1)</f>
        <v>(Set Type not found)</v>
      </c>
      <c r="M802" s="3" t="e">
        <f>tbl_MTG_Set[[#This Row],[Released On]]+tbl_MTG_Set[[#This Row],[Buy Window Month End]]*365.25/12</f>
        <v>#VALUE!</v>
      </c>
      <c r="N802" s="3" t="e">
        <f ca="1">AND(NOW()&gt;=tbl_MTG_Set[[#This Row],[Buy Window Start]], NOW()&lt;=tbl_MTG_Set[[#This Row],[Buy Window End]])</f>
        <v>#VALUE!</v>
      </c>
      <c r="O802" t="str">
        <f>_xlfn.XLOOKUP(tbl_MTG_Set[[#This Row],[Type Name]], tbl_MTG_Set_Type[Set Type], tbl_MTG_Set_Type[Heavy Printing Window Month Start], "(Set Type not found)", 0, 1)</f>
        <v>(Set Type not found)</v>
      </c>
      <c r="P802" s="3" t="e">
        <f>tbl_MTG_Set[[#This Row],[Released On]]+tbl_MTG_Set[[#This Row],[Heavy Printing Window Month Start]]*365.25/12</f>
        <v>#VALUE!</v>
      </c>
      <c r="Q802" t="str">
        <f>_xlfn.XLOOKUP(tbl_MTG_Set[[#This Row],[Type Name]], tbl_MTG_Set_Type[Set Type], tbl_MTG_Set_Type[Heavy Printing Window Month End], "(Set Type not found)", 0, 1)</f>
        <v>(Set Type not found)</v>
      </c>
      <c r="R802" s="3" t="e">
        <f>tbl_MTG_Set[[#This Row],[Released On]]+tbl_MTG_Set[[#This Row],[Heavy Printing Window Month End]]*365.25/12</f>
        <v>#VALUE!</v>
      </c>
      <c r="S802" s="3" t="e">
        <f ca="1">AND(NOW()&gt;=tbl_MTG_Set[[#This Row],[Heavy Printing Window Start]], NOW()&lt;=tbl_MTG_Set[[#This Row],[Heavy Printing Window End]])</f>
        <v>#VALUE!</v>
      </c>
      <c r="T802" t="str">
        <f>_xlfn.XLOOKUP(tbl_MTG_Set[[#This Row],[Type Name]], tbl_MTG_Set_Type[Set Type], tbl_MTG_Set_Type[Sell Window Month Start], "(Set Type not found)", 0, 1)</f>
        <v>(Set Type not found)</v>
      </c>
      <c r="U802" s="3" t="e">
        <f>tbl_MTG_Set[[#This Row],[Released On]]+tbl_MTG_Set[[#This Row],[Sell Window Month Start]]*365.25/12</f>
        <v>#VALUE!</v>
      </c>
      <c r="V802" t="str">
        <f>_xlfn.XLOOKUP(tbl_MTG_Set[[#This Row],[Type Name]], tbl_MTG_Set_Type[Set Type], tbl_MTG_Set_Type[Sell Window Month End], "(Set Type not found)", 0, 1)</f>
        <v>(Set Type not found)</v>
      </c>
      <c r="W802" s="3" t="e">
        <f>tbl_MTG_Set[[#This Row],[Released On]]+tbl_MTG_Set[[#This Row],[Sell Window Month End]]*365.25/12</f>
        <v>#VALUE!</v>
      </c>
      <c r="X802" s="3" t="e">
        <f ca="1">AND(NOW()&gt;=tbl_MTG_Set[[#This Row],[Sell Window Start]], NOW()&lt;=tbl_MTG_Set[[#This Row],[Sell Window End]])</f>
        <v>#VALUE!</v>
      </c>
      <c r="AG802" s="10"/>
      <c r="AH802" s="10"/>
      <c r="AM802" s="10" t="str" cm="1">
        <f t="array" ref="AM8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2" s="10" t="str" cm="1">
        <f t="array" ref="AN8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2" s="4" t="e">
        <f>_xlfn.XLOOKUP(tbl_MTG_Set[[#This Row],[Play Booster Box Product Id]], tbl_Product[Product Id], tbl_Product[Pack Size])</f>
        <v>#N/A</v>
      </c>
      <c r="AP802" s="10" t="e">
        <f>(tbl_MTG_Set[[#This Row],[Play Booster Box Cost]]+v_Item_Shipping_Cost_In)/tbl_MTG_Set[[#This Row],[Play Booster Box Size]]</f>
        <v>#VALUE!</v>
      </c>
      <c r="AQ802" s="10" t="str" cm="1">
        <f t="array" ref="AQ8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2" s="10"/>
      <c r="AS802" s="10"/>
      <c r="AT802" s="17" t="e">
        <f>tbl_MTG_Set[[#This Row],[Play Booster CardMarket Profit]]/tbl_MTG_Set[[#This Row],[Play Booster Cost]]</f>
        <v>#VALUE!</v>
      </c>
      <c r="AU802" s="10" t="e">
        <f>_xlfn.XLOOKUP(tbl_MTG_Set[[#This Row],[Collector Booster Box Product Id]], tbl_Product[Product Id], tbl_Product[Min Cost])</f>
        <v>#N/A</v>
      </c>
      <c r="AV802" s="10" t="e">
        <f>_xlfn.XLOOKUP(tbl_MTG_Set[[#This Row],[Collector Booster Box Product Id]], tbl_Product[Product Id], tbl_Product[Best Source])</f>
        <v>#N/A</v>
      </c>
      <c r="AW802" s="4" t="e">
        <f>_xlfn.XLOOKUP(tbl_MTG_Set[[#This Row],[Collector Booster Box Product Id]], tbl_Product[Product Id], tbl_Product[Pack Size])</f>
        <v>#N/A</v>
      </c>
      <c r="AX802" s="10" t="e">
        <f>(tbl_MTG_Set[[#This Row],[Collector Booster Box Cost]] + v_Item_Shipping_Cost_In) / tbl_MTG_Set[[#This Row],[Collector Booster Box Size]]</f>
        <v>#N/A</v>
      </c>
      <c r="AY802" s="10" t="str" cm="1">
        <f t="array" ref="AY8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2" s="10"/>
      <c r="BA8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2" s="17" t="e">
        <f>tbl_MTG_Set[[#This Row],[Collector Booster CardMarket Profit]]/tbl_MTG_Set[[#This Row],[Collector Booster Cost]]</f>
        <v>#N/A</v>
      </c>
      <c r="BC802" s="10"/>
      <c r="BF8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2" s="11" t="e">
        <f>tbl_MTG_Set[[#This Row],[Play Singles CardMarket Profit MTG Stocks]]/tbl_MTG_Set[[#This Row],[Play Booster Cost]]</f>
        <v>#VALUE!</v>
      </c>
      <c r="BI802" s="11" t="b">
        <f>tbl_MTG_Set[[#This Row],[Play Singles CardMarket Profit MTG Stocks]]&gt;0</f>
        <v>0</v>
      </c>
      <c r="BM802" s="10" t="e">
        <f>tbl_MTG_Set[[#This Row],[Play Booster Sell Price CardMarket]]*tbl_MTG_Set[[#This Row],[Play Booster Expected Market Value BotBox]]/tbl_MTG_Set[[#This Row],[Play Booster Sealed Market Value BotBox]]</f>
        <v>#VALUE!</v>
      </c>
      <c r="BN8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2" s="10" t="e">
        <f>tbl_MTG_Set[[#This Row],[Play Singles CardMarket Profit BotBox]]/tbl_MTG_Set[[#This Row],[Play Booster Cost]]</f>
        <v>#VALUE!</v>
      </c>
      <c r="BP802" s="10" t="b">
        <f>tbl_MTG_Set[[#This Row],[Play Singles CardMarket Profit BotBox]]&gt;0</f>
        <v>0</v>
      </c>
      <c r="BQ802" s="10"/>
      <c r="BR802" s="10"/>
      <c r="BS802" s="10"/>
      <c r="BT8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2" s="19" t="e">
        <f>tbl_MTG_Set[[#This Row],[Collector Singles CardMarket Profit MTG Stocks]]/tbl_MTG_Set[[#This Row],[Collector Booster Cost]]</f>
        <v>#N/A</v>
      </c>
      <c r="BW802" s="10" t="b">
        <f>tbl_MTG_Set[[#This Row],[Collector Singles CardMarket Profit MTG Stocks]]&gt;0</f>
        <v>0</v>
      </c>
      <c r="BX802" s="10"/>
      <c r="BY802" s="10"/>
      <c r="BZ8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2" s="10" t="e">
        <f>tbl_MTG_Set[[#This Row],[Collector Singles CardMarket Profit BotBox]]/tbl_MTG_Set[[#This Row],[Collector Booster Cost]]</f>
        <v>#N/A</v>
      </c>
      <c r="CC802" s="10" t="b">
        <f>tbl_MTG_Set[[#This Row],[Collector Singles CardMarket Profit BotBox]]&gt;0</f>
        <v>0</v>
      </c>
      <c r="CD8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3" spans="1:86" hidden="1">
      <c r="A803">
        <v>835</v>
      </c>
      <c r="B803" t="s">
        <v>976</v>
      </c>
      <c r="C803">
        <v>165</v>
      </c>
      <c r="D803" s="3">
        <v>39115</v>
      </c>
      <c r="F803" t="s">
        <v>174</v>
      </c>
      <c r="G803">
        <v>1616</v>
      </c>
      <c r="H803">
        <f ca="1">MONTH(NOW())+12*YEAR(NOW())-MONTH(tbl_MTG_Set[[#This Row],[Released On]])-12*YEAR(tbl_MTG_Set[[#This Row],[Released On]])</f>
        <v>229</v>
      </c>
      <c r="I803" t="str">
        <f>_xlfn.XLOOKUP(tbl_MTG_Set[[#This Row],[Type Name]], tbl_MTG_Set_Type[Set Type], tbl_MTG_Set_Type[Index], "(Set Type not found)")</f>
        <v>(Set Type not found)</v>
      </c>
      <c r="J803" t="str">
        <f>_xlfn.XLOOKUP(tbl_MTG_Set[[#This Row],[Type Name]], tbl_MTG_Set_Type[Set Type], tbl_MTG_Set_Type[Buy Window Month Start], "(Set Type not found)")</f>
        <v>(Set Type not found)</v>
      </c>
      <c r="K803" s="3" t="e">
        <f>tbl_MTG_Set[[#This Row],[Released On]]+tbl_MTG_Set[[#This Row],[Buy Window Month Start]]*365.25/12</f>
        <v>#VALUE!</v>
      </c>
      <c r="L803" t="str">
        <f>_xlfn.XLOOKUP(tbl_MTG_Set[[#This Row],[Type Name]], tbl_MTG_Set_Type[Set Type], tbl_MTG_Set_Type[Buy Window Month End], "(Set Type not found)", 0, 1)</f>
        <v>(Set Type not found)</v>
      </c>
      <c r="M803" s="3" t="e">
        <f>tbl_MTG_Set[[#This Row],[Released On]]+tbl_MTG_Set[[#This Row],[Buy Window Month End]]*365.25/12</f>
        <v>#VALUE!</v>
      </c>
      <c r="N803" s="3" t="e">
        <f ca="1">AND(NOW()&gt;=tbl_MTG_Set[[#This Row],[Buy Window Start]], NOW()&lt;=tbl_MTG_Set[[#This Row],[Buy Window End]])</f>
        <v>#VALUE!</v>
      </c>
      <c r="O803" t="str">
        <f>_xlfn.XLOOKUP(tbl_MTG_Set[[#This Row],[Type Name]], tbl_MTG_Set_Type[Set Type], tbl_MTG_Set_Type[Heavy Printing Window Month Start], "(Set Type not found)", 0, 1)</f>
        <v>(Set Type not found)</v>
      </c>
      <c r="P803" s="3" t="e">
        <f>tbl_MTG_Set[[#This Row],[Released On]]+tbl_MTG_Set[[#This Row],[Heavy Printing Window Month Start]]*365.25/12</f>
        <v>#VALUE!</v>
      </c>
      <c r="Q803" t="str">
        <f>_xlfn.XLOOKUP(tbl_MTG_Set[[#This Row],[Type Name]], tbl_MTG_Set_Type[Set Type], tbl_MTG_Set_Type[Heavy Printing Window Month End], "(Set Type not found)", 0, 1)</f>
        <v>(Set Type not found)</v>
      </c>
      <c r="R803" s="3" t="e">
        <f>tbl_MTG_Set[[#This Row],[Released On]]+tbl_MTG_Set[[#This Row],[Heavy Printing Window Month End]]*365.25/12</f>
        <v>#VALUE!</v>
      </c>
      <c r="S803" s="3" t="e">
        <f ca="1">AND(NOW()&gt;=tbl_MTG_Set[[#This Row],[Heavy Printing Window Start]], NOW()&lt;=tbl_MTG_Set[[#This Row],[Heavy Printing Window End]])</f>
        <v>#VALUE!</v>
      </c>
      <c r="T803" t="str">
        <f>_xlfn.XLOOKUP(tbl_MTG_Set[[#This Row],[Type Name]], tbl_MTG_Set_Type[Set Type], tbl_MTG_Set_Type[Sell Window Month Start], "(Set Type not found)", 0, 1)</f>
        <v>(Set Type not found)</v>
      </c>
      <c r="U803" s="3" t="e">
        <f>tbl_MTG_Set[[#This Row],[Released On]]+tbl_MTG_Set[[#This Row],[Sell Window Month Start]]*365.25/12</f>
        <v>#VALUE!</v>
      </c>
      <c r="V803" t="str">
        <f>_xlfn.XLOOKUP(tbl_MTG_Set[[#This Row],[Type Name]], tbl_MTG_Set_Type[Set Type], tbl_MTG_Set_Type[Sell Window Month End], "(Set Type not found)", 0, 1)</f>
        <v>(Set Type not found)</v>
      </c>
      <c r="W803" s="3" t="e">
        <f>tbl_MTG_Set[[#This Row],[Released On]]+tbl_MTG_Set[[#This Row],[Sell Window Month End]]*365.25/12</f>
        <v>#VALUE!</v>
      </c>
      <c r="X803" s="3" t="e">
        <f ca="1">AND(NOW()&gt;=tbl_MTG_Set[[#This Row],[Sell Window Start]], NOW()&lt;=tbl_MTG_Set[[#This Row],[Sell Window End]])</f>
        <v>#VALUE!</v>
      </c>
      <c r="AG803" s="10"/>
      <c r="AH803" s="10"/>
      <c r="AM803" s="10" t="str" cm="1">
        <f t="array" ref="AM8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3" s="10" t="str" cm="1">
        <f t="array" ref="AN8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3" s="4" t="e">
        <f>_xlfn.XLOOKUP(tbl_MTG_Set[[#This Row],[Play Booster Box Product Id]], tbl_Product[Product Id], tbl_Product[Pack Size])</f>
        <v>#N/A</v>
      </c>
      <c r="AP803" s="10" t="e">
        <f>(tbl_MTG_Set[[#This Row],[Play Booster Box Cost]]+v_Item_Shipping_Cost_In)/tbl_MTG_Set[[#This Row],[Play Booster Box Size]]</f>
        <v>#VALUE!</v>
      </c>
      <c r="AQ803" s="10" t="str" cm="1">
        <f t="array" ref="AQ8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3" s="10"/>
      <c r="AS803" s="10"/>
      <c r="AT803" s="17" t="e">
        <f>tbl_MTG_Set[[#This Row],[Play Booster CardMarket Profit]]/tbl_MTG_Set[[#This Row],[Play Booster Cost]]</f>
        <v>#VALUE!</v>
      </c>
      <c r="AU803" s="10" t="e">
        <f>_xlfn.XLOOKUP(tbl_MTG_Set[[#This Row],[Collector Booster Box Product Id]], tbl_Product[Product Id], tbl_Product[Min Cost])</f>
        <v>#N/A</v>
      </c>
      <c r="AV803" s="10" t="e">
        <f>_xlfn.XLOOKUP(tbl_MTG_Set[[#This Row],[Collector Booster Box Product Id]], tbl_Product[Product Id], tbl_Product[Best Source])</f>
        <v>#N/A</v>
      </c>
      <c r="AW803" s="4" t="e">
        <f>_xlfn.XLOOKUP(tbl_MTG_Set[[#This Row],[Collector Booster Box Product Id]], tbl_Product[Product Id], tbl_Product[Pack Size])</f>
        <v>#N/A</v>
      </c>
      <c r="AX803" s="10" t="e">
        <f>(tbl_MTG_Set[[#This Row],[Collector Booster Box Cost]] + v_Item_Shipping_Cost_In) / tbl_MTG_Set[[#This Row],[Collector Booster Box Size]]</f>
        <v>#N/A</v>
      </c>
      <c r="AY803" s="10" t="str" cm="1">
        <f t="array" ref="AY8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3" s="10"/>
      <c r="BA8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3" s="17" t="e">
        <f>tbl_MTG_Set[[#This Row],[Collector Booster CardMarket Profit]]/tbl_MTG_Set[[#This Row],[Collector Booster Cost]]</f>
        <v>#N/A</v>
      </c>
      <c r="BC803" s="10"/>
      <c r="BF8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3" s="11" t="e">
        <f>tbl_MTG_Set[[#This Row],[Play Singles CardMarket Profit MTG Stocks]]/tbl_MTG_Set[[#This Row],[Play Booster Cost]]</f>
        <v>#VALUE!</v>
      </c>
      <c r="BI803" s="11" t="b">
        <f>tbl_MTG_Set[[#This Row],[Play Singles CardMarket Profit MTG Stocks]]&gt;0</f>
        <v>0</v>
      </c>
      <c r="BM803" s="10" t="e">
        <f>tbl_MTG_Set[[#This Row],[Play Booster Sell Price CardMarket]]*tbl_MTG_Set[[#This Row],[Play Booster Expected Market Value BotBox]]/tbl_MTG_Set[[#This Row],[Play Booster Sealed Market Value BotBox]]</f>
        <v>#VALUE!</v>
      </c>
      <c r="BN8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3" s="10" t="e">
        <f>tbl_MTG_Set[[#This Row],[Play Singles CardMarket Profit BotBox]]/tbl_MTG_Set[[#This Row],[Play Booster Cost]]</f>
        <v>#VALUE!</v>
      </c>
      <c r="BP803" s="10" t="b">
        <f>tbl_MTG_Set[[#This Row],[Play Singles CardMarket Profit BotBox]]&gt;0</f>
        <v>0</v>
      </c>
      <c r="BQ803" s="10"/>
      <c r="BR803" s="10"/>
      <c r="BS803" s="10"/>
      <c r="BT8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3" s="19" t="e">
        <f>tbl_MTG_Set[[#This Row],[Collector Singles CardMarket Profit MTG Stocks]]/tbl_MTG_Set[[#This Row],[Collector Booster Cost]]</f>
        <v>#N/A</v>
      </c>
      <c r="BW803" s="10" t="b">
        <f>tbl_MTG_Set[[#This Row],[Collector Singles CardMarket Profit MTG Stocks]]&gt;0</f>
        <v>0</v>
      </c>
      <c r="BX803" s="10"/>
      <c r="BY803" s="10"/>
      <c r="BZ8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3" s="10" t="e">
        <f>tbl_MTG_Set[[#This Row],[Collector Singles CardMarket Profit BotBox]]/tbl_MTG_Set[[#This Row],[Collector Booster Cost]]</f>
        <v>#N/A</v>
      </c>
      <c r="CC803" s="10" t="b">
        <f>tbl_MTG_Set[[#This Row],[Collector Singles CardMarket Profit BotBox]]&gt;0</f>
        <v>0</v>
      </c>
      <c r="CD8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4" spans="1:86" hidden="1">
      <c r="A804">
        <v>836</v>
      </c>
      <c r="B804" t="s">
        <v>977</v>
      </c>
      <c r="C804">
        <v>2</v>
      </c>
      <c r="D804" s="3">
        <v>39115</v>
      </c>
      <c r="F804" t="s">
        <v>174</v>
      </c>
      <c r="G804">
        <v>1618</v>
      </c>
      <c r="H804">
        <f ca="1">MONTH(NOW())+12*YEAR(NOW())-MONTH(tbl_MTG_Set[[#This Row],[Released On]])-12*YEAR(tbl_MTG_Set[[#This Row],[Released On]])</f>
        <v>229</v>
      </c>
      <c r="I804" t="str">
        <f>_xlfn.XLOOKUP(tbl_MTG_Set[[#This Row],[Type Name]], tbl_MTG_Set_Type[Set Type], tbl_MTG_Set_Type[Index], "(Set Type not found)")</f>
        <v>(Set Type not found)</v>
      </c>
      <c r="J804" t="str">
        <f>_xlfn.XLOOKUP(tbl_MTG_Set[[#This Row],[Type Name]], tbl_MTG_Set_Type[Set Type], tbl_MTG_Set_Type[Buy Window Month Start], "(Set Type not found)")</f>
        <v>(Set Type not found)</v>
      </c>
      <c r="K804" s="3" t="e">
        <f>tbl_MTG_Set[[#This Row],[Released On]]+tbl_MTG_Set[[#This Row],[Buy Window Month Start]]*365.25/12</f>
        <v>#VALUE!</v>
      </c>
      <c r="L804" t="str">
        <f>_xlfn.XLOOKUP(tbl_MTG_Set[[#This Row],[Type Name]], tbl_MTG_Set_Type[Set Type], tbl_MTG_Set_Type[Buy Window Month End], "(Set Type not found)", 0, 1)</f>
        <v>(Set Type not found)</v>
      </c>
      <c r="M804" s="3" t="e">
        <f>tbl_MTG_Set[[#This Row],[Released On]]+tbl_MTG_Set[[#This Row],[Buy Window Month End]]*365.25/12</f>
        <v>#VALUE!</v>
      </c>
      <c r="N804" s="3" t="e">
        <f ca="1">AND(NOW()&gt;=tbl_MTG_Set[[#This Row],[Buy Window Start]], NOW()&lt;=tbl_MTG_Set[[#This Row],[Buy Window End]])</f>
        <v>#VALUE!</v>
      </c>
      <c r="O804" t="str">
        <f>_xlfn.XLOOKUP(tbl_MTG_Set[[#This Row],[Type Name]], tbl_MTG_Set_Type[Set Type], tbl_MTG_Set_Type[Heavy Printing Window Month Start], "(Set Type not found)", 0, 1)</f>
        <v>(Set Type not found)</v>
      </c>
      <c r="P804" s="3" t="e">
        <f>tbl_MTG_Set[[#This Row],[Released On]]+tbl_MTG_Set[[#This Row],[Heavy Printing Window Month Start]]*365.25/12</f>
        <v>#VALUE!</v>
      </c>
      <c r="Q804" t="str">
        <f>_xlfn.XLOOKUP(tbl_MTG_Set[[#This Row],[Type Name]], tbl_MTG_Set_Type[Set Type], tbl_MTG_Set_Type[Heavy Printing Window Month End], "(Set Type not found)", 0, 1)</f>
        <v>(Set Type not found)</v>
      </c>
      <c r="R804" s="3" t="e">
        <f>tbl_MTG_Set[[#This Row],[Released On]]+tbl_MTG_Set[[#This Row],[Heavy Printing Window Month End]]*365.25/12</f>
        <v>#VALUE!</v>
      </c>
      <c r="S804" s="3" t="e">
        <f ca="1">AND(NOW()&gt;=tbl_MTG_Set[[#This Row],[Heavy Printing Window Start]], NOW()&lt;=tbl_MTG_Set[[#This Row],[Heavy Printing Window End]])</f>
        <v>#VALUE!</v>
      </c>
      <c r="T804" t="str">
        <f>_xlfn.XLOOKUP(tbl_MTG_Set[[#This Row],[Type Name]], tbl_MTG_Set_Type[Set Type], tbl_MTG_Set_Type[Sell Window Month Start], "(Set Type not found)", 0, 1)</f>
        <v>(Set Type not found)</v>
      </c>
      <c r="U804" s="3" t="e">
        <f>tbl_MTG_Set[[#This Row],[Released On]]+tbl_MTG_Set[[#This Row],[Sell Window Month Start]]*365.25/12</f>
        <v>#VALUE!</v>
      </c>
      <c r="V804" t="str">
        <f>_xlfn.XLOOKUP(tbl_MTG_Set[[#This Row],[Type Name]], tbl_MTG_Set_Type[Set Type], tbl_MTG_Set_Type[Sell Window Month End], "(Set Type not found)", 0, 1)</f>
        <v>(Set Type not found)</v>
      </c>
      <c r="W804" s="3" t="e">
        <f>tbl_MTG_Set[[#This Row],[Released On]]+tbl_MTG_Set[[#This Row],[Sell Window Month End]]*365.25/12</f>
        <v>#VALUE!</v>
      </c>
      <c r="X804" s="3" t="e">
        <f ca="1">AND(NOW()&gt;=tbl_MTG_Set[[#This Row],[Sell Window Start]], NOW()&lt;=tbl_MTG_Set[[#This Row],[Sell Window End]])</f>
        <v>#VALUE!</v>
      </c>
      <c r="AG804" s="10"/>
      <c r="AH804" s="10"/>
      <c r="AM804" s="10" t="str" cm="1">
        <f t="array" ref="AM8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4" s="10" t="str" cm="1">
        <f t="array" ref="AN8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4" s="4" t="e">
        <f>_xlfn.XLOOKUP(tbl_MTG_Set[[#This Row],[Play Booster Box Product Id]], tbl_Product[Product Id], tbl_Product[Pack Size])</f>
        <v>#N/A</v>
      </c>
      <c r="AP804" s="10" t="e">
        <f>(tbl_MTG_Set[[#This Row],[Play Booster Box Cost]]+v_Item_Shipping_Cost_In)/tbl_MTG_Set[[#This Row],[Play Booster Box Size]]</f>
        <v>#VALUE!</v>
      </c>
      <c r="AQ804" s="10" t="str" cm="1">
        <f t="array" ref="AQ8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4" s="10"/>
      <c r="AS804" s="10"/>
      <c r="AT804" s="17" t="e">
        <f>tbl_MTG_Set[[#This Row],[Play Booster CardMarket Profit]]/tbl_MTG_Set[[#This Row],[Play Booster Cost]]</f>
        <v>#VALUE!</v>
      </c>
      <c r="AU804" s="10" t="e">
        <f>_xlfn.XLOOKUP(tbl_MTG_Set[[#This Row],[Collector Booster Box Product Id]], tbl_Product[Product Id], tbl_Product[Min Cost])</f>
        <v>#N/A</v>
      </c>
      <c r="AV804" s="10" t="e">
        <f>_xlfn.XLOOKUP(tbl_MTG_Set[[#This Row],[Collector Booster Box Product Id]], tbl_Product[Product Id], tbl_Product[Best Source])</f>
        <v>#N/A</v>
      </c>
      <c r="AW804" s="4" t="e">
        <f>_xlfn.XLOOKUP(tbl_MTG_Set[[#This Row],[Collector Booster Box Product Id]], tbl_Product[Product Id], tbl_Product[Pack Size])</f>
        <v>#N/A</v>
      </c>
      <c r="AX804" s="10" t="e">
        <f>(tbl_MTG_Set[[#This Row],[Collector Booster Box Cost]] + v_Item_Shipping_Cost_In) / tbl_MTG_Set[[#This Row],[Collector Booster Box Size]]</f>
        <v>#N/A</v>
      </c>
      <c r="AY804" s="10" t="str" cm="1">
        <f t="array" ref="AY8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4" s="10"/>
      <c r="BA8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4" s="17" t="e">
        <f>tbl_MTG_Set[[#This Row],[Collector Booster CardMarket Profit]]/tbl_MTG_Set[[#This Row],[Collector Booster Cost]]</f>
        <v>#N/A</v>
      </c>
      <c r="BC804" s="10"/>
      <c r="BF8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4" s="11" t="e">
        <f>tbl_MTG_Set[[#This Row],[Play Singles CardMarket Profit MTG Stocks]]/tbl_MTG_Set[[#This Row],[Play Booster Cost]]</f>
        <v>#VALUE!</v>
      </c>
      <c r="BI804" s="11" t="b">
        <f>tbl_MTG_Set[[#This Row],[Play Singles CardMarket Profit MTG Stocks]]&gt;0</f>
        <v>0</v>
      </c>
      <c r="BM804" s="10" t="e">
        <f>tbl_MTG_Set[[#This Row],[Play Booster Sell Price CardMarket]]*tbl_MTG_Set[[#This Row],[Play Booster Expected Market Value BotBox]]/tbl_MTG_Set[[#This Row],[Play Booster Sealed Market Value BotBox]]</f>
        <v>#VALUE!</v>
      </c>
      <c r="BN8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4" s="10" t="e">
        <f>tbl_MTG_Set[[#This Row],[Play Singles CardMarket Profit BotBox]]/tbl_MTG_Set[[#This Row],[Play Booster Cost]]</f>
        <v>#VALUE!</v>
      </c>
      <c r="BP804" s="10" t="b">
        <f>tbl_MTG_Set[[#This Row],[Play Singles CardMarket Profit BotBox]]&gt;0</f>
        <v>0</v>
      </c>
      <c r="BQ804" s="10"/>
      <c r="BR804" s="10"/>
      <c r="BS804" s="10"/>
      <c r="BT8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4" s="19" t="e">
        <f>tbl_MTG_Set[[#This Row],[Collector Singles CardMarket Profit MTG Stocks]]/tbl_MTG_Set[[#This Row],[Collector Booster Cost]]</f>
        <v>#N/A</v>
      </c>
      <c r="BW804" s="10" t="b">
        <f>tbl_MTG_Set[[#This Row],[Collector Singles CardMarket Profit MTG Stocks]]&gt;0</f>
        <v>0</v>
      </c>
      <c r="BX804" s="10"/>
      <c r="BY804" s="10"/>
      <c r="BZ8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4" s="10" t="e">
        <f>tbl_MTG_Set[[#This Row],[Collector Singles CardMarket Profit BotBox]]/tbl_MTG_Set[[#This Row],[Collector Booster Cost]]</f>
        <v>#N/A</v>
      </c>
      <c r="CC804" s="10" t="b">
        <f>tbl_MTG_Set[[#This Row],[Collector Singles CardMarket Profit BotBox]]&gt;0</f>
        <v>0</v>
      </c>
      <c r="CD8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5" spans="1:86" hidden="1">
      <c r="A805">
        <v>837</v>
      </c>
      <c r="B805" t="s">
        <v>978</v>
      </c>
      <c r="C805">
        <v>5</v>
      </c>
      <c r="D805" s="3">
        <v>39083</v>
      </c>
      <c r="F805" t="s">
        <v>174</v>
      </c>
      <c r="G805">
        <v>1620</v>
      </c>
      <c r="H805">
        <f ca="1">MONTH(NOW())+12*YEAR(NOW())-MONTH(tbl_MTG_Set[[#This Row],[Released On]])-12*YEAR(tbl_MTG_Set[[#This Row],[Released On]])</f>
        <v>230</v>
      </c>
      <c r="I805" t="str">
        <f>_xlfn.XLOOKUP(tbl_MTG_Set[[#This Row],[Type Name]], tbl_MTG_Set_Type[Set Type], tbl_MTG_Set_Type[Index], "(Set Type not found)")</f>
        <v>(Set Type not found)</v>
      </c>
      <c r="J805" t="str">
        <f>_xlfn.XLOOKUP(tbl_MTG_Set[[#This Row],[Type Name]], tbl_MTG_Set_Type[Set Type], tbl_MTG_Set_Type[Buy Window Month Start], "(Set Type not found)")</f>
        <v>(Set Type not found)</v>
      </c>
      <c r="K805" s="3" t="e">
        <f>tbl_MTG_Set[[#This Row],[Released On]]+tbl_MTG_Set[[#This Row],[Buy Window Month Start]]*365.25/12</f>
        <v>#VALUE!</v>
      </c>
      <c r="L805" t="str">
        <f>_xlfn.XLOOKUP(tbl_MTG_Set[[#This Row],[Type Name]], tbl_MTG_Set_Type[Set Type], tbl_MTG_Set_Type[Buy Window Month End], "(Set Type not found)", 0, 1)</f>
        <v>(Set Type not found)</v>
      </c>
      <c r="M805" s="3" t="e">
        <f>tbl_MTG_Set[[#This Row],[Released On]]+tbl_MTG_Set[[#This Row],[Buy Window Month End]]*365.25/12</f>
        <v>#VALUE!</v>
      </c>
      <c r="N805" s="3" t="e">
        <f ca="1">AND(NOW()&gt;=tbl_MTG_Set[[#This Row],[Buy Window Start]], NOW()&lt;=tbl_MTG_Set[[#This Row],[Buy Window End]])</f>
        <v>#VALUE!</v>
      </c>
      <c r="O805" t="str">
        <f>_xlfn.XLOOKUP(tbl_MTG_Set[[#This Row],[Type Name]], tbl_MTG_Set_Type[Set Type], tbl_MTG_Set_Type[Heavy Printing Window Month Start], "(Set Type not found)", 0, 1)</f>
        <v>(Set Type not found)</v>
      </c>
      <c r="P805" s="3" t="e">
        <f>tbl_MTG_Set[[#This Row],[Released On]]+tbl_MTG_Set[[#This Row],[Heavy Printing Window Month Start]]*365.25/12</f>
        <v>#VALUE!</v>
      </c>
      <c r="Q805" t="str">
        <f>_xlfn.XLOOKUP(tbl_MTG_Set[[#This Row],[Type Name]], tbl_MTG_Set_Type[Set Type], tbl_MTG_Set_Type[Heavy Printing Window Month End], "(Set Type not found)", 0, 1)</f>
        <v>(Set Type not found)</v>
      </c>
      <c r="R805" s="3" t="e">
        <f>tbl_MTG_Set[[#This Row],[Released On]]+tbl_MTG_Set[[#This Row],[Heavy Printing Window Month End]]*365.25/12</f>
        <v>#VALUE!</v>
      </c>
      <c r="S805" s="3" t="e">
        <f ca="1">AND(NOW()&gt;=tbl_MTG_Set[[#This Row],[Heavy Printing Window Start]], NOW()&lt;=tbl_MTG_Set[[#This Row],[Heavy Printing Window End]])</f>
        <v>#VALUE!</v>
      </c>
      <c r="T805" t="str">
        <f>_xlfn.XLOOKUP(tbl_MTG_Set[[#This Row],[Type Name]], tbl_MTG_Set_Type[Set Type], tbl_MTG_Set_Type[Sell Window Month Start], "(Set Type not found)", 0, 1)</f>
        <v>(Set Type not found)</v>
      </c>
      <c r="U805" s="3" t="e">
        <f>tbl_MTG_Set[[#This Row],[Released On]]+tbl_MTG_Set[[#This Row],[Sell Window Month Start]]*365.25/12</f>
        <v>#VALUE!</v>
      </c>
      <c r="V805" t="str">
        <f>_xlfn.XLOOKUP(tbl_MTG_Set[[#This Row],[Type Name]], tbl_MTG_Set_Type[Set Type], tbl_MTG_Set_Type[Sell Window Month End], "(Set Type not found)", 0, 1)</f>
        <v>(Set Type not found)</v>
      </c>
      <c r="W805" s="3" t="e">
        <f>tbl_MTG_Set[[#This Row],[Released On]]+tbl_MTG_Set[[#This Row],[Sell Window Month End]]*365.25/12</f>
        <v>#VALUE!</v>
      </c>
      <c r="X805" s="3" t="e">
        <f ca="1">AND(NOW()&gt;=tbl_MTG_Set[[#This Row],[Sell Window Start]], NOW()&lt;=tbl_MTG_Set[[#This Row],[Sell Window End]])</f>
        <v>#VALUE!</v>
      </c>
      <c r="AG805" s="10"/>
      <c r="AH805" s="10"/>
      <c r="AM805" s="10" t="str" cm="1">
        <f t="array" ref="AM8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5" s="10" t="str" cm="1">
        <f t="array" ref="AN8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5" s="4" t="e">
        <f>_xlfn.XLOOKUP(tbl_MTG_Set[[#This Row],[Play Booster Box Product Id]], tbl_Product[Product Id], tbl_Product[Pack Size])</f>
        <v>#N/A</v>
      </c>
      <c r="AP805" s="10" t="e">
        <f>(tbl_MTG_Set[[#This Row],[Play Booster Box Cost]]+v_Item_Shipping_Cost_In)/tbl_MTG_Set[[#This Row],[Play Booster Box Size]]</f>
        <v>#VALUE!</v>
      </c>
      <c r="AQ805" s="10" t="str" cm="1">
        <f t="array" ref="AQ8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5" s="10"/>
      <c r="AS805" s="10"/>
      <c r="AT805" s="17" t="e">
        <f>tbl_MTG_Set[[#This Row],[Play Booster CardMarket Profit]]/tbl_MTG_Set[[#This Row],[Play Booster Cost]]</f>
        <v>#VALUE!</v>
      </c>
      <c r="AU805" s="10" t="e">
        <f>_xlfn.XLOOKUP(tbl_MTG_Set[[#This Row],[Collector Booster Box Product Id]], tbl_Product[Product Id], tbl_Product[Min Cost])</f>
        <v>#N/A</v>
      </c>
      <c r="AV805" s="10" t="e">
        <f>_xlfn.XLOOKUP(tbl_MTG_Set[[#This Row],[Collector Booster Box Product Id]], tbl_Product[Product Id], tbl_Product[Best Source])</f>
        <v>#N/A</v>
      </c>
      <c r="AW805" s="4" t="e">
        <f>_xlfn.XLOOKUP(tbl_MTG_Set[[#This Row],[Collector Booster Box Product Id]], tbl_Product[Product Id], tbl_Product[Pack Size])</f>
        <v>#N/A</v>
      </c>
      <c r="AX805" s="10" t="e">
        <f>(tbl_MTG_Set[[#This Row],[Collector Booster Box Cost]] + v_Item_Shipping_Cost_In) / tbl_MTG_Set[[#This Row],[Collector Booster Box Size]]</f>
        <v>#N/A</v>
      </c>
      <c r="AY805" s="10" t="str" cm="1">
        <f t="array" ref="AY8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5" s="10"/>
      <c r="BA8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5" s="17" t="e">
        <f>tbl_MTG_Set[[#This Row],[Collector Booster CardMarket Profit]]/tbl_MTG_Set[[#This Row],[Collector Booster Cost]]</f>
        <v>#N/A</v>
      </c>
      <c r="BC805" s="10"/>
      <c r="BF8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5" s="11" t="e">
        <f>tbl_MTG_Set[[#This Row],[Play Singles CardMarket Profit MTG Stocks]]/tbl_MTG_Set[[#This Row],[Play Booster Cost]]</f>
        <v>#VALUE!</v>
      </c>
      <c r="BI805" s="11" t="b">
        <f>tbl_MTG_Set[[#This Row],[Play Singles CardMarket Profit MTG Stocks]]&gt;0</f>
        <v>0</v>
      </c>
      <c r="BM805" s="10" t="e">
        <f>tbl_MTG_Set[[#This Row],[Play Booster Sell Price CardMarket]]*tbl_MTG_Set[[#This Row],[Play Booster Expected Market Value BotBox]]/tbl_MTG_Set[[#This Row],[Play Booster Sealed Market Value BotBox]]</f>
        <v>#VALUE!</v>
      </c>
      <c r="BN8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5" s="10" t="e">
        <f>tbl_MTG_Set[[#This Row],[Play Singles CardMarket Profit BotBox]]/tbl_MTG_Set[[#This Row],[Play Booster Cost]]</f>
        <v>#VALUE!</v>
      </c>
      <c r="BP805" s="10" t="b">
        <f>tbl_MTG_Set[[#This Row],[Play Singles CardMarket Profit BotBox]]&gt;0</f>
        <v>0</v>
      </c>
      <c r="BQ805" s="10"/>
      <c r="BR805" s="10"/>
      <c r="BS805" s="10"/>
      <c r="BT8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5" s="19" t="e">
        <f>tbl_MTG_Set[[#This Row],[Collector Singles CardMarket Profit MTG Stocks]]/tbl_MTG_Set[[#This Row],[Collector Booster Cost]]</f>
        <v>#N/A</v>
      </c>
      <c r="BW805" s="10" t="b">
        <f>tbl_MTG_Set[[#This Row],[Collector Singles CardMarket Profit MTG Stocks]]&gt;0</f>
        <v>0</v>
      </c>
      <c r="BX805" s="10"/>
      <c r="BY805" s="10"/>
      <c r="BZ8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5" s="10" t="e">
        <f>tbl_MTG_Set[[#This Row],[Collector Singles CardMarket Profit BotBox]]/tbl_MTG_Set[[#This Row],[Collector Booster Cost]]</f>
        <v>#N/A</v>
      </c>
      <c r="CC805" s="10" t="b">
        <f>tbl_MTG_Set[[#This Row],[Collector Singles CardMarket Profit BotBox]]&gt;0</f>
        <v>0</v>
      </c>
      <c r="CD8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6" spans="1:86" hidden="1">
      <c r="A806">
        <v>838</v>
      </c>
      <c r="B806" t="s">
        <v>979</v>
      </c>
      <c r="C806">
        <v>5</v>
      </c>
      <c r="D806" s="3">
        <v>39083</v>
      </c>
      <c r="F806" t="s">
        <v>174</v>
      </c>
      <c r="G806">
        <v>1622</v>
      </c>
      <c r="H806">
        <f ca="1">MONTH(NOW())+12*YEAR(NOW())-MONTH(tbl_MTG_Set[[#This Row],[Released On]])-12*YEAR(tbl_MTG_Set[[#This Row],[Released On]])</f>
        <v>230</v>
      </c>
      <c r="I806" t="str">
        <f>_xlfn.XLOOKUP(tbl_MTG_Set[[#This Row],[Type Name]], tbl_MTG_Set_Type[Set Type], tbl_MTG_Set_Type[Index], "(Set Type not found)")</f>
        <v>(Set Type not found)</v>
      </c>
      <c r="J806" t="str">
        <f>_xlfn.XLOOKUP(tbl_MTG_Set[[#This Row],[Type Name]], tbl_MTG_Set_Type[Set Type], tbl_MTG_Set_Type[Buy Window Month Start], "(Set Type not found)")</f>
        <v>(Set Type not found)</v>
      </c>
      <c r="K806" s="3" t="e">
        <f>tbl_MTG_Set[[#This Row],[Released On]]+tbl_MTG_Set[[#This Row],[Buy Window Month Start]]*365.25/12</f>
        <v>#VALUE!</v>
      </c>
      <c r="L806" t="str">
        <f>_xlfn.XLOOKUP(tbl_MTG_Set[[#This Row],[Type Name]], tbl_MTG_Set_Type[Set Type], tbl_MTG_Set_Type[Buy Window Month End], "(Set Type not found)", 0, 1)</f>
        <v>(Set Type not found)</v>
      </c>
      <c r="M806" s="3" t="e">
        <f>tbl_MTG_Set[[#This Row],[Released On]]+tbl_MTG_Set[[#This Row],[Buy Window Month End]]*365.25/12</f>
        <v>#VALUE!</v>
      </c>
      <c r="N806" s="3" t="e">
        <f ca="1">AND(NOW()&gt;=tbl_MTG_Set[[#This Row],[Buy Window Start]], NOW()&lt;=tbl_MTG_Set[[#This Row],[Buy Window End]])</f>
        <v>#VALUE!</v>
      </c>
      <c r="O806" t="str">
        <f>_xlfn.XLOOKUP(tbl_MTG_Set[[#This Row],[Type Name]], tbl_MTG_Set_Type[Set Type], tbl_MTG_Set_Type[Heavy Printing Window Month Start], "(Set Type not found)", 0, 1)</f>
        <v>(Set Type not found)</v>
      </c>
      <c r="P806" s="3" t="e">
        <f>tbl_MTG_Set[[#This Row],[Released On]]+tbl_MTG_Set[[#This Row],[Heavy Printing Window Month Start]]*365.25/12</f>
        <v>#VALUE!</v>
      </c>
      <c r="Q806" t="str">
        <f>_xlfn.XLOOKUP(tbl_MTG_Set[[#This Row],[Type Name]], tbl_MTG_Set_Type[Set Type], tbl_MTG_Set_Type[Heavy Printing Window Month End], "(Set Type not found)", 0, 1)</f>
        <v>(Set Type not found)</v>
      </c>
      <c r="R806" s="3" t="e">
        <f>tbl_MTG_Set[[#This Row],[Released On]]+tbl_MTG_Set[[#This Row],[Heavy Printing Window Month End]]*365.25/12</f>
        <v>#VALUE!</v>
      </c>
      <c r="S806" s="3" t="e">
        <f ca="1">AND(NOW()&gt;=tbl_MTG_Set[[#This Row],[Heavy Printing Window Start]], NOW()&lt;=tbl_MTG_Set[[#This Row],[Heavy Printing Window End]])</f>
        <v>#VALUE!</v>
      </c>
      <c r="T806" t="str">
        <f>_xlfn.XLOOKUP(tbl_MTG_Set[[#This Row],[Type Name]], tbl_MTG_Set_Type[Set Type], tbl_MTG_Set_Type[Sell Window Month Start], "(Set Type not found)", 0, 1)</f>
        <v>(Set Type not found)</v>
      </c>
      <c r="U806" s="3" t="e">
        <f>tbl_MTG_Set[[#This Row],[Released On]]+tbl_MTG_Set[[#This Row],[Sell Window Month Start]]*365.25/12</f>
        <v>#VALUE!</v>
      </c>
      <c r="V806" t="str">
        <f>_xlfn.XLOOKUP(tbl_MTG_Set[[#This Row],[Type Name]], tbl_MTG_Set_Type[Set Type], tbl_MTG_Set_Type[Sell Window Month End], "(Set Type not found)", 0, 1)</f>
        <v>(Set Type not found)</v>
      </c>
      <c r="W806" s="3" t="e">
        <f>tbl_MTG_Set[[#This Row],[Released On]]+tbl_MTG_Set[[#This Row],[Sell Window Month End]]*365.25/12</f>
        <v>#VALUE!</v>
      </c>
      <c r="X806" s="3" t="e">
        <f ca="1">AND(NOW()&gt;=tbl_MTG_Set[[#This Row],[Sell Window Start]], NOW()&lt;=tbl_MTG_Set[[#This Row],[Sell Window End]])</f>
        <v>#VALUE!</v>
      </c>
      <c r="AG806" s="10"/>
      <c r="AH806" s="10"/>
      <c r="AM806" s="10" t="str" cm="1">
        <f t="array" ref="AM8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6" s="10" t="str" cm="1">
        <f t="array" ref="AN8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6" s="4" t="e">
        <f>_xlfn.XLOOKUP(tbl_MTG_Set[[#This Row],[Play Booster Box Product Id]], tbl_Product[Product Id], tbl_Product[Pack Size])</f>
        <v>#N/A</v>
      </c>
      <c r="AP806" s="10" t="e">
        <f>(tbl_MTG_Set[[#This Row],[Play Booster Box Cost]]+v_Item_Shipping_Cost_In)/tbl_MTG_Set[[#This Row],[Play Booster Box Size]]</f>
        <v>#VALUE!</v>
      </c>
      <c r="AQ806" s="10" t="str" cm="1">
        <f t="array" ref="AQ8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6" s="10"/>
      <c r="AS806" s="10"/>
      <c r="AT806" s="17" t="e">
        <f>tbl_MTG_Set[[#This Row],[Play Booster CardMarket Profit]]/tbl_MTG_Set[[#This Row],[Play Booster Cost]]</f>
        <v>#VALUE!</v>
      </c>
      <c r="AU806" s="10" t="e">
        <f>_xlfn.XLOOKUP(tbl_MTG_Set[[#This Row],[Collector Booster Box Product Id]], tbl_Product[Product Id], tbl_Product[Min Cost])</f>
        <v>#N/A</v>
      </c>
      <c r="AV806" s="10" t="e">
        <f>_xlfn.XLOOKUP(tbl_MTG_Set[[#This Row],[Collector Booster Box Product Id]], tbl_Product[Product Id], tbl_Product[Best Source])</f>
        <v>#N/A</v>
      </c>
      <c r="AW806" s="4" t="e">
        <f>_xlfn.XLOOKUP(tbl_MTG_Set[[#This Row],[Collector Booster Box Product Id]], tbl_Product[Product Id], tbl_Product[Pack Size])</f>
        <v>#N/A</v>
      </c>
      <c r="AX806" s="10" t="e">
        <f>(tbl_MTG_Set[[#This Row],[Collector Booster Box Cost]] + v_Item_Shipping_Cost_In) / tbl_MTG_Set[[#This Row],[Collector Booster Box Size]]</f>
        <v>#N/A</v>
      </c>
      <c r="AY806" s="10" t="str" cm="1">
        <f t="array" ref="AY8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6" s="10"/>
      <c r="BA8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6" s="17" t="e">
        <f>tbl_MTG_Set[[#This Row],[Collector Booster CardMarket Profit]]/tbl_MTG_Set[[#This Row],[Collector Booster Cost]]</f>
        <v>#N/A</v>
      </c>
      <c r="BC806" s="10"/>
      <c r="BF8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6" s="11" t="e">
        <f>tbl_MTG_Set[[#This Row],[Play Singles CardMarket Profit MTG Stocks]]/tbl_MTG_Set[[#This Row],[Play Booster Cost]]</f>
        <v>#VALUE!</v>
      </c>
      <c r="BI806" s="11" t="b">
        <f>tbl_MTG_Set[[#This Row],[Play Singles CardMarket Profit MTG Stocks]]&gt;0</f>
        <v>0</v>
      </c>
      <c r="BM806" s="10" t="e">
        <f>tbl_MTG_Set[[#This Row],[Play Booster Sell Price CardMarket]]*tbl_MTG_Set[[#This Row],[Play Booster Expected Market Value BotBox]]/tbl_MTG_Set[[#This Row],[Play Booster Sealed Market Value BotBox]]</f>
        <v>#VALUE!</v>
      </c>
      <c r="BN8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6" s="10" t="e">
        <f>tbl_MTG_Set[[#This Row],[Play Singles CardMarket Profit BotBox]]/tbl_MTG_Set[[#This Row],[Play Booster Cost]]</f>
        <v>#VALUE!</v>
      </c>
      <c r="BP806" s="10" t="b">
        <f>tbl_MTG_Set[[#This Row],[Play Singles CardMarket Profit BotBox]]&gt;0</f>
        <v>0</v>
      </c>
      <c r="BQ806" s="10"/>
      <c r="BR806" s="10"/>
      <c r="BS806" s="10"/>
      <c r="BT8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6" s="19" t="e">
        <f>tbl_MTG_Set[[#This Row],[Collector Singles CardMarket Profit MTG Stocks]]/tbl_MTG_Set[[#This Row],[Collector Booster Cost]]</f>
        <v>#N/A</v>
      </c>
      <c r="BW806" s="10" t="b">
        <f>tbl_MTG_Set[[#This Row],[Collector Singles CardMarket Profit MTG Stocks]]&gt;0</f>
        <v>0</v>
      </c>
      <c r="BX806" s="10"/>
      <c r="BY806" s="10"/>
      <c r="BZ8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6" s="10" t="e">
        <f>tbl_MTG_Set[[#This Row],[Collector Singles CardMarket Profit BotBox]]/tbl_MTG_Set[[#This Row],[Collector Booster Cost]]</f>
        <v>#N/A</v>
      </c>
      <c r="CC806" s="10" t="b">
        <f>tbl_MTG_Set[[#This Row],[Collector Singles CardMarket Profit BotBox]]&gt;0</f>
        <v>0</v>
      </c>
      <c r="CD8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7" spans="1:86" hidden="1">
      <c r="A807">
        <v>839</v>
      </c>
      <c r="B807" t="s">
        <v>980</v>
      </c>
      <c r="C807">
        <v>7</v>
      </c>
      <c r="D807" s="3">
        <v>39083</v>
      </c>
      <c r="F807" t="s">
        <v>174</v>
      </c>
      <c r="G807">
        <v>1624</v>
      </c>
      <c r="H807">
        <f ca="1">MONTH(NOW())+12*YEAR(NOW())-MONTH(tbl_MTG_Set[[#This Row],[Released On]])-12*YEAR(tbl_MTG_Set[[#This Row],[Released On]])</f>
        <v>230</v>
      </c>
      <c r="I807" t="str">
        <f>_xlfn.XLOOKUP(tbl_MTG_Set[[#This Row],[Type Name]], tbl_MTG_Set_Type[Set Type], tbl_MTG_Set_Type[Index], "(Set Type not found)")</f>
        <v>(Set Type not found)</v>
      </c>
      <c r="J807" t="str">
        <f>_xlfn.XLOOKUP(tbl_MTG_Set[[#This Row],[Type Name]], tbl_MTG_Set_Type[Set Type], tbl_MTG_Set_Type[Buy Window Month Start], "(Set Type not found)")</f>
        <v>(Set Type not found)</v>
      </c>
      <c r="K807" s="3" t="e">
        <f>tbl_MTG_Set[[#This Row],[Released On]]+tbl_MTG_Set[[#This Row],[Buy Window Month Start]]*365.25/12</f>
        <v>#VALUE!</v>
      </c>
      <c r="L807" t="str">
        <f>_xlfn.XLOOKUP(tbl_MTG_Set[[#This Row],[Type Name]], tbl_MTG_Set_Type[Set Type], tbl_MTG_Set_Type[Buy Window Month End], "(Set Type not found)", 0, 1)</f>
        <v>(Set Type not found)</v>
      </c>
      <c r="M807" s="3" t="e">
        <f>tbl_MTG_Set[[#This Row],[Released On]]+tbl_MTG_Set[[#This Row],[Buy Window Month End]]*365.25/12</f>
        <v>#VALUE!</v>
      </c>
      <c r="N807" s="3" t="e">
        <f ca="1">AND(NOW()&gt;=tbl_MTG_Set[[#This Row],[Buy Window Start]], NOW()&lt;=tbl_MTG_Set[[#This Row],[Buy Window End]])</f>
        <v>#VALUE!</v>
      </c>
      <c r="O807" t="str">
        <f>_xlfn.XLOOKUP(tbl_MTG_Set[[#This Row],[Type Name]], tbl_MTG_Set_Type[Set Type], tbl_MTG_Set_Type[Heavy Printing Window Month Start], "(Set Type not found)", 0, 1)</f>
        <v>(Set Type not found)</v>
      </c>
      <c r="P807" s="3" t="e">
        <f>tbl_MTG_Set[[#This Row],[Released On]]+tbl_MTG_Set[[#This Row],[Heavy Printing Window Month Start]]*365.25/12</f>
        <v>#VALUE!</v>
      </c>
      <c r="Q807" t="str">
        <f>_xlfn.XLOOKUP(tbl_MTG_Set[[#This Row],[Type Name]], tbl_MTG_Set_Type[Set Type], tbl_MTG_Set_Type[Heavy Printing Window Month End], "(Set Type not found)", 0, 1)</f>
        <v>(Set Type not found)</v>
      </c>
      <c r="R807" s="3" t="e">
        <f>tbl_MTG_Set[[#This Row],[Released On]]+tbl_MTG_Set[[#This Row],[Heavy Printing Window Month End]]*365.25/12</f>
        <v>#VALUE!</v>
      </c>
      <c r="S807" s="3" t="e">
        <f ca="1">AND(NOW()&gt;=tbl_MTG_Set[[#This Row],[Heavy Printing Window Start]], NOW()&lt;=tbl_MTG_Set[[#This Row],[Heavy Printing Window End]])</f>
        <v>#VALUE!</v>
      </c>
      <c r="T807" t="str">
        <f>_xlfn.XLOOKUP(tbl_MTG_Set[[#This Row],[Type Name]], tbl_MTG_Set_Type[Set Type], tbl_MTG_Set_Type[Sell Window Month Start], "(Set Type not found)", 0, 1)</f>
        <v>(Set Type not found)</v>
      </c>
      <c r="U807" s="3" t="e">
        <f>tbl_MTG_Set[[#This Row],[Released On]]+tbl_MTG_Set[[#This Row],[Sell Window Month Start]]*365.25/12</f>
        <v>#VALUE!</v>
      </c>
      <c r="V807" t="str">
        <f>_xlfn.XLOOKUP(tbl_MTG_Set[[#This Row],[Type Name]], tbl_MTG_Set_Type[Set Type], tbl_MTG_Set_Type[Sell Window Month End], "(Set Type not found)", 0, 1)</f>
        <v>(Set Type not found)</v>
      </c>
      <c r="W807" s="3" t="e">
        <f>tbl_MTG_Set[[#This Row],[Released On]]+tbl_MTG_Set[[#This Row],[Sell Window Month End]]*365.25/12</f>
        <v>#VALUE!</v>
      </c>
      <c r="X807" s="3" t="e">
        <f ca="1">AND(NOW()&gt;=tbl_MTG_Set[[#This Row],[Sell Window Start]], NOW()&lt;=tbl_MTG_Set[[#This Row],[Sell Window End]])</f>
        <v>#VALUE!</v>
      </c>
      <c r="AG807" s="10"/>
      <c r="AH807" s="10"/>
      <c r="AM807" s="10" t="str" cm="1">
        <f t="array" ref="AM8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7" s="10" t="str" cm="1">
        <f t="array" ref="AN8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7" s="4" t="e">
        <f>_xlfn.XLOOKUP(tbl_MTG_Set[[#This Row],[Play Booster Box Product Id]], tbl_Product[Product Id], tbl_Product[Pack Size])</f>
        <v>#N/A</v>
      </c>
      <c r="AP807" s="10" t="e">
        <f>(tbl_MTG_Set[[#This Row],[Play Booster Box Cost]]+v_Item_Shipping_Cost_In)/tbl_MTG_Set[[#This Row],[Play Booster Box Size]]</f>
        <v>#VALUE!</v>
      </c>
      <c r="AQ807" s="10" t="str" cm="1">
        <f t="array" ref="AQ8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7" s="10"/>
      <c r="AS807" s="10"/>
      <c r="AT807" s="17" t="e">
        <f>tbl_MTG_Set[[#This Row],[Play Booster CardMarket Profit]]/tbl_MTG_Set[[#This Row],[Play Booster Cost]]</f>
        <v>#VALUE!</v>
      </c>
      <c r="AU807" s="10" t="e">
        <f>_xlfn.XLOOKUP(tbl_MTG_Set[[#This Row],[Collector Booster Box Product Id]], tbl_Product[Product Id], tbl_Product[Min Cost])</f>
        <v>#N/A</v>
      </c>
      <c r="AV807" s="10" t="e">
        <f>_xlfn.XLOOKUP(tbl_MTG_Set[[#This Row],[Collector Booster Box Product Id]], tbl_Product[Product Id], tbl_Product[Best Source])</f>
        <v>#N/A</v>
      </c>
      <c r="AW807" s="4" t="e">
        <f>_xlfn.XLOOKUP(tbl_MTG_Set[[#This Row],[Collector Booster Box Product Id]], tbl_Product[Product Id], tbl_Product[Pack Size])</f>
        <v>#N/A</v>
      </c>
      <c r="AX807" s="10" t="e">
        <f>(tbl_MTG_Set[[#This Row],[Collector Booster Box Cost]] + v_Item_Shipping_Cost_In) / tbl_MTG_Set[[#This Row],[Collector Booster Box Size]]</f>
        <v>#N/A</v>
      </c>
      <c r="AY807" s="10" t="str" cm="1">
        <f t="array" ref="AY8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7" s="10"/>
      <c r="BA8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7" s="17" t="e">
        <f>tbl_MTG_Set[[#This Row],[Collector Booster CardMarket Profit]]/tbl_MTG_Set[[#This Row],[Collector Booster Cost]]</f>
        <v>#N/A</v>
      </c>
      <c r="BC807" s="10"/>
      <c r="BF8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7" s="11" t="e">
        <f>tbl_MTG_Set[[#This Row],[Play Singles CardMarket Profit MTG Stocks]]/tbl_MTG_Set[[#This Row],[Play Booster Cost]]</f>
        <v>#VALUE!</v>
      </c>
      <c r="BI807" s="11" t="b">
        <f>tbl_MTG_Set[[#This Row],[Play Singles CardMarket Profit MTG Stocks]]&gt;0</f>
        <v>0</v>
      </c>
      <c r="BM807" s="10" t="e">
        <f>tbl_MTG_Set[[#This Row],[Play Booster Sell Price CardMarket]]*tbl_MTG_Set[[#This Row],[Play Booster Expected Market Value BotBox]]/tbl_MTG_Set[[#This Row],[Play Booster Sealed Market Value BotBox]]</f>
        <v>#VALUE!</v>
      </c>
      <c r="BN8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7" s="10" t="e">
        <f>tbl_MTG_Set[[#This Row],[Play Singles CardMarket Profit BotBox]]/tbl_MTG_Set[[#This Row],[Play Booster Cost]]</f>
        <v>#VALUE!</v>
      </c>
      <c r="BP807" s="10" t="b">
        <f>tbl_MTG_Set[[#This Row],[Play Singles CardMarket Profit BotBox]]&gt;0</f>
        <v>0</v>
      </c>
      <c r="BQ807" s="10"/>
      <c r="BR807" s="10"/>
      <c r="BS807" s="10"/>
      <c r="BT8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7" s="19" t="e">
        <f>tbl_MTG_Set[[#This Row],[Collector Singles CardMarket Profit MTG Stocks]]/tbl_MTG_Set[[#This Row],[Collector Booster Cost]]</f>
        <v>#N/A</v>
      </c>
      <c r="BW807" s="10" t="b">
        <f>tbl_MTG_Set[[#This Row],[Collector Singles CardMarket Profit MTG Stocks]]&gt;0</f>
        <v>0</v>
      </c>
      <c r="BX807" s="10"/>
      <c r="BY807" s="10"/>
      <c r="BZ8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7" s="10" t="e">
        <f>tbl_MTG_Set[[#This Row],[Collector Singles CardMarket Profit BotBox]]/tbl_MTG_Set[[#This Row],[Collector Booster Cost]]</f>
        <v>#N/A</v>
      </c>
      <c r="CC807" s="10" t="b">
        <f>tbl_MTG_Set[[#This Row],[Collector Singles CardMarket Profit BotBox]]&gt;0</f>
        <v>0</v>
      </c>
      <c r="CD8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8" spans="1:86" hidden="1">
      <c r="A808">
        <v>840</v>
      </c>
      <c r="B808" t="s">
        <v>981</v>
      </c>
      <c r="C808">
        <v>12</v>
      </c>
      <c r="D808" s="3">
        <v>39083</v>
      </c>
      <c r="F808" t="s">
        <v>174</v>
      </c>
      <c r="G808">
        <v>1626</v>
      </c>
      <c r="H808">
        <f ca="1">MONTH(NOW())+12*YEAR(NOW())-MONTH(tbl_MTG_Set[[#This Row],[Released On]])-12*YEAR(tbl_MTG_Set[[#This Row],[Released On]])</f>
        <v>230</v>
      </c>
      <c r="I808" t="str">
        <f>_xlfn.XLOOKUP(tbl_MTG_Set[[#This Row],[Type Name]], tbl_MTG_Set_Type[Set Type], tbl_MTG_Set_Type[Index], "(Set Type not found)")</f>
        <v>(Set Type not found)</v>
      </c>
      <c r="J808" t="str">
        <f>_xlfn.XLOOKUP(tbl_MTG_Set[[#This Row],[Type Name]], tbl_MTG_Set_Type[Set Type], tbl_MTG_Set_Type[Buy Window Month Start], "(Set Type not found)")</f>
        <v>(Set Type not found)</v>
      </c>
      <c r="K808" s="3" t="e">
        <f>tbl_MTG_Set[[#This Row],[Released On]]+tbl_MTG_Set[[#This Row],[Buy Window Month Start]]*365.25/12</f>
        <v>#VALUE!</v>
      </c>
      <c r="L808" t="str">
        <f>_xlfn.XLOOKUP(tbl_MTG_Set[[#This Row],[Type Name]], tbl_MTG_Set_Type[Set Type], tbl_MTG_Set_Type[Buy Window Month End], "(Set Type not found)", 0, 1)</f>
        <v>(Set Type not found)</v>
      </c>
      <c r="M808" s="3" t="e">
        <f>tbl_MTG_Set[[#This Row],[Released On]]+tbl_MTG_Set[[#This Row],[Buy Window Month End]]*365.25/12</f>
        <v>#VALUE!</v>
      </c>
      <c r="N808" s="3" t="e">
        <f ca="1">AND(NOW()&gt;=tbl_MTG_Set[[#This Row],[Buy Window Start]], NOW()&lt;=tbl_MTG_Set[[#This Row],[Buy Window End]])</f>
        <v>#VALUE!</v>
      </c>
      <c r="O808" t="str">
        <f>_xlfn.XLOOKUP(tbl_MTG_Set[[#This Row],[Type Name]], tbl_MTG_Set_Type[Set Type], tbl_MTG_Set_Type[Heavy Printing Window Month Start], "(Set Type not found)", 0, 1)</f>
        <v>(Set Type not found)</v>
      </c>
      <c r="P808" s="3" t="e">
        <f>tbl_MTG_Set[[#This Row],[Released On]]+tbl_MTG_Set[[#This Row],[Heavy Printing Window Month Start]]*365.25/12</f>
        <v>#VALUE!</v>
      </c>
      <c r="Q808" t="str">
        <f>_xlfn.XLOOKUP(tbl_MTG_Set[[#This Row],[Type Name]], tbl_MTG_Set_Type[Set Type], tbl_MTG_Set_Type[Heavy Printing Window Month End], "(Set Type not found)", 0, 1)</f>
        <v>(Set Type not found)</v>
      </c>
      <c r="R808" s="3" t="e">
        <f>tbl_MTG_Set[[#This Row],[Released On]]+tbl_MTG_Set[[#This Row],[Heavy Printing Window Month End]]*365.25/12</f>
        <v>#VALUE!</v>
      </c>
      <c r="S808" s="3" t="e">
        <f ca="1">AND(NOW()&gt;=tbl_MTG_Set[[#This Row],[Heavy Printing Window Start]], NOW()&lt;=tbl_MTG_Set[[#This Row],[Heavy Printing Window End]])</f>
        <v>#VALUE!</v>
      </c>
      <c r="T808" t="str">
        <f>_xlfn.XLOOKUP(tbl_MTG_Set[[#This Row],[Type Name]], tbl_MTG_Set_Type[Set Type], tbl_MTG_Set_Type[Sell Window Month Start], "(Set Type not found)", 0, 1)</f>
        <v>(Set Type not found)</v>
      </c>
      <c r="U808" s="3" t="e">
        <f>tbl_MTG_Set[[#This Row],[Released On]]+tbl_MTG_Set[[#This Row],[Sell Window Month Start]]*365.25/12</f>
        <v>#VALUE!</v>
      </c>
      <c r="V808" t="str">
        <f>_xlfn.XLOOKUP(tbl_MTG_Set[[#This Row],[Type Name]], tbl_MTG_Set_Type[Set Type], tbl_MTG_Set_Type[Sell Window Month End], "(Set Type not found)", 0, 1)</f>
        <v>(Set Type not found)</v>
      </c>
      <c r="W808" s="3" t="e">
        <f>tbl_MTG_Set[[#This Row],[Released On]]+tbl_MTG_Set[[#This Row],[Sell Window Month End]]*365.25/12</f>
        <v>#VALUE!</v>
      </c>
      <c r="X808" s="3" t="e">
        <f ca="1">AND(NOW()&gt;=tbl_MTG_Set[[#This Row],[Sell Window Start]], NOW()&lt;=tbl_MTG_Set[[#This Row],[Sell Window End]])</f>
        <v>#VALUE!</v>
      </c>
      <c r="AG808" s="10"/>
      <c r="AH808" s="10"/>
      <c r="AM808" s="10" t="str" cm="1">
        <f t="array" ref="AM8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8" s="10" t="str" cm="1">
        <f t="array" ref="AN8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8" s="4" t="e">
        <f>_xlfn.XLOOKUP(tbl_MTG_Set[[#This Row],[Play Booster Box Product Id]], tbl_Product[Product Id], tbl_Product[Pack Size])</f>
        <v>#N/A</v>
      </c>
      <c r="AP808" s="10" t="e">
        <f>(tbl_MTG_Set[[#This Row],[Play Booster Box Cost]]+v_Item_Shipping_Cost_In)/tbl_MTG_Set[[#This Row],[Play Booster Box Size]]</f>
        <v>#VALUE!</v>
      </c>
      <c r="AQ808" s="10" t="str" cm="1">
        <f t="array" ref="AQ8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8" s="10"/>
      <c r="AS808" s="10"/>
      <c r="AT808" s="17" t="e">
        <f>tbl_MTG_Set[[#This Row],[Play Booster CardMarket Profit]]/tbl_MTG_Set[[#This Row],[Play Booster Cost]]</f>
        <v>#VALUE!</v>
      </c>
      <c r="AU808" s="10" t="e">
        <f>_xlfn.XLOOKUP(tbl_MTG_Set[[#This Row],[Collector Booster Box Product Id]], tbl_Product[Product Id], tbl_Product[Min Cost])</f>
        <v>#N/A</v>
      </c>
      <c r="AV808" s="10" t="e">
        <f>_xlfn.XLOOKUP(tbl_MTG_Set[[#This Row],[Collector Booster Box Product Id]], tbl_Product[Product Id], tbl_Product[Best Source])</f>
        <v>#N/A</v>
      </c>
      <c r="AW808" s="4" t="e">
        <f>_xlfn.XLOOKUP(tbl_MTG_Set[[#This Row],[Collector Booster Box Product Id]], tbl_Product[Product Id], tbl_Product[Pack Size])</f>
        <v>#N/A</v>
      </c>
      <c r="AX808" s="10" t="e">
        <f>(tbl_MTG_Set[[#This Row],[Collector Booster Box Cost]] + v_Item_Shipping_Cost_In) / tbl_MTG_Set[[#This Row],[Collector Booster Box Size]]</f>
        <v>#N/A</v>
      </c>
      <c r="AY808" s="10" t="str" cm="1">
        <f t="array" ref="AY8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8" s="10"/>
      <c r="BA8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8" s="17" t="e">
        <f>tbl_MTG_Set[[#This Row],[Collector Booster CardMarket Profit]]/tbl_MTG_Set[[#This Row],[Collector Booster Cost]]</f>
        <v>#N/A</v>
      </c>
      <c r="BC808" s="10"/>
      <c r="BF8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8" s="11" t="e">
        <f>tbl_MTG_Set[[#This Row],[Play Singles CardMarket Profit MTG Stocks]]/tbl_MTG_Set[[#This Row],[Play Booster Cost]]</f>
        <v>#VALUE!</v>
      </c>
      <c r="BI808" s="11" t="b">
        <f>tbl_MTG_Set[[#This Row],[Play Singles CardMarket Profit MTG Stocks]]&gt;0</f>
        <v>0</v>
      </c>
      <c r="BM808" s="10" t="e">
        <f>tbl_MTG_Set[[#This Row],[Play Booster Sell Price CardMarket]]*tbl_MTG_Set[[#This Row],[Play Booster Expected Market Value BotBox]]/tbl_MTG_Set[[#This Row],[Play Booster Sealed Market Value BotBox]]</f>
        <v>#VALUE!</v>
      </c>
      <c r="BN8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8" s="10" t="e">
        <f>tbl_MTG_Set[[#This Row],[Play Singles CardMarket Profit BotBox]]/tbl_MTG_Set[[#This Row],[Play Booster Cost]]</f>
        <v>#VALUE!</v>
      </c>
      <c r="BP808" s="10" t="b">
        <f>tbl_MTG_Set[[#This Row],[Play Singles CardMarket Profit BotBox]]&gt;0</f>
        <v>0</v>
      </c>
      <c r="BQ808" s="10"/>
      <c r="BR808" s="10"/>
      <c r="BS808" s="10"/>
      <c r="BT8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8" s="19" t="e">
        <f>tbl_MTG_Set[[#This Row],[Collector Singles CardMarket Profit MTG Stocks]]/tbl_MTG_Set[[#This Row],[Collector Booster Cost]]</f>
        <v>#N/A</v>
      </c>
      <c r="BW808" s="10" t="b">
        <f>tbl_MTG_Set[[#This Row],[Collector Singles CardMarket Profit MTG Stocks]]&gt;0</f>
        <v>0</v>
      </c>
      <c r="BX808" s="10"/>
      <c r="BY808" s="10"/>
      <c r="BZ8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8" s="10" t="e">
        <f>tbl_MTG_Set[[#This Row],[Collector Singles CardMarket Profit BotBox]]/tbl_MTG_Set[[#This Row],[Collector Booster Cost]]</f>
        <v>#N/A</v>
      </c>
      <c r="CC808" s="10" t="b">
        <f>tbl_MTG_Set[[#This Row],[Collector Singles CardMarket Profit BotBox]]&gt;0</f>
        <v>0</v>
      </c>
      <c r="CD8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09" spans="1:86" hidden="1">
      <c r="A809">
        <v>841</v>
      </c>
      <c r="B809" t="s">
        <v>982</v>
      </c>
      <c r="C809">
        <v>23</v>
      </c>
      <c r="D809" s="3">
        <v>39082</v>
      </c>
      <c r="F809" t="s">
        <v>174</v>
      </c>
      <c r="G809">
        <v>1628</v>
      </c>
      <c r="H809">
        <f ca="1">MONTH(NOW())+12*YEAR(NOW())-MONTH(tbl_MTG_Set[[#This Row],[Released On]])-12*YEAR(tbl_MTG_Set[[#This Row],[Released On]])</f>
        <v>231</v>
      </c>
      <c r="I809" t="str">
        <f>_xlfn.XLOOKUP(tbl_MTG_Set[[#This Row],[Type Name]], tbl_MTG_Set_Type[Set Type], tbl_MTG_Set_Type[Index], "(Set Type not found)")</f>
        <v>(Set Type not found)</v>
      </c>
      <c r="J809" t="str">
        <f>_xlfn.XLOOKUP(tbl_MTG_Set[[#This Row],[Type Name]], tbl_MTG_Set_Type[Set Type], tbl_MTG_Set_Type[Buy Window Month Start], "(Set Type not found)")</f>
        <v>(Set Type not found)</v>
      </c>
      <c r="K809" s="3" t="e">
        <f>tbl_MTG_Set[[#This Row],[Released On]]+tbl_MTG_Set[[#This Row],[Buy Window Month Start]]*365.25/12</f>
        <v>#VALUE!</v>
      </c>
      <c r="L809" t="str">
        <f>_xlfn.XLOOKUP(tbl_MTG_Set[[#This Row],[Type Name]], tbl_MTG_Set_Type[Set Type], tbl_MTG_Set_Type[Buy Window Month End], "(Set Type not found)", 0, 1)</f>
        <v>(Set Type not found)</v>
      </c>
      <c r="M809" s="3" t="e">
        <f>tbl_MTG_Set[[#This Row],[Released On]]+tbl_MTG_Set[[#This Row],[Buy Window Month End]]*365.25/12</f>
        <v>#VALUE!</v>
      </c>
      <c r="N809" s="3" t="e">
        <f ca="1">AND(NOW()&gt;=tbl_MTG_Set[[#This Row],[Buy Window Start]], NOW()&lt;=tbl_MTG_Set[[#This Row],[Buy Window End]])</f>
        <v>#VALUE!</v>
      </c>
      <c r="O809" t="str">
        <f>_xlfn.XLOOKUP(tbl_MTG_Set[[#This Row],[Type Name]], tbl_MTG_Set_Type[Set Type], tbl_MTG_Set_Type[Heavy Printing Window Month Start], "(Set Type not found)", 0, 1)</f>
        <v>(Set Type not found)</v>
      </c>
      <c r="P809" s="3" t="e">
        <f>tbl_MTG_Set[[#This Row],[Released On]]+tbl_MTG_Set[[#This Row],[Heavy Printing Window Month Start]]*365.25/12</f>
        <v>#VALUE!</v>
      </c>
      <c r="Q809" t="str">
        <f>_xlfn.XLOOKUP(tbl_MTG_Set[[#This Row],[Type Name]], tbl_MTG_Set_Type[Set Type], tbl_MTG_Set_Type[Heavy Printing Window Month End], "(Set Type not found)", 0, 1)</f>
        <v>(Set Type not found)</v>
      </c>
      <c r="R809" s="3" t="e">
        <f>tbl_MTG_Set[[#This Row],[Released On]]+tbl_MTG_Set[[#This Row],[Heavy Printing Window Month End]]*365.25/12</f>
        <v>#VALUE!</v>
      </c>
      <c r="S809" s="3" t="e">
        <f ca="1">AND(NOW()&gt;=tbl_MTG_Set[[#This Row],[Heavy Printing Window Start]], NOW()&lt;=tbl_MTG_Set[[#This Row],[Heavy Printing Window End]])</f>
        <v>#VALUE!</v>
      </c>
      <c r="T809" t="str">
        <f>_xlfn.XLOOKUP(tbl_MTG_Set[[#This Row],[Type Name]], tbl_MTG_Set_Type[Set Type], tbl_MTG_Set_Type[Sell Window Month Start], "(Set Type not found)", 0, 1)</f>
        <v>(Set Type not found)</v>
      </c>
      <c r="U809" s="3" t="e">
        <f>tbl_MTG_Set[[#This Row],[Released On]]+tbl_MTG_Set[[#This Row],[Sell Window Month Start]]*365.25/12</f>
        <v>#VALUE!</v>
      </c>
      <c r="V809" t="str">
        <f>_xlfn.XLOOKUP(tbl_MTG_Set[[#This Row],[Type Name]], tbl_MTG_Set_Type[Set Type], tbl_MTG_Set_Type[Sell Window Month End], "(Set Type not found)", 0, 1)</f>
        <v>(Set Type not found)</v>
      </c>
      <c r="W809" s="3" t="e">
        <f>tbl_MTG_Set[[#This Row],[Released On]]+tbl_MTG_Set[[#This Row],[Sell Window Month End]]*365.25/12</f>
        <v>#VALUE!</v>
      </c>
      <c r="X809" s="3" t="e">
        <f ca="1">AND(NOW()&gt;=tbl_MTG_Set[[#This Row],[Sell Window Start]], NOW()&lt;=tbl_MTG_Set[[#This Row],[Sell Window End]])</f>
        <v>#VALUE!</v>
      </c>
      <c r="AG809" s="10"/>
      <c r="AH809" s="10"/>
      <c r="AM809" s="10" t="str" cm="1">
        <f t="array" ref="AM8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09" s="10" t="str" cm="1">
        <f t="array" ref="AN8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09" s="4" t="e">
        <f>_xlfn.XLOOKUP(tbl_MTG_Set[[#This Row],[Play Booster Box Product Id]], tbl_Product[Product Id], tbl_Product[Pack Size])</f>
        <v>#N/A</v>
      </c>
      <c r="AP809" s="10" t="e">
        <f>(tbl_MTG_Set[[#This Row],[Play Booster Box Cost]]+v_Item_Shipping_Cost_In)/tbl_MTG_Set[[#This Row],[Play Booster Box Size]]</f>
        <v>#VALUE!</v>
      </c>
      <c r="AQ809" s="10" t="str" cm="1">
        <f t="array" ref="AQ8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09" s="10"/>
      <c r="AS809" s="10"/>
      <c r="AT809" s="17" t="e">
        <f>tbl_MTG_Set[[#This Row],[Play Booster CardMarket Profit]]/tbl_MTG_Set[[#This Row],[Play Booster Cost]]</f>
        <v>#VALUE!</v>
      </c>
      <c r="AU809" s="10" t="e">
        <f>_xlfn.XLOOKUP(tbl_MTG_Set[[#This Row],[Collector Booster Box Product Id]], tbl_Product[Product Id], tbl_Product[Min Cost])</f>
        <v>#N/A</v>
      </c>
      <c r="AV809" s="10" t="e">
        <f>_xlfn.XLOOKUP(tbl_MTG_Set[[#This Row],[Collector Booster Box Product Id]], tbl_Product[Product Id], tbl_Product[Best Source])</f>
        <v>#N/A</v>
      </c>
      <c r="AW809" s="4" t="e">
        <f>_xlfn.XLOOKUP(tbl_MTG_Set[[#This Row],[Collector Booster Box Product Id]], tbl_Product[Product Id], tbl_Product[Pack Size])</f>
        <v>#N/A</v>
      </c>
      <c r="AX809" s="10" t="e">
        <f>(tbl_MTG_Set[[#This Row],[Collector Booster Box Cost]] + v_Item_Shipping_Cost_In) / tbl_MTG_Set[[#This Row],[Collector Booster Box Size]]</f>
        <v>#N/A</v>
      </c>
      <c r="AY809" s="10" t="str" cm="1">
        <f t="array" ref="AY8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09" s="10"/>
      <c r="BA8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09" s="17" t="e">
        <f>tbl_MTG_Set[[#This Row],[Collector Booster CardMarket Profit]]/tbl_MTG_Set[[#This Row],[Collector Booster Cost]]</f>
        <v>#N/A</v>
      </c>
      <c r="BC809" s="10"/>
      <c r="BF8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09" s="11" t="e">
        <f>tbl_MTG_Set[[#This Row],[Play Singles CardMarket Profit MTG Stocks]]/tbl_MTG_Set[[#This Row],[Play Booster Cost]]</f>
        <v>#VALUE!</v>
      </c>
      <c r="BI809" s="11" t="b">
        <f>tbl_MTG_Set[[#This Row],[Play Singles CardMarket Profit MTG Stocks]]&gt;0</f>
        <v>0</v>
      </c>
      <c r="BM809" s="10" t="e">
        <f>tbl_MTG_Set[[#This Row],[Play Booster Sell Price CardMarket]]*tbl_MTG_Set[[#This Row],[Play Booster Expected Market Value BotBox]]/tbl_MTG_Set[[#This Row],[Play Booster Sealed Market Value BotBox]]</f>
        <v>#VALUE!</v>
      </c>
      <c r="BN8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09" s="10" t="e">
        <f>tbl_MTG_Set[[#This Row],[Play Singles CardMarket Profit BotBox]]/tbl_MTG_Set[[#This Row],[Play Booster Cost]]</f>
        <v>#VALUE!</v>
      </c>
      <c r="BP809" s="10" t="b">
        <f>tbl_MTG_Set[[#This Row],[Play Singles CardMarket Profit BotBox]]&gt;0</f>
        <v>0</v>
      </c>
      <c r="BQ809" s="10"/>
      <c r="BR809" s="10"/>
      <c r="BS809" s="10"/>
      <c r="BT8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09" s="19" t="e">
        <f>tbl_MTG_Set[[#This Row],[Collector Singles CardMarket Profit MTG Stocks]]/tbl_MTG_Set[[#This Row],[Collector Booster Cost]]</f>
        <v>#N/A</v>
      </c>
      <c r="BW809" s="10" t="b">
        <f>tbl_MTG_Set[[#This Row],[Collector Singles CardMarket Profit MTG Stocks]]&gt;0</f>
        <v>0</v>
      </c>
      <c r="BX809" s="10"/>
      <c r="BY809" s="10"/>
      <c r="BZ8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09" s="10" t="e">
        <f>tbl_MTG_Set[[#This Row],[Collector Singles CardMarket Profit BotBox]]/tbl_MTG_Set[[#This Row],[Collector Booster Cost]]</f>
        <v>#N/A</v>
      </c>
      <c r="CC809" s="10" t="b">
        <f>tbl_MTG_Set[[#This Row],[Collector Singles CardMarket Profit BotBox]]&gt;0</f>
        <v>0</v>
      </c>
      <c r="CD8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0" spans="1:86" hidden="1">
      <c r="A810">
        <v>842</v>
      </c>
      <c r="B810" t="s">
        <v>983</v>
      </c>
      <c r="C810">
        <v>301</v>
      </c>
      <c r="D810" s="3">
        <v>38996</v>
      </c>
      <c r="E810" t="s">
        <v>66</v>
      </c>
      <c r="F810" t="s">
        <v>174</v>
      </c>
      <c r="G810">
        <v>1630</v>
      </c>
      <c r="H810">
        <f ca="1">MONTH(NOW())+12*YEAR(NOW())-MONTH(tbl_MTG_Set[[#This Row],[Released On]])-12*YEAR(tbl_MTG_Set[[#This Row],[Released On]])</f>
        <v>233</v>
      </c>
      <c r="I810">
        <f>_xlfn.XLOOKUP(tbl_MTG_Set[[#This Row],[Type Name]], tbl_MTG_Set_Type[Set Type], tbl_MTG_Set_Type[Index], "(Set Type not found)")</f>
        <v>2</v>
      </c>
      <c r="J810">
        <f>_xlfn.XLOOKUP(tbl_MTG_Set[[#This Row],[Type Name]], tbl_MTG_Set_Type[Set Type], tbl_MTG_Set_Type[Buy Window Month Start], "(Set Type not found)")</f>
        <v>3</v>
      </c>
      <c r="K810" s="3">
        <f>tbl_MTG_Set[[#This Row],[Released On]]+tbl_MTG_Set[[#This Row],[Buy Window Month Start]]*365.25/12</f>
        <v>39087.3125</v>
      </c>
      <c r="L810">
        <f>_xlfn.XLOOKUP(tbl_MTG_Set[[#This Row],[Type Name]], tbl_MTG_Set_Type[Set Type], tbl_MTG_Set_Type[Buy Window Month End], "(Set Type not found)", 0, 1)</f>
        <v>6</v>
      </c>
      <c r="M810" s="3">
        <f>tbl_MTG_Set[[#This Row],[Released On]]+tbl_MTG_Set[[#This Row],[Buy Window Month End]]*365.25/12</f>
        <v>39178.625</v>
      </c>
      <c r="N810" s="3" t="b">
        <f ca="1">AND(NOW()&gt;=tbl_MTG_Set[[#This Row],[Buy Window Start]], NOW()&lt;=tbl_MTG_Set[[#This Row],[Buy Window End]])</f>
        <v>0</v>
      </c>
      <c r="O810">
        <f>_xlfn.XLOOKUP(tbl_MTG_Set[[#This Row],[Type Name]], tbl_MTG_Set_Type[Set Type], tbl_MTG_Set_Type[Heavy Printing Window Month Start], "(Set Type not found)", 0, 1)</f>
        <v>6</v>
      </c>
      <c r="P810" s="3">
        <f>tbl_MTG_Set[[#This Row],[Released On]]+tbl_MTG_Set[[#This Row],[Heavy Printing Window Month Start]]*365.25/12</f>
        <v>39178.625</v>
      </c>
      <c r="Q810">
        <f>_xlfn.XLOOKUP(tbl_MTG_Set[[#This Row],[Type Name]], tbl_MTG_Set_Type[Set Type], tbl_MTG_Set_Type[Heavy Printing Window Month End], "(Set Type not found)", 0, 1)</f>
        <v>12</v>
      </c>
      <c r="R810" s="3">
        <f>tbl_MTG_Set[[#This Row],[Released On]]+tbl_MTG_Set[[#This Row],[Heavy Printing Window Month End]]*365.25/12</f>
        <v>39361.25</v>
      </c>
      <c r="S810" s="3" t="b">
        <f ca="1">AND(NOW()&gt;=tbl_MTG_Set[[#This Row],[Heavy Printing Window Start]], NOW()&lt;=tbl_MTG_Set[[#This Row],[Heavy Printing Window End]])</f>
        <v>0</v>
      </c>
      <c r="T810">
        <f>_xlfn.XLOOKUP(tbl_MTG_Set[[#This Row],[Type Name]], tbl_MTG_Set_Type[Set Type], tbl_MTG_Set_Type[Sell Window Month Start], "(Set Type not found)", 0, 1)</f>
        <v>18</v>
      </c>
      <c r="U810" s="3">
        <f>tbl_MTG_Set[[#This Row],[Released On]]+tbl_MTG_Set[[#This Row],[Sell Window Month Start]]*365.25/12</f>
        <v>39543.875</v>
      </c>
      <c r="V810">
        <f>_xlfn.XLOOKUP(tbl_MTG_Set[[#This Row],[Type Name]], tbl_MTG_Set_Type[Set Type], tbl_MTG_Set_Type[Sell Window Month End], "(Set Type not found)", 0, 1)</f>
        <v>36</v>
      </c>
      <c r="W810" s="3">
        <f>tbl_MTG_Set[[#This Row],[Released On]]+tbl_MTG_Set[[#This Row],[Sell Window Month End]]*365.25/12</f>
        <v>40091.75</v>
      </c>
      <c r="X810" s="3" t="b">
        <f ca="1">AND(NOW()&gt;=tbl_MTG_Set[[#This Row],[Sell Window Start]], NOW()&lt;=tbl_MTG_Set[[#This Row],[Sell Window End]])</f>
        <v>0</v>
      </c>
      <c r="AG810" s="10"/>
      <c r="AH810" s="10"/>
      <c r="AM810" s="10" t="str" cm="1">
        <f t="array" ref="AM8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0" s="10" t="str" cm="1">
        <f t="array" ref="AN8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0" s="4" t="e">
        <f>_xlfn.XLOOKUP(tbl_MTG_Set[[#This Row],[Play Booster Box Product Id]], tbl_Product[Product Id], tbl_Product[Pack Size])</f>
        <v>#N/A</v>
      </c>
      <c r="AP810" s="10" t="e">
        <f>(tbl_MTG_Set[[#This Row],[Play Booster Box Cost]]+v_Item_Shipping_Cost_In)/tbl_MTG_Set[[#This Row],[Play Booster Box Size]]</f>
        <v>#VALUE!</v>
      </c>
      <c r="AQ810" s="10" t="str" cm="1">
        <f t="array" ref="AQ8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0" s="10"/>
      <c r="AS810" s="10"/>
      <c r="AT810" s="17" t="e">
        <f>tbl_MTG_Set[[#This Row],[Play Booster CardMarket Profit]]/tbl_MTG_Set[[#This Row],[Play Booster Cost]]</f>
        <v>#VALUE!</v>
      </c>
      <c r="AU810" s="10" t="e">
        <f>_xlfn.XLOOKUP(tbl_MTG_Set[[#This Row],[Collector Booster Box Product Id]], tbl_Product[Product Id], tbl_Product[Min Cost])</f>
        <v>#N/A</v>
      </c>
      <c r="AV810" s="10" t="e">
        <f>_xlfn.XLOOKUP(tbl_MTG_Set[[#This Row],[Collector Booster Box Product Id]], tbl_Product[Product Id], tbl_Product[Best Source])</f>
        <v>#N/A</v>
      </c>
      <c r="AW810" s="4" t="e">
        <f>_xlfn.XLOOKUP(tbl_MTG_Set[[#This Row],[Collector Booster Box Product Id]], tbl_Product[Product Id], tbl_Product[Pack Size])</f>
        <v>#N/A</v>
      </c>
      <c r="AX810" s="10" t="e">
        <f>(tbl_MTG_Set[[#This Row],[Collector Booster Box Cost]] + v_Item_Shipping_Cost_In) / tbl_MTG_Set[[#This Row],[Collector Booster Box Size]]</f>
        <v>#N/A</v>
      </c>
      <c r="AY810" s="10" t="str" cm="1">
        <f t="array" ref="AY8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0" s="10"/>
      <c r="BA8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0" s="17" t="e">
        <f>tbl_MTG_Set[[#This Row],[Collector Booster CardMarket Profit]]/tbl_MTG_Set[[#This Row],[Collector Booster Cost]]</f>
        <v>#N/A</v>
      </c>
      <c r="BC810" s="10"/>
      <c r="BF8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0" s="11" t="e">
        <f>tbl_MTG_Set[[#This Row],[Play Singles CardMarket Profit MTG Stocks]]/tbl_MTG_Set[[#This Row],[Play Booster Cost]]</f>
        <v>#VALUE!</v>
      </c>
      <c r="BI810" s="11" t="b">
        <f>tbl_MTG_Set[[#This Row],[Play Singles CardMarket Profit MTG Stocks]]&gt;0</f>
        <v>0</v>
      </c>
      <c r="BM810" s="10" t="e">
        <f>tbl_MTG_Set[[#This Row],[Play Booster Sell Price CardMarket]]*tbl_MTG_Set[[#This Row],[Play Booster Expected Market Value BotBox]]/tbl_MTG_Set[[#This Row],[Play Booster Sealed Market Value BotBox]]</f>
        <v>#VALUE!</v>
      </c>
      <c r="BN8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0" s="10" t="e">
        <f>tbl_MTG_Set[[#This Row],[Play Singles CardMarket Profit BotBox]]/tbl_MTG_Set[[#This Row],[Play Booster Cost]]</f>
        <v>#VALUE!</v>
      </c>
      <c r="BP810" s="10" t="b">
        <f>tbl_MTG_Set[[#This Row],[Play Singles CardMarket Profit BotBox]]&gt;0</f>
        <v>0</v>
      </c>
      <c r="BQ810" s="10"/>
      <c r="BR810" s="10"/>
      <c r="BS810" s="10"/>
      <c r="BT8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0" s="19" t="e">
        <f>tbl_MTG_Set[[#This Row],[Collector Singles CardMarket Profit MTG Stocks]]/tbl_MTG_Set[[#This Row],[Collector Booster Cost]]</f>
        <v>#N/A</v>
      </c>
      <c r="BW810" s="10" t="b">
        <f>tbl_MTG_Set[[#This Row],[Collector Singles CardMarket Profit MTG Stocks]]&gt;0</f>
        <v>0</v>
      </c>
      <c r="BX810" s="10"/>
      <c r="BY810" s="10"/>
      <c r="BZ8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0" s="10" t="e">
        <f>tbl_MTG_Set[[#This Row],[Collector Singles CardMarket Profit BotBox]]/tbl_MTG_Set[[#This Row],[Collector Booster Cost]]</f>
        <v>#N/A</v>
      </c>
      <c r="CC810" s="10" t="b">
        <f>tbl_MTG_Set[[#This Row],[Collector Singles CardMarket Profit BotBox]]&gt;0</f>
        <v>0</v>
      </c>
      <c r="CD8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1" spans="1:86" hidden="1">
      <c r="A811">
        <v>843</v>
      </c>
      <c r="B811" t="s">
        <v>984</v>
      </c>
      <c r="C811">
        <v>3</v>
      </c>
      <c r="D811" s="3">
        <v>38996</v>
      </c>
      <c r="E811" t="s">
        <v>66</v>
      </c>
      <c r="F811" t="s">
        <v>174</v>
      </c>
      <c r="G811">
        <v>1632</v>
      </c>
      <c r="H811">
        <f ca="1">MONTH(NOW())+12*YEAR(NOW())-MONTH(tbl_MTG_Set[[#This Row],[Released On]])-12*YEAR(tbl_MTG_Set[[#This Row],[Released On]])</f>
        <v>233</v>
      </c>
      <c r="I811">
        <f>_xlfn.XLOOKUP(tbl_MTG_Set[[#This Row],[Type Name]], tbl_MTG_Set_Type[Set Type], tbl_MTG_Set_Type[Index], "(Set Type not found)")</f>
        <v>2</v>
      </c>
      <c r="J811">
        <f>_xlfn.XLOOKUP(tbl_MTG_Set[[#This Row],[Type Name]], tbl_MTG_Set_Type[Set Type], tbl_MTG_Set_Type[Buy Window Month Start], "(Set Type not found)")</f>
        <v>3</v>
      </c>
      <c r="K811" s="3">
        <f>tbl_MTG_Set[[#This Row],[Released On]]+tbl_MTG_Set[[#This Row],[Buy Window Month Start]]*365.25/12</f>
        <v>39087.3125</v>
      </c>
      <c r="L811">
        <f>_xlfn.XLOOKUP(tbl_MTG_Set[[#This Row],[Type Name]], tbl_MTG_Set_Type[Set Type], tbl_MTG_Set_Type[Buy Window Month End], "(Set Type not found)", 0, 1)</f>
        <v>6</v>
      </c>
      <c r="M811" s="3">
        <f>tbl_MTG_Set[[#This Row],[Released On]]+tbl_MTG_Set[[#This Row],[Buy Window Month End]]*365.25/12</f>
        <v>39178.625</v>
      </c>
      <c r="N811" s="3" t="b">
        <f ca="1">AND(NOW()&gt;=tbl_MTG_Set[[#This Row],[Buy Window Start]], NOW()&lt;=tbl_MTG_Set[[#This Row],[Buy Window End]])</f>
        <v>0</v>
      </c>
      <c r="O811">
        <f>_xlfn.XLOOKUP(tbl_MTG_Set[[#This Row],[Type Name]], tbl_MTG_Set_Type[Set Type], tbl_MTG_Set_Type[Heavy Printing Window Month Start], "(Set Type not found)", 0, 1)</f>
        <v>6</v>
      </c>
      <c r="P811" s="3">
        <f>tbl_MTG_Set[[#This Row],[Released On]]+tbl_MTG_Set[[#This Row],[Heavy Printing Window Month Start]]*365.25/12</f>
        <v>39178.625</v>
      </c>
      <c r="Q811">
        <f>_xlfn.XLOOKUP(tbl_MTG_Set[[#This Row],[Type Name]], tbl_MTG_Set_Type[Set Type], tbl_MTG_Set_Type[Heavy Printing Window Month End], "(Set Type not found)", 0, 1)</f>
        <v>12</v>
      </c>
      <c r="R811" s="3">
        <f>tbl_MTG_Set[[#This Row],[Released On]]+tbl_MTG_Set[[#This Row],[Heavy Printing Window Month End]]*365.25/12</f>
        <v>39361.25</v>
      </c>
      <c r="S811" s="3" t="b">
        <f ca="1">AND(NOW()&gt;=tbl_MTG_Set[[#This Row],[Heavy Printing Window Start]], NOW()&lt;=tbl_MTG_Set[[#This Row],[Heavy Printing Window End]])</f>
        <v>0</v>
      </c>
      <c r="T811">
        <f>_xlfn.XLOOKUP(tbl_MTG_Set[[#This Row],[Type Name]], tbl_MTG_Set_Type[Set Type], tbl_MTG_Set_Type[Sell Window Month Start], "(Set Type not found)", 0, 1)</f>
        <v>18</v>
      </c>
      <c r="U811" s="3">
        <f>tbl_MTG_Set[[#This Row],[Released On]]+tbl_MTG_Set[[#This Row],[Sell Window Month Start]]*365.25/12</f>
        <v>39543.875</v>
      </c>
      <c r="V811">
        <f>_xlfn.XLOOKUP(tbl_MTG_Set[[#This Row],[Type Name]], tbl_MTG_Set_Type[Set Type], tbl_MTG_Set_Type[Sell Window Month End], "(Set Type not found)", 0, 1)</f>
        <v>36</v>
      </c>
      <c r="W811" s="3">
        <f>tbl_MTG_Set[[#This Row],[Released On]]+tbl_MTG_Set[[#This Row],[Sell Window Month End]]*365.25/12</f>
        <v>40091.75</v>
      </c>
      <c r="X811" s="3" t="b">
        <f ca="1">AND(NOW()&gt;=tbl_MTG_Set[[#This Row],[Sell Window Start]], NOW()&lt;=tbl_MTG_Set[[#This Row],[Sell Window End]])</f>
        <v>0</v>
      </c>
      <c r="AG811" s="10"/>
      <c r="AH811" s="10"/>
      <c r="AM811" s="10" t="str" cm="1">
        <f t="array" ref="AM8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1" s="10" t="str" cm="1">
        <f t="array" ref="AN8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1" s="4" t="e">
        <f>_xlfn.XLOOKUP(tbl_MTG_Set[[#This Row],[Play Booster Box Product Id]], tbl_Product[Product Id], tbl_Product[Pack Size])</f>
        <v>#N/A</v>
      </c>
      <c r="AP811" s="10" t="e">
        <f>(tbl_MTG_Set[[#This Row],[Play Booster Box Cost]]+v_Item_Shipping_Cost_In)/tbl_MTG_Set[[#This Row],[Play Booster Box Size]]</f>
        <v>#VALUE!</v>
      </c>
      <c r="AQ811" s="10" t="str" cm="1">
        <f t="array" ref="AQ8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1" s="10"/>
      <c r="AS811" s="10"/>
      <c r="AT811" s="17" t="e">
        <f>tbl_MTG_Set[[#This Row],[Play Booster CardMarket Profit]]/tbl_MTG_Set[[#This Row],[Play Booster Cost]]</f>
        <v>#VALUE!</v>
      </c>
      <c r="AU811" s="10" t="e">
        <f>_xlfn.XLOOKUP(tbl_MTG_Set[[#This Row],[Collector Booster Box Product Id]], tbl_Product[Product Id], tbl_Product[Min Cost])</f>
        <v>#N/A</v>
      </c>
      <c r="AV811" s="10" t="e">
        <f>_xlfn.XLOOKUP(tbl_MTG_Set[[#This Row],[Collector Booster Box Product Id]], tbl_Product[Product Id], tbl_Product[Best Source])</f>
        <v>#N/A</v>
      </c>
      <c r="AW811" s="4" t="e">
        <f>_xlfn.XLOOKUP(tbl_MTG_Set[[#This Row],[Collector Booster Box Product Id]], tbl_Product[Product Id], tbl_Product[Pack Size])</f>
        <v>#N/A</v>
      </c>
      <c r="AX811" s="10" t="e">
        <f>(tbl_MTG_Set[[#This Row],[Collector Booster Box Cost]] + v_Item_Shipping_Cost_In) / tbl_MTG_Set[[#This Row],[Collector Booster Box Size]]</f>
        <v>#N/A</v>
      </c>
      <c r="AY811" s="10" t="str" cm="1">
        <f t="array" ref="AY8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1" s="10"/>
      <c r="BA8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1" s="17" t="e">
        <f>tbl_MTG_Set[[#This Row],[Collector Booster CardMarket Profit]]/tbl_MTG_Set[[#This Row],[Collector Booster Cost]]</f>
        <v>#N/A</v>
      </c>
      <c r="BC811" s="10"/>
      <c r="BF8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1" s="11" t="e">
        <f>tbl_MTG_Set[[#This Row],[Play Singles CardMarket Profit MTG Stocks]]/tbl_MTG_Set[[#This Row],[Play Booster Cost]]</f>
        <v>#VALUE!</v>
      </c>
      <c r="BI811" s="11" t="b">
        <f>tbl_MTG_Set[[#This Row],[Play Singles CardMarket Profit MTG Stocks]]&gt;0</f>
        <v>0</v>
      </c>
      <c r="BM811" s="10" t="e">
        <f>tbl_MTG_Set[[#This Row],[Play Booster Sell Price CardMarket]]*tbl_MTG_Set[[#This Row],[Play Booster Expected Market Value BotBox]]/tbl_MTG_Set[[#This Row],[Play Booster Sealed Market Value BotBox]]</f>
        <v>#VALUE!</v>
      </c>
      <c r="BN8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1" s="10" t="e">
        <f>tbl_MTG_Set[[#This Row],[Play Singles CardMarket Profit BotBox]]/tbl_MTG_Set[[#This Row],[Play Booster Cost]]</f>
        <v>#VALUE!</v>
      </c>
      <c r="BP811" s="10" t="b">
        <f>tbl_MTG_Set[[#This Row],[Play Singles CardMarket Profit BotBox]]&gt;0</f>
        <v>0</v>
      </c>
      <c r="BQ811" s="10"/>
      <c r="BR811" s="10"/>
      <c r="BS811" s="10"/>
      <c r="BT8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1" s="19" t="e">
        <f>tbl_MTG_Set[[#This Row],[Collector Singles CardMarket Profit MTG Stocks]]/tbl_MTG_Set[[#This Row],[Collector Booster Cost]]</f>
        <v>#N/A</v>
      </c>
      <c r="BW811" s="10" t="b">
        <f>tbl_MTG_Set[[#This Row],[Collector Singles CardMarket Profit MTG Stocks]]&gt;0</f>
        <v>0</v>
      </c>
      <c r="BX811" s="10"/>
      <c r="BY811" s="10"/>
      <c r="BZ8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1" s="10" t="e">
        <f>tbl_MTG_Set[[#This Row],[Collector Singles CardMarket Profit BotBox]]/tbl_MTG_Set[[#This Row],[Collector Booster Cost]]</f>
        <v>#N/A</v>
      </c>
      <c r="CC811" s="10" t="b">
        <f>tbl_MTG_Set[[#This Row],[Collector Singles CardMarket Profit BotBox]]&gt;0</f>
        <v>0</v>
      </c>
      <c r="CD8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2" spans="1:86" hidden="1">
      <c r="A812">
        <v>844</v>
      </c>
      <c r="B812" t="s">
        <v>985</v>
      </c>
      <c r="C812">
        <v>121</v>
      </c>
      <c r="D812" s="3">
        <v>38996</v>
      </c>
      <c r="E812" t="s">
        <v>66</v>
      </c>
      <c r="F812" t="s">
        <v>174</v>
      </c>
      <c r="G812">
        <v>1634</v>
      </c>
      <c r="H812">
        <f ca="1">MONTH(NOW())+12*YEAR(NOW())-MONTH(tbl_MTG_Set[[#This Row],[Released On]])-12*YEAR(tbl_MTG_Set[[#This Row],[Released On]])</f>
        <v>233</v>
      </c>
      <c r="I812">
        <f>_xlfn.XLOOKUP(tbl_MTG_Set[[#This Row],[Type Name]], tbl_MTG_Set_Type[Set Type], tbl_MTG_Set_Type[Index], "(Set Type not found)")</f>
        <v>2</v>
      </c>
      <c r="J812">
        <f>_xlfn.XLOOKUP(tbl_MTG_Set[[#This Row],[Type Name]], tbl_MTG_Set_Type[Set Type], tbl_MTG_Set_Type[Buy Window Month Start], "(Set Type not found)")</f>
        <v>3</v>
      </c>
      <c r="K812" s="3">
        <f>tbl_MTG_Set[[#This Row],[Released On]]+tbl_MTG_Set[[#This Row],[Buy Window Month Start]]*365.25/12</f>
        <v>39087.3125</v>
      </c>
      <c r="L812">
        <f>_xlfn.XLOOKUP(tbl_MTG_Set[[#This Row],[Type Name]], tbl_MTG_Set_Type[Set Type], tbl_MTG_Set_Type[Buy Window Month End], "(Set Type not found)", 0, 1)</f>
        <v>6</v>
      </c>
      <c r="M812" s="3">
        <f>tbl_MTG_Set[[#This Row],[Released On]]+tbl_MTG_Set[[#This Row],[Buy Window Month End]]*365.25/12</f>
        <v>39178.625</v>
      </c>
      <c r="N812" s="3" t="b">
        <f ca="1">AND(NOW()&gt;=tbl_MTG_Set[[#This Row],[Buy Window Start]], NOW()&lt;=tbl_MTG_Set[[#This Row],[Buy Window End]])</f>
        <v>0</v>
      </c>
      <c r="O812">
        <f>_xlfn.XLOOKUP(tbl_MTG_Set[[#This Row],[Type Name]], tbl_MTG_Set_Type[Set Type], tbl_MTG_Set_Type[Heavy Printing Window Month Start], "(Set Type not found)", 0, 1)</f>
        <v>6</v>
      </c>
      <c r="P812" s="3">
        <f>tbl_MTG_Set[[#This Row],[Released On]]+tbl_MTG_Set[[#This Row],[Heavy Printing Window Month Start]]*365.25/12</f>
        <v>39178.625</v>
      </c>
      <c r="Q812">
        <f>_xlfn.XLOOKUP(tbl_MTG_Set[[#This Row],[Type Name]], tbl_MTG_Set_Type[Set Type], tbl_MTG_Set_Type[Heavy Printing Window Month End], "(Set Type not found)", 0, 1)</f>
        <v>12</v>
      </c>
      <c r="R812" s="3">
        <f>tbl_MTG_Set[[#This Row],[Released On]]+tbl_MTG_Set[[#This Row],[Heavy Printing Window Month End]]*365.25/12</f>
        <v>39361.25</v>
      </c>
      <c r="S812" s="3" t="b">
        <f ca="1">AND(NOW()&gt;=tbl_MTG_Set[[#This Row],[Heavy Printing Window Start]], NOW()&lt;=tbl_MTG_Set[[#This Row],[Heavy Printing Window End]])</f>
        <v>0</v>
      </c>
      <c r="T812">
        <f>_xlfn.XLOOKUP(tbl_MTG_Set[[#This Row],[Type Name]], tbl_MTG_Set_Type[Set Type], tbl_MTG_Set_Type[Sell Window Month Start], "(Set Type not found)", 0, 1)</f>
        <v>18</v>
      </c>
      <c r="U812" s="3">
        <f>tbl_MTG_Set[[#This Row],[Released On]]+tbl_MTG_Set[[#This Row],[Sell Window Month Start]]*365.25/12</f>
        <v>39543.875</v>
      </c>
      <c r="V812">
        <f>_xlfn.XLOOKUP(tbl_MTG_Set[[#This Row],[Type Name]], tbl_MTG_Set_Type[Set Type], tbl_MTG_Set_Type[Sell Window Month End], "(Set Type not found)", 0, 1)</f>
        <v>36</v>
      </c>
      <c r="W812" s="3">
        <f>tbl_MTG_Set[[#This Row],[Released On]]+tbl_MTG_Set[[#This Row],[Sell Window Month End]]*365.25/12</f>
        <v>40091.75</v>
      </c>
      <c r="X812" s="3" t="b">
        <f ca="1">AND(NOW()&gt;=tbl_MTG_Set[[#This Row],[Sell Window Start]], NOW()&lt;=tbl_MTG_Set[[#This Row],[Sell Window End]])</f>
        <v>0</v>
      </c>
      <c r="AG812" s="10"/>
      <c r="AH812" s="10"/>
      <c r="AM812" s="10" t="str" cm="1">
        <f t="array" ref="AM8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2" s="10" t="str" cm="1">
        <f t="array" ref="AN8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2" s="4" t="e">
        <f>_xlfn.XLOOKUP(tbl_MTG_Set[[#This Row],[Play Booster Box Product Id]], tbl_Product[Product Id], tbl_Product[Pack Size])</f>
        <v>#N/A</v>
      </c>
      <c r="AP812" s="10" t="e">
        <f>(tbl_MTG_Set[[#This Row],[Play Booster Box Cost]]+v_Item_Shipping_Cost_In)/tbl_MTG_Set[[#This Row],[Play Booster Box Size]]</f>
        <v>#VALUE!</v>
      </c>
      <c r="AQ812" s="10" t="str" cm="1">
        <f t="array" ref="AQ8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2" s="10"/>
      <c r="AS812" s="10"/>
      <c r="AT812" s="17" t="e">
        <f>tbl_MTG_Set[[#This Row],[Play Booster CardMarket Profit]]/tbl_MTG_Set[[#This Row],[Play Booster Cost]]</f>
        <v>#VALUE!</v>
      </c>
      <c r="AU812" s="10" t="e">
        <f>_xlfn.XLOOKUP(tbl_MTG_Set[[#This Row],[Collector Booster Box Product Id]], tbl_Product[Product Id], tbl_Product[Min Cost])</f>
        <v>#N/A</v>
      </c>
      <c r="AV812" s="10" t="e">
        <f>_xlfn.XLOOKUP(tbl_MTG_Set[[#This Row],[Collector Booster Box Product Id]], tbl_Product[Product Id], tbl_Product[Best Source])</f>
        <v>#N/A</v>
      </c>
      <c r="AW812" s="4" t="e">
        <f>_xlfn.XLOOKUP(tbl_MTG_Set[[#This Row],[Collector Booster Box Product Id]], tbl_Product[Product Id], tbl_Product[Pack Size])</f>
        <v>#N/A</v>
      </c>
      <c r="AX812" s="10" t="e">
        <f>(tbl_MTG_Set[[#This Row],[Collector Booster Box Cost]] + v_Item_Shipping_Cost_In) / tbl_MTG_Set[[#This Row],[Collector Booster Box Size]]</f>
        <v>#N/A</v>
      </c>
      <c r="AY812" s="10" t="str" cm="1">
        <f t="array" ref="AY8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2" s="10"/>
      <c r="BA8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2" s="17" t="e">
        <f>tbl_MTG_Set[[#This Row],[Collector Booster CardMarket Profit]]/tbl_MTG_Set[[#This Row],[Collector Booster Cost]]</f>
        <v>#N/A</v>
      </c>
      <c r="BC812" s="10"/>
      <c r="BF8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2" s="11" t="e">
        <f>tbl_MTG_Set[[#This Row],[Play Singles CardMarket Profit MTG Stocks]]/tbl_MTG_Set[[#This Row],[Play Booster Cost]]</f>
        <v>#VALUE!</v>
      </c>
      <c r="BI812" s="11" t="b">
        <f>tbl_MTG_Set[[#This Row],[Play Singles CardMarket Profit MTG Stocks]]&gt;0</f>
        <v>0</v>
      </c>
      <c r="BM812" s="10" t="e">
        <f>tbl_MTG_Set[[#This Row],[Play Booster Sell Price CardMarket]]*tbl_MTG_Set[[#This Row],[Play Booster Expected Market Value BotBox]]/tbl_MTG_Set[[#This Row],[Play Booster Sealed Market Value BotBox]]</f>
        <v>#VALUE!</v>
      </c>
      <c r="BN8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2" s="10" t="e">
        <f>tbl_MTG_Set[[#This Row],[Play Singles CardMarket Profit BotBox]]/tbl_MTG_Set[[#This Row],[Play Booster Cost]]</f>
        <v>#VALUE!</v>
      </c>
      <c r="BP812" s="10" t="b">
        <f>tbl_MTG_Set[[#This Row],[Play Singles CardMarket Profit BotBox]]&gt;0</f>
        <v>0</v>
      </c>
      <c r="BQ812" s="10"/>
      <c r="BR812" s="10"/>
      <c r="BS812" s="10"/>
      <c r="BT8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2" s="19" t="e">
        <f>tbl_MTG_Set[[#This Row],[Collector Singles CardMarket Profit MTG Stocks]]/tbl_MTG_Set[[#This Row],[Collector Booster Cost]]</f>
        <v>#N/A</v>
      </c>
      <c r="BW812" s="10" t="b">
        <f>tbl_MTG_Set[[#This Row],[Collector Singles CardMarket Profit MTG Stocks]]&gt;0</f>
        <v>0</v>
      </c>
      <c r="BX812" s="10"/>
      <c r="BY812" s="10"/>
      <c r="BZ8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2" s="10" t="e">
        <f>tbl_MTG_Set[[#This Row],[Collector Singles CardMarket Profit BotBox]]/tbl_MTG_Set[[#This Row],[Collector Booster Cost]]</f>
        <v>#N/A</v>
      </c>
      <c r="CC812" s="10" t="b">
        <f>tbl_MTG_Set[[#This Row],[Collector Singles CardMarket Profit BotBox]]&gt;0</f>
        <v>0</v>
      </c>
      <c r="CD8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3" spans="1:86" hidden="1">
      <c r="A813">
        <v>845</v>
      </c>
      <c r="B813" t="s">
        <v>986</v>
      </c>
      <c r="C813">
        <v>155</v>
      </c>
      <c r="D813" s="3">
        <v>38919</v>
      </c>
      <c r="F813" t="s">
        <v>174</v>
      </c>
      <c r="G813">
        <v>1636</v>
      </c>
      <c r="H813">
        <f ca="1">MONTH(NOW())+12*YEAR(NOW())-MONTH(tbl_MTG_Set[[#This Row],[Released On]])-12*YEAR(tbl_MTG_Set[[#This Row],[Released On]])</f>
        <v>236</v>
      </c>
      <c r="I813" t="str">
        <f>_xlfn.XLOOKUP(tbl_MTG_Set[[#This Row],[Type Name]], tbl_MTG_Set_Type[Set Type], tbl_MTG_Set_Type[Index], "(Set Type not found)")</f>
        <v>(Set Type not found)</v>
      </c>
      <c r="J813" t="str">
        <f>_xlfn.XLOOKUP(tbl_MTG_Set[[#This Row],[Type Name]], tbl_MTG_Set_Type[Set Type], tbl_MTG_Set_Type[Buy Window Month Start], "(Set Type not found)")</f>
        <v>(Set Type not found)</v>
      </c>
      <c r="K813" s="3" t="e">
        <f>tbl_MTG_Set[[#This Row],[Released On]]+tbl_MTG_Set[[#This Row],[Buy Window Month Start]]*365.25/12</f>
        <v>#VALUE!</v>
      </c>
      <c r="L813" t="str">
        <f>_xlfn.XLOOKUP(tbl_MTG_Set[[#This Row],[Type Name]], tbl_MTG_Set_Type[Set Type], tbl_MTG_Set_Type[Buy Window Month End], "(Set Type not found)", 0, 1)</f>
        <v>(Set Type not found)</v>
      </c>
      <c r="M813" s="3" t="e">
        <f>tbl_MTG_Set[[#This Row],[Released On]]+tbl_MTG_Set[[#This Row],[Buy Window Month End]]*365.25/12</f>
        <v>#VALUE!</v>
      </c>
      <c r="N813" s="3" t="e">
        <f ca="1">AND(NOW()&gt;=tbl_MTG_Set[[#This Row],[Buy Window Start]], NOW()&lt;=tbl_MTG_Set[[#This Row],[Buy Window End]])</f>
        <v>#VALUE!</v>
      </c>
      <c r="O813" t="str">
        <f>_xlfn.XLOOKUP(tbl_MTG_Set[[#This Row],[Type Name]], tbl_MTG_Set_Type[Set Type], tbl_MTG_Set_Type[Heavy Printing Window Month Start], "(Set Type not found)", 0, 1)</f>
        <v>(Set Type not found)</v>
      </c>
      <c r="P813" s="3" t="e">
        <f>tbl_MTG_Set[[#This Row],[Released On]]+tbl_MTG_Set[[#This Row],[Heavy Printing Window Month Start]]*365.25/12</f>
        <v>#VALUE!</v>
      </c>
      <c r="Q813" t="str">
        <f>_xlfn.XLOOKUP(tbl_MTG_Set[[#This Row],[Type Name]], tbl_MTG_Set_Type[Set Type], tbl_MTG_Set_Type[Heavy Printing Window Month End], "(Set Type not found)", 0, 1)</f>
        <v>(Set Type not found)</v>
      </c>
      <c r="R813" s="3" t="e">
        <f>tbl_MTG_Set[[#This Row],[Released On]]+tbl_MTG_Set[[#This Row],[Heavy Printing Window Month End]]*365.25/12</f>
        <v>#VALUE!</v>
      </c>
      <c r="S813" s="3" t="e">
        <f ca="1">AND(NOW()&gt;=tbl_MTG_Set[[#This Row],[Heavy Printing Window Start]], NOW()&lt;=tbl_MTG_Set[[#This Row],[Heavy Printing Window End]])</f>
        <v>#VALUE!</v>
      </c>
      <c r="T813" t="str">
        <f>_xlfn.XLOOKUP(tbl_MTG_Set[[#This Row],[Type Name]], tbl_MTG_Set_Type[Set Type], tbl_MTG_Set_Type[Sell Window Month Start], "(Set Type not found)", 0, 1)</f>
        <v>(Set Type not found)</v>
      </c>
      <c r="U813" s="3" t="e">
        <f>tbl_MTG_Set[[#This Row],[Released On]]+tbl_MTG_Set[[#This Row],[Sell Window Month Start]]*365.25/12</f>
        <v>#VALUE!</v>
      </c>
      <c r="V813" t="str">
        <f>_xlfn.XLOOKUP(tbl_MTG_Set[[#This Row],[Type Name]], tbl_MTG_Set_Type[Set Type], tbl_MTG_Set_Type[Sell Window Month End], "(Set Type not found)", 0, 1)</f>
        <v>(Set Type not found)</v>
      </c>
      <c r="W813" s="3" t="e">
        <f>tbl_MTG_Set[[#This Row],[Released On]]+tbl_MTG_Set[[#This Row],[Sell Window Month End]]*365.25/12</f>
        <v>#VALUE!</v>
      </c>
      <c r="X813" s="3" t="e">
        <f ca="1">AND(NOW()&gt;=tbl_MTG_Set[[#This Row],[Sell Window Start]], NOW()&lt;=tbl_MTG_Set[[#This Row],[Sell Window End]])</f>
        <v>#VALUE!</v>
      </c>
      <c r="AG813" s="10"/>
      <c r="AH813" s="10"/>
      <c r="AM813" s="10" t="str" cm="1">
        <f t="array" ref="AM8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3" s="10" t="str" cm="1">
        <f t="array" ref="AN8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3" s="4" t="e">
        <f>_xlfn.XLOOKUP(tbl_MTG_Set[[#This Row],[Play Booster Box Product Id]], tbl_Product[Product Id], tbl_Product[Pack Size])</f>
        <v>#N/A</v>
      </c>
      <c r="AP813" s="10" t="e">
        <f>(tbl_MTG_Set[[#This Row],[Play Booster Box Cost]]+v_Item_Shipping_Cost_In)/tbl_MTG_Set[[#This Row],[Play Booster Box Size]]</f>
        <v>#VALUE!</v>
      </c>
      <c r="AQ813" s="10" t="str" cm="1">
        <f t="array" ref="AQ8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3" s="10"/>
      <c r="AS813" s="10"/>
      <c r="AT813" s="17" t="e">
        <f>tbl_MTG_Set[[#This Row],[Play Booster CardMarket Profit]]/tbl_MTG_Set[[#This Row],[Play Booster Cost]]</f>
        <v>#VALUE!</v>
      </c>
      <c r="AU813" s="10" t="e">
        <f>_xlfn.XLOOKUP(tbl_MTG_Set[[#This Row],[Collector Booster Box Product Id]], tbl_Product[Product Id], tbl_Product[Min Cost])</f>
        <v>#N/A</v>
      </c>
      <c r="AV813" s="10" t="e">
        <f>_xlfn.XLOOKUP(tbl_MTG_Set[[#This Row],[Collector Booster Box Product Id]], tbl_Product[Product Id], tbl_Product[Best Source])</f>
        <v>#N/A</v>
      </c>
      <c r="AW813" s="4" t="e">
        <f>_xlfn.XLOOKUP(tbl_MTG_Set[[#This Row],[Collector Booster Box Product Id]], tbl_Product[Product Id], tbl_Product[Pack Size])</f>
        <v>#N/A</v>
      </c>
      <c r="AX813" s="10" t="e">
        <f>(tbl_MTG_Set[[#This Row],[Collector Booster Box Cost]] + v_Item_Shipping_Cost_In) / tbl_MTG_Set[[#This Row],[Collector Booster Box Size]]</f>
        <v>#N/A</v>
      </c>
      <c r="AY813" s="10" t="str" cm="1">
        <f t="array" ref="AY8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3" s="10"/>
      <c r="BA8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3" s="17" t="e">
        <f>tbl_MTG_Set[[#This Row],[Collector Booster CardMarket Profit]]/tbl_MTG_Set[[#This Row],[Collector Booster Cost]]</f>
        <v>#N/A</v>
      </c>
      <c r="BC813" s="10"/>
      <c r="BF8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3" s="11" t="e">
        <f>tbl_MTG_Set[[#This Row],[Play Singles CardMarket Profit MTG Stocks]]/tbl_MTG_Set[[#This Row],[Play Booster Cost]]</f>
        <v>#VALUE!</v>
      </c>
      <c r="BI813" s="11" t="b">
        <f>tbl_MTG_Set[[#This Row],[Play Singles CardMarket Profit MTG Stocks]]&gt;0</f>
        <v>0</v>
      </c>
      <c r="BM813" s="10" t="e">
        <f>tbl_MTG_Set[[#This Row],[Play Booster Sell Price CardMarket]]*tbl_MTG_Set[[#This Row],[Play Booster Expected Market Value BotBox]]/tbl_MTG_Set[[#This Row],[Play Booster Sealed Market Value BotBox]]</f>
        <v>#VALUE!</v>
      </c>
      <c r="BN8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3" s="10" t="e">
        <f>tbl_MTG_Set[[#This Row],[Play Singles CardMarket Profit BotBox]]/tbl_MTG_Set[[#This Row],[Play Booster Cost]]</f>
        <v>#VALUE!</v>
      </c>
      <c r="BP813" s="10" t="b">
        <f>tbl_MTG_Set[[#This Row],[Play Singles CardMarket Profit BotBox]]&gt;0</f>
        <v>0</v>
      </c>
      <c r="BQ813" s="10"/>
      <c r="BR813" s="10"/>
      <c r="BS813" s="10"/>
      <c r="BT8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3" s="19" t="e">
        <f>tbl_MTG_Set[[#This Row],[Collector Singles CardMarket Profit MTG Stocks]]/tbl_MTG_Set[[#This Row],[Collector Booster Cost]]</f>
        <v>#N/A</v>
      </c>
      <c r="BW813" s="10" t="b">
        <f>tbl_MTG_Set[[#This Row],[Collector Singles CardMarket Profit MTG Stocks]]&gt;0</f>
        <v>0</v>
      </c>
      <c r="BX813" s="10"/>
      <c r="BY813" s="10"/>
      <c r="BZ8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3" s="10" t="e">
        <f>tbl_MTG_Set[[#This Row],[Collector Singles CardMarket Profit BotBox]]/tbl_MTG_Set[[#This Row],[Collector Booster Cost]]</f>
        <v>#N/A</v>
      </c>
      <c r="CC813" s="10" t="b">
        <f>tbl_MTG_Set[[#This Row],[Collector Singles CardMarket Profit BotBox]]&gt;0</f>
        <v>0</v>
      </c>
      <c r="CD8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4" spans="1:86" hidden="1">
      <c r="A814">
        <v>846</v>
      </c>
      <c r="B814" t="s">
        <v>987</v>
      </c>
      <c r="C814">
        <v>2</v>
      </c>
      <c r="D814" s="3">
        <v>38919</v>
      </c>
      <c r="F814" t="s">
        <v>174</v>
      </c>
      <c r="G814">
        <v>1638</v>
      </c>
      <c r="H814">
        <f ca="1">MONTH(NOW())+12*YEAR(NOW())-MONTH(tbl_MTG_Set[[#This Row],[Released On]])-12*YEAR(tbl_MTG_Set[[#This Row],[Released On]])</f>
        <v>236</v>
      </c>
      <c r="I814" t="str">
        <f>_xlfn.XLOOKUP(tbl_MTG_Set[[#This Row],[Type Name]], tbl_MTG_Set_Type[Set Type], tbl_MTG_Set_Type[Index], "(Set Type not found)")</f>
        <v>(Set Type not found)</v>
      </c>
      <c r="J814" t="str">
        <f>_xlfn.XLOOKUP(tbl_MTG_Set[[#This Row],[Type Name]], tbl_MTG_Set_Type[Set Type], tbl_MTG_Set_Type[Buy Window Month Start], "(Set Type not found)")</f>
        <v>(Set Type not found)</v>
      </c>
      <c r="K814" s="3" t="e">
        <f>tbl_MTG_Set[[#This Row],[Released On]]+tbl_MTG_Set[[#This Row],[Buy Window Month Start]]*365.25/12</f>
        <v>#VALUE!</v>
      </c>
      <c r="L814" t="str">
        <f>_xlfn.XLOOKUP(tbl_MTG_Set[[#This Row],[Type Name]], tbl_MTG_Set_Type[Set Type], tbl_MTG_Set_Type[Buy Window Month End], "(Set Type not found)", 0, 1)</f>
        <v>(Set Type not found)</v>
      </c>
      <c r="M814" s="3" t="e">
        <f>tbl_MTG_Set[[#This Row],[Released On]]+tbl_MTG_Set[[#This Row],[Buy Window Month End]]*365.25/12</f>
        <v>#VALUE!</v>
      </c>
      <c r="N814" s="3" t="e">
        <f ca="1">AND(NOW()&gt;=tbl_MTG_Set[[#This Row],[Buy Window Start]], NOW()&lt;=tbl_MTG_Set[[#This Row],[Buy Window End]])</f>
        <v>#VALUE!</v>
      </c>
      <c r="O814" t="str">
        <f>_xlfn.XLOOKUP(tbl_MTG_Set[[#This Row],[Type Name]], tbl_MTG_Set_Type[Set Type], tbl_MTG_Set_Type[Heavy Printing Window Month Start], "(Set Type not found)", 0, 1)</f>
        <v>(Set Type not found)</v>
      </c>
      <c r="P814" s="3" t="e">
        <f>tbl_MTG_Set[[#This Row],[Released On]]+tbl_MTG_Set[[#This Row],[Heavy Printing Window Month Start]]*365.25/12</f>
        <v>#VALUE!</v>
      </c>
      <c r="Q814" t="str">
        <f>_xlfn.XLOOKUP(tbl_MTG_Set[[#This Row],[Type Name]], tbl_MTG_Set_Type[Set Type], tbl_MTG_Set_Type[Heavy Printing Window Month End], "(Set Type not found)", 0, 1)</f>
        <v>(Set Type not found)</v>
      </c>
      <c r="R814" s="3" t="e">
        <f>tbl_MTG_Set[[#This Row],[Released On]]+tbl_MTG_Set[[#This Row],[Heavy Printing Window Month End]]*365.25/12</f>
        <v>#VALUE!</v>
      </c>
      <c r="S814" s="3" t="e">
        <f ca="1">AND(NOW()&gt;=tbl_MTG_Set[[#This Row],[Heavy Printing Window Start]], NOW()&lt;=tbl_MTG_Set[[#This Row],[Heavy Printing Window End]])</f>
        <v>#VALUE!</v>
      </c>
      <c r="T814" t="str">
        <f>_xlfn.XLOOKUP(tbl_MTG_Set[[#This Row],[Type Name]], tbl_MTG_Set_Type[Set Type], tbl_MTG_Set_Type[Sell Window Month Start], "(Set Type not found)", 0, 1)</f>
        <v>(Set Type not found)</v>
      </c>
      <c r="U814" s="3" t="e">
        <f>tbl_MTG_Set[[#This Row],[Released On]]+tbl_MTG_Set[[#This Row],[Sell Window Month Start]]*365.25/12</f>
        <v>#VALUE!</v>
      </c>
      <c r="V814" t="str">
        <f>_xlfn.XLOOKUP(tbl_MTG_Set[[#This Row],[Type Name]], tbl_MTG_Set_Type[Set Type], tbl_MTG_Set_Type[Sell Window Month End], "(Set Type not found)", 0, 1)</f>
        <v>(Set Type not found)</v>
      </c>
      <c r="W814" s="3" t="e">
        <f>tbl_MTG_Set[[#This Row],[Released On]]+tbl_MTG_Set[[#This Row],[Sell Window Month End]]*365.25/12</f>
        <v>#VALUE!</v>
      </c>
      <c r="X814" s="3" t="e">
        <f ca="1">AND(NOW()&gt;=tbl_MTG_Set[[#This Row],[Sell Window Start]], NOW()&lt;=tbl_MTG_Set[[#This Row],[Sell Window End]])</f>
        <v>#VALUE!</v>
      </c>
      <c r="AG814" s="10"/>
      <c r="AH814" s="10"/>
      <c r="AM814" s="10" t="str" cm="1">
        <f t="array" ref="AM8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4" s="10" t="str" cm="1">
        <f t="array" ref="AN8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4" s="4" t="e">
        <f>_xlfn.XLOOKUP(tbl_MTG_Set[[#This Row],[Play Booster Box Product Id]], tbl_Product[Product Id], tbl_Product[Pack Size])</f>
        <v>#N/A</v>
      </c>
      <c r="AP814" s="10" t="e">
        <f>(tbl_MTG_Set[[#This Row],[Play Booster Box Cost]]+v_Item_Shipping_Cost_In)/tbl_MTG_Set[[#This Row],[Play Booster Box Size]]</f>
        <v>#VALUE!</v>
      </c>
      <c r="AQ814" s="10" t="str" cm="1">
        <f t="array" ref="AQ8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4" s="10"/>
      <c r="AS814" s="10"/>
      <c r="AT814" s="17" t="e">
        <f>tbl_MTG_Set[[#This Row],[Play Booster CardMarket Profit]]/tbl_MTG_Set[[#This Row],[Play Booster Cost]]</f>
        <v>#VALUE!</v>
      </c>
      <c r="AU814" s="10" t="e">
        <f>_xlfn.XLOOKUP(tbl_MTG_Set[[#This Row],[Collector Booster Box Product Id]], tbl_Product[Product Id], tbl_Product[Min Cost])</f>
        <v>#N/A</v>
      </c>
      <c r="AV814" s="10" t="e">
        <f>_xlfn.XLOOKUP(tbl_MTG_Set[[#This Row],[Collector Booster Box Product Id]], tbl_Product[Product Id], tbl_Product[Best Source])</f>
        <v>#N/A</v>
      </c>
      <c r="AW814" s="4" t="e">
        <f>_xlfn.XLOOKUP(tbl_MTG_Set[[#This Row],[Collector Booster Box Product Id]], tbl_Product[Product Id], tbl_Product[Pack Size])</f>
        <v>#N/A</v>
      </c>
      <c r="AX814" s="10" t="e">
        <f>(tbl_MTG_Set[[#This Row],[Collector Booster Box Cost]] + v_Item_Shipping_Cost_In) / tbl_MTG_Set[[#This Row],[Collector Booster Box Size]]</f>
        <v>#N/A</v>
      </c>
      <c r="AY814" s="10" t="str" cm="1">
        <f t="array" ref="AY8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4" s="10"/>
      <c r="BA8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4" s="17" t="e">
        <f>tbl_MTG_Set[[#This Row],[Collector Booster CardMarket Profit]]/tbl_MTG_Set[[#This Row],[Collector Booster Cost]]</f>
        <v>#N/A</v>
      </c>
      <c r="BC814" s="10"/>
      <c r="BF8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4" s="11" t="e">
        <f>tbl_MTG_Set[[#This Row],[Play Singles CardMarket Profit MTG Stocks]]/tbl_MTG_Set[[#This Row],[Play Booster Cost]]</f>
        <v>#VALUE!</v>
      </c>
      <c r="BI814" s="11" t="b">
        <f>tbl_MTG_Set[[#This Row],[Play Singles CardMarket Profit MTG Stocks]]&gt;0</f>
        <v>0</v>
      </c>
      <c r="BM814" s="10" t="e">
        <f>tbl_MTG_Set[[#This Row],[Play Booster Sell Price CardMarket]]*tbl_MTG_Set[[#This Row],[Play Booster Expected Market Value BotBox]]/tbl_MTG_Set[[#This Row],[Play Booster Sealed Market Value BotBox]]</f>
        <v>#VALUE!</v>
      </c>
      <c r="BN8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4" s="10" t="e">
        <f>tbl_MTG_Set[[#This Row],[Play Singles CardMarket Profit BotBox]]/tbl_MTG_Set[[#This Row],[Play Booster Cost]]</f>
        <v>#VALUE!</v>
      </c>
      <c r="BP814" s="10" t="b">
        <f>tbl_MTG_Set[[#This Row],[Play Singles CardMarket Profit BotBox]]&gt;0</f>
        <v>0</v>
      </c>
      <c r="BQ814" s="10"/>
      <c r="BR814" s="10"/>
      <c r="BS814" s="10"/>
      <c r="BT8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4" s="19" t="e">
        <f>tbl_MTG_Set[[#This Row],[Collector Singles CardMarket Profit MTG Stocks]]/tbl_MTG_Set[[#This Row],[Collector Booster Cost]]</f>
        <v>#N/A</v>
      </c>
      <c r="BW814" s="10" t="b">
        <f>tbl_MTG_Set[[#This Row],[Collector Singles CardMarket Profit MTG Stocks]]&gt;0</f>
        <v>0</v>
      </c>
      <c r="BX814" s="10"/>
      <c r="BY814" s="10"/>
      <c r="BZ8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4" s="10" t="e">
        <f>tbl_MTG_Set[[#This Row],[Collector Singles CardMarket Profit BotBox]]/tbl_MTG_Set[[#This Row],[Collector Booster Cost]]</f>
        <v>#N/A</v>
      </c>
      <c r="CC814" s="10" t="b">
        <f>tbl_MTG_Set[[#This Row],[Collector Singles CardMarket Profit BotBox]]&gt;0</f>
        <v>0</v>
      </c>
      <c r="CD8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5" spans="1:86" hidden="1">
      <c r="A815">
        <v>847</v>
      </c>
      <c r="B815" t="s">
        <v>988</v>
      </c>
      <c r="C815">
        <v>62</v>
      </c>
      <c r="D815" s="3">
        <v>38919</v>
      </c>
      <c r="F815" t="s">
        <v>174</v>
      </c>
      <c r="G815">
        <v>1640</v>
      </c>
      <c r="H815">
        <f ca="1">MONTH(NOW())+12*YEAR(NOW())-MONTH(tbl_MTG_Set[[#This Row],[Released On]])-12*YEAR(tbl_MTG_Set[[#This Row],[Released On]])</f>
        <v>236</v>
      </c>
      <c r="I815" t="str">
        <f>_xlfn.XLOOKUP(tbl_MTG_Set[[#This Row],[Type Name]], tbl_MTG_Set_Type[Set Type], tbl_MTG_Set_Type[Index], "(Set Type not found)")</f>
        <v>(Set Type not found)</v>
      </c>
      <c r="J815" t="str">
        <f>_xlfn.XLOOKUP(tbl_MTG_Set[[#This Row],[Type Name]], tbl_MTG_Set_Type[Set Type], tbl_MTG_Set_Type[Buy Window Month Start], "(Set Type not found)")</f>
        <v>(Set Type not found)</v>
      </c>
      <c r="K815" s="3" t="e">
        <f>tbl_MTG_Set[[#This Row],[Released On]]+tbl_MTG_Set[[#This Row],[Buy Window Month Start]]*365.25/12</f>
        <v>#VALUE!</v>
      </c>
      <c r="L815" t="str">
        <f>_xlfn.XLOOKUP(tbl_MTG_Set[[#This Row],[Type Name]], tbl_MTG_Set_Type[Set Type], tbl_MTG_Set_Type[Buy Window Month End], "(Set Type not found)", 0, 1)</f>
        <v>(Set Type not found)</v>
      </c>
      <c r="M815" s="3" t="e">
        <f>tbl_MTG_Set[[#This Row],[Released On]]+tbl_MTG_Set[[#This Row],[Buy Window Month End]]*365.25/12</f>
        <v>#VALUE!</v>
      </c>
      <c r="N815" s="3" t="e">
        <f ca="1">AND(NOW()&gt;=tbl_MTG_Set[[#This Row],[Buy Window Start]], NOW()&lt;=tbl_MTG_Set[[#This Row],[Buy Window End]])</f>
        <v>#VALUE!</v>
      </c>
      <c r="O815" t="str">
        <f>_xlfn.XLOOKUP(tbl_MTG_Set[[#This Row],[Type Name]], tbl_MTG_Set_Type[Set Type], tbl_MTG_Set_Type[Heavy Printing Window Month Start], "(Set Type not found)", 0, 1)</f>
        <v>(Set Type not found)</v>
      </c>
      <c r="P815" s="3" t="e">
        <f>tbl_MTG_Set[[#This Row],[Released On]]+tbl_MTG_Set[[#This Row],[Heavy Printing Window Month Start]]*365.25/12</f>
        <v>#VALUE!</v>
      </c>
      <c r="Q815" t="str">
        <f>_xlfn.XLOOKUP(tbl_MTG_Set[[#This Row],[Type Name]], tbl_MTG_Set_Type[Set Type], tbl_MTG_Set_Type[Heavy Printing Window Month End], "(Set Type not found)", 0, 1)</f>
        <v>(Set Type not found)</v>
      </c>
      <c r="R815" s="3" t="e">
        <f>tbl_MTG_Set[[#This Row],[Released On]]+tbl_MTG_Set[[#This Row],[Heavy Printing Window Month End]]*365.25/12</f>
        <v>#VALUE!</v>
      </c>
      <c r="S815" s="3" t="e">
        <f ca="1">AND(NOW()&gt;=tbl_MTG_Set[[#This Row],[Heavy Printing Window Start]], NOW()&lt;=tbl_MTG_Set[[#This Row],[Heavy Printing Window End]])</f>
        <v>#VALUE!</v>
      </c>
      <c r="T815" t="str">
        <f>_xlfn.XLOOKUP(tbl_MTG_Set[[#This Row],[Type Name]], tbl_MTG_Set_Type[Set Type], tbl_MTG_Set_Type[Sell Window Month Start], "(Set Type not found)", 0, 1)</f>
        <v>(Set Type not found)</v>
      </c>
      <c r="U815" s="3" t="e">
        <f>tbl_MTG_Set[[#This Row],[Released On]]+tbl_MTG_Set[[#This Row],[Sell Window Month Start]]*365.25/12</f>
        <v>#VALUE!</v>
      </c>
      <c r="V815" t="str">
        <f>_xlfn.XLOOKUP(tbl_MTG_Set[[#This Row],[Type Name]], tbl_MTG_Set_Type[Set Type], tbl_MTG_Set_Type[Sell Window Month End], "(Set Type not found)", 0, 1)</f>
        <v>(Set Type not found)</v>
      </c>
      <c r="W815" s="3" t="e">
        <f>tbl_MTG_Set[[#This Row],[Released On]]+tbl_MTG_Set[[#This Row],[Sell Window Month End]]*365.25/12</f>
        <v>#VALUE!</v>
      </c>
      <c r="X815" s="3" t="e">
        <f ca="1">AND(NOW()&gt;=tbl_MTG_Set[[#This Row],[Sell Window Start]], NOW()&lt;=tbl_MTG_Set[[#This Row],[Sell Window End]])</f>
        <v>#VALUE!</v>
      </c>
      <c r="AG815" s="10"/>
      <c r="AH815" s="10"/>
      <c r="AM815" s="10" t="str" cm="1">
        <f t="array" ref="AM8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5" s="10" t="str" cm="1">
        <f t="array" ref="AN8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5" s="4" t="e">
        <f>_xlfn.XLOOKUP(tbl_MTG_Set[[#This Row],[Play Booster Box Product Id]], tbl_Product[Product Id], tbl_Product[Pack Size])</f>
        <v>#N/A</v>
      </c>
      <c r="AP815" s="10" t="e">
        <f>(tbl_MTG_Set[[#This Row],[Play Booster Box Cost]]+v_Item_Shipping_Cost_In)/tbl_MTG_Set[[#This Row],[Play Booster Box Size]]</f>
        <v>#VALUE!</v>
      </c>
      <c r="AQ815" s="10" t="str" cm="1">
        <f t="array" ref="AQ8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5" s="10"/>
      <c r="AS815" s="10"/>
      <c r="AT815" s="17" t="e">
        <f>tbl_MTG_Set[[#This Row],[Play Booster CardMarket Profit]]/tbl_MTG_Set[[#This Row],[Play Booster Cost]]</f>
        <v>#VALUE!</v>
      </c>
      <c r="AU815" s="10" t="e">
        <f>_xlfn.XLOOKUP(tbl_MTG_Set[[#This Row],[Collector Booster Box Product Id]], tbl_Product[Product Id], tbl_Product[Min Cost])</f>
        <v>#N/A</v>
      </c>
      <c r="AV815" s="10" t="e">
        <f>_xlfn.XLOOKUP(tbl_MTG_Set[[#This Row],[Collector Booster Box Product Id]], tbl_Product[Product Id], tbl_Product[Best Source])</f>
        <v>#N/A</v>
      </c>
      <c r="AW815" s="4" t="e">
        <f>_xlfn.XLOOKUP(tbl_MTG_Set[[#This Row],[Collector Booster Box Product Id]], tbl_Product[Product Id], tbl_Product[Pack Size])</f>
        <v>#N/A</v>
      </c>
      <c r="AX815" s="10" t="e">
        <f>(tbl_MTG_Set[[#This Row],[Collector Booster Box Cost]] + v_Item_Shipping_Cost_In) / tbl_MTG_Set[[#This Row],[Collector Booster Box Size]]</f>
        <v>#N/A</v>
      </c>
      <c r="AY815" s="10" t="str" cm="1">
        <f t="array" ref="AY8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5" s="10"/>
      <c r="BA8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5" s="17" t="e">
        <f>tbl_MTG_Set[[#This Row],[Collector Booster CardMarket Profit]]/tbl_MTG_Set[[#This Row],[Collector Booster Cost]]</f>
        <v>#N/A</v>
      </c>
      <c r="BC815" s="10"/>
      <c r="BF8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5" s="11" t="e">
        <f>tbl_MTG_Set[[#This Row],[Play Singles CardMarket Profit MTG Stocks]]/tbl_MTG_Set[[#This Row],[Play Booster Cost]]</f>
        <v>#VALUE!</v>
      </c>
      <c r="BI815" s="11" t="b">
        <f>tbl_MTG_Set[[#This Row],[Play Singles CardMarket Profit MTG Stocks]]&gt;0</f>
        <v>0</v>
      </c>
      <c r="BM815" s="10" t="e">
        <f>tbl_MTG_Set[[#This Row],[Play Booster Sell Price CardMarket]]*tbl_MTG_Set[[#This Row],[Play Booster Expected Market Value BotBox]]/tbl_MTG_Set[[#This Row],[Play Booster Sealed Market Value BotBox]]</f>
        <v>#VALUE!</v>
      </c>
      <c r="BN8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5" s="10" t="e">
        <f>tbl_MTG_Set[[#This Row],[Play Singles CardMarket Profit BotBox]]/tbl_MTG_Set[[#This Row],[Play Booster Cost]]</f>
        <v>#VALUE!</v>
      </c>
      <c r="BP815" s="10" t="b">
        <f>tbl_MTG_Set[[#This Row],[Play Singles CardMarket Profit BotBox]]&gt;0</f>
        <v>0</v>
      </c>
      <c r="BQ815" s="10"/>
      <c r="BR815" s="10"/>
      <c r="BS815" s="10"/>
      <c r="BT8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5" s="19" t="e">
        <f>tbl_MTG_Set[[#This Row],[Collector Singles CardMarket Profit MTG Stocks]]/tbl_MTG_Set[[#This Row],[Collector Booster Cost]]</f>
        <v>#N/A</v>
      </c>
      <c r="BW815" s="10" t="b">
        <f>tbl_MTG_Set[[#This Row],[Collector Singles CardMarket Profit MTG Stocks]]&gt;0</f>
        <v>0</v>
      </c>
      <c r="BX815" s="10"/>
      <c r="BY815" s="10"/>
      <c r="BZ8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5" s="10" t="e">
        <f>tbl_MTG_Set[[#This Row],[Collector Singles CardMarket Profit BotBox]]/tbl_MTG_Set[[#This Row],[Collector Booster Cost]]</f>
        <v>#N/A</v>
      </c>
      <c r="CC815" s="10" t="b">
        <f>tbl_MTG_Set[[#This Row],[Collector Singles CardMarket Profit BotBox]]&gt;0</f>
        <v>0</v>
      </c>
      <c r="CD8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6" spans="1:86" hidden="1">
      <c r="A816">
        <v>848</v>
      </c>
      <c r="B816" t="s">
        <v>989</v>
      </c>
      <c r="C816">
        <v>180</v>
      </c>
      <c r="D816" s="3">
        <v>38842</v>
      </c>
      <c r="F816" t="s">
        <v>174</v>
      </c>
      <c r="G816">
        <v>1642</v>
      </c>
      <c r="H816">
        <f ca="1">MONTH(NOW())+12*YEAR(NOW())-MONTH(tbl_MTG_Set[[#This Row],[Released On]])-12*YEAR(tbl_MTG_Set[[#This Row],[Released On]])</f>
        <v>238</v>
      </c>
      <c r="I816" t="str">
        <f>_xlfn.XLOOKUP(tbl_MTG_Set[[#This Row],[Type Name]], tbl_MTG_Set_Type[Set Type], tbl_MTG_Set_Type[Index], "(Set Type not found)")</f>
        <v>(Set Type not found)</v>
      </c>
      <c r="J816" t="str">
        <f>_xlfn.XLOOKUP(tbl_MTG_Set[[#This Row],[Type Name]], tbl_MTG_Set_Type[Set Type], tbl_MTG_Set_Type[Buy Window Month Start], "(Set Type not found)")</f>
        <v>(Set Type not found)</v>
      </c>
      <c r="K816" s="3" t="e">
        <f>tbl_MTG_Set[[#This Row],[Released On]]+tbl_MTG_Set[[#This Row],[Buy Window Month Start]]*365.25/12</f>
        <v>#VALUE!</v>
      </c>
      <c r="L816" t="str">
        <f>_xlfn.XLOOKUP(tbl_MTG_Set[[#This Row],[Type Name]], tbl_MTG_Set_Type[Set Type], tbl_MTG_Set_Type[Buy Window Month End], "(Set Type not found)", 0, 1)</f>
        <v>(Set Type not found)</v>
      </c>
      <c r="M816" s="3" t="e">
        <f>tbl_MTG_Set[[#This Row],[Released On]]+tbl_MTG_Set[[#This Row],[Buy Window Month End]]*365.25/12</f>
        <v>#VALUE!</v>
      </c>
      <c r="N816" s="3" t="e">
        <f ca="1">AND(NOW()&gt;=tbl_MTG_Set[[#This Row],[Buy Window Start]], NOW()&lt;=tbl_MTG_Set[[#This Row],[Buy Window End]])</f>
        <v>#VALUE!</v>
      </c>
      <c r="O816" t="str">
        <f>_xlfn.XLOOKUP(tbl_MTG_Set[[#This Row],[Type Name]], tbl_MTG_Set_Type[Set Type], tbl_MTG_Set_Type[Heavy Printing Window Month Start], "(Set Type not found)", 0, 1)</f>
        <v>(Set Type not found)</v>
      </c>
      <c r="P816" s="3" t="e">
        <f>tbl_MTG_Set[[#This Row],[Released On]]+tbl_MTG_Set[[#This Row],[Heavy Printing Window Month Start]]*365.25/12</f>
        <v>#VALUE!</v>
      </c>
      <c r="Q816" t="str">
        <f>_xlfn.XLOOKUP(tbl_MTG_Set[[#This Row],[Type Name]], tbl_MTG_Set_Type[Set Type], tbl_MTG_Set_Type[Heavy Printing Window Month End], "(Set Type not found)", 0, 1)</f>
        <v>(Set Type not found)</v>
      </c>
      <c r="R816" s="3" t="e">
        <f>tbl_MTG_Set[[#This Row],[Released On]]+tbl_MTG_Set[[#This Row],[Heavy Printing Window Month End]]*365.25/12</f>
        <v>#VALUE!</v>
      </c>
      <c r="S816" s="3" t="e">
        <f ca="1">AND(NOW()&gt;=tbl_MTG_Set[[#This Row],[Heavy Printing Window Start]], NOW()&lt;=tbl_MTG_Set[[#This Row],[Heavy Printing Window End]])</f>
        <v>#VALUE!</v>
      </c>
      <c r="T816" t="str">
        <f>_xlfn.XLOOKUP(tbl_MTG_Set[[#This Row],[Type Name]], tbl_MTG_Set_Type[Set Type], tbl_MTG_Set_Type[Sell Window Month Start], "(Set Type not found)", 0, 1)</f>
        <v>(Set Type not found)</v>
      </c>
      <c r="U816" s="3" t="e">
        <f>tbl_MTG_Set[[#This Row],[Released On]]+tbl_MTG_Set[[#This Row],[Sell Window Month Start]]*365.25/12</f>
        <v>#VALUE!</v>
      </c>
      <c r="V816" t="str">
        <f>_xlfn.XLOOKUP(tbl_MTG_Set[[#This Row],[Type Name]], tbl_MTG_Set_Type[Set Type], tbl_MTG_Set_Type[Sell Window Month End], "(Set Type not found)", 0, 1)</f>
        <v>(Set Type not found)</v>
      </c>
      <c r="W816" s="3" t="e">
        <f>tbl_MTG_Set[[#This Row],[Released On]]+tbl_MTG_Set[[#This Row],[Sell Window Month End]]*365.25/12</f>
        <v>#VALUE!</v>
      </c>
      <c r="X816" s="3" t="e">
        <f ca="1">AND(NOW()&gt;=tbl_MTG_Set[[#This Row],[Sell Window Start]], NOW()&lt;=tbl_MTG_Set[[#This Row],[Sell Window End]])</f>
        <v>#VALUE!</v>
      </c>
      <c r="AG816" s="10"/>
      <c r="AH816" s="10"/>
      <c r="AM816" s="10" t="str" cm="1">
        <f t="array" ref="AM8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6" s="10" t="str" cm="1">
        <f t="array" ref="AN8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6" s="4" t="e">
        <f>_xlfn.XLOOKUP(tbl_MTG_Set[[#This Row],[Play Booster Box Product Id]], tbl_Product[Product Id], tbl_Product[Pack Size])</f>
        <v>#N/A</v>
      </c>
      <c r="AP816" s="10" t="e">
        <f>(tbl_MTG_Set[[#This Row],[Play Booster Box Cost]]+v_Item_Shipping_Cost_In)/tbl_MTG_Set[[#This Row],[Play Booster Box Size]]</f>
        <v>#VALUE!</v>
      </c>
      <c r="AQ816" s="10" t="str" cm="1">
        <f t="array" ref="AQ8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6" s="10"/>
      <c r="AS816" s="10"/>
      <c r="AT816" s="17" t="e">
        <f>tbl_MTG_Set[[#This Row],[Play Booster CardMarket Profit]]/tbl_MTG_Set[[#This Row],[Play Booster Cost]]</f>
        <v>#VALUE!</v>
      </c>
      <c r="AU816" s="10" t="e">
        <f>_xlfn.XLOOKUP(tbl_MTG_Set[[#This Row],[Collector Booster Box Product Id]], tbl_Product[Product Id], tbl_Product[Min Cost])</f>
        <v>#N/A</v>
      </c>
      <c r="AV816" s="10" t="e">
        <f>_xlfn.XLOOKUP(tbl_MTG_Set[[#This Row],[Collector Booster Box Product Id]], tbl_Product[Product Id], tbl_Product[Best Source])</f>
        <v>#N/A</v>
      </c>
      <c r="AW816" s="4" t="e">
        <f>_xlfn.XLOOKUP(tbl_MTG_Set[[#This Row],[Collector Booster Box Product Id]], tbl_Product[Product Id], tbl_Product[Pack Size])</f>
        <v>#N/A</v>
      </c>
      <c r="AX816" s="10" t="e">
        <f>(tbl_MTG_Set[[#This Row],[Collector Booster Box Cost]] + v_Item_Shipping_Cost_In) / tbl_MTG_Set[[#This Row],[Collector Booster Box Size]]</f>
        <v>#N/A</v>
      </c>
      <c r="AY816" s="10" t="str" cm="1">
        <f t="array" ref="AY8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6" s="10"/>
      <c r="BA8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6" s="17" t="e">
        <f>tbl_MTG_Set[[#This Row],[Collector Booster CardMarket Profit]]/tbl_MTG_Set[[#This Row],[Collector Booster Cost]]</f>
        <v>#N/A</v>
      </c>
      <c r="BC816" s="10"/>
      <c r="BF8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6" s="11" t="e">
        <f>tbl_MTG_Set[[#This Row],[Play Singles CardMarket Profit MTG Stocks]]/tbl_MTG_Set[[#This Row],[Play Booster Cost]]</f>
        <v>#VALUE!</v>
      </c>
      <c r="BI816" s="11" t="b">
        <f>tbl_MTG_Set[[#This Row],[Play Singles CardMarket Profit MTG Stocks]]&gt;0</f>
        <v>0</v>
      </c>
      <c r="BM816" s="10" t="e">
        <f>tbl_MTG_Set[[#This Row],[Play Booster Sell Price CardMarket]]*tbl_MTG_Set[[#This Row],[Play Booster Expected Market Value BotBox]]/tbl_MTG_Set[[#This Row],[Play Booster Sealed Market Value BotBox]]</f>
        <v>#VALUE!</v>
      </c>
      <c r="BN8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6" s="10" t="e">
        <f>tbl_MTG_Set[[#This Row],[Play Singles CardMarket Profit BotBox]]/tbl_MTG_Set[[#This Row],[Play Booster Cost]]</f>
        <v>#VALUE!</v>
      </c>
      <c r="BP816" s="10" t="b">
        <f>tbl_MTG_Set[[#This Row],[Play Singles CardMarket Profit BotBox]]&gt;0</f>
        <v>0</v>
      </c>
      <c r="BQ816" s="10"/>
      <c r="BR816" s="10"/>
      <c r="BS816" s="10"/>
      <c r="BT8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6" s="19" t="e">
        <f>tbl_MTG_Set[[#This Row],[Collector Singles CardMarket Profit MTG Stocks]]/tbl_MTG_Set[[#This Row],[Collector Booster Cost]]</f>
        <v>#N/A</v>
      </c>
      <c r="BW816" s="10" t="b">
        <f>tbl_MTG_Set[[#This Row],[Collector Singles CardMarket Profit MTG Stocks]]&gt;0</f>
        <v>0</v>
      </c>
      <c r="BX816" s="10"/>
      <c r="BY816" s="10"/>
      <c r="BZ8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6" s="10" t="e">
        <f>tbl_MTG_Set[[#This Row],[Collector Singles CardMarket Profit BotBox]]/tbl_MTG_Set[[#This Row],[Collector Booster Cost]]</f>
        <v>#N/A</v>
      </c>
      <c r="CC816" s="10" t="b">
        <f>tbl_MTG_Set[[#This Row],[Collector Singles CardMarket Profit BotBox]]&gt;0</f>
        <v>0</v>
      </c>
      <c r="CD8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7" spans="1:86" hidden="1">
      <c r="A817">
        <v>849</v>
      </c>
      <c r="B817" t="s">
        <v>990</v>
      </c>
      <c r="C817">
        <v>2</v>
      </c>
      <c r="D817" s="3">
        <v>38842</v>
      </c>
      <c r="F817" t="s">
        <v>174</v>
      </c>
      <c r="G817">
        <v>1644</v>
      </c>
      <c r="H817">
        <f ca="1">MONTH(NOW())+12*YEAR(NOW())-MONTH(tbl_MTG_Set[[#This Row],[Released On]])-12*YEAR(tbl_MTG_Set[[#This Row],[Released On]])</f>
        <v>238</v>
      </c>
      <c r="I817" t="str">
        <f>_xlfn.XLOOKUP(tbl_MTG_Set[[#This Row],[Type Name]], tbl_MTG_Set_Type[Set Type], tbl_MTG_Set_Type[Index], "(Set Type not found)")</f>
        <v>(Set Type not found)</v>
      </c>
      <c r="J817" t="str">
        <f>_xlfn.XLOOKUP(tbl_MTG_Set[[#This Row],[Type Name]], tbl_MTG_Set_Type[Set Type], tbl_MTG_Set_Type[Buy Window Month Start], "(Set Type not found)")</f>
        <v>(Set Type not found)</v>
      </c>
      <c r="K817" s="3" t="e">
        <f>tbl_MTG_Set[[#This Row],[Released On]]+tbl_MTG_Set[[#This Row],[Buy Window Month Start]]*365.25/12</f>
        <v>#VALUE!</v>
      </c>
      <c r="L817" t="str">
        <f>_xlfn.XLOOKUP(tbl_MTG_Set[[#This Row],[Type Name]], tbl_MTG_Set_Type[Set Type], tbl_MTG_Set_Type[Buy Window Month End], "(Set Type not found)", 0, 1)</f>
        <v>(Set Type not found)</v>
      </c>
      <c r="M817" s="3" t="e">
        <f>tbl_MTG_Set[[#This Row],[Released On]]+tbl_MTG_Set[[#This Row],[Buy Window Month End]]*365.25/12</f>
        <v>#VALUE!</v>
      </c>
      <c r="N817" s="3" t="e">
        <f ca="1">AND(NOW()&gt;=tbl_MTG_Set[[#This Row],[Buy Window Start]], NOW()&lt;=tbl_MTG_Set[[#This Row],[Buy Window End]])</f>
        <v>#VALUE!</v>
      </c>
      <c r="O817" t="str">
        <f>_xlfn.XLOOKUP(tbl_MTG_Set[[#This Row],[Type Name]], tbl_MTG_Set_Type[Set Type], tbl_MTG_Set_Type[Heavy Printing Window Month Start], "(Set Type not found)", 0, 1)</f>
        <v>(Set Type not found)</v>
      </c>
      <c r="P817" s="3" t="e">
        <f>tbl_MTG_Set[[#This Row],[Released On]]+tbl_MTG_Set[[#This Row],[Heavy Printing Window Month Start]]*365.25/12</f>
        <v>#VALUE!</v>
      </c>
      <c r="Q817" t="str">
        <f>_xlfn.XLOOKUP(tbl_MTG_Set[[#This Row],[Type Name]], tbl_MTG_Set_Type[Set Type], tbl_MTG_Set_Type[Heavy Printing Window Month End], "(Set Type not found)", 0, 1)</f>
        <v>(Set Type not found)</v>
      </c>
      <c r="R817" s="3" t="e">
        <f>tbl_MTG_Set[[#This Row],[Released On]]+tbl_MTG_Set[[#This Row],[Heavy Printing Window Month End]]*365.25/12</f>
        <v>#VALUE!</v>
      </c>
      <c r="S817" s="3" t="e">
        <f ca="1">AND(NOW()&gt;=tbl_MTG_Set[[#This Row],[Heavy Printing Window Start]], NOW()&lt;=tbl_MTG_Set[[#This Row],[Heavy Printing Window End]])</f>
        <v>#VALUE!</v>
      </c>
      <c r="T817" t="str">
        <f>_xlfn.XLOOKUP(tbl_MTG_Set[[#This Row],[Type Name]], tbl_MTG_Set_Type[Set Type], tbl_MTG_Set_Type[Sell Window Month Start], "(Set Type not found)", 0, 1)</f>
        <v>(Set Type not found)</v>
      </c>
      <c r="U817" s="3" t="e">
        <f>tbl_MTG_Set[[#This Row],[Released On]]+tbl_MTG_Set[[#This Row],[Sell Window Month Start]]*365.25/12</f>
        <v>#VALUE!</v>
      </c>
      <c r="V817" t="str">
        <f>_xlfn.XLOOKUP(tbl_MTG_Set[[#This Row],[Type Name]], tbl_MTG_Set_Type[Set Type], tbl_MTG_Set_Type[Sell Window Month End], "(Set Type not found)", 0, 1)</f>
        <v>(Set Type not found)</v>
      </c>
      <c r="W817" s="3" t="e">
        <f>tbl_MTG_Set[[#This Row],[Released On]]+tbl_MTG_Set[[#This Row],[Sell Window Month End]]*365.25/12</f>
        <v>#VALUE!</v>
      </c>
      <c r="X817" s="3" t="e">
        <f ca="1">AND(NOW()&gt;=tbl_MTG_Set[[#This Row],[Sell Window Start]], NOW()&lt;=tbl_MTG_Set[[#This Row],[Sell Window End]])</f>
        <v>#VALUE!</v>
      </c>
      <c r="AG817" s="10"/>
      <c r="AH817" s="10"/>
      <c r="AM817" s="10" t="str" cm="1">
        <f t="array" ref="AM8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7" s="10" t="str" cm="1">
        <f t="array" ref="AN8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7" s="4" t="e">
        <f>_xlfn.XLOOKUP(tbl_MTG_Set[[#This Row],[Play Booster Box Product Id]], tbl_Product[Product Id], tbl_Product[Pack Size])</f>
        <v>#N/A</v>
      </c>
      <c r="AP817" s="10" t="e">
        <f>(tbl_MTG_Set[[#This Row],[Play Booster Box Cost]]+v_Item_Shipping_Cost_In)/tbl_MTG_Set[[#This Row],[Play Booster Box Size]]</f>
        <v>#VALUE!</v>
      </c>
      <c r="AQ817" s="10" t="str" cm="1">
        <f t="array" ref="AQ8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7" s="10"/>
      <c r="AS817" s="10"/>
      <c r="AT817" s="17" t="e">
        <f>tbl_MTG_Set[[#This Row],[Play Booster CardMarket Profit]]/tbl_MTG_Set[[#This Row],[Play Booster Cost]]</f>
        <v>#VALUE!</v>
      </c>
      <c r="AU817" s="10" t="e">
        <f>_xlfn.XLOOKUP(tbl_MTG_Set[[#This Row],[Collector Booster Box Product Id]], tbl_Product[Product Id], tbl_Product[Min Cost])</f>
        <v>#N/A</v>
      </c>
      <c r="AV817" s="10" t="e">
        <f>_xlfn.XLOOKUP(tbl_MTG_Set[[#This Row],[Collector Booster Box Product Id]], tbl_Product[Product Id], tbl_Product[Best Source])</f>
        <v>#N/A</v>
      </c>
      <c r="AW817" s="4" t="e">
        <f>_xlfn.XLOOKUP(tbl_MTG_Set[[#This Row],[Collector Booster Box Product Id]], tbl_Product[Product Id], tbl_Product[Pack Size])</f>
        <v>#N/A</v>
      </c>
      <c r="AX817" s="10" t="e">
        <f>(tbl_MTG_Set[[#This Row],[Collector Booster Box Cost]] + v_Item_Shipping_Cost_In) / tbl_MTG_Set[[#This Row],[Collector Booster Box Size]]</f>
        <v>#N/A</v>
      </c>
      <c r="AY817" s="10" t="str" cm="1">
        <f t="array" ref="AY8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7" s="10"/>
      <c r="BA8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7" s="17" t="e">
        <f>tbl_MTG_Set[[#This Row],[Collector Booster CardMarket Profit]]/tbl_MTG_Set[[#This Row],[Collector Booster Cost]]</f>
        <v>#N/A</v>
      </c>
      <c r="BC817" s="10"/>
      <c r="BF8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7" s="11" t="e">
        <f>tbl_MTG_Set[[#This Row],[Play Singles CardMarket Profit MTG Stocks]]/tbl_MTG_Set[[#This Row],[Play Booster Cost]]</f>
        <v>#VALUE!</v>
      </c>
      <c r="BI817" s="11" t="b">
        <f>tbl_MTG_Set[[#This Row],[Play Singles CardMarket Profit MTG Stocks]]&gt;0</f>
        <v>0</v>
      </c>
      <c r="BM817" s="10" t="e">
        <f>tbl_MTG_Set[[#This Row],[Play Booster Sell Price CardMarket]]*tbl_MTG_Set[[#This Row],[Play Booster Expected Market Value BotBox]]/tbl_MTG_Set[[#This Row],[Play Booster Sealed Market Value BotBox]]</f>
        <v>#VALUE!</v>
      </c>
      <c r="BN8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7" s="10" t="e">
        <f>tbl_MTG_Set[[#This Row],[Play Singles CardMarket Profit BotBox]]/tbl_MTG_Set[[#This Row],[Play Booster Cost]]</f>
        <v>#VALUE!</v>
      </c>
      <c r="BP817" s="10" t="b">
        <f>tbl_MTG_Set[[#This Row],[Play Singles CardMarket Profit BotBox]]&gt;0</f>
        <v>0</v>
      </c>
      <c r="BQ817" s="10"/>
      <c r="BR817" s="10"/>
      <c r="BS817" s="10"/>
      <c r="BT8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7" s="19" t="e">
        <f>tbl_MTG_Set[[#This Row],[Collector Singles CardMarket Profit MTG Stocks]]/tbl_MTG_Set[[#This Row],[Collector Booster Cost]]</f>
        <v>#N/A</v>
      </c>
      <c r="BW817" s="10" t="b">
        <f>tbl_MTG_Set[[#This Row],[Collector Singles CardMarket Profit MTG Stocks]]&gt;0</f>
        <v>0</v>
      </c>
      <c r="BX817" s="10"/>
      <c r="BY817" s="10"/>
      <c r="BZ8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7" s="10" t="e">
        <f>tbl_MTG_Set[[#This Row],[Collector Singles CardMarket Profit BotBox]]/tbl_MTG_Set[[#This Row],[Collector Booster Cost]]</f>
        <v>#N/A</v>
      </c>
      <c r="CC817" s="10" t="b">
        <f>tbl_MTG_Set[[#This Row],[Collector Singles CardMarket Profit BotBox]]&gt;0</f>
        <v>0</v>
      </c>
      <c r="CD8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8" spans="1:86" hidden="1">
      <c r="A818">
        <v>850</v>
      </c>
      <c r="B818" t="s">
        <v>991</v>
      </c>
      <c r="C818">
        <v>12</v>
      </c>
      <c r="D818" s="3">
        <v>38794</v>
      </c>
      <c r="F818" t="s">
        <v>174</v>
      </c>
      <c r="G818">
        <v>1646</v>
      </c>
      <c r="H818">
        <f ca="1">MONTH(NOW())+12*YEAR(NOW())-MONTH(tbl_MTG_Set[[#This Row],[Released On]])-12*YEAR(tbl_MTG_Set[[#This Row],[Released On]])</f>
        <v>240</v>
      </c>
      <c r="I818" t="str">
        <f>_xlfn.XLOOKUP(tbl_MTG_Set[[#This Row],[Type Name]], tbl_MTG_Set_Type[Set Type], tbl_MTG_Set_Type[Index], "(Set Type not found)")</f>
        <v>(Set Type not found)</v>
      </c>
      <c r="J818" t="str">
        <f>_xlfn.XLOOKUP(tbl_MTG_Set[[#This Row],[Type Name]], tbl_MTG_Set_Type[Set Type], tbl_MTG_Set_Type[Buy Window Month Start], "(Set Type not found)")</f>
        <v>(Set Type not found)</v>
      </c>
      <c r="K818" s="3" t="e">
        <f>tbl_MTG_Set[[#This Row],[Released On]]+tbl_MTG_Set[[#This Row],[Buy Window Month Start]]*365.25/12</f>
        <v>#VALUE!</v>
      </c>
      <c r="L818" t="str">
        <f>_xlfn.XLOOKUP(tbl_MTG_Set[[#This Row],[Type Name]], tbl_MTG_Set_Type[Set Type], tbl_MTG_Set_Type[Buy Window Month End], "(Set Type not found)", 0, 1)</f>
        <v>(Set Type not found)</v>
      </c>
      <c r="M818" s="3" t="e">
        <f>tbl_MTG_Set[[#This Row],[Released On]]+tbl_MTG_Set[[#This Row],[Buy Window Month End]]*365.25/12</f>
        <v>#VALUE!</v>
      </c>
      <c r="N818" s="3" t="e">
        <f ca="1">AND(NOW()&gt;=tbl_MTG_Set[[#This Row],[Buy Window Start]], NOW()&lt;=tbl_MTG_Set[[#This Row],[Buy Window End]])</f>
        <v>#VALUE!</v>
      </c>
      <c r="O818" t="str">
        <f>_xlfn.XLOOKUP(tbl_MTG_Set[[#This Row],[Type Name]], tbl_MTG_Set_Type[Set Type], tbl_MTG_Set_Type[Heavy Printing Window Month Start], "(Set Type not found)", 0, 1)</f>
        <v>(Set Type not found)</v>
      </c>
      <c r="P818" s="3" t="e">
        <f>tbl_MTG_Set[[#This Row],[Released On]]+tbl_MTG_Set[[#This Row],[Heavy Printing Window Month Start]]*365.25/12</f>
        <v>#VALUE!</v>
      </c>
      <c r="Q818" t="str">
        <f>_xlfn.XLOOKUP(tbl_MTG_Set[[#This Row],[Type Name]], tbl_MTG_Set_Type[Set Type], tbl_MTG_Set_Type[Heavy Printing Window Month End], "(Set Type not found)", 0, 1)</f>
        <v>(Set Type not found)</v>
      </c>
      <c r="R818" s="3" t="e">
        <f>tbl_MTG_Set[[#This Row],[Released On]]+tbl_MTG_Set[[#This Row],[Heavy Printing Window Month End]]*365.25/12</f>
        <v>#VALUE!</v>
      </c>
      <c r="S818" s="3" t="e">
        <f ca="1">AND(NOW()&gt;=tbl_MTG_Set[[#This Row],[Heavy Printing Window Start]], NOW()&lt;=tbl_MTG_Set[[#This Row],[Heavy Printing Window End]])</f>
        <v>#VALUE!</v>
      </c>
      <c r="T818" t="str">
        <f>_xlfn.XLOOKUP(tbl_MTG_Set[[#This Row],[Type Name]], tbl_MTG_Set_Type[Set Type], tbl_MTG_Set_Type[Sell Window Month Start], "(Set Type not found)", 0, 1)</f>
        <v>(Set Type not found)</v>
      </c>
      <c r="U818" s="3" t="e">
        <f>tbl_MTG_Set[[#This Row],[Released On]]+tbl_MTG_Set[[#This Row],[Sell Window Month Start]]*365.25/12</f>
        <v>#VALUE!</v>
      </c>
      <c r="V818" t="str">
        <f>_xlfn.XLOOKUP(tbl_MTG_Set[[#This Row],[Type Name]], tbl_MTG_Set_Type[Set Type], tbl_MTG_Set_Type[Sell Window Month End], "(Set Type not found)", 0, 1)</f>
        <v>(Set Type not found)</v>
      </c>
      <c r="W818" s="3" t="e">
        <f>tbl_MTG_Set[[#This Row],[Released On]]+tbl_MTG_Set[[#This Row],[Sell Window Month End]]*365.25/12</f>
        <v>#VALUE!</v>
      </c>
      <c r="X818" s="3" t="e">
        <f ca="1">AND(NOW()&gt;=tbl_MTG_Set[[#This Row],[Sell Window Start]], NOW()&lt;=tbl_MTG_Set[[#This Row],[Sell Window End]])</f>
        <v>#VALUE!</v>
      </c>
      <c r="AG818" s="10"/>
      <c r="AH818" s="10"/>
      <c r="AM818" s="10" t="str" cm="1">
        <f t="array" ref="AM8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8" s="10" t="str" cm="1">
        <f t="array" ref="AN8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8" s="4" t="e">
        <f>_xlfn.XLOOKUP(tbl_MTG_Set[[#This Row],[Play Booster Box Product Id]], tbl_Product[Product Id], tbl_Product[Pack Size])</f>
        <v>#N/A</v>
      </c>
      <c r="AP818" s="10" t="e">
        <f>(tbl_MTG_Set[[#This Row],[Play Booster Box Cost]]+v_Item_Shipping_Cost_In)/tbl_MTG_Set[[#This Row],[Play Booster Box Size]]</f>
        <v>#VALUE!</v>
      </c>
      <c r="AQ818" s="10" t="str" cm="1">
        <f t="array" ref="AQ8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8" s="10"/>
      <c r="AS818" s="10"/>
      <c r="AT818" s="17" t="e">
        <f>tbl_MTG_Set[[#This Row],[Play Booster CardMarket Profit]]/tbl_MTG_Set[[#This Row],[Play Booster Cost]]</f>
        <v>#VALUE!</v>
      </c>
      <c r="AU818" s="10" t="e">
        <f>_xlfn.XLOOKUP(tbl_MTG_Set[[#This Row],[Collector Booster Box Product Id]], tbl_Product[Product Id], tbl_Product[Min Cost])</f>
        <v>#N/A</v>
      </c>
      <c r="AV818" s="10" t="e">
        <f>_xlfn.XLOOKUP(tbl_MTG_Set[[#This Row],[Collector Booster Box Product Id]], tbl_Product[Product Id], tbl_Product[Best Source])</f>
        <v>#N/A</v>
      </c>
      <c r="AW818" s="4" t="e">
        <f>_xlfn.XLOOKUP(tbl_MTG_Set[[#This Row],[Collector Booster Box Product Id]], tbl_Product[Product Id], tbl_Product[Pack Size])</f>
        <v>#N/A</v>
      </c>
      <c r="AX818" s="10" t="e">
        <f>(tbl_MTG_Set[[#This Row],[Collector Booster Box Cost]] + v_Item_Shipping_Cost_In) / tbl_MTG_Set[[#This Row],[Collector Booster Box Size]]</f>
        <v>#N/A</v>
      </c>
      <c r="AY818" s="10" t="str" cm="1">
        <f t="array" ref="AY8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8" s="10"/>
      <c r="BA8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8" s="17" t="e">
        <f>tbl_MTG_Set[[#This Row],[Collector Booster CardMarket Profit]]/tbl_MTG_Set[[#This Row],[Collector Booster Cost]]</f>
        <v>#N/A</v>
      </c>
      <c r="BC818" s="10"/>
      <c r="BF8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8" s="11" t="e">
        <f>tbl_MTG_Set[[#This Row],[Play Singles CardMarket Profit MTG Stocks]]/tbl_MTG_Set[[#This Row],[Play Booster Cost]]</f>
        <v>#VALUE!</v>
      </c>
      <c r="BI818" s="11" t="b">
        <f>tbl_MTG_Set[[#This Row],[Play Singles CardMarket Profit MTG Stocks]]&gt;0</f>
        <v>0</v>
      </c>
      <c r="BM818" s="10" t="e">
        <f>tbl_MTG_Set[[#This Row],[Play Booster Sell Price CardMarket]]*tbl_MTG_Set[[#This Row],[Play Booster Expected Market Value BotBox]]/tbl_MTG_Set[[#This Row],[Play Booster Sealed Market Value BotBox]]</f>
        <v>#VALUE!</v>
      </c>
      <c r="BN8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8" s="10" t="e">
        <f>tbl_MTG_Set[[#This Row],[Play Singles CardMarket Profit BotBox]]/tbl_MTG_Set[[#This Row],[Play Booster Cost]]</f>
        <v>#VALUE!</v>
      </c>
      <c r="BP818" s="10" t="b">
        <f>tbl_MTG_Set[[#This Row],[Play Singles CardMarket Profit BotBox]]&gt;0</f>
        <v>0</v>
      </c>
      <c r="BQ818" s="10"/>
      <c r="BR818" s="10"/>
      <c r="BS818" s="10"/>
      <c r="BT8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8" s="19" t="e">
        <f>tbl_MTG_Set[[#This Row],[Collector Singles CardMarket Profit MTG Stocks]]/tbl_MTG_Set[[#This Row],[Collector Booster Cost]]</f>
        <v>#N/A</v>
      </c>
      <c r="BW818" s="10" t="b">
        <f>tbl_MTG_Set[[#This Row],[Collector Singles CardMarket Profit MTG Stocks]]&gt;0</f>
        <v>0</v>
      </c>
      <c r="BX818" s="10"/>
      <c r="BY818" s="10"/>
      <c r="BZ8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8" s="10" t="e">
        <f>tbl_MTG_Set[[#This Row],[Collector Singles CardMarket Profit BotBox]]/tbl_MTG_Set[[#This Row],[Collector Booster Cost]]</f>
        <v>#N/A</v>
      </c>
      <c r="CC818" s="10" t="b">
        <f>tbl_MTG_Set[[#This Row],[Collector Singles CardMarket Profit BotBox]]&gt;0</f>
        <v>0</v>
      </c>
      <c r="CD8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19" spans="1:86" hidden="1">
      <c r="A819">
        <v>851</v>
      </c>
      <c r="B819" t="s">
        <v>992</v>
      </c>
      <c r="C819">
        <v>167</v>
      </c>
      <c r="D819" s="3">
        <v>38751</v>
      </c>
      <c r="F819" t="s">
        <v>174</v>
      </c>
      <c r="G819">
        <v>1648</v>
      </c>
      <c r="H819">
        <f ca="1">MONTH(NOW())+12*YEAR(NOW())-MONTH(tbl_MTG_Set[[#This Row],[Released On]])-12*YEAR(tbl_MTG_Set[[#This Row],[Released On]])</f>
        <v>241</v>
      </c>
      <c r="I819" t="str">
        <f>_xlfn.XLOOKUP(tbl_MTG_Set[[#This Row],[Type Name]], tbl_MTG_Set_Type[Set Type], tbl_MTG_Set_Type[Index], "(Set Type not found)")</f>
        <v>(Set Type not found)</v>
      </c>
      <c r="J819" t="str">
        <f>_xlfn.XLOOKUP(tbl_MTG_Set[[#This Row],[Type Name]], tbl_MTG_Set_Type[Set Type], tbl_MTG_Set_Type[Buy Window Month Start], "(Set Type not found)")</f>
        <v>(Set Type not found)</v>
      </c>
      <c r="K819" s="3" t="e">
        <f>tbl_MTG_Set[[#This Row],[Released On]]+tbl_MTG_Set[[#This Row],[Buy Window Month Start]]*365.25/12</f>
        <v>#VALUE!</v>
      </c>
      <c r="L819" t="str">
        <f>_xlfn.XLOOKUP(tbl_MTG_Set[[#This Row],[Type Name]], tbl_MTG_Set_Type[Set Type], tbl_MTG_Set_Type[Buy Window Month End], "(Set Type not found)", 0, 1)</f>
        <v>(Set Type not found)</v>
      </c>
      <c r="M819" s="3" t="e">
        <f>tbl_MTG_Set[[#This Row],[Released On]]+tbl_MTG_Set[[#This Row],[Buy Window Month End]]*365.25/12</f>
        <v>#VALUE!</v>
      </c>
      <c r="N819" s="3" t="e">
        <f ca="1">AND(NOW()&gt;=tbl_MTG_Set[[#This Row],[Buy Window Start]], NOW()&lt;=tbl_MTG_Set[[#This Row],[Buy Window End]])</f>
        <v>#VALUE!</v>
      </c>
      <c r="O819" t="str">
        <f>_xlfn.XLOOKUP(tbl_MTG_Set[[#This Row],[Type Name]], tbl_MTG_Set_Type[Set Type], tbl_MTG_Set_Type[Heavy Printing Window Month Start], "(Set Type not found)", 0, 1)</f>
        <v>(Set Type not found)</v>
      </c>
      <c r="P819" s="3" t="e">
        <f>tbl_MTG_Set[[#This Row],[Released On]]+tbl_MTG_Set[[#This Row],[Heavy Printing Window Month Start]]*365.25/12</f>
        <v>#VALUE!</v>
      </c>
      <c r="Q819" t="str">
        <f>_xlfn.XLOOKUP(tbl_MTG_Set[[#This Row],[Type Name]], tbl_MTG_Set_Type[Set Type], tbl_MTG_Set_Type[Heavy Printing Window Month End], "(Set Type not found)", 0, 1)</f>
        <v>(Set Type not found)</v>
      </c>
      <c r="R819" s="3" t="e">
        <f>tbl_MTG_Set[[#This Row],[Released On]]+tbl_MTG_Set[[#This Row],[Heavy Printing Window Month End]]*365.25/12</f>
        <v>#VALUE!</v>
      </c>
      <c r="S819" s="3" t="e">
        <f ca="1">AND(NOW()&gt;=tbl_MTG_Set[[#This Row],[Heavy Printing Window Start]], NOW()&lt;=tbl_MTG_Set[[#This Row],[Heavy Printing Window End]])</f>
        <v>#VALUE!</v>
      </c>
      <c r="T819" t="str">
        <f>_xlfn.XLOOKUP(tbl_MTG_Set[[#This Row],[Type Name]], tbl_MTG_Set_Type[Set Type], tbl_MTG_Set_Type[Sell Window Month Start], "(Set Type not found)", 0, 1)</f>
        <v>(Set Type not found)</v>
      </c>
      <c r="U819" s="3" t="e">
        <f>tbl_MTG_Set[[#This Row],[Released On]]+tbl_MTG_Set[[#This Row],[Sell Window Month Start]]*365.25/12</f>
        <v>#VALUE!</v>
      </c>
      <c r="V819" t="str">
        <f>_xlfn.XLOOKUP(tbl_MTG_Set[[#This Row],[Type Name]], tbl_MTG_Set_Type[Set Type], tbl_MTG_Set_Type[Sell Window Month End], "(Set Type not found)", 0, 1)</f>
        <v>(Set Type not found)</v>
      </c>
      <c r="W819" s="3" t="e">
        <f>tbl_MTG_Set[[#This Row],[Released On]]+tbl_MTG_Set[[#This Row],[Sell Window Month End]]*365.25/12</f>
        <v>#VALUE!</v>
      </c>
      <c r="X819" s="3" t="e">
        <f ca="1">AND(NOW()&gt;=tbl_MTG_Set[[#This Row],[Sell Window Start]], NOW()&lt;=tbl_MTG_Set[[#This Row],[Sell Window End]])</f>
        <v>#VALUE!</v>
      </c>
      <c r="AG819" s="10"/>
      <c r="AH819" s="10"/>
      <c r="AM819" s="10" t="str" cm="1">
        <f t="array" ref="AM8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19" s="10" t="str" cm="1">
        <f t="array" ref="AN8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19" s="4" t="e">
        <f>_xlfn.XLOOKUP(tbl_MTG_Set[[#This Row],[Play Booster Box Product Id]], tbl_Product[Product Id], tbl_Product[Pack Size])</f>
        <v>#N/A</v>
      </c>
      <c r="AP819" s="10" t="e">
        <f>(tbl_MTG_Set[[#This Row],[Play Booster Box Cost]]+v_Item_Shipping_Cost_In)/tbl_MTG_Set[[#This Row],[Play Booster Box Size]]</f>
        <v>#VALUE!</v>
      </c>
      <c r="AQ819" s="10" t="str" cm="1">
        <f t="array" ref="AQ8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19" s="10"/>
      <c r="AS819" s="10"/>
      <c r="AT819" s="17" t="e">
        <f>tbl_MTG_Set[[#This Row],[Play Booster CardMarket Profit]]/tbl_MTG_Set[[#This Row],[Play Booster Cost]]</f>
        <v>#VALUE!</v>
      </c>
      <c r="AU819" s="10" t="e">
        <f>_xlfn.XLOOKUP(tbl_MTG_Set[[#This Row],[Collector Booster Box Product Id]], tbl_Product[Product Id], tbl_Product[Min Cost])</f>
        <v>#N/A</v>
      </c>
      <c r="AV819" s="10" t="e">
        <f>_xlfn.XLOOKUP(tbl_MTG_Set[[#This Row],[Collector Booster Box Product Id]], tbl_Product[Product Id], tbl_Product[Best Source])</f>
        <v>#N/A</v>
      </c>
      <c r="AW819" s="4" t="e">
        <f>_xlfn.XLOOKUP(tbl_MTG_Set[[#This Row],[Collector Booster Box Product Id]], tbl_Product[Product Id], tbl_Product[Pack Size])</f>
        <v>#N/A</v>
      </c>
      <c r="AX819" s="10" t="e">
        <f>(tbl_MTG_Set[[#This Row],[Collector Booster Box Cost]] + v_Item_Shipping_Cost_In) / tbl_MTG_Set[[#This Row],[Collector Booster Box Size]]</f>
        <v>#N/A</v>
      </c>
      <c r="AY819" s="10" t="str" cm="1">
        <f t="array" ref="AY8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19" s="10"/>
      <c r="BA8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19" s="17" t="e">
        <f>tbl_MTG_Set[[#This Row],[Collector Booster CardMarket Profit]]/tbl_MTG_Set[[#This Row],[Collector Booster Cost]]</f>
        <v>#N/A</v>
      </c>
      <c r="BC819" s="10"/>
      <c r="BF8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19" s="11" t="e">
        <f>tbl_MTG_Set[[#This Row],[Play Singles CardMarket Profit MTG Stocks]]/tbl_MTG_Set[[#This Row],[Play Booster Cost]]</f>
        <v>#VALUE!</v>
      </c>
      <c r="BI819" s="11" t="b">
        <f>tbl_MTG_Set[[#This Row],[Play Singles CardMarket Profit MTG Stocks]]&gt;0</f>
        <v>0</v>
      </c>
      <c r="BM819" s="10" t="e">
        <f>tbl_MTG_Set[[#This Row],[Play Booster Sell Price CardMarket]]*tbl_MTG_Set[[#This Row],[Play Booster Expected Market Value BotBox]]/tbl_MTG_Set[[#This Row],[Play Booster Sealed Market Value BotBox]]</f>
        <v>#VALUE!</v>
      </c>
      <c r="BN8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19" s="10" t="e">
        <f>tbl_MTG_Set[[#This Row],[Play Singles CardMarket Profit BotBox]]/tbl_MTG_Set[[#This Row],[Play Booster Cost]]</f>
        <v>#VALUE!</v>
      </c>
      <c r="BP819" s="10" t="b">
        <f>tbl_MTG_Set[[#This Row],[Play Singles CardMarket Profit BotBox]]&gt;0</f>
        <v>0</v>
      </c>
      <c r="BQ819" s="10"/>
      <c r="BR819" s="10"/>
      <c r="BS819" s="10"/>
      <c r="BT8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19" s="19" t="e">
        <f>tbl_MTG_Set[[#This Row],[Collector Singles CardMarket Profit MTG Stocks]]/tbl_MTG_Set[[#This Row],[Collector Booster Cost]]</f>
        <v>#N/A</v>
      </c>
      <c r="BW819" s="10" t="b">
        <f>tbl_MTG_Set[[#This Row],[Collector Singles CardMarket Profit MTG Stocks]]&gt;0</f>
        <v>0</v>
      </c>
      <c r="BX819" s="10"/>
      <c r="BY819" s="10"/>
      <c r="BZ8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19" s="10" t="e">
        <f>tbl_MTG_Set[[#This Row],[Collector Singles CardMarket Profit BotBox]]/tbl_MTG_Set[[#This Row],[Collector Booster Cost]]</f>
        <v>#N/A</v>
      </c>
      <c r="CC819" s="10" t="b">
        <f>tbl_MTG_Set[[#This Row],[Collector Singles CardMarket Profit BotBox]]&gt;0</f>
        <v>0</v>
      </c>
      <c r="CD8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0" spans="1:86" hidden="1">
      <c r="A820">
        <v>852</v>
      </c>
      <c r="B820" t="s">
        <v>993</v>
      </c>
      <c r="C820">
        <v>2</v>
      </c>
      <c r="D820" s="3">
        <v>38751</v>
      </c>
      <c r="F820" t="s">
        <v>174</v>
      </c>
      <c r="G820">
        <v>1650</v>
      </c>
      <c r="H820">
        <f ca="1">MONTH(NOW())+12*YEAR(NOW())-MONTH(tbl_MTG_Set[[#This Row],[Released On]])-12*YEAR(tbl_MTG_Set[[#This Row],[Released On]])</f>
        <v>241</v>
      </c>
      <c r="I820" t="str">
        <f>_xlfn.XLOOKUP(tbl_MTG_Set[[#This Row],[Type Name]], tbl_MTG_Set_Type[Set Type], tbl_MTG_Set_Type[Index], "(Set Type not found)")</f>
        <v>(Set Type not found)</v>
      </c>
      <c r="J820" t="str">
        <f>_xlfn.XLOOKUP(tbl_MTG_Set[[#This Row],[Type Name]], tbl_MTG_Set_Type[Set Type], tbl_MTG_Set_Type[Buy Window Month Start], "(Set Type not found)")</f>
        <v>(Set Type not found)</v>
      </c>
      <c r="K820" s="3" t="e">
        <f>tbl_MTG_Set[[#This Row],[Released On]]+tbl_MTG_Set[[#This Row],[Buy Window Month Start]]*365.25/12</f>
        <v>#VALUE!</v>
      </c>
      <c r="L820" t="str">
        <f>_xlfn.XLOOKUP(tbl_MTG_Set[[#This Row],[Type Name]], tbl_MTG_Set_Type[Set Type], tbl_MTG_Set_Type[Buy Window Month End], "(Set Type not found)", 0, 1)</f>
        <v>(Set Type not found)</v>
      </c>
      <c r="M820" s="3" t="e">
        <f>tbl_MTG_Set[[#This Row],[Released On]]+tbl_MTG_Set[[#This Row],[Buy Window Month End]]*365.25/12</f>
        <v>#VALUE!</v>
      </c>
      <c r="N820" s="3" t="e">
        <f ca="1">AND(NOW()&gt;=tbl_MTG_Set[[#This Row],[Buy Window Start]], NOW()&lt;=tbl_MTG_Set[[#This Row],[Buy Window End]])</f>
        <v>#VALUE!</v>
      </c>
      <c r="O820" t="str">
        <f>_xlfn.XLOOKUP(tbl_MTG_Set[[#This Row],[Type Name]], tbl_MTG_Set_Type[Set Type], tbl_MTG_Set_Type[Heavy Printing Window Month Start], "(Set Type not found)", 0, 1)</f>
        <v>(Set Type not found)</v>
      </c>
      <c r="P820" s="3" t="e">
        <f>tbl_MTG_Set[[#This Row],[Released On]]+tbl_MTG_Set[[#This Row],[Heavy Printing Window Month Start]]*365.25/12</f>
        <v>#VALUE!</v>
      </c>
      <c r="Q820" t="str">
        <f>_xlfn.XLOOKUP(tbl_MTG_Set[[#This Row],[Type Name]], tbl_MTG_Set_Type[Set Type], tbl_MTG_Set_Type[Heavy Printing Window Month End], "(Set Type not found)", 0, 1)</f>
        <v>(Set Type not found)</v>
      </c>
      <c r="R820" s="3" t="e">
        <f>tbl_MTG_Set[[#This Row],[Released On]]+tbl_MTG_Set[[#This Row],[Heavy Printing Window Month End]]*365.25/12</f>
        <v>#VALUE!</v>
      </c>
      <c r="S820" s="3" t="e">
        <f ca="1">AND(NOW()&gt;=tbl_MTG_Set[[#This Row],[Heavy Printing Window Start]], NOW()&lt;=tbl_MTG_Set[[#This Row],[Heavy Printing Window End]])</f>
        <v>#VALUE!</v>
      </c>
      <c r="T820" t="str">
        <f>_xlfn.XLOOKUP(tbl_MTG_Set[[#This Row],[Type Name]], tbl_MTG_Set_Type[Set Type], tbl_MTG_Set_Type[Sell Window Month Start], "(Set Type not found)", 0, 1)</f>
        <v>(Set Type not found)</v>
      </c>
      <c r="U820" s="3" t="e">
        <f>tbl_MTG_Set[[#This Row],[Released On]]+tbl_MTG_Set[[#This Row],[Sell Window Month Start]]*365.25/12</f>
        <v>#VALUE!</v>
      </c>
      <c r="V820" t="str">
        <f>_xlfn.XLOOKUP(tbl_MTG_Set[[#This Row],[Type Name]], tbl_MTG_Set_Type[Set Type], tbl_MTG_Set_Type[Sell Window Month End], "(Set Type not found)", 0, 1)</f>
        <v>(Set Type not found)</v>
      </c>
      <c r="W820" s="3" t="e">
        <f>tbl_MTG_Set[[#This Row],[Released On]]+tbl_MTG_Set[[#This Row],[Sell Window Month End]]*365.25/12</f>
        <v>#VALUE!</v>
      </c>
      <c r="X820" s="3" t="e">
        <f ca="1">AND(NOW()&gt;=tbl_MTG_Set[[#This Row],[Sell Window Start]], NOW()&lt;=tbl_MTG_Set[[#This Row],[Sell Window End]])</f>
        <v>#VALUE!</v>
      </c>
      <c r="AG820" s="10"/>
      <c r="AH820" s="10"/>
      <c r="AM820" s="10" t="str" cm="1">
        <f t="array" ref="AM8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0" s="10" t="str" cm="1">
        <f t="array" ref="AN8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0" s="4" t="e">
        <f>_xlfn.XLOOKUP(tbl_MTG_Set[[#This Row],[Play Booster Box Product Id]], tbl_Product[Product Id], tbl_Product[Pack Size])</f>
        <v>#N/A</v>
      </c>
      <c r="AP820" s="10" t="e">
        <f>(tbl_MTG_Set[[#This Row],[Play Booster Box Cost]]+v_Item_Shipping_Cost_In)/tbl_MTG_Set[[#This Row],[Play Booster Box Size]]</f>
        <v>#VALUE!</v>
      </c>
      <c r="AQ820" s="10" t="str" cm="1">
        <f t="array" ref="AQ8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0" s="10"/>
      <c r="AS820" s="10"/>
      <c r="AT820" s="17" t="e">
        <f>tbl_MTG_Set[[#This Row],[Play Booster CardMarket Profit]]/tbl_MTG_Set[[#This Row],[Play Booster Cost]]</f>
        <v>#VALUE!</v>
      </c>
      <c r="AU820" s="10" t="e">
        <f>_xlfn.XLOOKUP(tbl_MTG_Set[[#This Row],[Collector Booster Box Product Id]], tbl_Product[Product Id], tbl_Product[Min Cost])</f>
        <v>#N/A</v>
      </c>
      <c r="AV820" s="10" t="e">
        <f>_xlfn.XLOOKUP(tbl_MTG_Set[[#This Row],[Collector Booster Box Product Id]], tbl_Product[Product Id], tbl_Product[Best Source])</f>
        <v>#N/A</v>
      </c>
      <c r="AW820" s="4" t="e">
        <f>_xlfn.XLOOKUP(tbl_MTG_Set[[#This Row],[Collector Booster Box Product Id]], tbl_Product[Product Id], tbl_Product[Pack Size])</f>
        <v>#N/A</v>
      </c>
      <c r="AX820" s="10" t="e">
        <f>(tbl_MTG_Set[[#This Row],[Collector Booster Box Cost]] + v_Item_Shipping_Cost_In) / tbl_MTG_Set[[#This Row],[Collector Booster Box Size]]</f>
        <v>#N/A</v>
      </c>
      <c r="AY820" s="10" t="str" cm="1">
        <f t="array" ref="AY8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0" s="10"/>
      <c r="BA8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0" s="17" t="e">
        <f>tbl_MTG_Set[[#This Row],[Collector Booster CardMarket Profit]]/tbl_MTG_Set[[#This Row],[Collector Booster Cost]]</f>
        <v>#N/A</v>
      </c>
      <c r="BC820" s="10"/>
      <c r="BF8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0" s="11" t="e">
        <f>tbl_MTG_Set[[#This Row],[Play Singles CardMarket Profit MTG Stocks]]/tbl_MTG_Set[[#This Row],[Play Booster Cost]]</f>
        <v>#VALUE!</v>
      </c>
      <c r="BI820" s="11" t="b">
        <f>tbl_MTG_Set[[#This Row],[Play Singles CardMarket Profit MTG Stocks]]&gt;0</f>
        <v>0</v>
      </c>
      <c r="BM820" s="10" t="e">
        <f>tbl_MTG_Set[[#This Row],[Play Booster Sell Price CardMarket]]*tbl_MTG_Set[[#This Row],[Play Booster Expected Market Value BotBox]]/tbl_MTG_Set[[#This Row],[Play Booster Sealed Market Value BotBox]]</f>
        <v>#VALUE!</v>
      </c>
      <c r="BN8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0" s="10" t="e">
        <f>tbl_MTG_Set[[#This Row],[Play Singles CardMarket Profit BotBox]]/tbl_MTG_Set[[#This Row],[Play Booster Cost]]</f>
        <v>#VALUE!</v>
      </c>
      <c r="BP820" s="10" t="b">
        <f>tbl_MTG_Set[[#This Row],[Play Singles CardMarket Profit BotBox]]&gt;0</f>
        <v>0</v>
      </c>
      <c r="BQ820" s="10"/>
      <c r="BR820" s="10"/>
      <c r="BS820" s="10"/>
      <c r="BT8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0" s="19" t="e">
        <f>tbl_MTG_Set[[#This Row],[Collector Singles CardMarket Profit MTG Stocks]]/tbl_MTG_Set[[#This Row],[Collector Booster Cost]]</f>
        <v>#N/A</v>
      </c>
      <c r="BW820" s="10" t="b">
        <f>tbl_MTG_Set[[#This Row],[Collector Singles CardMarket Profit MTG Stocks]]&gt;0</f>
        <v>0</v>
      </c>
      <c r="BX820" s="10"/>
      <c r="BY820" s="10"/>
      <c r="BZ8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0" s="10" t="e">
        <f>tbl_MTG_Set[[#This Row],[Collector Singles CardMarket Profit BotBox]]/tbl_MTG_Set[[#This Row],[Collector Booster Cost]]</f>
        <v>#N/A</v>
      </c>
      <c r="CC820" s="10" t="b">
        <f>tbl_MTG_Set[[#This Row],[Collector Singles CardMarket Profit BotBox]]&gt;0</f>
        <v>0</v>
      </c>
      <c r="CD8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1" spans="1:86" hidden="1">
      <c r="A821">
        <v>853</v>
      </c>
      <c r="B821" t="s">
        <v>994</v>
      </c>
      <c r="C821">
        <v>5</v>
      </c>
      <c r="D821" s="3">
        <v>38718</v>
      </c>
      <c r="F821" t="s">
        <v>174</v>
      </c>
      <c r="G821">
        <v>1652</v>
      </c>
      <c r="H821">
        <f ca="1">MONTH(NOW())+12*YEAR(NOW())-MONTH(tbl_MTG_Set[[#This Row],[Released On]])-12*YEAR(tbl_MTG_Set[[#This Row],[Released On]])</f>
        <v>242</v>
      </c>
      <c r="I821" t="str">
        <f>_xlfn.XLOOKUP(tbl_MTG_Set[[#This Row],[Type Name]], tbl_MTG_Set_Type[Set Type], tbl_MTG_Set_Type[Index], "(Set Type not found)")</f>
        <v>(Set Type not found)</v>
      </c>
      <c r="J821" t="str">
        <f>_xlfn.XLOOKUP(tbl_MTG_Set[[#This Row],[Type Name]], tbl_MTG_Set_Type[Set Type], tbl_MTG_Set_Type[Buy Window Month Start], "(Set Type not found)")</f>
        <v>(Set Type not found)</v>
      </c>
      <c r="K821" s="3" t="e">
        <f>tbl_MTG_Set[[#This Row],[Released On]]+tbl_MTG_Set[[#This Row],[Buy Window Month Start]]*365.25/12</f>
        <v>#VALUE!</v>
      </c>
      <c r="L821" t="str">
        <f>_xlfn.XLOOKUP(tbl_MTG_Set[[#This Row],[Type Name]], tbl_MTG_Set_Type[Set Type], tbl_MTG_Set_Type[Buy Window Month End], "(Set Type not found)", 0, 1)</f>
        <v>(Set Type not found)</v>
      </c>
      <c r="M821" s="3" t="e">
        <f>tbl_MTG_Set[[#This Row],[Released On]]+tbl_MTG_Set[[#This Row],[Buy Window Month End]]*365.25/12</f>
        <v>#VALUE!</v>
      </c>
      <c r="N821" s="3" t="e">
        <f ca="1">AND(NOW()&gt;=tbl_MTG_Set[[#This Row],[Buy Window Start]], NOW()&lt;=tbl_MTG_Set[[#This Row],[Buy Window End]])</f>
        <v>#VALUE!</v>
      </c>
      <c r="O821" t="str">
        <f>_xlfn.XLOOKUP(tbl_MTG_Set[[#This Row],[Type Name]], tbl_MTG_Set_Type[Set Type], tbl_MTG_Set_Type[Heavy Printing Window Month Start], "(Set Type not found)", 0, 1)</f>
        <v>(Set Type not found)</v>
      </c>
      <c r="P821" s="3" t="e">
        <f>tbl_MTG_Set[[#This Row],[Released On]]+tbl_MTG_Set[[#This Row],[Heavy Printing Window Month Start]]*365.25/12</f>
        <v>#VALUE!</v>
      </c>
      <c r="Q821" t="str">
        <f>_xlfn.XLOOKUP(tbl_MTG_Set[[#This Row],[Type Name]], tbl_MTG_Set_Type[Set Type], tbl_MTG_Set_Type[Heavy Printing Window Month End], "(Set Type not found)", 0, 1)</f>
        <v>(Set Type not found)</v>
      </c>
      <c r="R821" s="3" t="e">
        <f>tbl_MTG_Set[[#This Row],[Released On]]+tbl_MTG_Set[[#This Row],[Heavy Printing Window Month End]]*365.25/12</f>
        <v>#VALUE!</v>
      </c>
      <c r="S821" s="3" t="e">
        <f ca="1">AND(NOW()&gt;=tbl_MTG_Set[[#This Row],[Heavy Printing Window Start]], NOW()&lt;=tbl_MTG_Set[[#This Row],[Heavy Printing Window End]])</f>
        <v>#VALUE!</v>
      </c>
      <c r="T821" t="str">
        <f>_xlfn.XLOOKUP(tbl_MTG_Set[[#This Row],[Type Name]], tbl_MTG_Set_Type[Set Type], tbl_MTG_Set_Type[Sell Window Month Start], "(Set Type not found)", 0, 1)</f>
        <v>(Set Type not found)</v>
      </c>
      <c r="U821" s="3" t="e">
        <f>tbl_MTG_Set[[#This Row],[Released On]]+tbl_MTG_Set[[#This Row],[Sell Window Month Start]]*365.25/12</f>
        <v>#VALUE!</v>
      </c>
      <c r="V821" t="str">
        <f>_xlfn.XLOOKUP(tbl_MTG_Set[[#This Row],[Type Name]], tbl_MTG_Set_Type[Set Type], tbl_MTG_Set_Type[Sell Window Month End], "(Set Type not found)", 0, 1)</f>
        <v>(Set Type not found)</v>
      </c>
      <c r="W821" s="3" t="e">
        <f>tbl_MTG_Set[[#This Row],[Released On]]+tbl_MTG_Set[[#This Row],[Sell Window Month End]]*365.25/12</f>
        <v>#VALUE!</v>
      </c>
      <c r="X821" s="3" t="e">
        <f ca="1">AND(NOW()&gt;=tbl_MTG_Set[[#This Row],[Sell Window Start]], NOW()&lt;=tbl_MTG_Set[[#This Row],[Sell Window End]])</f>
        <v>#VALUE!</v>
      </c>
      <c r="AG821" s="10"/>
      <c r="AH821" s="10"/>
      <c r="AM821" s="10" t="str" cm="1">
        <f t="array" ref="AM8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1" s="10" t="str" cm="1">
        <f t="array" ref="AN8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1" s="4" t="e">
        <f>_xlfn.XLOOKUP(tbl_MTG_Set[[#This Row],[Play Booster Box Product Id]], tbl_Product[Product Id], tbl_Product[Pack Size])</f>
        <v>#N/A</v>
      </c>
      <c r="AP821" s="10" t="e">
        <f>(tbl_MTG_Set[[#This Row],[Play Booster Box Cost]]+v_Item_Shipping_Cost_In)/tbl_MTG_Set[[#This Row],[Play Booster Box Size]]</f>
        <v>#VALUE!</v>
      </c>
      <c r="AQ821" s="10" t="str" cm="1">
        <f t="array" ref="AQ8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1" s="10"/>
      <c r="AS821" s="10"/>
      <c r="AT821" s="17" t="e">
        <f>tbl_MTG_Set[[#This Row],[Play Booster CardMarket Profit]]/tbl_MTG_Set[[#This Row],[Play Booster Cost]]</f>
        <v>#VALUE!</v>
      </c>
      <c r="AU821" s="10" t="e">
        <f>_xlfn.XLOOKUP(tbl_MTG_Set[[#This Row],[Collector Booster Box Product Id]], tbl_Product[Product Id], tbl_Product[Min Cost])</f>
        <v>#N/A</v>
      </c>
      <c r="AV821" s="10" t="e">
        <f>_xlfn.XLOOKUP(tbl_MTG_Set[[#This Row],[Collector Booster Box Product Id]], tbl_Product[Product Id], tbl_Product[Best Source])</f>
        <v>#N/A</v>
      </c>
      <c r="AW821" s="4" t="e">
        <f>_xlfn.XLOOKUP(tbl_MTG_Set[[#This Row],[Collector Booster Box Product Id]], tbl_Product[Product Id], tbl_Product[Pack Size])</f>
        <v>#N/A</v>
      </c>
      <c r="AX821" s="10" t="e">
        <f>(tbl_MTG_Set[[#This Row],[Collector Booster Box Cost]] + v_Item_Shipping_Cost_In) / tbl_MTG_Set[[#This Row],[Collector Booster Box Size]]</f>
        <v>#N/A</v>
      </c>
      <c r="AY821" s="10" t="str" cm="1">
        <f t="array" ref="AY8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1" s="10"/>
      <c r="BA8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1" s="17" t="e">
        <f>tbl_MTG_Set[[#This Row],[Collector Booster CardMarket Profit]]/tbl_MTG_Set[[#This Row],[Collector Booster Cost]]</f>
        <v>#N/A</v>
      </c>
      <c r="BC821" s="10"/>
      <c r="BF8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1" s="11" t="e">
        <f>tbl_MTG_Set[[#This Row],[Play Singles CardMarket Profit MTG Stocks]]/tbl_MTG_Set[[#This Row],[Play Booster Cost]]</f>
        <v>#VALUE!</v>
      </c>
      <c r="BI821" s="11" t="b">
        <f>tbl_MTG_Set[[#This Row],[Play Singles CardMarket Profit MTG Stocks]]&gt;0</f>
        <v>0</v>
      </c>
      <c r="BM821" s="10" t="e">
        <f>tbl_MTG_Set[[#This Row],[Play Booster Sell Price CardMarket]]*tbl_MTG_Set[[#This Row],[Play Booster Expected Market Value BotBox]]/tbl_MTG_Set[[#This Row],[Play Booster Sealed Market Value BotBox]]</f>
        <v>#VALUE!</v>
      </c>
      <c r="BN8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1" s="10" t="e">
        <f>tbl_MTG_Set[[#This Row],[Play Singles CardMarket Profit BotBox]]/tbl_MTG_Set[[#This Row],[Play Booster Cost]]</f>
        <v>#VALUE!</v>
      </c>
      <c r="BP821" s="10" t="b">
        <f>tbl_MTG_Set[[#This Row],[Play Singles CardMarket Profit BotBox]]&gt;0</f>
        <v>0</v>
      </c>
      <c r="BQ821" s="10"/>
      <c r="BR821" s="10"/>
      <c r="BS821" s="10"/>
      <c r="BT8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1" s="19" t="e">
        <f>tbl_MTG_Set[[#This Row],[Collector Singles CardMarket Profit MTG Stocks]]/tbl_MTG_Set[[#This Row],[Collector Booster Cost]]</f>
        <v>#N/A</v>
      </c>
      <c r="BW821" s="10" t="b">
        <f>tbl_MTG_Set[[#This Row],[Collector Singles CardMarket Profit MTG Stocks]]&gt;0</f>
        <v>0</v>
      </c>
      <c r="BX821" s="10"/>
      <c r="BY821" s="10"/>
      <c r="BZ8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1" s="10" t="e">
        <f>tbl_MTG_Set[[#This Row],[Collector Singles CardMarket Profit BotBox]]/tbl_MTG_Set[[#This Row],[Collector Booster Cost]]</f>
        <v>#N/A</v>
      </c>
      <c r="CC821" s="10" t="b">
        <f>tbl_MTG_Set[[#This Row],[Collector Singles CardMarket Profit BotBox]]&gt;0</f>
        <v>0</v>
      </c>
      <c r="CD8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2" spans="1:86" hidden="1">
      <c r="A822">
        <v>854</v>
      </c>
      <c r="B822" t="s">
        <v>995</v>
      </c>
      <c r="C822">
        <v>9</v>
      </c>
      <c r="D822" s="3">
        <v>38718</v>
      </c>
      <c r="F822" t="s">
        <v>174</v>
      </c>
      <c r="G822">
        <v>1654</v>
      </c>
      <c r="H822">
        <f ca="1">MONTH(NOW())+12*YEAR(NOW())-MONTH(tbl_MTG_Set[[#This Row],[Released On]])-12*YEAR(tbl_MTG_Set[[#This Row],[Released On]])</f>
        <v>242</v>
      </c>
      <c r="I822" t="str">
        <f>_xlfn.XLOOKUP(tbl_MTG_Set[[#This Row],[Type Name]], tbl_MTG_Set_Type[Set Type], tbl_MTG_Set_Type[Index], "(Set Type not found)")</f>
        <v>(Set Type not found)</v>
      </c>
      <c r="J822" t="str">
        <f>_xlfn.XLOOKUP(tbl_MTG_Set[[#This Row],[Type Name]], tbl_MTG_Set_Type[Set Type], tbl_MTG_Set_Type[Buy Window Month Start], "(Set Type not found)")</f>
        <v>(Set Type not found)</v>
      </c>
      <c r="K822" s="3" t="e">
        <f>tbl_MTG_Set[[#This Row],[Released On]]+tbl_MTG_Set[[#This Row],[Buy Window Month Start]]*365.25/12</f>
        <v>#VALUE!</v>
      </c>
      <c r="L822" t="str">
        <f>_xlfn.XLOOKUP(tbl_MTG_Set[[#This Row],[Type Name]], tbl_MTG_Set_Type[Set Type], tbl_MTG_Set_Type[Buy Window Month End], "(Set Type not found)", 0, 1)</f>
        <v>(Set Type not found)</v>
      </c>
      <c r="M822" s="3" t="e">
        <f>tbl_MTG_Set[[#This Row],[Released On]]+tbl_MTG_Set[[#This Row],[Buy Window Month End]]*365.25/12</f>
        <v>#VALUE!</v>
      </c>
      <c r="N822" s="3" t="e">
        <f ca="1">AND(NOW()&gt;=tbl_MTG_Set[[#This Row],[Buy Window Start]], NOW()&lt;=tbl_MTG_Set[[#This Row],[Buy Window End]])</f>
        <v>#VALUE!</v>
      </c>
      <c r="O822" t="str">
        <f>_xlfn.XLOOKUP(tbl_MTG_Set[[#This Row],[Type Name]], tbl_MTG_Set_Type[Set Type], tbl_MTG_Set_Type[Heavy Printing Window Month Start], "(Set Type not found)", 0, 1)</f>
        <v>(Set Type not found)</v>
      </c>
      <c r="P822" s="3" t="e">
        <f>tbl_MTG_Set[[#This Row],[Released On]]+tbl_MTG_Set[[#This Row],[Heavy Printing Window Month Start]]*365.25/12</f>
        <v>#VALUE!</v>
      </c>
      <c r="Q822" t="str">
        <f>_xlfn.XLOOKUP(tbl_MTG_Set[[#This Row],[Type Name]], tbl_MTG_Set_Type[Set Type], tbl_MTG_Set_Type[Heavy Printing Window Month End], "(Set Type not found)", 0, 1)</f>
        <v>(Set Type not found)</v>
      </c>
      <c r="R822" s="3" t="e">
        <f>tbl_MTG_Set[[#This Row],[Released On]]+tbl_MTG_Set[[#This Row],[Heavy Printing Window Month End]]*365.25/12</f>
        <v>#VALUE!</v>
      </c>
      <c r="S822" s="3" t="e">
        <f ca="1">AND(NOW()&gt;=tbl_MTG_Set[[#This Row],[Heavy Printing Window Start]], NOW()&lt;=tbl_MTG_Set[[#This Row],[Heavy Printing Window End]])</f>
        <v>#VALUE!</v>
      </c>
      <c r="T822" t="str">
        <f>_xlfn.XLOOKUP(tbl_MTG_Set[[#This Row],[Type Name]], tbl_MTG_Set_Type[Set Type], tbl_MTG_Set_Type[Sell Window Month Start], "(Set Type not found)", 0, 1)</f>
        <v>(Set Type not found)</v>
      </c>
      <c r="U822" s="3" t="e">
        <f>tbl_MTG_Set[[#This Row],[Released On]]+tbl_MTG_Set[[#This Row],[Sell Window Month Start]]*365.25/12</f>
        <v>#VALUE!</v>
      </c>
      <c r="V822" t="str">
        <f>_xlfn.XLOOKUP(tbl_MTG_Set[[#This Row],[Type Name]], tbl_MTG_Set_Type[Set Type], tbl_MTG_Set_Type[Sell Window Month End], "(Set Type not found)", 0, 1)</f>
        <v>(Set Type not found)</v>
      </c>
      <c r="W822" s="3" t="e">
        <f>tbl_MTG_Set[[#This Row],[Released On]]+tbl_MTG_Set[[#This Row],[Sell Window Month End]]*365.25/12</f>
        <v>#VALUE!</v>
      </c>
      <c r="X822" s="3" t="e">
        <f ca="1">AND(NOW()&gt;=tbl_MTG_Set[[#This Row],[Sell Window Start]], NOW()&lt;=tbl_MTG_Set[[#This Row],[Sell Window End]])</f>
        <v>#VALUE!</v>
      </c>
      <c r="AG822" s="10"/>
      <c r="AH822" s="10"/>
      <c r="AM822" s="10" t="str" cm="1">
        <f t="array" ref="AM8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2" s="10" t="str" cm="1">
        <f t="array" ref="AN8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2" s="4" t="e">
        <f>_xlfn.XLOOKUP(tbl_MTG_Set[[#This Row],[Play Booster Box Product Id]], tbl_Product[Product Id], tbl_Product[Pack Size])</f>
        <v>#N/A</v>
      </c>
      <c r="AP822" s="10" t="e">
        <f>(tbl_MTG_Set[[#This Row],[Play Booster Box Cost]]+v_Item_Shipping_Cost_In)/tbl_MTG_Set[[#This Row],[Play Booster Box Size]]</f>
        <v>#VALUE!</v>
      </c>
      <c r="AQ822" s="10" t="str" cm="1">
        <f t="array" ref="AQ8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2" s="10"/>
      <c r="AS822" s="10"/>
      <c r="AT822" s="17" t="e">
        <f>tbl_MTG_Set[[#This Row],[Play Booster CardMarket Profit]]/tbl_MTG_Set[[#This Row],[Play Booster Cost]]</f>
        <v>#VALUE!</v>
      </c>
      <c r="AU822" s="10" t="e">
        <f>_xlfn.XLOOKUP(tbl_MTG_Set[[#This Row],[Collector Booster Box Product Id]], tbl_Product[Product Id], tbl_Product[Min Cost])</f>
        <v>#N/A</v>
      </c>
      <c r="AV822" s="10" t="e">
        <f>_xlfn.XLOOKUP(tbl_MTG_Set[[#This Row],[Collector Booster Box Product Id]], tbl_Product[Product Id], tbl_Product[Best Source])</f>
        <v>#N/A</v>
      </c>
      <c r="AW822" s="4" t="e">
        <f>_xlfn.XLOOKUP(tbl_MTG_Set[[#This Row],[Collector Booster Box Product Id]], tbl_Product[Product Id], tbl_Product[Pack Size])</f>
        <v>#N/A</v>
      </c>
      <c r="AX822" s="10" t="e">
        <f>(tbl_MTG_Set[[#This Row],[Collector Booster Box Cost]] + v_Item_Shipping_Cost_In) / tbl_MTG_Set[[#This Row],[Collector Booster Box Size]]</f>
        <v>#N/A</v>
      </c>
      <c r="AY822" s="10" t="str" cm="1">
        <f t="array" ref="AY8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2" s="10"/>
      <c r="BA8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2" s="17" t="e">
        <f>tbl_MTG_Set[[#This Row],[Collector Booster CardMarket Profit]]/tbl_MTG_Set[[#This Row],[Collector Booster Cost]]</f>
        <v>#N/A</v>
      </c>
      <c r="BC822" s="10"/>
      <c r="BF8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2" s="11" t="e">
        <f>tbl_MTG_Set[[#This Row],[Play Singles CardMarket Profit MTG Stocks]]/tbl_MTG_Set[[#This Row],[Play Booster Cost]]</f>
        <v>#VALUE!</v>
      </c>
      <c r="BI822" s="11" t="b">
        <f>tbl_MTG_Set[[#This Row],[Play Singles CardMarket Profit MTG Stocks]]&gt;0</f>
        <v>0</v>
      </c>
      <c r="BM822" s="10" t="e">
        <f>tbl_MTG_Set[[#This Row],[Play Booster Sell Price CardMarket]]*tbl_MTG_Set[[#This Row],[Play Booster Expected Market Value BotBox]]/tbl_MTG_Set[[#This Row],[Play Booster Sealed Market Value BotBox]]</f>
        <v>#VALUE!</v>
      </c>
      <c r="BN8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2" s="10" t="e">
        <f>tbl_MTG_Set[[#This Row],[Play Singles CardMarket Profit BotBox]]/tbl_MTG_Set[[#This Row],[Play Booster Cost]]</f>
        <v>#VALUE!</v>
      </c>
      <c r="BP822" s="10" t="b">
        <f>tbl_MTG_Set[[#This Row],[Play Singles CardMarket Profit BotBox]]&gt;0</f>
        <v>0</v>
      </c>
      <c r="BQ822" s="10"/>
      <c r="BR822" s="10"/>
      <c r="BS822" s="10"/>
      <c r="BT8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2" s="19" t="e">
        <f>tbl_MTG_Set[[#This Row],[Collector Singles CardMarket Profit MTG Stocks]]/tbl_MTG_Set[[#This Row],[Collector Booster Cost]]</f>
        <v>#N/A</v>
      </c>
      <c r="BW822" s="10" t="b">
        <f>tbl_MTG_Set[[#This Row],[Collector Singles CardMarket Profit MTG Stocks]]&gt;0</f>
        <v>0</v>
      </c>
      <c r="BX822" s="10"/>
      <c r="BY822" s="10"/>
      <c r="BZ8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2" s="10" t="e">
        <f>tbl_MTG_Set[[#This Row],[Collector Singles CardMarket Profit BotBox]]/tbl_MTG_Set[[#This Row],[Collector Booster Cost]]</f>
        <v>#N/A</v>
      </c>
      <c r="CC822" s="10" t="b">
        <f>tbl_MTG_Set[[#This Row],[Collector Singles CardMarket Profit BotBox]]&gt;0</f>
        <v>0</v>
      </c>
      <c r="CD8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3" spans="1:86" hidden="1">
      <c r="A823">
        <v>855</v>
      </c>
      <c r="B823" t="s">
        <v>996</v>
      </c>
      <c r="C823">
        <v>6</v>
      </c>
      <c r="D823" s="3">
        <v>38718</v>
      </c>
      <c r="F823" t="s">
        <v>174</v>
      </c>
      <c r="G823">
        <v>1656</v>
      </c>
      <c r="H823">
        <f ca="1">MONTH(NOW())+12*YEAR(NOW())-MONTH(tbl_MTG_Set[[#This Row],[Released On]])-12*YEAR(tbl_MTG_Set[[#This Row],[Released On]])</f>
        <v>242</v>
      </c>
      <c r="I823" t="str">
        <f>_xlfn.XLOOKUP(tbl_MTG_Set[[#This Row],[Type Name]], tbl_MTG_Set_Type[Set Type], tbl_MTG_Set_Type[Index], "(Set Type not found)")</f>
        <v>(Set Type not found)</v>
      </c>
      <c r="J823" t="str">
        <f>_xlfn.XLOOKUP(tbl_MTG_Set[[#This Row],[Type Name]], tbl_MTG_Set_Type[Set Type], tbl_MTG_Set_Type[Buy Window Month Start], "(Set Type not found)")</f>
        <v>(Set Type not found)</v>
      </c>
      <c r="K823" s="3" t="e">
        <f>tbl_MTG_Set[[#This Row],[Released On]]+tbl_MTG_Set[[#This Row],[Buy Window Month Start]]*365.25/12</f>
        <v>#VALUE!</v>
      </c>
      <c r="L823" t="str">
        <f>_xlfn.XLOOKUP(tbl_MTG_Set[[#This Row],[Type Name]], tbl_MTG_Set_Type[Set Type], tbl_MTG_Set_Type[Buy Window Month End], "(Set Type not found)", 0, 1)</f>
        <v>(Set Type not found)</v>
      </c>
      <c r="M823" s="3" t="e">
        <f>tbl_MTG_Set[[#This Row],[Released On]]+tbl_MTG_Set[[#This Row],[Buy Window Month End]]*365.25/12</f>
        <v>#VALUE!</v>
      </c>
      <c r="N823" s="3" t="e">
        <f ca="1">AND(NOW()&gt;=tbl_MTG_Set[[#This Row],[Buy Window Start]], NOW()&lt;=tbl_MTG_Set[[#This Row],[Buy Window End]])</f>
        <v>#VALUE!</v>
      </c>
      <c r="O823" t="str">
        <f>_xlfn.XLOOKUP(tbl_MTG_Set[[#This Row],[Type Name]], tbl_MTG_Set_Type[Set Type], tbl_MTG_Set_Type[Heavy Printing Window Month Start], "(Set Type not found)", 0, 1)</f>
        <v>(Set Type not found)</v>
      </c>
      <c r="P823" s="3" t="e">
        <f>tbl_MTG_Set[[#This Row],[Released On]]+tbl_MTG_Set[[#This Row],[Heavy Printing Window Month Start]]*365.25/12</f>
        <v>#VALUE!</v>
      </c>
      <c r="Q823" t="str">
        <f>_xlfn.XLOOKUP(tbl_MTG_Set[[#This Row],[Type Name]], tbl_MTG_Set_Type[Set Type], tbl_MTG_Set_Type[Heavy Printing Window Month End], "(Set Type not found)", 0, 1)</f>
        <v>(Set Type not found)</v>
      </c>
      <c r="R823" s="3" t="e">
        <f>tbl_MTG_Set[[#This Row],[Released On]]+tbl_MTG_Set[[#This Row],[Heavy Printing Window Month End]]*365.25/12</f>
        <v>#VALUE!</v>
      </c>
      <c r="S823" s="3" t="e">
        <f ca="1">AND(NOW()&gt;=tbl_MTG_Set[[#This Row],[Heavy Printing Window Start]], NOW()&lt;=tbl_MTG_Set[[#This Row],[Heavy Printing Window End]])</f>
        <v>#VALUE!</v>
      </c>
      <c r="T823" t="str">
        <f>_xlfn.XLOOKUP(tbl_MTG_Set[[#This Row],[Type Name]], tbl_MTG_Set_Type[Set Type], tbl_MTG_Set_Type[Sell Window Month Start], "(Set Type not found)", 0, 1)</f>
        <v>(Set Type not found)</v>
      </c>
      <c r="U823" s="3" t="e">
        <f>tbl_MTG_Set[[#This Row],[Released On]]+tbl_MTG_Set[[#This Row],[Sell Window Month Start]]*365.25/12</f>
        <v>#VALUE!</v>
      </c>
      <c r="V823" t="str">
        <f>_xlfn.XLOOKUP(tbl_MTG_Set[[#This Row],[Type Name]], tbl_MTG_Set_Type[Set Type], tbl_MTG_Set_Type[Sell Window Month End], "(Set Type not found)", 0, 1)</f>
        <v>(Set Type not found)</v>
      </c>
      <c r="W823" s="3" t="e">
        <f>tbl_MTG_Set[[#This Row],[Released On]]+tbl_MTG_Set[[#This Row],[Sell Window Month End]]*365.25/12</f>
        <v>#VALUE!</v>
      </c>
      <c r="X823" s="3" t="e">
        <f ca="1">AND(NOW()&gt;=tbl_MTG_Set[[#This Row],[Sell Window Start]], NOW()&lt;=tbl_MTG_Set[[#This Row],[Sell Window End]])</f>
        <v>#VALUE!</v>
      </c>
      <c r="AG823" s="10"/>
      <c r="AH823" s="10"/>
      <c r="AM823" s="10" t="str" cm="1">
        <f t="array" ref="AM8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3" s="10" t="str" cm="1">
        <f t="array" ref="AN8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3" s="4" t="e">
        <f>_xlfn.XLOOKUP(tbl_MTG_Set[[#This Row],[Play Booster Box Product Id]], tbl_Product[Product Id], tbl_Product[Pack Size])</f>
        <v>#N/A</v>
      </c>
      <c r="AP823" s="10" t="e">
        <f>(tbl_MTG_Set[[#This Row],[Play Booster Box Cost]]+v_Item_Shipping_Cost_In)/tbl_MTG_Set[[#This Row],[Play Booster Box Size]]</f>
        <v>#VALUE!</v>
      </c>
      <c r="AQ823" s="10" t="str" cm="1">
        <f t="array" ref="AQ8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3" s="10"/>
      <c r="AS823" s="10"/>
      <c r="AT823" s="17" t="e">
        <f>tbl_MTG_Set[[#This Row],[Play Booster CardMarket Profit]]/tbl_MTG_Set[[#This Row],[Play Booster Cost]]</f>
        <v>#VALUE!</v>
      </c>
      <c r="AU823" s="10" t="e">
        <f>_xlfn.XLOOKUP(tbl_MTG_Set[[#This Row],[Collector Booster Box Product Id]], tbl_Product[Product Id], tbl_Product[Min Cost])</f>
        <v>#N/A</v>
      </c>
      <c r="AV823" s="10" t="e">
        <f>_xlfn.XLOOKUP(tbl_MTG_Set[[#This Row],[Collector Booster Box Product Id]], tbl_Product[Product Id], tbl_Product[Best Source])</f>
        <v>#N/A</v>
      </c>
      <c r="AW823" s="4" t="e">
        <f>_xlfn.XLOOKUP(tbl_MTG_Set[[#This Row],[Collector Booster Box Product Id]], tbl_Product[Product Id], tbl_Product[Pack Size])</f>
        <v>#N/A</v>
      </c>
      <c r="AX823" s="10" t="e">
        <f>(tbl_MTG_Set[[#This Row],[Collector Booster Box Cost]] + v_Item_Shipping_Cost_In) / tbl_MTG_Set[[#This Row],[Collector Booster Box Size]]</f>
        <v>#N/A</v>
      </c>
      <c r="AY823" s="10" t="str" cm="1">
        <f t="array" ref="AY8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3" s="10"/>
      <c r="BA8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3" s="17" t="e">
        <f>tbl_MTG_Set[[#This Row],[Collector Booster CardMarket Profit]]/tbl_MTG_Set[[#This Row],[Collector Booster Cost]]</f>
        <v>#N/A</v>
      </c>
      <c r="BC823" s="10"/>
      <c r="BF8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3" s="11" t="e">
        <f>tbl_MTG_Set[[#This Row],[Play Singles CardMarket Profit MTG Stocks]]/tbl_MTG_Set[[#This Row],[Play Booster Cost]]</f>
        <v>#VALUE!</v>
      </c>
      <c r="BI823" s="11" t="b">
        <f>tbl_MTG_Set[[#This Row],[Play Singles CardMarket Profit MTG Stocks]]&gt;0</f>
        <v>0</v>
      </c>
      <c r="BM823" s="10" t="e">
        <f>tbl_MTG_Set[[#This Row],[Play Booster Sell Price CardMarket]]*tbl_MTG_Set[[#This Row],[Play Booster Expected Market Value BotBox]]/tbl_MTG_Set[[#This Row],[Play Booster Sealed Market Value BotBox]]</f>
        <v>#VALUE!</v>
      </c>
      <c r="BN8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3" s="10" t="e">
        <f>tbl_MTG_Set[[#This Row],[Play Singles CardMarket Profit BotBox]]/tbl_MTG_Set[[#This Row],[Play Booster Cost]]</f>
        <v>#VALUE!</v>
      </c>
      <c r="BP823" s="10" t="b">
        <f>tbl_MTG_Set[[#This Row],[Play Singles CardMarket Profit BotBox]]&gt;0</f>
        <v>0</v>
      </c>
      <c r="BQ823" s="10"/>
      <c r="BR823" s="10"/>
      <c r="BS823" s="10"/>
      <c r="BT8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3" s="19" t="e">
        <f>tbl_MTG_Set[[#This Row],[Collector Singles CardMarket Profit MTG Stocks]]/tbl_MTG_Set[[#This Row],[Collector Booster Cost]]</f>
        <v>#N/A</v>
      </c>
      <c r="BW823" s="10" t="b">
        <f>tbl_MTG_Set[[#This Row],[Collector Singles CardMarket Profit MTG Stocks]]&gt;0</f>
        <v>0</v>
      </c>
      <c r="BX823" s="10"/>
      <c r="BY823" s="10"/>
      <c r="BZ8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3" s="10" t="e">
        <f>tbl_MTG_Set[[#This Row],[Collector Singles CardMarket Profit BotBox]]/tbl_MTG_Set[[#This Row],[Collector Booster Cost]]</f>
        <v>#N/A</v>
      </c>
      <c r="CC823" s="10" t="b">
        <f>tbl_MTG_Set[[#This Row],[Collector Singles CardMarket Profit BotBox]]&gt;0</f>
        <v>0</v>
      </c>
      <c r="CD8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4" spans="1:86" hidden="1">
      <c r="A824">
        <v>856</v>
      </c>
      <c r="B824" t="s">
        <v>997</v>
      </c>
      <c r="C824">
        <v>12</v>
      </c>
      <c r="D824" s="3">
        <v>38718</v>
      </c>
      <c r="F824" t="s">
        <v>174</v>
      </c>
      <c r="G824">
        <v>1658</v>
      </c>
      <c r="H824">
        <f ca="1">MONTH(NOW())+12*YEAR(NOW())-MONTH(tbl_MTG_Set[[#This Row],[Released On]])-12*YEAR(tbl_MTG_Set[[#This Row],[Released On]])</f>
        <v>242</v>
      </c>
      <c r="I824" t="str">
        <f>_xlfn.XLOOKUP(tbl_MTG_Set[[#This Row],[Type Name]], tbl_MTG_Set_Type[Set Type], tbl_MTG_Set_Type[Index], "(Set Type not found)")</f>
        <v>(Set Type not found)</v>
      </c>
      <c r="J824" t="str">
        <f>_xlfn.XLOOKUP(tbl_MTG_Set[[#This Row],[Type Name]], tbl_MTG_Set_Type[Set Type], tbl_MTG_Set_Type[Buy Window Month Start], "(Set Type not found)")</f>
        <v>(Set Type not found)</v>
      </c>
      <c r="K824" s="3" t="e">
        <f>tbl_MTG_Set[[#This Row],[Released On]]+tbl_MTG_Set[[#This Row],[Buy Window Month Start]]*365.25/12</f>
        <v>#VALUE!</v>
      </c>
      <c r="L824" t="str">
        <f>_xlfn.XLOOKUP(tbl_MTG_Set[[#This Row],[Type Name]], tbl_MTG_Set_Type[Set Type], tbl_MTG_Set_Type[Buy Window Month End], "(Set Type not found)", 0, 1)</f>
        <v>(Set Type not found)</v>
      </c>
      <c r="M824" s="3" t="e">
        <f>tbl_MTG_Set[[#This Row],[Released On]]+tbl_MTG_Set[[#This Row],[Buy Window Month End]]*365.25/12</f>
        <v>#VALUE!</v>
      </c>
      <c r="N824" s="3" t="e">
        <f ca="1">AND(NOW()&gt;=tbl_MTG_Set[[#This Row],[Buy Window Start]], NOW()&lt;=tbl_MTG_Set[[#This Row],[Buy Window End]])</f>
        <v>#VALUE!</v>
      </c>
      <c r="O824" t="str">
        <f>_xlfn.XLOOKUP(tbl_MTG_Set[[#This Row],[Type Name]], tbl_MTG_Set_Type[Set Type], tbl_MTG_Set_Type[Heavy Printing Window Month Start], "(Set Type not found)", 0, 1)</f>
        <v>(Set Type not found)</v>
      </c>
      <c r="P824" s="3" t="e">
        <f>tbl_MTG_Set[[#This Row],[Released On]]+tbl_MTG_Set[[#This Row],[Heavy Printing Window Month Start]]*365.25/12</f>
        <v>#VALUE!</v>
      </c>
      <c r="Q824" t="str">
        <f>_xlfn.XLOOKUP(tbl_MTG_Set[[#This Row],[Type Name]], tbl_MTG_Set_Type[Set Type], tbl_MTG_Set_Type[Heavy Printing Window Month End], "(Set Type not found)", 0, 1)</f>
        <v>(Set Type not found)</v>
      </c>
      <c r="R824" s="3" t="e">
        <f>tbl_MTG_Set[[#This Row],[Released On]]+tbl_MTG_Set[[#This Row],[Heavy Printing Window Month End]]*365.25/12</f>
        <v>#VALUE!</v>
      </c>
      <c r="S824" s="3" t="e">
        <f ca="1">AND(NOW()&gt;=tbl_MTG_Set[[#This Row],[Heavy Printing Window Start]], NOW()&lt;=tbl_MTG_Set[[#This Row],[Heavy Printing Window End]])</f>
        <v>#VALUE!</v>
      </c>
      <c r="T824" t="str">
        <f>_xlfn.XLOOKUP(tbl_MTG_Set[[#This Row],[Type Name]], tbl_MTG_Set_Type[Set Type], tbl_MTG_Set_Type[Sell Window Month Start], "(Set Type not found)", 0, 1)</f>
        <v>(Set Type not found)</v>
      </c>
      <c r="U824" s="3" t="e">
        <f>tbl_MTG_Set[[#This Row],[Released On]]+tbl_MTG_Set[[#This Row],[Sell Window Month Start]]*365.25/12</f>
        <v>#VALUE!</v>
      </c>
      <c r="V824" t="str">
        <f>_xlfn.XLOOKUP(tbl_MTG_Set[[#This Row],[Type Name]], tbl_MTG_Set_Type[Set Type], tbl_MTG_Set_Type[Sell Window Month End], "(Set Type not found)", 0, 1)</f>
        <v>(Set Type not found)</v>
      </c>
      <c r="W824" s="3" t="e">
        <f>tbl_MTG_Set[[#This Row],[Released On]]+tbl_MTG_Set[[#This Row],[Sell Window Month End]]*365.25/12</f>
        <v>#VALUE!</v>
      </c>
      <c r="X824" s="3" t="e">
        <f ca="1">AND(NOW()&gt;=tbl_MTG_Set[[#This Row],[Sell Window Start]], NOW()&lt;=tbl_MTG_Set[[#This Row],[Sell Window End]])</f>
        <v>#VALUE!</v>
      </c>
      <c r="AG824" s="10"/>
      <c r="AH824" s="10"/>
      <c r="AM824" s="10" t="str" cm="1">
        <f t="array" ref="AM8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4" s="10" t="str" cm="1">
        <f t="array" ref="AN8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4" s="4" t="e">
        <f>_xlfn.XLOOKUP(tbl_MTG_Set[[#This Row],[Play Booster Box Product Id]], tbl_Product[Product Id], tbl_Product[Pack Size])</f>
        <v>#N/A</v>
      </c>
      <c r="AP824" s="10" t="e">
        <f>(tbl_MTG_Set[[#This Row],[Play Booster Box Cost]]+v_Item_Shipping_Cost_In)/tbl_MTG_Set[[#This Row],[Play Booster Box Size]]</f>
        <v>#VALUE!</v>
      </c>
      <c r="AQ824" s="10" t="str" cm="1">
        <f t="array" ref="AQ8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4" s="10"/>
      <c r="AS824" s="10"/>
      <c r="AT824" s="17" t="e">
        <f>tbl_MTG_Set[[#This Row],[Play Booster CardMarket Profit]]/tbl_MTG_Set[[#This Row],[Play Booster Cost]]</f>
        <v>#VALUE!</v>
      </c>
      <c r="AU824" s="10" t="e">
        <f>_xlfn.XLOOKUP(tbl_MTG_Set[[#This Row],[Collector Booster Box Product Id]], tbl_Product[Product Id], tbl_Product[Min Cost])</f>
        <v>#N/A</v>
      </c>
      <c r="AV824" s="10" t="e">
        <f>_xlfn.XLOOKUP(tbl_MTG_Set[[#This Row],[Collector Booster Box Product Id]], tbl_Product[Product Id], tbl_Product[Best Source])</f>
        <v>#N/A</v>
      </c>
      <c r="AW824" s="4" t="e">
        <f>_xlfn.XLOOKUP(tbl_MTG_Set[[#This Row],[Collector Booster Box Product Id]], tbl_Product[Product Id], tbl_Product[Pack Size])</f>
        <v>#N/A</v>
      </c>
      <c r="AX824" s="10" t="e">
        <f>(tbl_MTG_Set[[#This Row],[Collector Booster Box Cost]] + v_Item_Shipping_Cost_In) / tbl_MTG_Set[[#This Row],[Collector Booster Box Size]]</f>
        <v>#N/A</v>
      </c>
      <c r="AY824" s="10" t="str" cm="1">
        <f t="array" ref="AY8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4" s="10"/>
      <c r="BA8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4" s="17" t="e">
        <f>tbl_MTG_Set[[#This Row],[Collector Booster CardMarket Profit]]/tbl_MTG_Set[[#This Row],[Collector Booster Cost]]</f>
        <v>#N/A</v>
      </c>
      <c r="BC824" s="10"/>
      <c r="BF8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4" s="11" t="e">
        <f>tbl_MTG_Set[[#This Row],[Play Singles CardMarket Profit MTG Stocks]]/tbl_MTG_Set[[#This Row],[Play Booster Cost]]</f>
        <v>#VALUE!</v>
      </c>
      <c r="BI824" s="11" t="b">
        <f>tbl_MTG_Set[[#This Row],[Play Singles CardMarket Profit MTG Stocks]]&gt;0</f>
        <v>0</v>
      </c>
      <c r="BM824" s="10" t="e">
        <f>tbl_MTG_Set[[#This Row],[Play Booster Sell Price CardMarket]]*tbl_MTG_Set[[#This Row],[Play Booster Expected Market Value BotBox]]/tbl_MTG_Set[[#This Row],[Play Booster Sealed Market Value BotBox]]</f>
        <v>#VALUE!</v>
      </c>
      <c r="BN8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4" s="10" t="e">
        <f>tbl_MTG_Set[[#This Row],[Play Singles CardMarket Profit BotBox]]/tbl_MTG_Set[[#This Row],[Play Booster Cost]]</f>
        <v>#VALUE!</v>
      </c>
      <c r="BP824" s="10" t="b">
        <f>tbl_MTG_Set[[#This Row],[Play Singles CardMarket Profit BotBox]]&gt;0</f>
        <v>0</v>
      </c>
      <c r="BQ824" s="10"/>
      <c r="BR824" s="10"/>
      <c r="BS824" s="10"/>
      <c r="BT8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4" s="19" t="e">
        <f>tbl_MTG_Set[[#This Row],[Collector Singles CardMarket Profit MTG Stocks]]/tbl_MTG_Set[[#This Row],[Collector Booster Cost]]</f>
        <v>#N/A</v>
      </c>
      <c r="BW824" s="10" t="b">
        <f>tbl_MTG_Set[[#This Row],[Collector Singles CardMarket Profit MTG Stocks]]&gt;0</f>
        <v>0</v>
      </c>
      <c r="BX824" s="10"/>
      <c r="BY824" s="10"/>
      <c r="BZ8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4" s="10" t="e">
        <f>tbl_MTG_Set[[#This Row],[Collector Singles CardMarket Profit BotBox]]/tbl_MTG_Set[[#This Row],[Collector Booster Cost]]</f>
        <v>#N/A</v>
      </c>
      <c r="CC824" s="10" t="b">
        <f>tbl_MTG_Set[[#This Row],[Collector Singles CardMarket Profit BotBox]]&gt;0</f>
        <v>0</v>
      </c>
      <c r="CD8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5" spans="1:86" hidden="1">
      <c r="A825">
        <v>857</v>
      </c>
      <c r="B825" t="s">
        <v>998</v>
      </c>
      <c r="C825">
        <v>60</v>
      </c>
      <c r="D825" s="3">
        <v>38718</v>
      </c>
      <c r="F825" t="s">
        <v>174</v>
      </c>
      <c r="G825">
        <v>1660</v>
      </c>
      <c r="H825">
        <f ca="1">MONTH(NOW())+12*YEAR(NOW())-MONTH(tbl_MTG_Set[[#This Row],[Released On]])-12*YEAR(tbl_MTG_Set[[#This Row],[Released On]])</f>
        <v>242</v>
      </c>
      <c r="I825" t="str">
        <f>_xlfn.XLOOKUP(tbl_MTG_Set[[#This Row],[Type Name]], tbl_MTG_Set_Type[Set Type], tbl_MTG_Set_Type[Index], "(Set Type not found)")</f>
        <v>(Set Type not found)</v>
      </c>
      <c r="J825" t="str">
        <f>_xlfn.XLOOKUP(tbl_MTG_Set[[#This Row],[Type Name]], tbl_MTG_Set_Type[Set Type], tbl_MTG_Set_Type[Buy Window Month Start], "(Set Type not found)")</f>
        <v>(Set Type not found)</v>
      </c>
      <c r="K825" s="3" t="e">
        <f>tbl_MTG_Set[[#This Row],[Released On]]+tbl_MTG_Set[[#This Row],[Buy Window Month Start]]*365.25/12</f>
        <v>#VALUE!</v>
      </c>
      <c r="L825" t="str">
        <f>_xlfn.XLOOKUP(tbl_MTG_Set[[#This Row],[Type Name]], tbl_MTG_Set_Type[Set Type], tbl_MTG_Set_Type[Buy Window Month End], "(Set Type not found)", 0, 1)</f>
        <v>(Set Type not found)</v>
      </c>
      <c r="M825" s="3" t="e">
        <f>tbl_MTG_Set[[#This Row],[Released On]]+tbl_MTG_Set[[#This Row],[Buy Window Month End]]*365.25/12</f>
        <v>#VALUE!</v>
      </c>
      <c r="N825" s="3" t="e">
        <f ca="1">AND(NOW()&gt;=tbl_MTG_Set[[#This Row],[Buy Window Start]], NOW()&lt;=tbl_MTG_Set[[#This Row],[Buy Window End]])</f>
        <v>#VALUE!</v>
      </c>
      <c r="O825" t="str">
        <f>_xlfn.XLOOKUP(tbl_MTG_Set[[#This Row],[Type Name]], tbl_MTG_Set_Type[Set Type], tbl_MTG_Set_Type[Heavy Printing Window Month Start], "(Set Type not found)", 0, 1)</f>
        <v>(Set Type not found)</v>
      </c>
      <c r="P825" s="3" t="e">
        <f>tbl_MTG_Set[[#This Row],[Released On]]+tbl_MTG_Set[[#This Row],[Heavy Printing Window Month Start]]*365.25/12</f>
        <v>#VALUE!</v>
      </c>
      <c r="Q825" t="str">
        <f>_xlfn.XLOOKUP(tbl_MTG_Set[[#This Row],[Type Name]], tbl_MTG_Set_Type[Set Type], tbl_MTG_Set_Type[Heavy Printing Window Month End], "(Set Type not found)", 0, 1)</f>
        <v>(Set Type not found)</v>
      </c>
      <c r="R825" s="3" t="e">
        <f>tbl_MTG_Set[[#This Row],[Released On]]+tbl_MTG_Set[[#This Row],[Heavy Printing Window Month End]]*365.25/12</f>
        <v>#VALUE!</v>
      </c>
      <c r="S825" s="3" t="e">
        <f ca="1">AND(NOW()&gt;=tbl_MTG_Set[[#This Row],[Heavy Printing Window Start]], NOW()&lt;=tbl_MTG_Set[[#This Row],[Heavy Printing Window End]])</f>
        <v>#VALUE!</v>
      </c>
      <c r="T825" t="str">
        <f>_xlfn.XLOOKUP(tbl_MTG_Set[[#This Row],[Type Name]], tbl_MTG_Set_Type[Set Type], tbl_MTG_Set_Type[Sell Window Month Start], "(Set Type not found)", 0, 1)</f>
        <v>(Set Type not found)</v>
      </c>
      <c r="U825" s="3" t="e">
        <f>tbl_MTG_Set[[#This Row],[Released On]]+tbl_MTG_Set[[#This Row],[Sell Window Month Start]]*365.25/12</f>
        <v>#VALUE!</v>
      </c>
      <c r="V825" t="str">
        <f>_xlfn.XLOOKUP(tbl_MTG_Set[[#This Row],[Type Name]], tbl_MTG_Set_Type[Set Type], tbl_MTG_Set_Type[Sell Window Month End], "(Set Type not found)", 0, 1)</f>
        <v>(Set Type not found)</v>
      </c>
      <c r="W825" s="3" t="e">
        <f>tbl_MTG_Set[[#This Row],[Released On]]+tbl_MTG_Set[[#This Row],[Sell Window Month End]]*365.25/12</f>
        <v>#VALUE!</v>
      </c>
      <c r="X825" s="3" t="e">
        <f ca="1">AND(NOW()&gt;=tbl_MTG_Set[[#This Row],[Sell Window Start]], NOW()&lt;=tbl_MTG_Set[[#This Row],[Sell Window End]])</f>
        <v>#VALUE!</v>
      </c>
      <c r="AG825" s="10"/>
      <c r="AH825" s="10"/>
      <c r="AM825" s="10" t="str" cm="1">
        <f t="array" ref="AM8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5" s="10" t="str" cm="1">
        <f t="array" ref="AN8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5" s="4" t="e">
        <f>_xlfn.XLOOKUP(tbl_MTG_Set[[#This Row],[Play Booster Box Product Id]], tbl_Product[Product Id], tbl_Product[Pack Size])</f>
        <v>#N/A</v>
      </c>
      <c r="AP825" s="10" t="e">
        <f>(tbl_MTG_Set[[#This Row],[Play Booster Box Cost]]+v_Item_Shipping_Cost_In)/tbl_MTG_Set[[#This Row],[Play Booster Box Size]]</f>
        <v>#VALUE!</v>
      </c>
      <c r="AQ825" s="10" t="str" cm="1">
        <f t="array" ref="AQ8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5" s="10"/>
      <c r="AS825" s="10"/>
      <c r="AT825" s="17" t="e">
        <f>tbl_MTG_Set[[#This Row],[Play Booster CardMarket Profit]]/tbl_MTG_Set[[#This Row],[Play Booster Cost]]</f>
        <v>#VALUE!</v>
      </c>
      <c r="AU825" s="10" t="e">
        <f>_xlfn.XLOOKUP(tbl_MTG_Set[[#This Row],[Collector Booster Box Product Id]], tbl_Product[Product Id], tbl_Product[Min Cost])</f>
        <v>#N/A</v>
      </c>
      <c r="AV825" s="10" t="e">
        <f>_xlfn.XLOOKUP(tbl_MTG_Set[[#This Row],[Collector Booster Box Product Id]], tbl_Product[Product Id], tbl_Product[Best Source])</f>
        <v>#N/A</v>
      </c>
      <c r="AW825" s="4" t="e">
        <f>_xlfn.XLOOKUP(tbl_MTG_Set[[#This Row],[Collector Booster Box Product Id]], tbl_Product[Product Id], tbl_Product[Pack Size])</f>
        <v>#N/A</v>
      </c>
      <c r="AX825" s="10" t="e">
        <f>(tbl_MTG_Set[[#This Row],[Collector Booster Box Cost]] + v_Item_Shipping_Cost_In) / tbl_MTG_Set[[#This Row],[Collector Booster Box Size]]</f>
        <v>#N/A</v>
      </c>
      <c r="AY825" s="10" t="str" cm="1">
        <f t="array" ref="AY8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5" s="10"/>
      <c r="BA8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5" s="17" t="e">
        <f>tbl_MTG_Set[[#This Row],[Collector Booster CardMarket Profit]]/tbl_MTG_Set[[#This Row],[Collector Booster Cost]]</f>
        <v>#N/A</v>
      </c>
      <c r="BC825" s="10"/>
      <c r="BF8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5" s="11" t="e">
        <f>tbl_MTG_Set[[#This Row],[Play Singles CardMarket Profit MTG Stocks]]/tbl_MTG_Set[[#This Row],[Play Booster Cost]]</f>
        <v>#VALUE!</v>
      </c>
      <c r="BI825" s="11" t="b">
        <f>tbl_MTG_Set[[#This Row],[Play Singles CardMarket Profit MTG Stocks]]&gt;0</f>
        <v>0</v>
      </c>
      <c r="BM825" s="10" t="e">
        <f>tbl_MTG_Set[[#This Row],[Play Booster Sell Price CardMarket]]*tbl_MTG_Set[[#This Row],[Play Booster Expected Market Value BotBox]]/tbl_MTG_Set[[#This Row],[Play Booster Sealed Market Value BotBox]]</f>
        <v>#VALUE!</v>
      </c>
      <c r="BN8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5" s="10" t="e">
        <f>tbl_MTG_Set[[#This Row],[Play Singles CardMarket Profit BotBox]]/tbl_MTG_Set[[#This Row],[Play Booster Cost]]</f>
        <v>#VALUE!</v>
      </c>
      <c r="BP825" s="10" t="b">
        <f>tbl_MTG_Set[[#This Row],[Play Singles CardMarket Profit BotBox]]&gt;0</f>
        <v>0</v>
      </c>
      <c r="BQ825" s="10"/>
      <c r="BR825" s="10"/>
      <c r="BS825" s="10"/>
      <c r="BT8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5" s="19" t="e">
        <f>tbl_MTG_Set[[#This Row],[Collector Singles CardMarket Profit MTG Stocks]]/tbl_MTG_Set[[#This Row],[Collector Booster Cost]]</f>
        <v>#N/A</v>
      </c>
      <c r="BW825" s="10" t="b">
        <f>tbl_MTG_Set[[#This Row],[Collector Singles CardMarket Profit MTG Stocks]]&gt;0</f>
        <v>0</v>
      </c>
      <c r="BX825" s="10"/>
      <c r="BY825" s="10"/>
      <c r="BZ8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5" s="10" t="e">
        <f>tbl_MTG_Set[[#This Row],[Collector Singles CardMarket Profit BotBox]]/tbl_MTG_Set[[#This Row],[Collector Booster Cost]]</f>
        <v>#N/A</v>
      </c>
      <c r="CC825" s="10" t="b">
        <f>tbl_MTG_Set[[#This Row],[Collector Singles CardMarket Profit BotBox]]&gt;0</f>
        <v>0</v>
      </c>
      <c r="CD8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6" spans="1:86" hidden="1">
      <c r="A826">
        <v>858</v>
      </c>
      <c r="B826" t="s">
        <v>999</v>
      </c>
      <c r="C826">
        <v>4</v>
      </c>
      <c r="D826" s="3">
        <v>38718</v>
      </c>
      <c r="F826" t="s">
        <v>174</v>
      </c>
      <c r="G826">
        <v>1662</v>
      </c>
      <c r="H826">
        <f ca="1">MONTH(NOW())+12*YEAR(NOW())-MONTH(tbl_MTG_Set[[#This Row],[Released On]])-12*YEAR(tbl_MTG_Set[[#This Row],[Released On]])</f>
        <v>242</v>
      </c>
      <c r="I826" t="str">
        <f>_xlfn.XLOOKUP(tbl_MTG_Set[[#This Row],[Type Name]], tbl_MTG_Set_Type[Set Type], tbl_MTG_Set_Type[Index], "(Set Type not found)")</f>
        <v>(Set Type not found)</v>
      </c>
      <c r="J826" t="str">
        <f>_xlfn.XLOOKUP(tbl_MTG_Set[[#This Row],[Type Name]], tbl_MTG_Set_Type[Set Type], tbl_MTG_Set_Type[Buy Window Month Start], "(Set Type not found)")</f>
        <v>(Set Type not found)</v>
      </c>
      <c r="K826" s="3" t="e">
        <f>tbl_MTG_Set[[#This Row],[Released On]]+tbl_MTG_Set[[#This Row],[Buy Window Month Start]]*365.25/12</f>
        <v>#VALUE!</v>
      </c>
      <c r="L826" t="str">
        <f>_xlfn.XLOOKUP(tbl_MTG_Set[[#This Row],[Type Name]], tbl_MTG_Set_Type[Set Type], tbl_MTG_Set_Type[Buy Window Month End], "(Set Type not found)", 0, 1)</f>
        <v>(Set Type not found)</v>
      </c>
      <c r="M826" s="3" t="e">
        <f>tbl_MTG_Set[[#This Row],[Released On]]+tbl_MTG_Set[[#This Row],[Buy Window Month End]]*365.25/12</f>
        <v>#VALUE!</v>
      </c>
      <c r="N826" s="3" t="e">
        <f ca="1">AND(NOW()&gt;=tbl_MTG_Set[[#This Row],[Buy Window Start]], NOW()&lt;=tbl_MTG_Set[[#This Row],[Buy Window End]])</f>
        <v>#VALUE!</v>
      </c>
      <c r="O826" t="str">
        <f>_xlfn.XLOOKUP(tbl_MTG_Set[[#This Row],[Type Name]], tbl_MTG_Set_Type[Set Type], tbl_MTG_Set_Type[Heavy Printing Window Month Start], "(Set Type not found)", 0, 1)</f>
        <v>(Set Type not found)</v>
      </c>
      <c r="P826" s="3" t="e">
        <f>tbl_MTG_Set[[#This Row],[Released On]]+tbl_MTG_Set[[#This Row],[Heavy Printing Window Month Start]]*365.25/12</f>
        <v>#VALUE!</v>
      </c>
      <c r="Q826" t="str">
        <f>_xlfn.XLOOKUP(tbl_MTG_Set[[#This Row],[Type Name]], tbl_MTG_Set_Type[Set Type], tbl_MTG_Set_Type[Heavy Printing Window Month End], "(Set Type not found)", 0, 1)</f>
        <v>(Set Type not found)</v>
      </c>
      <c r="R826" s="3" t="e">
        <f>tbl_MTG_Set[[#This Row],[Released On]]+tbl_MTG_Set[[#This Row],[Heavy Printing Window Month End]]*365.25/12</f>
        <v>#VALUE!</v>
      </c>
      <c r="S826" s="3" t="e">
        <f ca="1">AND(NOW()&gt;=tbl_MTG_Set[[#This Row],[Heavy Printing Window Start]], NOW()&lt;=tbl_MTG_Set[[#This Row],[Heavy Printing Window End]])</f>
        <v>#VALUE!</v>
      </c>
      <c r="T826" t="str">
        <f>_xlfn.XLOOKUP(tbl_MTG_Set[[#This Row],[Type Name]], tbl_MTG_Set_Type[Set Type], tbl_MTG_Set_Type[Sell Window Month Start], "(Set Type not found)", 0, 1)</f>
        <v>(Set Type not found)</v>
      </c>
      <c r="U826" s="3" t="e">
        <f>tbl_MTG_Set[[#This Row],[Released On]]+tbl_MTG_Set[[#This Row],[Sell Window Month Start]]*365.25/12</f>
        <v>#VALUE!</v>
      </c>
      <c r="V826" t="str">
        <f>_xlfn.XLOOKUP(tbl_MTG_Set[[#This Row],[Type Name]], tbl_MTG_Set_Type[Set Type], tbl_MTG_Set_Type[Sell Window Month End], "(Set Type not found)", 0, 1)</f>
        <v>(Set Type not found)</v>
      </c>
      <c r="W826" s="3" t="e">
        <f>tbl_MTG_Set[[#This Row],[Released On]]+tbl_MTG_Set[[#This Row],[Sell Window Month End]]*365.25/12</f>
        <v>#VALUE!</v>
      </c>
      <c r="X826" s="3" t="e">
        <f ca="1">AND(NOW()&gt;=tbl_MTG_Set[[#This Row],[Sell Window Start]], NOW()&lt;=tbl_MTG_Set[[#This Row],[Sell Window End]])</f>
        <v>#VALUE!</v>
      </c>
      <c r="AG826" s="10"/>
      <c r="AH826" s="10"/>
      <c r="AM826" s="10" t="str" cm="1">
        <f t="array" ref="AM8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6" s="10" t="str" cm="1">
        <f t="array" ref="AN8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6" s="4" t="e">
        <f>_xlfn.XLOOKUP(tbl_MTG_Set[[#This Row],[Play Booster Box Product Id]], tbl_Product[Product Id], tbl_Product[Pack Size])</f>
        <v>#N/A</v>
      </c>
      <c r="AP826" s="10" t="e">
        <f>(tbl_MTG_Set[[#This Row],[Play Booster Box Cost]]+v_Item_Shipping_Cost_In)/tbl_MTG_Set[[#This Row],[Play Booster Box Size]]</f>
        <v>#VALUE!</v>
      </c>
      <c r="AQ826" s="10" t="str" cm="1">
        <f t="array" ref="AQ8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6" s="10"/>
      <c r="AS826" s="10"/>
      <c r="AT826" s="17" t="e">
        <f>tbl_MTG_Set[[#This Row],[Play Booster CardMarket Profit]]/tbl_MTG_Set[[#This Row],[Play Booster Cost]]</f>
        <v>#VALUE!</v>
      </c>
      <c r="AU826" s="10" t="e">
        <f>_xlfn.XLOOKUP(tbl_MTG_Set[[#This Row],[Collector Booster Box Product Id]], tbl_Product[Product Id], tbl_Product[Min Cost])</f>
        <v>#N/A</v>
      </c>
      <c r="AV826" s="10" t="e">
        <f>_xlfn.XLOOKUP(tbl_MTG_Set[[#This Row],[Collector Booster Box Product Id]], tbl_Product[Product Id], tbl_Product[Best Source])</f>
        <v>#N/A</v>
      </c>
      <c r="AW826" s="4" t="e">
        <f>_xlfn.XLOOKUP(tbl_MTG_Set[[#This Row],[Collector Booster Box Product Id]], tbl_Product[Product Id], tbl_Product[Pack Size])</f>
        <v>#N/A</v>
      </c>
      <c r="AX826" s="10" t="e">
        <f>(tbl_MTG_Set[[#This Row],[Collector Booster Box Cost]] + v_Item_Shipping_Cost_In) / tbl_MTG_Set[[#This Row],[Collector Booster Box Size]]</f>
        <v>#N/A</v>
      </c>
      <c r="AY826" s="10" t="str" cm="1">
        <f t="array" ref="AY8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6" s="10"/>
      <c r="BA8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6" s="17" t="e">
        <f>tbl_MTG_Set[[#This Row],[Collector Booster CardMarket Profit]]/tbl_MTG_Set[[#This Row],[Collector Booster Cost]]</f>
        <v>#N/A</v>
      </c>
      <c r="BC826" s="10"/>
      <c r="BF8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6" s="11" t="e">
        <f>tbl_MTG_Set[[#This Row],[Play Singles CardMarket Profit MTG Stocks]]/tbl_MTG_Set[[#This Row],[Play Booster Cost]]</f>
        <v>#VALUE!</v>
      </c>
      <c r="BI826" s="11" t="b">
        <f>tbl_MTG_Set[[#This Row],[Play Singles CardMarket Profit MTG Stocks]]&gt;0</f>
        <v>0</v>
      </c>
      <c r="BM826" s="10" t="e">
        <f>tbl_MTG_Set[[#This Row],[Play Booster Sell Price CardMarket]]*tbl_MTG_Set[[#This Row],[Play Booster Expected Market Value BotBox]]/tbl_MTG_Set[[#This Row],[Play Booster Sealed Market Value BotBox]]</f>
        <v>#VALUE!</v>
      </c>
      <c r="BN8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6" s="10" t="e">
        <f>tbl_MTG_Set[[#This Row],[Play Singles CardMarket Profit BotBox]]/tbl_MTG_Set[[#This Row],[Play Booster Cost]]</f>
        <v>#VALUE!</v>
      </c>
      <c r="BP826" s="10" t="b">
        <f>tbl_MTG_Set[[#This Row],[Play Singles CardMarket Profit BotBox]]&gt;0</f>
        <v>0</v>
      </c>
      <c r="BQ826" s="10"/>
      <c r="BR826" s="10"/>
      <c r="BS826" s="10"/>
      <c r="BT8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6" s="19" t="e">
        <f>tbl_MTG_Set[[#This Row],[Collector Singles CardMarket Profit MTG Stocks]]/tbl_MTG_Set[[#This Row],[Collector Booster Cost]]</f>
        <v>#N/A</v>
      </c>
      <c r="BW826" s="10" t="b">
        <f>tbl_MTG_Set[[#This Row],[Collector Singles CardMarket Profit MTG Stocks]]&gt;0</f>
        <v>0</v>
      </c>
      <c r="BX826" s="10"/>
      <c r="BY826" s="10"/>
      <c r="BZ8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6" s="10" t="e">
        <f>tbl_MTG_Set[[#This Row],[Collector Singles CardMarket Profit BotBox]]/tbl_MTG_Set[[#This Row],[Collector Booster Cost]]</f>
        <v>#N/A</v>
      </c>
      <c r="CC826" s="10" t="b">
        <f>tbl_MTG_Set[[#This Row],[Collector Singles CardMarket Profit BotBox]]&gt;0</f>
        <v>0</v>
      </c>
      <c r="CD8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7" spans="1:86" hidden="1">
      <c r="A827">
        <v>859</v>
      </c>
      <c r="B827" t="s">
        <v>1000</v>
      </c>
      <c r="C827">
        <v>80</v>
      </c>
      <c r="D827" s="3">
        <v>38718</v>
      </c>
      <c r="F827" t="s">
        <v>174</v>
      </c>
      <c r="G827">
        <v>1664</v>
      </c>
      <c r="H827">
        <f ca="1">MONTH(NOW())+12*YEAR(NOW())-MONTH(tbl_MTG_Set[[#This Row],[Released On]])-12*YEAR(tbl_MTG_Set[[#This Row],[Released On]])</f>
        <v>242</v>
      </c>
      <c r="I827" t="str">
        <f>_xlfn.XLOOKUP(tbl_MTG_Set[[#This Row],[Type Name]], tbl_MTG_Set_Type[Set Type], tbl_MTG_Set_Type[Index], "(Set Type not found)")</f>
        <v>(Set Type not found)</v>
      </c>
      <c r="J827" t="str">
        <f>_xlfn.XLOOKUP(tbl_MTG_Set[[#This Row],[Type Name]], tbl_MTG_Set_Type[Set Type], tbl_MTG_Set_Type[Buy Window Month Start], "(Set Type not found)")</f>
        <v>(Set Type not found)</v>
      </c>
      <c r="K827" s="3" t="e">
        <f>tbl_MTG_Set[[#This Row],[Released On]]+tbl_MTG_Set[[#This Row],[Buy Window Month Start]]*365.25/12</f>
        <v>#VALUE!</v>
      </c>
      <c r="L827" t="str">
        <f>_xlfn.XLOOKUP(tbl_MTG_Set[[#This Row],[Type Name]], tbl_MTG_Set_Type[Set Type], tbl_MTG_Set_Type[Buy Window Month End], "(Set Type not found)", 0, 1)</f>
        <v>(Set Type not found)</v>
      </c>
      <c r="M827" s="3" t="e">
        <f>tbl_MTG_Set[[#This Row],[Released On]]+tbl_MTG_Set[[#This Row],[Buy Window Month End]]*365.25/12</f>
        <v>#VALUE!</v>
      </c>
      <c r="N827" s="3" t="e">
        <f ca="1">AND(NOW()&gt;=tbl_MTG_Set[[#This Row],[Buy Window Start]], NOW()&lt;=tbl_MTG_Set[[#This Row],[Buy Window End]])</f>
        <v>#VALUE!</v>
      </c>
      <c r="O827" t="str">
        <f>_xlfn.XLOOKUP(tbl_MTG_Set[[#This Row],[Type Name]], tbl_MTG_Set_Type[Set Type], tbl_MTG_Set_Type[Heavy Printing Window Month Start], "(Set Type not found)", 0, 1)</f>
        <v>(Set Type not found)</v>
      </c>
      <c r="P827" s="3" t="e">
        <f>tbl_MTG_Set[[#This Row],[Released On]]+tbl_MTG_Set[[#This Row],[Heavy Printing Window Month Start]]*365.25/12</f>
        <v>#VALUE!</v>
      </c>
      <c r="Q827" t="str">
        <f>_xlfn.XLOOKUP(tbl_MTG_Set[[#This Row],[Type Name]], tbl_MTG_Set_Type[Set Type], tbl_MTG_Set_Type[Heavy Printing Window Month End], "(Set Type not found)", 0, 1)</f>
        <v>(Set Type not found)</v>
      </c>
      <c r="R827" s="3" t="e">
        <f>tbl_MTG_Set[[#This Row],[Released On]]+tbl_MTG_Set[[#This Row],[Heavy Printing Window Month End]]*365.25/12</f>
        <v>#VALUE!</v>
      </c>
      <c r="S827" s="3" t="e">
        <f ca="1">AND(NOW()&gt;=tbl_MTG_Set[[#This Row],[Heavy Printing Window Start]], NOW()&lt;=tbl_MTG_Set[[#This Row],[Heavy Printing Window End]])</f>
        <v>#VALUE!</v>
      </c>
      <c r="T827" t="str">
        <f>_xlfn.XLOOKUP(tbl_MTG_Set[[#This Row],[Type Name]], tbl_MTG_Set_Type[Set Type], tbl_MTG_Set_Type[Sell Window Month Start], "(Set Type not found)", 0, 1)</f>
        <v>(Set Type not found)</v>
      </c>
      <c r="U827" s="3" t="e">
        <f>tbl_MTG_Set[[#This Row],[Released On]]+tbl_MTG_Set[[#This Row],[Sell Window Month Start]]*365.25/12</f>
        <v>#VALUE!</v>
      </c>
      <c r="V827" t="str">
        <f>_xlfn.XLOOKUP(tbl_MTG_Set[[#This Row],[Type Name]], tbl_MTG_Set_Type[Set Type], tbl_MTG_Set_Type[Sell Window Month End], "(Set Type not found)", 0, 1)</f>
        <v>(Set Type not found)</v>
      </c>
      <c r="W827" s="3" t="e">
        <f>tbl_MTG_Set[[#This Row],[Released On]]+tbl_MTG_Set[[#This Row],[Sell Window Month End]]*365.25/12</f>
        <v>#VALUE!</v>
      </c>
      <c r="X827" s="3" t="e">
        <f ca="1">AND(NOW()&gt;=tbl_MTG_Set[[#This Row],[Sell Window Start]], NOW()&lt;=tbl_MTG_Set[[#This Row],[Sell Window End]])</f>
        <v>#VALUE!</v>
      </c>
      <c r="AG827" s="10"/>
      <c r="AH827" s="10"/>
      <c r="AM827" s="10" t="str" cm="1">
        <f t="array" ref="AM8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7" s="10" t="str" cm="1">
        <f t="array" ref="AN8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7" s="4" t="e">
        <f>_xlfn.XLOOKUP(tbl_MTG_Set[[#This Row],[Play Booster Box Product Id]], tbl_Product[Product Id], tbl_Product[Pack Size])</f>
        <v>#N/A</v>
      </c>
      <c r="AP827" s="10" t="e">
        <f>(tbl_MTG_Set[[#This Row],[Play Booster Box Cost]]+v_Item_Shipping_Cost_In)/tbl_MTG_Set[[#This Row],[Play Booster Box Size]]</f>
        <v>#VALUE!</v>
      </c>
      <c r="AQ827" s="10" t="str" cm="1">
        <f t="array" ref="AQ8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7" s="10"/>
      <c r="AS827" s="10"/>
      <c r="AT827" s="17" t="e">
        <f>tbl_MTG_Set[[#This Row],[Play Booster CardMarket Profit]]/tbl_MTG_Set[[#This Row],[Play Booster Cost]]</f>
        <v>#VALUE!</v>
      </c>
      <c r="AU827" s="10" t="e">
        <f>_xlfn.XLOOKUP(tbl_MTG_Set[[#This Row],[Collector Booster Box Product Id]], tbl_Product[Product Id], tbl_Product[Min Cost])</f>
        <v>#N/A</v>
      </c>
      <c r="AV827" s="10" t="e">
        <f>_xlfn.XLOOKUP(tbl_MTG_Set[[#This Row],[Collector Booster Box Product Id]], tbl_Product[Product Id], tbl_Product[Best Source])</f>
        <v>#N/A</v>
      </c>
      <c r="AW827" s="4" t="e">
        <f>_xlfn.XLOOKUP(tbl_MTG_Set[[#This Row],[Collector Booster Box Product Id]], tbl_Product[Product Id], tbl_Product[Pack Size])</f>
        <v>#N/A</v>
      </c>
      <c r="AX827" s="10" t="e">
        <f>(tbl_MTG_Set[[#This Row],[Collector Booster Box Cost]] + v_Item_Shipping_Cost_In) / tbl_MTG_Set[[#This Row],[Collector Booster Box Size]]</f>
        <v>#N/A</v>
      </c>
      <c r="AY827" s="10" t="str" cm="1">
        <f t="array" ref="AY8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7" s="10"/>
      <c r="BA8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7" s="17" t="e">
        <f>tbl_MTG_Set[[#This Row],[Collector Booster CardMarket Profit]]/tbl_MTG_Set[[#This Row],[Collector Booster Cost]]</f>
        <v>#N/A</v>
      </c>
      <c r="BC827" s="10"/>
      <c r="BF8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7" s="11" t="e">
        <f>tbl_MTG_Set[[#This Row],[Play Singles CardMarket Profit MTG Stocks]]/tbl_MTG_Set[[#This Row],[Play Booster Cost]]</f>
        <v>#VALUE!</v>
      </c>
      <c r="BI827" s="11" t="b">
        <f>tbl_MTG_Set[[#This Row],[Play Singles CardMarket Profit MTG Stocks]]&gt;0</f>
        <v>0</v>
      </c>
      <c r="BM827" s="10" t="e">
        <f>tbl_MTG_Set[[#This Row],[Play Booster Sell Price CardMarket]]*tbl_MTG_Set[[#This Row],[Play Booster Expected Market Value BotBox]]/tbl_MTG_Set[[#This Row],[Play Booster Sealed Market Value BotBox]]</f>
        <v>#VALUE!</v>
      </c>
      <c r="BN8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7" s="10" t="e">
        <f>tbl_MTG_Set[[#This Row],[Play Singles CardMarket Profit BotBox]]/tbl_MTG_Set[[#This Row],[Play Booster Cost]]</f>
        <v>#VALUE!</v>
      </c>
      <c r="BP827" s="10" t="b">
        <f>tbl_MTG_Set[[#This Row],[Play Singles CardMarket Profit BotBox]]&gt;0</f>
        <v>0</v>
      </c>
      <c r="BQ827" s="10"/>
      <c r="BR827" s="10"/>
      <c r="BS827" s="10"/>
      <c r="BT8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7" s="19" t="e">
        <f>tbl_MTG_Set[[#This Row],[Collector Singles CardMarket Profit MTG Stocks]]/tbl_MTG_Set[[#This Row],[Collector Booster Cost]]</f>
        <v>#N/A</v>
      </c>
      <c r="BW827" s="10" t="b">
        <f>tbl_MTG_Set[[#This Row],[Collector Singles CardMarket Profit MTG Stocks]]&gt;0</f>
        <v>0</v>
      </c>
      <c r="BX827" s="10"/>
      <c r="BY827" s="10"/>
      <c r="BZ8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7" s="10" t="e">
        <f>tbl_MTG_Set[[#This Row],[Collector Singles CardMarket Profit BotBox]]/tbl_MTG_Set[[#This Row],[Collector Booster Cost]]</f>
        <v>#N/A</v>
      </c>
      <c r="CC827" s="10" t="b">
        <f>tbl_MTG_Set[[#This Row],[Collector Singles CardMarket Profit BotBox]]&gt;0</f>
        <v>0</v>
      </c>
      <c r="CD8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8" spans="1:86" hidden="1">
      <c r="A828">
        <v>860</v>
      </c>
      <c r="B828" t="s">
        <v>1001</v>
      </c>
      <c r="C828">
        <v>7</v>
      </c>
      <c r="D828" s="3">
        <v>38718</v>
      </c>
      <c r="F828" t="s">
        <v>174</v>
      </c>
      <c r="G828">
        <v>1666</v>
      </c>
      <c r="H828">
        <f ca="1">MONTH(NOW())+12*YEAR(NOW())-MONTH(tbl_MTG_Set[[#This Row],[Released On]])-12*YEAR(tbl_MTG_Set[[#This Row],[Released On]])</f>
        <v>242</v>
      </c>
      <c r="I828" t="str">
        <f>_xlfn.XLOOKUP(tbl_MTG_Set[[#This Row],[Type Name]], tbl_MTG_Set_Type[Set Type], tbl_MTG_Set_Type[Index], "(Set Type not found)")</f>
        <v>(Set Type not found)</v>
      </c>
      <c r="J828" t="str">
        <f>_xlfn.XLOOKUP(tbl_MTG_Set[[#This Row],[Type Name]], tbl_MTG_Set_Type[Set Type], tbl_MTG_Set_Type[Buy Window Month Start], "(Set Type not found)")</f>
        <v>(Set Type not found)</v>
      </c>
      <c r="K828" s="3" t="e">
        <f>tbl_MTG_Set[[#This Row],[Released On]]+tbl_MTG_Set[[#This Row],[Buy Window Month Start]]*365.25/12</f>
        <v>#VALUE!</v>
      </c>
      <c r="L828" t="str">
        <f>_xlfn.XLOOKUP(tbl_MTG_Set[[#This Row],[Type Name]], tbl_MTG_Set_Type[Set Type], tbl_MTG_Set_Type[Buy Window Month End], "(Set Type not found)", 0, 1)</f>
        <v>(Set Type not found)</v>
      </c>
      <c r="M828" s="3" t="e">
        <f>tbl_MTG_Set[[#This Row],[Released On]]+tbl_MTG_Set[[#This Row],[Buy Window Month End]]*365.25/12</f>
        <v>#VALUE!</v>
      </c>
      <c r="N828" s="3" t="e">
        <f ca="1">AND(NOW()&gt;=tbl_MTG_Set[[#This Row],[Buy Window Start]], NOW()&lt;=tbl_MTG_Set[[#This Row],[Buy Window End]])</f>
        <v>#VALUE!</v>
      </c>
      <c r="O828" t="str">
        <f>_xlfn.XLOOKUP(tbl_MTG_Set[[#This Row],[Type Name]], tbl_MTG_Set_Type[Set Type], tbl_MTG_Set_Type[Heavy Printing Window Month Start], "(Set Type not found)", 0, 1)</f>
        <v>(Set Type not found)</v>
      </c>
      <c r="P828" s="3" t="e">
        <f>tbl_MTG_Set[[#This Row],[Released On]]+tbl_MTG_Set[[#This Row],[Heavy Printing Window Month Start]]*365.25/12</f>
        <v>#VALUE!</v>
      </c>
      <c r="Q828" t="str">
        <f>_xlfn.XLOOKUP(tbl_MTG_Set[[#This Row],[Type Name]], tbl_MTG_Set_Type[Set Type], tbl_MTG_Set_Type[Heavy Printing Window Month End], "(Set Type not found)", 0, 1)</f>
        <v>(Set Type not found)</v>
      </c>
      <c r="R828" s="3" t="e">
        <f>tbl_MTG_Set[[#This Row],[Released On]]+tbl_MTG_Set[[#This Row],[Heavy Printing Window Month End]]*365.25/12</f>
        <v>#VALUE!</v>
      </c>
      <c r="S828" s="3" t="e">
        <f ca="1">AND(NOW()&gt;=tbl_MTG_Set[[#This Row],[Heavy Printing Window Start]], NOW()&lt;=tbl_MTG_Set[[#This Row],[Heavy Printing Window End]])</f>
        <v>#VALUE!</v>
      </c>
      <c r="T828" t="str">
        <f>_xlfn.XLOOKUP(tbl_MTG_Set[[#This Row],[Type Name]], tbl_MTG_Set_Type[Set Type], tbl_MTG_Set_Type[Sell Window Month Start], "(Set Type not found)", 0, 1)</f>
        <v>(Set Type not found)</v>
      </c>
      <c r="U828" s="3" t="e">
        <f>tbl_MTG_Set[[#This Row],[Released On]]+tbl_MTG_Set[[#This Row],[Sell Window Month Start]]*365.25/12</f>
        <v>#VALUE!</v>
      </c>
      <c r="V828" t="str">
        <f>_xlfn.XLOOKUP(tbl_MTG_Set[[#This Row],[Type Name]], tbl_MTG_Set_Type[Set Type], tbl_MTG_Set_Type[Sell Window Month End], "(Set Type not found)", 0, 1)</f>
        <v>(Set Type not found)</v>
      </c>
      <c r="W828" s="3" t="e">
        <f>tbl_MTG_Set[[#This Row],[Released On]]+tbl_MTG_Set[[#This Row],[Sell Window Month End]]*365.25/12</f>
        <v>#VALUE!</v>
      </c>
      <c r="X828" s="3" t="e">
        <f ca="1">AND(NOW()&gt;=tbl_MTG_Set[[#This Row],[Sell Window Start]], NOW()&lt;=tbl_MTG_Set[[#This Row],[Sell Window End]])</f>
        <v>#VALUE!</v>
      </c>
      <c r="AG828" s="10"/>
      <c r="AH828" s="10"/>
      <c r="AM828" s="10" t="str" cm="1">
        <f t="array" ref="AM8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8" s="10" t="str" cm="1">
        <f t="array" ref="AN8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8" s="4" t="e">
        <f>_xlfn.XLOOKUP(tbl_MTG_Set[[#This Row],[Play Booster Box Product Id]], tbl_Product[Product Id], tbl_Product[Pack Size])</f>
        <v>#N/A</v>
      </c>
      <c r="AP828" s="10" t="e">
        <f>(tbl_MTG_Set[[#This Row],[Play Booster Box Cost]]+v_Item_Shipping_Cost_In)/tbl_MTG_Set[[#This Row],[Play Booster Box Size]]</f>
        <v>#VALUE!</v>
      </c>
      <c r="AQ828" s="10" t="str" cm="1">
        <f t="array" ref="AQ8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8" s="10"/>
      <c r="AS828" s="10"/>
      <c r="AT828" s="17" t="e">
        <f>tbl_MTG_Set[[#This Row],[Play Booster CardMarket Profit]]/tbl_MTG_Set[[#This Row],[Play Booster Cost]]</f>
        <v>#VALUE!</v>
      </c>
      <c r="AU828" s="10" t="e">
        <f>_xlfn.XLOOKUP(tbl_MTG_Set[[#This Row],[Collector Booster Box Product Id]], tbl_Product[Product Id], tbl_Product[Min Cost])</f>
        <v>#N/A</v>
      </c>
      <c r="AV828" s="10" t="e">
        <f>_xlfn.XLOOKUP(tbl_MTG_Set[[#This Row],[Collector Booster Box Product Id]], tbl_Product[Product Id], tbl_Product[Best Source])</f>
        <v>#N/A</v>
      </c>
      <c r="AW828" s="4" t="e">
        <f>_xlfn.XLOOKUP(tbl_MTG_Set[[#This Row],[Collector Booster Box Product Id]], tbl_Product[Product Id], tbl_Product[Pack Size])</f>
        <v>#N/A</v>
      </c>
      <c r="AX828" s="10" t="e">
        <f>(tbl_MTG_Set[[#This Row],[Collector Booster Box Cost]] + v_Item_Shipping_Cost_In) / tbl_MTG_Set[[#This Row],[Collector Booster Box Size]]</f>
        <v>#N/A</v>
      </c>
      <c r="AY828" s="10" t="str" cm="1">
        <f t="array" ref="AY8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8" s="10"/>
      <c r="BA8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8" s="17" t="e">
        <f>tbl_MTG_Set[[#This Row],[Collector Booster CardMarket Profit]]/tbl_MTG_Set[[#This Row],[Collector Booster Cost]]</f>
        <v>#N/A</v>
      </c>
      <c r="BC828" s="10"/>
      <c r="BF8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8" s="11" t="e">
        <f>tbl_MTG_Set[[#This Row],[Play Singles CardMarket Profit MTG Stocks]]/tbl_MTG_Set[[#This Row],[Play Booster Cost]]</f>
        <v>#VALUE!</v>
      </c>
      <c r="BI828" s="11" t="b">
        <f>tbl_MTG_Set[[#This Row],[Play Singles CardMarket Profit MTG Stocks]]&gt;0</f>
        <v>0</v>
      </c>
      <c r="BM828" s="10" t="e">
        <f>tbl_MTG_Set[[#This Row],[Play Booster Sell Price CardMarket]]*tbl_MTG_Set[[#This Row],[Play Booster Expected Market Value BotBox]]/tbl_MTG_Set[[#This Row],[Play Booster Sealed Market Value BotBox]]</f>
        <v>#VALUE!</v>
      </c>
      <c r="BN8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8" s="10" t="e">
        <f>tbl_MTG_Set[[#This Row],[Play Singles CardMarket Profit BotBox]]/tbl_MTG_Set[[#This Row],[Play Booster Cost]]</f>
        <v>#VALUE!</v>
      </c>
      <c r="BP828" s="10" t="b">
        <f>tbl_MTG_Set[[#This Row],[Play Singles CardMarket Profit BotBox]]&gt;0</f>
        <v>0</v>
      </c>
      <c r="BQ828" s="10"/>
      <c r="BR828" s="10"/>
      <c r="BS828" s="10"/>
      <c r="BT8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8" s="19" t="e">
        <f>tbl_MTG_Set[[#This Row],[Collector Singles CardMarket Profit MTG Stocks]]/tbl_MTG_Set[[#This Row],[Collector Booster Cost]]</f>
        <v>#N/A</v>
      </c>
      <c r="BW828" s="10" t="b">
        <f>tbl_MTG_Set[[#This Row],[Collector Singles CardMarket Profit MTG Stocks]]&gt;0</f>
        <v>0</v>
      </c>
      <c r="BX828" s="10"/>
      <c r="BY828" s="10"/>
      <c r="BZ8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8" s="10" t="e">
        <f>tbl_MTG_Set[[#This Row],[Collector Singles CardMarket Profit BotBox]]/tbl_MTG_Set[[#This Row],[Collector Booster Cost]]</f>
        <v>#N/A</v>
      </c>
      <c r="CC828" s="10" t="b">
        <f>tbl_MTG_Set[[#This Row],[Collector Singles CardMarket Profit BotBox]]&gt;0</f>
        <v>0</v>
      </c>
      <c r="CD8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29" spans="1:86" hidden="1">
      <c r="A829">
        <v>861</v>
      </c>
      <c r="B829" t="s">
        <v>1002</v>
      </c>
      <c r="C829">
        <v>1</v>
      </c>
      <c r="D829" s="3">
        <v>38695</v>
      </c>
      <c r="F829" t="s">
        <v>174</v>
      </c>
      <c r="G829">
        <v>1668</v>
      </c>
      <c r="H829">
        <f ca="1">MONTH(NOW())+12*YEAR(NOW())-MONTH(tbl_MTG_Set[[#This Row],[Released On]])-12*YEAR(tbl_MTG_Set[[#This Row],[Released On]])</f>
        <v>243</v>
      </c>
      <c r="I829" t="str">
        <f>_xlfn.XLOOKUP(tbl_MTG_Set[[#This Row],[Type Name]], tbl_MTG_Set_Type[Set Type], tbl_MTG_Set_Type[Index], "(Set Type not found)")</f>
        <v>(Set Type not found)</v>
      </c>
      <c r="J829" t="str">
        <f>_xlfn.XLOOKUP(tbl_MTG_Set[[#This Row],[Type Name]], tbl_MTG_Set_Type[Set Type], tbl_MTG_Set_Type[Buy Window Month Start], "(Set Type not found)")</f>
        <v>(Set Type not found)</v>
      </c>
      <c r="K829" s="3" t="e">
        <f>tbl_MTG_Set[[#This Row],[Released On]]+tbl_MTG_Set[[#This Row],[Buy Window Month Start]]*365.25/12</f>
        <v>#VALUE!</v>
      </c>
      <c r="L829" t="str">
        <f>_xlfn.XLOOKUP(tbl_MTG_Set[[#This Row],[Type Name]], tbl_MTG_Set_Type[Set Type], tbl_MTG_Set_Type[Buy Window Month End], "(Set Type not found)", 0, 1)</f>
        <v>(Set Type not found)</v>
      </c>
      <c r="M829" s="3" t="e">
        <f>tbl_MTG_Set[[#This Row],[Released On]]+tbl_MTG_Set[[#This Row],[Buy Window Month End]]*365.25/12</f>
        <v>#VALUE!</v>
      </c>
      <c r="N829" s="3" t="e">
        <f ca="1">AND(NOW()&gt;=tbl_MTG_Set[[#This Row],[Buy Window Start]], NOW()&lt;=tbl_MTG_Set[[#This Row],[Buy Window End]])</f>
        <v>#VALUE!</v>
      </c>
      <c r="O829" t="str">
        <f>_xlfn.XLOOKUP(tbl_MTG_Set[[#This Row],[Type Name]], tbl_MTG_Set_Type[Set Type], tbl_MTG_Set_Type[Heavy Printing Window Month Start], "(Set Type not found)", 0, 1)</f>
        <v>(Set Type not found)</v>
      </c>
      <c r="P829" s="3" t="e">
        <f>tbl_MTG_Set[[#This Row],[Released On]]+tbl_MTG_Set[[#This Row],[Heavy Printing Window Month Start]]*365.25/12</f>
        <v>#VALUE!</v>
      </c>
      <c r="Q829" t="str">
        <f>_xlfn.XLOOKUP(tbl_MTG_Set[[#This Row],[Type Name]], tbl_MTG_Set_Type[Set Type], tbl_MTG_Set_Type[Heavy Printing Window Month End], "(Set Type not found)", 0, 1)</f>
        <v>(Set Type not found)</v>
      </c>
      <c r="R829" s="3" t="e">
        <f>tbl_MTG_Set[[#This Row],[Released On]]+tbl_MTG_Set[[#This Row],[Heavy Printing Window Month End]]*365.25/12</f>
        <v>#VALUE!</v>
      </c>
      <c r="S829" s="3" t="e">
        <f ca="1">AND(NOW()&gt;=tbl_MTG_Set[[#This Row],[Heavy Printing Window Start]], NOW()&lt;=tbl_MTG_Set[[#This Row],[Heavy Printing Window End]])</f>
        <v>#VALUE!</v>
      </c>
      <c r="T829" t="str">
        <f>_xlfn.XLOOKUP(tbl_MTG_Set[[#This Row],[Type Name]], tbl_MTG_Set_Type[Set Type], tbl_MTG_Set_Type[Sell Window Month Start], "(Set Type not found)", 0, 1)</f>
        <v>(Set Type not found)</v>
      </c>
      <c r="U829" s="3" t="e">
        <f>tbl_MTG_Set[[#This Row],[Released On]]+tbl_MTG_Set[[#This Row],[Sell Window Month Start]]*365.25/12</f>
        <v>#VALUE!</v>
      </c>
      <c r="V829" t="str">
        <f>_xlfn.XLOOKUP(tbl_MTG_Set[[#This Row],[Type Name]], tbl_MTG_Set_Type[Set Type], tbl_MTG_Set_Type[Sell Window Month End], "(Set Type not found)", 0, 1)</f>
        <v>(Set Type not found)</v>
      </c>
      <c r="W829" s="3" t="e">
        <f>tbl_MTG_Set[[#This Row],[Released On]]+tbl_MTG_Set[[#This Row],[Sell Window Month End]]*365.25/12</f>
        <v>#VALUE!</v>
      </c>
      <c r="X829" s="3" t="e">
        <f ca="1">AND(NOW()&gt;=tbl_MTG_Set[[#This Row],[Sell Window Start]], NOW()&lt;=tbl_MTG_Set[[#This Row],[Sell Window End]])</f>
        <v>#VALUE!</v>
      </c>
      <c r="AG829" s="10"/>
      <c r="AH829" s="10"/>
      <c r="AM829" s="10" t="str" cm="1">
        <f t="array" ref="AM8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29" s="10" t="str" cm="1">
        <f t="array" ref="AN8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29" s="4" t="e">
        <f>_xlfn.XLOOKUP(tbl_MTG_Set[[#This Row],[Play Booster Box Product Id]], tbl_Product[Product Id], tbl_Product[Pack Size])</f>
        <v>#N/A</v>
      </c>
      <c r="AP829" s="10" t="e">
        <f>(tbl_MTG_Set[[#This Row],[Play Booster Box Cost]]+v_Item_Shipping_Cost_In)/tbl_MTG_Set[[#This Row],[Play Booster Box Size]]</f>
        <v>#VALUE!</v>
      </c>
      <c r="AQ829" s="10" t="str" cm="1">
        <f t="array" ref="AQ8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29" s="10"/>
      <c r="AS829" s="10"/>
      <c r="AT829" s="17" t="e">
        <f>tbl_MTG_Set[[#This Row],[Play Booster CardMarket Profit]]/tbl_MTG_Set[[#This Row],[Play Booster Cost]]</f>
        <v>#VALUE!</v>
      </c>
      <c r="AU829" s="10" t="e">
        <f>_xlfn.XLOOKUP(tbl_MTG_Set[[#This Row],[Collector Booster Box Product Id]], tbl_Product[Product Id], tbl_Product[Min Cost])</f>
        <v>#N/A</v>
      </c>
      <c r="AV829" s="10" t="e">
        <f>_xlfn.XLOOKUP(tbl_MTG_Set[[#This Row],[Collector Booster Box Product Id]], tbl_Product[Product Id], tbl_Product[Best Source])</f>
        <v>#N/A</v>
      </c>
      <c r="AW829" s="4" t="e">
        <f>_xlfn.XLOOKUP(tbl_MTG_Set[[#This Row],[Collector Booster Box Product Id]], tbl_Product[Product Id], tbl_Product[Pack Size])</f>
        <v>#N/A</v>
      </c>
      <c r="AX829" s="10" t="e">
        <f>(tbl_MTG_Set[[#This Row],[Collector Booster Box Cost]] + v_Item_Shipping_Cost_In) / tbl_MTG_Set[[#This Row],[Collector Booster Box Size]]</f>
        <v>#N/A</v>
      </c>
      <c r="AY829" s="10" t="str" cm="1">
        <f t="array" ref="AY8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29" s="10"/>
      <c r="BA8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29" s="17" t="e">
        <f>tbl_MTG_Set[[#This Row],[Collector Booster CardMarket Profit]]/tbl_MTG_Set[[#This Row],[Collector Booster Cost]]</f>
        <v>#N/A</v>
      </c>
      <c r="BC829" s="10"/>
      <c r="BF8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29" s="11" t="e">
        <f>tbl_MTG_Set[[#This Row],[Play Singles CardMarket Profit MTG Stocks]]/tbl_MTG_Set[[#This Row],[Play Booster Cost]]</f>
        <v>#VALUE!</v>
      </c>
      <c r="BI829" s="11" t="b">
        <f>tbl_MTG_Set[[#This Row],[Play Singles CardMarket Profit MTG Stocks]]&gt;0</f>
        <v>0</v>
      </c>
      <c r="BM829" s="10" t="e">
        <f>tbl_MTG_Set[[#This Row],[Play Booster Sell Price CardMarket]]*tbl_MTG_Set[[#This Row],[Play Booster Expected Market Value BotBox]]/tbl_MTG_Set[[#This Row],[Play Booster Sealed Market Value BotBox]]</f>
        <v>#VALUE!</v>
      </c>
      <c r="BN8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29" s="10" t="e">
        <f>tbl_MTG_Set[[#This Row],[Play Singles CardMarket Profit BotBox]]/tbl_MTG_Set[[#This Row],[Play Booster Cost]]</f>
        <v>#VALUE!</v>
      </c>
      <c r="BP829" s="10" t="b">
        <f>tbl_MTG_Set[[#This Row],[Play Singles CardMarket Profit BotBox]]&gt;0</f>
        <v>0</v>
      </c>
      <c r="BQ829" s="10"/>
      <c r="BR829" s="10"/>
      <c r="BS829" s="10"/>
      <c r="BT8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29" s="19" t="e">
        <f>tbl_MTG_Set[[#This Row],[Collector Singles CardMarket Profit MTG Stocks]]/tbl_MTG_Set[[#This Row],[Collector Booster Cost]]</f>
        <v>#N/A</v>
      </c>
      <c r="BW829" s="10" t="b">
        <f>tbl_MTG_Set[[#This Row],[Collector Singles CardMarket Profit MTG Stocks]]&gt;0</f>
        <v>0</v>
      </c>
      <c r="BX829" s="10"/>
      <c r="BY829" s="10"/>
      <c r="BZ8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29" s="10" t="e">
        <f>tbl_MTG_Set[[#This Row],[Collector Singles CardMarket Profit BotBox]]/tbl_MTG_Set[[#This Row],[Collector Booster Cost]]</f>
        <v>#N/A</v>
      </c>
      <c r="CC829" s="10" t="b">
        <f>tbl_MTG_Set[[#This Row],[Collector Singles CardMarket Profit BotBox]]&gt;0</f>
        <v>0</v>
      </c>
      <c r="CD8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0" spans="1:86" hidden="1">
      <c r="A830">
        <v>862</v>
      </c>
      <c r="B830" t="s">
        <v>1003</v>
      </c>
      <c r="C830">
        <v>20</v>
      </c>
      <c r="D830" s="3">
        <v>38632</v>
      </c>
      <c r="F830" t="s">
        <v>174</v>
      </c>
      <c r="G830">
        <v>1670</v>
      </c>
      <c r="H830">
        <f ca="1">MONTH(NOW())+12*YEAR(NOW())-MONTH(tbl_MTG_Set[[#This Row],[Released On]])-12*YEAR(tbl_MTG_Set[[#This Row],[Released On]])</f>
        <v>245</v>
      </c>
      <c r="I830" t="str">
        <f>_xlfn.XLOOKUP(tbl_MTG_Set[[#This Row],[Type Name]], tbl_MTG_Set_Type[Set Type], tbl_MTG_Set_Type[Index], "(Set Type not found)")</f>
        <v>(Set Type not found)</v>
      </c>
      <c r="J830" t="str">
        <f>_xlfn.XLOOKUP(tbl_MTG_Set[[#This Row],[Type Name]], tbl_MTG_Set_Type[Set Type], tbl_MTG_Set_Type[Buy Window Month Start], "(Set Type not found)")</f>
        <v>(Set Type not found)</v>
      </c>
      <c r="K830" s="3" t="e">
        <f>tbl_MTG_Set[[#This Row],[Released On]]+tbl_MTG_Set[[#This Row],[Buy Window Month Start]]*365.25/12</f>
        <v>#VALUE!</v>
      </c>
      <c r="L830" t="str">
        <f>_xlfn.XLOOKUP(tbl_MTG_Set[[#This Row],[Type Name]], tbl_MTG_Set_Type[Set Type], tbl_MTG_Set_Type[Buy Window Month End], "(Set Type not found)", 0, 1)</f>
        <v>(Set Type not found)</v>
      </c>
      <c r="M830" s="3" t="e">
        <f>tbl_MTG_Set[[#This Row],[Released On]]+tbl_MTG_Set[[#This Row],[Buy Window Month End]]*365.25/12</f>
        <v>#VALUE!</v>
      </c>
      <c r="N830" s="3" t="e">
        <f ca="1">AND(NOW()&gt;=tbl_MTG_Set[[#This Row],[Buy Window Start]], NOW()&lt;=tbl_MTG_Set[[#This Row],[Buy Window End]])</f>
        <v>#VALUE!</v>
      </c>
      <c r="O830" t="str">
        <f>_xlfn.XLOOKUP(tbl_MTG_Set[[#This Row],[Type Name]], tbl_MTG_Set_Type[Set Type], tbl_MTG_Set_Type[Heavy Printing Window Month Start], "(Set Type not found)", 0, 1)</f>
        <v>(Set Type not found)</v>
      </c>
      <c r="P830" s="3" t="e">
        <f>tbl_MTG_Set[[#This Row],[Released On]]+tbl_MTG_Set[[#This Row],[Heavy Printing Window Month Start]]*365.25/12</f>
        <v>#VALUE!</v>
      </c>
      <c r="Q830" t="str">
        <f>_xlfn.XLOOKUP(tbl_MTG_Set[[#This Row],[Type Name]], tbl_MTG_Set_Type[Set Type], tbl_MTG_Set_Type[Heavy Printing Window Month End], "(Set Type not found)", 0, 1)</f>
        <v>(Set Type not found)</v>
      </c>
      <c r="R830" s="3" t="e">
        <f>tbl_MTG_Set[[#This Row],[Released On]]+tbl_MTG_Set[[#This Row],[Heavy Printing Window Month End]]*365.25/12</f>
        <v>#VALUE!</v>
      </c>
      <c r="S830" s="3" t="e">
        <f ca="1">AND(NOW()&gt;=tbl_MTG_Set[[#This Row],[Heavy Printing Window Start]], NOW()&lt;=tbl_MTG_Set[[#This Row],[Heavy Printing Window End]])</f>
        <v>#VALUE!</v>
      </c>
      <c r="T830" t="str">
        <f>_xlfn.XLOOKUP(tbl_MTG_Set[[#This Row],[Type Name]], tbl_MTG_Set_Type[Set Type], tbl_MTG_Set_Type[Sell Window Month Start], "(Set Type not found)", 0, 1)</f>
        <v>(Set Type not found)</v>
      </c>
      <c r="U830" s="3" t="e">
        <f>tbl_MTG_Set[[#This Row],[Released On]]+tbl_MTG_Set[[#This Row],[Sell Window Month Start]]*365.25/12</f>
        <v>#VALUE!</v>
      </c>
      <c r="V830" t="str">
        <f>_xlfn.XLOOKUP(tbl_MTG_Set[[#This Row],[Type Name]], tbl_MTG_Set_Type[Set Type], tbl_MTG_Set_Type[Sell Window Month End], "(Set Type not found)", 0, 1)</f>
        <v>(Set Type not found)</v>
      </c>
      <c r="W830" s="3" t="e">
        <f>tbl_MTG_Set[[#This Row],[Released On]]+tbl_MTG_Set[[#This Row],[Sell Window Month End]]*365.25/12</f>
        <v>#VALUE!</v>
      </c>
      <c r="X830" s="3" t="e">
        <f ca="1">AND(NOW()&gt;=tbl_MTG_Set[[#This Row],[Sell Window Start]], NOW()&lt;=tbl_MTG_Set[[#This Row],[Sell Window End]])</f>
        <v>#VALUE!</v>
      </c>
      <c r="AG830" s="10"/>
      <c r="AH830" s="10"/>
      <c r="AM830" s="10" t="str" cm="1">
        <f t="array" ref="AM8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0" s="10" t="str" cm="1">
        <f t="array" ref="AN8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0" s="4" t="e">
        <f>_xlfn.XLOOKUP(tbl_MTG_Set[[#This Row],[Play Booster Box Product Id]], tbl_Product[Product Id], tbl_Product[Pack Size])</f>
        <v>#N/A</v>
      </c>
      <c r="AP830" s="10" t="e">
        <f>(tbl_MTG_Set[[#This Row],[Play Booster Box Cost]]+v_Item_Shipping_Cost_In)/tbl_MTG_Set[[#This Row],[Play Booster Box Size]]</f>
        <v>#VALUE!</v>
      </c>
      <c r="AQ830" s="10" t="str" cm="1">
        <f t="array" ref="AQ8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0" s="10"/>
      <c r="AS830" s="10"/>
      <c r="AT830" s="17" t="e">
        <f>tbl_MTG_Set[[#This Row],[Play Booster CardMarket Profit]]/tbl_MTG_Set[[#This Row],[Play Booster Cost]]</f>
        <v>#VALUE!</v>
      </c>
      <c r="AU830" s="10" t="e">
        <f>_xlfn.XLOOKUP(tbl_MTG_Set[[#This Row],[Collector Booster Box Product Id]], tbl_Product[Product Id], tbl_Product[Min Cost])</f>
        <v>#N/A</v>
      </c>
      <c r="AV830" s="10" t="e">
        <f>_xlfn.XLOOKUP(tbl_MTG_Set[[#This Row],[Collector Booster Box Product Id]], tbl_Product[Product Id], tbl_Product[Best Source])</f>
        <v>#N/A</v>
      </c>
      <c r="AW830" s="4" t="e">
        <f>_xlfn.XLOOKUP(tbl_MTG_Set[[#This Row],[Collector Booster Box Product Id]], tbl_Product[Product Id], tbl_Product[Pack Size])</f>
        <v>#N/A</v>
      </c>
      <c r="AX830" s="10" t="e">
        <f>(tbl_MTG_Set[[#This Row],[Collector Booster Box Cost]] + v_Item_Shipping_Cost_In) / tbl_MTG_Set[[#This Row],[Collector Booster Box Size]]</f>
        <v>#N/A</v>
      </c>
      <c r="AY830" s="10" t="str" cm="1">
        <f t="array" ref="AY8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0" s="10"/>
      <c r="BA8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0" s="17" t="e">
        <f>tbl_MTG_Set[[#This Row],[Collector Booster CardMarket Profit]]/tbl_MTG_Set[[#This Row],[Collector Booster Cost]]</f>
        <v>#N/A</v>
      </c>
      <c r="BC830" s="10"/>
      <c r="BF8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0" s="11" t="e">
        <f>tbl_MTG_Set[[#This Row],[Play Singles CardMarket Profit MTG Stocks]]/tbl_MTG_Set[[#This Row],[Play Booster Cost]]</f>
        <v>#VALUE!</v>
      </c>
      <c r="BI830" s="11" t="b">
        <f>tbl_MTG_Set[[#This Row],[Play Singles CardMarket Profit MTG Stocks]]&gt;0</f>
        <v>0</v>
      </c>
      <c r="BM830" s="10" t="e">
        <f>tbl_MTG_Set[[#This Row],[Play Booster Sell Price CardMarket]]*tbl_MTG_Set[[#This Row],[Play Booster Expected Market Value BotBox]]/tbl_MTG_Set[[#This Row],[Play Booster Sealed Market Value BotBox]]</f>
        <v>#VALUE!</v>
      </c>
      <c r="BN8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0" s="10" t="e">
        <f>tbl_MTG_Set[[#This Row],[Play Singles CardMarket Profit BotBox]]/tbl_MTG_Set[[#This Row],[Play Booster Cost]]</f>
        <v>#VALUE!</v>
      </c>
      <c r="BP830" s="10" t="b">
        <f>tbl_MTG_Set[[#This Row],[Play Singles CardMarket Profit BotBox]]&gt;0</f>
        <v>0</v>
      </c>
      <c r="BQ830" s="10"/>
      <c r="BR830" s="10"/>
      <c r="BS830" s="10"/>
      <c r="BT8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0" s="19" t="e">
        <f>tbl_MTG_Set[[#This Row],[Collector Singles CardMarket Profit MTG Stocks]]/tbl_MTG_Set[[#This Row],[Collector Booster Cost]]</f>
        <v>#N/A</v>
      </c>
      <c r="BW830" s="10" t="b">
        <f>tbl_MTG_Set[[#This Row],[Collector Singles CardMarket Profit MTG Stocks]]&gt;0</f>
        <v>0</v>
      </c>
      <c r="BX830" s="10"/>
      <c r="BY830" s="10"/>
      <c r="BZ8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0" s="10" t="e">
        <f>tbl_MTG_Set[[#This Row],[Collector Singles CardMarket Profit BotBox]]/tbl_MTG_Set[[#This Row],[Collector Booster Cost]]</f>
        <v>#N/A</v>
      </c>
      <c r="CC830" s="10" t="b">
        <f>tbl_MTG_Set[[#This Row],[Collector Singles CardMarket Profit BotBox]]&gt;0</f>
        <v>0</v>
      </c>
      <c r="CD8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1" spans="1:86" hidden="1">
      <c r="A831">
        <v>863</v>
      </c>
      <c r="B831" t="s">
        <v>1004</v>
      </c>
      <c r="C831">
        <v>306</v>
      </c>
      <c r="D831" s="3">
        <v>38632</v>
      </c>
      <c r="F831" t="s">
        <v>174</v>
      </c>
      <c r="G831">
        <v>1672</v>
      </c>
      <c r="H831">
        <f ca="1">MONTH(NOW())+12*YEAR(NOW())-MONTH(tbl_MTG_Set[[#This Row],[Released On]])-12*YEAR(tbl_MTG_Set[[#This Row],[Released On]])</f>
        <v>245</v>
      </c>
      <c r="I831" t="str">
        <f>_xlfn.XLOOKUP(tbl_MTG_Set[[#This Row],[Type Name]], tbl_MTG_Set_Type[Set Type], tbl_MTG_Set_Type[Index], "(Set Type not found)")</f>
        <v>(Set Type not found)</v>
      </c>
      <c r="J831" t="str">
        <f>_xlfn.XLOOKUP(tbl_MTG_Set[[#This Row],[Type Name]], tbl_MTG_Set_Type[Set Type], tbl_MTG_Set_Type[Buy Window Month Start], "(Set Type not found)")</f>
        <v>(Set Type not found)</v>
      </c>
      <c r="K831" s="3" t="e">
        <f>tbl_MTG_Set[[#This Row],[Released On]]+tbl_MTG_Set[[#This Row],[Buy Window Month Start]]*365.25/12</f>
        <v>#VALUE!</v>
      </c>
      <c r="L831" t="str">
        <f>_xlfn.XLOOKUP(tbl_MTG_Set[[#This Row],[Type Name]], tbl_MTG_Set_Type[Set Type], tbl_MTG_Set_Type[Buy Window Month End], "(Set Type not found)", 0, 1)</f>
        <v>(Set Type not found)</v>
      </c>
      <c r="M831" s="3" t="e">
        <f>tbl_MTG_Set[[#This Row],[Released On]]+tbl_MTG_Set[[#This Row],[Buy Window Month End]]*365.25/12</f>
        <v>#VALUE!</v>
      </c>
      <c r="N831" s="3" t="e">
        <f ca="1">AND(NOW()&gt;=tbl_MTG_Set[[#This Row],[Buy Window Start]], NOW()&lt;=tbl_MTG_Set[[#This Row],[Buy Window End]])</f>
        <v>#VALUE!</v>
      </c>
      <c r="O831" t="str">
        <f>_xlfn.XLOOKUP(tbl_MTG_Set[[#This Row],[Type Name]], tbl_MTG_Set_Type[Set Type], tbl_MTG_Set_Type[Heavy Printing Window Month Start], "(Set Type not found)", 0, 1)</f>
        <v>(Set Type not found)</v>
      </c>
      <c r="P831" s="3" t="e">
        <f>tbl_MTG_Set[[#This Row],[Released On]]+tbl_MTG_Set[[#This Row],[Heavy Printing Window Month Start]]*365.25/12</f>
        <v>#VALUE!</v>
      </c>
      <c r="Q831" t="str">
        <f>_xlfn.XLOOKUP(tbl_MTG_Set[[#This Row],[Type Name]], tbl_MTG_Set_Type[Set Type], tbl_MTG_Set_Type[Heavy Printing Window Month End], "(Set Type not found)", 0, 1)</f>
        <v>(Set Type not found)</v>
      </c>
      <c r="R831" s="3" t="e">
        <f>tbl_MTG_Set[[#This Row],[Released On]]+tbl_MTG_Set[[#This Row],[Heavy Printing Window Month End]]*365.25/12</f>
        <v>#VALUE!</v>
      </c>
      <c r="S831" s="3" t="e">
        <f ca="1">AND(NOW()&gt;=tbl_MTG_Set[[#This Row],[Heavy Printing Window Start]], NOW()&lt;=tbl_MTG_Set[[#This Row],[Heavy Printing Window End]])</f>
        <v>#VALUE!</v>
      </c>
      <c r="T831" t="str">
        <f>_xlfn.XLOOKUP(tbl_MTG_Set[[#This Row],[Type Name]], tbl_MTG_Set_Type[Set Type], tbl_MTG_Set_Type[Sell Window Month Start], "(Set Type not found)", 0, 1)</f>
        <v>(Set Type not found)</v>
      </c>
      <c r="U831" s="3" t="e">
        <f>tbl_MTG_Set[[#This Row],[Released On]]+tbl_MTG_Set[[#This Row],[Sell Window Month Start]]*365.25/12</f>
        <v>#VALUE!</v>
      </c>
      <c r="V831" t="str">
        <f>_xlfn.XLOOKUP(tbl_MTG_Set[[#This Row],[Type Name]], tbl_MTG_Set_Type[Set Type], tbl_MTG_Set_Type[Sell Window Month End], "(Set Type not found)", 0, 1)</f>
        <v>(Set Type not found)</v>
      </c>
      <c r="W831" s="3" t="e">
        <f>tbl_MTG_Set[[#This Row],[Released On]]+tbl_MTG_Set[[#This Row],[Sell Window Month End]]*365.25/12</f>
        <v>#VALUE!</v>
      </c>
      <c r="X831" s="3" t="e">
        <f ca="1">AND(NOW()&gt;=tbl_MTG_Set[[#This Row],[Sell Window Start]], NOW()&lt;=tbl_MTG_Set[[#This Row],[Sell Window End]])</f>
        <v>#VALUE!</v>
      </c>
      <c r="AG831" s="10"/>
      <c r="AH831" s="10"/>
      <c r="AM831" s="10" t="str" cm="1">
        <f t="array" ref="AM8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1" s="10" t="str" cm="1">
        <f t="array" ref="AN8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1" s="4" t="e">
        <f>_xlfn.XLOOKUP(tbl_MTG_Set[[#This Row],[Play Booster Box Product Id]], tbl_Product[Product Id], tbl_Product[Pack Size])</f>
        <v>#N/A</v>
      </c>
      <c r="AP831" s="10" t="e">
        <f>(tbl_MTG_Set[[#This Row],[Play Booster Box Cost]]+v_Item_Shipping_Cost_In)/tbl_MTG_Set[[#This Row],[Play Booster Box Size]]</f>
        <v>#VALUE!</v>
      </c>
      <c r="AQ831" s="10" t="str" cm="1">
        <f t="array" ref="AQ8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1" s="10"/>
      <c r="AS831" s="10"/>
      <c r="AT831" s="17" t="e">
        <f>tbl_MTG_Set[[#This Row],[Play Booster CardMarket Profit]]/tbl_MTG_Set[[#This Row],[Play Booster Cost]]</f>
        <v>#VALUE!</v>
      </c>
      <c r="AU831" s="10" t="e">
        <f>_xlfn.XLOOKUP(tbl_MTG_Set[[#This Row],[Collector Booster Box Product Id]], tbl_Product[Product Id], tbl_Product[Min Cost])</f>
        <v>#N/A</v>
      </c>
      <c r="AV831" s="10" t="e">
        <f>_xlfn.XLOOKUP(tbl_MTG_Set[[#This Row],[Collector Booster Box Product Id]], tbl_Product[Product Id], tbl_Product[Best Source])</f>
        <v>#N/A</v>
      </c>
      <c r="AW831" s="4" t="e">
        <f>_xlfn.XLOOKUP(tbl_MTG_Set[[#This Row],[Collector Booster Box Product Id]], tbl_Product[Product Id], tbl_Product[Pack Size])</f>
        <v>#N/A</v>
      </c>
      <c r="AX831" s="10" t="e">
        <f>(tbl_MTG_Set[[#This Row],[Collector Booster Box Cost]] + v_Item_Shipping_Cost_In) / tbl_MTG_Set[[#This Row],[Collector Booster Box Size]]</f>
        <v>#N/A</v>
      </c>
      <c r="AY831" s="10" t="str" cm="1">
        <f t="array" ref="AY8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1" s="10"/>
      <c r="BA8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1" s="17" t="e">
        <f>tbl_MTG_Set[[#This Row],[Collector Booster CardMarket Profit]]/tbl_MTG_Set[[#This Row],[Collector Booster Cost]]</f>
        <v>#N/A</v>
      </c>
      <c r="BC831" s="10"/>
      <c r="BF8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1" s="11" t="e">
        <f>tbl_MTG_Set[[#This Row],[Play Singles CardMarket Profit MTG Stocks]]/tbl_MTG_Set[[#This Row],[Play Booster Cost]]</f>
        <v>#VALUE!</v>
      </c>
      <c r="BI831" s="11" t="b">
        <f>tbl_MTG_Set[[#This Row],[Play Singles CardMarket Profit MTG Stocks]]&gt;0</f>
        <v>0</v>
      </c>
      <c r="BM831" s="10" t="e">
        <f>tbl_MTG_Set[[#This Row],[Play Booster Sell Price CardMarket]]*tbl_MTG_Set[[#This Row],[Play Booster Expected Market Value BotBox]]/tbl_MTG_Set[[#This Row],[Play Booster Sealed Market Value BotBox]]</f>
        <v>#VALUE!</v>
      </c>
      <c r="BN8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1" s="10" t="e">
        <f>tbl_MTG_Set[[#This Row],[Play Singles CardMarket Profit BotBox]]/tbl_MTG_Set[[#This Row],[Play Booster Cost]]</f>
        <v>#VALUE!</v>
      </c>
      <c r="BP831" s="10" t="b">
        <f>tbl_MTG_Set[[#This Row],[Play Singles CardMarket Profit BotBox]]&gt;0</f>
        <v>0</v>
      </c>
      <c r="BQ831" s="10"/>
      <c r="BR831" s="10"/>
      <c r="BS831" s="10"/>
      <c r="BT8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1" s="19" t="e">
        <f>tbl_MTG_Set[[#This Row],[Collector Singles CardMarket Profit MTG Stocks]]/tbl_MTG_Set[[#This Row],[Collector Booster Cost]]</f>
        <v>#N/A</v>
      </c>
      <c r="BW831" s="10" t="b">
        <f>tbl_MTG_Set[[#This Row],[Collector Singles CardMarket Profit MTG Stocks]]&gt;0</f>
        <v>0</v>
      </c>
      <c r="BX831" s="10"/>
      <c r="BY831" s="10"/>
      <c r="BZ8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1" s="10" t="e">
        <f>tbl_MTG_Set[[#This Row],[Collector Singles CardMarket Profit BotBox]]/tbl_MTG_Set[[#This Row],[Collector Booster Cost]]</f>
        <v>#N/A</v>
      </c>
      <c r="CC831" s="10" t="b">
        <f>tbl_MTG_Set[[#This Row],[Collector Singles CardMarket Profit BotBox]]&gt;0</f>
        <v>0</v>
      </c>
      <c r="CD8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2" spans="1:86" hidden="1">
      <c r="A832">
        <v>864</v>
      </c>
      <c r="B832" t="s">
        <v>1005</v>
      </c>
      <c r="C832">
        <v>2</v>
      </c>
      <c r="D832" s="3">
        <v>38632</v>
      </c>
      <c r="F832" t="s">
        <v>174</v>
      </c>
      <c r="G832">
        <v>1674</v>
      </c>
      <c r="H832">
        <f ca="1">MONTH(NOW())+12*YEAR(NOW())-MONTH(tbl_MTG_Set[[#This Row],[Released On]])-12*YEAR(tbl_MTG_Set[[#This Row],[Released On]])</f>
        <v>245</v>
      </c>
      <c r="I832" t="str">
        <f>_xlfn.XLOOKUP(tbl_MTG_Set[[#This Row],[Type Name]], tbl_MTG_Set_Type[Set Type], tbl_MTG_Set_Type[Index], "(Set Type not found)")</f>
        <v>(Set Type not found)</v>
      </c>
      <c r="J832" t="str">
        <f>_xlfn.XLOOKUP(tbl_MTG_Set[[#This Row],[Type Name]], tbl_MTG_Set_Type[Set Type], tbl_MTG_Set_Type[Buy Window Month Start], "(Set Type not found)")</f>
        <v>(Set Type not found)</v>
      </c>
      <c r="K832" s="3" t="e">
        <f>tbl_MTG_Set[[#This Row],[Released On]]+tbl_MTG_Set[[#This Row],[Buy Window Month Start]]*365.25/12</f>
        <v>#VALUE!</v>
      </c>
      <c r="L832" t="str">
        <f>_xlfn.XLOOKUP(tbl_MTG_Set[[#This Row],[Type Name]], tbl_MTG_Set_Type[Set Type], tbl_MTG_Set_Type[Buy Window Month End], "(Set Type not found)", 0, 1)</f>
        <v>(Set Type not found)</v>
      </c>
      <c r="M832" s="3" t="e">
        <f>tbl_MTG_Set[[#This Row],[Released On]]+tbl_MTG_Set[[#This Row],[Buy Window Month End]]*365.25/12</f>
        <v>#VALUE!</v>
      </c>
      <c r="N832" s="3" t="e">
        <f ca="1">AND(NOW()&gt;=tbl_MTG_Set[[#This Row],[Buy Window Start]], NOW()&lt;=tbl_MTG_Set[[#This Row],[Buy Window End]])</f>
        <v>#VALUE!</v>
      </c>
      <c r="O832" t="str">
        <f>_xlfn.XLOOKUP(tbl_MTG_Set[[#This Row],[Type Name]], tbl_MTG_Set_Type[Set Type], tbl_MTG_Set_Type[Heavy Printing Window Month Start], "(Set Type not found)", 0, 1)</f>
        <v>(Set Type not found)</v>
      </c>
      <c r="P832" s="3" t="e">
        <f>tbl_MTG_Set[[#This Row],[Released On]]+tbl_MTG_Set[[#This Row],[Heavy Printing Window Month Start]]*365.25/12</f>
        <v>#VALUE!</v>
      </c>
      <c r="Q832" t="str">
        <f>_xlfn.XLOOKUP(tbl_MTG_Set[[#This Row],[Type Name]], tbl_MTG_Set_Type[Set Type], tbl_MTG_Set_Type[Heavy Printing Window Month End], "(Set Type not found)", 0, 1)</f>
        <v>(Set Type not found)</v>
      </c>
      <c r="R832" s="3" t="e">
        <f>tbl_MTG_Set[[#This Row],[Released On]]+tbl_MTG_Set[[#This Row],[Heavy Printing Window Month End]]*365.25/12</f>
        <v>#VALUE!</v>
      </c>
      <c r="S832" s="3" t="e">
        <f ca="1">AND(NOW()&gt;=tbl_MTG_Set[[#This Row],[Heavy Printing Window Start]], NOW()&lt;=tbl_MTG_Set[[#This Row],[Heavy Printing Window End]])</f>
        <v>#VALUE!</v>
      </c>
      <c r="T832" t="str">
        <f>_xlfn.XLOOKUP(tbl_MTG_Set[[#This Row],[Type Name]], tbl_MTG_Set_Type[Set Type], tbl_MTG_Set_Type[Sell Window Month Start], "(Set Type not found)", 0, 1)</f>
        <v>(Set Type not found)</v>
      </c>
      <c r="U832" s="3" t="e">
        <f>tbl_MTG_Set[[#This Row],[Released On]]+tbl_MTG_Set[[#This Row],[Sell Window Month Start]]*365.25/12</f>
        <v>#VALUE!</v>
      </c>
      <c r="V832" t="str">
        <f>_xlfn.XLOOKUP(tbl_MTG_Set[[#This Row],[Type Name]], tbl_MTG_Set_Type[Set Type], tbl_MTG_Set_Type[Sell Window Month End], "(Set Type not found)", 0, 1)</f>
        <v>(Set Type not found)</v>
      </c>
      <c r="W832" s="3" t="e">
        <f>tbl_MTG_Set[[#This Row],[Released On]]+tbl_MTG_Set[[#This Row],[Sell Window Month End]]*365.25/12</f>
        <v>#VALUE!</v>
      </c>
      <c r="X832" s="3" t="e">
        <f ca="1">AND(NOW()&gt;=tbl_MTG_Set[[#This Row],[Sell Window Start]], NOW()&lt;=tbl_MTG_Set[[#This Row],[Sell Window End]])</f>
        <v>#VALUE!</v>
      </c>
      <c r="AG832" s="10"/>
      <c r="AH832" s="10"/>
      <c r="AM832" s="10" t="str" cm="1">
        <f t="array" ref="AM8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2" s="10" t="str" cm="1">
        <f t="array" ref="AN8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2" s="4" t="e">
        <f>_xlfn.XLOOKUP(tbl_MTG_Set[[#This Row],[Play Booster Box Product Id]], tbl_Product[Product Id], tbl_Product[Pack Size])</f>
        <v>#N/A</v>
      </c>
      <c r="AP832" s="10" t="e">
        <f>(tbl_MTG_Set[[#This Row],[Play Booster Box Cost]]+v_Item_Shipping_Cost_In)/tbl_MTG_Set[[#This Row],[Play Booster Box Size]]</f>
        <v>#VALUE!</v>
      </c>
      <c r="AQ832" s="10" t="str" cm="1">
        <f t="array" ref="AQ8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2" s="10"/>
      <c r="AS832" s="10"/>
      <c r="AT832" s="17" t="e">
        <f>tbl_MTG_Set[[#This Row],[Play Booster CardMarket Profit]]/tbl_MTG_Set[[#This Row],[Play Booster Cost]]</f>
        <v>#VALUE!</v>
      </c>
      <c r="AU832" s="10" t="e">
        <f>_xlfn.XLOOKUP(tbl_MTG_Set[[#This Row],[Collector Booster Box Product Id]], tbl_Product[Product Id], tbl_Product[Min Cost])</f>
        <v>#N/A</v>
      </c>
      <c r="AV832" s="10" t="e">
        <f>_xlfn.XLOOKUP(tbl_MTG_Set[[#This Row],[Collector Booster Box Product Id]], tbl_Product[Product Id], tbl_Product[Best Source])</f>
        <v>#N/A</v>
      </c>
      <c r="AW832" s="4" t="e">
        <f>_xlfn.XLOOKUP(tbl_MTG_Set[[#This Row],[Collector Booster Box Product Id]], tbl_Product[Product Id], tbl_Product[Pack Size])</f>
        <v>#N/A</v>
      </c>
      <c r="AX832" s="10" t="e">
        <f>(tbl_MTG_Set[[#This Row],[Collector Booster Box Cost]] + v_Item_Shipping_Cost_In) / tbl_MTG_Set[[#This Row],[Collector Booster Box Size]]</f>
        <v>#N/A</v>
      </c>
      <c r="AY832" s="10" t="str" cm="1">
        <f t="array" ref="AY8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2" s="10"/>
      <c r="BA8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2" s="17" t="e">
        <f>tbl_MTG_Set[[#This Row],[Collector Booster CardMarket Profit]]/tbl_MTG_Set[[#This Row],[Collector Booster Cost]]</f>
        <v>#N/A</v>
      </c>
      <c r="BC832" s="10"/>
      <c r="BF8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2" s="11" t="e">
        <f>tbl_MTG_Set[[#This Row],[Play Singles CardMarket Profit MTG Stocks]]/tbl_MTG_Set[[#This Row],[Play Booster Cost]]</f>
        <v>#VALUE!</v>
      </c>
      <c r="BI832" s="11" t="b">
        <f>tbl_MTG_Set[[#This Row],[Play Singles CardMarket Profit MTG Stocks]]&gt;0</f>
        <v>0</v>
      </c>
      <c r="BM832" s="10" t="e">
        <f>tbl_MTG_Set[[#This Row],[Play Booster Sell Price CardMarket]]*tbl_MTG_Set[[#This Row],[Play Booster Expected Market Value BotBox]]/tbl_MTG_Set[[#This Row],[Play Booster Sealed Market Value BotBox]]</f>
        <v>#VALUE!</v>
      </c>
      <c r="BN8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2" s="10" t="e">
        <f>tbl_MTG_Set[[#This Row],[Play Singles CardMarket Profit BotBox]]/tbl_MTG_Set[[#This Row],[Play Booster Cost]]</f>
        <v>#VALUE!</v>
      </c>
      <c r="BP832" s="10" t="b">
        <f>tbl_MTG_Set[[#This Row],[Play Singles CardMarket Profit BotBox]]&gt;0</f>
        <v>0</v>
      </c>
      <c r="BQ832" s="10"/>
      <c r="BR832" s="10"/>
      <c r="BS832" s="10"/>
      <c r="BT8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2" s="19" t="e">
        <f>tbl_MTG_Set[[#This Row],[Collector Singles CardMarket Profit MTG Stocks]]/tbl_MTG_Set[[#This Row],[Collector Booster Cost]]</f>
        <v>#N/A</v>
      </c>
      <c r="BW832" s="10" t="b">
        <f>tbl_MTG_Set[[#This Row],[Collector Singles CardMarket Profit MTG Stocks]]&gt;0</f>
        <v>0</v>
      </c>
      <c r="BX832" s="10"/>
      <c r="BY832" s="10"/>
      <c r="BZ8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2" s="10" t="e">
        <f>tbl_MTG_Set[[#This Row],[Collector Singles CardMarket Profit BotBox]]/tbl_MTG_Set[[#This Row],[Collector Booster Cost]]</f>
        <v>#N/A</v>
      </c>
      <c r="CC832" s="10" t="b">
        <f>tbl_MTG_Set[[#This Row],[Collector Singles CardMarket Profit BotBox]]&gt;0</f>
        <v>0</v>
      </c>
      <c r="CD8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3" spans="1:86" hidden="1">
      <c r="A833">
        <v>865</v>
      </c>
      <c r="B833" t="s">
        <v>1006</v>
      </c>
      <c r="C833">
        <v>720</v>
      </c>
      <c r="D833" s="3">
        <v>38586</v>
      </c>
      <c r="F833" t="s">
        <v>174</v>
      </c>
      <c r="G833">
        <v>1676</v>
      </c>
      <c r="H833">
        <f ca="1">MONTH(NOW())+12*YEAR(NOW())-MONTH(tbl_MTG_Set[[#This Row],[Released On]])-12*YEAR(tbl_MTG_Set[[#This Row],[Released On]])</f>
        <v>247</v>
      </c>
      <c r="I833" t="str">
        <f>_xlfn.XLOOKUP(tbl_MTG_Set[[#This Row],[Type Name]], tbl_MTG_Set_Type[Set Type], tbl_MTG_Set_Type[Index], "(Set Type not found)")</f>
        <v>(Set Type not found)</v>
      </c>
      <c r="J833" t="str">
        <f>_xlfn.XLOOKUP(tbl_MTG_Set[[#This Row],[Type Name]], tbl_MTG_Set_Type[Set Type], tbl_MTG_Set_Type[Buy Window Month Start], "(Set Type not found)")</f>
        <v>(Set Type not found)</v>
      </c>
      <c r="K833" s="3" t="e">
        <f>tbl_MTG_Set[[#This Row],[Released On]]+tbl_MTG_Set[[#This Row],[Buy Window Month Start]]*365.25/12</f>
        <v>#VALUE!</v>
      </c>
      <c r="L833" t="str">
        <f>_xlfn.XLOOKUP(tbl_MTG_Set[[#This Row],[Type Name]], tbl_MTG_Set_Type[Set Type], tbl_MTG_Set_Type[Buy Window Month End], "(Set Type not found)", 0, 1)</f>
        <v>(Set Type not found)</v>
      </c>
      <c r="M833" s="3" t="e">
        <f>tbl_MTG_Set[[#This Row],[Released On]]+tbl_MTG_Set[[#This Row],[Buy Window Month End]]*365.25/12</f>
        <v>#VALUE!</v>
      </c>
      <c r="N833" s="3" t="e">
        <f ca="1">AND(NOW()&gt;=tbl_MTG_Set[[#This Row],[Buy Window Start]], NOW()&lt;=tbl_MTG_Set[[#This Row],[Buy Window End]])</f>
        <v>#VALUE!</v>
      </c>
      <c r="O833" t="str">
        <f>_xlfn.XLOOKUP(tbl_MTG_Set[[#This Row],[Type Name]], tbl_MTG_Set_Type[Set Type], tbl_MTG_Set_Type[Heavy Printing Window Month Start], "(Set Type not found)", 0, 1)</f>
        <v>(Set Type not found)</v>
      </c>
      <c r="P833" s="3" t="e">
        <f>tbl_MTG_Set[[#This Row],[Released On]]+tbl_MTG_Set[[#This Row],[Heavy Printing Window Month Start]]*365.25/12</f>
        <v>#VALUE!</v>
      </c>
      <c r="Q833" t="str">
        <f>_xlfn.XLOOKUP(tbl_MTG_Set[[#This Row],[Type Name]], tbl_MTG_Set_Type[Set Type], tbl_MTG_Set_Type[Heavy Printing Window Month End], "(Set Type not found)", 0, 1)</f>
        <v>(Set Type not found)</v>
      </c>
      <c r="R833" s="3" t="e">
        <f>tbl_MTG_Set[[#This Row],[Released On]]+tbl_MTG_Set[[#This Row],[Heavy Printing Window Month End]]*365.25/12</f>
        <v>#VALUE!</v>
      </c>
      <c r="S833" s="3" t="e">
        <f ca="1">AND(NOW()&gt;=tbl_MTG_Set[[#This Row],[Heavy Printing Window Start]], NOW()&lt;=tbl_MTG_Set[[#This Row],[Heavy Printing Window End]])</f>
        <v>#VALUE!</v>
      </c>
      <c r="T833" t="str">
        <f>_xlfn.XLOOKUP(tbl_MTG_Set[[#This Row],[Type Name]], tbl_MTG_Set_Type[Set Type], tbl_MTG_Set_Type[Sell Window Month Start], "(Set Type not found)", 0, 1)</f>
        <v>(Set Type not found)</v>
      </c>
      <c r="U833" s="3" t="e">
        <f>tbl_MTG_Set[[#This Row],[Released On]]+tbl_MTG_Set[[#This Row],[Sell Window Month Start]]*365.25/12</f>
        <v>#VALUE!</v>
      </c>
      <c r="V833" t="str">
        <f>_xlfn.XLOOKUP(tbl_MTG_Set[[#This Row],[Type Name]], tbl_MTG_Set_Type[Set Type], tbl_MTG_Set_Type[Sell Window Month End], "(Set Type not found)", 0, 1)</f>
        <v>(Set Type not found)</v>
      </c>
      <c r="W833" s="3" t="e">
        <f>tbl_MTG_Set[[#This Row],[Released On]]+tbl_MTG_Set[[#This Row],[Sell Window Month End]]*365.25/12</f>
        <v>#VALUE!</v>
      </c>
      <c r="X833" s="3" t="e">
        <f ca="1">AND(NOW()&gt;=tbl_MTG_Set[[#This Row],[Sell Window Start]], NOW()&lt;=tbl_MTG_Set[[#This Row],[Sell Window End]])</f>
        <v>#VALUE!</v>
      </c>
      <c r="AG833" s="10"/>
      <c r="AH833" s="10"/>
      <c r="AM833" s="10" t="str" cm="1">
        <f t="array" ref="AM8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3" s="10" t="str" cm="1">
        <f t="array" ref="AN8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3" s="4" t="e">
        <f>_xlfn.XLOOKUP(tbl_MTG_Set[[#This Row],[Play Booster Box Product Id]], tbl_Product[Product Id], tbl_Product[Pack Size])</f>
        <v>#N/A</v>
      </c>
      <c r="AP833" s="10" t="e">
        <f>(tbl_MTG_Set[[#This Row],[Play Booster Box Cost]]+v_Item_Shipping_Cost_In)/tbl_MTG_Set[[#This Row],[Play Booster Box Size]]</f>
        <v>#VALUE!</v>
      </c>
      <c r="AQ833" s="10" t="str" cm="1">
        <f t="array" ref="AQ8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3" s="10"/>
      <c r="AS833" s="10"/>
      <c r="AT833" s="17" t="e">
        <f>tbl_MTG_Set[[#This Row],[Play Booster CardMarket Profit]]/tbl_MTG_Set[[#This Row],[Play Booster Cost]]</f>
        <v>#VALUE!</v>
      </c>
      <c r="AU833" s="10" t="e">
        <f>_xlfn.XLOOKUP(tbl_MTG_Set[[#This Row],[Collector Booster Box Product Id]], tbl_Product[Product Id], tbl_Product[Min Cost])</f>
        <v>#N/A</v>
      </c>
      <c r="AV833" s="10" t="e">
        <f>_xlfn.XLOOKUP(tbl_MTG_Set[[#This Row],[Collector Booster Box Product Id]], tbl_Product[Product Id], tbl_Product[Best Source])</f>
        <v>#N/A</v>
      </c>
      <c r="AW833" s="4" t="e">
        <f>_xlfn.XLOOKUP(tbl_MTG_Set[[#This Row],[Collector Booster Box Product Id]], tbl_Product[Product Id], tbl_Product[Pack Size])</f>
        <v>#N/A</v>
      </c>
      <c r="AX833" s="10" t="e">
        <f>(tbl_MTG_Set[[#This Row],[Collector Booster Box Cost]] + v_Item_Shipping_Cost_In) / tbl_MTG_Set[[#This Row],[Collector Booster Box Size]]</f>
        <v>#N/A</v>
      </c>
      <c r="AY833" s="10" t="str" cm="1">
        <f t="array" ref="AY8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3" s="10"/>
      <c r="BA8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3" s="17" t="e">
        <f>tbl_MTG_Set[[#This Row],[Collector Booster CardMarket Profit]]/tbl_MTG_Set[[#This Row],[Collector Booster Cost]]</f>
        <v>#N/A</v>
      </c>
      <c r="BC833" s="10"/>
      <c r="BF8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3" s="11" t="e">
        <f>tbl_MTG_Set[[#This Row],[Play Singles CardMarket Profit MTG Stocks]]/tbl_MTG_Set[[#This Row],[Play Booster Cost]]</f>
        <v>#VALUE!</v>
      </c>
      <c r="BI833" s="11" t="b">
        <f>tbl_MTG_Set[[#This Row],[Play Singles CardMarket Profit MTG Stocks]]&gt;0</f>
        <v>0</v>
      </c>
      <c r="BM833" s="10" t="e">
        <f>tbl_MTG_Set[[#This Row],[Play Booster Sell Price CardMarket]]*tbl_MTG_Set[[#This Row],[Play Booster Expected Market Value BotBox]]/tbl_MTG_Set[[#This Row],[Play Booster Sealed Market Value BotBox]]</f>
        <v>#VALUE!</v>
      </c>
      <c r="BN8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3" s="10" t="e">
        <f>tbl_MTG_Set[[#This Row],[Play Singles CardMarket Profit BotBox]]/tbl_MTG_Set[[#This Row],[Play Booster Cost]]</f>
        <v>#VALUE!</v>
      </c>
      <c r="BP833" s="10" t="b">
        <f>tbl_MTG_Set[[#This Row],[Play Singles CardMarket Profit BotBox]]&gt;0</f>
        <v>0</v>
      </c>
      <c r="BQ833" s="10"/>
      <c r="BR833" s="10"/>
      <c r="BS833" s="10"/>
      <c r="BT8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3" s="19" t="e">
        <f>tbl_MTG_Set[[#This Row],[Collector Singles CardMarket Profit MTG Stocks]]/tbl_MTG_Set[[#This Row],[Collector Booster Cost]]</f>
        <v>#N/A</v>
      </c>
      <c r="BW833" s="10" t="b">
        <f>tbl_MTG_Set[[#This Row],[Collector Singles CardMarket Profit MTG Stocks]]&gt;0</f>
        <v>0</v>
      </c>
      <c r="BX833" s="10"/>
      <c r="BY833" s="10"/>
      <c r="BZ8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3" s="10" t="e">
        <f>tbl_MTG_Set[[#This Row],[Collector Singles CardMarket Profit BotBox]]/tbl_MTG_Set[[#This Row],[Collector Booster Cost]]</f>
        <v>#N/A</v>
      </c>
      <c r="CC833" s="10" t="b">
        <f>tbl_MTG_Set[[#This Row],[Collector Singles CardMarket Profit BotBox]]&gt;0</f>
        <v>0</v>
      </c>
      <c r="CD8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4" spans="1:86" hidden="1">
      <c r="A834">
        <v>866</v>
      </c>
      <c r="B834" t="s">
        <v>1007</v>
      </c>
      <c r="C834">
        <v>710</v>
      </c>
      <c r="D834" s="3">
        <v>38562</v>
      </c>
      <c r="F834" t="s">
        <v>174</v>
      </c>
      <c r="G834">
        <v>1678</v>
      </c>
      <c r="H834">
        <f ca="1">MONTH(NOW())+12*YEAR(NOW())-MONTH(tbl_MTG_Set[[#This Row],[Released On]])-12*YEAR(tbl_MTG_Set[[#This Row],[Released On]])</f>
        <v>248</v>
      </c>
      <c r="I834" t="str">
        <f>_xlfn.XLOOKUP(tbl_MTG_Set[[#This Row],[Type Name]], tbl_MTG_Set_Type[Set Type], tbl_MTG_Set_Type[Index], "(Set Type not found)")</f>
        <v>(Set Type not found)</v>
      </c>
      <c r="J834" t="str">
        <f>_xlfn.XLOOKUP(tbl_MTG_Set[[#This Row],[Type Name]], tbl_MTG_Set_Type[Set Type], tbl_MTG_Set_Type[Buy Window Month Start], "(Set Type not found)")</f>
        <v>(Set Type not found)</v>
      </c>
      <c r="K834" s="3" t="e">
        <f>tbl_MTG_Set[[#This Row],[Released On]]+tbl_MTG_Set[[#This Row],[Buy Window Month Start]]*365.25/12</f>
        <v>#VALUE!</v>
      </c>
      <c r="L834" t="str">
        <f>_xlfn.XLOOKUP(tbl_MTG_Set[[#This Row],[Type Name]], tbl_MTG_Set_Type[Set Type], tbl_MTG_Set_Type[Buy Window Month End], "(Set Type not found)", 0, 1)</f>
        <v>(Set Type not found)</v>
      </c>
      <c r="M834" s="3" t="e">
        <f>tbl_MTG_Set[[#This Row],[Released On]]+tbl_MTG_Set[[#This Row],[Buy Window Month End]]*365.25/12</f>
        <v>#VALUE!</v>
      </c>
      <c r="N834" s="3" t="e">
        <f ca="1">AND(NOW()&gt;=tbl_MTG_Set[[#This Row],[Buy Window Start]], NOW()&lt;=tbl_MTG_Set[[#This Row],[Buy Window End]])</f>
        <v>#VALUE!</v>
      </c>
      <c r="O834" t="str">
        <f>_xlfn.XLOOKUP(tbl_MTG_Set[[#This Row],[Type Name]], tbl_MTG_Set_Type[Set Type], tbl_MTG_Set_Type[Heavy Printing Window Month Start], "(Set Type not found)", 0, 1)</f>
        <v>(Set Type not found)</v>
      </c>
      <c r="P834" s="3" t="e">
        <f>tbl_MTG_Set[[#This Row],[Released On]]+tbl_MTG_Set[[#This Row],[Heavy Printing Window Month Start]]*365.25/12</f>
        <v>#VALUE!</v>
      </c>
      <c r="Q834" t="str">
        <f>_xlfn.XLOOKUP(tbl_MTG_Set[[#This Row],[Type Name]], tbl_MTG_Set_Type[Set Type], tbl_MTG_Set_Type[Heavy Printing Window Month End], "(Set Type not found)", 0, 1)</f>
        <v>(Set Type not found)</v>
      </c>
      <c r="R834" s="3" t="e">
        <f>tbl_MTG_Set[[#This Row],[Released On]]+tbl_MTG_Set[[#This Row],[Heavy Printing Window Month End]]*365.25/12</f>
        <v>#VALUE!</v>
      </c>
      <c r="S834" s="3" t="e">
        <f ca="1">AND(NOW()&gt;=tbl_MTG_Set[[#This Row],[Heavy Printing Window Start]], NOW()&lt;=tbl_MTG_Set[[#This Row],[Heavy Printing Window End]])</f>
        <v>#VALUE!</v>
      </c>
      <c r="T834" t="str">
        <f>_xlfn.XLOOKUP(tbl_MTG_Set[[#This Row],[Type Name]], tbl_MTG_Set_Type[Set Type], tbl_MTG_Set_Type[Sell Window Month Start], "(Set Type not found)", 0, 1)</f>
        <v>(Set Type not found)</v>
      </c>
      <c r="U834" s="3" t="e">
        <f>tbl_MTG_Set[[#This Row],[Released On]]+tbl_MTG_Set[[#This Row],[Sell Window Month Start]]*365.25/12</f>
        <v>#VALUE!</v>
      </c>
      <c r="V834" t="str">
        <f>_xlfn.XLOOKUP(tbl_MTG_Set[[#This Row],[Type Name]], tbl_MTG_Set_Type[Set Type], tbl_MTG_Set_Type[Sell Window Month End], "(Set Type not found)", 0, 1)</f>
        <v>(Set Type not found)</v>
      </c>
      <c r="W834" s="3" t="e">
        <f>tbl_MTG_Set[[#This Row],[Released On]]+tbl_MTG_Set[[#This Row],[Sell Window Month End]]*365.25/12</f>
        <v>#VALUE!</v>
      </c>
      <c r="X834" s="3" t="e">
        <f ca="1">AND(NOW()&gt;=tbl_MTG_Set[[#This Row],[Sell Window Start]], NOW()&lt;=tbl_MTG_Set[[#This Row],[Sell Window End]])</f>
        <v>#VALUE!</v>
      </c>
      <c r="AG834" s="10"/>
      <c r="AH834" s="10"/>
      <c r="AM834" s="10" t="str" cm="1">
        <f t="array" ref="AM8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4" s="10" t="str" cm="1">
        <f t="array" ref="AN8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4" s="4" t="e">
        <f>_xlfn.XLOOKUP(tbl_MTG_Set[[#This Row],[Play Booster Box Product Id]], tbl_Product[Product Id], tbl_Product[Pack Size])</f>
        <v>#N/A</v>
      </c>
      <c r="AP834" s="10" t="e">
        <f>(tbl_MTG_Set[[#This Row],[Play Booster Box Cost]]+v_Item_Shipping_Cost_In)/tbl_MTG_Set[[#This Row],[Play Booster Box Size]]</f>
        <v>#VALUE!</v>
      </c>
      <c r="AQ834" s="10" t="str" cm="1">
        <f t="array" ref="AQ8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4" s="10"/>
      <c r="AS834" s="10"/>
      <c r="AT834" s="17" t="e">
        <f>tbl_MTG_Set[[#This Row],[Play Booster CardMarket Profit]]/tbl_MTG_Set[[#This Row],[Play Booster Cost]]</f>
        <v>#VALUE!</v>
      </c>
      <c r="AU834" s="10" t="e">
        <f>_xlfn.XLOOKUP(tbl_MTG_Set[[#This Row],[Collector Booster Box Product Id]], tbl_Product[Product Id], tbl_Product[Min Cost])</f>
        <v>#N/A</v>
      </c>
      <c r="AV834" s="10" t="e">
        <f>_xlfn.XLOOKUP(tbl_MTG_Set[[#This Row],[Collector Booster Box Product Id]], tbl_Product[Product Id], tbl_Product[Best Source])</f>
        <v>#N/A</v>
      </c>
      <c r="AW834" s="4" t="e">
        <f>_xlfn.XLOOKUP(tbl_MTG_Set[[#This Row],[Collector Booster Box Product Id]], tbl_Product[Product Id], tbl_Product[Pack Size])</f>
        <v>#N/A</v>
      </c>
      <c r="AX834" s="10" t="e">
        <f>(tbl_MTG_Set[[#This Row],[Collector Booster Box Cost]] + v_Item_Shipping_Cost_In) / tbl_MTG_Set[[#This Row],[Collector Booster Box Size]]</f>
        <v>#N/A</v>
      </c>
      <c r="AY834" s="10" t="str" cm="1">
        <f t="array" ref="AY8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4" s="10"/>
      <c r="BA8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4" s="17" t="e">
        <f>tbl_MTG_Set[[#This Row],[Collector Booster CardMarket Profit]]/tbl_MTG_Set[[#This Row],[Collector Booster Cost]]</f>
        <v>#N/A</v>
      </c>
      <c r="BC834" s="10"/>
      <c r="BF8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4" s="11" t="e">
        <f>tbl_MTG_Set[[#This Row],[Play Singles CardMarket Profit MTG Stocks]]/tbl_MTG_Set[[#This Row],[Play Booster Cost]]</f>
        <v>#VALUE!</v>
      </c>
      <c r="BI834" s="11" t="b">
        <f>tbl_MTG_Set[[#This Row],[Play Singles CardMarket Profit MTG Stocks]]&gt;0</f>
        <v>0</v>
      </c>
      <c r="BM834" s="10" t="e">
        <f>tbl_MTG_Set[[#This Row],[Play Booster Sell Price CardMarket]]*tbl_MTG_Set[[#This Row],[Play Booster Expected Market Value BotBox]]/tbl_MTG_Set[[#This Row],[Play Booster Sealed Market Value BotBox]]</f>
        <v>#VALUE!</v>
      </c>
      <c r="BN8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4" s="10" t="e">
        <f>tbl_MTG_Set[[#This Row],[Play Singles CardMarket Profit BotBox]]/tbl_MTG_Set[[#This Row],[Play Booster Cost]]</f>
        <v>#VALUE!</v>
      </c>
      <c r="BP834" s="10" t="b">
        <f>tbl_MTG_Set[[#This Row],[Play Singles CardMarket Profit BotBox]]&gt;0</f>
        <v>0</v>
      </c>
      <c r="BQ834" s="10"/>
      <c r="BR834" s="10"/>
      <c r="BS834" s="10"/>
      <c r="BT8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4" s="19" t="e">
        <f>tbl_MTG_Set[[#This Row],[Collector Singles CardMarket Profit MTG Stocks]]/tbl_MTG_Set[[#This Row],[Collector Booster Cost]]</f>
        <v>#N/A</v>
      </c>
      <c r="BW834" s="10" t="b">
        <f>tbl_MTG_Set[[#This Row],[Collector Singles CardMarket Profit MTG Stocks]]&gt;0</f>
        <v>0</v>
      </c>
      <c r="BX834" s="10"/>
      <c r="BY834" s="10"/>
      <c r="BZ8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4" s="10" t="e">
        <f>tbl_MTG_Set[[#This Row],[Collector Singles CardMarket Profit BotBox]]/tbl_MTG_Set[[#This Row],[Collector Booster Cost]]</f>
        <v>#N/A</v>
      </c>
      <c r="CC834" s="10" t="b">
        <f>tbl_MTG_Set[[#This Row],[Collector Singles CardMarket Profit BotBox]]&gt;0</f>
        <v>0</v>
      </c>
      <c r="CD8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5" spans="1:86" hidden="1">
      <c r="A835">
        <v>867</v>
      </c>
      <c r="B835" t="s">
        <v>1008</v>
      </c>
      <c r="C835">
        <v>2</v>
      </c>
      <c r="D835" s="3">
        <v>38562</v>
      </c>
      <c r="F835" t="s">
        <v>174</v>
      </c>
      <c r="G835">
        <v>1680</v>
      </c>
      <c r="H835">
        <f ca="1">MONTH(NOW())+12*YEAR(NOW())-MONTH(tbl_MTG_Set[[#This Row],[Released On]])-12*YEAR(tbl_MTG_Set[[#This Row],[Released On]])</f>
        <v>248</v>
      </c>
      <c r="I835" t="str">
        <f>_xlfn.XLOOKUP(tbl_MTG_Set[[#This Row],[Type Name]], tbl_MTG_Set_Type[Set Type], tbl_MTG_Set_Type[Index], "(Set Type not found)")</f>
        <v>(Set Type not found)</v>
      </c>
      <c r="J835" t="str">
        <f>_xlfn.XLOOKUP(tbl_MTG_Set[[#This Row],[Type Name]], tbl_MTG_Set_Type[Set Type], tbl_MTG_Set_Type[Buy Window Month Start], "(Set Type not found)")</f>
        <v>(Set Type not found)</v>
      </c>
      <c r="K835" s="3" t="e">
        <f>tbl_MTG_Set[[#This Row],[Released On]]+tbl_MTG_Set[[#This Row],[Buy Window Month Start]]*365.25/12</f>
        <v>#VALUE!</v>
      </c>
      <c r="L835" t="str">
        <f>_xlfn.XLOOKUP(tbl_MTG_Set[[#This Row],[Type Name]], tbl_MTG_Set_Type[Set Type], tbl_MTG_Set_Type[Buy Window Month End], "(Set Type not found)", 0, 1)</f>
        <v>(Set Type not found)</v>
      </c>
      <c r="M835" s="3" t="e">
        <f>tbl_MTG_Set[[#This Row],[Released On]]+tbl_MTG_Set[[#This Row],[Buy Window Month End]]*365.25/12</f>
        <v>#VALUE!</v>
      </c>
      <c r="N835" s="3" t="e">
        <f ca="1">AND(NOW()&gt;=tbl_MTG_Set[[#This Row],[Buy Window Start]], NOW()&lt;=tbl_MTG_Set[[#This Row],[Buy Window End]])</f>
        <v>#VALUE!</v>
      </c>
      <c r="O835" t="str">
        <f>_xlfn.XLOOKUP(tbl_MTG_Set[[#This Row],[Type Name]], tbl_MTG_Set_Type[Set Type], tbl_MTG_Set_Type[Heavy Printing Window Month Start], "(Set Type not found)", 0, 1)</f>
        <v>(Set Type not found)</v>
      </c>
      <c r="P835" s="3" t="e">
        <f>tbl_MTG_Set[[#This Row],[Released On]]+tbl_MTG_Set[[#This Row],[Heavy Printing Window Month Start]]*365.25/12</f>
        <v>#VALUE!</v>
      </c>
      <c r="Q835" t="str">
        <f>_xlfn.XLOOKUP(tbl_MTG_Set[[#This Row],[Type Name]], tbl_MTG_Set_Type[Set Type], tbl_MTG_Set_Type[Heavy Printing Window Month End], "(Set Type not found)", 0, 1)</f>
        <v>(Set Type not found)</v>
      </c>
      <c r="R835" s="3" t="e">
        <f>tbl_MTG_Set[[#This Row],[Released On]]+tbl_MTG_Set[[#This Row],[Heavy Printing Window Month End]]*365.25/12</f>
        <v>#VALUE!</v>
      </c>
      <c r="S835" s="3" t="e">
        <f ca="1">AND(NOW()&gt;=tbl_MTG_Set[[#This Row],[Heavy Printing Window Start]], NOW()&lt;=tbl_MTG_Set[[#This Row],[Heavy Printing Window End]])</f>
        <v>#VALUE!</v>
      </c>
      <c r="T835" t="str">
        <f>_xlfn.XLOOKUP(tbl_MTG_Set[[#This Row],[Type Name]], tbl_MTG_Set_Type[Set Type], tbl_MTG_Set_Type[Sell Window Month Start], "(Set Type not found)", 0, 1)</f>
        <v>(Set Type not found)</v>
      </c>
      <c r="U835" s="3" t="e">
        <f>tbl_MTG_Set[[#This Row],[Released On]]+tbl_MTG_Set[[#This Row],[Sell Window Month Start]]*365.25/12</f>
        <v>#VALUE!</v>
      </c>
      <c r="V835" t="str">
        <f>_xlfn.XLOOKUP(tbl_MTG_Set[[#This Row],[Type Name]], tbl_MTG_Set_Type[Set Type], tbl_MTG_Set_Type[Sell Window Month End], "(Set Type not found)", 0, 1)</f>
        <v>(Set Type not found)</v>
      </c>
      <c r="W835" s="3" t="e">
        <f>tbl_MTG_Set[[#This Row],[Released On]]+tbl_MTG_Set[[#This Row],[Sell Window Month End]]*365.25/12</f>
        <v>#VALUE!</v>
      </c>
      <c r="X835" s="3" t="e">
        <f ca="1">AND(NOW()&gt;=tbl_MTG_Set[[#This Row],[Sell Window Start]], NOW()&lt;=tbl_MTG_Set[[#This Row],[Sell Window End]])</f>
        <v>#VALUE!</v>
      </c>
      <c r="AG835" s="10"/>
      <c r="AH835" s="10"/>
      <c r="AM835" s="10" t="str" cm="1">
        <f t="array" ref="AM8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5" s="10" t="str" cm="1">
        <f t="array" ref="AN8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5" s="4" t="e">
        <f>_xlfn.XLOOKUP(tbl_MTG_Set[[#This Row],[Play Booster Box Product Id]], tbl_Product[Product Id], tbl_Product[Pack Size])</f>
        <v>#N/A</v>
      </c>
      <c r="AP835" s="10" t="e">
        <f>(tbl_MTG_Set[[#This Row],[Play Booster Box Cost]]+v_Item_Shipping_Cost_In)/tbl_MTG_Set[[#This Row],[Play Booster Box Size]]</f>
        <v>#VALUE!</v>
      </c>
      <c r="AQ835" s="10" t="str" cm="1">
        <f t="array" ref="AQ8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5" s="10"/>
      <c r="AS835" s="10"/>
      <c r="AT835" s="17" t="e">
        <f>tbl_MTG_Set[[#This Row],[Play Booster CardMarket Profit]]/tbl_MTG_Set[[#This Row],[Play Booster Cost]]</f>
        <v>#VALUE!</v>
      </c>
      <c r="AU835" s="10" t="e">
        <f>_xlfn.XLOOKUP(tbl_MTG_Set[[#This Row],[Collector Booster Box Product Id]], tbl_Product[Product Id], tbl_Product[Min Cost])</f>
        <v>#N/A</v>
      </c>
      <c r="AV835" s="10" t="e">
        <f>_xlfn.XLOOKUP(tbl_MTG_Set[[#This Row],[Collector Booster Box Product Id]], tbl_Product[Product Id], tbl_Product[Best Source])</f>
        <v>#N/A</v>
      </c>
      <c r="AW835" s="4" t="e">
        <f>_xlfn.XLOOKUP(tbl_MTG_Set[[#This Row],[Collector Booster Box Product Id]], tbl_Product[Product Id], tbl_Product[Pack Size])</f>
        <v>#N/A</v>
      </c>
      <c r="AX835" s="10" t="e">
        <f>(tbl_MTG_Set[[#This Row],[Collector Booster Box Cost]] + v_Item_Shipping_Cost_In) / tbl_MTG_Set[[#This Row],[Collector Booster Box Size]]</f>
        <v>#N/A</v>
      </c>
      <c r="AY835" s="10" t="str" cm="1">
        <f t="array" ref="AY8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5" s="10"/>
      <c r="BA8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5" s="17" t="e">
        <f>tbl_MTG_Set[[#This Row],[Collector Booster CardMarket Profit]]/tbl_MTG_Set[[#This Row],[Collector Booster Cost]]</f>
        <v>#N/A</v>
      </c>
      <c r="BC835" s="10"/>
      <c r="BF8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5" s="11" t="e">
        <f>tbl_MTG_Set[[#This Row],[Play Singles CardMarket Profit MTG Stocks]]/tbl_MTG_Set[[#This Row],[Play Booster Cost]]</f>
        <v>#VALUE!</v>
      </c>
      <c r="BI835" s="11" t="b">
        <f>tbl_MTG_Set[[#This Row],[Play Singles CardMarket Profit MTG Stocks]]&gt;0</f>
        <v>0</v>
      </c>
      <c r="BM835" s="10" t="e">
        <f>tbl_MTG_Set[[#This Row],[Play Booster Sell Price CardMarket]]*tbl_MTG_Set[[#This Row],[Play Booster Expected Market Value BotBox]]/tbl_MTG_Set[[#This Row],[Play Booster Sealed Market Value BotBox]]</f>
        <v>#VALUE!</v>
      </c>
      <c r="BN8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5" s="10" t="e">
        <f>tbl_MTG_Set[[#This Row],[Play Singles CardMarket Profit BotBox]]/tbl_MTG_Set[[#This Row],[Play Booster Cost]]</f>
        <v>#VALUE!</v>
      </c>
      <c r="BP835" s="10" t="b">
        <f>tbl_MTG_Set[[#This Row],[Play Singles CardMarket Profit BotBox]]&gt;0</f>
        <v>0</v>
      </c>
      <c r="BQ835" s="10"/>
      <c r="BR835" s="10"/>
      <c r="BS835" s="10"/>
      <c r="BT8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5" s="19" t="e">
        <f>tbl_MTG_Set[[#This Row],[Collector Singles CardMarket Profit MTG Stocks]]/tbl_MTG_Set[[#This Row],[Collector Booster Cost]]</f>
        <v>#N/A</v>
      </c>
      <c r="BW835" s="10" t="b">
        <f>tbl_MTG_Set[[#This Row],[Collector Singles CardMarket Profit MTG Stocks]]&gt;0</f>
        <v>0</v>
      </c>
      <c r="BX835" s="10"/>
      <c r="BY835" s="10"/>
      <c r="BZ8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5" s="10" t="e">
        <f>tbl_MTG_Set[[#This Row],[Collector Singles CardMarket Profit BotBox]]/tbl_MTG_Set[[#This Row],[Collector Booster Cost]]</f>
        <v>#N/A</v>
      </c>
      <c r="CC835" s="10" t="b">
        <f>tbl_MTG_Set[[#This Row],[Collector Singles CardMarket Profit BotBox]]&gt;0</f>
        <v>0</v>
      </c>
      <c r="CD8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6" spans="1:86" hidden="1">
      <c r="A836">
        <v>868</v>
      </c>
      <c r="B836" t="s">
        <v>1009</v>
      </c>
      <c r="C836">
        <v>165</v>
      </c>
      <c r="D836" s="3">
        <v>38506</v>
      </c>
      <c r="F836" t="s">
        <v>174</v>
      </c>
      <c r="G836">
        <v>1682</v>
      </c>
      <c r="H836">
        <f ca="1">MONTH(NOW())+12*YEAR(NOW())-MONTH(tbl_MTG_Set[[#This Row],[Released On]])-12*YEAR(tbl_MTG_Set[[#This Row],[Released On]])</f>
        <v>249</v>
      </c>
      <c r="I836" t="str">
        <f>_xlfn.XLOOKUP(tbl_MTG_Set[[#This Row],[Type Name]], tbl_MTG_Set_Type[Set Type], tbl_MTG_Set_Type[Index], "(Set Type not found)")</f>
        <v>(Set Type not found)</v>
      </c>
      <c r="J836" t="str">
        <f>_xlfn.XLOOKUP(tbl_MTG_Set[[#This Row],[Type Name]], tbl_MTG_Set_Type[Set Type], tbl_MTG_Set_Type[Buy Window Month Start], "(Set Type not found)")</f>
        <v>(Set Type not found)</v>
      </c>
      <c r="K836" s="3" t="e">
        <f>tbl_MTG_Set[[#This Row],[Released On]]+tbl_MTG_Set[[#This Row],[Buy Window Month Start]]*365.25/12</f>
        <v>#VALUE!</v>
      </c>
      <c r="L836" t="str">
        <f>_xlfn.XLOOKUP(tbl_MTG_Set[[#This Row],[Type Name]], tbl_MTG_Set_Type[Set Type], tbl_MTG_Set_Type[Buy Window Month End], "(Set Type not found)", 0, 1)</f>
        <v>(Set Type not found)</v>
      </c>
      <c r="M836" s="3" t="e">
        <f>tbl_MTG_Set[[#This Row],[Released On]]+tbl_MTG_Set[[#This Row],[Buy Window Month End]]*365.25/12</f>
        <v>#VALUE!</v>
      </c>
      <c r="N836" s="3" t="e">
        <f ca="1">AND(NOW()&gt;=tbl_MTG_Set[[#This Row],[Buy Window Start]], NOW()&lt;=tbl_MTG_Set[[#This Row],[Buy Window End]])</f>
        <v>#VALUE!</v>
      </c>
      <c r="O836" t="str">
        <f>_xlfn.XLOOKUP(tbl_MTG_Set[[#This Row],[Type Name]], tbl_MTG_Set_Type[Set Type], tbl_MTG_Set_Type[Heavy Printing Window Month Start], "(Set Type not found)", 0, 1)</f>
        <v>(Set Type not found)</v>
      </c>
      <c r="P836" s="3" t="e">
        <f>tbl_MTG_Set[[#This Row],[Released On]]+tbl_MTG_Set[[#This Row],[Heavy Printing Window Month Start]]*365.25/12</f>
        <v>#VALUE!</v>
      </c>
      <c r="Q836" t="str">
        <f>_xlfn.XLOOKUP(tbl_MTG_Set[[#This Row],[Type Name]], tbl_MTG_Set_Type[Set Type], tbl_MTG_Set_Type[Heavy Printing Window Month End], "(Set Type not found)", 0, 1)</f>
        <v>(Set Type not found)</v>
      </c>
      <c r="R836" s="3" t="e">
        <f>tbl_MTG_Set[[#This Row],[Released On]]+tbl_MTG_Set[[#This Row],[Heavy Printing Window Month End]]*365.25/12</f>
        <v>#VALUE!</v>
      </c>
      <c r="S836" s="3" t="e">
        <f ca="1">AND(NOW()&gt;=tbl_MTG_Set[[#This Row],[Heavy Printing Window Start]], NOW()&lt;=tbl_MTG_Set[[#This Row],[Heavy Printing Window End]])</f>
        <v>#VALUE!</v>
      </c>
      <c r="T836" t="str">
        <f>_xlfn.XLOOKUP(tbl_MTG_Set[[#This Row],[Type Name]], tbl_MTG_Set_Type[Set Type], tbl_MTG_Set_Type[Sell Window Month Start], "(Set Type not found)", 0, 1)</f>
        <v>(Set Type not found)</v>
      </c>
      <c r="U836" s="3" t="e">
        <f>tbl_MTG_Set[[#This Row],[Released On]]+tbl_MTG_Set[[#This Row],[Sell Window Month Start]]*365.25/12</f>
        <v>#VALUE!</v>
      </c>
      <c r="V836" t="str">
        <f>_xlfn.XLOOKUP(tbl_MTG_Set[[#This Row],[Type Name]], tbl_MTG_Set_Type[Set Type], tbl_MTG_Set_Type[Sell Window Month End], "(Set Type not found)", 0, 1)</f>
        <v>(Set Type not found)</v>
      </c>
      <c r="W836" s="3" t="e">
        <f>tbl_MTG_Set[[#This Row],[Released On]]+tbl_MTG_Set[[#This Row],[Sell Window Month End]]*365.25/12</f>
        <v>#VALUE!</v>
      </c>
      <c r="X836" s="3" t="e">
        <f ca="1">AND(NOW()&gt;=tbl_MTG_Set[[#This Row],[Sell Window Start]], NOW()&lt;=tbl_MTG_Set[[#This Row],[Sell Window End]])</f>
        <v>#VALUE!</v>
      </c>
      <c r="AG836" s="10"/>
      <c r="AH836" s="10"/>
      <c r="AM836" s="10" t="str" cm="1">
        <f t="array" ref="AM8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6" s="10" t="str" cm="1">
        <f t="array" ref="AN8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6" s="4" t="e">
        <f>_xlfn.XLOOKUP(tbl_MTG_Set[[#This Row],[Play Booster Box Product Id]], tbl_Product[Product Id], tbl_Product[Pack Size])</f>
        <v>#N/A</v>
      </c>
      <c r="AP836" s="10" t="e">
        <f>(tbl_MTG_Set[[#This Row],[Play Booster Box Cost]]+v_Item_Shipping_Cost_In)/tbl_MTG_Set[[#This Row],[Play Booster Box Size]]</f>
        <v>#VALUE!</v>
      </c>
      <c r="AQ836" s="10" t="str" cm="1">
        <f t="array" ref="AQ8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6" s="10"/>
      <c r="AS836" s="10"/>
      <c r="AT836" s="17" t="e">
        <f>tbl_MTG_Set[[#This Row],[Play Booster CardMarket Profit]]/tbl_MTG_Set[[#This Row],[Play Booster Cost]]</f>
        <v>#VALUE!</v>
      </c>
      <c r="AU836" s="10" t="e">
        <f>_xlfn.XLOOKUP(tbl_MTG_Set[[#This Row],[Collector Booster Box Product Id]], tbl_Product[Product Id], tbl_Product[Min Cost])</f>
        <v>#N/A</v>
      </c>
      <c r="AV836" s="10" t="e">
        <f>_xlfn.XLOOKUP(tbl_MTG_Set[[#This Row],[Collector Booster Box Product Id]], tbl_Product[Product Id], tbl_Product[Best Source])</f>
        <v>#N/A</v>
      </c>
      <c r="AW836" s="4" t="e">
        <f>_xlfn.XLOOKUP(tbl_MTG_Set[[#This Row],[Collector Booster Box Product Id]], tbl_Product[Product Id], tbl_Product[Pack Size])</f>
        <v>#N/A</v>
      </c>
      <c r="AX836" s="10" t="e">
        <f>(tbl_MTG_Set[[#This Row],[Collector Booster Box Cost]] + v_Item_Shipping_Cost_In) / tbl_MTG_Set[[#This Row],[Collector Booster Box Size]]</f>
        <v>#N/A</v>
      </c>
      <c r="AY836" s="10" t="str" cm="1">
        <f t="array" ref="AY8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6" s="10"/>
      <c r="BA8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6" s="17" t="e">
        <f>tbl_MTG_Set[[#This Row],[Collector Booster CardMarket Profit]]/tbl_MTG_Set[[#This Row],[Collector Booster Cost]]</f>
        <v>#N/A</v>
      </c>
      <c r="BC836" s="10"/>
      <c r="BF8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6" s="11" t="e">
        <f>tbl_MTG_Set[[#This Row],[Play Singles CardMarket Profit MTG Stocks]]/tbl_MTG_Set[[#This Row],[Play Booster Cost]]</f>
        <v>#VALUE!</v>
      </c>
      <c r="BI836" s="11" t="b">
        <f>tbl_MTG_Set[[#This Row],[Play Singles CardMarket Profit MTG Stocks]]&gt;0</f>
        <v>0</v>
      </c>
      <c r="BM836" s="10" t="e">
        <f>tbl_MTG_Set[[#This Row],[Play Booster Sell Price CardMarket]]*tbl_MTG_Set[[#This Row],[Play Booster Expected Market Value BotBox]]/tbl_MTG_Set[[#This Row],[Play Booster Sealed Market Value BotBox]]</f>
        <v>#VALUE!</v>
      </c>
      <c r="BN8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6" s="10" t="e">
        <f>tbl_MTG_Set[[#This Row],[Play Singles CardMarket Profit BotBox]]/tbl_MTG_Set[[#This Row],[Play Booster Cost]]</f>
        <v>#VALUE!</v>
      </c>
      <c r="BP836" s="10" t="b">
        <f>tbl_MTG_Set[[#This Row],[Play Singles CardMarket Profit BotBox]]&gt;0</f>
        <v>0</v>
      </c>
      <c r="BQ836" s="10"/>
      <c r="BR836" s="10"/>
      <c r="BS836" s="10"/>
      <c r="BT8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6" s="19" t="e">
        <f>tbl_MTG_Set[[#This Row],[Collector Singles CardMarket Profit MTG Stocks]]/tbl_MTG_Set[[#This Row],[Collector Booster Cost]]</f>
        <v>#N/A</v>
      </c>
      <c r="BW836" s="10" t="b">
        <f>tbl_MTG_Set[[#This Row],[Collector Singles CardMarket Profit MTG Stocks]]&gt;0</f>
        <v>0</v>
      </c>
      <c r="BX836" s="10"/>
      <c r="BY836" s="10"/>
      <c r="BZ8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6" s="10" t="e">
        <f>tbl_MTG_Set[[#This Row],[Collector Singles CardMarket Profit BotBox]]/tbl_MTG_Set[[#This Row],[Collector Booster Cost]]</f>
        <v>#N/A</v>
      </c>
      <c r="CC836" s="10" t="b">
        <f>tbl_MTG_Set[[#This Row],[Collector Singles CardMarket Profit BotBox]]&gt;0</f>
        <v>0</v>
      </c>
      <c r="CD8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7" spans="1:86" hidden="1">
      <c r="A837">
        <v>869</v>
      </c>
      <c r="B837" t="s">
        <v>1010</v>
      </c>
      <c r="C837">
        <v>2</v>
      </c>
      <c r="D837" s="3">
        <v>38506</v>
      </c>
      <c r="F837" t="s">
        <v>174</v>
      </c>
      <c r="G837">
        <v>1684</v>
      </c>
      <c r="H837">
        <f ca="1">MONTH(NOW())+12*YEAR(NOW())-MONTH(tbl_MTG_Set[[#This Row],[Released On]])-12*YEAR(tbl_MTG_Set[[#This Row],[Released On]])</f>
        <v>249</v>
      </c>
      <c r="I837" t="str">
        <f>_xlfn.XLOOKUP(tbl_MTG_Set[[#This Row],[Type Name]], tbl_MTG_Set_Type[Set Type], tbl_MTG_Set_Type[Index], "(Set Type not found)")</f>
        <v>(Set Type not found)</v>
      </c>
      <c r="J837" t="str">
        <f>_xlfn.XLOOKUP(tbl_MTG_Set[[#This Row],[Type Name]], tbl_MTG_Set_Type[Set Type], tbl_MTG_Set_Type[Buy Window Month Start], "(Set Type not found)")</f>
        <v>(Set Type not found)</v>
      </c>
      <c r="K837" s="3" t="e">
        <f>tbl_MTG_Set[[#This Row],[Released On]]+tbl_MTG_Set[[#This Row],[Buy Window Month Start]]*365.25/12</f>
        <v>#VALUE!</v>
      </c>
      <c r="L837" t="str">
        <f>_xlfn.XLOOKUP(tbl_MTG_Set[[#This Row],[Type Name]], tbl_MTG_Set_Type[Set Type], tbl_MTG_Set_Type[Buy Window Month End], "(Set Type not found)", 0, 1)</f>
        <v>(Set Type not found)</v>
      </c>
      <c r="M837" s="3" t="e">
        <f>tbl_MTG_Set[[#This Row],[Released On]]+tbl_MTG_Set[[#This Row],[Buy Window Month End]]*365.25/12</f>
        <v>#VALUE!</v>
      </c>
      <c r="N837" s="3" t="e">
        <f ca="1">AND(NOW()&gt;=tbl_MTG_Set[[#This Row],[Buy Window Start]], NOW()&lt;=tbl_MTG_Set[[#This Row],[Buy Window End]])</f>
        <v>#VALUE!</v>
      </c>
      <c r="O837" t="str">
        <f>_xlfn.XLOOKUP(tbl_MTG_Set[[#This Row],[Type Name]], tbl_MTG_Set_Type[Set Type], tbl_MTG_Set_Type[Heavy Printing Window Month Start], "(Set Type not found)", 0, 1)</f>
        <v>(Set Type not found)</v>
      </c>
      <c r="P837" s="3" t="e">
        <f>tbl_MTG_Set[[#This Row],[Released On]]+tbl_MTG_Set[[#This Row],[Heavy Printing Window Month Start]]*365.25/12</f>
        <v>#VALUE!</v>
      </c>
      <c r="Q837" t="str">
        <f>_xlfn.XLOOKUP(tbl_MTG_Set[[#This Row],[Type Name]], tbl_MTG_Set_Type[Set Type], tbl_MTG_Set_Type[Heavy Printing Window Month End], "(Set Type not found)", 0, 1)</f>
        <v>(Set Type not found)</v>
      </c>
      <c r="R837" s="3" t="e">
        <f>tbl_MTG_Set[[#This Row],[Released On]]+tbl_MTG_Set[[#This Row],[Heavy Printing Window Month End]]*365.25/12</f>
        <v>#VALUE!</v>
      </c>
      <c r="S837" s="3" t="e">
        <f ca="1">AND(NOW()&gt;=tbl_MTG_Set[[#This Row],[Heavy Printing Window Start]], NOW()&lt;=tbl_MTG_Set[[#This Row],[Heavy Printing Window End]])</f>
        <v>#VALUE!</v>
      </c>
      <c r="T837" t="str">
        <f>_xlfn.XLOOKUP(tbl_MTG_Set[[#This Row],[Type Name]], tbl_MTG_Set_Type[Set Type], tbl_MTG_Set_Type[Sell Window Month Start], "(Set Type not found)", 0, 1)</f>
        <v>(Set Type not found)</v>
      </c>
      <c r="U837" s="3" t="e">
        <f>tbl_MTG_Set[[#This Row],[Released On]]+tbl_MTG_Set[[#This Row],[Sell Window Month Start]]*365.25/12</f>
        <v>#VALUE!</v>
      </c>
      <c r="V837" t="str">
        <f>_xlfn.XLOOKUP(tbl_MTG_Set[[#This Row],[Type Name]], tbl_MTG_Set_Type[Set Type], tbl_MTG_Set_Type[Sell Window Month End], "(Set Type not found)", 0, 1)</f>
        <v>(Set Type not found)</v>
      </c>
      <c r="W837" s="3" t="e">
        <f>tbl_MTG_Set[[#This Row],[Released On]]+tbl_MTG_Set[[#This Row],[Sell Window Month End]]*365.25/12</f>
        <v>#VALUE!</v>
      </c>
      <c r="X837" s="3" t="e">
        <f ca="1">AND(NOW()&gt;=tbl_MTG_Set[[#This Row],[Sell Window Start]], NOW()&lt;=tbl_MTG_Set[[#This Row],[Sell Window End]])</f>
        <v>#VALUE!</v>
      </c>
      <c r="AG837" s="10"/>
      <c r="AH837" s="10"/>
      <c r="AM837" s="10" t="str" cm="1">
        <f t="array" ref="AM8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7" s="10" t="str" cm="1">
        <f t="array" ref="AN8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7" s="4" t="e">
        <f>_xlfn.XLOOKUP(tbl_MTG_Set[[#This Row],[Play Booster Box Product Id]], tbl_Product[Product Id], tbl_Product[Pack Size])</f>
        <v>#N/A</v>
      </c>
      <c r="AP837" s="10" t="e">
        <f>(tbl_MTG_Set[[#This Row],[Play Booster Box Cost]]+v_Item_Shipping_Cost_In)/tbl_MTG_Set[[#This Row],[Play Booster Box Size]]</f>
        <v>#VALUE!</v>
      </c>
      <c r="AQ837" s="10" t="str" cm="1">
        <f t="array" ref="AQ8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7" s="10"/>
      <c r="AS837" s="10"/>
      <c r="AT837" s="17" t="e">
        <f>tbl_MTG_Set[[#This Row],[Play Booster CardMarket Profit]]/tbl_MTG_Set[[#This Row],[Play Booster Cost]]</f>
        <v>#VALUE!</v>
      </c>
      <c r="AU837" s="10" t="e">
        <f>_xlfn.XLOOKUP(tbl_MTG_Set[[#This Row],[Collector Booster Box Product Id]], tbl_Product[Product Id], tbl_Product[Min Cost])</f>
        <v>#N/A</v>
      </c>
      <c r="AV837" s="10" t="e">
        <f>_xlfn.XLOOKUP(tbl_MTG_Set[[#This Row],[Collector Booster Box Product Id]], tbl_Product[Product Id], tbl_Product[Best Source])</f>
        <v>#N/A</v>
      </c>
      <c r="AW837" s="4" t="e">
        <f>_xlfn.XLOOKUP(tbl_MTG_Set[[#This Row],[Collector Booster Box Product Id]], tbl_Product[Product Id], tbl_Product[Pack Size])</f>
        <v>#N/A</v>
      </c>
      <c r="AX837" s="10" t="e">
        <f>(tbl_MTG_Set[[#This Row],[Collector Booster Box Cost]] + v_Item_Shipping_Cost_In) / tbl_MTG_Set[[#This Row],[Collector Booster Box Size]]</f>
        <v>#N/A</v>
      </c>
      <c r="AY837" s="10" t="str" cm="1">
        <f t="array" ref="AY8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7" s="10"/>
      <c r="BA8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7" s="17" t="e">
        <f>tbl_MTG_Set[[#This Row],[Collector Booster CardMarket Profit]]/tbl_MTG_Set[[#This Row],[Collector Booster Cost]]</f>
        <v>#N/A</v>
      </c>
      <c r="BC837" s="10"/>
      <c r="BF8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7" s="11" t="e">
        <f>tbl_MTG_Set[[#This Row],[Play Singles CardMarket Profit MTG Stocks]]/tbl_MTG_Set[[#This Row],[Play Booster Cost]]</f>
        <v>#VALUE!</v>
      </c>
      <c r="BI837" s="11" t="b">
        <f>tbl_MTG_Set[[#This Row],[Play Singles CardMarket Profit MTG Stocks]]&gt;0</f>
        <v>0</v>
      </c>
      <c r="BM837" s="10" t="e">
        <f>tbl_MTG_Set[[#This Row],[Play Booster Sell Price CardMarket]]*tbl_MTG_Set[[#This Row],[Play Booster Expected Market Value BotBox]]/tbl_MTG_Set[[#This Row],[Play Booster Sealed Market Value BotBox]]</f>
        <v>#VALUE!</v>
      </c>
      <c r="BN8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7" s="10" t="e">
        <f>tbl_MTG_Set[[#This Row],[Play Singles CardMarket Profit BotBox]]/tbl_MTG_Set[[#This Row],[Play Booster Cost]]</f>
        <v>#VALUE!</v>
      </c>
      <c r="BP837" s="10" t="b">
        <f>tbl_MTG_Set[[#This Row],[Play Singles CardMarket Profit BotBox]]&gt;0</f>
        <v>0</v>
      </c>
      <c r="BQ837" s="10"/>
      <c r="BR837" s="10"/>
      <c r="BS837" s="10"/>
      <c r="BT8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7" s="19" t="e">
        <f>tbl_MTG_Set[[#This Row],[Collector Singles CardMarket Profit MTG Stocks]]/tbl_MTG_Set[[#This Row],[Collector Booster Cost]]</f>
        <v>#N/A</v>
      </c>
      <c r="BW837" s="10" t="b">
        <f>tbl_MTG_Set[[#This Row],[Collector Singles CardMarket Profit MTG Stocks]]&gt;0</f>
        <v>0</v>
      </c>
      <c r="BX837" s="10"/>
      <c r="BY837" s="10"/>
      <c r="BZ8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7" s="10" t="e">
        <f>tbl_MTG_Set[[#This Row],[Collector Singles CardMarket Profit BotBox]]/tbl_MTG_Set[[#This Row],[Collector Booster Cost]]</f>
        <v>#N/A</v>
      </c>
      <c r="CC837" s="10" t="b">
        <f>tbl_MTG_Set[[#This Row],[Collector Singles CardMarket Profit BotBox]]&gt;0</f>
        <v>0</v>
      </c>
      <c r="CD8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8" spans="1:86" hidden="1">
      <c r="A838">
        <v>870</v>
      </c>
      <c r="B838" t="s">
        <v>1011</v>
      </c>
      <c r="C838">
        <v>165</v>
      </c>
      <c r="D838" s="3">
        <v>38387</v>
      </c>
      <c r="F838" t="s">
        <v>174</v>
      </c>
      <c r="G838">
        <v>1686</v>
      </c>
      <c r="H838">
        <f ca="1">MONTH(NOW())+12*YEAR(NOW())-MONTH(tbl_MTG_Set[[#This Row],[Released On]])-12*YEAR(tbl_MTG_Set[[#This Row],[Released On]])</f>
        <v>253</v>
      </c>
      <c r="I838" t="str">
        <f>_xlfn.XLOOKUP(tbl_MTG_Set[[#This Row],[Type Name]], tbl_MTG_Set_Type[Set Type], tbl_MTG_Set_Type[Index], "(Set Type not found)")</f>
        <v>(Set Type not found)</v>
      </c>
      <c r="J838" t="str">
        <f>_xlfn.XLOOKUP(tbl_MTG_Set[[#This Row],[Type Name]], tbl_MTG_Set_Type[Set Type], tbl_MTG_Set_Type[Buy Window Month Start], "(Set Type not found)")</f>
        <v>(Set Type not found)</v>
      </c>
      <c r="K838" s="3" t="e">
        <f>tbl_MTG_Set[[#This Row],[Released On]]+tbl_MTG_Set[[#This Row],[Buy Window Month Start]]*365.25/12</f>
        <v>#VALUE!</v>
      </c>
      <c r="L838" t="str">
        <f>_xlfn.XLOOKUP(tbl_MTG_Set[[#This Row],[Type Name]], tbl_MTG_Set_Type[Set Type], tbl_MTG_Set_Type[Buy Window Month End], "(Set Type not found)", 0, 1)</f>
        <v>(Set Type not found)</v>
      </c>
      <c r="M838" s="3" t="e">
        <f>tbl_MTG_Set[[#This Row],[Released On]]+tbl_MTG_Set[[#This Row],[Buy Window Month End]]*365.25/12</f>
        <v>#VALUE!</v>
      </c>
      <c r="N838" s="3" t="e">
        <f ca="1">AND(NOW()&gt;=tbl_MTG_Set[[#This Row],[Buy Window Start]], NOW()&lt;=tbl_MTG_Set[[#This Row],[Buy Window End]])</f>
        <v>#VALUE!</v>
      </c>
      <c r="O838" t="str">
        <f>_xlfn.XLOOKUP(tbl_MTG_Set[[#This Row],[Type Name]], tbl_MTG_Set_Type[Set Type], tbl_MTG_Set_Type[Heavy Printing Window Month Start], "(Set Type not found)", 0, 1)</f>
        <v>(Set Type not found)</v>
      </c>
      <c r="P838" s="3" t="e">
        <f>tbl_MTG_Set[[#This Row],[Released On]]+tbl_MTG_Set[[#This Row],[Heavy Printing Window Month Start]]*365.25/12</f>
        <v>#VALUE!</v>
      </c>
      <c r="Q838" t="str">
        <f>_xlfn.XLOOKUP(tbl_MTG_Set[[#This Row],[Type Name]], tbl_MTG_Set_Type[Set Type], tbl_MTG_Set_Type[Heavy Printing Window Month End], "(Set Type not found)", 0, 1)</f>
        <v>(Set Type not found)</v>
      </c>
      <c r="R838" s="3" t="e">
        <f>tbl_MTG_Set[[#This Row],[Released On]]+tbl_MTG_Set[[#This Row],[Heavy Printing Window Month End]]*365.25/12</f>
        <v>#VALUE!</v>
      </c>
      <c r="S838" s="3" t="e">
        <f ca="1">AND(NOW()&gt;=tbl_MTG_Set[[#This Row],[Heavy Printing Window Start]], NOW()&lt;=tbl_MTG_Set[[#This Row],[Heavy Printing Window End]])</f>
        <v>#VALUE!</v>
      </c>
      <c r="T838" t="str">
        <f>_xlfn.XLOOKUP(tbl_MTG_Set[[#This Row],[Type Name]], tbl_MTG_Set_Type[Set Type], tbl_MTG_Set_Type[Sell Window Month Start], "(Set Type not found)", 0, 1)</f>
        <v>(Set Type not found)</v>
      </c>
      <c r="U838" s="3" t="e">
        <f>tbl_MTG_Set[[#This Row],[Released On]]+tbl_MTG_Set[[#This Row],[Sell Window Month Start]]*365.25/12</f>
        <v>#VALUE!</v>
      </c>
      <c r="V838" t="str">
        <f>_xlfn.XLOOKUP(tbl_MTG_Set[[#This Row],[Type Name]], tbl_MTG_Set_Type[Set Type], tbl_MTG_Set_Type[Sell Window Month End], "(Set Type not found)", 0, 1)</f>
        <v>(Set Type not found)</v>
      </c>
      <c r="W838" s="3" t="e">
        <f>tbl_MTG_Set[[#This Row],[Released On]]+tbl_MTG_Set[[#This Row],[Sell Window Month End]]*365.25/12</f>
        <v>#VALUE!</v>
      </c>
      <c r="X838" s="3" t="e">
        <f ca="1">AND(NOW()&gt;=tbl_MTG_Set[[#This Row],[Sell Window Start]], NOW()&lt;=tbl_MTG_Set[[#This Row],[Sell Window End]])</f>
        <v>#VALUE!</v>
      </c>
      <c r="AG838" s="10"/>
      <c r="AH838" s="10"/>
      <c r="AM838" s="10" t="str" cm="1">
        <f t="array" ref="AM8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8" s="10" t="str" cm="1">
        <f t="array" ref="AN8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8" s="4" t="e">
        <f>_xlfn.XLOOKUP(tbl_MTG_Set[[#This Row],[Play Booster Box Product Id]], tbl_Product[Product Id], tbl_Product[Pack Size])</f>
        <v>#N/A</v>
      </c>
      <c r="AP838" s="10" t="e">
        <f>(tbl_MTG_Set[[#This Row],[Play Booster Box Cost]]+v_Item_Shipping_Cost_In)/tbl_MTG_Set[[#This Row],[Play Booster Box Size]]</f>
        <v>#VALUE!</v>
      </c>
      <c r="AQ838" s="10" t="str" cm="1">
        <f t="array" ref="AQ8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8" s="10"/>
      <c r="AS838" s="10"/>
      <c r="AT838" s="17" t="e">
        <f>tbl_MTG_Set[[#This Row],[Play Booster CardMarket Profit]]/tbl_MTG_Set[[#This Row],[Play Booster Cost]]</f>
        <v>#VALUE!</v>
      </c>
      <c r="AU838" s="10" t="e">
        <f>_xlfn.XLOOKUP(tbl_MTG_Set[[#This Row],[Collector Booster Box Product Id]], tbl_Product[Product Id], tbl_Product[Min Cost])</f>
        <v>#N/A</v>
      </c>
      <c r="AV838" s="10" t="e">
        <f>_xlfn.XLOOKUP(tbl_MTG_Set[[#This Row],[Collector Booster Box Product Id]], tbl_Product[Product Id], tbl_Product[Best Source])</f>
        <v>#N/A</v>
      </c>
      <c r="AW838" s="4" t="e">
        <f>_xlfn.XLOOKUP(tbl_MTG_Set[[#This Row],[Collector Booster Box Product Id]], tbl_Product[Product Id], tbl_Product[Pack Size])</f>
        <v>#N/A</v>
      </c>
      <c r="AX838" s="10" t="e">
        <f>(tbl_MTG_Set[[#This Row],[Collector Booster Box Cost]] + v_Item_Shipping_Cost_In) / tbl_MTG_Set[[#This Row],[Collector Booster Box Size]]</f>
        <v>#N/A</v>
      </c>
      <c r="AY838" s="10" t="str" cm="1">
        <f t="array" ref="AY8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8" s="10"/>
      <c r="BA8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8" s="17" t="e">
        <f>tbl_MTG_Set[[#This Row],[Collector Booster CardMarket Profit]]/tbl_MTG_Set[[#This Row],[Collector Booster Cost]]</f>
        <v>#N/A</v>
      </c>
      <c r="BC838" s="10"/>
      <c r="BF8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8" s="11" t="e">
        <f>tbl_MTG_Set[[#This Row],[Play Singles CardMarket Profit MTG Stocks]]/tbl_MTG_Set[[#This Row],[Play Booster Cost]]</f>
        <v>#VALUE!</v>
      </c>
      <c r="BI838" s="11" t="b">
        <f>tbl_MTG_Set[[#This Row],[Play Singles CardMarket Profit MTG Stocks]]&gt;0</f>
        <v>0</v>
      </c>
      <c r="BM838" s="10" t="e">
        <f>tbl_MTG_Set[[#This Row],[Play Booster Sell Price CardMarket]]*tbl_MTG_Set[[#This Row],[Play Booster Expected Market Value BotBox]]/tbl_MTG_Set[[#This Row],[Play Booster Sealed Market Value BotBox]]</f>
        <v>#VALUE!</v>
      </c>
      <c r="BN8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8" s="10" t="e">
        <f>tbl_MTG_Set[[#This Row],[Play Singles CardMarket Profit BotBox]]/tbl_MTG_Set[[#This Row],[Play Booster Cost]]</f>
        <v>#VALUE!</v>
      </c>
      <c r="BP838" s="10" t="b">
        <f>tbl_MTG_Set[[#This Row],[Play Singles CardMarket Profit BotBox]]&gt;0</f>
        <v>0</v>
      </c>
      <c r="BQ838" s="10"/>
      <c r="BR838" s="10"/>
      <c r="BS838" s="10"/>
      <c r="BT8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8" s="19" t="e">
        <f>tbl_MTG_Set[[#This Row],[Collector Singles CardMarket Profit MTG Stocks]]/tbl_MTG_Set[[#This Row],[Collector Booster Cost]]</f>
        <v>#N/A</v>
      </c>
      <c r="BW838" s="10" t="b">
        <f>tbl_MTG_Set[[#This Row],[Collector Singles CardMarket Profit MTG Stocks]]&gt;0</f>
        <v>0</v>
      </c>
      <c r="BX838" s="10"/>
      <c r="BY838" s="10"/>
      <c r="BZ8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8" s="10" t="e">
        <f>tbl_MTG_Set[[#This Row],[Collector Singles CardMarket Profit BotBox]]/tbl_MTG_Set[[#This Row],[Collector Booster Cost]]</f>
        <v>#N/A</v>
      </c>
      <c r="CC838" s="10" t="b">
        <f>tbl_MTG_Set[[#This Row],[Collector Singles CardMarket Profit BotBox]]&gt;0</f>
        <v>0</v>
      </c>
      <c r="CD8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39" spans="1:86" hidden="1">
      <c r="A839">
        <v>871</v>
      </c>
      <c r="B839" t="s">
        <v>1012</v>
      </c>
      <c r="C839">
        <v>2</v>
      </c>
      <c r="D839" s="3">
        <v>38387</v>
      </c>
      <c r="F839" t="s">
        <v>174</v>
      </c>
      <c r="G839">
        <v>1688</v>
      </c>
      <c r="H839">
        <f ca="1">MONTH(NOW())+12*YEAR(NOW())-MONTH(tbl_MTG_Set[[#This Row],[Released On]])-12*YEAR(tbl_MTG_Set[[#This Row],[Released On]])</f>
        <v>253</v>
      </c>
      <c r="I839" t="str">
        <f>_xlfn.XLOOKUP(tbl_MTG_Set[[#This Row],[Type Name]], tbl_MTG_Set_Type[Set Type], tbl_MTG_Set_Type[Index], "(Set Type not found)")</f>
        <v>(Set Type not found)</v>
      </c>
      <c r="J839" t="str">
        <f>_xlfn.XLOOKUP(tbl_MTG_Set[[#This Row],[Type Name]], tbl_MTG_Set_Type[Set Type], tbl_MTG_Set_Type[Buy Window Month Start], "(Set Type not found)")</f>
        <v>(Set Type not found)</v>
      </c>
      <c r="K839" s="3" t="e">
        <f>tbl_MTG_Set[[#This Row],[Released On]]+tbl_MTG_Set[[#This Row],[Buy Window Month Start]]*365.25/12</f>
        <v>#VALUE!</v>
      </c>
      <c r="L839" t="str">
        <f>_xlfn.XLOOKUP(tbl_MTG_Set[[#This Row],[Type Name]], tbl_MTG_Set_Type[Set Type], tbl_MTG_Set_Type[Buy Window Month End], "(Set Type not found)", 0, 1)</f>
        <v>(Set Type not found)</v>
      </c>
      <c r="M839" s="3" t="e">
        <f>tbl_MTG_Set[[#This Row],[Released On]]+tbl_MTG_Set[[#This Row],[Buy Window Month End]]*365.25/12</f>
        <v>#VALUE!</v>
      </c>
      <c r="N839" s="3" t="e">
        <f ca="1">AND(NOW()&gt;=tbl_MTG_Set[[#This Row],[Buy Window Start]], NOW()&lt;=tbl_MTG_Set[[#This Row],[Buy Window End]])</f>
        <v>#VALUE!</v>
      </c>
      <c r="O839" t="str">
        <f>_xlfn.XLOOKUP(tbl_MTG_Set[[#This Row],[Type Name]], tbl_MTG_Set_Type[Set Type], tbl_MTG_Set_Type[Heavy Printing Window Month Start], "(Set Type not found)", 0, 1)</f>
        <v>(Set Type not found)</v>
      </c>
      <c r="P839" s="3" t="e">
        <f>tbl_MTG_Set[[#This Row],[Released On]]+tbl_MTG_Set[[#This Row],[Heavy Printing Window Month Start]]*365.25/12</f>
        <v>#VALUE!</v>
      </c>
      <c r="Q839" t="str">
        <f>_xlfn.XLOOKUP(tbl_MTG_Set[[#This Row],[Type Name]], tbl_MTG_Set_Type[Set Type], tbl_MTG_Set_Type[Heavy Printing Window Month End], "(Set Type not found)", 0, 1)</f>
        <v>(Set Type not found)</v>
      </c>
      <c r="R839" s="3" t="e">
        <f>tbl_MTG_Set[[#This Row],[Released On]]+tbl_MTG_Set[[#This Row],[Heavy Printing Window Month End]]*365.25/12</f>
        <v>#VALUE!</v>
      </c>
      <c r="S839" s="3" t="e">
        <f ca="1">AND(NOW()&gt;=tbl_MTG_Set[[#This Row],[Heavy Printing Window Start]], NOW()&lt;=tbl_MTG_Set[[#This Row],[Heavy Printing Window End]])</f>
        <v>#VALUE!</v>
      </c>
      <c r="T839" t="str">
        <f>_xlfn.XLOOKUP(tbl_MTG_Set[[#This Row],[Type Name]], tbl_MTG_Set_Type[Set Type], tbl_MTG_Set_Type[Sell Window Month Start], "(Set Type not found)", 0, 1)</f>
        <v>(Set Type not found)</v>
      </c>
      <c r="U839" s="3" t="e">
        <f>tbl_MTG_Set[[#This Row],[Released On]]+tbl_MTG_Set[[#This Row],[Sell Window Month Start]]*365.25/12</f>
        <v>#VALUE!</v>
      </c>
      <c r="V839" t="str">
        <f>_xlfn.XLOOKUP(tbl_MTG_Set[[#This Row],[Type Name]], tbl_MTG_Set_Type[Set Type], tbl_MTG_Set_Type[Sell Window Month End], "(Set Type not found)", 0, 1)</f>
        <v>(Set Type not found)</v>
      </c>
      <c r="W839" s="3" t="e">
        <f>tbl_MTG_Set[[#This Row],[Released On]]+tbl_MTG_Set[[#This Row],[Sell Window Month End]]*365.25/12</f>
        <v>#VALUE!</v>
      </c>
      <c r="X839" s="3" t="e">
        <f ca="1">AND(NOW()&gt;=tbl_MTG_Set[[#This Row],[Sell Window Start]], NOW()&lt;=tbl_MTG_Set[[#This Row],[Sell Window End]])</f>
        <v>#VALUE!</v>
      </c>
      <c r="AG839" s="10"/>
      <c r="AH839" s="10"/>
      <c r="AM839" s="10" t="str" cm="1">
        <f t="array" ref="AM8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39" s="10" t="str" cm="1">
        <f t="array" ref="AN8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39" s="4" t="e">
        <f>_xlfn.XLOOKUP(tbl_MTG_Set[[#This Row],[Play Booster Box Product Id]], tbl_Product[Product Id], tbl_Product[Pack Size])</f>
        <v>#N/A</v>
      </c>
      <c r="AP839" s="10" t="e">
        <f>(tbl_MTG_Set[[#This Row],[Play Booster Box Cost]]+v_Item_Shipping_Cost_In)/tbl_MTG_Set[[#This Row],[Play Booster Box Size]]</f>
        <v>#VALUE!</v>
      </c>
      <c r="AQ839" s="10" t="str" cm="1">
        <f t="array" ref="AQ8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39" s="10"/>
      <c r="AS839" s="10"/>
      <c r="AT839" s="17" t="e">
        <f>tbl_MTG_Set[[#This Row],[Play Booster CardMarket Profit]]/tbl_MTG_Set[[#This Row],[Play Booster Cost]]</f>
        <v>#VALUE!</v>
      </c>
      <c r="AU839" s="10" t="e">
        <f>_xlfn.XLOOKUP(tbl_MTG_Set[[#This Row],[Collector Booster Box Product Id]], tbl_Product[Product Id], tbl_Product[Min Cost])</f>
        <v>#N/A</v>
      </c>
      <c r="AV839" s="10" t="e">
        <f>_xlfn.XLOOKUP(tbl_MTG_Set[[#This Row],[Collector Booster Box Product Id]], tbl_Product[Product Id], tbl_Product[Best Source])</f>
        <v>#N/A</v>
      </c>
      <c r="AW839" s="4" t="e">
        <f>_xlfn.XLOOKUP(tbl_MTG_Set[[#This Row],[Collector Booster Box Product Id]], tbl_Product[Product Id], tbl_Product[Pack Size])</f>
        <v>#N/A</v>
      </c>
      <c r="AX839" s="10" t="e">
        <f>(tbl_MTG_Set[[#This Row],[Collector Booster Box Cost]] + v_Item_Shipping_Cost_In) / tbl_MTG_Set[[#This Row],[Collector Booster Box Size]]</f>
        <v>#N/A</v>
      </c>
      <c r="AY839" s="10" t="str" cm="1">
        <f t="array" ref="AY8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39" s="10"/>
      <c r="BA8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39" s="17" t="e">
        <f>tbl_MTG_Set[[#This Row],[Collector Booster CardMarket Profit]]/tbl_MTG_Set[[#This Row],[Collector Booster Cost]]</f>
        <v>#N/A</v>
      </c>
      <c r="BC839" s="10"/>
      <c r="BF8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39" s="11" t="e">
        <f>tbl_MTG_Set[[#This Row],[Play Singles CardMarket Profit MTG Stocks]]/tbl_MTG_Set[[#This Row],[Play Booster Cost]]</f>
        <v>#VALUE!</v>
      </c>
      <c r="BI839" s="11" t="b">
        <f>tbl_MTG_Set[[#This Row],[Play Singles CardMarket Profit MTG Stocks]]&gt;0</f>
        <v>0</v>
      </c>
      <c r="BM839" s="10" t="e">
        <f>tbl_MTG_Set[[#This Row],[Play Booster Sell Price CardMarket]]*tbl_MTG_Set[[#This Row],[Play Booster Expected Market Value BotBox]]/tbl_MTG_Set[[#This Row],[Play Booster Sealed Market Value BotBox]]</f>
        <v>#VALUE!</v>
      </c>
      <c r="BN8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39" s="10" t="e">
        <f>tbl_MTG_Set[[#This Row],[Play Singles CardMarket Profit BotBox]]/tbl_MTG_Set[[#This Row],[Play Booster Cost]]</f>
        <v>#VALUE!</v>
      </c>
      <c r="BP839" s="10" t="b">
        <f>tbl_MTG_Set[[#This Row],[Play Singles CardMarket Profit BotBox]]&gt;0</f>
        <v>0</v>
      </c>
      <c r="BQ839" s="10"/>
      <c r="BR839" s="10"/>
      <c r="BS839" s="10"/>
      <c r="BT8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39" s="19" t="e">
        <f>tbl_MTG_Set[[#This Row],[Collector Singles CardMarket Profit MTG Stocks]]/tbl_MTG_Set[[#This Row],[Collector Booster Cost]]</f>
        <v>#N/A</v>
      </c>
      <c r="BW839" s="10" t="b">
        <f>tbl_MTG_Set[[#This Row],[Collector Singles CardMarket Profit MTG Stocks]]&gt;0</f>
        <v>0</v>
      </c>
      <c r="BX839" s="10"/>
      <c r="BY839" s="10"/>
      <c r="BZ8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39" s="10" t="e">
        <f>tbl_MTG_Set[[#This Row],[Collector Singles CardMarket Profit BotBox]]/tbl_MTG_Set[[#This Row],[Collector Booster Cost]]</f>
        <v>#N/A</v>
      </c>
      <c r="CC839" s="10" t="b">
        <f>tbl_MTG_Set[[#This Row],[Collector Singles CardMarket Profit BotBox]]&gt;0</f>
        <v>0</v>
      </c>
      <c r="CD8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0" spans="1:86" hidden="1">
      <c r="A840">
        <v>872</v>
      </c>
      <c r="B840" t="s">
        <v>1013</v>
      </c>
      <c r="C840">
        <v>8</v>
      </c>
      <c r="D840" s="3">
        <v>38353</v>
      </c>
      <c r="F840" t="s">
        <v>174</v>
      </c>
      <c r="G840">
        <v>1690</v>
      </c>
      <c r="H840">
        <f ca="1">MONTH(NOW())+12*YEAR(NOW())-MONTH(tbl_MTG_Set[[#This Row],[Released On]])-12*YEAR(tbl_MTG_Set[[#This Row],[Released On]])</f>
        <v>254</v>
      </c>
      <c r="I840" t="str">
        <f>_xlfn.XLOOKUP(tbl_MTG_Set[[#This Row],[Type Name]], tbl_MTG_Set_Type[Set Type], tbl_MTG_Set_Type[Index], "(Set Type not found)")</f>
        <v>(Set Type not found)</v>
      </c>
      <c r="J840" t="str">
        <f>_xlfn.XLOOKUP(tbl_MTG_Set[[#This Row],[Type Name]], tbl_MTG_Set_Type[Set Type], tbl_MTG_Set_Type[Buy Window Month Start], "(Set Type not found)")</f>
        <v>(Set Type not found)</v>
      </c>
      <c r="K840" s="3" t="e">
        <f>tbl_MTG_Set[[#This Row],[Released On]]+tbl_MTG_Set[[#This Row],[Buy Window Month Start]]*365.25/12</f>
        <v>#VALUE!</v>
      </c>
      <c r="L840" t="str">
        <f>_xlfn.XLOOKUP(tbl_MTG_Set[[#This Row],[Type Name]], tbl_MTG_Set_Type[Set Type], tbl_MTG_Set_Type[Buy Window Month End], "(Set Type not found)", 0, 1)</f>
        <v>(Set Type not found)</v>
      </c>
      <c r="M840" s="3" t="e">
        <f>tbl_MTG_Set[[#This Row],[Released On]]+tbl_MTG_Set[[#This Row],[Buy Window Month End]]*365.25/12</f>
        <v>#VALUE!</v>
      </c>
      <c r="N840" s="3" t="e">
        <f ca="1">AND(NOW()&gt;=tbl_MTG_Set[[#This Row],[Buy Window Start]], NOW()&lt;=tbl_MTG_Set[[#This Row],[Buy Window End]])</f>
        <v>#VALUE!</v>
      </c>
      <c r="O840" t="str">
        <f>_xlfn.XLOOKUP(tbl_MTG_Set[[#This Row],[Type Name]], tbl_MTG_Set_Type[Set Type], tbl_MTG_Set_Type[Heavy Printing Window Month Start], "(Set Type not found)", 0, 1)</f>
        <v>(Set Type not found)</v>
      </c>
      <c r="P840" s="3" t="e">
        <f>tbl_MTG_Set[[#This Row],[Released On]]+tbl_MTG_Set[[#This Row],[Heavy Printing Window Month Start]]*365.25/12</f>
        <v>#VALUE!</v>
      </c>
      <c r="Q840" t="str">
        <f>_xlfn.XLOOKUP(tbl_MTG_Set[[#This Row],[Type Name]], tbl_MTG_Set_Type[Set Type], tbl_MTG_Set_Type[Heavy Printing Window Month End], "(Set Type not found)", 0, 1)</f>
        <v>(Set Type not found)</v>
      </c>
      <c r="R840" s="3" t="e">
        <f>tbl_MTG_Set[[#This Row],[Released On]]+tbl_MTG_Set[[#This Row],[Heavy Printing Window Month End]]*365.25/12</f>
        <v>#VALUE!</v>
      </c>
      <c r="S840" s="3" t="e">
        <f ca="1">AND(NOW()&gt;=tbl_MTG_Set[[#This Row],[Heavy Printing Window Start]], NOW()&lt;=tbl_MTG_Set[[#This Row],[Heavy Printing Window End]])</f>
        <v>#VALUE!</v>
      </c>
      <c r="T840" t="str">
        <f>_xlfn.XLOOKUP(tbl_MTG_Set[[#This Row],[Type Name]], tbl_MTG_Set_Type[Set Type], tbl_MTG_Set_Type[Sell Window Month Start], "(Set Type not found)", 0, 1)</f>
        <v>(Set Type not found)</v>
      </c>
      <c r="U840" s="3" t="e">
        <f>tbl_MTG_Set[[#This Row],[Released On]]+tbl_MTG_Set[[#This Row],[Sell Window Month Start]]*365.25/12</f>
        <v>#VALUE!</v>
      </c>
      <c r="V840" t="str">
        <f>_xlfn.XLOOKUP(tbl_MTG_Set[[#This Row],[Type Name]], tbl_MTG_Set_Type[Set Type], tbl_MTG_Set_Type[Sell Window Month End], "(Set Type not found)", 0, 1)</f>
        <v>(Set Type not found)</v>
      </c>
      <c r="W840" s="3" t="e">
        <f>tbl_MTG_Set[[#This Row],[Released On]]+tbl_MTG_Set[[#This Row],[Sell Window Month End]]*365.25/12</f>
        <v>#VALUE!</v>
      </c>
      <c r="X840" s="3" t="e">
        <f ca="1">AND(NOW()&gt;=tbl_MTG_Set[[#This Row],[Sell Window Start]], NOW()&lt;=tbl_MTG_Set[[#This Row],[Sell Window End]])</f>
        <v>#VALUE!</v>
      </c>
      <c r="AG840" s="10"/>
      <c r="AH840" s="10"/>
      <c r="AM840" s="10" t="str" cm="1">
        <f t="array" ref="AM8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0" s="10" t="str" cm="1">
        <f t="array" ref="AN8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0" s="4" t="e">
        <f>_xlfn.XLOOKUP(tbl_MTG_Set[[#This Row],[Play Booster Box Product Id]], tbl_Product[Product Id], tbl_Product[Pack Size])</f>
        <v>#N/A</v>
      </c>
      <c r="AP840" s="10" t="e">
        <f>(tbl_MTG_Set[[#This Row],[Play Booster Box Cost]]+v_Item_Shipping_Cost_In)/tbl_MTG_Set[[#This Row],[Play Booster Box Size]]</f>
        <v>#VALUE!</v>
      </c>
      <c r="AQ840" s="10" t="str" cm="1">
        <f t="array" ref="AQ8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0" s="10"/>
      <c r="AS840" s="10"/>
      <c r="AT840" s="17" t="e">
        <f>tbl_MTG_Set[[#This Row],[Play Booster CardMarket Profit]]/tbl_MTG_Set[[#This Row],[Play Booster Cost]]</f>
        <v>#VALUE!</v>
      </c>
      <c r="AU840" s="10" t="e">
        <f>_xlfn.XLOOKUP(tbl_MTG_Set[[#This Row],[Collector Booster Box Product Id]], tbl_Product[Product Id], tbl_Product[Min Cost])</f>
        <v>#N/A</v>
      </c>
      <c r="AV840" s="10" t="e">
        <f>_xlfn.XLOOKUP(tbl_MTG_Set[[#This Row],[Collector Booster Box Product Id]], tbl_Product[Product Id], tbl_Product[Best Source])</f>
        <v>#N/A</v>
      </c>
      <c r="AW840" s="4" t="e">
        <f>_xlfn.XLOOKUP(tbl_MTG_Set[[#This Row],[Collector Booster Box Product Id]], tbl_Product[Product Id], tbl_Product[Pack Size])</f>
        <v>#N/A</v>
      </c>
      <c r="AX840" s="10" t="e">
        <f>(tbl_MTG_Set[[#This Row],[Collector Booster Box Cost]] + v_Item_Shipping_Cost_In) / tbl_MTG_Set[[#This Row],[Collector Booster Box Size]]</f>
        <v>#N/A</v>
      </c>
      <c r="AY840" s="10" t="str" cm="1">
        <f t="array" ref="AY8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0" s="10"/>
      <c r="BA8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0" s="17" t="e">
        <f>tbl_MTG_Set[[#This Row],[Collector Booster CardMarket Profit]]/tbl_MTG_Set[[#This Row],[Collector Booster Cost]]</f>
        <v>#N/A</v>
      </c>
      <c r="BC840" s="10"/>
      <c r="BF8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0" s="11" t="e">
        <f>tbl_MTG_Set[[#This Row],[Play Singles CardMarket Profit MTG Stocks]]/tbl_MTG_Set[[#This Row],[Play Booster Cost]]</f>
        <v>#VALUE!</v>
      </c>
      <c r="BI840" s="11" t="b">
        <f>tbl_MTG_Set[[#This Row],[Play Singles CardMarket Profit MTG Stocks]]&gt;0</f>
        <v>0</v>
      </c>
      <c r="BM840" s="10" t="e">
        <f>tbl_MTG_Set[[#This Row],[Play Booster Sell Price CardMarket]]*tbl_MTG_Set[[#This Row],[Play Booster Expected Market Value BotBox]]/tbl_MTG_Set[[#This Row],[Play Booster Sealed Market Value BotBox]]</f>
        <v>#VALUE!</v>
      </c>
      <c r="BN8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0" s="10" t="e">
        <f>tbl_MTG_Set[[#This Row],[Play Singles CardMarket Profit BotBox]]/tbl_MTG_Set[[#This Row],[Play Booster Cost]]</f>
        <v>#VALUE!</v>
      </c>
      <c r="BP840" s="10" t="b">
        <f>tbl_MTG_Set[[#This Row],[Play Singles CardMarket Profit BotBox]]&gt;0</f>
        <v>0</v>
      </c>
      <c r="BQ840" s="10"/>
      <c r="BR840" s="10"/>
      <c r="BS840" s="10"/>
      <c r="BT8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0" s="19" t="e">
        <f>tbl_MTG_Set[[#This Row],[Collector Singles CardMarket Profit MTG Stocks]]/tbl_MTG_Set[[#This Row],[Collector Booster Cost]]</f>
        <v>#N/A</v>
      </c>
      <c r="BW840" s="10" t="b">
        <f>tbl_MTG_Set[[#This Row],[Collector Singles CardMarket Profit MTG Stocks]]&gt;0</f>
        <v>0</v>
      </c>
      <c r="BX840" s="10"/>
      <c r="BY840" s="10"/>
      <c r="BZ8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0" s="10" t="e">
        <f>tbl_MTG_Set[[#This Row],[Collector Singles CardMarket Profit BotBox]]/tbl_MTG_Set[[#This Row],[Collector Booster Cost]]</f>
        <v>#N/A</v>
      </c>
      <c r="CC840" s="10" t="b">
        <f>tbl_MTG_Set[[#This Row],[Collector Singles CardMarket Profit BotBox]]&gt;0</f>
        <v>0</v>
      </c>
      <c r="CD8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1" spans="1:86" hidden="1">
      <c r="A841">
        <v>873</v>
      </c>
      <c r="B841" t="s">
        <v>1014</v>
      </c>
      <c r="C841">
        <v>8</v>
      </c>
      <c r="D841" s="3">
        <v>38353</v>
      </c>
      <c r="F841" t="s">
        <v>174</v>
      </c>
      <c r="G841">
        <v>1692</v>
      </c>
      <c r="H841">
        <f ca="1">MONTH(NOW())+12*YEAR(NOW())-MONTH(tbl_MTG_Set[[#This Row],[Released On]])-12*YEAR(tbl_MTG_Set[[#This Row],[Released On]])</f>
        <v>254</v>
      </c>
      <c r="I841" t="str">
        <f>_xlfn.XLOOKUP(tbl_MTG_Set[[#This Row],[Type Name]], tbl_MTG_Set_Type[Set Type], tbl_MTG_Set_Type[Index], "(Set Type not found)")</f>
        <v>(Set Type not found)</v>
      </c>
      <c r="J841" t="str">
        <f>_xlfn.XLOOKUP(tbl_MTG_Set[[#This Row],[Type Name]], tbl_MTG_Set_Type[Set Type], tbl_MTG_Set_Type[Buy Window Month Start], "(Set Type not found)")</f>
        <v>(Set Type not found)</v>
      </c>
      <c r="K841" s="3" t="e">
        <f>tbl_MTG_Set[[#This Row],[Released On]]+tbl_MTG_Set[[#This Row],[Buy Window Month Start]]*365.25/12</f>
        <v>#VALUE!</v>
      </c>
      <c r="L841" t="str">
        <f>_xlfn.XLOOKUP(tbl_MTG_Set[[#This Row],[Type Name]], tbl_MTG_Set_Type[Set Type], tbl_MTG_Set_Type[Buy Window Month End], "(Set Type not found)", 0, 1)</f>
        <v>(Set Type not found)</v>
      </c>
      <c r="M841" s="3" t="e">
        <f>tbl_MTG_Set[[#This Row],[Released On]]+tbl_MTG_Set[[#This Row],[Buy Window Month End]]*365.25/12</f>
        <v>#VALUE!</v>
      </c>
      <c r="N841" s="3" t="e">
        <f ca="1">AND(NOW()&gt;=tbl_MTG_Set[[#This Row],[Buy Window Start]], NOW()&lt;=tbl_MTG_Set[[#This Row],[Buy Window End]])</f>
        <v>#VALUE!</v>
      </c>
      <c r="O841" t="str">
        <f>_xlfn.XLOOKUP(tbl_MTG_Set[[#This Row],[Type Name]], tbl_MTG_Set_Type[Set Type], tbl_MTG_Set_Type[Heavy Printing Window Month Start], "(Set Type not found)", 0, 1)</f>
        <v>(Set Type not found)</v>
      </c>
      <c r="P841" s="3" t="e">
        <f>tbl_MTG_Set[[#This Row],[Released On]]+tbl_MTG_Set[[#This Row],[Heavy Printing Window Month Start]]*365.25/12</f>
        <v>#VALUE!</v>
      </c>
      <c r="Q841" t="str">
        <f>_xlfn.XLOOKUP(tbl_MTG_Set[[#This Row],[Type Name]], tbl_MTG_Set_Type[Set Type], tbl_MTG_Set_Type[Heavy Printing Window Month End], "(Set Type not found)", 0, 1)</f>
        <v>(Set Type not found)</v>
      </c>
      <c r="R841" s="3" t="e">
        <f>tbl_MTG_Set[[#This Row],[Released On]]+tbl_MTG_Set[[#This Row],[Heavy Printing Window Month End]]*365.25/12</f>
        <v>#VALUE!</v>
      </c>
      <c r="S841" s="3" t="e">
        <f ca="1">AND(NOW()&gt;=tbl_MTG_Set[[#This Row],[Heavy Printing Window Start]], NOW()&lt;=tbl_MTG_Set[[#This Row],[Heavy Printing Window End]])</f>
        <v>#VALUE!</v>
      </c>
      <c r="T841" t="str">
        <f>_xlfn.XLOOKUP(tbl_MTG_Set[[#This Row],[Type Name]], tbl_MTG_Set_Type[Set Type], tbl_MTG_Set_Type[Sell Window Month Start], "(Set Type not found)", 0, 1)</f>
        <v>(Set Type not found)</v>
      </c>
      <c r="U841" s="3" t="e">
        <f>tbl_MTG_Set[[#This Row],[Released On]]+tbl_MTG_Set[[#This Row],[Sell Window Month Start]]*365.25/12</f>
        <v>#VALUE!</v>
      </c>
      <c r="V841" t="str">
        <f>_xlfn.XLOOKUP(tbl_MTG_Set[[#This Row],[Type Name]], tbl_MTG_Set_Type[Set Type], tbl_MTG_Set_Type[Sell Window Month End], "(Set Type not found)", 0, 1)</f>
        <v>(Set Type not found)</v>
      </c>
      <c r="W841" s="3" t="e">
        <f>tbl_MTG_Set[[#This Row],[Released On]]+tbl_MTG_Set[[#This Row],[Sell Window Month End]]*365.25/12</f>
        <v>#VALUE!</v>
      </c>
      <c r="X841" s="3" t="e">
        <f ca="1">AND(NOW()&gt;=tbl_MTG_Set[[#This Row],[Sell Window Start]], NOW()&lt;=tbl_MTG_Set[[#This Row],[Sell Window End]])</f>
        <v>#VALUE!</v>
      </c>
      <c r="AG841" s="10"/>
      <c r="AH841" s="10"/>
      <c r="AM841" s="10" t="str" cm="1">
        <f t="array" ref="AM8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1" s="10" t="str" cm="1">
        <f t="array" ref="AN8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1" s="4" t="e">
        <f>_xlfn.XLOOKUP(tbl_MTG_Set[[#This Row],[Play Booster Box Product Id]], tbl_Product[Product Id], tbl_Product[Pack Size])</f>
        <v>#N/A</v>
      </c>
      <c r="AP841" s="10" t="e">
        <f>(tbl_MTG_Set[[#This Row],[Play Booster Box Cost]]+v_Item_Shipping_Cost_In)/tbl_MTG_Set[[#This Row],[Play Booster Box Size]]</f>
        <v>#VALUE!</v>
      </c>
      <c r="AQ841" s="10" t="str" cm="1">
        <f t="array" ref="AQ8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1" s="10"/>
      <c r="AS841" s="10"/>
      <c r="AT841" s="17" t="e">
        <f>tbl_MTG_Set[[#This Row],[Play Booster CardMarket Profit]]/tbl_MTG_Set[[#This Row],[Play Booster Cost]]</f>
        <v>#VALUE!</v>
      </c>
      <c r="AU841" s="10" t="e">
        <f>_xlfn.XLOOKUP(tbl_MTG_Set[[#This Row],[Collector Booster Box Product Id]], tbl_Product[Product Id], tbl_Product[Min Cost])</f>
        <v>#N/A</v>
      </c>
      <c r="AV841" s="10" t="e">
        <f>_xlfn.XLOOKUP(tbl_MTG_Set[[#This Row],[Collector Booster Box Product Id]], tbl_Product[Product Id], tbl_Product[Best Source])</f>
        <v>#N/A</v>
      </c>
      <c r="AW841" s="4" t="e">
        <f>_xlfn.XLOOKUP(tbl_MTG_Set[[#This Row],[Collector Booster Box Product Id]], tbl_Product[Product Id], tbl_Product[Pack Size])</f>
        <v>#N/A</v>
      </c>
      <c r="AX841" s="10" t="e">
        <f>(tbl_MTG_Set[[#This Row],[Collector Booster Box Cost]] + v_Item_Shipping_Cost_In) / tbl_MTG_Set[[#This Row],[Collector Booster Box Size]]</f>
        <v>#N/A</v>
      </c>
      <c r="AY841" s="10" t="str" cm="1">
        <f t="array" ref="AY8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1" s="10"/>
      <c r="BA8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1" s="17" t="e">
        <f>tbl_MTG_Set[[#This Row],[Collector Booster CardMarket Profit]]/tbl_MTG_Set[[#This Row],[Collector Booster Cost]]</f>
        <v>#N/A</v>
      </c>
      <c r="BC841" s="10"/>
      <c r="BF8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1" s="11" t="e">
        <f>tbl_MTG_Set[[#This Row],[Play Singles CardMarket Profit MTG Stocks]]/tbl_MTG_Set[[#This Row],[Play Booster Cost]]</f>
        <v>#VALUE!</v>
      </c>
      <c r="BI841" s="11" t="b">
        <f>tbl_MTG_Set[[#This Row],[Play Singles CardMarket Profit MTG Stocks]]&gt;0</f>
        <v>0</v>
      </c>
      <c r="BM841" s="10" t="e">
        <f>tbl_MTG_Set[[#This Row],[Play Booster Sell Price CardMarket]]*tbl_MTG_Set[[#This Row],[Play Booster Expected Market Value BotBox]]/tbl_MTG_Set[[#This Row],[Play Booster Sealed Market Value BotBox]]</f>
        <v>#VALUE!</v>
      </c>
      <c r="BN8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1" s="10" t="e">
        <f>tbl_MTG_Set[[#This Row],[Play Singles CardMarket Profit BotBox]]/tbl_MTG_Set[[#This Row],[Play Booster Cost]]</f>
        <v>#VALUE!</v>
      </c>
      <c r="BP841" s="10" t="b">
        <f>tbl_MTG_Set[[#This Row],[Play Singles CardMarket Profit BotBox]]&gt;0</f>
        <v>0</v>
      </c>
      <c r="BQ841" s="10"/>
      <c r="BR841" s="10"/>
      <c r="BS841" s="10"/>
      <c r="BT8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1" s="19" t="e">
        <f>tbl_MTG_Set[[#This Row],[Collector Singles CardMarket Profit MTG Stocks]]/tbl_MTG_Set[[#This Row],[Collector Booster Cost]]</f>
        <v>#N/A</v>
      </c>
      <c r="BW841" s="10" t="b">
        <f>tbl_MTG_Set[[#This Row],[Collector Singles CardMarket Profit MTG Stocks]]&gt;0</f>
        <v>0</v>
      </c>
      <c r="BX841" s="10"/>
      <c r="BY841" s="10"/>
      <c r="BZ8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1" s="10" t="e">
        <f>tbl_MTG_Set[[#This Row],[Collector Singles CardMarket Profit BotBox]]/tbl_MTG_Set[[#This Row],[Collector Booster Cost]]</f>
        <v>#N/A</v>
      </c>
      <c r="CC841" s="10" t="b">
        <f>tbl_MTG_Set[[#This Row],[Collector Singles CardMarket Profit BotBox]]&gt;0</f>
        <v>0</v>
      </c>
      <c r="CD8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2" spans="1:86" hidden="1">
      <c r="A842">
        <v>874</v>
      </c>
      <c r="B842" t="s">
        <v>1015</v>
      </c>
      <c r="C842">
        <v>12</v>
      </c>
      <c r="D842" s="3">
        <v>38353</v>
      </c>
      <c r="F842" t="s">
        <v>174</v>
      </c>
      <c r="G842">
        <v>1694</v>
      </c>
      <c r="H842">
        <f ca="1">MONTH(NOW())+12*YEAR(NOW())-MONTH(tbl_MTG_Set[[#This Row],[Released On]])-12*YEAR(tbl_MTG_Set[[#This Row],[Released On]])</f>
        <v>254</v>
      </c>
      <c r="I842" t="str">
        <f>_xlfn.XLOOKUP(tbl_MTG_Set[[#This Row],[Type Name]], tbl_MTG_Set_Type[Set Type], tbl_MTG_Set_Type[Index], "(Set Type not found)")</f>
        <v>(Set Type not found)</v>
      </c>
      <c r="J842" t="str">
        <f>_xlfn.XLOOKUP(tbl_MTG_Set[[#This Row],[Type Name]], tbl_MTG_Set_Type[Set Type], tbl_MTG_Set_Type[Buy Window Month Start], "(Set Type not found)")</f>
        <v>(Set Type not found)</v>
      </c>
      <c r="K842" s="3" t="e">
        <f>tbl_MTG_Set[[#This Row],[Released On]]+tbl_MTG_Set[[#This Row],[Buy Window Month Start]]*365.25/12</f>
        <v>#VALUE!</v>
      </c>
      <c r="L842" t="str">
        <f>_xlfn.XLOOKUP(tbl_MTG_Set[[#This Row],[Type Name]], tbl_MTG_Set_Type[Set Type], tbl_MTG_Set_Type[Buy Window Month End], "(Set Type not found)", 0, 1)</f>
        <v>(Set Type not found)</v>
      </c>
      <c r="M842" s="3" t="e">
        <f>tbl_MTG_Set[[#This Row],[Released On]]+tbl_MTG_Set[[#This Row],[Buy Window Month End]]*365.25/12</f>
        <v>#VALUE!</v>
      </c>
      <c r="N842" s="3" t="e">
        <f ca="1">AND(NOW()&gt;=tbl_MTG_Set[[#This Row],[Buy Window Start]], NOW()&lt;=tbl_MTG_Set[[#This Row],[Buy Window End]])</f>
        <v>#VALUE!</v>
      </c>
      <c r="O842" t="str">
        <f>_xlfn.XLOOKUP(tbl_MTG_Set[[#This Row],[Type Name]], tbl_MTG_Set_Type[Set Type], tbl_MTG_Set_Type[Heavy Printing Window Month Start], "(Set Type not found)", 0, 1)</f>
        <v>(Set Type not found)</v>
      </c>
      <c r="P842" s="3" t="e">
        <f>tbl_MTG_Set[[#This Row],[Released On]]+tbl_MTG_Set[[#This Row],[Heavy Printing Window Month Start]]*365.25/12</f>
        <v>#VALUE!</v>
      </c>
      <c r="Q842" t="str">
        <f>_xlfn.XLOOKUP(tbl_MTG_Set[[#This Row],[Type Name]], tbl_MTG_Set_Type[Set Type], tbl_MTG_Set_Type[Heavy Printing Window Month End], "(Set Type not found)", 0, 1)</f>
        <v>(Set Type not found)</v>
      </c>
      <c r="R842" s="3" t="e">
        <f>tbl_MTG_Set[[#This Row],[Released On]]+tbl_MTG_Set[[#This Row],[Heavy Printing Window Month End]]*365.25/12</f>
        <v>#VALUE!</v>
      </c>
      <c r="S842" s="3" t="e">
        <f ca="1">AND(NOW()&gt;=tbl_MTG_Set[[#This Row],[Heavy Printing Window Start]], NOW()&lt;=tbl_MTG_Set[[#This Row],[Heavy Printing Window End]])</f>
        <v>#VALUE!</v>
      </c>
      <c r="T842" t="str">
        <f>_xlfn.XLOOKUP(tbl_MTG_Set[[#This Row],[Type Name]], tbl_MTG_Set_Type[Set Type], tbl_MTG_Set_Type[Sell Window Month Start], "(Set Type not found)", 0, 1)</f>
        <v>(Set Type not found)</v>
      </c>
      <c r="U842" s="3" t="e">
        <f>tbl_MTG_Set[[#This Row],[Released On]]+tbl_MTG_Set[[#This Row],[Sell Window Month Start]]*365.25/12</f>
        <v>#VALUE!</v>
      </c>
      <c r="V842" t="str">
        <f>_xlfn.XLOOKUP(tbl_MTG_Set[[#This Row],[Type Name]], tbl_MTG_Set_Type[Set Type], tbl_MTG_Set_Type[Sell Window Month End], "(Set Type not found)", 0, 1)</f>
        <v>(Set Type not found)</v>
      </c>
      <c r="W842" s="3" t="e">
        <f>tbl_MTG_Set[[#This Row],[Released On]]+tbl_MTG_Set[[#This Row],[Sell Window Month End]]*365.25/12</f>
        <v>#VALUE!</v>
      </c>
      <c r="X842" s="3" t="e">
        <f ca="1">AND(NOW()&gt;=tbl_MTG_Set[[#This Row],[Sell Window Start]], NOW()&lt;=tbl_MTG_Set[[#This Row],[Sell Window End]])</f>
        <v>#VALUE!</v>
      </c>
      <c r="AG842" s="10"/>
      <c r="AH842" s="10"/>
      <c r="AM842" s="10" t="str" cm="1">
        <f t="array" ref="AM8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2" s="10" t="str" cm="1">
        <f t="array" ref="AN8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2" s="4" t="e">
        <f>_xlfn.XLOOKUP(tbl_MTG_Set[[#This Row],[Play Booster Box Product Id]], tbl_Product[Product Id], tbl_Product[Pack Size])</f>
        <v>#N/A</v>
      </c>
      <c r="AP842" s="10" t="e">
        <f>(tbl_MTG_Set[[#This Row],[Play Booster Box Cost]]+v_Item_Shipping_Cost_In)/tbl_MTG_Set[[#This Row],[Play Booster Box Size]]</f>
        <v>#VALUE!</v>
      </c>
      <c r="AQ842" s="10" t="str" cm="1">
        <f t="array" ref="AQ8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2" s="10"/>
      <c r="AS842" s="10"/>
      <c r="AT842" s="17" t="e">
        <f>tbl_MTG_Set[[#This Row],[Play Booster CardMarket Profit]]/tbl_MTG_Set[[#This Row],[Play Booster Cost]]</f>
        <v>#VALUE!</v>
      </c>
      <c r="AU842" s="10" t="e">
        <f>_xlfn.XLOOKUP(tbl_MTG_Set[[#This Row],[Collector Booster Box Product Id]], tbl_Product[Product Id], tbl_Product[Min Cost])</f>
        <v>#N/A</v>
      </c>
      <c r="AV842" s="10" t="e">
        <f>_xlfn.XLOOKUP(tbl_MTG_Set[[#This Row],[Collector Booster Box Product Id]], tbl_Product[Product Id], tbl_Product[Best Source])</f>
        <v>#N/A</v>
      </c>
      <c r="AW842" s="4" t="e">
        <f>_xlfn.XLOOKUP(tbl_MTG_Set[[#This Row],[Collector Booster Box Product Id]], tbl_Product[Product Id], tbl_Product[Pack Size])</f>
        <v>#N/A</v>
      </c>
      <c r="AX842" s="10" t="e">
        <f>(tbl_MTG_Set[[#This Row],[Collector Booster Box Cost]] + v_Item_Shipping_Cost_In) / tbl_MTG_Set[[#This Row],[Collector Booster Box Size]]</f>
        <v>#N/A</v>
      </c>
      <c r="AY842" s="10" t="str" cm="1">
        <f t="array" ref="AY8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2" s="10"/>
      <c r="BA8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2" s="17" t="e">
        <f>tbl_MTG_Set[[#This Row],[Collector Booster CardMarket Profit]]/tbl_MTG_Set[[#This Row],[Collector Booster Cost]]</f>
        <v>#N/A</v>
      </c>
      <c r="BC842" s="10"/>
      <c r="BF8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2" s="11" t="e">
        <f>tbl_MTG_Set[[#This Row],[Play Singles CardMarket Profit MTG Stocks]]/tbl_MTG_Set[[#This Row],[Play Booster Cost]]</f>
        <v>#VALUE!</v>
      </c>
      <c r="BI842" s="11" t="b">
        <f>tbl_MTG_Set[[#This Row],[Play Singles CardMarket Profit MTG Stocks]]&gt;0</f>
        <v>0</v>
      </c>
      <c r="BM842" s="10" t="e">
        <f>tbl_MTG_Set[[#This Row],[Play Booster Sell Price CardMarket]]*tbl_MTG_Set[[#This Row],[Play Booster Expected Market Value BotBox]]/tbl_MTG_Set[[#This Row],[Play Booster Sealed Market Value BotBox]]</f>
        <v>#VALUE!</v>
      </c>
      <c r="BN8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2" s="10" t="e">
        <f>tbl_MTG_Set[[#This Row],[Play Singles CardMarket Profit BotBox]]/tbl_MTG_Set[[#This Row],[Play Booster Cost]]</f>
        <v>#VALUE!</v>
      </c>
      <c r="BP842" s="10" t="b">
        <f>tbl_MTG_Set[[#This Row],[Play Singles CardMarket Profit BotBox]]&gt;0</f>
        <v>0</v>
      </c>
      <c r="BQ842" s="10"/>
      <c r="BR842" s="10"/>
      <c r="BS842" s="10"/>
      <c r="BT8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2" s="19" t="e">
        <f>tbl_MTG_Set[[#This Row],[Collector Singles CardMarket Profit MTG Stocks]]/tbl_MTG_Set[[#This Row],[Collector Booster Cost]]</f>
        <v>#N/A</v>
      </c>
      <c r="BW842" s="10" t="b">
        <f>tbl_MTG_Set[[#This Row],[Collector Singles CardMarket Profit MTG Stocks]]&gt;0</f>
        <v>0</v>
      </c>
      <c r="BX842" s="10"/>
      <c r="BY842" s="10"/>
      <c r="BZ8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2" s="10" t="e">
        <f>tbl_MTG_Set[[#This Row],[Collector Singles CardMarket Profit BotBox]]/tbl_MTG_Set[[#This Row],[Collector Booster Cost]]</f>
        <v>#N/A</v>
      </c>
      <c r="CC842" s="10" t="b">
        <f>tbl_MTG_Set[[#This Row],[Collector Singles CardMarket Profit BotBox]]&gt;0</f>
        <v>0</v>
      </c>
      <c r="CD8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3" spans="1:86" hidden="1">
      <c r="A843">
        <v>875</v>
      </c>
      <c r="B843" t="s">
        <v>1016</v>
      </c>
      <c r="C843">
        <v>6</v>
      </c>
      <c r="D843" s="3">
        <v>38353</v>
      </c>
      <c r="F843" t="s">
        <v>174</v>
      </c>
      <c r="G843">
        <v>1696</v>
      </c>
      <c r="H843">
        <f ca="1">MONTH(NOW())+12*YEAR(NOW())-MONTH(tbl_MTG_Set[[#This Row],[Released On]])-12*YEAR(tbl_MTG_Set[[#This Row],[Released On]])</f>
        <v>254</v>
      </c>
      <c r="I843" t="str">
        <f>_xlfn.XLOOKUP(tbl_MTG_Set[[#This Row],[Type Name]], tbl_MTG_Set_Type[Set Type], tbl_MTG_Set_Type[Index], "(Set Type not found)")</f>
        <v>(Set Type not found)</v>
      </c>
      <c r="J843" t="str">
        <f>_xlfn.XLOOKUP(tbl_MTG_Set[[#This Row],[Type Name]], tbl_MTG_Set_Type[Set Type], tbl_MTG_Set_Type[Buy Window Month Start], "(Set Type not found)")</f>
        <v>(Set Type not found)</v>
      </c>
      <c r="K843" s="3" t="e">
        <f>tbl_MTG_Set[[#This Row],[Released On]]+tbl_MTG_Set[[#This Row],[Buy Window Month Start]]*365.25/12</f>
        <v>#VALUE!</v>
      </c>
      <c r="L843" t="str">
        <f>_xlfn.XLOOKUP(tbl_MTG_Set[[#This Row],[Type Name]], tbl_MTG_Set_Type[Set Type], tbl_MTG_Set_Type[Buy Window Month End], "(Set Type not found)", 0, 1)</f>
        <v>(Set Type not found)</v>
      </c>
      <c r="M843" s="3" t="e">
        <f>tbl_MTG_Set[[#This Row],[Released On]]+tbl_MTG_Set[[#This Row],[Buy Window Month End]]*365.25/12</f>
        <v>#VALUE!</v>
      </c>
      <c r="N843" s="3" t="e">
        <f ca="1">AND(NOW()&gt;=tbl_MTG_Set[[#This Row],[Buy Window Start]], NOW()&lt;=tbl_MTG_Set[[#This Row],[Buy Window End]])</f>
        <v>#VALUE!</v>
      </c>
      <c r="O843" t="str">
        <f>_xlfn.XLOOKUP(tbl_MTG_Set[[#This Row],[Type Name]], tbl_MTG_Set_Type[Set Type], tbl_MTG_Set_Type[Heavy Printing Window Month Start], "(Set Type not found)", 0, 1)</f>
        <v>(Set Type not found)</v>
      </c>
      <c r="P843" s="3" t="e">
        <f>tbl_MTG_Set[[#This Row],[Released On]]+tbl_MTG_Set[[#This Row],[Heavy Printing Window Month Start]]*365.25/12</f>
        <v>#VALUE!</v>
      </c>
      <c r="Q843" t="str">
        <f>_xlfn.XLOOKUP(tbl_MTG_Set[[#This Row],[Type Name]], tbl_MTG_Set_Type[Set Type], tbl_MTG_Set_Type[Heavy Printing Window Month End], "(Set Type not found)", 0, 1)</f>
        <v>(Set Type not found)</v>
      </c>
      <c r="R843" s="3" t="e">
        <f>tbl_MTG_Set[[#This Row],[Released On]]+tbl_MTG_Set[[#This Row],[Heavy Printing Window Month End]]*365.25/12</f>
        <v>#VALUE!</v>
      </c>
      <c r="S843" s="3" t="e">
        <f ca="1">AND(NOW()&gt;=tbl_MTG_Set[[#This Row],[Heavy Printing Window Start]], NOW()&lt;=tbl_MTG_Set[[#This Row],[Heavy Printing Window End]])</f>
        <v>#VALUE!</v>
      </c>
      <c r="T843" t="str">
        <f>_xlfn.XLOOKUP(tbl_MTG_Set[[#This Row],[Type Name]], tbl_MTG_Set_Type[Set Type], tbl_MTG_Set_Type[Sell Window Month Start], "(Set Type not found)", 0, 1)</f>
        <v>(Set Type not found)</v>
      </c>
      <c r="U843" s="3" t="e">
        <f>tbl_MTG_Set[[#This Row],[Released On]]+tbl_MTG_Set[[#This Row],[Sell Window Month Start]]*365.25/12</f>
        <v>#VALUE!</v>
      </c>
      <c r="V843" t="str">
        <f>_xlfn.XLOOKUP(tbl_MTG_Set[[#This Row],[Type Name]], tbl_MTG_Set_Type[Set Type], tbl_MTG_Set_Type[Sell Window Month End], "(Set Type not found)", 0, 1)</f>
        <v>(Set Type not found)</v>
      </c>
      <c r="W843" s="3" t="e">
        <f>tbl_MTG_Set[[#This Row],[Released On]]+tbl_MTG_Set[[#This Row],[Sell Window Month End]]*365.25/12</f>
        <v>#VALUE!</v>
      </c>
      <c r="X843" s="3" t="e">
        <f ca="1">AND(NOW()&gt;=tbl_MTG_Set[[#This Row],[Sell Window Start]], NOW()&lt;=tbl_MTG_Set[[#This Row],[Sell Window End]])</f>
        <v>#VALUE!</v>
      </c>
      <c r="AG843" s="10"/>
      <c r="AH843" s="10"/>
      <c r="AM843" s="10" t="str" cm="1">
        <f t="array" ref="AM8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3" s="10" t="str" cm="1">
        <f t="array" ref="AN8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3" s="4" t="e">
        <f>_xlfn.XLOOKUP(tbl_MTG_Set[[#This Row],[Play Booster Box Product Id]], tbl_Product[Product Id], tbl_Product[Pack Size])</f>
        <v>#N/A</v>
      </c>
      <c r="AP843" s="10" t="e">
        <f>(tbl_MTG_Set[[#This Row],[Play Booster Box Cost]]+v_Item_Shipping_Cost_In)/tbl_MTG_Set[[#This Row],[Play Booster Box Size]]</f>
        <v>#VALUE!</v>
      </c>
      <c r="AQ843" s="10" t="str" cm="1">
        <f t="array" ref="AQ8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3" s="10"/>
      <c r="AS843" s="10"/>
      <c r="AT843" s="17" t="e">
        <f>tbl_MTG_Set[[#This Row],[Play Booster CardMarket Profit]]/tbl_MTG_Set[[#This Row],[Play Booster Cost]]</f>
        <v>#VALUE!</v>
      </c>
      <c r="AU843" s="10" t="e">
        <f>_xlfn.XLOOKUP(tbl_MTG_Set[[#This Row],[Collector Booster Box Product Id]], tbl_Product[Product Id], tbl_Product[Min Cost])</f>
        <v>#N/A</v>
      </c>
      <c r="AV843" s="10" t="e">
        <f>_xlfn.XLOOKUP(tbl_MTG_Set[[#This Row],[Collector Booster Box Product Id]], tbl_Product[Product Id], tbl_Product[Best Source])</f>
        <v>#N/A</v>
      </c>
      <c r="AW843" s="4" t="e">
        <f>_xlfn.XLOOKUP(tbl_MTG_Set[[#This Row],[Collector Booster Box Product Id]], tbl_Product[Product Id], tbl_Product[Pack Size])</f>
        <v>#N/A</v>
      </c>
      <c r="AX843" s="10" t="e">
        <f>(tbl_MTG_Set[[#This Row],[Collector Booster Box Cost]] + v_Item_Shipping_Cost_In) / tbl_MTG_Set[[#This Row],[Collector Booster Box Size]]</f>
        <v>#N/A</v>
      </c>
      <c r="AY843" s="10" t="str" cm="1">
        <f t="array" ref="AY8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3" s="10"/>
      <c r="BA8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3" s="17" t="e">
        <f>tbl_MTG_Set[[#This Row],[Collector Booster CardMarket Profit]]/tbl_MTG_Set[[#This Row],[Collector Booster Cost]]</f>
        <v>#N/A</v>
      </c>
      <c r="BC843" s="10"/>
      <c r="BF8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3" s="11" t="e">
        <f>tbl_MTG_Set[[#This Row],[Play Singles CardMarket Profit MTG Stocks]]/tbl_MTG_Set[[#This Row],[Play Booster Cost]]</f>
        <v>#VALUE!</v>
      </c>
      <c r="BI843" s="11" t="b">
        <f>tbl_MTG_Set[[#This Row],[Play Singles CardMarket Profit MTG Stocks]]&gt;0</f>
        <v>0</v>
      </c>
      <c r="BM843" s="10" t="e">
        <f>tbl_MTG_Set[[#This Row],[Play Booster Sell Price CardMarket]]*tbl_MTG_Set[[#This Row],[Play Booster Expected Market Value BotBox]]/tbl_MTG_Set[[#This Row],[Play Booster Sealed Market Value BotBox]]</f>
        <v>#VALUE!</v>
      </c>
      <c r="BN8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3" s="10" t="e">
        <f>tbl_MTG_Set[[#This Row],[Play Singles CardMarket Profit BotBox]]/tbl_MTG_Set[[#This Row],[Play Booster Cost]]</f>
        <v>#VALUE!</v>
      </c>
      <c r="BP843" s="10" t="b">
        <f>tbl_MTG_Set[[#This Row],[Play Singles CardMarket Profit BotBox]]&gt;0</f>
        <v>0</v>
      </c>
      <c r="BQ843" s="10"/>
      <c r="BR843" s="10"/>
      <c r="BS843" s="10"/>
      <c r="BT8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3" s="19" t="e">
        <f>tbl_MTG_Set[[#This Row],[Collector Singles CardMarket Profit MTG Stocks]]/tbl_MTG_Set[[#This Row],[Collector Booster Cost]]</f>
        <v>#N/A</v>
      </c>
      <c r="BW843" s="10" t="b">
        <f>tbl_MTG_Set[[#This Row],[Collector Singles CardMarket Profit MTG Stocks]]&gt;0</f>
        <v>0</v>
      </c>
      <c r="BX843" s="10"/>
      <c r="BY843" s="10"/>
      <c r="BZ8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3" s="10" t="e">
        <f>tbl_MTG_Set[[#This Row],[Collector Singles CardMarket Profit BotBox]]/tbl_MTG_Set[[#This Row],[Collector Booster Cost]]</f>
        <v>#N/A</v>
      </c>
      <c r="CC843" s="10" t="b">
        <f>tbl_MTG_Set[[#This Row],[Collector Singles CardMarket Profit BotBox]]&gt;0</f>
        <v>0</v>
      </c>
      <c r="CD8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4" spans="1:86" hidden="1">
      <c r="A844">
        <v>876</v>
      </c>
      <c r="B844" t="s">
        <v>1017</v>
      </c>
      <c r="C844">
        <v>4</v>
      </c>
      <c r="D844" s="3">
        <v>38353</v>
      </c>
      <c r="F844" t="s">
        <v>174</v>
      </c>
      <c r="G844">
        <v>1698</v>
      </c>
      <c r="H844">
        <f ca="1">MONTH(NOW())+12*YEAR(NOW())-MONTH(tbl_MTG_Set[[#This Row],[Released On]])-12*YEAR(tbl_MTG_Set[[#This Row],[Released On]])</f>
        <v>254</v>
      </c>
      <c r="I844" t="str">
        <f>_xlfn.XLOOKUP(tbl_MTG_Set[[#This Row],[Type Name]], tbl_MTG_Set_Type[Set Type], tbl_MTG_Set_Type[Index], "(Set Type not found)")</f>
        <v>(Set Type not found)</v>
      </c>
      <c r="J844" t="str">
        <f>_xlfn.XLOOKUP(tbl_MTG_Set[[#This Row],[Type Name]], tbl_MTG_Set_Type[Set Type], tbl_MTG_Set_Type[Buy Window Month Start], "(Set Type not found)")</f>
        <v>(Set Type not found)</v>
      </c>
      <c r="K844" s="3" t="e">
        <f>tbl_MTG_Set[[#This Row],[Released On]]+tbl_MTG_Set[[#This Row],[Buy Window Month Start]]*365.25/12</f>
        <v>#VALUE!</v>
      </c>
      <c r="L844" t="str">
        <f>_xlfn.XLOOKUP(tbl_MTG_Set[[#This Row],[Type Name]], tbl_MTG_Set_Type[Set Type], tbl_MTG_Set_Type[Buy Window Month End], "(Set Type not found)", 0, 1)</f>
        <v>(Set Type not found)</v>
      </c>
      <c r="M844" s="3" t="e">
        <f>tbl_MTG_Set[[#This Row],[Released On]]+tbl_MTG_Set[[#This Row],[Buy Window Month End]]*365.25/12</f>
        <v>#VALUE!</v>
      </c>
      <c r="N844" s="3" t="e">
        <f ca="1">AND(NOW()&gt;=tbl_MTG_Set[[#This Row],[Buy Window Start]], NOW()&lt;=tbl_MTG_Set[[#This Row],[Buy Window End]])</f>
        <v>#VALUE!</v>
      </c>
      <c r="O844" t="str">
        <f>_xlfn.XLOOKUP(tbl_MTG_Set[[#This Row],[Type Name]], tbl_MTG_Set_Type[Set Type], tbl_MTG_Set_Type[Heavy Printing Window Month Start], "(Set Type not found)", 0, 1)</f>
        <v>(Set Type not found)</v>
      </c>
      <c r="P844" s="3" t="e">
        <f>tbl_MTG_Set[[#This Row],[Released On]]+tbl_MTG_Set[[#This Row],[Heavy Printing Window Month Start]]*365.25/12</f>
        <v>#VALUE!</v>
      </c>
      <c r="Q844" t="str">
        <f>_xlfn.XLOOKUP(tbl_MTG_Set[[#This Row],[Type Name]], tbl_MTG_Set_Type[Set Type], tbl_MTG_Set_Type[Heavy Printing Window Month End], "(Set Type not found)", 0, 1)</f>
        <v>(Set Type not found)</v>
      </c>
      <c r="R844" s="3" t="e">
        <f>tbl_MTG_Set[[#This Row],[Released On]]+tbl_MTG_Set[[#This Row],[Heavy Printing Window Month End]]*365.25/12</f>
        <v>#VALUE!</v>
      </c>
      <c r="S844" s="3" t="e">
        <f ca="1">AND(NOW()&gt;=tbl_MTG_Set[[#This Row],[Heavy Printing Window Start]], NOW()&lt;=tbl_MTG_Set[[#This Row],[Heavy Printing Window End]])</f>
        <v>#VALUE!</v>
      </c>
      <c r="T844" t="str">
        <f>_xlfn.XLOOKUP(tbl_MTG_Set[[#This Row],[Type Name]], tbl_MTG_Set_Type[Set Type], tbl_MTG_Set_Type[Sell Window Month Start], "(Set Type not found)", 0, 1)</f>
        <v>(Set Type not found)</v>
      </c>
      <c r="U844" s="3" t="e">
        <f>tbl_MTG_Set[[#This Row],[Released On]]+tbl_MTG_Set[[#This Row],[Sell Window Month Start]]*365.25/12</f>
        <v>#VALUE!</v>
      </c>
      <c r="V844" t="str">
        <f>_xlfn.XLOOKUP(tbl_MTG_Set[[#This Row],[Type Name]], tbl_MTG_Set_Type[Set Type], tbl_MTG_Set_Type[Sell Window Month End], "(Set Type not found)", 0, 1)</f>
        <v>(Set Type not found)</v>
      </c>
      <c r="W844" s="3" t="e">
        <f>tbl_MTG_Set[[#This Row],[Released On]]+tbl_MTG_Set[[#This Row],[Sell Window Month End]]*365.25/12</f>
        <v>#VALUE!</v>
      </c>
      <c r="X844" s="3" t="e">
        <f ca="1">AND(NOW()&gt;=tbl_MTG_Set[[#This Row],[Sell Window Start]], NOW()&lt;=tbl_MTG_Set[[#This Row],[Sell Window End]])</f>
        <v>#VALUE!</v>
      </c>
      <c r="AG844" s="10"/>
      <c r="AH844" s="10"/>
      <c r="AM844" s="10" t="str" cm="1">
        <f t="array" ref="AM8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4" s="10" t="str" cm="1">
        <f t="array" ref="AN8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4" s="4" t="e">
        <f>_xlfn.XLOOKUP(tbl_MTG_Set[[#This Row],[Play Booster Box Product Id]], tbl_Product[Product Id], tbl_Product[Pack Size])</f>
        <v>#N/A</v>
      </c>
      <c r="AP844" s="10" t="e">
        <f>(tbl_MTG_Set[[#This Row],[Play Booster Box Cost]]+v_Item_Shipping_Cost_In)/tbl_MTG_Set[[#This Row],[Play Booster Box Size]]</f>
        <v>#VALUE!</v>
      </c>
      <c r="AQ844" s="10" t="str" cm="1">
        <f t="array" ref="AQ8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4" s="10"/>
      <c r="AS844" s="10"/>
      <c r="AT844" s="17" t="e">
        <f>tbl_MTG_Set[[#This Row],[Play Booster CardMarket Profit]]/tbl_MTG_Set[[#This Row],[Play Booster Cost]]</f>
        <v>#VALUE!</v>
      </c>
      <c r="AU844" s="10" t="e">
        <f>_xlfn.XLOOKUP(tbl_MTG_Set[[#This Row],[Collector Booster Box Product Id]], tbl_Product[Product Id], tbl_Product[Min Cost])</f>
        <v>#N/A</v>
      </c>
      <c r="AV844" s="10" t="e">
        <f>_xlfn.XLOOKUP(tbl_MTG_Set[[#This Row],[Collector Booster Box Product Id]], tbl_Product[Product Id], tbl_Product[Best Source])</f>
        <v>#N/A</v>
      </c>
      <c r="AW844" s="4" t="e">
        <f>_xlfn.XLOOKUP(tbl_MTG_Set[[#This Row],[Collector Booster Box Product Id]], tbl_Product[Product Id], tbl_Product[Pack Size])</f>
        <v>#N/A</v>
      </c>
      <c r="AX844" s="10" t="e">
        <f>(tbl_MTG_Set[[#This Row],[Collector Booster Box Cost]] + v_Item_Shipping_Cost_In) / tbl_MTG_Set[[#This Row],[Collector Booster Box Size]]</f>
        <v>#N/A</v>
      </c>
      <c r="AY844" s="10" t="str" cm="1">
        <f t="array" ref="AY8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4" s="10"/>
      <c r="BA8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4" s="17" t="e">
        <f>tbl_MTG_Set[[#This Row],[Collector Booster CardMarket Profit]]/tbl_MTG_Set[[#This Row],[Collector Booster Cost]]</f>
        <v>#N/A</v>
      </c>
      <c r="BC844" s="10"/>
      <c r="BF8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4" s="11" t="e">
        <f>tbl_MTG_Set[[#This Row],[Play Singles CardMarket Profit MTG Stocks]]/tbl_MTG_Set[[#This Row],[Play Booster Cost]]</f>
        <v>#VALUE!</v>
      </c>
      <c r="BI844" s="11" t="b">
        <f>tbl_MTG_Set[[#This Row],[Play Singles CardMarket Profit MTG Stocks]]&gt;0</f>
        <v>0</v>
      </c>
      <c r="BM844" s="10" t="e">
        <f>tbl_MTG_Set[[#This Row],[Play Booster Sell Price CardMarket]]*tbl_MTG_Set[[#This Row],[Play Booster Expected Market Value BotBox]]/tbl_MTG_Set[[#This Row],[Play Booster Sealed Market Value BotBox]]</f>
        <v>#VALUE!</v>
      </c>
      <c r="BN8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4" s="10" t="e">
        <f>tbl_MTG_Set[[#This Row],[Play Singles CardMarket Profit BotBox]]/tbl_MTG_Set[[#This Row],[Play Booster Cost]]</f>
        <v>#VALUE!</v>
      </c>
      <c r="BP844" s="10" t="b">
        <f>tbl_MTG_Set[[#This Row],[Play Singles CardMarket Profit BotBox]]&gt;0</f>
        <v>0</v>
      </c>
      <c r="BQ844" s="10"/>
      <c r="BR844" s="10"/>
      <c r="BS844" s="10"/>
      <c r="BT8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4" s="19" t="e">
        <f>tbl_MTG_Set[[#This Row],[Collector Singles CardMarket Profit MTG Stocks]]/tbl_MTG_Set[[#This Row],[Collector Booster Cost]]</f>
        <v>#N/A</v>
      </c>
      <c r="BW844" s="10" t="b">
        <f>tbl_MTG_Set[[#This Row],[Collector Singles CardMarket Profit MTG Stocks]]&gt;0</f>
        <v>0</v>
      </c>
      <c r="BX844" s="10"/>
      <c r="BY844" s="10"/>
      <c r="BZ8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4" s="10" t="e">
        <f>tbl_MTG_Set[[#This Row],[Collector Singles CardMarket Profit BotBox]]/tbl_MTG_Set[[#This Row],[Collector Booster Cost]]</f>
        <v>#N/A</v>
      </c>
      <c r="CC844" s="10" t="b">
        <f>tbl_MTG_Set[[#This Row],[Collector Singles CardMarket Profit BotBox]]&gt;0</f>
        <v>0</v>
      </c>
      <c r="CD8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5" spans="1:86" hidden="1">
      <c r="A845">
        <v>877</v>
      </c>
      <c r="B845" t="s">
        <v>1018</v>
      </c>
      <c r="C845">
        <v>168</v>
      </c>
      <c r="D845" s="3">
        <v>38310</v>
      </c>
      <c r="F845" t="s">
        <v>174</v>
      </c>
      <c r="G845">
        <v>1700</v>
      </c>
      <c r="H845">
        <f ca="1">MONTH(NOW())+12*YEAR(NOW())-MONTH(tbl_MTG_Set[[#This Row],[Released On]])-12*YEAR(tbl_MTG_Set[[#This Row],[Released On]])</f>
        <v>256</v>
      </c>
      <c r="I845" t="str">
        <f>_xlfn.XLOOKUP(tbl_MTG_Set[[#This Row],[Type Name]], tbl_MTG_Set_Type[Set Type], tbl_MTG_Set_Type[Index], "(Set Type not found)")</f>
        <v>(Set Type not found)</v>
      </c>
      <c r="J845" t="str">
        <f>_xlfn.XLOOKUP(tbl_MTG_Set[[#This Row],[Type Name]], tbl_MTG_Set_Type[Set Type], tbl_MTG_Set_Type[Buy Window Month Start], "(Set Type not found)")</f>
        <v>(Set Type not found)</v>
      </c>
      <c r="K845" s="3" t="e">
        <f>tbl_MTG_Set[[#This Row],[Released On]]+tbl_MTG_Set[[#This Row],[Buy Window Month Start]]*365.25/12</f>
        <v>#VALUE!</v>
      </c>
      <c r="L845" t="str">
        <f>_xlfn.XLOOKUP(tbl_MTG_Set[[#This Row],[Type Name]], tbl_MTG_Set_Type[Set Type], tbl_MTG_Set_Type[Buy Window Month End], "(Set Type not found)", 0, 1)</f>
        <v>(Set Type not found)</v>
      </c>
      <c r="M845" s="3" t="e">
        <f>tbl_MTG_Set[[#This Row],[Released On]]+tbl_MTG_Set[[#This Row],[Buy Window Month End]]*365.25/12</f>
        <v>#VALUE!</v>
      </c>
      <c r="N845" s="3" t="e">
        <f ca="1">AND(NOW()&gt;=tbl_MTG_Set[[#This Row],[Buy Window Start]], NOW()&lt;=tbl_MTG_Set[[#This Row],[Buy Window End]])</f>
        <v>#VALUE!</v>
      </c>
      <c r="O845" t="str">
        <f>_xlfn.XLOOKUP(tbl_MTG_Set[[#This Row],[Type Name]], tbl_MTG_Set_Type[Set Type], tbl_MTG_Set_Type[Heavy Printing Window Month Start], "(Set Type not found)", 0, 1)</f>
        <v>(Set Type not found)</v>
      </c>
      <c r="P845" s="3" t="e">
        <f>tbl_MTG_Set[[#This Row],[Released On]]+tbl_MTG_Set[[#This Row],[Heavy Printing Window Month Start]]*365.25/12</f>
        <v>#VALUE!</v>
      </c>
      <c r="Q845" t="str">
        <f>_xlfn.XLOOKUP(tbl_MTG_Set[[#This Row],[Type Name]], tbl_MTG_Set_Type[Set Type], tbl_MTG_Set_Type[Heavy Printing Window Month End], "(Set Type not found)", 0, 1)</f>
        <v>(Set Type not found)</v>
      </c>
      <c r="R845" s="3" t="e">
        <f>tbl_MTG_Set[[#This Row],[Released On]]+tbl_MTG_Set[[#This Row],[Heavy Printing Window Month End]]*365.25/12</f>
        <v>#VALUE!</v>
      </c>
      <c r="S845" s="3" t="e">
        <f ca="1">AND(NOW()&gt;=tbl_MTG_Set[[#This Row],[Heavy Printing Window Start]], NOW()&lt;=tbl_MTG_Set[[#This Row],[Heavy Printing Window End]])</f>
        <v>#VALUE!</v>
      </c>
      <c r="T845" t="str">
        <f>_xlfn.XLOOKUP(tbl_MTG_Set[[#This Row],[Type Name]], tbl_MTG_Set_Type[Set Type], tbl_MTG_Set_Type[Sell Window Month Start], "(Set Type not found)", 0, 1)</f>
        <v>(Set Type not found)</v>
      </c>
      <c r="U845" s="3" t="e">
        <f>tbl_MTG_Set[[#This Row],[Released On]]+tbl_MTG_Set[[#This Row],[Sell Window Month Start]]*365.25/12</f>
        <v>#VALUE!</v>
      </c>
      <c r="V845" t="str">
        <f>_xlfn.XLOOKUP(tbl_MTG_Set[[#This Row],[Type Name]], tbl_MTG_Set_Type[Set Type], tbl_MTG_Set_Type[Sell Window Month End], "(Set Type not found)", 0, 1)</f>
        <v>(Set Type not found)</v>
      </c>
      <c r="W845" s="3" t="e">
        <f>tbl_MTG_Set[[#This Row],[Released On]]+tbl_MTG_Set[[#This Row],[Sell Window Month End]]*365.25/12</f>
        <v>#VALUE!</v>
      </c>
      <c r="X845" s="3" t="e">
        <f ca="1">AND(NOW()&gt;=tbl_MTG_Set[[#This Row],[Sell Window Start]], NOW()&lt;=tbl_MTG_Set[[#This Row],[Sell Window End]])</f>
        <v>#VALUE!</v>
      </c>
      <c r="AG845" s="10"/>
      <c r="AH845" s="10"/>
      <c r="AM845" s="10" t="str" cm="1">
        <f t="array" ref="AM8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5" s="10" t="str" cm="1">
        <f t="array" ref="AN8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5" s="4" t="e">
        <f>_xlfn.XLOOKUP(tbl_MTG_Set[[#This Row],[Play Booster Box Product Id]], tbl_Product[Product Id], tbl_Product[Pack Size])</f>
        <v>#N/A</v>
      </c>
      <c r="AP845" s="10" t="e">
        <f>(tbl_MTG_Set[[#This Row],[Play Booster Box Cost]]+v_Item_Shipping_Cost_In)/tbl_MTG_Set[[#This Row],[Play Booster Box Size]]</f>
        <v>#VALUE!</v>
      </c>
      <c r="AQ845" s="10" t="str" cm="1">
        <f t="array" ref="AQ8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5" s="10"/>
      <c r="AS845" s="10"/>
      <c r="AT845" s="17" t="e">
        <f>tbl_MTG_Set[[#This Row],[Play Booster CardMarket Profit]]/tbl_MTG_Set[[#This Row],[Play Booster Cost]]</f>
        <v>#VALUE!</v>
      </c>
      <c r="AU845" s="10" t="e">
        <f>_xlfn.XLOOKUP(tbl_MTG_Set[[#This Row],[Collector Booster Box Product Id]], tbl_Product[Product Id], tbl_Product[Min Cost])</f>
        <v>#N/A</v>
      </c>
      <c r="AV845" s="10" t="e">
        <f>_xlfn.XLOOKUP(tbl_MTG_Set[[#This Row],[Collector Booster Box Product Id]], tbl_Product[Product Id], tbl_Product[Best Source])</f>
        <v>#N/A</v>
      </c>
      <c r="AW845" s="4" t="e">
        <f>_xlfn.XLOOKUP(tbl_MTG_Set[[#This Row],[Collector Booster Box Product Id]], tbl_Product[Product Id], tbl_Product[Pack Size])</f>
        <v>#N/A</v>
      </c>
      <c r="AX845" s="10" t="e">
        <f>(tbl_MTG_Set[[#This Row],[Collector Booster Box Cost]] + v_Item_Shipping_Cost_In) / tbl_MTG_Set[[#This Row],[Collector Booster Box Size]]</f>
        <v>#N/A</v>
      </c>
      <c r="AY845" s="10" t="str" cm="1">
        <f t="array" ref="AY8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5" s="10"/>
      <c r="BA8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5" s="17" t="e">
        <f>tbl_MTG_Set[[#This Row],[Collector Booster CardMarket Profit]]/tbl_MTG_Set[[#This Row],[Collector Booster Cost]]</f>
        <v>#N/A</v>
      </c>
      <c r="BC845" s="10"/>
      <c r="BF8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5" s="11" t="e">
        <f>tbl_MTG_Set[[#This Row],[Play Singles CardMarket Profit MTG Stocks]]/tbl_MTG_Set[[#This Row],[Play Booster Cost]]</f>
        <v>#VALUE!</v>
      </c>
      <c r="BI845" s="11" t="b">
        <f>tbl_MTG_Set[[#This Row],[Play Singles CardMarket Profit MTG Stocks]]&gt;0</f>
        <v>0</v>
      </c>
      <c r="BM845" s="10" t="e">
        <f>tbl_MTG_Set[[#This Row],[Play Booster Sell Price CardMarket]]*tbl_MTG_Set[[#This Row],[Play Booster Expected Market Value BotBox]]/tbl_MTG_Set[[#This Row],[Play Booster Sealed Market Value BotBox]]</f>
        <v>#VALUE!</v>
      </c>
      <c r="BN8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5" s="10" t="e">
        <f>tbl_MTG_Set[[#This Row],[Play Singles CardMarket Profit BotBox]]/tbl_MTG_Set[[#This Row],[Play Booster Cost]]</f>
        <v>#VALUE!</v>
      </c>
      <c r="BP845" s="10" t="b">
        <f>tbl_MTG_Set[[#This Row],[Play Singles CardMarket Profit BotBox]]&gt;0</f>
        <v>0</v>
      </c>
      <c r="BQ845" s="10"/>
      <c r="BR845" s="10"/>
      <c r="BS845" s="10"/>
      <c r="BT8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5" s="19" t="e">
        <f>tbl_MTG_Set[[#This Row],[Collector Singles CardMarket Profit MTG Stocks]]/tbl_MTG_Set[[#This Row],[Collector Booster Cost]]</f>
        <v>#N/A</v>
      </c>
      <c r="BW845" s="10" t="b">
        <f>tbl_MTG_Set[[#This Row],[Collector Singles CardMarket Profit MTG Stocks]]&gt;0</f>
        <v>0</v>
      </c>
      <c r="BX845" s="10"/>
      <c r="BY845" s="10"/>
      <c r="BZ8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5" s="10" t="e">
        <f>tbl_MTG_Set[[#This Row],[Collector Singles CardMarket Profit BotBox]]/tbl_MTG_Set[[#This Row],[Collector Booster Cost]]</f>
        <v>#N/A</v>
      </c>
      <c r="CC845" s="10" t="b">
        <f>tbl_MTG_Set[[#This Row],[Collector Singles CardMarket Profit BotBox]]&gt;0</f>
        <v>0</v>
      </c>
      <c r="CD8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6" spans="1:86" hidden="1">
      <c r="A846">
        <v>878</v>
      </c>
      <c r="B846" t="s">
        <v>1019</v>
      </c>
      <c r="C846">
        <v>1</v>
      </c>
      <c r="D846" s="3">
        <v>38310</v>
      </c>
      <c r="F846" t="s">
        <v>174</v>
      </c>
      <c r="G846">
        <v>1702</v>
      </c>
      <c r="H846">
        <f ca="1">MONTH(NOW())+12*YEAR(NOW())-MONTH(tbl_MTG_Set[[#This Row],[Released On]])-12*YEAR(tbl_MTG_Set[[#This Row],[Released On]])</f>
        <v>256</v>
      </c>
      <c r="I846" t="str">
        <f>_xlfn.XLOOKUP(tbl_MTG_Set[[#This Row],[Type Name]], tbl_MTG_Set_Type[Set Type], tbl_MTG_Set_Type[Index], "(Set Type not found)")</f>
        <v>(Set Type not found)</v>
      </c>
      <c r="J846" t="str">
        <f>_xlfn.XLOOKUP(tbl_MTG_Set[[#This Row],[Type Name]], tbl_MTG_Set_Type[Set Type], tbl_MTG_Set_Type[Buy Window Month Start], "(Set Type not found)")</f>
        <v>(Set Type not found)</v>
      </c>
      <c r="K846" s="3" t="e">
        <f>tbl_MTG_Set[[#This Row],[Released On]]+tbl_MTG_Set[[#This Row],[Buy Window Month Start]]*365.25/12</f>
        <v>#VALUE!</v>
      </c>
      <c r="L846" t="str">
        <f>_xlfn.XLOOKUP(tbl_MTG_Set[[#This Row],[Type Name]], tbl_MTG_Set_Type[Set Type], tbl_MTG_Set_Type[Buy Window Month End], "(Set Type not found)", 0, 1)</f>
        <v>(Set Type not found)</v>
      </c>
      <c r="M846" s="3" t="e">
        <f>tbl_MTG_Set[[#This Row],[Released On]]+tbl_MTG_Set[[#This Row],[Buy Window Month End]]*365.25/12</f>
        <v>#VALUE!</v>
      </c>
      <c r="N846" s="3" t="e">
        <f ca="1">AND(NOW()&gt;=tbl_MTG_Set[[#This Row],[Buy Window Start]], NOW()&lt;=tbl_MTG_Set[[#This Row],[Buy Window End]])</f>
        <v>#VALUE!</v>
      </c>
      <c r="O846" t="str">
        <f>_xlfn.XLOOKUP(tbl_MTG_Set[[#This Row],[Type Name]], tbl_MTG_Set_Type[Set Type], tbl_MTG_Set_Type[Heavy Printing Window Month Start], "(Set Type not found)", 0, 1)</f>
        <v>(Set Type not found)</v>
      </c>
      <c r="P846" s="3" t="e">
        <f>tbl_MTG_Set[[#This Row],[Released On]]+tbl_MTG_Set[[#This Row],[Heavy Printing Window Month Start]]*365.25/12</f>
        <v>#VALUE!</v>
      </c>
      <c r="Q846" t="str">
        <f>_xlfn.XLOOKUP(tbl_MTG_Set[[#This Row],[Type Name]], tbl_MTG_Set_Type[Set Type], tbl_MTG_Set_Type[Heavy Printing Window Month End], "(Set Type not found)", 0, 1)</f>
        <v>(Set Type not found)</v>
      </c>
      <c r="R846" s="3" t="e">
        <f>tbl_MTG_Set[[#This Row],[Released On]]+tbl_MTG_Set[[#This Row],[Heavy Printing Window Month End]]*365.25/12</f>
        <v>#VALUE!</v>
      </c>
      <c r="S846" s="3" t="e">
        <f ca="1">AND(NOW()&gt;=tbl_MTG_Set[[#This Row],[Heavy Printing Window Start]], NOW()&lt;=tbl_MTG_Set[[#This Row],[Heavy Printing Window End]])</f>
        <v>#VALUE!</v>
      </c>
      <c r="T846" t="str">
        <f>_xlfn.XLOOKUP(tbl_MTG_Set[[#This Row],[Type Name]], tbl_MTG_Set_Type[Set Type], tbl_MTG_Set_Type[Sell Window Month Start], "(Set Type not found)", 0, 1)</f>
        <v>(Set Type not found)</v>
      </c>
      <c r="U846" s="3" t="e">
        <f>tbl_MTG_Set[[#This Row],[Released On]]+tbl_MTG_Set[[#This Row],[Sell Window Month Start]]*365.25/12</f>
        <v>#VALUE!</v>
      </c>
      <c r="V846" t="str">
        <f>_xlfn.XLOOKUP(tbl_MTG_Set[[#This Row],[Type Name]], tbl_MTG_Set_Type[Set Type], tbl_MTG_Set_Type[Sell Window Month End], "(Set Type not found)", 0, 1)</f>
        <v>(Set Type not found)</v>
      </c>
      <c r="W846" s="3" t="e">
        <f>tbl_MTG_Set[[#This Row],[Released On]]+tbl_MTG_Set[[#This Row],[Sell Window Month End]]*365.25/12</f>
        <v>#VALUE!</v>
      </c>
      <c r="X846" s="3" t="e">
        <f ca="1">AND(NOW()&gt;=tbl_MTG_Set[[#This Row],[Sell Window Start]], NOW()&lt;=tbl_MTG_Set[[#This Row],[Sell Window End]])</f>
        <v>#VALUE!</v>
      </c>
      <c r="AG846" s="10"/>
      <c r="AH846" s="10"/>
      <c r="AM846" s="10" t="str" cm="1">
        <f t="array" ref="AM8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6" s="10" t="str" cm="1">
        <f t="array" ref="AN8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6" s="4" t="e">
        <f>_xlfn.XLOOKUP(tbl_MTG_Set[[#This Row],[Play Booster Box Product Id]], tbl_Product[Product Id], tbl_Product[Pack Size])</f>
        <v>#N/A</v>
      </c>
      <c r="AP846" s="10" t="e">
        <f>(tbl_MTG_Set[[#This Row],[Play Booster Box Cost]]+v_Item_Shipping_Cost_In)/tbl_MTG_Set[[#This Row],[Play Booster Box Size]]</f>
        <v>#VALUE!</v>
      </c>
      <c r="AQ846" s="10" t="str" cm="1">
        <f t="array" ref="AQ8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6" s="10"/>
      <c r="AS846" s="10"/>
      <c r="AT846" s="17" t="e">
        <f>tbl_MTG_Set[[#This Row],[Play Booster CardMarket Profit]]/tbl_MTG_Set[[#This Row],[Play Booster Cost]]</f>
        <v>#VALUE!</v>
      </c>
      <c r="AU846" s="10" t="e">
        <f>_xlfn.XLOOKUP(tbl_MTG_Set[[#This Row],[Collector Booster Box Product Id]], tbl_Product[Product Id], tbl_Product[Min Cost])</f>
        <v>#N/A</v>
      </c>
      <c r="AV846" s="10" t="e">
        <f>_xlfn.XLOOKUP(tbl_MTG_Set[[#This Row],[Collector Booster Box Product Id]], tbl_Product[Product Id], tbl_Product[Best Source])</f>
        <v>#N/A</v>
      </c>
      <c r="AW846" s="4" t="e">
        <f>_xlfn.XLOOKUP(tbl_MTG_Set[[#This Row],[Collector Booster Box Product Id]], tbl_Product[Product Id], tbl_Product[Pack Size])</f>
        <v>#N/A</v>
      </c>
      <c r="AX846" s="10" t="e">
        <f>(tbl_MTG_Set[[#This Row],[Collector Booster Box Cost]] + v_Item_Shipping_Cost_In) / tbl_MTG_Set[[#This Row],[Collector Booster Box Size]]</f>
        <v>#N/A</v>
      </c>
      <c r="AY846" s="10" t="str" cm="1">
        <f t="array" ref="AY8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6" s="10"/>
      <c r="BA8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6" s="17" t="e">
        <f>tbl_MTG_Set[[#This Row],[Collector Booster CardMarket Profit]]/tbl_MTG_Set[[#This Row],[Collector Booster Cost]]</f>
        <v>#N/A</v>
      </c>
      <c r="BC846" s="10"/>
      <c r="BF8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6" s="11" t="e">
        <f>tbl_MTG_Set[[#This Row],[Play Singles CardMarket Profit MTG Stocks]]/tbl_MTG_Set[[#This Row],[Play Booster Cost]]</f>
        <v>#VALUE!</v>
      </c>
      <c r="BI846" s="11" t="b">
        <f>tbl_MTG_Set[[#This Row],[Play Singles CardMarket Profit MTG Stocks]]&gt;0</f>
        <v>0</v>
      </c>
      <c r="BM846" s="10" t="e">
        <f>tbl_MTG_Set[[#This Row],[Play Booster Sell Price CardMarket]]*tbl_MTG_Set[[#This Row],[Play Booster Expected Market Value BotBox]]/tbl_MTG_Set[[#This Row],[Play Booster Sealed Market Value BotBox]]</f>
        <v>#VALUE!</v>
      </c>
      <c r="BN8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6" s="10" t="e">
        <f>tbl_MTG_Set[[#This Row],[Play Singles CardMarket Profit BotBox]]/tbl_MTG_Set[[#This Row],[Play Booster Cost]]</f>
        <v>#VALUE!</v>
      </c>
      <c r="BP846" s="10" t="b">
        <f>tbl_MTG_Set[[#This Row],[Play Singles CardMarket Profit BotBox]]&gt;0</f>
        <v>0</v>
      </c>
      <c r="BQ846" s="10"/>
      <c r="BR846" s="10"/>
      <c r="BS846" s="10"/>
      <c r="BT8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6" s="19" t="e">
        <f>tbl_MTG_Set[[#This Row],[Collector Singles CardMarket Profit MTG Stocks]]/tbl_MTG_Set[[#This Row],[Collector Booster Cost]]</f>
        <v>#N/A</v>
      </c>
      <c r="BW846" s="10" t="b">
        <f>tbl_MTG_Set[[#This Row],[Collector Singles CardMarket Profit MTG Stocks]]&gt;0</f>
        <v>0</v>
      </c>
      <c r="BX846" s="10"/>
      <c r="BY846" s="10"/>
      <c r="BZ8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6" s="10" t="e">
        <f>tbl_MTG_Set[[#This Row],[Collector Singles CardMarket Profit BotBox]]/tbl_MTG_Set[[#This Row],[Collector Booster Cost]]</f>
        <v>#N/A</v>
      </c>
      <c r="CC846" s="10" t="b">
        <f>tbl_MTG_Set[[#This Row],[Collector Singles CardMarket Profit BotBox]]&gt;0</f>
        <v>0</v>
      </c>
      <c r="CD8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7" spans="1:86" hidden="1">
      <c r="A847">
        <v>879</v>
      </c>
      <c r="B847" t="s">
        <v>1020</v>
      </c>
      <c r="C847">
        <v>307</v>
      </c>
      <c r="D847" s="3">
        <v>38261</v>
      </c>
      <c r="F847" t="s">
        <v>174</v>
      </c>
      <c r="G847">
        <v>1704</v>
      </c>
      <c r="H847">
        <f ca="1">MONTH(NOW())+12*YEAR(NOW())-MONTH(tbl_MTG_Set[[#This Row],[Released On]])-12*YEAR(tbl_MTG_Set[[#This Row],[Released On]])</f>
        <v>257</v>
      </c>
      <c r="I847" t="str">
        <f>_xlfn.XLOOKUP(tbl_MTG_Set[[#This Row],[Type Name]], tbl_MTG_Set_Type[Set Type], tbl_MTG_Set_Type[Index], "(Set Type not found)")</f>
        <v>(Set Type not found)</v>
      </c>
      <c r="J847" t="str">
        <f>_xlfn.XLOOKUP(tbl_MTG_Set[[#This Row],[Type Name]], tbl_MTG_Set_Type[Set Type], tbl_MTG_Set_Type[Buy Window Month Start], "(Set Type not found)")</f>
        <v>(Set Type not found)</v>
      </c>
      <c r="K847" s="3" t="e">
        <f>tbl_MTG_Set[[#This Row],[Released On]]+tbl_MTG_Set[[#This Row],[Buy Window Month Start]]*365.25/12</f>
        <v>#VALUE!</v>
      </c>
      <c r="L847" t="str">
        <f>_xlfn.XLOOKUP(tbl_MTG_Set[[#This Row],[Type Name]], tbl_MTG_Set_Type[Set Type], tbl_MTG_Set_Type[Buy Window Month End], "(Set Type not found)", 0, 1)</f>
        <v>(Set Type not found)</v>
      </c>
      <c r="M847" s="3" t="e">
        <f>tbl_MTG_Set[[#This Row],[Released On]]+tbl_MTG_Set[[#This Row],[Buy Window Month End]]*365.25/12</f>
        <v>#VALUE!</v>
      </c>
      <c r="N847" s="3" t="e">
        <f ca="1">AND(NOW()&gt;=tbl_MTG_Set[[#This Row],[Buy Window Start]], NOW()&lt;=tbl_MTG_Set[[#This Row],[Buy Window End]])</f>
        <v>#VALUE!</v>
      </c>
      <c r="O847" t="str">
        <f>_xlfn.XLOOKUP(tbl_MTG_Set[[#This Row],[Type Name]], tbl_MTG_Set_Type[Set Type], tbl_MTG_Set_Type[Heavy Printing Window Month Start], "(Set Type not found)", 0, 1)</f>
        <v>(Set Type not found)</v>
      </c>
      <c r="P847" s="3" t="e">
        <f>tbl_MTG_Set[[#This Row],[Released On]]+tbl_MTG_Set[[#This Row],[Heavy Printing Window Month Start]]*365.25/12</f>
        <v>#VALUE!</v>
      </c>
      <c r="Q847" t="str">
        <f>_xlfn.XLOOKUP(tbl_MTG_Set[[#This Row],[Type Name]], tbl_MTG_Set_Type[Set Type], tbl_MTG_Set_Type[Heavy Printing Window Month End], "(Set Type not found)", 0, 1)</f>
        <v>(Set Type not found)</v>
      </c>
      <c r="R847" s="3" t="e">
        <f>tbl_MTG_Set[[#This Row],[Released On]]+tbl_MTG_Set[[#This Row],[Heavy Printing Window Month End]]*365.25/12</f>
        <v>#VALUE!</v>
      </c>
      <c r="S847" s="3" t="e">
        <f ca="1">AND(NOW()&gt;=tbl_MTG_Set[[#This Row],[Heavy Printing Window Start]], NOW()&lt;=tbl_MTG_Set[[#This Row],[Heavy Printing Window End]])</f>
        <v>#VALUE!</v>
      </c>
      <c r="T847" t="str">
        <f>_xlfn.XLOOKUP(tbl_MTG_Set[[#This Row],[Type Name]], tbl_MTG_Set_Type[Set Type], tbl_MTG_Set_Type[Sell Window Month Start], "(Set Type not found)", 0, 1)</f>
        <v>(Set Type not found)</v>
      </c>
      <c r="U847" s="3" t="e">
        <f>tbl_MTG_Set[[#This Row],[Released On]]+tbl_MTG_Set[[#This Row],[Sell Window Month Start]]*365.25/12</f>
        <v>#VALUE!</v>
      </c>
      <c r="V847" t="str">
        <f>_xlfn.XLOOKUP(tbl_MTG_Set[[#This Row],[Type Name]], tbl_MTG_Set_Type[Set Type], tbl_MTG_Set_Type[Sell Window Month End], "(Set Type not found)", 0, 1)</f>
        <v>(Set Type not found)</v>
      </c>
      <c r="W847" s="3" t="e">
        <f>tbl_MTG_Set[[#This Row],[Released On]]+tbl_MTG_Set[[#This Row],[Sell Window Month End]]*365.25/12</f>
        <v>#VALUE!</v>
      </c>
      <c r="X847" s="3" t="e">
        <f ca="1">AND(NOW()&gt;=tbl_MTG_Set[[#This Row],[Sell Window Start]], NOW()&lt;=tbl_MTG_Set[[#This Row],[Sell Window End]])</f>
        <v>#VALUE!</v>
      </c>
      <c r="AG847" s="10"/>
      <c r="AH847" s="10"/>
      <c r="AM847" s="10" t="str" cm="1">
        <f t="array" ref="AM8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7" s="10" t="str" cm="1">
        <f t="array" ref="AN8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7" s="4" t="e">
        <f>_xlfn.XLOOKUP(tbl_MTG_Set[[#This Row],[Play Booster Box Product Id]], tbl_Product[Product Id], tbl_Product[Pack Size])</f>
        <v>#N/A</v>
      </c>
      <c r="AP847" s="10" t="e">
        <f>(tbl_MTG_Set[[#This Row],[Play Booster Box Cost]]+v_Item_Shipping_Cost_In)/tbl_MTG_Set[[#This Row],[Play Booster Box Size]]</f>
        <v>#VALUE!</v>
      </c>
      <c r="AQ847" s="10" t="str" cm="1">
        <f t="array" ref="AQ8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7" s="10"/>
      <c r="AS847" s="10"/>
      <c r="AT847" s="17" t="e">
        <f>tbl_MTG_Set[[#This Row],[Play Booster CardMarket Profit]]/tbl_MTG_Set[[#This Row],[Play Booster Cost]]</f>
        <v>#VALUE!</v>
      </c>
      <c r="AU847" s="10" t="e">
        <f>_xlfn.XLOOKUP(tbl_MTG_Set[[#This Row],[Collector Booster Box Product Id]], tbl_Product[Product Id], tbl_Product[Min Cost])</f>
        <v>#N/A</v>
      </c>
      <c r="AV847" s="10" t="e">
        <f>_xlfn.XLOOKUP(tbl_MTG_Set[[#This Row],[Collector Booster Box Product Id]], tbl_Product[Product Id], tbl_Product[Best Source])</f>
        <v>#N/A</v>
      </c>
      <c r="AW847" s="4" t="e">
        <f>_xlfn.XLOOKUP(tbl_MTG_Set[[#This Row],[Collector Booster Box Product Id]], tbl_Product[Product Id], tbl_Product[Pack Size])</f>
        <v>#N/A</v>
      </c>
      <c r="AX847" s="10" t="e">
        <f>(tbl_MTG_Set[[#This Row],[Collector Booster Box Cost]] + v_Item_Shipping_Cost_In) / tbl_MTG_Set[[#This Row],[Collector Booster Box Size]]</f>
        <v>#N/A</v>
      </c>
      <c r="AY847" s="10" t="str" cm="1">
        <f t="array" ref="AY8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7" s="10"/>
      <c r="BA8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7" s="17" t="e">
        <f>tbl_MTG_Set[[#This Row],[Collector Booster CardMarket Profit]]/tbl_MTG_Set[[#This Row],[Collector Booster Cost]]</f>
        <v>#N/A</v>
      </c>
      <c r="BC847" s="10"/>
      <c r="BF8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7" s="11" t="e">
        <f>tbl_MTG_Set[[#This Row],[Play Singles CardMarket Profit MTG Stocks]]/tbl_MTG_Set[[#This Row],[Play Booster Cost]]</f>
        <v>#VALUE!</v>
      </c>
      <c r="BI847" s="11" t="b">
        <f>tbl_MTG_Set[[#This Row],[Play Singles CardMarket Profit MTG Stocks]]&gt;0</f>
        <v>0</v>
      </c>
      <c r="BM847" s="10" t="e">
        <f>tbl_MTG_Set[[#This Row],[Play Booster Sell Price CardMarket]]*tbl_MTG_Set[[#This Row],[Play Booster Expected Market Value BotBox]]/tbl_MTG_Set[[#This Row],[Play Booster Sealed Market Value BotBox]]</f>
        <v>#VALUE!</v>
      </c>
      <c r="BN8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7" s="10" t="e">
        <f>tbl_MTG_Set[[#This Row],[Play Singles CardMarket Profit BotBox]]/tbl_MTG_Set[[#This Row],[Play Booster Cost]]</f>
        <v>#VALUE!</v>
      </c>
      <c r="BP847" s="10" t="b">
        <f>tbl_MTG_Set[[#This Row],[Play Singles CardMarket Profit BotBox]]&gt;0</f>
        <v>0</v>
      </c>
      <c r="BQ847" s="10"/>
      <c r="BR847" s="10"/>
      <c r="BS847" s="10"/>
      <c r="BT8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7" s="19" t="e">
        <f>tbl_MTG_Set[[#This Row],[Collector Singles CardMarket Profit MTG Stocks]]/tbl_MTG_Set[[#This Row],[Collector Booster Cost]]</f>
        <v>#N/A</v>
      </c>
      <c r="BW847" s="10" t="b">
        <f>tbl_MTG_Set[[#This Row],[Collector Singles CardMarket Profit MTG Stocks]]&gt;0</f>
        <v>0</v>
      </c>
      <c r="BX847" s="10"/>
      <c r="BY847" s="10"/>
      <c r="BZ8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7" s="10" t="e">
        <f>tbl_MTG_Set[[#This Row],[Collector Singles CardMarket Profit BotBox]]/tbl_MTG_Set[[#This Row],[Collector Booster Cost]]</f>
        <v>#N/A</v>
      </c>
      <c r="CC847" s="10" t="b">
        <f>tbl_MTG_Set[[#This Row],[Collector Singles CardMarket Profit BotBox]]&gt;0</f>
        <v>0</v>
      </c>
      <c r="CD8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8" spans="1:86" hidden="1">
      <c r="A848">
        <v>880</v>
      </c>
      <c r="B848" t="s">
        <v>1021</v>
      </c>
      <c r="C848">
        <v>1</v>
      </c>
      <c r="D848" s="3">
        <v>38261</v>
      </c>
      <c r="F848" t="s">
        <v>174</v>
      </c>
      <c r="G848">
        <v>1706</v>
      </c>
      <c r="H848">
        <f ca="1">MONTH(NOW())+12*YEAR(NOW())-MONTH(tbl_MTG_Set[[#This Row],[Released On]])-12*YEAR(tbl_MTG_Set[[#This Row],[Released On]])</f>
        <v>257</v>
      </c>
      <c r="I848" t="str">
        <f>_xlfn.XLOOKUP(tbl_MTG_Set[[#This Row],[Type Name]], tbl_MTG_Set_Type[Set Type], tbl_MTG_Set_Type[Index], "(Set Type not found)")</f>
        <v>(Set Type not found)</v>
      </c>
      <c r="J848" t="str">
        <f>_xlfn.XLOOKUP(tbl_MTG_Set[[#This Row],[Type Name]], tbl_MTG_Set_Type[Set Type], tbl_MTG_Set_Type[Buy Window Month Start], "(Set Type not found)")</f>
        <v>(Set Type not found)</v>
      </c>
      <c r="K848" s="3" t="e">
        <f>tbl_MTG_Set[[#This Row],[Released On]]+tbl_MTG_Set[[#This Row],[Buy Window Month Start]]*365.25/12</f>
        <v>#VALUE!</v>
      </c>
      <c r="L848" t="str">
        <f>_xlfn.XLOOKUP(tbl_MTG_Set[[#This Row],[Type Name]], tbl_MTG_Set_Type[Set Type], tbl_MTG_Set_Type[Buy Window Month End], "(Set Type not found)", 0, 1)</f>
        <v>(Set Type not found)</v>
      </c>
      <c r="M848" s="3" t="e">
        <f>tbl_MTG_Set[[#This Row],[Released On]]+tbl_MTG_Set[[#This Row],[Buy Window Month End]]*365.25/12</f>
        <v>#VALUE!</v>
      </c>
      <c r="N848" s="3" t="e">
        <f ca="1">AND(NOW()&gt;=tbl_MTG_Set[[#This Row],[Buy Window Start]], NOW()&lt;=tbl_MTG_Set[[#This Row],[Buy Window End]])</f>
        <v>#VALUE!</v>
      </c>
      <c r="O848" t="str">
        <f>_xlfn.XLOOKUP(tbl_MTG_Set[[#This Row],[Type Name]], tbl_MTG_Set_Type[Set Type], tbl_MTG_Set_Type[Heavy Printing Window Month Start], "(Set Type not found)", 0, 1)</f>
        <v>(Set Type not found)</v>
      </c>
      <c r="P848" s="3" t="e">
        <f>tbl_MTG_Set[[#This Row],[Released On]]+tbl_MTG_Set[[#This Row],[Heavy Printing Window Month Start]]*365.25/12</f>
        <v>#VALUE!</v>
      </c>
      <c r="Q848" t="str">
        <f>_xlfn.XLOOKUP(tbl_MTG_Set[[#This Row],[Type Name]], tbl_MTG_Set_Type[Set Type], tbl_MTG_Set_Type[Heavy Printing Window Month End], "(Set Type not found)", 0, 1)</f>
        <v>(Set Type not found)</v>
      </c>
      <c r="R848" s="3" t="e">
        <f>tbl_MTG_Set[[#This Row],[Released On]]+tbl_MTG_Set[[#This Row],[Heavy Printing Window Month End]]*365.25/12</f>
        <v>#VALUE!</v>
      </c>
      <c r="S848" s="3" t="e">
        <f ca="1">AND(NOW()&gt;=tbl_MTG_Set[[#This Row],[Heavy Printing Window Start]], NOW()&lt;=tbl_MTG_Set[[#This Row],[Heavy Printing Window End]])</f>
        <v>#VALUE!</v>
      </c>
      <c r="T848" t="str">
        <f>_xlfn.XLOOKUP(tbl_MTG_Set[[#This Row],[Type Name]], tbl_MTG_Set_Type[Set Type], tbl_MTG_Set_Type[Sell Window Month Start], "(Set Type not found)", 0, 1)</f>
        <v>(Set Type not found)</v>
      </c>
      <c r="U848" s="3" t="e">
        <f>tbl_MTG_Set[[#This Row],[Released On]]+tbl_MTG_Set[[#This Row],[Sell Window Month Start]]*365.25/12</f>
        <v>#VALUE!</v>
      </c>
      <c r="V848" t="str">
        <f>_xlfn.XLOOKUP(tbl_MTG_Set[[#This Row],[Type Name]], tbl_MTG_Set_Type[Set Type], tbl_MTG_Set_Type[Sell Window Month End], "(Set Type not found)", 0, 1)</f>
        <v>(Set Type not found)</v>
      </c>
      <c r="W848" s="3" t="e">
        <f>tbl_MTG_Set[[#This Row],[Released On]]+tbl_MTG_Set[[#This Row],[Sell Window Month End]]*365.25/12</f>
        <v>#VALUE!</v>
      </c>
      <c r="X848" s="3" t="e">
        <f ca="1">AND(NOW()&gt;=tbl_MTG_Set[[#This Row],[Sell Window Start]], NOW()&lt;=tbl_MTG_Set[[#This Row],[Sell Window End]])</f>
        <v>#VALUE!</v>
      </c>
      <c r="AG848" s="10"/>
      <c r="AH848" s="10"/>
      <c r="AM848" s="10" t="str" cm="1">
        <f t="array" ref="AM8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8" s="10" t="str" cm="1">
        <f t="array" ref="AN8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8" s="4" t="e">
        <f>_xlfn.XLOOKUP(tbl_MTG_Set[[#This Row],[Play Booster Box Product Id]], tbl_Product[Product Id], tbl_Product[Pack Size])</f>
        <v>#N/A</v>
      </c>
      <c r="AP848" s="10" t="e">
        <f>(tbl_MTG_Set[[#This Row],[Play Booster Box Cost]]+v_Item_Shipping_Cost_In)/tbl_MTG_Set[[#This Row],[Play Booster Box Size]]</f>
        <v>#VALUE!</v>
      </c>
      <c r="AQ848" s="10" t="str" cm="1">
        <f t="array" ref="AQ8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8" s="10"/>
      <c r="AS848" s="10"/>
      <c r="AT848" s="17" t="e">
        <f>tbl_MTG_Set[[#This Row],[Play Booster CardMarket Profit]]/tbl_MTG_Set[[#This Row],[Play Booster Cost]]</f>
        <v>#VALUE!</v>
      </c>
      <c r="AU848" s="10" t="e">
        <f>_xlfn.XLOOKUP(tbl_MTG_Set[[#This Row],[Collector Booster Box Product Id]], tbl_Product[Product Id], tbl_Product[Min Cost])</f>
        <v>#N/A</v>
      </c>
      <c r="AV848" s="10" t="e">
        <f>_xlfn.XLOOKUP(tbl_MTG_Set[[#This Row],[Collector Booster Box Product Id]], tbl_Product[Product Id], tbl_Product[Best Source])</f>
        <v>#N/A</v>
      </c>
      <c r="AW848" s="4" t="e">
        <f>_xlfn.XLOOKUP(tbl_MTG_Set[[#This Row],[Collector Booster Box Product Id]], tbl_Product[Product Id], tbl_Product[Pack Size])</f>
        <v>#N/A</v>
      </c>
      <c r="AX848" s="10" t="e">
        <f>(tbl_MTG_Set[[#This Row],[Collector Booster Box Cost]] + v_Item_Shipping_Cost_In) / tbl_MTG_Set[[#This Row],[Collector Booster Box Size]]</f>
        <v>#N/A</v>
      </c>
      <c r="AY848" s="10" t="str" cm="1">
        <f t="array" ref="AY8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8" s="10"/>
      <c r="BA8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8" s="17" t="e">
        <f>tbl_MTG_Set[[#This Row],[Collector Booster CardMarket Profit]]/tbl_MTG_Set[[#This Row],[Collector Booster Cost]]</f>
        <v>#N/A</v>
      </c>
      <c r="BC848" s="10"/>
      <c r="BF8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8" s="11" t="e">
        <f>tbl_MTG_Set[[#This Row],[Play Singles CardMarket Profit MTG Stocks]]/tbl_MTG_Set[[#This Row],[Play Booster Cost]]</f>
        <v>#VALUE!</v>
      </c>
      <c r="BI848" s="11" t="b">
        <f>tbl_MTG_Set[[#This Row],[Play Singles CardMarket Profit MTG Stocks]]&gt;0</f>
        <v>0</v>
      </c>
      <c r="BM848" s="10" t="e">
        <f>tbl_MTG_Set[[#This Row],[Play Booster Sell Price CardMarket]]*tbl_MTG_Set[[#This Row],[Play Booster Expected Market Value BotBox]]/tbl_MTG_Set[[#This Row],[Play Booster Sealed Market Value BotBox]]</f>
        <v>#VALUE!</v>
      </c>
      <c r="BN8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8" s="10" t="e">
        <f>tbl_MTG_Set[[#This Row],[Play Singles CardMarket Profit BotBox]]/tbl_MTG_Set[[#This Row],[Play Booster Cost]]</f>
        <v>#VALUE!</v>
      </c>
      <c r="BP848" s="10" t="b">
        <f>tbl_MTG_Set[[#This Row],[Play Singles CardMarket Profit BotBox]]&gt;0</f>
        <v>0</v>
      </c>
      <c r="BQ848" s="10"/>
      <c r="BR848" s="10"/>
      <c r="BS848" s="10"/>
      <c r="BT8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8" s="19" t="e">
        <f>tbl_MTG_Set[[#This Row],[Collector Singles CardMarket Profit MTG Stocks]]/tbl_MTG_Set[[#This Row],[Collector Booster Cost]]</f>
        <v>#N/A</v>
      </c>
      <c r="BW848" s="10" t="b">
        <f>tbl_MTG_Set[[#This Row],[Collector Singles CardMarket Profit MTG Stocks]]&gt;0</f>
        <v>0</v>
      </c>
      <c r="BX848" s="10"/>
      <c r="BY848" s="10"/>
      <c r="BZ8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8" s="10" t="e">
        <f>tbl_MTG_Set[[#This Row],[Collector Singles CardMarket Profit BotBox]]/tbl_MTG_Set[[#This Row],[Collector Booster Cost]]</f>
        <v>#N/A</v>
      </c>
      <c r="CC848" s="10" t="b">
        <f>tbl_MTG_Set[[#This Row],[Collector Singles CardMarket Profit BotBox]]&gt;0</f>
        <v>0</v>
      </c>
      <c r="CD8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49" spans="1:86" hidden="1">
      <c r="A849">
        <v>881</v>
      </c>
      <c r="B849" t="s">
        <v>1022</v>
      </c>
      <c r="C849">
        <v>103</v>
      </c>
      <c r="D849" s="3">
        <v>38231</v>
      </c>
      <c r="F849" t="s">
        <v>174</v>
      </c>
      <c r="G849">
        <v>1708</v>
      </c>
      <c r="H849">
        <f ca="1">MONTH(NOW())+12*YEAR(NOW())-MONTH(tbl_MTG_Set[[#This Row],[Released On]])-12*YEAR(tbl_MTG_Set[[#This Row],[Released On]])</f>
        <v>258</v>
      </c>
      <c r="I849" t="str">
        <f>_xlfn.XLOOKUP(tbl_MTG_Set[[#This Row],[Type Name]], tbl_MTG_Set_Type[Set Type], tbl_MTG_Set_Type[Index], "(Set Type not found)")</f>
        <v>(Set Type not found)</v>
      </c>
      <c r="J849" t="str">
        <f>_xlfn.XLOOKUP(tbl_MTG_Set[[#This Row],[Type Name]], tbl_MTG_Set_Type[Set Type], tbl_MTG_Set_Type[Buy Window Month Start], "(Set Type not found)")</f>
        <v>(Set Type not found)</v>
      </c>
      <c r="K849" s="3" t="e">
        <f>tbl_MTG_Set[[#This Row],[Released On]]+tbl_MTG_Set[[#This Row],[Buy Window Month Start]]*365.25/12</f>
        <v>#VALUE!</v>
      </c>
      <c r="L849" t="str">
        <f>_xlfn.XLOOKUP(tbl_MTG_Set[[#This Row],[Type Name]], tbl_MTG_Set_Type[Set Type], tbl_MTG_Set_Type[Buy Window Month End], "(Set Type not found)", 0, 1)</f>
        <v>(Set Type not found)</v>
      </c>
      <c r="M849" s="3" t="e">
        <f>tbl_MTG_Set[[#This Row],[Released On]]+tbl_MTG_Set[[#This Row],[Buy Window Month End]]*365.25/12</f>
        <v>#VALUE!</v>
      </c>
      <c r="N849" s="3" t="e">
        <f ca="1">AND(NOW()&gt;=tbl_MTG_Set[[#This Row],[Buy Window Start]], NOW()&lt;=tbl_MTG_Set[[#This Row],[Buy Window End]])</f>
        <v>#VALUE!</v>
      </c>
      <c r="O849" t="str">
        <f>_xlfn.XLOOKUP(tbl_MTG_Set[[#This Row],[Type Name]], tbl_MTG_Set_Type[Set Type], tbl_MTG_Set_Type[Heavy Printing Window Month Start], "(Set Type not found)", 0, 1)</f>
        <v>(Set Type not found)</v>
      </c>
      <c r="P849" s="3" t="e">
        <f>tbl_MTG_Set[[#This Row],[Released On]]+tbl_MTG_Set[[#This Row],[Heavy Printing Window Month Start]]*365.25/12</f>
        <v>#VALUE!</v>
      </c>
      <c r="Q849" t="str">
        <f>_xlfn.XLOOKUP(tbl_MTG_Set[[#This Row],[Type Name]], tbl_MTG_Set_Type[Set Type], tbl_MTG_Set_Type[Heavy Printing Window Month End], "(Set Type not found)", 0, 1)</f>
        <v>(Set Type not found)</v>
      </c>
      <c r="R849" s="3" t="e">
        <f>tbl_MTG_Set[[#This Row],[Released On]]+tbl_MTG_Set[[#This Row],[Heavy Printing Window Month End]]*365.25/12</f>
        <v>#VALUE!</v>
      </c>
      <c r="S849" s="3" t="e">
        <f ca="1">AND(NOW()&gt;=tbl_MTG_Set[[#This Row],[Heavy Printing Window Start]], NOW()&lt;=tbl_MTG_Set[[#This Row],[Heavy Printing Window End]])</f>
        <v>#VALUE!</v>
      </c>
      <c r="T849" t="str">
        <f>_xlfn.XLOOKUP(tbl_MTG_Set[[#This Row],[Type Name]], tbl_MTG_Set_Type[Set Type], tbl_MTG_Set_Type[Sell Window Month Start], "(Set Type not found)", 0, 1)</f>
        <v>(Set Type not found)</v>
      </c>
      <c r="U849" s="3" t="e">
        <f>tbl_MTG_Set[[#This Row],[Released On]]+tbl_MTG_Set[[#This Row],[Sell Window Month Start]]*365.25/12</f>
        <v>#VALUE!</v>
      </c>
      <c r="V849" t="str">
        <f>_xlfn.XLOOKUP(tbl_MTG_Set[[#This Row],[Type Name]], tbl_MTG_Set_Type[Set Type], tbl_MTG_Set_Type[Sell Window Month End], "(Set Type not found)", 0, 1)</f>
        <v>(Set Type not found)</v>
      </c>
      <c r="W849" s="3" t="e">
        <f>tbl_MTG_Set[[#This Row],[Released On]]+tbl_MTG_Set[[#This Row],[Sell Window Month End]]*365.25/12</f>
        <v>#VALUE!</v>
      </c>
      <c r="X849" s="3" t="e">
        <f ca="1">AND(NOW()&gt;=tbl_MTG_Set[[#This Row],[Sell Window Start]], NOW()&lt;=tbl_MTG_Set[[#This Row],[Sell Window End]])</f>
        <v>#VALUE!</v>
      </c>
      <c r="AG849" s="10"/>
      <c r="AH849" s="10"/>
      <c r="AM849" s="10" t="str" cm="1">
        <f t="array" ref="AM8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49" s="10" t="str" cm="1">
        <f t="array" ref="AN8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49" s="4" t="e">
        <f>_xlfn.XLOOKUP(tbl_MTG_Set[[#This Row],[Play Booster Box Product Id]], tbl_Product[Product Id], tbl_Product[Pack Size])</f>
        <v>#N/A</v>
      </c>
      <c r="AP849" s="10" t="e">
        <f>(tbl_MTG_Set[[#This Row],[Play Booster Box Cost]]+v_Item_Shipping_Cost_In)/tbl_MTG_Set[[#This Row],[Play Booster Box Size]]</f>
        <v>#VALUE!</v>
      </c>
      <c r="AQ849" s="10" t="str" cm="1">
        <f t="array" ref="AQ8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49" s="10"/>
      <c r="AS849" s="10"/>
      <c r="AT849" s="17" t="e">
        <f>tbl_MTG_Set[[#This Row],[Play Booster CardMarket Profit]]/tbl_MTG_Set[[#This Row],[Play Booster Cost]]</f>
        <v>#VALUE!</v>
      </c>
      <c r="AU849" s="10" t="e">
        <f>_xlfn.XLOOKUP(tbl_MTG_Set[[#This Row],[Collector Booster Box Product Id]], tbl_Product[Product Id], tbl_Product[Min Cost])</f>
        <v>#N/A</v>
      </c>
      <c r="AV849" s="10" t="e">
        <f>_xlfn.XLOOKUP(tbl_MTG_Set[[#This Row],[Collector Booster Box Product Id]], tbl_Product[Product Id], tbl_Product[Best Source])</f>
        <v>#N/A</v>
      </c>
      <c r="AW849" s="4" t="e">
        <f>_xlfn.XLOOKUP(tbl_MTG_Set[[#This Row],[Collector Booster Box Product Id]], tbl_Product[Product Id], tbl_Product[Pack Size])</f>
        <v>#N/A</v>
      </c>
      <c r="AX849" s="10" t="e">
        <f>(tbl_MTG_Set[[#This Row],[Collector Booster Box Cost]] + v_Item_Shipping_Cost_In) / tbl_MTG_Set[[#This Row],[Collector Booster Box Size]]</f>
        <v>#N/A</v>
      </c>
      <c r="AY849" s="10" t="str" cm="1">
        <f t="array" ref="AY8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49" s="10"/>
      <c r="BA8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49" s="17" t="e">
        <f>tbl_MTG_Set[[#This Row],[Collector Booster CardMarket Profit]]/tbl_MTG_Set[[#This Row],[Collector Booster Cost]]</f>
        <v>#N/A</v>
      </c>
      <c r="BC849" s="10"/>
      <c r="BF8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49" s="11" t="e">
        <f>tbl_MTG_Set[[#This Row],[Play Singles CardMarket Profit MTG Stocks]]/tbl_MTG_Set[[#This Row],[Play Booster Cost]]</f>
        <v>#VALUE!</v>
      </c>
      <c r="BI849" s="11" t="b">
        <f>tbl_MTG_Set[[#This Row],[Play Singles CardMarket Profit MTG Stocks]]&gt;0</f>
        <v>0</v>
      </c>
      <c r="BM849" s="10" t="e">
        <f>tbl_MTG_Set[[#This Row],[Play Booster Sell Price CardMarket]]*tbl_MTG_Set[[#This Row],[Play Booster Expected Market Value BotBox]]/tbl_MTG_Set[[#This Row],[Play Booster Sealed Market Value BotBox]]</f>
        <v>#VALUE!</v>
      </c>
      <c r="BN8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49" s="10" t="e">
        <f>tbl_MTG_Set[[#This Row],[Play Singles CardMarket Profit BotBox]]/tbl_MTG_Set[[#This Row],[Play Booster Cost]]</f>
        <v>#VALUE!</v>
      </c>
      <c r="BP849" s="10" t="b">
        <f>tbl_MTG_Set[[#This Row],[Play Singles CardMarket Profit BotBox]]&gt;0</f>
        <v>0</v>
      </c>
      <c r="BQ849" s="10"/>
      <c r="BR849" s="10"/>
      <c r="BS849" s="10"/>
      <c r="BT8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49" s="19" t="e">
        <f>tbl_MTG_Set[[#This Row],[Collector Singles CardMarket Profit MTG Stocks]]/tbl_MTG_Set[[#This Row],[Collector Booster Cost]]</f>
        <v>#N/A</v>
      </c>
      <c r="BW849" s="10" t="b">
        <f>tbl_MTG_Set[[#This Row],[Collector Singles CardMarket Profit MTG Stocks]]&gt;0</f>
        <v>0</v>
      </c>
      <c r="BX849" s="10"/>
      <c r="BY849" s="10"/>
      <c r="BZ8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49" s="10" t="e">
        <f>tbl_MTG_Set[[#This Row],[Collector Singles CardMarket Profit BotBox]]/tbl_MTG_Set[[#This Row],[Collector Booster Cost]]</f>
        <v>#N/A</v>
      </c>
      <c r="CC849" s="10" t="b">
        <f>tbl_MTG_Set[[#This Row],[Collector Singles CardMarket Profit BotBox]]&gt;0</f>
        <v>0</v>
      </c>
      <c r="CD8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0" spans="1:86" hidden="1">
      <c r="A850">
        <v>882</v>
      </c>
      <c r="B850" t="s">
        <v>1023</v>
      </c>
      <c r="C850">
        <v>165</v>
      </c>
      <c r="D850" s="3">
        <v>38142</v>
      </c>
      <c r="F850" t="s">
        <v>174</v>
      </c>
      <c r="G850">
        <v>1710</v>
      </c>
      <c r="H850">
        <f ca="1">MONTH(NOW())+12*YEAR(NOW())-MONTH(tbl_MTG_Set[[#This Row],[Released On]])-12*YEAR(tbl_MTG_Set[[#This Row],[Released On]])</f>
        <v>261</v>
      </c>
      <c r="I850" t="str">
        <f>_xlfn.XLOOKUP(tbl_MTG_Set[[#This Row],[Type Name]], tbl_MTG_Set_Type[Set Type], tbl_MTG_Set_Type[Index], "(Set Type not found)")</f>
        <v>(Set Type not found)</v>
      </c>
      <c r="J850" t="str">
        <f>_xlfn.XLOOKUP(tbl_MTG_Set[[#This Row],[Type Name]], tbl_MTG_Set_Type[Set Type], tbl_MTG_Set_Type[Buy Window Month Start], "(Set Type not found)")</f>
        <v>(Set Type not found)</v>
      </c>
      <c r="K850" s="3" t="e">
        <f>tbl_MTG_Set[[#This Row],[Released On]]+tbl_MTG_Set[[#This Row],[Buy Window Month Start]]*365.25/12</f>
        <v>#VALUE!</v>
      </c>
      <c r="L850" t="str">
        <f>_xlfn.XLOOKUP(tbl_MTG_Set[[#This Row],[Type Name]], tbl_MTG_Set_Type[Set Type], tbl_MTG_Set_Type[Buy Window Month End], "(Set Type not found)", 0, 1)</f>
        <v>(Set Type not found)</v>
      </c>
      <c r="M850" s="3" t="e">
        <f>tbl_MTG_Set[[#This Row],[Released On]]+tbl_MTG_Set[[#This Row],[Buy Window Month End]]*365.25/12</f>
        <v>#VALUE!</v>
      </c>
      <c r="N850" s="3" t="e">
        <f ca="1">AND(NOW()&gt;=tbl_MTG_Set[[#This Row],[Buy Window Start]], NOW()&lt;=tbl_MTG_Set[[#This Row],[Buy Window End]])</f>
        <v>#VALUE!</v>
      </c>
      <c r="O850" t="str">
        <f>_xlfn.XLOOKUP(tbl_MTG_Set[[#This Row],[Type Name]], tbl_MTG_Set_Type[Set Type], tbl_MTG_Set_Type[Heavy Printing Window Month Start], "(Set Type not found)", 0, 1)</f>
        <v>(Set Type not found)</v>
      </c>
      <c r="P850" s="3" t="e">
        <f>tbl_MTG_Set[[#This Row],[Released On]]+tbl_MTG_Set[[#This Row],[Heavy Printing Window Month Start]]*365.25/12</f>
        <v>#VALUE!</v>
      </c>
      <c r="Q850" t="str">
        <f>_xlfn.XLOOKUP(tbl_MTG_Set[[#This Row],[Type Name]], tbl_MTG_Set_Type[Set Type], tbl_MTG_Set_Type[Heavy Printing Window Month End], "(Set Type not found)", 0, 1)</f>
        <v>(Set Type not found)</v>
      </c>
      <c r="R850" s="3" t="e">
        <f>tbl_MTG_Set[[#This Row],[Released On]]+tbl_MTG_Set[[#This Row],[Heavy Printing Window Month End]]*365.25/12</f>
        <v>#VALUE!</v>
      </c>
      <c r="S850" s="3" t="e">
        <f ca="1">AND(NOW()&gt;=tbl_MTG_Set[[#This Row],[Heavy Printing Window Start]], NOW()&lt;=tbl_MTG_Set[[#This Row],[Heavy Printing Window End]])</f>
        <v>#VALUE!</v>
      </c>
      <c r="T850" t="str">
        <f>_xlfn.XLOOKUP(tbl_MTG_Set[[#This Row],[Type Name]], tbl_MTG_Set_Type[Set Type], tbl_MTG_Set_Type[Sell Window Month Start], "(Set Type not found)", 0, 1)</f>
        <v>(Set Type not found)</v>
      </c>
      <c r="U850" s="3" t="e">
        <f>tbl_MTG_Set[[#This Row],[Released On]]+tbl_MTG_Set[[#This Row],[Sell Window Month Start]]*365.25/12</f>
        <v>#VALUE!</v>
      </c>
      <c r="V850" t="str">
        <f>_xlfn.XLOOKUP(tbl_MTG_Set[[#This Row],[Type Name]], tbl_MTG_Set_Type[Set Type], tbl_MTG_Set_Type[Sell Window Month End], "(Set Type not found)", 0, 1)</f>
        <v>(Set Type not found)</v>
      </c>
      <c r="W850" s="3" t="e">
        <f>tbl_MTG_Set[[#This Row],[Released On]]+tbl_MTG_Set[[#This Row],[Sell Window Month End]]*365.25/12</f>
        <v>#VALUE!</v>
      </c>
      <c r="X850" s="3" t="e">
        <f ca="1">AND(NOW()&gt;=tbl_MTG_Set[[#This Row],[Sell Window Start]], NOW()&lt;=tbl_MTG_Set[[#This Row],[Sell Window End]])</f>
        <v>#VALUE!</v>
      </c>
      <c r="AG850" s="10"/>
      <c r="AH850" s="10"/>
      <c r="AM850" s="10" t="str" cm="1">
        <f t="array" ref="AM8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0" s="10" t="str" cm="1">
        <f t="array" ref="AN8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0" s="4" t="e">
        <f>_xlfn.XLOOKUP(tbl_MTG_Set[[#This Row],[Play Booster Box Product Id]], tbl_Product[Product Id], tbl_Product[Pack Size])</f>
        <v>#N/A</v>
      </c>
      <c r="AP850" s="10" t="e">
        <f>(tbl_MTG_Set[[#This Row],[Play Booster Box Cost]]+v_Item_Shipping_Cost_In)/tbl_MTG_Set[[#This Row],[Play Booster Box Size]]</f>
        <v>#VALUE!</v>
      </c>
      <c r="AQ850" s="10" t="str" cm="1">
        <f t="array" ref="AQ8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0" s="10"/>
      <c r="AS850" s="10"/>
      <c r="AT850" s="17" t="e">
        <f>tbl_MTG_Set[[#This Row],[Play Booster CardMarket Profit]]/tbl_MTG_Set[[#This Row],[Play Booster Cost]]</f>
        <v>#VALUE!</v>
      </c>
      <c r="AU850" s="10" t="e">
        <f>_xlfn.XLOOKUP(tbl_MTG_Set[[#This Row],[Collector Booster Box Product Id]], tbl_Product[Product Id], tbl_Product[Min Cost])</f>
        <v>#N/A</v>
      </c>
      <c r="AV850" s="10" t="e">
        <f>_xlfn.XLOOKUP(tbl_MTG_Set[[#This Row],[Collector Booster Box Product Id]], tbl_Product[Product Id], tbl_Product[Best Source])</f>
        <v>#N/A</v>
      </c>
      <c r="AW850" s="4" t="e">
        <f>_xlfn.XLOOKUP(tbl_MTG_Set[[#This Row],[Collector Booster Box Product Id]], tbl_Product[Product Id], tbl_Product[Pack Size])</f>
        <v>#N/A</v>
      </c>
      <c r="AX850" s="10" t="e">
        <f>(tbl_MTG_Set[[#This Row],[Collector Booster Box Cost]] + v_Item_Shipping_Cost_In) / tbl_MTG_Set[[#This Row],[Collector Booster Box Size]]</f>
        <v>#N/A</v>
      </c>
      <c r="AY850" s="10" t="str" cm="1">
        <f t="array" ref="AY8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0" s="10"/>
      <c r="BA8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0" s="17" t="e">
        <f>tbl_MTG_Set[[#This Row],[Collector Booster CardMarket Profit]]/tbl_MTG_Set[[#This Row],[Collector Booster Cost]]</f>
        <v>#N/A</v>
      </c>
      <c r="BC850" s="10"/>
      <c r="BF8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0" s="11" t="e">
        <f>tbl_MTG_Set[[#This Row],[Play Singles CardMarket Profit MTG Stocks]]/tbl_MTG_Set[[#This Row],[Play Booster Cost]]</f>
        <v>#VALUE!</v>
      </c>
      <c r="BI850" s="11" t="b">
        <f>tbl_MTG_Set[[#This Row],[Play Singles CardMarket Profit MTG Stocks]]&gt;0</f>
        <v>0</v>
      </c>
      <c r="BM850" s="10" t="e">
        <f>tbl_MTG_Set[[#This Row],[Play Booster Sell Price CardMarket]]*tbl_MTG_Set[[#This Row],[Play Booster Expected Market Value BotBox]]/tbl_MTG_Set[[#This Row],[Play Booster Sealed Market Value BotBox]]</f>
        <v>#VALUE!</v>
      </c>
      <c r="BN8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0" s="10" t="e">
        <f>tbl_MTG_Set[[#This Row],[Play Singles CardMarket Profit BotBox]]/tbl_MTG_Set[[#This Row],[Play Booster Cost]]</f>
        <v>#VALUE!</v>
      </c>
      <c r="BP850" s="10" t="b">
        <f>tbl_MTG_Set[[#This Row],[Play Singles CardMarket Profit BotBox]]&gt;0</f>
        <v>0</v>
      </c>
      <c r="BQ850" s="10"/>
      <c r="BR850" s="10"/>
      <c r="BS850" s="10"/>
      <c r="BT8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0" s="19" t="e">
        <f>tbl_MTG_Set[[#This Row],[Collector Singles CardMarket Profit MTG Stocks]]/tbl_MTG_Set[[#This Row],[Collector Booster Cost]]</f>
        <v>#N/A</v>
      </c>
      <c r="BW850" s="10" t="b">
        <f>tbl_MTG_Set[[#This Row],[Collector Singles CardMarket Profit MTG Stocks]]&gt;0</f>
        <v>0</v>
      </c>
      <c r="BX850" s="10"/>
      <c r="BY850" s="10"/>
      <c r="BZ8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0" s="10" t="e">
        <f>tbl_MTG_Set[[#This Row],[Collector Singles CardMarket Profit BotBox]]/tbl_MTG_Set[[#This Row],[Collector Booster Cost]]</f>
        <v>#N/A</v>
      </c>
      <c r="CC850" s="10" t="b">
        <f>tbl_MTG_Set[[#This Row],[Collector Singles CardMarket Profit BotBox]]&gt;0</f>
        <v>0</v>
      </c>
      <c r="CD8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1" spans="1:86" hidden="1">
      <c r="A851">
        <v>883</v>
      </c>
      <c r="B851" t="s">
        <v>1024</v>
      </c>
      <c r="C851">
        <v>1</v>
      </c>
      <c r="D851" s="3">
        <v>38142</v>
      </c>
      <c r="F851" t="s">
        <v>174</v>
      </c>
      <c r="G851">
        <v>1712</v>
      </c>
      <c r="H851">
        <f ca="1">MONTH(NOW())+12*YEAR(NOW())-MONTH(tbl_MTG_Set[[#This Row],[Released On]])-12*YEAR(tbl_MTG_Set[[#This Row],[Released On]])</f>
        <v>261</v>
      </c>
      <c r="I851" t="str">
        <f>_xlfn.XLOOKUP(tbl_MTG_Set[[#This Row],[Type Name]], tbl_MTG_Set_Type[Set Type], tbl_MTG_Set_Type[Index], "(Set Type not found)")</f>
        <v>(Set Type not found)</v>
      </c>
      <c r="J851" t="str">
        <f>_xlfn.XLOOKUP(tbl_MTG_Set[[#This Row],[Type Name]], tbl_MTG_Set_Type[Set Type], tbl_MTG_Set_Type[Buy Window Month Start], "(Set Type not found)")</f>
        <v>(Set Type not found)</v>
      </c>
      <c r="K851" s="3" t="e">
        <f>tbl_MTG_Set[[#This Row],[Released On]]+tbl_MTG_Set[[#This Row],[Buy Window Month Start]]*365.25/12</f>
        <v>#VALUE!</v>
      </c>
      <c r="L851" t="str">
        <f>_xlfn.XLOOKUP(tbl_MTG_Set[[#This Row],[Type Name]], tbl_MTG_Set_Type[Set Type], tbl_MTG_Set_Type[Buy Window Month End], "(Set Type not found)", 0, 1)</f>
        <v>(Set Type not found)</v>
      </c>
      <c r="M851" s="3" t="e">
        <f>tbl_MTG_Set[[#This Row],[Released On]]+tbl_MTG_Set[[#This Row],[Buy Window Month End]]*365.25/12</f>
        <v>#VALUE!</v>
      </c>
      <c r="N851" s="3" t="e">
        <f ca="1">AND(NOW()&gt;=tbl_MTG_Set[[#This Row],[Buy Window Start]], NOW()&lt;=tbl_MTG_Set[[#This Row],[Buy Window End]])</f>
        <v>#VALUE!</v>
      </c>
      <c r="O851" t="str">
        <f>_xlfn.XLOOKUP(tbl_MTG_Set[[#This Row],[Type Name]], tbl_MTG_Set_Type[Set Type], tbl_MTG_Set_Type[Heavy Printing Window Month Start], "(Set Type not found)", 0, 1)</f>
        <v>(Set Type not found)</v>
      </c>
      <c r="P851" s="3" t="e">
        <f>tbl_MTG_Set[[#This Row],[Released On]]+tbl_MTG_Set[[#This Row],[Heavy Printing Window Month Start]]*365.25/12</f>
        <v>#VALUE!</v>
      </c>
      <c r="Q851" t="str">
        <f>_xlfn.XLOOKUP(tbl_MTG_Set[[#This Row],[Type Name]], tbl_MTG_Set_Type[Set Type], tbl_MTG_Set_Type[Heavy Printing Window Month End], "(Set Type not found)", 0, 1)</f>
        <v>(Set Type not found)</v>
      </c>
      <c r="R851" s="3" t="e">
        <f>tbl_MTG_Set[[#This Row],[Released On]]+tbl_MTG_Set[[#This Row],[Heavy Printing Window Month End]]*365.25/12</f>
        <v>#VALUE!</v>
      </c>
      <c r="S851" s="3" t="e">
        <f ca="1">AND(NOW()&gt;=tbl_MTG_Set[[#This Row],[Heavy Printing Window Start]], NOW()&lt;=tbl_MTG_Set[[#This Row],[Heavy Printing Window End]])</f>
        <v>#VALUE!</v>
      </c>
      <c r="T851" t="str">
        <f>_xlfn.XLOOKUP(tbl_MTG_Set[[#This Row],[Type Name]], tbl_MTG_Set_Type[Set Type], tbl_MTG_Set_Type[Sell Window Month Start], "(Set Type not found)", 0, 1)</f>
        <v>(Set Type not found)</v>
      </c>
      <c r="U851" s="3" t="e">
        <f>tbl_MTG_Set[[#This Row],[Released On]]+tbl_MTG_Set[[#This Row],[Sell Window Month Start]]*365.25/12</f>
        <v>#VALUE!</v>
      </c>
      <c r="V851" t="str">
        <f>_xlfn.XLOOKUP(tbl_MTG_Set[[#This Row],[Type Name]], tbl_MTG_Set_Type[Set Type], tbl_MTG_Set_Type[Sell Window Month End], "(Set Type not found)", 0, 1)</f>
        <v>(Set Type not found)</v>
      </c>
      <c r="W851" s="3" t="e">
        <f>tbl_MTG_Set[[#This Row],[Released On]]+tbl_MTG_Set[[#This Row],[Sell Window Month End]]*365.25/12</f>
        <v>#VALUE!</v>
      </c>
      <c r="X851" s="3" t="e">
        <f ca="1">AND(NOW()&gt;=tbl_MTG_Set[[#This Row],[Sell Window Start]], NOW()&lt;=tbl_MTG_Set[[#This Row],[Sell Window End]])</f>
        <v>#VALUE!</v>
      </c>
      <c r="AG851" s="10"/>
      <c r="AH851" s="10"/>
      <c r="AM851" s="10" t="str" cm="1">
        <f t="array" ref="AM8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1" s="10" t="str" cm="1">
        <f t="array" ref="AN8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1" s="4" t="e">
        <f>_xlfn.XLOOKUP(tbl_MTG_Set[[#This Row],[Play Booster Box Product Id]], tbl_Product[Product Id], tbl_Product[Pack Size])</f>
        <v>#N/A</v>
      </c>
      <c r="AP851" s="10" t="e">
        <f>(tbl_MTG_Set[[#This Row],[Play Booster Box Cost]]+v_Item_Shipping_Cost_In)/tbl_MTG_Set[[#This Row],[Play Booster Box Size]]</f>
        <v>#VALUE!</v>
      </c>
      <c r="AQ851" s="10" t="str" cm="1">
        <f t="array" ref="AQ8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1" s="10"/>
      <c r="AS851" s="10"/>
      <c r="AT851" s="17" t="e">
        <f>tbl_MTG_Set[[#This Row],[Play Booster CardMarket Profit]]/tbl_MTG_Set[[#This Row],[Play Booster Cost]]</f>
        <v>#VALUE!</v>
      </c>
      <c r="AU851" s="10" t="e">
        <f>_xlfn.XLOOKUP(tbl_MTG_Set[[#This Row],[Collector Booster Box Product Id]], tbl_Product[Product Id], tbl_Product[Min Cost])</f>
        <v>#N/A</v>
      </c>
      <c r="AV851" s="10" t="e">
        <f>_xlfn.XLOOKUP(tbl_MTG_Set[[#This Row],[Collector Booster Box Product Id]], tbl_Product[Product Id], tbl_Product[Best Source])</f>
        <v>#N/A</v>
      </c>
      <c r="AW851" s="4" t="e">
        <f>_xlfn.XLOOKUP(tbl_MTG_Set[[#This Row],[Collector Booster Box Product Id]], tbl_Product[Product Id], tbl_Product[Pack Size])</f>
        <v>#N/A</v>
      </c>
      <c r="AX851" s="10" t="e">
        <f>(tbl_MTG_Set[[#This Row],[Collector Booster Box Cost]] + v_Item_Shipping_Cost_In) / tbl_MTG_Set[[#This Row],[Collector Booster Box Size]]</f>
        <v>#N/A</v>
      </c>
      <c r="AY851" s="10" t="str" cm="1">
        <f t="array" ref="AY8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1" s="10"/>
      <c r="BA8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1" s="17" t="e">
        <f>tbl_MTG_Set[[#This Row],[Collector Booster CardMarket Profit]]/tbl_MTG_Set[[#This Row],[Collector Booster Cost]]</f>
        <v>#N/A</v>
      </c>
      <c r="BC851" s="10"/>
      <c r="BF8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1" s="11" t="e">
        <f>tbl_MTG_Set[[#This Row],[Play Singles CardMarket Profit MTG Stocks]]/tbl_MTG_Set[[#This Row],[Play Booster Cost]]</f>
        <v>#VALUE!</v>
      </c>
      <c r="BI851" s="11" t="b">
        <f>tbl_MTG_Set[[#This Row],[Play Singles CardMarket Profit MTG Stocks]]&gt;0</f>
        <v>0</v>
      </c>
      <c r="BM851" s="10" t="e">
        <f>tbl_MTG_Set[[#This Row],[Play Booster Sell Price CardMarket]]*tbl_MTG_Set[[#This Row],[Play Booster Expected Market Value BotBox]]/tbl_MTG_Set[[#This Row],[Play Booster Sealed Market Value BotBox]]</f>
        <v>#VALUE!</v>
      </c>
      <c r="BN8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1" s="10" t="e">
        <f>tbl_MTG_Set[[#This Row],[Play Singles CardMarket Profit BotBox]]/tbl_MTG_Set[[#This Row],[Play Booster Cost]]</f>
        <v>#VALUE!</v>
      </c>
      <c r="BP851" s="10" t="b">
        <f>tbl_MTG_Set[[#This Row],[Play Singles CardMarket Profit BotBox]]&gt;0</f>
        <v>0</v>
      </c>
      <c r="BQ851" s="10"/>
      <c r="BR851" s="10"/>
      <c r="BS851" s="10"/>
      <c r="BT8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1" s="19" t="e">
        <f>tbl_MTG_Set[[#This Row],[Collector Singles CardMarket Profit MTG Stocks]]/tbl_MTG_Set[[#This Row],[Collector Booster Cost]]</f>
        <v>#N/A</v>
      </c>
      <c r="BW851" s="10" t="b">
        <f>tbl_MTG_Set[[#This Row],[Collector Singles CardMarket Profit MTG Stocks]]&gt;0</f>
        <v>0</v>
      </c>
      <c r="BX851" s="10"/>
      <c r="BY851" s="10"/>
      <c r="BZ8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1" s="10" t="e">
        <f>tbl_MTG_Set[[#This Row],[Collector Singles CardMarket Profit BotBox]]/tbl_MTG_Set[[#This Row],[Collector Booster Cost]]</f>
        <v>#N/A</v>
      </c>
      <c r="CC851" s="10" t="b">
        <f>tbl_MTG_Set[[#This Row],[Collector Singles CardMarket Profit BotBox]]&gt;0</f>
        <v>0</v>
      </c>
      <c r="CD8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2" spans="1:86" hidden="1">
      <c r="A852">
        <v>884</v>
      </c>
      <c r="B852" t="s">
        <v>1025</v>
      </c>
      <c r="C852">
        <v>165</v>
      </c>
      <c r="D852" s="3">
        <v>38023</v>
      </c>
      <c r="F852" t="s">
        <v>174</v>
      </c>
      <c r="G852">
        <v>1714</v>
      </c>
      <c r="H852">
        <f ca="1">MONTH(NOW())+12*YEAR(NOW())-MONTH(tbl_MTG_Set[[#This Row],[Released On]])-12*YEAR(tbl_MTG_Set[[#This Row],[Released On]])</f>
        <v>265</v>
      </c>
      <c r="I852" t="str">
        <f>_xlfn.XLOOKUP(tbl_MTG_Set[[#This Row],[Type Name]], tbl_MTG_Set_Type[Set Type], tbl_MTG_Set_Type[Index], "(Set Type not found)")</f>
        <v>(Set Type not found)</v>
      </c>
      <c r="J852" t="str">
        <f>_xlfn.XLOOKUP(tbl_MTG_Set[[#This Row],[Type Name]], tbl_MTG_Set_Type[Set Type], tbl_MTG_Set_Type[Buy Window Month Start], "(Set Type not found)")</f>
        <v>(Set Type not found)</v>
      </c>
      <c r="K852" s="3" t="e">
        <f>tbl_MTG_Set[[#This Row],[Released On]]+tbl_MTG_Set[[#This Row],[Buy Window Month Start]]*365.25/12</f>
        <v>#VALUE!</v>
      </c>
      <c r="L852" t="str">
        <f>_xlfn.XLOOKUP(tbl_MTG_Set[[#This Row],[Type Name]], tbl_MTG_Set_Type[Set Type], tbl_MTG_Set_Type[Buy Window Month End], "(Set Type not found)", 0, 1)</f>
        <v>(Set Type not found)</v>
      </c>
      <c r="M852" s="3" t="e">
        <f>tbl_MTG_Set[[#This Row],[Released On]]+tbl_MTG_Set[[#This Row],[Buy Window Month End]]*365.25/12</f>
        <v>#VALUE!</v>
      </c>
      <c r="N852" s="3" t="e">
        <f ca="1">AND(NOW()&gt;=tbl_MTG_Set[[#This Row],[Buy Window Start]], NOW()&lt;=tbl_MTG_Set[[#This Row],[Buy Window End]])</f>
        <v>#VALUE!</v>
      </c>
      <c r="O852" t="str">
        <f>_xlfn.XLOOKUP(tbl_MTG_Set[[#This Row],[Type Name]], tbl_MTG_Set_Type[Set Type], tbl_MTG_Set_Type[Heavy Printing Window Month Start], "(Set Type not found)", 0, 1)</f>
        <v>(Set Type not found)</v>
      </c>
      <c r="P852" s="3" t="e">
        <f>tbl_MTG_Set[[#This Row],[Released On]]+tbl_MTG_Set[[#This Row],[Heavy Printing Window Month Start]]*365.25/12</f>
        <v>#VALUE!</v>
      </c>
      <c r="Q852" t="str">
        <f>_xlfn.XLOOKUP(tbl_MTG_Set[[#This Row],[Type Name]], tbl_MTG_Set_Type[Set Type], tbl_MTG_Set_Type[Heavy Printing Window Month End], "(Set Type not found)", 0, 1)</f>
        <v>(Set Type not found)</v>
      </c>
      <c r="R852" s="3" t="e">
        <f>tbl_MTG_Set[[#This Row],[Released On]]+tbl_MTG_Set[[#This Row],[Heavy Printing Window Month End]]*365.25/12</f>
        <v>#VALUE!</v>
      </c>
      <c r="S852" s="3" t="e">
        <f ca="1">AND(NOW()&gt;=tbl_MTG_Set[[#This Row],[Heavy Printing Window Start]], NOW()&lt;=tbl_MTG_Set[[#This Row],[Heavy Printing Window End]])</f>
        <v>#VALUE!</v>
      </c>
      <c r="T852" t="str">
        <f>_xlfn.XLOOKUP(tbl_MTG_Set[[#This Row],[Type Name]], tbl_MTG_Set_Type[Set Type], tbl_MTG_Set_Type[Sell Window Month Start], "(Set Type not found)", 0, 1)</f>
        <v>(Set Type not found)</v>
      </c>
      <c r="U852" s="3" t="e">
        <f>tbl_MTG_Set[[#This Row],[Released On]]+tbl_MTG_Set[[#This Row],[Sell Window Month Start]]*365.25/12</f>
        <v>#VALUE!</v>
      </c>
      <c r="V852" t="str">
        <f>_xlfn.XLOOKUP(tbl_MTG_Set[[#This Row],[Type Name]], tbl_MTG_Set_Type[Set Type], tbl_MTG_Set_Type[Sell Window Month End], "(Set Type not found)", 0, 1)</f>
        <v>(Set Type not found)</v>
      </c>
      <c r="W852" s="3" t="e">
        <f>tbl_MTG_Set[[#This Row],[Released On]]+tbl_MTG_Set[[#This Row],[Sell Window Month End]]*365.25/12</f>
        <v>#VALUE!</v>
      </c>
      <c r="X852" s="3" t="e">
        <f ca="1">AND(NOW()&gt;=tbl_MTG_Set[[#This Row],[Sell Window Start]], NOW()&lt;=tbl_MTG_Set[[#This Row],[Sell Window End]])</f>
        <v>#VALUE!</v>
      </c>
      <c r="AG852" s="10"/>
      <c r="AH852" s="10"/>
      <c r="AM852" s="10" t="str" cm="1">
        <f t="array" ref="AM8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2" s="10" t="str" cm="1">
        <f t="array" ref="AN8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2" s="4" t="e">
        <f>_xlfn.XLOOKUP(tbl_MTG_Set[[#This Row],[Play Booster Box Product Id]], tbl_Product[Product Id], tbl_Product[Pack Size])</f>
        <v>#N/A</v>
      </c>
      <c r="AP852" s="10" t="e">
        <f>(tbl_MTG_Set[[#This Row],[Play Booster Box Cost]]+v_Item_Shipping_Cost_In)/tbl_MTG_Set[[#This Row],[Play Booster Box Size]]</f>
        <v>#VALUE!</v>
      </c>
      <c r="AQ852" s="10" t="str" cm="1">
        <f t="array" ref="AQ8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2" s="10"/>
      <c r="AS852" s="10"/>
      <c r="AT852" s="17" t="e">
        <f>tbl_MTG_Set[[#This Row],[Play Booster CardMarket Profit]]/tbl_MTG_Set[[#This Row],[Play Booster Cost]]</f>
        <v>#VALUE!</v>
      </c>
      <c r="AU852" s="10" t="e">
        <f>_xlfn.XLOOKUP(tbl_MTG_Set[[#This Row],[Collector Booster Box Product Id]], tbl_Product[Product Id], tbl_Product[Min Cost])</f>
        <v>#N/A</v>
      </c>
      <c r="AV852" s="10" t="e">
        <f>_xlfn.XLOOKUP(tbl_MTG_Set[[#This Row],[Collector Booster Box Product Id]], tbl_Product[Product Id], tbl_Product[Best Source])</f>
        <v>#N/A</v>
      </c>
      <c r="AW852" s="4" t="e">
        <f>_xlfn.XLOOKUP(tbl_MTG_Set[[#This Row],[Collector Booster Box Product Id]], tbl_Product[Product Id], tbl_Product[Pack Size])</f>
        <v>#N/A</v>
      </c>
      <c r="AX852" s="10" t="e">
        <f>(tbl_MTG_Set[[#This Row],[Collector Booster Box Cost]] + v_Item_Shipping_Cost_In) / tbl_MTG_Set[[#This Row],[Collector Booster Box Size]]</f>
        <v>#N/A</v>
      </c>
      <c r="AY852" s="10" t="str" cm="1">
        <f t="array" ref="AY8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2" s="10"/>
      <c r="BA8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2" s="17" t="e">
        <f>tbl_MTG_Set[[#This Row],[Collector Booster CardMarket Profit]]/tbl_MTG_Set[[#This Row],[Collector Booster Cost]]</f>
        <v>#N/A</v>
      </c>
      <c r="BC852" s="10"/>
      <c r="BF8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2" s="11" t="e">
        <f>tbl_MTG_Set[[#This Row],[Play Singles CardMarket Profit MTG Stocks]]/tbl_MTG_Set[[#This Row],[Play Booster Cost]]</f>
        <v>#VALUE!</v>
      </c>
      <c r="BI852" s="11" t="b">
        <f>tbl_MTG_Set[[#This Row],[Play Singles CardMarket Profit MTG Stocks]]&gt;0</f>
        <v>0</v>
      </c>
      <c r="BM852" s="10" t="e">
        <f>tbl_MTG_Set[[#This Row],[Play Booster Sell Price CardMarket]]*tbl_MTG_Set[[#This Row],[Play Booster Expected Market Value BotBox]]/tbl_MTG_Set[[#This Row],[Play Booster Sealed Market Value BotBox]]</f>
        <v>#VALUE!</v>
      </c>
      <c r="BN8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2" s="10" t="e">
        <f>tbl_MTG_Set[[#This Row],[Play Singles CardMarket Profit BotBox]]/tbl_MTG_Set[[#This Row],[Play Booster Cost]]</f>
        <v>#VALUE!</v>
      </c>
      <c r="BP852" s="10" t="b">
        <f>tbl_MTG_Set[[#This Row],[Play Singles CardMarket Profit BotBox]]&gt;0</f>
        <v>0</v>
      </c>
      <c r="BQ852" s="10"/>
      <c r="BR852" s="10"/>
      <c r="BS852" s="10"/>
      <c r="BT8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2" s="19" t="e">
        <f>tbl_MTG_Set[[#This Row],[Collector Singles CardMarket Profit MTG Stocks]]/tbl_MTG_Set[[#This Row],[Collector Booster Cost]]</f>
        <v>#N/A</v>
      </c>
      <c r="BW852" s="10" t="b">
        <f>tbl_MTG_Set[[#This Row],[Collector Singles CardMarket Profit MTG Stocks]]&gt;0</f>
        <v>0</v>
      </c>
      <c r="BX852" s="10"/>
      <c r="BY852" s="10"/>
      <c r="BZ8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2" s="10" t="e">
        <f>tbl_MTG_Set[[#This Row],[Collector Singles CardMarket Profit BotBox]]/tbl_MTG_Set[[#This Row],[Collector Booster Cost]]</f>
        <v>#N/A</v>
      </c>
      <c r="CC852" s="10" t="b">
        <f>tbl_MTG_Set[[#This Row],[Collector Singles CardMarket Profit BotBox]]&gt;0</f>
        <v>0</v>
      </c>
      <c r="CD8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3" spans="1:86" hidden="1">
      <c r="A853">
        <v>885</v>
      </c>
      <c r="B853" t="s">
        <v>1026</v>
      </c>
      <c r="C853">
        <v>1</v>
      </c>
      <c r="D853" s="3">
        <v>38023</v>
      </c>
      <c r="F853" t="s">
        <v>174</v>
      </c>
      <c r="G853">
        <v>1716</v>
      </c>
      <c r="H853">
        <f ca="1">MONTH(NOW())+12*YEAR(NOW())-MONTH(tbl_MTG_Set[[#This Row],[Released On]])-12*YEAR(tbl_MTG_Set[[#This Row],[Released On]])</f>
        <v>265</v>
      </c>
      <c r="I853" t="str">
        <f>_xlfn.XLOOKUP(tbl_MTG_Set[[#This Row],[Type Name]], tbl_MTG_Set_Type[Set Type], tbl_MTG_Set_Type[Index], "(Set Type not found)")</f>
        <v>(Set Type not found)</v>
      </c>
      <c r="J853" t="str">
        <f>_xlfn.XLOOKUP(tbl_MTG_Set[[#This Row],[Type Name]], tbl_MTG_Set_Type[Set Type], tbl_MTG_Set_Type[Buy Window Month Start], "(Set Type not found)")</f>
        <v>(Set Type not found)</v>
      </c>
      <c r="K853" s="3" t="e">
        <f>tbl_MTG_Set[[#This Row],[Released On]]+tbl_MTG_Set[[#This Row],[Buy Window Month Start]]*365.25/12</f>
        <v>#VALUE!</v>
      </c>
      <c r="L853" t="str">
        <f>_xlfn.XLOOKUP(tbl_MTG_Set[[#This Row],[Type Name]], tbl_MTG_Set_Type[Set Type], tbl_MTG_Set_Type[Buy Window Month End], "(Set Type not found)", 0, 1)</f>
        <v>(Set Type not found)</v>
      </c>
      <c r="M853" s="3" t="e">
        <f>tbl_MTG_Set[[#This Row],[Released On]]+tbl_MTG_Set[[#This Row],[Buy Window Month End]]*365.25/12</f>
        <v>#VALUE!</v>
      </c>
      <c r="N853" s="3" t="e">
        <f ca="1">AND(NOW()&gt;=tbl_MTG_Set[[#This Row],[Buy Window Start]], NOW()&lt;=tbl_MTG_Set[[#This Row],[Buy Window End]])</f>
        <v>#VALUE!</v>
      </c>
      <c r="O853" t="str">
        <f>_xlfn.XLOOKUP(tbl_MTG_Set[[#This Row],[Type Name]], tbl_MTG_Set_Type[Set Type], tbl_MTG_Set_Type[Heavy Printing Window Month Start], "(Set Type not found)", 0, 1)</f>
        <v>(Set Type not found)</v>
      </c>
      <c r="P853" s="3" t="e">
        <f>tbl_MTG_Set[[#This Row],[Released On]]+tbl_MTG_Set[[#This Row],[Heavy Printing Window Month Start]]*365.25/12</f>
        <v>#VALUE!</v>
      </c>
      <c r="Q853" t="str">
        <f>_xlfn.XLOOKUP(tbl_MTG_Set[[#This Row],[Type Name]], tbl_MTG_Set_Type[Set Type], tbl_MTG_Set_Type[Heavy Printing Window Month End], "(Set Type not found)", 0, 1)</f>
        <v>(Set Type not found)</v>
      </c>
      <c r="R853" s="3" t="e">
        <f>tbl_MTG_Set[[#This Row],[Released On]]+tbl_MTG_Set[[#This Row],[Heavy Printing Window Month End]]*365.25/12</f>
        <v>#VALUE!</v>
      </c>
      <c r="S853" s="3" t="e">
        <f ca="1">AND(NOW()&gt;=tbl_MTG_Set[[#This Row],[Heavy Printing Window Start]], NOW()&lt;=tbl_MTG_Set[[#This Row],[Heavy Printing Window End]])</f>
        <v>#VALUE!</v>
      </c>
      <c r="T853" t="str">
        <f>_xlfn.XLOOKUP(tbl_MTG_Set[[#This Row],[Type Name]], tbl_MTG_Set_Type[Set Type], tbl_MTG_Set_Type[Sell Window Month Start], "(Set Type not found)", 0, 1)</f>
        <v>(Set Type not found)</v>
      </c>
      <c r="U853" s="3" t="e">
        <f>tbl_MTG_Set[[#This Row],[Released On]]+tbl_MTG_Set[[#This Row],[Sell Window Month Start]]*365.25/12</f>
        <v>#VALUE!</v>
      </c>
      <c r="V853" t="str">
        <f>_xlfn.XLOOKUP(tbl_MTG_Set[[#This Row],[Type Name]], tbl_MTG_Set_Type[Set Type], tbl_MTG_Set_Type[Sell Window Month End], "(Set Type not found)", 0, 1)</f>
        <v>(Set Type not found)</v>
      </c>
      <c r="W853" s="3" t="e">
        <f>tbl_MTG_Set[[#This Row],[Released On]]+tbl_MTG_Set[[#This Row],[Sell Window Month End]]*365.25/12</f>
        <v>#VALUE!</v>
      </c>
      <c r="X853" s="3" t="e">
        <f ca="1">AND(NOW()&gt;=tbl_MTG_Set[[#This Row],[Sell Window Start]], NOW()&lt;=tbl_MTG_Set[[#This Row],[Sell Window End]])</f>
        <v>#VALUE!</v>
      </c>
      <c r="AG853" s="10"/>
      <c r="AH853" s="10"/>
      <c r="AM853" s="10" t="str" cm="1">
        <f t="array" ref="AM8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3" s="10" t="str" cm="1">
        <f t="array" ref="AN8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3" s="4" t="e">
        <f>_xlfn.XLOOKUP(tbl_MTG_Set[[#This Row],[Play Booster Box Product Id]], tbl_Product[Product Id], tbl_Product[Pack Size])</f>
        <v>#N/A</v>
      </c>
      <c r="AP853" s="10" t="e">
        <f>(tbl_MTG_Set[[#This Row],[Play Booster Box Cost]]+v_Item_Shipping_Cost_In)/tbl_MTG_Set[[#This Row],[Play Booster Box Size]]</f>
        <v>#VALUE!</v>
      </c>
      <c r="AQ853" s="10" t="str" cm="1">
        <f t="array" ref="AQ8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3" s="10"/>
      <c r="AS853" s="10"/>
      <c r="AT853" s="17" t="e">
        <f>tbl_MTG_Set[[#This Row],[Play Booster CardMarket Profit]]/tbl_MTG_Set[[#This Row],[Play Booster Cost]]</f>
        <v>#VALUE!</v>
      </c>
      <c r="AU853" s="10" t="e">
        <f>_xlfn.XLOOKUP(tbl_MTG_Set[[#This Row],[Collector Booster Box Product Id]], tbl_Product[Product Id], tbl_Product[Min Cost])</f>
        <v>#N/A</v>
      </c>
      <c r="AV853" s="10" t="e">
        <f>_xlfn.XLOOKUP(tbl_MTG_Set[[#This Row],[Collector Booster Box Product Id]], tbl_Product[Product Id], tbl_Product[Best Source])</f>
        <v>#N/A</v>
      </c>
      <c r="AW853" s="4" t="e">
        <f>_xlfn.XLOOKUP(tbl_MTG_Set[[#This Row],[Collector Booster Box Product Id]], tbl_Product[Product Id], tbl_Product[Pack Size])</f>
        <v>#N/A</v>
      </c>
      <c r="AX853" s="10" t="e">
        <f>(tbl_MTG_Set[[#This Row],[Collector Booster Box Cost]] + v_Item_Shipping_Cost_In) / tbl_MTG_Set[[#This Row],[Collector Booster Box Size]]</f>
        <v>#N/A</v>
      </c>
      <c r="AY853" s="10" t="str" cm="1">
        <f t="array" ref="AY8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3" s="10"/>
      <c r="BA8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3" s="17" t="e">
        <f>tbl_MTG_Set[[#This Row],[Collector Booster CardMarket Profit]]/tbl_MTG_Set[[#This Row],[Collector Booster Cost]]</f>
        <v>#N/A</v>
      </c>
      <c r="BC853" s="10"/>
      <c r="BF8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3" s="11" t="e">
        <f>tbl_MTG_Set[[#This Row],[Play Singles CardMarket Profit MTG Stocks]]/tbl_MTG_Set[[#This Row],[Play Booster Cost]]</f>
        <v>#VALUE!</v>
      </c>
      <c r="BI853" s="11" t="b">
        <f>tbl_MTG_Set[[#This Row],[Play Singles CardMarket Profit MTG Stocks]]&gt;0</f>
        <v>0</v>
      </c>
      <c r="BM853" s="10" t="e">
        <f>tbl_MTG_Set[[#This Row],[Play Booster Sell Price CardMarket]]*tbl_MTG_Set[[#This Row],[Play Booster Expected Market Value BotBox]]/tbl_MTG_Set[[#This Row],[Play Booster Sealed Market Value BotBox]]</f>
        <v>#VALUE!</v>
      </c>
      <c r="BN8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3" s="10" t="e">
        <f>tbl_MTG_Set[[#This Row],[Play Singles CardMarket Profit BotBox]]/tbl_MTG_Set[[#This Row],[Play Booster Cost]]</f>
        <v>#VALUE!</v>
      </c>
      <c r="BP853" s="10" t="b">
        <f>tbl_MTG_Set[[#This Row],[Play Singles CardMarket Profit BotBox]]&gt;0</f>
        <v>0</v>
      </c>
      <c r="BQ853" s="10"/>
      <c r="BR853" s="10"/>
      <c r="BS853" s="10"/>
      <c r="BT8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3" s="19" t="e">
        <f>tbl_MTG_Set[[#This Row],[Collector Singles CardMarket Profit MTG Stocks]]/tbl_MTG_Set[[#This Row],[Collector Booster Cost]]</f>
        <v>#N/A</v>
      </c>
      <c r="BW853" s="10" t="b">
        <f>tbl_MTG_Set[[#This Row],[Collector Singles CardMarket Profit MTG Stocks]]&gt;0</f>
        <v>0</v>
      </c>
      <c r="BX853" s="10"/>
      <c r="BY853" s="10"/>
      <c r="BZ8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3" s="10" t="e">
        <f>tbl_MTG_Set[[#This Row],[Collector Singles CardMarket Profit BotBox]]/tbl_MTG_Set[[#This Row],[Collector Booster Cost]]</f>
        <v>#N/A</v>
      </c>
      <c r="CC853" s="10" t="b">
        <f>tbl_MTG_Set[[#This Row],[Collector Singles CardMarket Profit BotBox]]&gt;0</f>
        <v>0</v>
      </c>
      <c r="CD8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4" spans="1:86" hidden="1">
      <c r="A854">
        <v>886</v>
      </c>
      <c r="B854" t="s">
        <v>1027</v>
      </c>
      <c r="C854">
        <v>14</v>
      </c>
      <c r="D854" s="3">
        <v>37987</v>
      </c>
      <c r="F854" t="s">
        <v>174</v>
      </c>
      <c r="G854">
        <v>1718</v>
      </c>
      <c r="H854">
        <f ca="1">MONTH(NOW())+12*YEAR(NOW())-MONTH(tbl_MTG_Set[[#This Row],[Released On]])-12*YEAR(tbl_MTG_Set[[#This Row],[Released On]])</f>
        <v>266</v>
      </c>
      <c r="I854" t="str">
        <f>_xlfn.XLOOKUP(tbl_MTG_Set[[#This Row],[Type Name]], tbl_MTG_Set_Type[Set Type], tbl_MTG_Set_Type[Index], "(Set Type not found)")</f>
        <v>(Set Type not found)</v>
      </c>
      <c r="J854" t="str">
        <f>_xlfn.XLOOKUP(tbl_MTG_Set[[#This Row],[Type Name]], tbl_MTG_Set_Type[Set Type], tbl_MTG_Set_Type[Buy Window Month Start], "(Set Type not found)")</f>
        <v>(Set Type not found)</v>
      </c>
      <c r="K854" s="3" t="e">
        <f>tbl_MTG_Set[[#This Row],[Released On]]+tbl_MTG_Set[[#This Row],[Buy Window Month Start]]*365.25/12</f>
        <v>#VALUE!</v>
      </c>
      <c r="L854" t="str">
        <f>_xlfn.XLOOKUP(tbl_MTG_Set[[#This Row],[Type Name]], tbl_MTG_Set_Type[Set Type], tbl_MTG_Set_Type[Buy Window Month End], "(Set Type not found)", 0, 1)</f>
        <v>(Set Type not found)</v>
      </c>
      <c r="M854" s="3" t="e">
        <f>tbl_MTG_Set[[#This Row],[Released On]]+tbl_MTG_Set[[#This Row],[Buy Window Month End]]*365.25/12</f>
        <v>#VALUE!</v>
      </c>
      <c r="N854" s="3" t="e">
        <f ca="1">AND(NOW()&gt;=tbl_MTG_Set[[#This Row],[Buy Window Start]], NOW()&lt;=tbl_MTG_Set[[#This Row],[Buy Window End]])</f>
        <v>#VALUE!</v>
      </c>
      <c r="O854" t="str">
        <f>_xlfn.XLOOKUP(tbl_MTG_Set[[#This Row],[Type Name]], tbl_MTG_Set_Type[Set Type], tbl_MTG_Set_Type[Heavy Printing Window Month Start], "(Set Type not found)", 0, 1)</f>
        <v>(Set Type not found)</v>
      </c>
      <c r="P854" s="3" t="e">
        <f>tbl_MTG_Set[[#This Row],[Released On]]+tbl_MTG_Set[[#This Row],[Heavy Printing Window Month Start]]*365.25/12</f>
        <v>#VALUE!</v>
      </c>
      <c r="Q854" t="str">
        <f>_xlfn.XLOOKUP(tbl_MTG_Set[[#This Row],[Type Name]], tbl_MTG_Set_Type[Set Type], tbl_MTG_Set_Type[Heavy Printing Window Month End], "(Set Type not found)", 0, 1)</f>
        <v>(Set Type not found)</v>
      </c>
      <c r="R854" s="3" t="e">
        <f>tbl_MTG_Set[[#This Row],[Released On]]+tbl_MTG_Set[[#This Row],[Heavy Printing Window Month End]]*365.25/12</f>
        <v>#VALUE!</v>
      </c>
      <c r="S854" s="3" t="e">
        <f ca="1">AND(NOW()&gt;=tbl_MTG_Set[[#This Row],[Heavy Printing Window Start]], NOW()&lt;=tbl_MTG_Set[[#This Row],[Heavy Printing Window End]])</f>
        <v>#VALUE!</v>
      </c>
      <c r="T854" t="str">
        <f>_xlfn.XLOOKUP(tbl_MTG_Set[[#This Row],[Type Name]], tbl_MTG_Set_Type[Set Type], tbl_MTG_Set_Type[Sell Window Month Start], "(Set Type not found)", 0, 1)</f>
        <v>(Set Type not found)</v>
      </c>
      <c r="U854" s="3" t="e">
        <f>tbl_MTG_Set[[#This Row],[Released On]]+tbl_MTG_Set[[#This Row],[Sell Window Month Start]]*365.25/12</f>
        <v>#VALUE!</v>
      </c>
      <c r="V854" t="str">
        <f>_xlfn.XLOOKUP(tbl_MTG_Set[[#This Row],[Type Name]], tbl_MTG_Set_Type[Set Type], tbl_MTG_Set_Type[Sell Window Month End], "(Set Type not found)", 0, 1)</f>
        <v>(Set Type not found)</v>
      </c>
      <c r="W854" s="3" t="e">
        <f>tbl_MTG_Set[[#This Row],[Released On]]+tbl_MTG_Set[[#This Row],[Sell Window Month End]]*365.25/12</f>
        <v>#VALUE!</v>
      </c>
      <c r="X854" s="3" t="e">
        <f ca="1">AND(NOW()&gt;=tbl_MTG_Set[[#This Row],[Sell Window Start]], NOW()&lt;=tbl_MTG_Set[[#This Row],[Sell Window End]])</f>
        <v>#VALUE!</v>
      </c>
      <c r="AG854" s="10"/>
      <c r="AH854" s="10"/>
      <c r="AM854" s="10" t="str" cm="1">
        <f t="array" ref="AM8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4" s="10" t="str" cm="1">
        <f t="array" ref="AN8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4" s="4" t="e">
        <f>_xlfn.XLOOKUP(tbl_MTG_Set[[#This Row],[Play Booster Box Product Id]], tbl_Product[Product Id], tbl_Product[Pack Size])</f>
        <v>#N/A</v>
      </c>
      <c r="AP854" s="10" t="e">
        <f>(tbl_MTG_Set[[#This Row],[Play Booster Box Cost]]+v_Item_Shipping_Cost_In)/tbl_MTG_Set[[#This Row],[Play Booster Box Size]]</f>
        <v>#VALUE!</v>
      </c>
      <c r="AQ854" s="10" t="str" cm="1">
        <f t="array" ref="AQ8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4" s="10"/>
      <c r="AS854" s="10"/>
      <c r="AT854" s="17" t="e">
        <f>tbl_MTG_Set[[#This Row],[Play Booster CardMarket Profit]]/tbl_MTG_Set[[#This Row],[Play Booster Cost]]</f>
        <v>#VALUE!</v>
      </c>
      <c r="AU854" s="10" t="e">
        <f>_xlfn.XLOOKUP(tbl_MTG_Set[[#This Row],[Collector Booster Box Product Id]], tbl_Product[Product Id], tbl_Product[Min Cost])</f>
        <v>#N/A</v>
      </c>
      <c r="AV854" s="10" t="e">
        <f>_xlfn.XLOOKUP(tbl_MTG_Set[[#This Row],[Collector Booster Box Product Id]], tbl_Product[Product Id], tbl_Product[Best Source])</f>
        <v>#N/A</v>
      </c>
      <c r="AW854" s="4" t="e">
        <f>_xlfn.XLOOKUP(tbl_MTG_Set[[#This Row],[Collector Booster Box Product Id]], tbl_Product[Product Id], tbl_Product[Pack Size])</f>
        <v>#N/A</v>
      </c>
      <c r="AX854" s="10" t="e">
        <f>(tbl_MTG_Set[[#This Row],[Collector Booster Box Cost]] + v_Item_Shipping_Cost_In) / tbl_MTG_Set[[#This Row],[Collector Booster Box Size]]</f>
        <v>#N/A</v>
      </c>
      <c r="AY854" s="10" t="str" cm="1">
        <f t="array" ref="AY8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4" s="10"/>
      <c r="BA8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4" s="17" t="e">
        <f>tbl_MTG_Set[[#This Row],[Collector Booster CardMarket Profit]]/tbl_MTG_Set[[#This Row],[Collector Booster Cost]]</f>
        <v>#N/A</v>
      </c>
      <c r="BC854" s="10"/>
      <c r="BF8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4" s="11" t="e">
        <f>tbl_MTG_Set[[#This Row],[Play Singles CardMarket Profit MTG Stocks]]/tbl_MTG_Set[[#This Row],[Play Booster Cost]]</f>
        <v>#VALUE!</v>
      </c>
      <c r="BI854" s="11" t="b">
        <f>tbl_MTG_Set[[#This Row],[Play Singles CardMarket Profit MTG Stocks]]&gt;0</f>
        <v>0</v>
      </c>
      <c r="BM854" s="10" t="e">
        <f>tbl_MTG_Set[[#This Row],[Play Booster Sell Price CardMarket]]*tbl_MTG_Set[[#This Row],[Play Booster Expected Market Value BotBox]]/tbl_MTG_Set[[#This Row],[Play Booster Sealed Market Value BotBox]]</f>
        <v>#VALUE!</v>
      </c>
      <c r="BN8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4" s="10" t="e">
        <f>tbl_MTG_Set[[#This Row],[Play Singles CardMarket Profit BotBox]]/tbl_MTG_Set[[#This Row],[Play Booster Cost]]</f>
        <v>#VALUE!</v>
      </c>
      <c r="BP854" s="10" t="b">
        <f>tbl_MTG_Set[[#This Row],[Play Singles CardMarket Profit BotBox]]&gt;0</f>
        <v>0</v>
      </c>
      <c r="BQ854" s="10"/>
      <c r="BR854" s="10"/>
      <c r="BS854" s="10"/>
      <c r="BT8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4" s="19" t="e">
        <f>tbl_MTG_Set[[#This Row],[Collector Singles CardMarket Profit MTG Stocks]]/tbl_MTG_Set[[#This Row],[Collector Booster Cost]]</f>
        <v>#N/A</v>
      </c>
      <c r="BW854" s="10" t="b">
        <f>tbl_MTG_Set[[#This Row],[Collector Singles CardMarket Profit MTG Stocks]]&gt;0</f>
        <v>0</v>
      </c>
      <c r="BX854" s="10"/>
      <c r="BY854" s="10"/>
      <c r="BZ8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4" s="10" t="e">
        <f>tbl_MTG_Set[[#This Row],[Collector Singles CardMarket Profit BotBox]]/tbl_MTG_Set[[#This Row],[Collector Booster Cost]]</f>
        <v>#N/A</v>
      </c>
      <c r="CC854" s="10" t="b">
        <f>tbl_MTG_Set[[#This Row],[Collector Singles CardMarket Profit BotBox]]&gt;0</f>
        <v>0</v>
      </c>
      <c r="CD8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5" spans="1:86" hidden="1">
      <c r="A855">
        <v>887</v>
      </c>
      <c r="B855" t="s">
        <v>1028</v>
      </c>
      <c r="C855">
        <v>6</v>
      </c>
      <c r="D855" s="3">
        <v>37987</v>
      </c>
      <c r="F855" t="s">
        <v>174</v>
      </c>
      <c r="G855">
        <v>1720</v>
      </c>
      <c r="H855">
        <f ca="1">MONTH(NOW())+12*YEAR(NOW())-MONTH(tbl_MTG_Set[[#This Row],[Released On]])-12*YEAR(tbl_MTG_Set[[#This Row],[Released On]])</f>
        <v>266</v>
      </c>
      <c r="I855" t="str">
        <f>_xlfn.XLOOKUP(tbl_MTG_Set[[#This Row],[Type Name]], tbl_MTG_Set_Type[Set Type], tbl_MTG_Set_Type[Index], "(Set Type not found)")</f>
        <v>(Set Type not found)</v>
      </c>
      <c r="J855" t="str">
        <f>_xlfn.XLOOKUP(tbl_MTG_Set[[#This Row],[Type Name]], tbl_MTG_Set_Type[Set Type], tbl_MTG_Set_Type[Buy Window Month Start], "(Set Type not found)")</f>
        <v>(Set Type not found)</v>
      </c>
      <c r="K855" s="3" t="e">
        <f>tbl_MTG_Set[[#This Row],[Released On]]+tbl_MTG_Set[[#This Row],[Buy Window Month Start]]*365.25/12</f>
        <v>#VALUE!</v>
      </c>
      <c r="L855" t="str">
        <f>_xlfn.XLOOKUP(tbl_MTG_Set[[#This Row],[Type Name]], tbl_MTG_Set_Type[Set Type], tbl_MTG_Set_Type[Buy Window Month End], "(Set Type not found)", 0, 1)</f>
        <v>(Set Type not found)</v>
      </c>
      <c r="M855" s="3" t="e">
        <f>tbl_MTG_Set[[#This Row],[Released On]]+tbl_MTG_Set[[#This Row],[Buy Window Month End]]*365.25/12</f>
        <v>#VALUE!</v>
      </c>
      <c r="N855" s="3" t="e">
        <f ca="1">AND(NOW()&gt;=tbl_MTG_Set[[#This Row],[Buy Window Start]], NOW()&lt;=tbl_MTG_Set[[#This Row],[Buy Window End]])</f>
        <v>#VALUE!</v>
      </c>
      <c r="O855" t="str">
        <f>_xlfn.XLOOKUP(tbl_MTG_Set[[#This Row],[Type Name]], tbl_MTG_Set_Type[Set Type], tbl_MTG_Set_Type[Heavy Printing Window Month Start], "(Set Type not found)", 0, 1)</f>
        <v>(Set Type not found)</v>
      </c>
      <c r="P855" s="3" t="e">
        <f>tbl_MTG_Set[[#This Row],[Released On]]+tbl_MTG_Set[[#This Row],[Heavy Printing Window Month Start]]*365.25/12</f>
        <v>#VALUE!</v>
      </c>
      <c r="Q855" t="str">
        <f>_xlfn.XLOOKUP(tbl_MTG_Set[[#This Row],[Type Name]], tbl_MTG_Set_Type[Set Type], tbl_MTG_Set_Type[Heavy Printing Window Month End], "(Set Type not found)", 0, 1)</f>
        <v>(Set Type not found)</v>
      </c>
      <c r="R855" s="3" t="e">
        <f>tbl_MTG_Set[[#This Row],[Released On]]+tbl_MTG_Set[[#This Row],[Heavy Printing Window Month End]]*365.25/12</f>
        <v>#VALUE!</v>
      </c>
      <c r="S855" s="3" t="e">
        <f ca="1">AND(NOW()&gt;=tbl_MTG_Set[[#This Row],[Heavy Printing Window Start]], NOW()&lt;=tbl_MTG_Set[[#This Row],[Heavy Printing Window End]])</f>
        <v>#VALUE!</v>
      </c>
      <c r="T855" t="str">
        <f>_xlfn.XLOOKUP(tbl_MTG_Set[[#This Row],[Type Name]], tbl_MTG_Set_Type[Set Type], tbl_MTG_Set_Type[Sell Window Month Start], "(Set Type not found)", 0, 1)</f>
        <v>(Set Type not found)</v>
      </c>
      <c r="U855" s="3" t="e">
        <f>tbl_MTG_Set[[#This Row],[Released On]]+tbl_MTG_Set[[#This Row],[Sell Window Month Start]]*365.25/12</f>
        <v>#VALUE!</v>
      </c>
      <c r="V855" t="str">
        <f>_xlfn.XLOOKUP(tbl_MTG_Set[[#This Row],[Type Name]], tbl_MTG_Set_Type[Set Type], tbl_MTG_Set_Type[Sell Window Month End], "(Set Type not found)", 0, 1)</f>
        <v>(Set Type not found)</v>
      </c>
      <c r="W855" s="3" t="e">
        <f>tbl_MTG_Set[[#This Row],[Released On]]+tbl_MTG_Set[[#This Row],[Sell Window Month End]]*365.25/12</f>
        <v>#VALUE!</v>
      </c>
      <c r="X855" s="3" t="e">
        <f ca="1">AND(NOW()&gt;=tbl_MTG_Set[[#This Row],[Sell Window Start]], NOW()&lt;=tbl_MTG_Set[[#This Row],[Sell Window End]])</f>
        <v>#VALUE!</v>
      </c>
      <c r="AG855" s="10"/>
      <c r="AH855" s="10"/>
      <c r="AM855" s="10" t="str" cm="1">
        <f t="array" ref="AM8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5" s="10" t="str" cm="1">
        <f t="array" ref="AN8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5" s="4" t="e">
        <f>_xlfn.XLOOKUP(tbl_MTG_Set[[#This Row],[Play Booster Box Product Id]], tbl_Product[Product Id], tbl_Product[Pack Size])</f>
        <v>#N/A</v>
      </c>
      <c r="AP855" s="10" t="e">
        <f>(tbl_MTG_Set[[#This Row],[Play Booster Box Cost]]+v_Item_Shipping_Cost_In)/tbl_MTG_Set[[#This Row],[Play Booster Box Size]]</f>
        <v>#VALUE!</v>
      </c>
      <c r="AQ855" s="10" t="str" cm="1">
        <f t="array" ref="AQ8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5" s="10"/>
      <c r="AS855" s="10"/>
      <c r="AT855" s="17" t="e">
        <f>tbl_MTG_Set[[#This Row],[Play Booster CardMarket Profit]]/tbl_MTG_Set[[#This Row],[Play Booster Cost]]</f>
        <v>#VALUE!</v>
      </c>
      <c r="AU855" s="10" t="e">
        <f>_xlfn.XLOOKUP(tbl_MTG_Set[[#This Row],[Collector Booster Box Product Id]], tbl_Product[Product Id], tbl_Product[Min Cost])</f>
        <v>#N/A</v>
      </c>
      <c r="AV855" s="10" t="e">
        <f>_xlfn.XLOOKUP(tbl_MTG_Set[[#This Row],[Collector Booster Box Product Id]], tbl_Product[Product Id], tbl_Product[Best Source])</f>
        <v>#N/A</v>
      </c>
      <c r="AW855" s="4" t="e">
        <f>_xlfn.XLOOKUP(tbl_MTG_Set[[#This Row],[Collector Booster Box Product Id]], tbl_Product[Product Id], tbl_Product[Pack Size])</f>
        <v>#N/A</v>
      </c>
      <c r="AX855" s="10" t="e">
        <f>(tbl_MTG_Set[[#This Row],[Collector Booster Box Cost]] + v_Item_Shipping_Cost_In) / tbl_MTG_Set[[#This Row],[Collector Booster Box Size]]</f>
        <v>#N/A</v>
      </c>
      <c r="AY855" s="10" t="str" cm="1">
        <f t="array" ref="AY8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5" s="10"/>
      <c r="BA8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5" s="17" t="e">
        <f>tbl_MTG_Set[[#This Row],[Collector Booster CardMarket Profit]]/tbl_MTG_Set[[#This Row],[Collector Booster Cost]]</f>
        <v>#N/A</v>
      </c>
      <c r="BC855" s="10"/>
      <c r="BF8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5" s="11" t="e">
        <f>tbl_MTG_Set[[#This Row],[Play Singles CardMarket Profit MTG Stocks]]/tbl_MTG_Set[[#This Row],[Play Booster Cost]]</f>
        <v>#VALUE!</v>
      </c>
      <c r="BI855" s="11" t="b">
        <f>tbl_MTG_Set[[#This Row],[Play Singles CardMarket Profit MTG Stocks]]&gt;0</f>
        <v>0</v>
      </c>
      <c r="BM855" s="10" t="e">
        <f>tbl_MTG_Set[[#This Row],[Play Booster Sell Price CardMarket]]*tbl_MTG_Set[[#This Row],[Play Booster Expected Market Value BotBox]]/tbl_MTG_Set[[#This Row],[Play Booster Sealed Market Value BotBox]]</f>
        <v>#VALUE!</v>
      </c>
      <c r="BN8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5" s="10" t="e">
        <f>tbl_MTG_Set[[#This Row],[Play Singles CardMarket Profit BotBox]]/tbl_MTG_Set[[#This Row],[Play Booster Cost]]</f>
        <v>#VALUE!</v>
      </c>
      <c r="BP855" s="10" t="b">
        <f>tbl_MTG_Set[[#This Row],[Play Singles CardMarket Profit BotBox]]&gt;0</f>
        <v>0</v>
      </c>
      <c r="BQ855" s="10"/>
      <c r="BR855" s="10"/>
      <c r="BS855" s="10"/>
      <c r="BT8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5" s="19" t="e">
        <f>tbl_MTG_Set[[#This Row],[Collector Singles CardMarket Profit MTG Stocks]]/tbl_MTG_Set[[#This Row],[Collector Booster Cost]]</f>
        <v>#N/A</v>
      </c>
      <c r="BW855" s="10" t="b">
        <f>tbl_MTG_Set[[#This Row],[Collector Singles CardMarket Profit MTG Stocks]]&gt;0</f>
        <v>0</v>
      </c>
      <c r="BX855" s="10"/>
      <c r="BY855" s="10"/>
      <c r="BZ8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5" s="10" t="e">
        <f>tbl_MTG_Set[[#This Row],[Collector Singles CardMarket Profit BotBox]]/tbl_MTG_Set[[#This Row],[Collector Booster Cost]]</f>
        <v>#N/A</v>
      </c>
      <c r="CC855" s="10" t="b">
        <f>tbl_MTG_Set[[#This Row],[Collector Singles CardMarket Profit BotBox]]&gt;0</f>
        <v>0</v>
      </c>
      <c r="CD8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6" spans="1:86" hidden="1">
      <c r="A856">
        <v>888</v>
      </c>
      <c r="B856" t="s">
        <v>1029</v>
      </c>
      <c r="C856">
        <v>6</v>
      </c>
      <c r="D856" s="3">
        <v>37987</v>
      </c>
      <c r="F856" t="s">
        <v>174</v>
      </c>
      <c r="G856">
        <v>1722</v>
      </c>
      <c r="H856">
        <f ca="1">MONTH(NOW())+12*YEAR(NOW())-MONTH(tbl_MTG_Set[[#This Row],[Released On]])-12*YEAR(tbl_MTG_Set[[#This Row],[Released On]])</f>
        <v>266</v>
      </c>
      <c r="I856" t="str">
        <f>_xlfn.XLOOKUP(tbl_MTG_Set[[#This Row],[Type Name]], tbl_MTG_Set_Type[Set Type], tbl_MTG_Set_Type[Index], "(Set Type not found)")</f>
        <v>(Set Type not found)</v>
      </c>
      <c r="J856" t="str">
        <f>_xlfn.XLOOKUP(tbl_MTG_Set[[#This Row],[Type Name]], tbl_MTG_Set_Type[Set Type], tbl_MTG_Set_Type[Buy Window Month Start], "(Set Type not found)")</f>
        <v>(Set Type not found)</v>
      </c>
      <c r="K856" s="3" t="e">
        <f>tbl_MTG_Set[[#This Row],[Released On]]+tbl_MTG_Set[[#This Row],[Buy Window Month Start]]*365.25/12</f>
        <v>#VALUE!</v>
      </c>
      <c r="L856" t="str">
        <f>_xlfn.XLOOKUP(tbl_MTG_Set[[#This Row],[Type Name]], tbl_MTG_Set_Type[Set Type], tbl_MTG_Set_Type[Buy Window Month End], "(Set Type not found)", 0, 1)</f>
        <v>(Set Type not found)</v>
      </c>
      <c r="M856" s="3" t="e">
        <f>tbl_MTG_Set[[#This Row],[Released On]]+tbl_MTG_Set[[#This Row],[Buy Window Month End]]*365.25/12</f>
        <v>#VALUE!</v>
      </c>
      <c r="N856" s="3" t="e">
        <f ca="1">AND(NOW()&gt;=tbl_MTG_Set[[#This Row],[Buy Window Start]], NOW()&lt;=tbl_MTG_Set[[#This Row],[Buy Window End]])</f>
        <v>#VALUE!</v>
      </c>
      <c r="O856" t="str">
        <f>_xlfn.XLOOKUP(tbl_MTG_Set[[#This Row],[Type Name]], tbl_MTG_Set_Type[Set Type], tbl_MTG_Set_Type[Heavy Printing Window Month Start], "(Set Type not found)", 0, 1)</f>
        <v>(Set Type not found)</v>
      </c>
      <c r="P856" s="3" t="e">
        <f>tbl_MTG_Set[[#This Row],[Released On]]+tbl_MTG_Set[[#This Row],[Heavy Printing Window Month Start]]*365.25/12</f>
        <v>#VALUE!</v>
      </c>
      <c r="Q856" t="str">
        <f>_xlfn.XLOOKUP(tbl_MTG_Set[[#This Row],[Type Name]], tbl_MTG_Set_Type[Set Type], tbl_MTG_Set_Type[Heavy Printing Window Month End], "(Set Type not found)", 0, 1)</f>
        <v>(Set Type not found)</v>
      </c>
      <c r="R856" s="3" t="e">
        <f>tbl_MTG_Set[[#This Row],[Released On]]+tbl_MTG_Set[[#This Row],[Heavy Printing Window Month End]]*365.25/12</f>
        <v>#VALUE!</v>
      </c>
      <c r="S856" s="3" t="e">
        <f ca="1">AND(NOW()&gt;=tbl_MTG_Set[[#This Row],[Heavy Printing Window Start]], NOW()&lt;=tbl_MTG_Set[[#This Row],[Heavy Printing Window End]])</f>
        <v>#VALUE!</v>
      </c>
      <c r="T856" t="str">
        <f>_xlfn.XLOOKUP(tbl_MTG_Set[[#This Row],[Type Name]], tbl_MTG_Set_Type[Set Type], tbl_MTG_Set_Type[Sell Window Month Start], "(Set Type not found)", 0, 1)</f>
        <v>(Set Type not found)</v>
      </c>
      <c r="U856" s="3" t="e">
        <f>tbl_MTG_Set[[#This Row],[Released On]]+tbl_MTG_Set[[#This Row],[Sell Window Month Start]]*365.25/12</f>
        <v>#VALUE!</v>
      </c>
      <c r="V856" t="str">
        <f>_xlfn.XLOOKUP(tbl_MTG_Set[[#This Row],[Type Name]], tbl_MTG_Set_Type[Set Type], tbl_MTG_Set_Type[Sell Window Month End], "(Set Type not found)", 0, 1)</f>
        <v>(Set Type not found)</v>
      </c>
      <c r="W856" s="3" t="e">
        <f>tbl_MTG_Set[[#This Row],[Released On]]+tbl_MTG_Set[[#This Row],[Sell Window Month End]]*365.25/12</f>
        <v>#VALUE!</v>
      </c>
      <c r="X856" s="3" t="e">
        <f ca="1">AND(NOW()&gt;=tbl_MTG_Set[[#This Row],[Sell Window Start]], NOW()&lt;=tbl_MTG_Set[[#This Row],[Sell Window End]])</f>
        <v>#VALUE!</v>
      </c>
      <c r="AG856" s="10"/>
      <c r="AH856" s="10"/>
      <c r="AM856" s="10" t="str" cm="1">
        <f t="array" ref="AM8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6" s="10" t="str" cm="1">
        <f t="array" ref="AN8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6" s="4" t="e">
        <f>_xlfn.XLOOKUP(tbl_MTG_Set[[#This Row],[Play Booster Box Product Id]], tbl_Product[Product Id], tbl_Product[Pack Size])</f>
        <v>#N/A</v>
      </c>
      <c r="AP856" s="10" t="e">
        <f>(tbl_MTG_Set[[#This Row],[Play Booster Box Cost]]+v_Item_Shipping_Cost_In)/tbl_MTG_Set[[#This Row],[Play Booster Box Size]]</f>
        <v>#VALUE!</v>
      </c>
      <c r="AQ856" s="10" t="str" cm="1">
        <f t="array" ref="AQ8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6" s="10"/>
      <c r="AS856" s="10"/>
      <c r="AT856" s="17" t="e">
        <f>tbl_MTG_Set[[#This Row],[Play Booster CardMarket Profit]]/tbl_MTG_Set[[#This Row],[Play Booster Cost]]</f>
        <v>#VALUE!</v>
      </c>
      <c r="AU856" s="10" t="e">
        <f>_xlfn.XLOOKUP(tbl_MTG_Set[[#This Row],[Collector Booster Box Product Id]], tbl_Product[Product Id], tbl_Product[Min Cost])</f>
        <v>#N/A</v>
      </c>
      <c r="AV856" s="10" t="e">
        <f>_xlfn.XLOOKUP(tbl_MTG_Set[[#This Row],[Collector Booster Box Product Id]], tbl_Product[Product Id], tbl_Product[Best Source])</f>
        <v>#N/A</v>
      </c>
      <c r="AW856" s="4" t="e">
        <f>_xlfn.XLOOKUP(tbl_MTG_Set[[#This Row],[Collector Booster Box Product Id]], tbl_Product[Product Id], tbl_Product[Pack Size])</f>
        <v>#N/A</v>
      </c>
      <c r="AX856" s="10" t="e">
        <f>(tbl_MTG_Set[[#This Row],[Collector Booster Box Cost]] + v_Item_Shipping_Cost_In) / tbl_MTG_Set[[#This Row],[Collector Booster Box Size]]</f>
        <v>#N/A</v>
      </c>
      <c r="AY856" s="10" t="str" cm="1">
        <f t="array" ref="AY8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6" s="10"/>
      <c r="BA8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6" s="17" t="e">
        <f>tbl_MTG_Set[[#This Row],[Collector Booster CardMarket Profit]]/tbl_MTG_Set[[#This Row],[Collector Booster Cost]]</f>
        <v>#N/A</v>
      </c>
      <c r="BC856" s="10"/>
      <c r="BF8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6" s="11" t="e">
        <f>tbl_MTG_Set[[#This Row],[Play Singles CardMarket Profit MTG Stocks]]/tbl_MTG_Set[[#This Row],[Play Booster Cost]]</f>
        <v>#VALUE!</v>
      </c>
      <c r="BI856" s="11" t="b">
        <f>tbl_MTG_Set[[#This Row],[Play Singles CardMarket Profit MTG Stocks]]&gt;0</f>
        <v>0</v>
      </c>
      <c r="BM856" s="10" t="e">
        <f>tbl_MTG_Set[[#This Row],[Play Booster Sell Price CardMarket]]*tbl_MTG_Set[[#This Row],[Play Booster Expected Market Value BotBox]]/tbl_MTG_Set[[#This Row],[Play Booster Sealed Market Value BotBox]]</f>
        <v>#VALUE!</v>
      </c>
      <c r="BN8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6" s="10" t="e">
        <f>tbl_MTG_Set[[#This Row],[Play Singles CardMarket Profit BotBox]]/tbl_MTG_Set[[#This Row],[Play Booster Cost]]</f>
        <v>#VALUE!</v>
      </c>
      <c r="BP856" s="10" t="b">
        <f>tbl_MTG_Set[[#This Row],[Play Singles CardMarket Profit BotBox]]&gt;0</f>
        <v>0</v>
      </c>
      <c r="BQ856" s="10"/>
      <c r="BR856" s="10"/>
      <c r="BS856" s="10"/>
      <c r="BT8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6" s="19" t="e">
        <f>tbl_MTG_Set[[#This Row],[Collector Singles CardMarket Profit MTG Stocks]]/tbl_MTG_Set[[#This Row],[Collector Booster Cost]]</f>
        <v>#N/A</v>
      </c>
      <c r="BW856" s="10" t="b">
        <f>tbl_MTG_Set[[#This Row],[Collector Singles CardMarket Profit MTG Stocks]]&gt;0</f>
        <v>0</v>
      </c>
      <c r="BX856" s="10"/>
      <c r="BY856" s="10"/>
      <c r="BZ8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6" s="10" t="e">
        <f>tbl_MTG_Set[[#This Row],[Collector Singles CardMarket Profit BotBox]]/tbl_MTG_Set[[#This Row],[Collector Booster Cost]]</f>
        <v>#N/A</v>
      </c>
      <c r="CC856" s="10" t="b">
        <f>tbl_MTG_Set[[#This Row],[Collector Singles CardMarket Profit BotBox]]&gt;0</f>
        <v>0</v>
      </c>
      <c r="CD8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7" spans="1:86" hidden="1">
      <c r="A857">
        <v>889</v>
      </c>
      <c r="B857" t="s">
        <v>1030</v>
      </c>
      <c r="C857">
        <v>12</v>
      </c>
      <c r="D857" s="3">
        <v>37987</v>
      </c>
      <c r="F857" t="s">
        <v>174</v>
      </c>
      <c r="G857">
        <v>1724</v>
      </c>
      <c r="H857">
        <f ca="1">MONTH(NOW())+12*YEAR(NOW())-MONTH(tbl_MTG_Set[[#This Row],[Released On]])-12*YEAR(tbl_MTG_Set[[#This Row],[Released On]])</f>
        <v>266</v>
      </c>
      <c r="I857" t="str">
        <f>_xlfn.XLOOKUP(tbl_MTG_Set[[#This Row],[Type Name]], tbl_MTG_Set_Type[Set Type], tbl_MTG_Set_Type[Index], "(Set Type not found)")</f>
        <v>(Set Type not found)</v>
      </c>
      <c r="J857" t="str">
        <f>_xlfn.XLOOKUP(tbl_MTG_Set[[#This Row],[Type Name]], tbl_MTG_Set_Type[Set Type], tbl_MTG_Set_Type[Buy Window Month Start], "(Set Type not found)")</f>
        <v>(Set Type not found)</v>
      </c>
      <c r="K857" s="3" t="e">
        <f>tbl_MTG_Set[[#This Row],[Released On]]+tbl_MTG_Set[[#This Row],[Buy Window Month Start]]*365.25/12</f>
        <v>#VALUE!</v>
      </c>
      <c r="L857" t="str">
        <f>_xlfn.XLOOKUP(tbl_MTG_Set[[#This Row],[Type Name]], tbl_MTG_Set_Type[Set Type], tbl_MTG_Set_Type[Buy Window Month End], "(Set Type not found)", 0, 1)</f>
        <v>(Set Type not found)</v>
      </c>
      <c r="M857" s="3" t="e">
        <f>tbl_MTG_Set[[#This Row],[Released On]]+tbl_MTG_Set[[#This Row],[Buy Window Month End]]*365.25/12</f>
        <v>#VALUE!</v>
      </c>
      <c r="N857" s="3" t="e">
        <f ca="1">AND(NOW()&gt;=tbl_MTG_Set[[#This Row],[Buy Window Start]], NOW()&lt;=tbl_MTG_Set[[#This Row],[Buy Window End]])</f>
        <v>#VALUE!</v>
      </c>
      <c r="O857" t="str">
        <f>_xlfn.XLOOKUP(tbl_MTG_Set[[#This Row],[Type Name]], tbl_MTG_Set_Type[Set Type], tbl_MTG_Set_Type[Heavy Printing Window Month Start], "(Set Type not found)", 0, 1)</f>
        <v>(Set Type not found)</v>
      </c>
      <c r="P857" s="3" t="e">
        <f>tbl_MTG_Set[[#This Row],[Released On]]+tbl_MTG_Set[[#This Row],[Heavy Printing Window Month Start]]*365.25/12</f>
        <v>#VALUE!</v>
      </c>
      <c r="Q857" t="str">
        <f>_xlfn.XLOOKUP(tbl_MTG_Set[[#This Row],[Type Name]], tbl_MTG_Set_Type[Set Type], tbl_MTG_Set_Type[Heavy Printing Window Month End], "(Set Type not found)", 0, 1)</f>
        <v>(Set Type not found)</v>
      </c>
      <c r="R857" s="3" t="e">
        <f>tbl_MTG_Set[[#This Row],[Released On]]+tbl_MTG_Set[[#This Row],[Heavy Printing Window Month End]]*365.25/12</f>
        <v>#VALUE!</v>
      </c>
      <c r="S857" s="3" t="e">
        <f ca="1">AND(NOW()&gt;=tbl_MTG_Set[[#This Row],[Heavy Printing Window Start]], NOW()&lt;=tbl_MTG_Set[[#This Row],[Heavy Printing Window End]])</f>
        <v>#VALUE!</v>
      </c>
      <c r="T857" t="str">
        <f>_xlfn.XLOOKUP(tbl_MTG_Set[[#This Row],[Type Name]], tbl_MTG_Set_Type[Set Type], tbl_MTG_Set_Type[Sell Window Month Start], "(Set Type not found)", 0, 1)</f>
        <v>(Set Type not found)</v>
      </c>
      <c r="U857" s="3" t="e">
        <f>tbl_MTG_Set[[#This Row],[Released On]]+tbl_MTG_Set[[#This Row],[Sell Window Month Start]]*365.25/12</f>
        <v>#VALUE!</v>
      </c>
      <c r="V857" t="str">
        <f>_xlfn.XLOOKUP(tbl_MTG_Set[[#This Row],[Type Name]], tbl_MTG_Set_Type[Set Type], tbl_MTG_Set_Type[Sell Window Month End], "(Set Type not found)", 0, 1)</f>
        <v>(Set Type not found)</v>
      </c>
      <c r="W857" s="3" t="e">
        <f>tbl_MTG_Set[[#This Row],[Released On]]+tbl_MTG_Set[[#This Row],[Sell Window Month End]]*365.25/12</f>
        <v>#VALUE!</v>
      </c>
      <c r="X857" s="3" t="e">
        <f ca="1">AND(NOW()&gt;=tbl_MTG_Set[[#This Row],[Sell Window Start]], NOW()&lt;=tbl_MTG_Set[[#This Row],[Sell Window End]])</f>
        <v>#VALUE!</v>
      </c>
      <c r="AG857" s="10"/>
      <c r="AH857" s="10"/>
      <c r="AM857" s="10" t="str" cm="1">
        <f t="array" ref="AM8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7" s="10" t="str" cm="1">
        <f t="array" ref="AN8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7" s="4" t="e">
        <f>_xlfn.XLOOKUP(tbl_MTG_Set[[#This Row],[Play Booster Box Product Id]], tbl_Product[Product Id], tbl_Product[Pack Size])</f>
        <v>#N/A</v>
      </c>
      <c r="AP857" s="10" t="e">
        <f>(tbl_MTG_Set[[#This Row],[Play Booster Box Cost]]+v_Item_Shipping_Cost_In)/tbl_MTG_Set[[#This Row],[Play Booster Box Size]]</f>
        <v>#VALUE!</v>
      </c>
      <c r="AQ857" s="10" t="str" cm="1">
        <f t="array" ref="AQ8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7" s="10"/>
      <c r="AS857" s="10"/>
      <c r="AT857" s="17" t="e">
        <f>tbl_MTG_Set[[#This Row],[Play Booster CardMarket Profit]]/tbl_MTG_Set[[#This Row],[Play Booster Cost]]</f>
        <v>#VALUE!</v>
      </c>
      <c r="AU857" s="10" t="e">
        <f>_xlfn.XLOOKUP(tbl_MTG_Set[[#This Row],[Collector Booster Box Product Id]], tbl_Product[Product Id], tbl_Product[Min Cost])</f>
        <v>#N/A</v>
      </c>
      <c r="AV857" s="10" t="e">
        <f>_xlfn.XLOOKUP(tbl_MTG_Set[[#This Row],[Collector Booster Box Product Id]], tbl_Product[Product Id], tbl_Product[Best Source])</f>
        <v>#N/A</v>
      </c>
      <c r="AW857" s="4" t="e">
        <f>_xlfn.XLOOKUP(tbl_MTG_Set[[#This Row],[Collector Booster Box Product Id]], tbl_Product[Product Id], tbl_Product[Pack Size])</f>
        <v>#N/A</v>
      </c>
      <c r="AX857" s="10" t="e">
        <f>(tbl_MTG_Set[[#This Row],[Collector Booster Box Cost]] + v_Item_Shipping_Cost_In) / tbl_MTG_Set[[#This Row],[Collector Booster Box Size]]</f>
        <v>#N/A</v>
      </c>
      <c r="AY857" s="10" t="str" cm="1">
        <f t="array" ref="AY8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7" s="10"/>
      <c r="BA8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7" s="17" t="e">
        <f>tbl_MTG_Set[[#This Row],[Collector Booster CardMarket Profit]]/tbl_MTG_Set[[#This Row],[Collector Booster Cost]]</f>
        <v>#N/A</v>
      </c>
      <c r="BC857" s="10"/>
      <c r="BF8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7" s="11" t="e">
        <f>tbl_MTG_Set[[#This Row],[Play Singles CardMarket Profit MTG Stocks]]/tbl_MTG_Set[[#This Row],[Play Booster Cost]]</f>
        <v>#VALUE!</v>
      </c>
      <c r="BI857" s="11" t="b">
        <f>tbl_MTG_Set[[#This Row],[Play Singles CardMarket Profit MTG Stocks]]&gt;0</f>
        <v>0</v>
      </c>
      <c r="BM857" s="10" t="e">
        <f>tbl_MTG_Set[[#This Row],[Play Booster Sell Price CardMarket]]*tbl_MTG_Set[[#This Row],[Play Booster Expected Market Value BotBox]]/tbl_MTG_Set[[#This Row],[Play Booster Sealed Market Value BotBox]]</f>
        <v>#VALUE!</v>
      </c>
      <c r="BN8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7" s="10" t="e">
        <f>tbl_MTG_Set[[#This Row],[Play Singles CardMarket Profit BotBox]]/tbl_MTG_Set[[#This Row],[Play Booster Cost]]</f>
        <v>#VALUE!</v>
      </c>
      <c r="BP857" s="10" t="b">
        <f>tbl_MTG_Set[[#This Row],[Play Singles CardMarket Profit BotBox]]&gt;0</f>
        <v>0</v>
      </c>
      <c r="BQ857" s="10"/>
      <c r="BR857" s="10"/>
      <c r="BS857" s="10"/>
      <c r="BT8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7" s="19" t="e">
        <f>tbl_MTG_Set[[#This Row],[Collector Singles CardMarket Profit MTG Stocks]]/tbl_MTG_Set[[#This Row],[Collector Booster Cost]]</f>
        <v>#N/A</v>
      </c>
      <c r="BW857" s="10" t="b">
        <f>tbl_MTG_Set[[#This Row],[Collector Singles CardMarket Profit MTG Stocks]]&gt;0</f>
        <v>0</v>
      </c>
      <c r="BX857" s="10"/>
      <c r="BY857" s="10"/>
      <c r="BZ8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7" s="10" t="e">
        <f>tbl_MTG_Set[[#This Row],[Collector Singles CardMarket Profit BotBox]]/tbl_MTG_Set[[#This Row],[Collector Booster Cost]]</f>
        <v>#N/A</v>
      </c>
      <c r="CC857" s="10" t="b">
        <f>tbl_MTG_Set[[#This Row],[Collector Singles CardMarket Profit BotBox]]&gt;0</f>
        <v>0</v>
      </c>
      <c r="CD8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8" spans="1:86" hidden="1">
      <c r="A858">
        <v>890</v>
      </c>
      <c r="B858" t="s">
        <v>1031</v>
      </c>
      <c r="C858">
        <v>306</v>
      </c>
      <c r="D858" s="3">
        <v>37896</v>
      </c>
      <c r="F858" t="s">
        <v>174</v>
      </c>
      <c r="G858">
        <v>1726</v>
      </c>
      <c r="H858">
        <f ca="1">MONTH(NOW())+12*YEAR(NOW())-MONTH(tbl_MTG_Set[[#This Row],[Released On]])-12*YEAR(tbl_MTG_Set[[#This Row],[Released On]])</f>
        <v>269</v>
      </c>
      <c r="I858" t="str">
        <f>_xlfn.XLOOKUP(tbl_MTG_Set[[#This Row],[Type Name]], tbl_MTG_Set_Type[Set Type], tbl_MTG_Set_Type[Index], "(Set Type not found)")</f>
        <v>(Set Type not found)</v>
      </c>
      <c r="J858" t="str">
        <f>_xlfn.XLOOKUP(tbl_MTG_Set[[#This Row],[Type Name]], tbl_MTG_Set_Type[Set Type], tbl_MTG_Set_Type[Buy Window Month Start], "(Set Type not found)")</f>
        <v>(Set Type not found)</v>
      </c>
      <c r="K858" s="3" t="e">
        <f>tbl_MTG_Set[[#This Row],[Released On]]+tbl_MTG_Set[[#This Row],[Buy Window Month Start]]*365.25/12</f>
        <v>#VALUE!</v>
      </c>
      <c r="L858" t="str">
        <f>_xlfn.XLOOKUP(tbl_MTG_Set[[#This Row],[Type Name]], tbl_MTG_Set_Type[Set Type], tbl_MTG_Set_Type[Buy Window Month End], "(Set Type not found)", 0, 1)</f>
        <v>(Set Type not found)</v>
      </c>
      <c r="M858" s="3" t="e">
        <f>tbl_MTG_Set[[#This Row],[Released On]]+tbl_MTG_Set[[#This Row],[Buy Window Month End]]*365.25/12</f>
        <v>#VALUE!</v>
      </c>
      <c r="N858" s="3" t="e">
        <f ca="1">AND(NOW()&gt;=tbl_MTG_Set[[#This Row],[Buy Window Start]], NOW()&lt;=tbl_MTG_Set[[#This Row],[Buy Window End]])</f>
        <v>#VALUE!</v>
      </c>
      <c r="O858" t="str">
        <f>_xlfn.XLOOKUP(tbl_MTG_Set[[#This Row],[Type Name]], tbl_MTG_Set_Type[Set Type], tbl_MTG_Set_Type[Heavy Printing Window Month Start], "(Set Type not found)", 0, 1)</f>
        <v>(Set Type not found)</v>
      </c>
      <c r="P858" s="3" t="e">
        <f>tbl_MTG_Set[[#This Row],[Released On]]+tbl_MTG_Set[[#This Row],[Heavy Printing Window Month Start]]*365.25/12</f>
        <v>#VALUE!</v>
      </c>
      <c r="Q858" t="str">
        <f>_xlfn.XLOOKUP(tbl_MTG_Set[[#This Row],[Type Name]], tbl_MTG_Set_Type[Set Type], tbl_MTG_Set_Type[Heavy Printing Window Month End], "(Set Type not found)", 0, 1)</f>
        <v>(Set Type not found)</v>
      </c>
      <c r="R858" s="3" t="e">
        <f>tbl_MTG_Set[[#This Row],[Released On]]+tbl_MTG_Set[[#This Row],[Heavy Printing Window Month End]]*365.25/12</f>
        <v>#VALUE!</v>
      </c>
      <c r="S858" s="3" t="e">
        <f ca="1">AND(NOW()&gt;=tbl_MTG_Set[[#This Row],[Heavy Printing Window Start]], NOW()&lt;=tbl_MTG_Set[[#This Row],[Heavy Printing Window End]])</f>
        <v>#VALUE!</v>
      </c>
      <c r="T858" t="str">
        <f>_xlfn.XLOOKUP(tbl_MTG_Set[[#This Row],[Type Name]], tbl_MTG_Set_Type[Set Type], tbl_MTG_Set_Type[Sell Window Month Start], "(Set Type not found)", 0, 1)</f>
        <v>(Set Type not found)</v>
      </c>
      <c r="U858" s="3" t="e">
        <f>tbl_MTG_Set[[#This Row],[Released On]]+tbl_MTG_Set[[#This Row],[Sell Window Month Start]]*365.25/12</f>
        <v>#VALUE!</v>
      </c>
      <c r="V858" t="str">
        <f>_xlfn.XLOOKUP(tbl_MTG_Set[[#This Row],[Type Name]], tbl_MTG_Set_Type[Set Type], tbl_MTG_Set_Type[Sell Window Month End], "(Set Type not found)", 0, 1)</f>
        <v>(Set Type not found)</v>
      </c>
      <c r="W858" s="3" t="e">
        <f>tbl_MTG_Set[[#This Row],[Released On]]+tbl_MTG_Set[[#This Row],[Sell Window Month End]]*365.25/12</f>
        <v>#VALUE!</v>
      </c>
      <c r="X858" s="3" t="e">
        <f ca="1">AND(NOW()&gt;=tbl_MTG_Set[[#This Row],[Sell Window Start]], NOW()&lt;=tbl_MTG_Set[[#This Row],[Sell Window End]])</f>
        <v>#VALUE!</v>
      </c>
      <c r="AG858" s="10"/>
      <c r="AH858" s="10"/>
      <c r="AM858" s="10" t="str" cm="1">
        <f t="array" ref="AM8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8" s="10" t="str" cm="1">
        <f t="array" ref="AN8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8" s="4" t="e">
        <f>_xlfn.XLOOKUP(tbl_MTG_Set[[#This Row],[Play Booster Box Product Id]], tbl_Product[Product Id], tbl_Product[Pack Size])</f>
        <v>#N/A</v>
      </c>
      <c r="AP858" s="10" t="e">
        <f>(tbl_MTG_Set[[#This Row],[Play Booster Box Cost]]+v_Item_Shipping_Cost_In)/tbl_MTG_Set[[#This Row],[Play Booster Box Size]]</f>
        <v>#VALUE!</v>
      </c>
      <c r="AQ858" s="10" t="str" cm="1">
        <f t="array" ref="AQ8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8" s="10"/>
      <c r="AS858" s="10"/>
      <c r="AT858" s="17" t="e">
        <f>tbl_MTG_Set[[#This Row],[Play Booster CardMarket Profit]]/tbl_MTG_Set[[#This Row],[Play Booster Cost]]</f>
        <v>#VALUE!</v>
      </c>
      <c r="AU858" s="10" t="e">
        <f>_xlfn.XLOOKUP(tbl_MTG_Set[[#This Row],[Collector Booster Box Product Id]], tbl_Product[Product Id], tbl_Product[Min Cost])</f>
        <v>#N/A</v>
      </c>
      <c r="AV858" s="10" t="e">
        <f>_xlfn.XLOOKUP(tbl_MTG_Set[[#This Row],[Collector Booster Box Product Id]], tbl_Product[Product Id], tbl_Product[Best Source])</f>
        <v>#N/A</v>
      </c>
      <c r="AW858" s="4" t="e">
        <f>_xlfn.XLOOKUP(tbl_MTG_Set[[#This Row],[Collector Booster Box Product Id]], tbl_Product[Product Id], tbl_Product[Pack Size])</f>
        <v>#N/A</v>
      </c>
      <c r="AX858" s="10" t="e">
        <f>(tbl_MTG_Set[[#This Row],[Collector Booster Box Cost]] + v_Item_Shipping_Cost_In) / tbl_MTG_Set[[#This Row],[Collector Booster Box Size]]</f>
        <v>#N/A</v>
      </c>
      <c r="AY858" s="10" t="str" cm="1">
        <f t="array" ref="AY8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8" s="10"/>
      <c r="BA8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8" s="17" t="e">
        <f>tbl_MTG_Set[[#This Row],[Collector Booster CardMarket Profit]]/tbl_MTG_Set[[#This Row],[Collector Booster Cost]]</f>
        <v>#N/A</v>
      </c>
      <c r="BC858" s="10"/>
      <c r="BF8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8" s="11" t="e">
        <f>tbl_MTG_Set[[#This Row],[Play Singles CardMarket Profit MTG Stocks]]/tbl_MTG_Set[[#This Row],[Play Booster Cost]]</f>
        <v>#VALUE!</v>
      </c>
      <c r="BI858" s="11" t="b">
        <f>tbl_MTG_Set[[#This Row],[Play Singles CardMarket Profit MTG Stocks]]&gt;0</f>
        <v>0</v>
      </c>
      <c r="BM858" s="10" t="e">
        <f>tbl_MTG_Set[[#This Row],[Play Booster Sell Price CardMarket]]*tbl_MTG_Set[[#This Row],[Play Booster Expected Market Value BotBox]]/tbl_MTG_Set[[#This Row],[Play Booster Sealed Market Value BotBox]]</f>
        <v>#VALUE!</v>
      </c>
      <c r="BN8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8" s="10" t="e">
        <f>tbl_MTG_Set[[#This Row],[Play Singles CardMarket Profit BotBox]]/tbl_MTG_Set[[#This Row],[Play Booster Cost]]</f>
        <v>#VALUE!</v>
      </c>
      <c r="BP858" s="10" t="b">
        <f>tbl_MTG_Set[[#This Row],[Play Singles CardMarket Profit BotBox]]&gt;0</f>
        <v>0</v>
      </c>
      <c r="BQ858" s="10"/>
      <c r="BR858" s="10"/>
      <c r="BS858" s="10"/>
      <c r="BT8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8" s="19" t="e">
        <f>tbl_MTG_Set[[#This Row],[Collector Singles CardMarket Profit MTG Stocks]]/tbl_MTG_Set[[#This Row],[Collector Booster Cost]]</f>
        <v>#N/A</v>
      </c>
      <c r="BW858" s="10" t="b">
        <f>tbl_MTG_Set[[#This Row],[Collector Singles CardMarket Profit MTG Stocks]]&gt;0</f>
        <v>0</v>
      </c>
      <c r="BX858" s="10"/>
      <c r="BY858" s="10"/>
      <c r="BZ8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8" s="10" t="e">
        <f>tbl_MTG_Set[[#This Row],[Collector Singles CardMarket Profit BotBox]]/tbl_MTG_Set[[#This Row],[Collector Booster Cost]]</f>
        <v>#N/A</v>
      </c>
      <c r="CC858" s="10" t="b">
        <f>tbl_MTG_Set[[#This Row],[Collector Singles CardMarket Profit BotBox]]&gt;0</f>
        <v>0</v>
      </c>
      <c r="CD8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59" spans="1:86" hidden="1">
      <c r="A859">
        <v>891</v>
      </c>
      <c r="B859" t="s">
        <v>1032</v>
      </c>
      <c r="C859">
        <v>1</v>
      </c>
      <c r="D859" s="3">
        <v>38142</v>
      </c>
      <c r="F859" t="s">
        <v>174</v>
      </c>
      <c r="G859">
        <v>1728</v>
      </c>
      <c r="H859">
        <f ca="1">MONTH(NOW())+12*YEAR(NOW())-MONTH(tbl_MTG_Set[[#This Row],[Released On]])-12*YEAR(tbl_MTG_Set[[#This Row],[Released On]])</f>
        <v>261</v>
      </c>
      <c r="I859" t="str">
        <f>_xlfn.XLOOKUP(tbl_MTG_Set[[#This Row],[Type Name]], tbl_MTG_Set_Type[Set Type], tbl_MTG_Set_Type[Index], "(Set Type not found)")</f>
        <v>(Set Type not found)</v>
      </c>
      <c r="J859" t="str">
        <f>_xlfn.XLOOKUP(tbl_MTG_Set[[#This Row],[Type Name]], tbl_MTG_Set_Type[Set Type], tbl_MTG_Set_Type[Buy Window Month Start], "(Set Type not found)")</f>
        <v>(Set Type not found)</v>
      </c>
      <c r="K859" s="3" t="e">
        <f>tbl_MTG_Set[[#This Row],[Released On]]+tbl_MTG_Set[[#This Row],[Buy Window Month Start]]*365.25/12</f>
        <v>#VALUE!</v>
      </c>
      <c r="L859" t="str">
        <f>_xlfn.XLOOKUP(tbl_MTG_Set[[#This Row],[Type Name]], tbl_MTG_Set_Type[Set Type], tbl_MTG_Set_Type[Buy Window Month End], "(Set Type not found)", 0, 1)</f>
        <v>(Set Type not found)</v>
      </c>
      <c r="M859" s="3" t="e">
        <f>tbl_MTG_Set[[#This Row],[Released On]]+tbl_MTG_Set[[#This Row],[Buy Window Month End]]*365.25/12</f>
        <v>#VALUE!</v>
      </c>
      <c r="N859" s="3" t="e">
        <f ca="1">AND(NOW()&gt;=tbl_MTG_Set[[#This Row],[Buy Window Start]], NOW()&lt;=tbl_MTG_Set[[#This Row],[Buy Window End]])</f>
        <v>#VALUE!</v>
      </c>
      <c r="O859" t="str">
        <f>_xlfn.XLOOKUP(tbl_MTG_Set[[#This Row],[Type Name]], tbl_MTG_Set_Type[Set Type], tbl_MTG_Set_Type[Heavy Printing Window Month Start], "(Set Type not found)", 0, 1)</f>
        <v>(Set Type not found)</v>
      </c>
      <c r="P859" s="3" t="e">
        <f>tbl_MTG_Set[[#This Row],[Released On]]+tbl_MTG_Set[[#This Row],[Heavy Printing Window Month Start]]*365.25/12</f>
        <v>#VALUE!</v>
      </c>
      <c r="Q859" t="str">
        <f>_xlfn.XLOOKUP(tbl_MTG_Set[[#This Row],[Type Name]], tbl_MTG_Set_Type[Set Type], tbl_MTG_Set_Type[Heavy Printing Window Month End], "(Set Type not found)", 0, 1)</f>
        <v>(Set Type not found)</v>
      </c>
      <c r="R859" s="3" t="e">
        <f>tbl_MTG_Set[[#This Row],[Released On]]+tbl_MTG_Set[[#This Row],[Heavy Printing Window Month End]]*365.25/12</f>
        <v>#VALUE!</v>
      </c>
      <c r="S859" s="3" t="e">
        <f ca="1">AND(NOW()&gt;=tbl_MTG_Set[[#This Row],[Heavy Printing Window Start]], NOW()&lt;=tbl_MTG_Set[[#This Row],[Heavy Printing Window End]])</f>
        <v>#VALUE!</v>
      </c>
      <c r="T859" t="str">
        <f>_xlfn.XLOOKUP(tbl_MTG_Set[[#This Row],[Type Name]], tbl_MTG_Set_Type[Set Type], tbl_MTG_Set_Type[Sell Window Month Start], "(Set Type not found)", 0, 1)</f>
        <v>(Set Type not found)</v>
      </c>
      <c r="U859" s="3" t="e">
        <f>tbl_MTG_Set[[#This Row],[Released On]]+tbl_MTG_Set[[#This Row],[Sell Window Month Start]]*365.25/12</f>
        <v>#VALUE!</v>
      </c>
      <c r="V859" t="str">
        <f>_xlfn.XLOOKUP(tbl_MTG_Set[[#This Row],[Type Name]], tbl_MTG_Set_Type[Set Type], tbl_MTG_Set_Type[Sell Window Month End], "(Set Type not found)", 0, 1)</f>
        <v>(Set Type not found)</v>
      </c>
      <c r="W859" s="3" t="e">
        <f>tbl_MTG_Set[[#This Row],[Released On]]+tbl_MTG_Set[[#This Row],[Sell Window Month End]]*365.25/12</f>
        <v>#VALUE!</v>
      </c>
      <c r="X859" s="3" t="e">
        <f ca="1">AND(NOW()&gt;=tbl_MTG_Set[[#This Row],[Sell Window Start]], NOW()&lt;=tbl_MTG_Set[[#This Row],[Sell Window End]])</f>
        <v>#VALUE!</v>
      </c>
      <c r="AG859" s="10"/>
      <c r="AH859" s="10"/>
      <c r="AM859" s="10" t="str" cm="1">
        <f t="array" ref="AM8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59" s="10" t="str" cm="1">
        <f t="array" ref="AN8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59" s="4" t="e">
        <f>_xlfn.XLOOKUP(tbl_MTG_Set[[#This Row],[Play Booster Box Product Id]], tbl_Product[Product Id], tbl_Product[Pack Size])</f>
        <v>#N/A</v>
      </c>
      <c r="AP859" s="10" t="e">
        <f>(tbl_MTG_Set[[#This Row],[Play Booster Box Cost]]+v_Item_Shipping_Cost_In)/tbl_MTG_Set[[#This Row],[Play Booster Box Size]]</f>
        <v>#VALUE!</v>
      </c>
      <c r="AQ859" s="10" t="str" cm="1">
        <f t="array" ref="AQ8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59" s="10"/>
      <c r="AS859" s="10"/>
      <c r="AT859" s="17" t="e">
        <f>tbl_MTG_Set[[#This Row],[Play Booster CardMarket Profit]]/tbl_MTG_Set[[#This Row],[Play Booster Cost]]</f>
        <v>#VALUE!</v>
      </c>
      <c r="AU859" s="10" t="e">
        <f>_xlfn.XLOOKUP(tbl_MTG_Set[[#This Row],[Collector Booster Box Product Id]], tbl_Product[Product Id], tbl_Product[Min Cost])</f>
        <v>#N/A</v>
      </c>
      <c r="AV859" s="10" t="e">
        <f>_xlfn.XLOOKUP(tbl_MTG_Set[[#This Row],[Collector Booster Box Product Id]], tbl_Product[Product Id], tbl_Product[Best Source])</f>
        <v>#N/A</v>
      </c>
      <c r="AW859" s="4" t="e">
        <f>_xlfn.XLOOKUP(tbl_MTG_Set[[#This Row],[Collector Booster Box Product Id]], tbl_Product[Product Id], tbl_Product[Pack Size])</f>
        <v>#N/A</v>
      </c>
      <c r="AX859" s="10" t="e">
        <f>(tbl_MTG_Set[[#This Row],[Collector Booster Box Cost]] + v_Item_Shipping_Cost_In) / tbl_MTG_Set[[#This Row],[Collector Booster Box Size]]</f>
        <v>#N/A</v>
      </c>
      <c r="AY859" s="10" t="str" cm="1">
        <f t="array" ref="AY8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59" s="10"/>
      <c r="BA8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59" s="17" t="e">
        <f>tbl_MTG_Set[[#This Row],[Collector Booster CardMarket Profit]]/tbl_MTG_Set[[#This Row],[Collector Booster Cost]]</f>
        <v>#N/A</v>
      </c>
      <c r="BC859" s="10"/>
      <c r="BF8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59" s="11" t="e">
        <f>tbl_MTG_Set[[#This Row],[Play Singles CardMarket Profit MTG Stocks]]/tbl_MTG_Set[[#This Row],[Play Booster Cost]]</f>
        <v>#VALUE!</v>
      </c>
      <c r="BI859" s="11" t="b">
        <f>tbl_MTG_Set[[#This Row],[Play Singles CardMarket Profit MTG Stocks]]&gt;0</f>
        <v>0</v>
      </c>
      <c r="BM859" s="10" t="e">
        <f>tbl_MTG_Set[[#This Row],[Play Booster Sell Price CardMarket]]*tbl_MTG_Set[[#This Row],[Play Booster Expected Market Value BotBox]]/tbl_MTG_Set[[#This Row],[Play Booster Sealed Market Value BotBox]]</f>
        <v>#VALUE!</v>
      </c>
      <c r="BN8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59" s="10" t="e">
        <f>tbl_MTG_Set[[#This Row],[Play Singles CardMarket Profit BotBox]]/tbl_MTG_Set[[#This Row],[Play Booster Cost]]</f>
        <v>#VALUE!</v>
      </c>
      <c r="BP859" s="10" t="b">
        <f>tbl_MTG_Set[[#This Row],[Play Singles CardMarket Profit BotBox]]&gt;0</f>
        <v>0</v>
      </c>
      <c r="BQ859" s="10"/>
      <c r="BR859" s="10"/>
      <c r="BS859" s="10"/>
      <c r="BT8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59" s="19" t="e">
        <f>tbl_MTG_Set[[#This Row],[Collector Singles CardMarket Profit MTG Stocks]]/tbl_MTG_Set[[#This Row],[Collector Booster Cost]]</f>
        <v>#N/A</v>
      </c>
      <c r="BW859" s="10" t="b">
        <f>tbl_MTG_Set[[#This Row],[Collector Singles CardMarket Profit MTG Stocks]]&gt;0</f>
        <v>0</v>
      </c>
      <c r="BX859" s="10"/>
      <c r="BY859" s="10"/>
      <c r="BZ8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59" s="10" t="e">
        <f>tbl_MTG_Set[[#This Row],[Collector Singles CardMarket Profit BotBox]]/tbl_MTG_Set[[#This Row],[Collector Booster Cost]]</f>
        <v>#N/A</v>
      </c>
      <c r="CC859" s="10" t="b">
        <f>tbl_MTG_Set[[#This Row],[Collector Singles CardMarket Profit BotBox]]&gt;0</f>
        <v>0</v>
      </c>
      <c r="CD8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0" spans="1:86" hidden="1">
      <c r="A860">
        <v>892</v>
      </c>
      <c r="B860" t="s">
        <v>1033</v>
      </c>
      <c r="C860">
        <v>142</v>
      </c>
      <c r="D860" s="3">
        <v>37839</v>
      </c>
      <c r="F860" t="s">
        <v>174</v>
      </c>
      <c r="G860">
        <v>1730</v>
      </c>
      <c r="H860">
        <f ca="1">MONTH(NOW())+12*YEAR(NOW())-MONTH(tbl_MTG_Set[[#This Row],[Released On]])-12*YEAR(tbl_MTG_Set[[#This Row],[Released On]])</f>
        <v>271</v>
      </c>
      <c r="I860" t="str">
        <f>_xlfn.XLOOKUP(tbl_MTG_Set[[#This Row],[Type Name]], tbl_MTG_Set_Type[Set Type], tbl_MTG_Set_Type[Index], "(Set Type not found)")</f>
        <v>(Set Type not found)</v>
      </c>
      <c r="J860" t="str">
        <f>_xlfn.XLOOKUP(tbl_MTG_Set[[#This Row],[Type Name]], tbl_MTG_Set_Type[Set Type], tbl_MTG_Set_Type[Buy Window Month Start], "(Set Type not found)")</f>
        <v>(Set Type not found)</v>
      </c>
      <c r="K860" s="3" t="e">
        <f>tbl_MTG_Set[[#This Row],[Released On]]+tbl_MTG_Set[[#This Row],[Buy Window Month Start]]*365.25/12</f>
        <v>#VALUE!</v>
      </c>
      <c r="L860" t="str">
        <f>_xlfn.XLOOKUP(tbl_MTG_Set[[#This Row],[Type Name]], tbl_MTG_Set_Type[Set Type], tbl_MTG_Set_Type[Buy Window Month End], "(Set Type not found)", 0, 1)</f>
        <v>(Set Type not found)</v>
      </c>
      <c r="M860" s="3" t="e">
        <f>tbl_MTG_Set[[#This Row],[Released On]]+tbl_MTG_Set[[#This Row],[Buy Window Month End]]*365.25/12</f>
        <v>#VALUE!</v>
      </c>
      <c r="N860" s="3" t="e">
        <f ca="1">AND(NOW()&gt;=tbl_MTG_Set[[#This Row],[Buy Window Start]], NOW()&lt;=tbl_MTG_Set[[#This Row],[Buy Window End]])</f>
        <v>#VALUE!</v>
      </c>
      <c r="O860" t="str">
        <f>_xlfn.XLOOKUP(tbl_MTG_Set[[#This Row],[Type Name]], tbl_MTG_Set_Type[Set Type], tbl_MTG_Set_Type[Heavy Printing Window Month Start], "(Set Type not found)", 0, 1)</f>
        <v>(Set Type not found)</v>
      </c>
      <c r="P860" s="3" t="e">
        <f>tbl_MTG_Set[[#This Row],[Released On]]+tbl_MTG_Set[[#This Row],[Heavy Printing Window Month Start]]*365.25/12</f>
        <v>#VALUE!</v>
      </c>
      <c r="Q860" t="str">
        <f>_xlfn.XLOOKUP(tbl_MTG_Set[[#This Row],[Type Name]], tbl_MTG_Set_Type[Set Type], tbl_MTG_Set_Type[Heavy Printing Window Month End], "(Set Type not found)", 0, 1)</f>
        <v>(Set Type not found)</v>
      </c>
      <c r="R860" s="3" t="e">
        <f>tbl_MTG_Set[[#This Row],[Released On]]+tbl_MTG_Set[[#This Row],[Heavy Printing Window Month End]]*365.25/12</f>
        <v>#VALUE!</v>
      </c>
      <c r="S860" s="3" t="e">
        <f ca="1">AND(NOW()&gt;=tbl_MTG_Set[[#This Row],[Heavy Printing Window Start]], NOW()&lt;=tbl_MTG_Set[[#This Row],[Heavy Printing Window End]])</f>
        <v>#VALUE!</v>
      </c>
      <c r="T860" t="str">
        <f>_xlfn.XLOOKUP(tbl_MTG_Set[[#This Row],[Type Name]], tbl_MTG_Set_Type[Set Type], tbl_MTG_Set_Type[Sell Window Month Start], "(Set Type not found)", 0, 1)</f>
        <v>(Set Type not found)</v>
      </c>
      <c r="U860" s="3" t="e">
        <f>tbl_MTG_Set[[#This Row],[Released On]]+tbl_MTG_Set[[#This Row],[Sell Window Month Start]]*365.25/12</f>
        <v>#VALUE!</v>
      </c>
      <c r="V860" t="str">
        <f>_xlfn.XLOOKUP(tbl_MTG_Set[[#This Row],[Type Name]], tbl_MTG_Set_Type[Set Type], tbl_MTG_Set_Type[Sell Window Month End], "(Set Type not found)", 0, 1)</f>
        <v>(Set Type not found)</v>
      </c>
      <c r="W860" s="3" t="e">
        <f>tbl_MTG_Set[[#This Row],[Released On]]+tbl_MTG_Set[[#This Row],[Sell Window Month End]]*365.25/12</f>
        <v>#VALUE!</v>
      </c>
      <c r="X860" s="3" t="e">
        <f ca="1">AND(NOW()&gt;=tbl_MTG_Set[[#This Row],[Sell Window Start]], NOW()&lt;=tbl_MTG_Set[[#This Row],[Sell Window End]])</f>
        <v>#VALUE!</v>
      </c>
      <c r="AG860" s="10"/>
      <c r="AH860" s="10"/>
      <c r="AM860" s="10" t="str" cm="1">
        <f t="array" ref="AM8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0" s="10" t="str" cm="1">
        <f t="array" ref="AN8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0" s="4" t="e">
        <f>_xlfn.XLOOKUP(tbl_MTG_Set[[#This Row],[Play Booster Box Product Id]], tbl_Product[Product Id], tbl_Product[Pack Size])</f>
        <v>#N/A</v>
      </c>
      <c r="AP860" s="10" t="e">
        <f>(tbl_MTG_Set[[#This Row],[Play Booster Box Cost]]+v_Item_Shipping_Cost_In)/tbl_MTG_Set[[#This Row],[Play Booster Box Size]]</f>
        <v>#VALUE!</v>
      </c>
      <c r="AQ860" s="10" t="str" cm="1">
        <f t="array" ref="AQ8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0" s="10"/>
      <c r="AS860" s="10"/>
      <c r="AT860" s="17" t="e">
        <f>tbl_MTG_Set[[#This Row],[Play Booster CardMarket Profit]]/tbl_MTG_Set[[#This Row],[Play Booster Cost]]</f>
        <v>#VALUE!</v>
      </c>
      <c r="AU860" s="10" t="e">
        <f>_xlfn.XLOOKUP(tbl_MTG_Set[[#This Row],[Collector Booster Box Product Id]], tbl_Product[Product Id], tbl_Product[Min Cost])</f>
        <v>#N/A</v>
      </c>
      <c r="AV860" s="10" t="e">
        <f>_xlfn.XLOOKUP(tbl_MTG_Set[[#This Row],[Collector Booster Box Product Id]], tbl_Product[Product Id], tbl_Product[Best Source])</f>
        <v>#N/A</v>
      </c>
      <c r="AW860" s="4" t="e">
        <f>_xlfn.XLOOKUP(tbl_MTG_Set[[#This Row],[Collector Booster Box Product Id]], tbl_Product[Product Id], tbl_Product[Pack Size])</f>
        <v>#N/A</v>
      </c>
      <c r="AX860" s="10" t="e">
        <f>(tbl_MTG_Set[[#This Row],[Collector Booster Box Cost]] + v_Item_Shipping_Cost_In) / tbl_MTG_Set[[#This Row],[Collector Booster Box Size]]</f>
        <v>#N/A</v>
      </c>
      <c r="AY860" s="10" t="str" cm="1">
        <f t="array" ref="AY8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0" s="10"/>
      <c r="BA8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0" s="17" t="e">
        <f>tbl_MTG_Set[[#This Row],[Collector Booster CardMarket Profit]]/tbl_MTG_Set[[#This Row],[Collector Booster Cost]]</f>
        <v>#N/A</v>
      </c>
      <c r="BC860" s="10"/>
      <c r="BF8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0" s="11" t="e">
        <f>tbl_MTG_Set[[#This Row],[Play Singles CardMarket Profit MTG Stocks]]/tbl_MTG_Set[[#This Row],[Play Booster Cost]]</f>
        <v>#VALUE!</v>
      </c>
      <c r="BI860" s="11" t="b">
        <f>tbl_MTG_Set[[#This Row],[Play Singles CardMarket Profit MTG Stocks]]&gt;0</f>
        <v>0</v>
      </c>
      <c r="BM860" s="10" t="e">
        <f>tbl_MTG_Set[[#This Row],[Play Booster Sell Price CardMarket]]*tbl_MTG_Set[[#This Row],[Play Booster Expected Market Value BotBox]]/tbl_MTG_Set[[#This Row],[Play Booster Sealed Market Value BotBox]]</f>
        <v>#VALUE!</v>
      </c>
      <c r="BN8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0" s="10" t="e">
        <f>tbl_MTG_Set[[#This Row],[Play Singles CardMarket Profit BotBox]]/tbl_MTG_Set[[#This Row],[Play Booster Cost]]</f>
        <v>#VALUE!</v>
      </c>
      <c r="BP860" s="10" t="b">
        <f>tbl_MTG_Set[[#This Row],[Play Singles CardMarket Profit BotBox]]&gt;0</f>
        <v>0</v>
      </c>
      <c r="BQ860" s="10"/>
      <c r="BR860" s="10"/>
      <c r="BS860" s="10"/>
      <c r="BT8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0" s="19" t="e">
        <f>tbl_MTG_Set[[#This Row],[Collector Singles CardMarket Profit MTG Stocks]]/tbl_MTG_Set[[#This Row],[Collector Booster Cost]]</f>
        <v>#N/A</v>
      </c>
      <c r="BW860" s="10" t="b">
        <f>tbl_MTG_Set[[#This Row],[Collector Singles CardMarket Profit MTG Stocks]]&gt;0</f>
        <v>0</v>
      </c>
      <c r="BX860" s="10"/>
      <c r="BY860" s="10"/>
      <c r="BZ8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0" s="10" t="e">
        <f>tbl_MTG_Set[[#This Row],[Collector Singles CardMarket Profit BotBox]]/tbl_MTG_Set[[#This Row],[Collector Booster Cost]]</f>
        <v>#N/A</v>
      </c>
      <c r="CC860" s="10" t="b">
        <f>tbl_MTG_Set[[#This Row],[Collector Singles CardMarket Profit BotBox]]&gt;0</f>
        <v>0</v>
      </c>
      <c r="CD8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1" spans="1:86" hidden="1">
      <c r="A861">
        <v>893</v>
      </c>
      <c r="B861" t="s">
        <v>1034</v>
      </c>
      <c r="C861">
        <v>711</v>
      </c>
      <c r="D861" s="3">
        <v>37830</v>
      </c>
      <c r="F861" t="s">
        <v>174</v>
      </c>
      <c r="G861">
        <v>1732</v>
      </c>
      <c r="H861">
        <f ca="1">MONTH(NOW())+12*YEAR(NOW())-MONTH(tbl_MTG_Set[[#This Row],[Released On]])-12*YEAR(tbl_MTG_Set[[#This Row],[Released On]])</f>
        <v>272</v>
      </c>
      <c r="I861" t="str">
        <f>_xlfn.XLOOKUP(tbl_MTG_Set[[#This Row],[Type Name]], tbl_MTG_Set_Type[Set Type], tbl_MTG_Set_Type[Index], "(Set Type not found)")</f>
        <v>(Set Type not found)</v>
      </c>
      <c r="J861" t="str">
        <f>_xlfn.XLOOKUP(tbl_MTG_Set[[#This Row],[Type Name]], tbl_MTG_Set_Type[Set Type], tbl_MTG_Set_Type[Buy Window Month Start], "(Set Type not found)")</f>
        <v>(Set Type not found)</v>
      </c>
      <c r="K861" s="3" t="e">
        <f>tbl_MTG_Set[[#This Row],[Released On]]+tbl_MTG_Set[[#This Row],[Buy Window Month Start]]*365.25/12</f>
        <v>#VALUE!</v>
      </c>
      <c r="L861" t="str">
        <f>_xlfn.XLOOKUP(tbl_MTG_Set[[#This Row],[Type Name]], tbl_MTG_Set_Type[Set Type], tbl_MTG_Set_Type[Buy Window Month End], "(Set Type not found)", 0, 1)</f>
        <v>(Set Type not found)</v>
      </c>
      <c r="M861" s="3" t="e">
        <f>tbl_MTG_Set[[#This Row],[Released On]]+tbl_MTG_Set[[#This Row],[Buy Window Month End]]*365.25/12</f>
        <v>#VALUE!</v>
      </c>
      <c r="N861" s="3" t="e">
        <f ca="1">AND(NOW()&gt;=tbl_MTG_Set[[#This Row],[Buy Window Start]], NOW()&lt;=tbl_MTG_Set[[#This Row],[Buy Window End]])</f>
        <v>#VALUE!</v>
      </c>
      <c r="O861" t="str">
        <f>_xlfn.XLOOKUP(tbl_MTG_Set[[#This Row],[Type Name]], tbl_MTG_Set_Type[Set Type], tbl_MTG_Set_Type[Heavy Printing Window Month Start], "(Set Type not found)", 0, 1)</f>
        <v>(Set Type not found)</v>
      </c>
      <c r="P861" s="3" t="e">
        <f>tbl_MTG_Set[[#This Row],[Released On]]+tbl_MTG_Set[[#This Row],[Heavy Printing Window Month Start]]*365.25/12</f>
        <v>#VALUE!</v>
      </c>
      <c r="Q861" t="str">
        <f>_xlfn.XLOOKUP(tbl_MTG_Set[[#This Row],[Type Name]], tbl_MTG_Set_Type[Set Type], tbl_MTG_Set_Type[Heavy Printing Window Month End], "(Set Type not found)", 0, 1)</f>
        <v>(Set Type not found)</v>
      </c>
      <c r="R861" s="3" t="e">
        <f>tbl_MTG_Set[[#This Row],[Released On]]+tbl_MTG_Set[[#This Row],[Heavy Printing Window Month End]]*365.25/12</f>
        <v>#VALUE!</v>
      </c>
      <c r="S861" s="3" t="e">
        <f ca="1">AND(NOW()&gt;=tbl_MTG_Set[[#This Row],[Heavy Printing Window Start]], NOW()&lt;=tbl_MTG_Set[[#This Row],[Heavy Printing Window End]])</f>
        <v>#VALUE!</v>
      </c>
      <c r="T861" t="str">
        <f>_xlfn.XLOOKUP(tbl_MTG_Set[[#This Row],[Type Name]], tbl_MTG_Set_Type[Set Type], tbl_MTG_Set_Type[Sell Window Month Start], "(Set Type not found)", 0, 1)</f>
        <v>(Set Type not found)</v>
      </c>
      <c r="U861" s="3" t="e">
        <f>tbl_MTG_Set[[#This Row],[Released On]]+tbl_MTG_Set[[#This Row],[Sell Window Month Start]]*365.25/12</f>
        <v>#VALUE!</v>
      </c>
      <c r="V861" t="str">
        <f>_xlfn.XLOOKUP(tbl_MTG_Set[[#This Row],[Type Name]], tbl_MTG_Set_Type[Set Type], tbl_MTG_Set_Type[Sell Window Month End], "(Set Type not found)", 0, 1)</f>
        <v>(Set Type not found)</v>
      </c>
      <c r="W861" s="3" t="e">
        <f>tbl_MTG_Set[[#This Row],[Released On]]+tbl_MTG_Set[[#This Row],[Sell Window Month End]]*365.25/12</f>
        <v>#VALUE!</v>
      </c>
      <c r="X861" s="3" t="e">
        <f ca="1">AND(NOW()&gt;=tbl_MTG_Set[[#This Row],[Sell Window Start]], NOW()&lt;=tbl_MTG_Set[[#This Row],[Sell Window End]])</f>
        <v>#VALUE!</v>
      </c>
      <c r="AG861" s="10"/>
      <c r="AH861" s="10"/>
      <c r="AM861" s="10" t="str" cm="1">
        <f t="array" ref="AM8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1" s="10" t="str" cm="1">
        <f t="array" ref="AN8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1" s="4" t="e">
        <f>_xlfn.XLOOKUP(tbl_MTG_Set[[#This Row],[Play Booster Box Product Id]], tbl_Product[Product Id], tbl_Product[Pack Size])</f>
        <v>#N/A</v>
      </c>
      <c r="AP861" s="10" t="e">
        <f>(tbl_MTG_Set[[#This Row],[Play Booster Box Cost]]+v_Item_Shipping_Cost_In)/tbl_MTG_Set[[#This Row],[Play Booster Box Size]]</f>
        <v>#VALUE!</v>
      </c>
      <c r="AQ861" s="10" t="str" cm="1">
        <f t="array" ref="AQ8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1" s="10"/>
      <c r="AS861" s="10"/>
      <c r="AT861" s="17" t="e">
        <f>tbl_MTG_Set[[#This Row],[Play Booster CardMarket Profit]]/tbl_MTG_Set[[#This Row],[Play Booster Cost]]</f>
        <v>#VALUE!</v>
      </c>
      <c r="AU861" s="10" t="e">
        <f>_xlfn.XLOOKUP(tbl_MTG_Set[[#This Row],[Collector Booster Box Product Id]], tbl_Product[Product Id], tbl_Product[Min Cost])</f>
        <v>#N/A</v>
      </c>
      <c r="AV861" s="10" t="e">
        <f>_xlfn.XLOOKUP(tbl_MTG_Set[[#This Row],[Collector Booster Box Product Id]], tbl_Product[Product Id], tbl_Product[Best Source])</f>
        <v>#N/A</v>
      </c>
      <c r="AW861" s="4" t="e">
        <f>_xlfn.XLOOKUP(tbl_MTG_Set[[#This Row],[Collector Booster Box Product Id]], tbl_Product[Product Id], tbl_Product[Pack Size])</f>
        <v>#N/A</v>
      </c>
      <c r="AX861" s="10" t="e">
        <f>(tbl_MTG_Set[[#This Row],[Collector Booster Box Cost]] + v_Item_Shipping_Cost_In) / tbl_MTG_Set[[#This Row],[Collector Booster Box Size]]</f>
        <v>#N/A</v>
      </c>
      <c r="AY861" s="10" t="str" cm="1">
        <f t="array" ref="AY8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1" s="10"/>
      <c r="BA8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1" s="17" t="e">
        <f>tbl_MTG_Set[[#This Row],[Collector Booster CardMarket Profit]]/tbl_MTG_Set[[#This Row],[Collector Booster Cost]]</f>
        <v>#N/A</v>
      </c>
      <c r="BC861" s="10"/>
      <c r="BF8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1" s="11" t="e">
        <f>tbl_MTG_Set[[#This Row],[Play Singles CardMarket Profit MTG Stocks]]/tbl_MTG_Set[[#This Row],[Play Booster Cost]]</f>
        <v>#VALUE!</v>
      </c>
      <c r="BI861" s="11" t="b">
        <f>tbl_MTG_Set[[#This Row],[Play Singles CardMarket Profit MTG Stocks]]&gt;0</f>
        <v>0</v>
      </c>
      <c r="BM861" s="10" t="e">
        <f>tbl_MTG_Set[[#This Row],[Play Booster Sell Price CardMarket]]*tbl_MTG_Set[[#This Row],[Play Booster Expected Market Value BotBox]]/tbl_MTG_Set[[#This Row],[Play Booster Sealed Market Value BotBox]]</f>
        <v>#VALUE!</v>
      </c>
      <c r="BN8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1" s="10" t="e">
        <f>tbl_MTG_Set[[#This Row],[Play Singles CardMarket Profit BotBox]]/tbl_MTG_Set[[#This Row],[Play Booster Cost]]</f>
        <v>#VALUE!</v>
      </c>
      <c r="BP861" s="10" t="b">
        <f>tbl_MTG_Set[[#This Row],[Play Singles CardMarket Profit BotBox]]&gt;0</f>
        <v>0</v>
      </c>
      <c r="BQ861" s="10"/>
      <c r="BR861" s="10"/>
      <c r="BS861" s="10"/>
      <c r="BT8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1" s="19" t="e">
        <f>tbl_MTG_Set[[#This Row],[Collector Singles CardMarket Profit MTG Stocks]]/tbl_MTG_Set[[#This Row],[Collector Booster Cost]]</f>
        <v>#N/A</v>
      </c>
      <c r="BW861" s="10" t="b">
        <f>tbl_MTG_Set[[#This Row],[Collector Singles CardMarket Profit MTG Stocks]]&gt;0</f>
        <v>0</v>
      </c>
      <c r="BX861" s="10"/>
      <c r="BY861" s="10"/>
      <c r="BZ8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1" s="10" t="e">
        <f>tbl_MTG_Set[[#This Row],[Collector Singles CardMarket Profit BotBox]]/tbl_MTG_Set[[#This Row],[Collector Booster Cost]]</f>
        <v>#N/A</v>
      </c>
      <c r="CC861" s="10" t="b">
        <f>tbl_MTG_Set[[#This Row],[Collector Singles CardMarket Profit BotBox]]&gt;0</f>
        <v>0</v>
      </c>
      <c r="CD8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2" spans="1:86" hidden="1">
      <c r="A862">
        <v>894</v>
      </c>
      <c r="B862" t="s">
        <v>1035</v>
      </c>
      <c r="C862">
        <v>1</v>
      </c>
      <c r="D862" s="3">
        <v>37830</v>
      </c>
      <c r="F862" t="s">
        <v>174</v>
      </c>
      <c r="G862">
        <v>1734</v>
      </c>
      <c r="H862">
        <f ca="1">MONTH(NOW())+12*YEAR(NOW())-MONTH(tbl_MTG_Set[[#This Row],[Released On]])-12*YEAR(tbl_MTG_Set[[#This Row],[Released On]])</f>
        <v>272</v>
      </c>
      <c r="I862" t="str">
        <f>_xlfn.XLOOKUP(tbl_MTG_Set[[#This Row],[Type Name]], tbl_MTG_Set_Type[Set Type], tbl_MTG_Set_Type[Index], "(Set Type not found)")</f>
        <v>(Set Type not found)</v>
      </c>
      <c r="J862" t="str">
        <f>_xlfn.XLOOKUP(tbl_MTG_Set[[#This Row],[Type Name]], tbl_MTG_Set_Type[Set Type], tbl_MTG_Set_Type[Buy Window Month Start], "(Set Type not found)")</f>
        <v>(Set Type not found)</v>
      </c>
      <c r="K862" s="3" t="e">
        <f>tbl_MTG_Set[[#This Row],[Released On]]+tbl_MTG_Set[[#This Row],[Buy Window Month Start]]*365.25/12</f>
        <v>#VALUE!</v>
      </c>
      <c r="L862" t="str">
        <f>_xlfn.XLOOKUP(tbl_MTG_Set[[#This Row],[Type Name]], tbl_MTG_Set_Type[Set Type], tbl_MTG_Set_Type[Buy Window Month End], "(Set Type not found)", 0, 1)</f>
        <v>(Set Type not found)</v>
      </c>
      <c r="M862" s="3" t="e">
        <f>tbl_MTG_Set[[#This Row],[Released On]]+tbl_MTG_Set[[#This Row],[Buy Window Month End]]*365.25/12</f>
        <v>#VALUE!</v>
      </c>
      <c r="N862" s="3" t="e">
        <f ca="1">AND(NOW()&gt;=tbl_MTG_Set[[#This Row],[Buy Window Start]], NOW()&lt;=tbl_MTG_Set[[#This Row],[Buy Window End]])</f>
        <v>#VALUE!</v>
      </c>
      <c r="O862" t="str">
        <f>_xlfn.XLOOKUP(tbl_MTG_Set[[#This Row],[Type Name]], tbl_MTG_Set_Type[Set Type], tbl_MTG_Set_Type[Heavy Printing Window Month Start], "(Set Type not found)", 0, 1)</f>
        <v>(Set Type not found)</v>
      </c>
      <c r="P862" s="3" t="e">
        <f>tbl_MTG_Set[[#This Row],[Released On]]+tbl_MTG_Set[[#This Row],[Heavy Printing Window Month Start]]*365.25/12</f>
        <v>#VALUE!</v>
      </c>
      <c r="Q862" t="str">
        <f>_xlfn.XLOOKUP(tbl_MTG_Set[[#This Row],[Type Name]], tbl_MTG_Set_Type[Set Type], tbl_MTG_Set_Type[Heavy Printing Window Month End], "(Set Type not found)", 0, 1)</f>
        <v>(Set Type not found)</v>
      </c>
      <c r="R862" s="3" t="e">
        <f>tbl_MTG_Set[[#This Row],[Released On]]+tbl_MTG_Set[[#This Row],[Heavy Printing Window Month End]]*365.25/12</f>
        <v>#VALUE!</v>
      </c>
      <c r="S862" s="3" t="e">
        <f ca="1">AND(NOW()&gt;=tbl_MTG_Set[[#This Row],[Heavy Printing Window Start]], NOW()&lt;=tbl_MTG_Set[[#This Row],[Heavy Printing Window End]])</f>
        <v>#VALUE!</v>
      </c>
      <c r="T862" t="str">
        <f>_xlfn.XLOOKUP(tbl_MTG_Set[[#This Row],[Type Name]], tbl_MTG_Set_Type[Set Type], tbl_MTG_Set_Type[Sell Window Month Start], "(Set Type not found)", 0, 1)</f>
        <v>(Set Type not found)</v>
      </c>
      <c r="U862" s="3" t="e">
        <f>tbl_MTG_Set[[#This Row],[Released On]]+tbl_MTG_Set[[#This Row],[Sell Window Month Start]]*365.25/12</f>
        <v>#VALUE!</v>
      </c>
      <c r="V862" t="str">
        <f>_xlfn.XLOOKUP(tbl_MTG_Set[[#This Row],[Type Name]], tbl_MTG_Set_Type[Set Type], tbl_MTG_Set_Type[Sell Window Month End], "(Set Type not found)", 0, 1)</f>
        <v>(Set Type not found)</v>
      </c>
      <c r="W862" s="3" t="e">
        <f>tbl_MTG_Set[[#This Row],[Released On]]+tbl_MTG_Set[[#This Row],[Sell Window Month End]]*365.25/12</f>
        <v>#VALUE!</v>
      </c>
      <c r="X862" s="3" t="e">
        <f ca="1">AND(NOW()&gt;=tbl_MTG_Set[[#This Row],[Sell Window Start]], NOW()&lt;=tbl_MTG_Set[[#This Row],[Sell Window End]])</f>
        <v>#VALUE!</v>
      </c>
      <c r="AG862" s="10"/>
      <c r="AH862" s="10"/>
      <c r="AM862" s="10" t="str" cm="1">
        <f t="array" ref="AM8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2" s="10" t="str" cm="1">
        <f t="array" ref="AN8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2" s="4" t="e">
        <f>_xlfn.XLOOKUP(tbl_MTG_Set[[#This Row],[Play Booster Box Product Id]], tbl_Product[Product Id], tbl_Product[Pack Size])</f>
        <v>#N/A</v>
      </c>
      <c r="AP862" s="10" t="e">
        <f>(tbl_MTG_Set[[#This Row],[Play Booster Box Cost]]+v_Item_Shipping_Cost_In)/tbl_MTG_Set[[#This Row],[Play Booster Box Size]]</f>
        <v>#VALUE!</v>
      </c>
      <c r="AQ862" s="10" t="str" cm="1">
        <f t="array" ref="AQ8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2" s="10"/>
      <c r="AS862" s="10"/>
      <c r="AT862" s="17" t="e">
        <f>tbl_MTG_Set[[#This Row],[Play Booster CardMarket Profit]]/tbl_MTG_Set[[#This Row],[Play Booster Cost]]</f>
        <v>#VALUE!</v>
      </c>
      <c r="AU862" s="10" t="e">
        <f>_xlfn.XLOOKUP(tbl_MTG_Set[[#This Row],[Collector Booster Box Product Id]], tbl_Product[Product Id], tbl_Product[Min Cost])</f>
        <v>#N/A</v>
      </c>
      <c r="AV862" s="10" t="e">
        <f>_xlfn.XLOOKUP(tbl_MTG_Set[[#This Row],[Collector Booster Box Product Id]], tbl_Product[Product Id], tbl_Product[Best Source])</f>
        <v>#N/A</v>
      </c>
      <c r="AW862" s="4" t="e">
        <f>_xlfn.XLOOKUP(tbl_MTG_Set[[#This Row],[Collector Booster Box Product Id]], tbl_Product[Product Id], tbl_Product[Pack Size])</f>
        <v>#N/A</v>
      </c>
      <c r="AX862" s="10" t="e">
        <f>(tbl_MTG_Set[[#This Row],[Collector Booster Box Cost]] + v_Item_Shipping_Cost_In) / tbl_MTG_Set[[#This Row],[Collector Booster Box Size]]</f>
        <v>#N/A</v>
      </c>
      <c r="AY862" s="10" t="str" cm="1">
        <f t="array" ref="AY8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2" s="10"/>
      <c r="BA8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2" s="17" t="e">
        <f>tbl_MTG_Set[[#This Row],[Collector Booster CardMarket Profit]]/tbl_MTG_Set[[#This Row],[Collector Booster Cost]]</f>
        <v>#N/A</v>
      </c>
      <c r="BC862" s="10"/>
      <c r="BF8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2" s="11" t="e">
        <f>tbl_MTG_Set[[#This Row],[Play Singles CardMarket Profit MTG Stocks]]/tbl_MTG_Set[[#This Row],[Play Booster Cost]]</f>
        <v>#VALUE!</v>
      </c>
      <c r="BI862" s="11" t="b">
        <f>tbl_MTG_Set[[#This Row],[Play Singles CardMarket Profit MTG Stocks]]&gt;0</f>
        <v>0</v>
      </c>
      <c r="BM862" s="10" t="e">
        <f>tbl_MTG_Set[[#This Row],[Play Booster Sell Price CardMarket]]*tbl_MTG_Set[[#This Row],[Play Booster Expected Market Value BotBox]]/tbl_MTG_Set[[#This Row],[Play Booster Sealed Market Value BotBox]]</f>
        <v>#VALUE!</v>
      </c>
      <c r="BN8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2" s="10" t="e">
        <f>tbl_MTG_Set[[#This Row],[Play Singles CardMarket Profit BotBox]]/tbl_MTG_Set[[#This Row],[Play Booster Cost]]</f>
        <v>#VALUE!</v>
      </c>
      <c r="BP862" s="10" t="b">
        <f>tbl_MTG_Set[[#This Row],[Play Singles CardMarket Profit BotBox]]&gt;0</f>
        <v>0</v>
      </c>
      <c r="BQ862" s="10"/>
      <c r="BR862" s="10"/>
      <c r="BS862" s="10"/>
      <c r="BT8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2" s="19" t="e">
        <f>tbl_MTG_Set[[#This Row],[Collector Singles CardMarket Profit MTG Stocks]]/tbl_MTG_Set[[#This Row],[Collector Booster Cost]]</f>
        <v>#N/A</v>
      </c>
      <c r="BW862" s="10" t="b">
        <f>tbl_MTG_Set[[#This Row],[Collector Singles CardMarket Profit MTG Stocks]]&gt;0</f>
        <v>0</v>
      </c>
      <c r="BX862" s="10"/>
      <c r="BY862" s="10"/>
      <c r="BZ8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2" s="10" t="e">
        <f>tbl_MTG_Set[[#This Row],[Collector Singles CardMarket Profit BotBox]]/tbl_MTG_Set[[#This Row],[Collector Booster Cost]]</f>
        <v>#N/A</v>
      </c>
      <c r="CC862" s="10" t="b">
        <f>tbl_MTG_Set[[#This Row],[Collector Singles CardMarket Profit BotBox]]&gt;0</f>
        <v>0</v>
      </c>
      <c r="CD8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3" spans="1:86" hidden="1">
      <c r="A863">
        <v>895</v>
      </c>
      <c r="B863" t="s">
        <v>1036</v>
      </c>
      <c r="C863">
        <v>143</v>
      </c>
      <c r="D863" s="3">
        <v>37767</v>
      </c>
      <c r="F863" t="s">
        <v>174</v>
      </c>
      <c r="G863">
        <v>1736</v>
      </c>
      <c r="H863">
        <f ca="1">MONTH(NOW())+12*YEAR(NOW())-MONTH(tbl_MTG_Set[[#This Row],[Released On]])-12*YEAR(tbl_MTG_Set[[#This Row],[Released On]])</f>
        <v>274</v>
      </c>
      <c r="I863" t="str">
        <f>_xlfn.XLOOKUP(tbl_MTG_Set[[#This Row],[Type Name]], tbl_MTG_Set_Type[Set Type], tbl_MTG_Set_Type[Index], "(Set Type not found)")</f>
        <v>(Set Type not found)</v>
      </c>
      <c r="J863" t="str">
        <f>_xlfn.XLOOKUP(tbl_MTG_Set[[#This Row],[Type Name]], tbl_MTG_Set_Type[Set Type], tbl_MTG_Set_Type[Buy Window Month Start], "(Set Type not found)")</f>
        <v>(Set Type not found)</v>
      </c>
      <c r="K863" s="3" t="e">
        <f>tbl_MTG_Set[[#This Row],[Released On]]+tbl_MTG_Set[[#This Row],[Buy Window Month Start]]*365.25/12</f>
        <v>#VALUE!</v>
      </c>
      <c r="L863" t="str">
        <f>_xlfn.XLOOKUP(tbl_MTG_Set[[#This Row],[Type Name]], tbl_MTG_Set_Type[Set Type], tbl_MTG_Set_Type[Buy Window Month End], "(Set Type not found)", 0, 1)</f>
        <v>(Set Type not found)</v>
      </c>
      <c r="M863" s="3" t="e">
        <f>tbl_MTG_Set[[#This Row],[Released On]]+tbl_MTG_Set[[#This Row],[Buy Window Month End]]*365.25/12</f>
        <v>#VALUE!</v>
      </c>
      <c r="N863" s="3" t="e">
        <f ca="1">AND(NOW()&gt;=tbl_MTG_Set[[#This Row],[Buy Window Start]], NOW()&lt;=tbl_MTG_Set[[#This Row],[Buy Window End]])</f>
        <v>#VALUE!</v>
      </c>
      <c r="O863" t="str">
        <f>_xlfn.XLOOKUP(tbl_MTG_Set[[#This Row],[Type Name]], tbl_MTG_Set_Type[Set Type], tbl_MTG_Set_Type[Heavy Printing Window Month Start], "(Set Type not found)", 0, 1)</f>
        <v>(Set Type not found)</v>
      </c>
      <c r="P863" s="3" t="e">
        <f>tbl_MTG_Set[[#This Row],[Released On]]+tbl_MTG_Set[[#This Row],[Heavy Printing Window Month Start]]*365.25/12</f>
        <v>#VALUE!</v>
      </c>
      <c r="Q863" t="str">
        <f>_xlfn.XLOOKUP(tbl_MTG_Set[[#This Row],[Type Name]], tbl_MTG_Set_Type[Set Type], tbl_MTG_Set_Type[Heavy Printing Window Month End], "(Set Type not found)", 0, 1)</f>
        <v>(Set Type not found)</v>
      </c>
      <c r="R863" s="3" t="e">
        <f>tbl_MTG_Set[[#This Row],[Released On]]+tbl_MTG_Set[[#This Row],[Heavy Printing Window Month End]]*365.25/12</f>
        <v>#VALUE!</v>
      </c>
      <c r="S863" s="3" t="e">
        <f ca="1">AND(NOW()&gt;=tbl_MTG_Set[[#This Row],[Heavy Printing Window Start]], NOW()&lt;=tbl_MTG_Set[[#This Row],[Heavy Printing Window End]])</f>
        <v>#VALUE!</v>
      </c>
      <c r="T863" t="str">
        <f>_xlfn.XLOOKUP(tbl_MTG_Set[[#This Row],[Type Name]], tbl_MTG_Set_Type[Set Type], tbl_MTG_Set_Type[Sell Window Month Start], "(Set Type not found)", 0, 1)</f>
        <v>(Set Type not found)</v>
      </c>
      <c r="U863" s="3" t="e">
        <f>tbl_MTG_Set[[#This Row],[Released On]]+tbl_MTG_Set[[#This Row],[Sell Window Month Start]]*365.25/12</f>
        <v>#VALUE!</v>
      </c>
      <c r="V863" t="str">
        <f>_xlfn.XLOOKUP(tbl_MTG_Set[[#This Row],[Type Name]], tbl_MTG_Set_Type[Set Type], tbl_MTG_Set_Type[Sell Window Month End], "(Set Type not found)", 0, 1)</f>
        <v>(Set Type not found)</v>
      </c>
      <c r="W863" s="3" t="e">
        <f>tbl_MTG_Set[[#This Row],[Released On]]+tbl_MTG_Set[[#This Row],[Sell Window Month End]]*365.25/12</f>
        <v>#VALUE!</v>
      </c>
      <c r="X863" s="3" t="e">
        <f ca="1">AND(NOW()&gt;=tbl_MTG_Set[[#This Row],[Sell Window Start]], NOW()&lt;=tbl_MTG_Set[[#This Row],[Sell Window End]])</f>
        <v>#VALUE!</v>
      </c>
      <c r="AG863" s="10"/>
      <c r="AH863" s="10"/>
      <c r="AM863" s="10" t="str" cm="1">
        <f t="array" ref="AM8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3" s="10" t="str" cm="1">
        <f t="array" ref="AN8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3" s="4" t="e">
        <f>_xlfn.XLOOKUP(tbl_MTG_Set[[#This Row],[Play Booster Box Product Id]], tbl_Product[Product Id], tbl_Product[Pack Size])</f>
        <v>#N/A</v>
      </c>
      <c r="AP863" s="10" t="e">
        <f>(tbl_MTG_Set[[#This Row],[Play Booster Box Cost]]+v_Item_Shipping_Cost_In)/tbl_MTG_Set[[#This Row],[Play Booster Box Size]]</f>
        <v>#VALUE!</v>
      </c>
      <c r="AQ863" s="10" t="str" cm="1">
        <f t="array" ref="AQ8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3" s="10"/>
      <c r="AS863" s="10"/>
      <c r="AT863" s="17" t="e">
        <f>tbl_MTG_Set[[#This Row],[Play Booster CardMarket Profit]]/tbl_MTG_Set[[#This Row],[Play Booster Cost]]</f>
        <v>#VALUE!</v>
      </c>
      <c r="AU863" s="10" t="e">
        <f>_xlfn.XLOOKUP(tbl_MTG_Set[[#This Row],[Collector Booster Box Product Id]], tbl_Product[Product Id], tbl_Product[Min Cost])</f>
        <v>#N/A</v>
      </c>
      <c r="AV863" s="10" t="e">
        <f>_xlfn.XLOOKUP(tbl_MTG_Set[[#This Row],[Collector Booster Box Product Id]], tbl_Product[Product Id], tbl_Product[Best Source])</f>
        <v>#N/A</v>
      </c>
      <c r="AW863" s="4" t="e">
        <f>_xlfn.XLOOKUP(tbl_MTG_Set[[#This Row],[Collector Booster Box Product Id]], tbl_Product[Product Id], tbl_Product[Pack Size])</f>
        <v>#N/A</v>
      </c>
      <c r="AX863" s="10" t="e">
        <f>(tbl_MTG_Set[[#This Row],[Collector Booster Box Cost]] + v_Item_Shipping_Cost_In) / tbl_MTG_Set[[#This Row],[Collector Booster Box Size]]</f>
        <v>#N/A</v>
      </c>
      <c r="AY863" s="10" t="str" cm="1">
        <f t="array" ref="AY8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3" s="10"/>
      <c r="BA8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3" s="17" t="e">
        <f>tbl_MTG_Set[[#This Row],[Collector Booster CardMarket Profit]]/tbl_MTG_Set[[#This Row],[Collector Booster Cost]]</f>
        <v>#N/A</v>
      </c>
      <c r="BC863" s="10"/>
      <c r="BF8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3" s="11" t="e">
        <f>tbl_MTG_Set[[#This Row],[Play Singles CardMarket Profit MTG Stocks]]/tbl_MTG_Set[[#This Row],[Play Booster Cost]]</f>
        <v>#VALUE!</v>
      </c>
      <c r="BI863" s="11" t="b">
        <f>tbl_MTG_Set[[#This Row],[Play Singles CardMarket Profit MTG Stocks]]&gt;0</f>
        <v>0</v>
      </c>
      <c r="BM863" s="10" t="e">
        <f>tbl_MTG_Set[[#This Row],[Play Booster Sell Price CardMarket]]*tbl_MTG_Set[[#This Row],[Play Booster Expected Market Value BotBox]]/tbl_MTG_Set[[#This Row],[Play Booster Sealed Market Value BotBox]]</f>
        <v>#VALUE!</v>
      </c>
      <c r="BN8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3" s="10" t="e">
        <f>tbl_MTG_Set[[#This Row],[Play Singles CardMarket Profit BotBox]]/tbl_MTG_Set[[#This Row],[Play Booster Cost]]</f>
        <v>#VALUE!</v>
      </c>
      <c r="BP863" s="10" t="b">
        <f>tbl_MTG_Set[[#This Row],[Play Singles CardMarket Profit BotBox]]&gt;0</f>
        <v>0</v>
      </c>
      <c r="BQ863" s="10"/>
      <c r="BR863" s="10"/>
      <c r="BS863" s="10"/>
      <c r="BT8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3" s="19" t="e">
        <f>tbl_MTG_Set[[#This Row],[Collector Singles CardMarket Profit MTG Stocks]]/tbl_MTG_Set[[#This Row],[Collector Booster Cost]]</f>
        <v>#N/A</v>
      </c>
      <c r="BW863" s="10" t="b">
        <f>tbl_MTG_Set[[#This Row],[Collector Singles CardMarket Profit MTG Stocks]]&gt;0</f>
        <v>0</v>
      </c>
      <c r="BX863" s="10"/>
      <c r="BY863" s="10"/>
      <c r="BZ8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3" s="10" t="e">
        <f>tbl_MTG_Set[[#This Row],[Collector Singles CardMarket Profit BotBox]]/tbl_MTG_Set[[#This Row],[Collector Booster Cost]]</f>
        <v>#N/A</v>
      </c>
      <c r="CC863" s="10" t="b">
        <f>tbl_MTG_Set[[#This Row],[Collector Singles CardMarket Profit BotBox]]&gt;0</f>
        <v>0</v>
      </c>
      <c r="CD8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4" spans="1:86" hidden="1">
      <c r="A864">
        <v>896</v>
      </c>
      <c r="B864" t="s">
        <v>1037</v>
      </c>
      <c r="C864">
        <v>1</v>
      </c>
      <c r="D864" s="3">
        <v>37767</v>
      </c>
      <c r="F864" t="s">
        <v>174</v>
      </c>
      <c r="G864">
        <v>1738</v>
      </c>
      <c r="H864">
        <f ca="1">MONTH(NOW())+12*YEAR(NOW())-MONTH(tbl_MTG_Set[[#This Row],[Released On]])-12*YEAR(tbl_MTG_Set[[#This Row],[Released On]])</f>
        <v>274</v>
      </c>
      <c r="I864" t="str">
        <f>_xlfn.XLOOKUP(tbl_MTG_Set[[#This Row],[Type Name]], tbl_MTG_Set_Type[Set Type], tbl_MTG_Set_Type[Index], "(Set Type not found)")</f>
        <v>(Set Type not found)</v>
      </c>
      <c r="J864" t="str">
        <f>_xlfn.XLOOKUP(tbl_MTG_Set[[#This Row],[Type Name]], tbl_MTG_Set_Type[Set Type], tbl_MTG_Set_Type[Buy Window Month Start], "(Set Type not found)")</f>
        <v>(Set Type not found)</v>
      </c>
      <c r="K864" s="3" t="e">
        <f>tbl_MTG_Set[[#This Row],[Released On]]+tbl_MTG_Set[[#This Row],[Buy Window Month Start]]*365.25/12</f>
        <v>#VALUE!</v>
      </c>
      <c r="L864" t="str">
        <f>_xlfn.XLOOKUP(tbl_MTG_Set[[#This Row],[Type Name]], tbl_MTG_Set_Type[Set Type], tbl_MTG_Set_Type[Buy Window Month End], "(Set Type not found)", 0, 1)</f>
        <v>(Set Type not found)</v>
      </c>
      <c r="M864" s="3" t="e">
        <f>tbl_MTG_Set[[#This Row],[Released On]]+tbl_MTG_Set[[#This Row],[Buy Window Month End]]*365.25/12</f>
        <v>#VALUE!</v>
      </c>
      <c r="N864" s="3" t="e">
        <f ca="1">AND(NOW()&gt;=tbl_MTG_Set[[#This Row],[Buy Window Start]], NOW()&lt;=tbl_MTG_Set[[#This Row],[Buy Window End]])</f>
        <v>#VALUE!</v>
      </c>
      <c r="O864" t="str">
        <f>_xlfn.XLOOKUP(tbl_MTG_Set[[#This Row],[Type Name]], tbl_MTG_Set_Type[Set Type], tbl_MTG_Set_Type[Heavy Printing Window Month Start], "(Set Type not found)", 0, 1)</f>
        <v>(Set Type not found)</v>
      </c>
      <c r="P864" s="3" t="e">
        <f>tbl_MTG_Set[[#This Row],[Released On]]+tbl_MTG_Set[[#This Row],[Heavy Printing Window Month Start]]*365.25/12</f>
        <v>#VALUE!</v>
      </c>
      <c r="Q864" t="str">
        <f>_xlfn.XLOOKUP(tbl_MTG_Set[[#This Row],[Type Name]], tbl_MTG_Set_Type[Set Type], tbl_MTG_Set_Type[Heavy Printing Window Month End], "(Set Type not found)", 0, 1)</f>
        <v>(Set Type not found)</v>
      </c>
      <c r="R864" s="3" t="e">
        <f>tbl_MTG_Set[[#This Row],[Released On]]+tbl_MTG_Set[[#This Row],[Heavy Printing Window Month End]]*365.25/12</f>
        <v>#VALUE!</v>
      </c>
      <c r="S864" s="3" t="e">
        <f ca="1">AND(NOW()&gt;=tbl_MTG_Set[[#This Row],[Heavy Printing Window Start]], NOW()&lt;=tbl_MTG_Set[[#This Row],[Heavy Printing Window End]])</f>
        <v>#VALUE!</v>
      </c>
      <c r="T864" t="str">
        <f>_xlfn.XLOOKUP(tbl_MTG_Set[[#This Row],[Type Name]], tbl_MTG_Set_Type[Set Type], tbl_MTG_Set_Type[Sell Window Month Start], "(Set Type not found)", 0, 1)</f>
        <v>(Set Type not found)</v>
      </c>
      <c r="U864" s="3" t="e">
        <f>tbl_MTG_Set[[#This Row],[Released On]]+tbl_MTG_Set[[#This Row],[Sell Window Month Start]]*365.25/12</f>
        <v>#VALUE!</v>
      </c>
      <c r="V864" t="str">
        <f>_xlfn.XLOOKUP(tbl_MTG_Set[[#This Row],[Type Name]], tbl_MTG_Set_Type[Set Type], tbl_MTG_Set_Type[Sell Window Month End], "(Set Type not found)", 0, 1)</f>
        <v>(Set Type not found)</v>
      </c>
      <c r="W864" s="3" t="e">
        <f>tbl_MTG_Set[[#This Row],[Released On]]+tbl_MTG_Set[[#This Row],[Sell Window Month End]]*365.25/12</f>
        <v>#VALUE!</v>
      </c>
      <c r="X864" s="3" t="e">
        <f ca="1">AND(NOW()&gt;=tbl_MTG_Set[[#This Row],[Sell Window Start]], NOW()&lt;=tbl_MTG_Set[[#This Row],[Sell Window End]])</f>
        <v>#VALUE!</v>
      </c>
      <c r="AG864" s="10"/>
      <c r="AH864" s="10"/>
      <c r="AM864" s="10" t="str" cm="1">
        <f t="array" ref="AM8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4" s="10" t="str" cm="1">
        <f t="array" ref="AN8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4" s="4" t="e">
        <f>_xlfn.XLOOKUP(tbl_MTG_Set[[#This Row],[Play Booster Box Product Id]], tbl_Product[Product Id], tbl_Product[Pack Size])</f>
        <v>#N/A</v>
      </c>
      <c r="AP864" s="10" t="e">
        <f>(tbl_MTG_Set[[#This Row],[Play Booster Box Cost]]+v_Item_Shipping_Cost_In)/tbl_MTG_Set[[#This Row],[Play Booster Box Size]]</f>
        <v>#VALUE!</v>
      </c>
      <c r="AQ864" s="10" t="str" cm="1">
        <f t="array" ref="AQ8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4" s="10"/>
      <c r="AS864" s="10"/>
      <c r="AT864" s="17" t="e">
        <f>tbl_MTG_Set[[#This Row],[Play Booster CardMarket Profit]]/tbl_MTG_Set[[#This Row],[Play Booster Cost]]</f>
        <v>#VALUE!</v>
      </c>
      <c r="AU864" s="10" t="e">
        <f>_xlfn.XLOOKUP(tbl_MTG_Set[[#This Row],[Collector Booster Box Product Id]], tbl_Product[Product Id], tbl_Product[Min Cost])</f>
        <v>#N/A</v>
      </c>
      <c r="AV864" s="10" t="e">
        <f>_xlfn.XLOOKUP(tbl_MTG_Set[[#This Row],[Collector Booster Box Product Id]], tbl_Product[Product Id], tbl_Product[Best Source])</f>
        <v>#N/A</v>
      </c>
      <c r="AW864" s="4" t="e">
        <f>_xlfn.XLOOKUP(tbl_MTG_Set[[#This Row],[Collector Booster Box Product Id]], tbl_Product[Product Id], tbl_Product[Pack Size])</f>
        <v>#N/A</v>
      </c>
      <c r="AX864" s="10" t="e">
        <f>(tbl_MTG_Set[[#This Row],[Collector Booster Box Cost]] + v_Item_Shipping_Cost_In) / tbl_MTG_Set[[#This Row],[Collector Booster Box Size]]</f>
        <v>#N/A</v>
      </c>
      <c r="AY864" s="10" t="str" cm="1">
        <f t="array" ref="AY8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4" s="10"/>
      <c r="BA8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4" s="17" t="e">
        <f>tbl_MTG_Set[[#This Row],[Collector Booster CardMarket Profit]]/tbl_MTG_Set[[#This Row],[Collector Booster Cost]]</f>
        <v>#N/A</v>
      </c>
      <c r="BC864" s="10"/>
      <c r="BF8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4" s="11" t="e">
        <f>tbl_MTG_Set[[#This Row],[Play Singles CardMarket Profit MTG Stocks]]/tbl_MTG_Set[[#This Row],[Play Booster Cost]]</f>
        <v>#VALUE!</v>
      </c>
      <c r="BI864" s="11" t="b">
        <f>tbl_MTG_Set[[#This Row],[Play Singles CardMarket Profit MTG Stocks]]&gt;0</f>
        <v>0</v>
      </c>
      <c r="BM864" s="10" t="e">
        <f>tbl_MTG_Set[[#This Row],[Play Booster Sell Price CardMarket]]*tbl_MTG_Set[[#This Row],[Play Booster Expected Market Value BotBox]]/tbl_MTG_Set[[#This Row],[Play Booster Sealed Market Value BotBox]]</f>
        <v>#VALUE!</v>
      </c>
      <c r="BN8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4" s="10" t="e">
        <f>tbl_MTG_Set[[#This Row],[Play Singles CardMarket Profit BotBox]]/tbl_MTG_Set[[#This Row],[Play Booster Cost]]</f>
        <v>#VALUE!</v>
      </c>
      <c r="BP864" s="10" t="b">
        <f>tbl_MTG_Set[[#This Row],[Play Singles CardMarket Profit BotBox]]&gt;0</f>
        <v>0</v>
      </c>
      <c r="BQ864" s="10"/>
      <c r="BR864" s="10"/>
      <c r="BS864" s="10"/>
      <c r="BT8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4" s="19" t="e">
        <f>tbl_MTG_Set[[#This Row],[Collector Singles CardMarket Profit MTG Stocks]]/tbl_MTG_Set[[#This Row],[Collector Booster Cost]]</f>
        <v>#N/A</v>
      </c>
      <c r="BW864" s="10" t="b">
        <f>tbl_MTG_Set[[#This Row],[Collector Singles CardMarket Profit MTG Stocks]]&gt;0</f>
        <v>0</v>
      </c>
      <c r="BX864" s="10"/>
      <c r="BY864" s="10"/>
      <c r="BZ8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4" s="10" t="e">
        <f>tbl_MTG_Set[[#This Row],[Collector Singles CardMarket Profit BotBox]]/tbl_MTG_Set[[#This Row],[Collector Booster Cost]]</f>
        <v>#N/A</v>
      </c>
      <c r="CC864" s="10" t="b">
        <f>tbl_MTG_Set[[#This Row],[Collector Singles CardMarket Profit BotBox]]&gt;0</f>
        <v>0</v>
      </c>
      <c r="CD8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5" spans="1:86" hidden="1">
      <c r="A865">
        <v>897</v>
      </c>
      <c r="B865" t="s">
        <v>1038</v>
      </c>
      <c r="C865">
        <v>145</v>
      </c>
      <c r="D865" s="3">
        <v>37655</v>
      </c>
      <c r="F865" t="s">
        <v>174</v>
      </c>
      <c r="G865">
        <v>1740</v>
      </c>
      <c r="H865">
        <f ca="1">MONTH(NOW())+12*YEAR(NOW())-MONTH(tbl_MTG_Set[[#This Row],[Released On]])-12*YEAR(tbl_MTG_Set[[#This Row],[Released On]])</f>
        <v>277</v>
      </c>
      <c r="I865" t="str">
        <f>_xlfn.XLOOKUP(tbl_MTG_Set[[#This Row],[Type Name]], tbl_MTG_Set_Type[Set Type], tbl_MTG_Set_Type[Index], "(Set Type not found)")</f>
        <v>(Set Type not found)</v>
      </c>
      <c r="J865" t="str">
        <f>_xlfn.XLOOKUP(tbl_MTG_Set[[#This Row],[Type Name]], tbl_MTG_Set_Type[Set Type], tbl_MTG_Set_Type[Buy Window Month Start], "(Set Type not found)")</f>
        <v>(Set Type not found)</v>
      </c>
      <c r="K865" s="3" t="e">
        <f>tbl_MTG_Set[[#This Row],[Released On]]+tbl_MTG_Set[[#This Row],[Buy Window Month Start]]*365.25/12</f>
        <v>#VALUE!</v>
      </c>
      <c r="L865" t="str">
        <f>_xlfn.XLOOKUP(tbl_MTG_Set[[#This Row],[Type Name]], tbl_MTG_Set_Type[Set Type], tbl_MTG_Set_Type[Buy Window Month End], "(Set Type not found)", 0, 1)</f>
        <v>(Set Type not found)</v>
      </c>
      <c r="M865" s="3" t="e">
        <f>tbl_MTG_Set[[#This Row],[Released On]]+tbl_MTG_Set[[#This Row],[Buy Window Month End]]*365.25/12</f>
        <v>#VALUE!</v>
      </c>
      <c r="N865" s="3" t="e">
        <f ca="1">AND(NOW()&gt;=tbl_MTG_Set[[#This Row],[Buy Window Start]], NOW()&lt;=tbl_MTG_Set[[#This Row],[Buy Window End]])</f>
        <v>#VALUE!</v>
      </c>
      <c r="O865" t="str">
        <f>_xlfn.XLOOKUP(tbl_MTG_Set[[#This Row],[Type Name]], tbl_MTG_Set_Type[Set Type], tbl_MTG_Set_Type[Heavy Printing Window Month Start], "(Set Type not found)", 0, 1)</f>
        <v>(Set Type not found)</v>
      </c>
      <c r="P865" s="3" t="e">
        <f>tbl_MTG_Set[[#This Row],[Released On]]+tbl_MTG_Set[[#This Row],[Heavy Printing Window Month Start]]*365.25/12</f>
        <v>#VALUE!</v>
      </c>
      <c r="Q865" t="str">
        <f>_xlfn.XLOOKUP(tbl_MTG_Set[[#This Row],[Type Name]], tbl_MTG_Set_Type[Set Type], tbl_MTG_Set_Type[Heavy Printing Window Month End], "(Set Type not found)", 0, 1)</f>
        <v>(Set Type not found)</v>
      </c>
      <c r="R865" s="3" t="e">
        <f>tbl_MTG_Set[[#This Row],[Released On]]+tbl_MTG_Set[[#This Row],[Heavy Printing Window Month End]]*365.25/12</f>
        <v>#VALUE!</v>
      </c>
      <c r="S865" s="3" t="e">
        <f ca="1">AND(NOW()&gt;=tbl_MTG_Set[[#This Row],[Heavy Printing Window Start]], NOW()&lt;=tbl_MTG_Set[[#This Row],[Heavy Printing Window End]])</f>
        <v>#VALUE!</v>
      </c>
      <c r="T865" t="str">
        <f>_xlfn.XLOOKUP(tbl_MTG_Set[[#This Row],[Type Name]], tbl_MTG_Set_Type[Set Type], tbl_MTG_Set_Type[Sell Window Month Start], "(Set Type not found)", 0, 1)</f>
        <v>(Set Type not found)</v>
      </c>
      <c r="U865" s="3" t="e">
        <f>tbl_MTG_Set[[#This Row],[Released On]]+tbl_MTG_Set[[#This Row],[Sell Window Month Start]]*365.25/12</f>
        <v>#VALUE!</v>
      </c>
      <c r="V865" t="str">
        <f>_xlfn.XLOOKUP(tbl_MTG_Set[[#This Row],[Type Name]], tbl_MTG_Set_Type[Set Type], tbl_MTG_Set_Type[Sell Window Month End], "(Set Type not found)", 0, 1)</f>
        <v>(Set Type not found)</v>
      </c>
      <c r="W865" s="3" t="e">
        <f>tbl_MTG_Set[[#This Row],[Released On]]+tbl_MTG_Set[[#This Row],[Sell Window Month End]]*365.25/12</f>
        <v>#VALUE!</v>
      </c>
      <c r="X865" s="3" t="e">
        <f ca="1">AND(NOW()&gt;=tbl_MTG_Set[[#This Row],[Sell Window Start]], NOW()&lt;=tbl_MTG_Set[[#This Row],[Sell Window End]])</f>
        <v>#VALUE!</v>
      </c>
      <c r="AG865" s="10"/>
      <c r="AH865" s="10"/>
      <c r="AM865" s="10" t="str" cm="1">
        <f t="array" ref="AM8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5" s="10" t="str" cm="1">
        <f t="array" ref="AN8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5" s="4" t="e">
        <f>_xlfn.XLOOKUP(tbl_MTG_Set[[#This Row],[Play Booster Box Product Id]], tbl_Product[Product Id], tbl_Product[Pack Size])</f>
        <v>#N/A</v>
      </c>
      <c r="AP865" s="10" t="e">
        <f>(tbl_MTG_Set[[#This Row],[Play Booster Box Cost]]+v_Item_Shipping_Cost_In)/tbl_MTG_Set[[#This Row],[Play Booster Box Size]]</f>
        <v>#VALUE!</v>
      </c>
      <c r="AQ865" s="10" t="str" cm="1">
        <f t="array" ref="AQ8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5" s="10"/>
      <c r="AS865" s="10"/>
      <c r="AT865" s="17" t="e">
        <f>tbl_MTG_Set[[#This Row],[Play Booster CardMarket Profit]]/tbl_MTG_Set[[#This Row],[Play Booster Cost]]</f>
        <v>#VALUE!</v>
      </c>
      <c r="AU865" s="10" t="e">
        <f>_xlfn.XLOOKUP(tbl_MTG_Set[[#This Row],[Collector Booster Box Product Id]], tbl_Product[Product Id], tbl_Product[Min Cost])</f>
        <v>#N/A</v>
      </c>
      <c r="AV865" s="10" t="e">
        <f>_xlfn.XLOOKUP(tbl_MTG_Set[[#This Row],[Collector Booster Box Product Id]], tbl_Product[Product Id], tbl_Product[Best Source])</f>
        <v>#N/A</v>
      </c>
      <c r="AW865" s="4" t="e">
        <f>_xlfn.XLOOKUP(tbl_MTG_Set[[#This Row],[Collector Booster Box Product Id]], tbl_Product[Product Id], tbl_Product[Pack Size])</f>
        <v>#N/A</v>
      </c>
      <c r="AX865" s="10" t="e">
        <f>(tbl_MTG_Set[[#This Row],[Collector Booster Box Cost]] + v_Item_Shipping_Cost_In) / tbl_MTG_Set[[#This Row],[Collector Booster Box Size]]</f>
        <v>#N/A</v>
      </c>
      <c r="AY865" s="10" t="str" cm="1">
        <f t="array" ref="AY8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5" s="10"/>
      <c r="BA8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5" s="17" t="e">
        <f>tbl_MTG_Set[[#This Row],[Collector Booster CardMarket Profit]]/tbl_MTG_Set[[#This Row],[Collector Booster Cost]]</f>
        <v>#N/A</v>
      </c>
      <c r="BC865" s="10"/>
      <c r="BF8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5" s="11" t="e">
        <f>tbl_MTG_Set[[#This Row],[Play Singles CardMarket Profit MTG Stocks]]/tbl_MTG_Set[[#This Row],[Play Booster Cost]]</f>
        <v>#VALUE!</v>
      </c>
      <c r="BI865" s="11" t="b">
        <f>tbl_MTG_Set[[#This Row],[Play Singles CardMarket Profit MTG Stocks]]&gt;0</f>
        <v>0</v>
      </c>
      <c r="BM865" s="10" t="e">
        <f>tbl_MTG_Set[[#This Row],[Play Booster Sell Price CardMarket]]*tbl_MTG_Set[[#This Row],[Play Booster Expected Market Value BotBox]]/tbl_MTG_Set[[#This Row],[Play Booster Sealed Market Value BotBox]]</f>
        <v>#VALUE!</v>
      </c>
      <c r="BN8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5" s="10" t="e">
        <f>tbl_MTG_Set[[#This Row],[Play Singles CardMarket Profit BotBox]]/tbl_MTG_Set[[#This Row],[Play Booster Cost]]</f>
        <v>#VALUE!</v>
      </c>
      <c r="BP865" s="10" t="b">
        <f>tbl_MTG_Set[[#This Row],[Play Singles CardMarket Profit BotBox]]&gt;0</f>
        <v>0</v>
      </c>
      <c r="BQ865" s="10"/>
      <c r="BR865" s="10"/>
      <c r="BS865" s="10"/>
      <c r="BT8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5" s="19" t="e">
        <f>tbl_MTG_Set[[#This Row],[Collector Singles CardMarket Profit MTG Stocks]]/tbl_MTG_Set[[#This Row],[Collector Booster Cost]]</f>
        <v>#N/A</v>
      </c>
      <c r="BW865" s="10" t="b">
        <f>tbl_MTG_Set[[#This Row],[Collector Singles CardMarket Profit MTG Stocks]]&gt;0</f>
        <v>0</v>
      </c>
      <c r="BX865" s="10"/>
      <c r="BY865" s="10"/>
      <c r="BZ8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5" s="10" t="e">
        <f>tbl_MTG_Set[[#This Row],[Collector Singles CardMarket Profit BotBox]]/tbl_MTG_Set[[#This Row],[Collector Booster Cost]]</f>
        <v>#N/A</v>
      </c>
      <c r="CC865" s="10" t="b">
        <f>tbl_MTG_Set[[#This Row],[Collector Singles CardMarket Profit BotBox]]&gt;0</f>
        <v>0</v>
      </c>
      <c r="CD8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6" spans="1:86" hidden="1">
      <c r="A866">
        <v>898</v>
      </c>
      <c r="B866" t="s">
        <v>1039</v>
      </c>
      <c r="C866">
        <v>1</v>
      </c>
      <c r="D866" s="3">
        <v>37655</v>
      </c>
      <c r="F866" t="s">
        <v>174</v>
      </c>
      <c r="G866">
        <v>1742</v>
      </c>
      <c r="H866">
        <f ca="1">MONTH(NOW())+12*YEAR(NOW())-MONTH(tbl_MTG_Set[[#This Row],[Released On]])-12*YEAR(tbl_MTG_Set[[#This Row],[Released On]])</f>
        <v>277</v>
      </c>
      <c r="I866" t="str">
        <f>_xlfn.XLOOKUP(tbl_MTG_Set[[#This Row],[Type Name]], tbl_MTG_Set_Type[Set Type], tbl_MTG_Set_Type[Index], "(Set Type not found)")</f>
        <v>(Set Type not found)</v>
      </c>
      <c r="J866" t="str">
        <f>_xlfn.XLOOKUP(tbl_MTG_Set[[#This Row],[Type Name]], tbl_MTG_Set_Type[Set Type], tbl_MTG_Set_Type[Buy Window Month Start], "(Set Type not found)")</f>
        <v>(Set Type not found)</v>
      </c>
      <c r="K866" s="3" t="e">
        <f>tbl_MTG_Set[[#This Row],[Released On]]+tbl_MTG_Set[[#This Row],[Buy Window Month Start]]*365.25/12</f>
        <v>#VALUE!</v>
      </c>
      <c r="L866" t="str">
        <f>_xlfn.XLOOKUP(tbl_MTG_Set[[#This Row],[Type Name]], tbl_MTG_Set_Type[Set Type], tbl_MTG_Set_Type[Buy Window Month End], "(Set Type not found)", 0, 1)</f>
        <v>(Set Type not found)</v>
      </c>
      <c r="M866" s="3" t="e">
        <f>tbl_MTG_Set[[#This Row],[Released On]]+tbl_MTG_Set[[#This Row],[Buy Window Month End]]*365.25/12</f>
        <v>#VALUE!</v>
      </c>
      <c r="N866" s="3" t="e">
        <f ca="1">AND(NOW()&gt;=tbl_MTG_Set[[#This Row],[Buy Window Start]], NOW()&lt;=tbl_MTG_Set[[#This Row],[Buy Window End]])</f>
        <v>#VALUE!</v>
      </c>
      <c r="O866" t="str">
        <f>_xlfn.XLOOKUP(tbl_MTG_Set[[#This Row],[Type Name]], tbl_MTG_Set_Type[Set Type], tbl_MTG_Set_Type[Heavy Printing Window Month Start], "(Set Type not found)", 0, 1)</f>
        <v>(Set Type not found)</v>
      </c>
      <c r="P866" s="3" t="e">
        <f>tbl_MTG_Set[[#This Row],[Released On]]+tbl_MTG_Set[[#This Row],[Heavy Printing Window Month Start]]*365.25/12</f>
        <v>#VALUE!</v>
      </c>
      <c r="Q866" t="str">
        <f>_xlfn.XLOOKUP(tbl_MTG_Set[[#This Row],[Type Name]], tbl_MTG_Set_Type[Set Type], tbl_MTG_Set_Type[Heavy Printing Window Month End], "(Set Type not found)", 0, 1)</f>
        <v>(Set Type not found)</v>
      </c>
      <c r="R866" s="3" t="e">
        <f>tbl_MTG_Set[[#This Row],[Released On]]+tbl_MTG_Set[[#This Row],[Heavy Printing Window Month End]]*365.25/12</f>
        <v>#VALUE!</v>
      </c>
      <c r="S866" s="3" t="e">
        <f ca="1">AND(NOW()&gt;=tbl_MTG_Set[[#This Row],[Heavy Printing Window Start]], NOW()&lt;=tbl_MTG_Set[[#This Row],[Heavy Printing Window End]])</f>
        <v>#VALUE!</v>
      </c>
      <c r="T866" t="str">
        <f>_xlfn.XLOOKUP(tbl_MTG_Set[[#This Row],[Type Name]], tbl_MTG_Set_Type[Set Type], tbl_MTG_Set_Type[Sell Window Month Start], "(Set Type not found)", 0, 1)</f>
        <v>(Set Type not found)</v>
      </c>
      <c r="U866" s="3" t="e">
        <f>tbl_MTG_Set[[#This Row],[Released On]]+tbl_MTG_Set[[#This Row],[Sell Window Month Start]]*365.25/12</f>
        <v>#VALUE!</v>
      </c>
      <c r="V866" t="str">
        <f>_xlfn.XLOOKUP(tbl_MTG_Set[[#This Row],[Type Name]], tbl_MTG_Set_Type[Set Type], tbl_MTG_Set_Type[Sell Window Month End], "(Set Type not found)", 0, 1)</f>
        <v>(Set Type not found)</v>
      </c>
      <c r="W866" s="3" t="e">
        <f>tbl_MTG_Set[[#This Row],[Released On]]+tbl_MTG_Set[[#This Row],[Sell Window Month End]]*365.25/12</f>
        <v>#VALUE!</v>
      </c>
      <c r="X866" s="3" t="e">
        <f ca="1">AND(NOW()&gt;=tbl_MTG_Set[[#This Row],[Sell Window Start]], NOW()&lt;=tbl_MTG_Set[[#This Row],[Sell Window End]])</f>
        <v>#VALUE!</v>
      </c>
      <c r="AG866" s="10"/>
      <c r="AH866" s="10"/>
      <c r="AM866" s="10" t="str" cm="1">
        <f t="array" ref="AM8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6" s="10" t="str" cm="1">
        <f t="array" ref="AN8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6" s="4" t="e">
        <f>_xlfn.XLOOKUP(tbl_MTG_Set[[#This Row],[Play Booster Box Product Id]], tbl_Product[Product Id], tbl_Product[Pack Size])</f>
        <v>#N/A</v>
      </c>
      <c r="AP866" s="10" t="e">
        <f>(tbl_MTG_Set[[#This Row],[Play Booster Box Cost]]+v_Item_Shipping_Cost_In)/tbl_MTG_Set[[#This Row],[Play Booster Box Size]]</f>
        <v>#VALUE!</v>
      </c>
      <c r="AQ866" s="10" t="str" cm="1">
        <f t="array" ref="AQ8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6" s="10"/>
      <c r="AS866" s="10"/>
      <c r="AT866" s="17" t="e">
        <f>tbl_MTG_Set[[#This Row],[Play Booster CardMarket Profit]]/tbl_MTG_Set[[#This Row],[Play Booster Cost]]</f>
        <v>#VALUE!</v>
      </c>
      <c r="AU866" s="10" t="e">
        <f>_xlfn.XLOOKUP(tbl_MTG_Set[[#This Row],[Collector Booster Box Product Id]], tbl_Product[Product Id], tbl_Product[Min Cost])</f>
        <v>#N/A</v>
      </c>
      <c r="AV866" s="10" t="e">
        <f>_xlfn.XLOOKUP(tbl_MTG_Set[[#This Row],[Collector Booster Box Product Id]], tbl_Product[Product Id], tbl_Product[Best Source])</f>
        <v>#N/A</v>
      </c>
      <c r="AW866" s="4" t="e">
        <f>_xlfn.XLOOKUP(tbl_MTG_Set[[#This Row],[Collector Booster Box Product Id]], tbl_Product[Product Id], tbl_Product[Pack Size])</f>
        <v>#N/A</v>
      </c>
      <c r="AX866" s="10" t="e">
        <f>(tbl_MTG_Set[[#This Row],[Collector Booster Box Cost]] + v_Item_Shipping_Cost_In) / tbl_MTG_Set[[#This Row],[Collector Booster Box Size]]</f>
        <v>#N/A</v>
      </c>
      <c r="AY866" s="10" t="str" cm="1">
        <f t="array" ref="AY8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6" s="10"/>
      <c r="BA8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6" s="17" t="e">
        <f>tbl_MTG_Set[[#This Row],[Collector Booster CardMarket Profit]]/tbl_MTG_Set[[#This Row],[Collector Booster Cost]]</f>
        <v>#N/A</v>
      </c>
      <c r="BC866" s="10"/>
      <c r="BF8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6" s="11" t="e">
        <f>tbl_MTG_Set[[#This Row],[Play Singles CardMarket Profit MTG Stocks]]/tbl_MTG_Set[[#This Row],[Play Booster Cost]]</f>
        <v>#VALUE!</v>
      </c>
      <c r="BI866" s="11" t="b">
        <f>tbl_MTG_Set[[#This Row],[Play Singles CardMarket Profit MTG Stocks]]&gt;0</f>
        <v>0</v>
      </c>
      <c r="BM866" s="10" t="e">
        <f>tbl_MTG_Set[[#This Row],[Play Booster Sell Price CardMarket]]*tbl_MTG_Set[[#This Row],[Play Booster Expected Market Value BotBox]]/tbl_MTG_Set[[#This Row],[Play Booster Sealed Market Value BotBox]]</f>
        <v>#VALUE!</v>
      </c>
      <c r="BN8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6" s="10" t="e">
        <f>tbl_MTG_Set[[#This Row],[Play Singles CardMarket Profit BotBox]]/tbl_MTG_Set[[#This Row],[Play Booster Cost]]</f>
        <v>#VALUE!</v>
      </c>
      <c r="BP866" s="10" t="b">
        <f>tbl_MTG_Set[[#This Row],[Play Singles CardMarket Profit BotBox]]&gt;0</f>
        <v>0</v>
      </c>
      <c r="BQ866" s="10"/>
      <c r="BR866" s="10"/>
      <c r="BS866" s="10"/>
      <c r="BT8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6" s="19" t="e">
        <f>tbl_MTG_Set[[#This Row],[Collector Singles CardMarket Profit MTG Stocks]]/tbl_MTG_Set[[#This Row],[Collector Booster Cost]]</f>
        <v>#N/A</v>
      </c>
      <c r="BW866" s="10" t="b">
        <f>tbl_MTG_Set[[#This Row],[Collector Singles CardMarket Profit MTG Stocks]]&gt;0</f>
        <v>0</v>
      </c>
      <c r="BX866" s="10"/>
      <c r="BY866" s="10"/>
      <c r="BZ8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6" s="10" t="e">
        <f>tbl_MTG_Set[[#This Row],[Collector Singles CardMarket Profit BotBox]]/tbl_MTG_Set[[#This Row],[Collector Booster Cost]]</f>
        <v>#N/A</v>
      </c>
      <c r="CC866" s="10" t="b">
        <f>tbl_MTG_Set[[#This Row],[Collector Singles CardMarket Profit BotBox]]&gt;0</f>
        <v>0</v>
      </c>
      <c r="CD8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7" spans="1:86" hidden="1">
      <c r="A867">
        <v>899</v>
      </c>
      <c r="B867" t="s">
        <v>1040</v>
      </c>
      <c r="C867">
        <v>85</v>
      </c>
      <c r="D867" s="3">
        <v>37622</v>
      </c>
      <c r="F867" t="s">
        <v>174</v>
      </c>
      <c r="G867">
        <v>1744</v>
      </c>
      <c r="H867">
        <f ca="1">MONTH(NOW())+12*YEAR(NOW())-MONTH(tbl_MTG_Set[[#This Row],[Released On]])-12*YEAR(tbl_MTG_Set[[#This Row],[Released On]])</f>
        <v>278</v>
      </c>
      <c r="I867" t="str">
        <f>_xlfn.XLOOKUP(tbl_MTG_Set[[#This Row],[Type Name]], tbl_MTG_Set_Type[Set Type], tbl_MTG_Set_Type[Index], "(Set Type not found)")</f>
        <v>(Set Type not found)</v>
      </c>
      <c r="J867" t="str">
        <f>_xlfn.XLOOKUP(tbl_MTG_Set[[#This Row],[Type Name]], tbl_MTG_Set_Type[Set Type], tbl_MTG_Set_Type[Buy Window Month Start], "(Set Type not found)")</f>
        <v>(Set Type not found)</v>
      </c>
      <c r="K867" s="3" t="e">
        <f>tbl_MTG_Set[[#This Row],[Released On]]+tbl_MTG_Set[[#This Row],[Buy Window Month Start]]*365.25/12</f>
        <v>#VALUE!</v>
      </c>
      <c r="L867" t="str">
        <f>_xlfn.XLOOKUP(tbl_MTG_Set[[#This Row],[Type Name]], tbl_MTG_Set_Type[Set Type], tbl_MTG_Set_Type[Buy Window Month End], "(Set Type not found)", 0, 1)</f>
        <v>(Set Type not found)</v>
      </c>
      <c r="M867" s="3" t="e">
        <f>tbl_MTG_Set[[#This Row],[Released On]]+tbl_MTG_Set[[#This Row],[Buy Window Month End]]*365.25/12</f>
        <v>#VALUE!</v>
      </c>
      <c r="N867" s="3" t="e">
        <f ca="1">AND(NOW()&gt;=tbl_MTG_Set[[#This Row],[Buy Window Start]], NOW()&lt;=tbl_MTG_Set[[#This Row],[Buy Window End]])</f>
        <v>#VALUE!</v>
      </c>
      <c r="O867" t="str">
        <f>_xlfn.XLOOKUP(tbl_MTG_Set[[#This Row],[Type Name]], tbl_MTG_Set_Type[Set Type], tbl_MTG_Set_Type[Heavy Printing Window Month Start], "(Set Type not found)", 0, 1)</f>
        <v>(Set Type not found)</v>
      </c>
      <c r="P867" s="3" t="e">
        <f>tbl_MTG_Set[[#This Row],[Released On]]+tbl_MTG_Set[[#This Row],[Heavy Printing Window Month Start]]*365.25/12</f>
        <v>#VALUE!</v>
      </c>
      <c r="Q867" t="str">
        <f>_xlfn.XLOOKUP(tbl_MTG_Set[[#This Row],[Type Name]], tbl_MTG_Set_Type[Set Type], tbl_MTG_Set_Type[Heavy Printing Window Month End], "(Set Type not found)", 0, 1)</f>
        <v>(Set Type not found)</v>
      </c>
      <c r="R867" s="3" t="e">
        <f>tbl_MTG_Set[[#This Row],[Released On]]+tbl_MTG_Set[[#This Row],[Heavy Printing Window Month End]]*365.25/12</f>
        <v>#VALUE!</v>
      </c>
      <c r="S867" s="3" t="e">
        <f ca="1">AND(NOW()&gt;=tbl_MTG_Set[[#This Row],[Heavy Printing Window Start]], NOW()&lt;=tbl_MTG_Set[[#This Row],[Heavy Printing Window End]])</f>
        <v>#VALUE!</v>
      </c>
      <c r="T867" t="str">
        <f>_xlfn.XLOOKUP(tbl_MTG_Set[[#This Row],[Type Name]], tbl_MTG_Set_Type[Set Type], tbl_MTG_Set_Type[Sell Window Month Start], "(Set Type not found)", 0, 1)</f>
        <v>(Set Type not found)</v>
      </c>
      <c r="U867" s="3" t="e">
        <f>tbl_MTG_Set[[#This Row],[Released On]]+tbl_MTG_Set[[#This Row],[Sell Window Month Start]]*365.25/12</f>
        <v>#VALUE!</v>
      </c>
      <c r="V867" t="str">
        <f>_xlfn.XLOOKUP(tbl_MTG_Set[[#This Row],[Type Name]], tbl_MTG_Set_Type[Set Type], tbl_MTG_Set_Type[Sell Window Month End], "(Set Type not found)", 0, 1)</f>
        <v>(Set Type not found)</v>
      </c>
      <c r="W867" s="3" t="e">
        <f>tbl_MTG_Set[[#This Row],[Released On]]+tbl_MTG_Set[[#This Row],[Sell Window Month End]]*365.25/12</f>
        <v>#VALUE!</v>
      </c>
      <c r="X867" s="3" t="e">
        <f ca="1">AND(NOW()&gt;=tbl_MTG_Set[[#This Row],[Sell Window Start]], NOW()&lt;=tbl_MTG_Set[[#This Row],[Sell Window End]])</f>
        <v>#VALUE!</v>
      </c>
      <c r="AG867" s="10"/>
      <c r="AH867" s="10"/>
      <c r="AM867" s="10" t="str" cm="1">
        <f t="array" ref="AM8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7" s="10" t="str" cm="1">
        <f t="array" ref="AN8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7" s="4" t="e">
        <f>_xlfn.XLOOKUP(tbl_MTG_Set[[#This Row],[Play Booster Box Product Id]], tbl_Product[Product Id], tbl_Product[Pack Size])</f>
        <v>#N/A</v>
      </c>
      <c r="AP867" s="10" t="e">
        <f>(tbl_MTG_Set[[#This Row],[Play Booster Box Cost]]+v_Item_Shipping_Cost_In)/tbl_MTG_Set[[#This Row],[Play Booster Box Size]]</f>
        <v>#VALUE!</v>
      </c>
      <c r="AQ867" s="10" t="str" cm="1">
        <f t="array" ref="AQ8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7" s="10"/>
      <c r="AS867" s="10"/>
      <c r="AT867" s="17" t="e">
        <f>tbl_MTG_Set[[#This Row],[Play Booster CardMarket Profit]]/tbl_MTG_Set[[#This Row],[Play Booster Cost]]</f>
        <v>#VALUE!</v>
      </c>
      <c r="AU867" s="10" t="e">
        <f>_xlfn.XLOOKUP(tbl_MTG_Set[[#This Row],[Collector Booster Box Product Id]], tbl_Product[Product Id], tbl_Product[Min Cost])</f>
        <v>#N/A</v>
      </c>
      <c r="AV867" s="10" t="e">
        <f>_xlfn.XLOOKUP(tbl_MTG_Set[[#This Row],[Collector Booster Box Product Id]], tbl_Product[Product Id], tbl_Product[Best Source])</f>
        <v>#N/A</v>
      </c>
      <c r="AW867" s="4" t="e">
        <f>_xlfn.XLOOKUP(tbl_MTG_Set[[#This Row],[Collector Booster Box Product Id]], tbl_Product[Product Id], tbl_Product[Pack Size])</f>
        <v>#N/A</v>
      </c>
      <c r="AX867" s="10" t="e">
        <f>(tbl_MTG_Set[[#This Row],[Collector Booster Box Cost]] + v_Item_Shipping_Cost_In) / tbl_MTG_Set[[#This Row],[Collector Booster Box Size]]</f>
        <v>#N/A</v>
      </c>
      <c r="AY867" s="10" t="str" cm="1">
        <f t="array" ref="AY8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7" s="10"/>
      <c r="BA8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7" s="17" t="e">
        <f>tbl_MTG_Set[[#This Row],[Collector Booster CardMarket Profit]]/tbl_MTG_Set[[#This Row],[Collector Booster Cost]]</f>
        <v>#N/A</v>
      </c>
      <c r="BC867" s="10"/>
      <c r="BF8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7" s="11" t="e">
        <f>tbl_MTG_Set[[#This Row],[Play Singles CardMarket Profit MTG Stocks]]/tbl_MTG_Set[[#This Row],[Play Booster Cost]]</f>
        <v>#VALUE!</v>
      </c>
      <c r="BI867" s="11" t="b">
        <f>tbl_MTG_Set[[#This Row],[Play Singles CardMarket Profit MTG Stocks]]&gt;0</f>
        <v>0</v>
      </c>
      <c r="BM867" s="10" t="e">
        <f>tbl_MTG_Set[[#This Row],[Play Booster Sell Price CardMarket]]*tbl_MTG_Set[[#This Row],[Play Booster Expected Market Value BotBox]]/tbl_MTG_Set[[#This Row],[Play Booster Sealed Market Value BotBox]]</f>
        <v>#VALUE!</v>
      </c>
      <c r="BN8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7" s="10" t="e">
        <f>tbl_MTG_Set[[#This Row],[Play Singles CardMarket Profit BotBox]]/tbl_MTG_Set[[#This Row],[Play Booster Cost]]</f>
        <v>#VALUE!</v>
      </c>
      <c r="BP867" s="10" t="b">
        <f>tbl_MTG_Set[[#This Row],[Play Singles CardMarket Profit BotBox]]&gt;0</f>
        <v>0</v>
      </c>
      <c r="BQ867" s="10"/>
      <c r="BR867" s="10"/>
      <c r="BS867" s="10"/>
      <c r="BT8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7" s="19" t="e">
        <f>tbl_MTG_Set[[#This Row],[Collector Singles CardMarket Profit MTG Stocks]]/tbl_MTG_Set[[#This Row],[Collector Booster Cost]]</f>
        <v>#N/A</v>
      </c>
      <c r="BW867" s="10" t="b">
        <f>tbl_MTG_Set[[#This Row],[Collector Singles CardMarket Profit MTG Stocks]]&gt;0</f>
        <v>0</v>
      </c>
      <c r="BX867" s="10"/>
      <c r="BY867" s="10"/>
      <c r="BZ8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7" s="10" t="e">
        <f>tbl_MTG_Set[[#This Row],[Collector Singles CardMarket Profit BotBox]]/tbl_MTG_Set[[#This Row],[Collector Booster Cost]]</f>
        <v>#N/A</v>
      </c>
      <c r="CC867" s="10" t="b">
        <f>tbl_MTG_Set[[#This Row],[Collector Singles CardMarket Profit BotBox]]&gt;0</f>
        <v>0</v>
      </c>
      <c r="CD8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8" spans="1:86" hidden="1">
      <c r="A868">
        <v>900</v>
      </c>
      <c r="B868" t="s">
        <v>1041</v>
      </c>
      <c r="C868">
        <v>12</v>
      </c>
      <c r="D868" s="3">
        <v>37622</v>
      </c>
      <c r="F868" t="s">
        <v>174</v>
      </c>
      <c r="G868">
        <v>1746</v>
      </c>
      <c r="H868">
        <f ca="1">MONTH(NOW())+12*YEAR(NOW())-MONTH(tbl_MTG_Set[[#This Row],[Released On]])-12*YEAR(tbl_MTG_Set[[#This Row],[Released On]])</f>
        <v>278</v>
      </c>
      <c r="I868" t="str">
        <f>_xlfn.XLOOKUP(tbl_MTG_Set[[#This Row],[Type Name]], tbl_MTG_Set_Type[Set Type], tbl_MTG_Set_Type[Index], "(Set Type not found)")</f>
        <v>(Set Type not found)</v>
      </c>
      <c r="J868" t="str">
        <f>_xlfn.XLOOKUP(tbl_MTG_Set[[#This Row],[Type Name]], tbl_MTG_Set_Type[Set Type], tbl_MTG_Set_Type[Buy Window Month Start], "(Set Type not found)")</f>
        <v>(Set Type not found)</v>
      </c>
      <c r="K868" s="3" t="e">
        <f>tbl_MTG_Set[[#This Row],[Released On]]+tbl_MTG_Set[[#This Row],[Buy Window Month Start]]*365.25/12</f>
        <v>#VALUE!</v>
      </c>
      <c r="L868" t="str">
        <f>_xlfn.XLOOKUP(tbl_MTG_Set[[#This Row],[Type Name]], tbl_MTG_Set_Type[Set Type], tbl_MTG_Set_Type[Buy Window Month End], "(Set Type not found)", 0, 1)</f>
        <v>(Set Type not found)</v>
      </c>
      <c r="M868" s="3" t="e">
        <f>tbl_MTG_Set[[#This Row],[Released On]]+tbl_MTG_Set[[#This Row],[Buy Window Month End]]*365.25/12</f>
        <v>#VALUE!</v>
      </c>
      <c r="N868" s="3" t="e">
        <f ca="1">AND(NOW()&gt;=tbl_MTG_Set[[#This Row],[Buy Window Start]], NOW()&lt;=tbl_MTG_Set[[#This Row],[Buy Window End]])</f>
        <v>#VALUE!</v>
      </c>
      <c r="O868" t="str">
        <f>_xlfn.XLOOKUP(tbl_MTG_Set[[#This Row],[Type Name]], tbl_MTG_Set_Type[Set Type], tbl_MTG_Set_Type[Heavy Printing Window Month Start], "(Set Type not found)", 0, 1)</f>
        <v>(Set Type not found)</v>
      </c>
      <c r="P868" s="3" t="e">
        <f>tbl_MTG_Set[[#This Row],[Released On]]+tbl_MTG_Set[[#This Row],[Heavy Printing Window Month Start]]*365.25/12</f>
        <v>#VALUE!</v>
      </c>
      <c r="Q868" t="str">
        <f>_xlfn.XLOOKUP(tbl_MTG_Set[[#This Row],[Type Name]], tbl_MTG_Set_Type[Set Type], tbl_MTG_Set_Type[Heavy Printing Window Month End], "(Set Type not found)", 0, 1)</f>
        <v>(Set Type not found)</v>
      </c>
      <c r="R868" s="3" t="e">
        <f>tbl_MTG_Set[[#This Row],[Released On]]+tbl_MTG_Set[[#This Row],[Heavy Printing Window Month End]]*365.25/12</f>
        <v>#VALUE!</v>
      </c>
      <c r="S868" s="3" t="e">
        <f ca="1">AND(NOW()&gt;=tbl_MTG_Set[[#This Row],[Heavy Printing Window Start]], NOW()&lt;=tbl_MTG_Set[[#This Row],[Heavy Printing Window End]])</f>
        <v>#VALUE!</v>
      </c>
      <c r="T868" t="str">
        <f>_xlfn.XLOOKUP(tbl_MTG_Set[[#This Row],[Type Name]], tbl_MTG_Set_Type[Set Type], tbl_MTG_Set_Type[Sell Window Month Start], "(Set Type not found)", 0, 1)</f>
        <v>(Set Type not found)</v>
      </c>
      <c r="U868" s="3" t="e">
        <f>tbl_MTG_Set[[#This Row],[Released On]]+tbl_MTG_Set[[#This Row],[Sell Window Month Start]]*365.25/12</f>
        <v>#VALUE!</v>
      </c>
      <c r="V868" t="str">
        <f>_xlfn.XLOOKUP(tbl_MTG_Set[[#This Row],[Type Name]], tbl_MTG_Set_Type[Set Type], tbl_MTG_Set_Type[Sell Window Month End], "(Set Type not found)", 0, 1)</f>
        <v>(Set Type not found)</v>
      </c>
      <c r="W868" s="3" t="e">
        <f>tbl_MTG_Set[[#This Row],[Released On]]+tbl_MTG_Set[[#This Row],[Sell Window Month End]]*365.25/12</f>
        <v>#VALUE!</v>
      </c>
      <c r="X868" s="3" t="e">
        <f ca="1">AND(NOW()&gt;=tbl_MTG_Set[[#This Row],[Sell Window Start]], NOW()&lt;=tbl_MTG_Set[[#This Row],[Sell Window End]])</f>
        <v>#VALUE!</v>
      </c>
      <c r="AG868" s="10"/>
      <c r="AH868" s="10"/>
      <c r="AM868" s="10" t="str" cm="1">
        <f t="array" ref="AM8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8" s="10" t="str" cm="1">
        <f t="array" ref="AN8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8" s="4" t="e">
        <f>_xlfn.XLOOKUP(tbl_MTG_Set[[#This Row],[Play Booster Box Product Id]], tbl_Product[Product Id], tbl_Product[Pack Size])</f>
        <v>#N/A</v>
      </c>
      <c r="AP868" s="10" t="e">
        <f>(tbl_MTG_Set[[#This Row],[Play Booster Box Cost]]+v_Item_Shipping_Cost_In)/tbl_MTG_Set[[#This Row],[Play Booster Box Size]]</f>
        <v>#VALUE!</v>
      </c>
      <c r="AQ868" s="10" t="str" cm="1">
        <f t="array" ref="AQ8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8" s="10"/>
      <c r="AS868" s="10"/>
      <c r="AT868" s="17" t="e">
        <f>tbl_MTG_Set[[#This Row],[Play Booster CardMarket Profit]]/tbl_MTG_Set[[#This Row],[Play Booster Cost]]</f>
        <v>#VALUE!</v>
      </c>
      <c r="AU868" s="10" t="e">
        <f>_xlfn.XLOOKUP(tbl_MTG_Set[[#This Row],[Collector Booster Box Product Id]], tbl_Product[Product Id], tbl_Product[Min Cost])</f>
        <v>#N/A</v>
      </c>
      <c r="AV868" s="10" t="e">
        <f>_xlfn.XLOOKUP(tbl_MTG_Set[[#This Row],[Collector Booster Box Product Id]], tbl_Product[Product Id], tbl_Product[Best Source])</f>
        <v>#N/A</v>
      </c>
      <c r="AW868" s="4" t="e">
        <f>_xlfn.XLOOKUP(tbl_MTG_Set[[#This Row],[Collector Booster Box Product Id]], tbl_Product[Product Id], tbl_Product[Pack Size])</f>
        <v>#N/A</v>
      </c>
      <c r="AX868" s="10" t="e">
        <f>(tbl_MTG_Set[[#This Row],[Collector Booster Box Cost]] + v_Item_Shipping_Cost_In) / tbl_MTG_Set[[#This Row],[Collector Booster Box Size]]</f>
        <v>#N/A</v>
      </c>
      <c r="AY868" s="10" t="str" cm="1">
        <f t="array" ref="AY8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8" s="10"/>
      <c r="BA8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8" s="17" t="e">
        <f>tbl_MTG_Set[[#This Row],[Collector Booster CardMarket Profit]]/tbl_MTG_Set[[#This Row],[Collector Booster Cost]]</f>
        <v>#N/A</v>
      </c>
      <c r="BC868" s="10"/>
      <c r="BF8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8" s="11" t="e">
        <f>tbl_MTG_Set[[#This Row],[Play Singles CardMarket Profit MTG Stocks]]/tbl_MTG_Set[[#This Row],[Play Booster Cost]]</f>
        <v>#VALUE!</v>
      </c>
      <c r="BI868" s="11" t="b">
        <f>tbl_MTG_Set[[#This Row],[Play Singles CardMarket Profit MTG Stocks]]&gt;0</f>
        <v>0</v>
      </c>
      <c r="BM868" s="10" t="e">
        <f>tbl_MTG_Set[[#This Row],[Play Booster Sell Price CardMarket]]*tbl_MTG_Set[[#This Row],[Play Booster Expected Market Value BotBox]]/tbl_MTG_Set[[#This Row],[Play Booster Sealed Market Value BotBox]]</f>
        <v>#VALUE!</v>
      </c>
      <c r="BN8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8" s="10" t="e">
        <f>tbl_MTG_Set[[#This Row],[Play Singles CardMarket Profit BotBox]]/tbl_MTG_Set[[#This Row],[Play Booster Cost]]</f>
        <v>#VALUE!</v>
      </c>
      <c r="BP868" s="10" t="b">
        <f>tbl_MTG_Set[[#This Row],[Play Singles CardMarket Profit BotBox]]&gt;0</f>
        <v>0</v>
      </c>
      <c r="BQ868" s="10"/>
      <c r="BR868" s="10"/>
      <c r="BS868" s="10"/>
      <c r="BT8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8" s="19" t="e">
        <f>tbl_MTG_Set[[#This Row],[Collector Singles CardMarket Profit MTG Stocks]]/tbl_MTG_Set[[#This Row],[Collector Booster Cost]]</f>
        <v>#N/A</v>
      </c>
      <c r="BW868" s="10" t="b">
        <f>tbl_MTG_Set[[#This Row],[Collector Singles CardMarket Profit MTG Stocks]]&gt;0</f>
        <v>0</v>
      </c>
      <c r="BX868" s="10"/>
      <c r="BY868" s="10"/>
      <c r="BZ8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8" s="10" t="e">
        <f>tbl_MTG_Set[[#This Row],[Collector Singles CardMarket Profit BotBox]]/tbl_MTG_Set[[#This Row],[Collector Booster Cost]]</f>
        <v>#N/A</v>
      </c>
      <c r="CC868" s="10" t="b">
        <f>tbl_MTG_Set[[#This Row],[Collector Singles CardMarket Profit BotBox]]&gt;0</f>
        <v>0</v>
      </c>
      <c r="CD8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69" spans="1:86" hidden="1">
      <c r="A869">
        <v>901</v>
      </c>
      <c r="B869" t="s">
        <v>1042</v>
      </c>
      <c r="C869">
        <v>8</v>
      </c>
      <c r="D869" s="3">
        <v>37622</v>
      </c>
      <c r="F869" t="s">
        <v>174</v>
      </c>
      <c r="G869">
        <v>1748</v>
      </c>
      <c r="H869">
        <f ca="1">MONTH(NOW())+12*YEAR(NOW())-MONTH(tbl_MTG_Set[[#This Row],[Released On]])-12*YEAR(tbl_MTG_Set[[#This Row],[Released On]])</f>
        <v>278</v>
      </c>
      <c r="I869" t="str">
        <f>_xlfn.XLOOKUP(tbl_MTG_Set[[#This Row],[Type Name]], tbl_MTG_Set_Type[Set Type], tbl_MTG_Set_Type[Index], "(Set Type not found)")</f>
        <v>(Set Type not found)</v>
      </c>
      <c r="J869" t="str">
        <f>_xlfn.XLOOKUP(tbl_MTG_Set[[#This Row],[Type Name]], tbl_MTG_Set_Type[Set Type], tbl_MTG_Set_Type[Buy Window Month Start], "(Set Type not found)")</f>
        <v>(Set Type not found)</v>
      </c>
      <c r="K869" s="3" t="e">
        <f>tbl_MTG_Set[[#This Row],[Released On]]+tbl_MTG_Set[[#This Row],[Buy Window Month Start]]*365.25/12</f>
        <v>#VALUE!</v>
      </c>
      <c r="L869" t="str">
        <f>_xlfn.XLOOKUP(tbl_MTG_Set[[#This Row],[Type Name]], tbl_MTG_Set_Type[Set Type], tbl_MTG_Set_Type[Buy Window Month End], "(Set Type not found)", 0, 1)</f>
        <v>(Set Type not found)</v>
      </c>
      <c r="M869" s="3" t="e">
        <f>tbl_MTG_Set[[#This Row],[Released On]]+tbl_MTG_Set[[#This Row],[Buy Window Month End]]*365.25/12</f>
        <v>#VALUE!</v>
      </c>
      <c r="N869" s="3" t="e">
        <f ca="1">AND(NOW()&gt;=tbl_MTG_Set[[#This Row],[Buy Window Start]], NOW()&lt;=tbl_MTG_Set[[#This Row],[Buy Window End]])</f>
        <v>#VALUE!</v>
      </c>
      <c r="O869" t="str">
        <f>_xlfn.XLOOKUP(tbl_MTG_Set[[#This Row],[Type Name]], tbl_MTG_Set_Type[Set Type], tbl_MTG_Set_Type[Heavy Printing Window Month Start], "(Set Type not found)", 0, 1)</f>
        <v>(Set Type not found)</v>
      </c>
      <c r="P869" s="3" t="e">
        <f>tbl_MTG_Set[[#This Row],[Released On]]+tbl_MTG_Set[[#This Row],[Heavy Printing Window Month Start]]*365.25/12</f>
        <v>#VALUE!</v>
      </c>
      <c r="Q869" t="str">
        <f>_xlfn.XLOOKUP(tbl_MTG_Set[[#This Row],[Type Name]], tbl_MTG_Set_Type[Set Type], tbl_MTG_Set_Type[Heavy Printing Window Month End], "(Set Type not found)", 0, 1)</f>
        <v>(Set Type not found)</v>
      </c>
      <c r="R869" s="3" t="e">
        <f>tbl_MTG_Set[[#This Row],[Released On]]+tbl_MTG_Set[[#This Row],[Heavy Printing Window Month End]]*365.25/12</f>
        <v>#VALUE!</v>
      </c>
      <c r="S869" s="3" t="e">
        <f ca="1">AND(NOW()&gt;=tbl_MTG_Set[[#This Row],[Heavy Printing Window Start]], NOW()&lt;=tbl_MTG_Set[[#This Row],[Heavy Printing Window End]])</f>
        <v>#VALUE!</v>
      </c>
      <c r="T869" t="str">
        <f>_xlfn.XLOOKUP(tbl_MTG_Set[[#This Row],[Type Name]], tbl_MTG_Set_Type[Set Type], tbl_MTG_Set_Type[Sell Window Month Start], "(Set Type not found)", 0, 1)</f>
        <v>(Set Type not found)</v>
      </c>
      <c r="U869" s="3" t="e">
        <f>tbl_MTG_Set[[#This Row],[Released On]]+tbl_MTG_Set[[#This Row],[Sell Window Month Start]]*365.25/12</f>
        <v>#VALUE!</v>
      </c>
      <c r="V869" t="str">
        <f>_xlfn.XLOOKUP(tbl_MTG_Set[[#This Row],[Type Name]], tbl_MTG_Set_Type[Set Type], tbl_MTG_Set_Type[Sell Window Month End], "(Set Type not found)", 0, 1)</f>
        <v>(Set Type not found)</v>
      </c>
      <c r="W869" s="3" t="e">
        <f>tbl_MTG_Set[[#This Row],[Released On]]+tbl_MTG_Set[[#This Row],[Sell Window Month End]]*365.25/12</f>
        <v>#VALUE!</v>
      </c>
      <c r="X869" s="3" t="e">
        <f ca="1">AND(NOW()&gt;=tbl_MTG_Set[[#This Row],[Sell Window Start]], NOW()&lt;=tbl_MTG_Set[[#This Row],[Sell Window End]])</f>
        <v>#VALUE!</v>
      </c>
      <c r="AG869" s="10"/>
      <c r="AH869" s="10"/>
      <c r="AM869" s="10" t="str" cm="1">
        <f t="array" ref="AM8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69" s="10" t="str" cm="1">
        <f t="array" ref="AN8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69" s="4" t="e">
        <f>_xlfn.XLOOKUP(tbl_MTG_Set[[#This Row],[Play Booster Box Product Id]], tbl_Product[Product Id], tbl_Product[Pack Size])</f>
        <v>#N/A</v>
      </c>
      <c r="AP869" s="10" t="e">
        <f>(tbl_MTG_Set[[#This Row],[Play Booster Box Cost]]+v_Item_Shipping_Cost_In)/tbl_MTG_Set[[#This Row],[Play Booster Box Size]]</f>
        <v>#VALUE!</v>
      </c>
      <c r="AQ869" s="10" t="str" cm="1">
        <f t="array" ref="AQ8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69" s="10"/>
      <c r="AS869" s="10"/>
      <c r="AT869" s="17" t="e">
        <f>tbl_MTG_Set[[#This Row],[Play Booster CardMarket Profit]]/tbl_MTG_Set[[#This Row],[Play Booster Cost]]</f>
        <v>#VALUE!</v>
      </c>
      <c r="AU869" s="10" t="e">
        <f>_xlfn.XLOOKUP(tbl_MTG_Set[[#This Row],[Collector Booster Box Product Id]], tbl_Product[Product Id], tbl_Product[Min Cost])</f>
        <v>#N/A</v>
      </c>
      <c r="AV869" s="10" t="e">
        <f>_xlfn.XLOOKUP(tbl_MTG_Set[[#This Row],[Collector Booster Box Product Id]], tbl_Product[Product Id], tbl_Product[Best Source])</f>
        <v>#N/A</v>
      </c>
      <c r="AW869" s="4" t="e">
        <f>_xlfn.XLOOKUP(tbl_MTG_Set[[#This Row],[Collector Booster Box Product Id]], tbl_Product[Product Id], tbl_Product[Pack Size])</f>
        <v>#N/A</v>
      </c>
      <c r="AX869" s="10" t="e">
        <f>(tbl_MTG_Set[[#This Row],[Collector Booster Box Cost]] + v_Item_Shipping_Cost_In) / tbl_MTG_Set[[#This Row],[Collector Booster Box Size]]</f>
        <v>#N/A</v>
      </c>
      <c r="AY869" s="10" t="str" cm="1">
        <f t="array" ref="AY8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69" s="10"/>
      <c r="BA8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69" s="17" t="e">
        <f>tbl_MTG_Set[[#This Row],[Collector Booster CardMarket Profit]]/tbl_MTG_Set[[#This Row],[Collector Booster Cost]]</f>
        <v>#N/A</v>
      </c>
      <c r="BC869" s="10"/>
      <c r="BF8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69" s="11" t="e">
        <f>tbl_MTG_Set[[#This Row],[Play Singles CardMarket Profit MTG Stocks]]/tbl_MTG_Set[[#This Row],[Play Booster Cost]]</f>
        <v>#VALUE!</v>
      </c>
      <c r="BI869" s="11" t="b">
        <f>tbl_MTG_Set[[#This Row],[Play Singles CardMarket Profit MTG Stocks]]&gt;0</f>
        <v>0</v>
      </c>
      <c r="BM869" s="10" t="e">
        <f>tbl_MTG_Set[[#This Row],[Play Booster Sell Price CardMarket]]*tbl_MTG_Set[[#This Row],[Play Booster Expected Market Value BotBox]]/tbl_MTG_Set[[#This Row],[Play Booster Sealed Market Value BotBox]]</f>
        <v>#VALUE!</v>
      </c>
      <c r="BN8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69" s="10" t="e">
        <f>tbl_MTG_Set[[#This Row],[Play Singles CardMarket Profit BotBox]]/tbl_MTG_Set[[#This Row],[Play Booster Cost]]</f>
        <v>#VALUE!</v>
      </c>
      <c r="BP869" s="10" t="b">
        <f>tbl_MTG_Set[[#This Row],[Play Singles CardMarket Profit BotBox]]&gt;0</f>
        <v>0</v>
      </c>
      <c r="BQ869" s="10"/>
      <c r="BR869" s="10"/>
      <c r="BS869" s="10"/>
      <c r="BT8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69" s="19" t="e">
        <f>tbl_MTG_Set[[#This Row],[Collector Singles CardMarket Profit MTG Stocks]]/tbl_MTG_Set[[#This Row],[Collector Booster Cost]]</f>
        <v>#N/A</v>
      </c>
      <c r="BW869" s="10" t="b">
        <f>tbl_MTG_Set[[#This Row],[Collector Singles CardMarket Profit MTG Stocks]]&gt;0</f>
        <v>0</v>
      </c>
      <c r="BX869" s="10"/>
      <c r="BY869" s="10"/>
      <c r="BZ8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69" s="10" t="e">
        <f>tbl_MTG_Set[[#This Row],[Collector Singles CardMarket Profit BotBox]]/tbl_MTG_Set[[#This Row],[Collector Booster Cost]]</f>
        <v>#N/A</v>
      </c>
      <c r="CC869" s="10" t="b">
        <f>tbl_MTG_Set[[#This Row],[Collector Singles CardMarket Profit BotBox]]&gt;0</f>
        <v>0</v>
      </c>
      <c r="CD8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0" spans="1:86" hidden="1">
      <c r="A870">
        <v>902</v>
      </c>
      <c r="B870" t="s">
        <v>1043</v>
      </c>
      <c r="C870">
        <v>3</v>
      </c>
      <c r="D870" s="3">
        <v>37622</v>
      </c>
      <c r="F870" t="s">
        <v>174</v>
      </c>
      <c r="G870">
        <v>1750</v>
      </c>
      <c r="H870">
        <f ca="1">MONTH(NOW())+12*YEAR(NOW())-MONTH(tbl_MTG_Set[[#This Row],[Released On]])-12*YEAR(tbl_MTG_Set[[#This Row],[Released On]])</f>
        <v>278</v>
      </c>
      <c r="I870" t="str">
        <f>_xlfn.XLOOKUP(tbl_MTG_Set[[#This Row],[Type Name]], tbl_MTG_Set_Type[Set Type], tbl_MTG_Set_Type[Index], "(Set Type not found)")</f>
        <v>(Set Type not found)</v>
      </c>
      <c r="J870" t="str">
        <f>_xlfn.XLOOKUP(tbl_MTG_Set[[#This Row],[Type Name]], tbl_MTG_Set_Type[Set Type], tbl_MTG_Set_Type[Buy Window Month Start], "(Set Type not found)")</f>
        <v>(Set Type not found)</v>
      </c>
      <c r="K870" s="3" t="e">
        <f>tbl_MTG_Set[[#This Row],[Released On]]+tbl_MTG_Set[[#This Row],[Buy Window Month Start]]*365.25/12</f>
        <v>#VALUE!</v>
      </c>
      <c r="L870" t="str">
        <f>_xlfn.XLOOKUP(tbl_MTG_Set[[#This Row],[Type Name]], tbl_MTG_Set_Type[Set Type], tbl_MTG_Set_Type[Buy Window Month End], "(Set Type not found)", 0, 1)</f>
        <v>(Set Type not found)</v>
      </c>
      <c r="M870" s="3" t="e">
        <f>tbl_MTG_Set[[#This Row],[Released On]]+tbl_MTG_Set[[#This Row],[Buy Window Month End]]*365.25/12</f>
        <v>#VALUE!</v>
      </c>
      <c r="N870" s="3" t="e">
        <f ca="1">AND(NOW()&gt;=tbl_MTG_Set[[#This Row],[Buy Window Start]], NOW()&lt;=tbl_MTG_Set[[#This Row],[Buy Window End]])</f>
        <v>#VALUE!</v>
      </c>
      <c r="O870" t="str">
        <f>_xlfn.XLOOKUP(tbl_MTG_Set[[#This Row],[Type Name]], tbl_MTG_Set_Type[Set Type], tbl_MTG_Set_Type[Heavy Printing Window Month Start], "(Set Type not found)", 0, 1)</f>
        <v>(Set Type not found)</v>
      </c>
      <c r="P870" s="3" t="e">
        <f>tbl_MTG_Set[[#This Row],[Released On]]+tbl_MTG_Set[[#This Row],[Heavy Printing Window Month Start]]*365.25/12</f>
        <v>#VALUE!</v>
      </c>
      <c r="Q870" t="str">
        <f>_xlfn.XLOOKUP(tbl_MTG_Set[[#This Row],[Type Name]], tbl_MTG_Set_Type[Set Type], tbl_MTG_Set_Type[Heavy Printing Window Month End], "(Set Type not found)", 0, 1)</f>
        <v>(Set Type not found)</v>
      </c>
      <c r="R870" s="3" t="e">
        <f>tbl_MTG_Set[[#This Row],[Released On]]+tbl_MTG_Set[[#This Row],[Heavy Printing Window Month End]]*365.25/12</f>
        <v>#VALUE!</v>
      </c>
      <c r="S870" s="3" t="e">
        <f ca="1">AND(NOW()&gt;=tbl_MTG_Set[[#This Row],[Heavy Printing Window Start]], NOW()&lt;=tbl_MTG_Set[[#This Row],[Heavy Printing Window End]])</f>
        <v>#VALUE!</v>
      </c>
      <c r="T870" t="str">
        <f>_xlfn.XLOOKUP(tbl_MTG_Set[[#This Row],[Type Name]], tbl_MTG_Set_Type[Set Type], tbl_MTG_Set_Type[Sell Window Month Start], "(Set Type not found)", 0, 1)</f>
        <v>(Set Type not found)</v>
      </c>
      <c r="U870" s="3" t="e">
        <f>tbl_MTG_Set[[#This Row],[Released On]]+tbl_MTG_Set[[#This Row],[Sell Window Month Start]]*365.25/12</f>
        <v>#VALUE!</v>
      </c>
      <c r="V870" t="str">
        <f>_xlfn.XLOOKUP(tbl_MTG_Set[[#This Row],[Type Name]], tbl_MTG_Set_Type[Set Type], tbl_MTG_Set_Type[Sell Window Month End], "(Set Type not found)", 0, 1)</f>
        <v>(Set Type not found)</v>
      </c>
      <c r="W870" s="3" t="e">
        <f>tbl_MTG_Set[[#This Row],[Released On]]+tbl_MTG_Set[[#This Row],[Sell Window Month End]]*365.25/12</f>
        <v>#VALUE!</v>
      </c>
      <c r="X870" s="3" t="e">
        <f ca="1">AND(NOW()&gt;=tbl_MTG_Set[[#This Row],[Sell Window Start]], NOW()&lt;=tbl_MTG_Set[[#This Row],[Sell Window End]])</f>
        <v>#VALUE!</v>
      </c>
      <c r="AG870" s="10"/>
      <c r="AH870" s="10"/>
      <c r="AM870" s="10" t="str" cm="1">
        <f t="array" ref="AM8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0" s="10" t="str" cm="1">
        <f t="array" ref="AN8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0" s="4" t="e">
        <f>_xlfn.XLOOKUP(tbl_MTG_Set[[#This Row],[Play Booster Box Product Id]], tbl_Product[Product Id], tbl_Product[Pack Size])</f>
        <v>#N/A</v>
      </c>
      <c r="AP870" s="10" t="e">
        <f>(tbl_MTG_Set[[#This Row],[Play Booster Box Cost]]+v_Item_Shipping_Cost_In)/tbl_MTG_Set[[#This Row],[Play Booster Box Size]]</f>
        <v>#VALUE!</v>
      </c>
      <c r="AQ870" s="10" t="str" cm="1">
        <f t="array" ref="AQ8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0" s="10"/>
      <c r="AS870" s="10"/>
      <c r="AT870" s="17" t="e">
        <f>tbl_MTG_Set[[#This Row],[Play Booster CardMarket Profit]]/tbl_MTG_Set[[#This Row],[Play Booster Cost]]</f>
        <v>#VALUE!</v>
      </c>
      <c r="AU870" s="10" t="e">
        <f>_xlfn.XLOOKUP(tbl_MTG_Set[[#This Row],[Collector Booster Box Product Id]], tbl_Product[Product Id], tbl_Product[Min Cost])</f>
        <v>#N/A</v>
      </c>
      <c r="AV870" s="10" t="e">
        <f>_xlfn.XLOOKUP(tbl_MTG_Set[[#This Row],[Collector Booster Box Product Id]], tbl_Product[Product Id], tbl_Product[Best Source])</f>
        <v>#N/A</v>
      </c>
      <c r="AW870" s="4" t="e">
        <f>_xlfn.XLOOKUP(tbl_MTG_Set[[#This Row],[Collector Booster Box Product Id]], tbl_Product[Product Id], tbl_Product[Pack Size])</f>
        <v>#N/A</v>
      </c>
      <c r="AX870" s="10" t="e">
        <f>(tbl_MTG_Set[[#This Row],[Collector Booster Box Cost]] + v_Item_Shipping_Cost_In) / tbl_MTG_Set[[#This Row],[Collector Booster Box Size]]</f>
        <v>#N/A</v>
      </c>
      <c r="AY870" s="10" t="str" cm="1">
        <f t="array" ref="AY8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0" s="10"/>
      <c r="BA8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0" s="17" t="e">
        <f>tbl_MTG_Set[[#This Row],[Collector Booster CardMarket Profit]]/tbl_MTG_Set[[#This Row],[Collector Booster Cost]]</f>
        <v>#N/A</v>
      </c>
      <c r="BC870" s="10"/>
      <c r="BF8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0" s="11" t="e">
        <f>tbl_MTG_Set[[#This Row],[Play Singles CardMarket Profit MTG Stocks]]/tbl_MTG_Set[[#This Row],[Play Booster Cost]]</f>
        <v>#VALUE!</v>
      </c>
      <c r="BI870" s="11" t="b">
        <f>tbl_MTG_Set[[#This Row],[Play Singles CardMarket Profit MTG Stocks]]&gt;0</f>
        <v>0</v>
      </c>
      <c r="BM870" s="10" t="e">
        <f>tbl_MTG_Set[[#This Row],[Play Booster Sell Price CardMarket]]*tbl_MTG_Set[[#This Row],[Play Booster Expected Market Value BotBox]]/tbl_MTG_Set[[#This Row],[Play Booster Sealed Market Value BotBox]]</f>
        <v>#VALUE!</v>
      </c>
      <c r="BN8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0" s="10" t="e">
        <f>tbl_MTG_Set[[#This Row],[Play Singles CardMarket Profit BotBox]]/tbl_MTG_Set[[#This Row],[Play Booster Cost]]</f>
        <v>#VALUE!</v>
      </c>
      <c r="BP870" s="10" t="b">
        <f>tbl_MTG_Set[[#This Row],[Play Singles CardMarket Profit BotBox]]&gt;0</f>
        <v>0</v>
      </c>
      <c r="BQ870" s="10"/>
      <c r="BR870" s="10"/>
      <c r="BS870" s="10"/>
      <c r="BT8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0" s="19" t="e">
        <f>tbl_MTG_Set[[#This Row],[Collector Singles CardMarket Profit MTG Stocks]]/tbl_MTG_Set[[#This Row],[Collector Booster Cost]]</f>
        <v>#N/A</v>
      </c>
      <c r="BW870" s="10" t="b">
        <f>tbl_MTG_Set[[#This Row],[Collector Singles CardMarket Profit MTG Stocks]]&gt;0</f>
        <v>0</v>
      </c>
      <c r="BX870" s="10"/>
      <c r="BY870" s="10"/>
      <c r="BZ8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0" s="10" t="e">
        <f>tbl_MTG_Set[[#This Row],[Collector Singles CardMarket Profit BotBox]]/tbl_MTG_Set[[#This Row],[Collector Booster Cost]]</f>
        <v>#N/A</v>
      </c>
      <c r="CC870" s="10" t="b">
        <f>tbl_MTG_Set[[#This Row],[Collector Singles CardMarket Profit BotBox]]&gt;0</f>
        <v>0</v>
      </c>
      <c r="CD8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1" spans="1:86" hidden="1">
      <c r="A871">
        <v>903</v>
      </c>
      <c r="B871" t="s">
        <v>1044</v>
      </c>
      <c r="C871">
        <v>7</v>
      </c>
      <c r="D871" s="3">
        <v>37622</v>
      </c>
      <c r="F871" t="s">
        <v>174</v>
      </c>
      <c r="G871">
        <v>1752</v>
      </c>
      <c r="H871">
        <f ca="1">MONTH(NOW())+12*YEAR(NOW())-MONTH(tbl_MTG_Set[[#This Row],[Released On]])-12*YEAR(tbl_MTG_Set[[#This Row],[Released On]])</f>
        <v>278</v>
      </c>
      <c r="I871" t="str">
        <f>_xlfn.XLOOKUP(tbl_MTG_Set[[#This Row],[Type Name]], tbl_MTG_Set_Type[Set Type], tbl_MTG_Set_Type[Index], "(Set Type not found)")</f>
        <v>(Set Type not found)</v>
      </c>
      <c r="J871" t="str">
        <f>_xlfn.XLOOKUP(tbl_MTG_Set[[#This Row],[Type Name]], tbl_MTG_Set_Type[Set Type], tbl_MTG_Set_Type[Buy Window Month Start], "(Set Type not found)")</f>
        <v>(Set Type not found)</v>
      </c>
      <c r="K871" s="3" t="e">
        <f>tbl_MTG_Set[[#This Row],[Released On]]+tbl_MTG_Set[[#This Row],[Buy Window Month Start]]*365.25/12</f>
        <v>#VALUE!</v>
      </c>
      <c r="L871" t="str">
        <f>_xlfn.XLOOKUP(tbl_MTG_Set[[#This Row],[Type Name]], tbl_MTG_Set_Type[Set Type], tbl_MTG_Set_Type[Buy Window Month End], "(Set Type not found)", 0, 1)</f>
        <v>(Set Type not found)</v>
      </c>
      <c r="M871" s="3" t="e">
        <f>tbl_MTG_Set[[#This Row],[Released On]]+tbl_MTG_Set[[#This Row],[Buy Window Month End]]*365.25/12</f>
        <v>#VALUE!</v>
      </c>
      <c r="N871" s="3" t="e">
        <f ca="1">AND(NOW()&gt;=tbl_MTG_Set[[#This Row],[Buy Window Start]], NOW()&lt;=tbl_MTG_Set[[#This Row],[Buy Window End]])</f>
        <v>#VALUE!</v>
      </c>
      <c r="O871" t="str">
        <f>_xlfn.XLOOKUP(tbl_MTG_Set[[#This Row],[Type Name]], tbl_MTG_Set_Type[Set Type], tbl_MTG_Set_Type[Heavy Printing Window Month Start], "(Set Type not found)", 0, 1)</f>
        <v>(Set Type not found)</v>
      </c>
      <c r="P871" s="3" t="e">
        <f>tbl_MTG_Set[[#This Row],[Released On]]+tbl_MTG_Set[[#This Row],[Heavy Printing Window Month Start]]*365.25/12</f>
        <v>#VALUE!</v>
      </c>
      <c r="Q871" t="str">
        <f>_xlfn.XLOOKUP(tbl_MTG_Set[[#This Row],[Type Name]], tbl_MTG_Set_Type[Set Type], tbl_MTG_Set_Type[Heavy Printing Window Month End], "(Set Type not found)", 0, 1)</f>
        <v>(Set Type not found)</v>
      </c>
      <c r="R871" s="3" t="e">
        <f>tbl_MTG_Set[[#This Row],[Released On]]+tbl_MTG_Set[[#This Row],[Heavy Printing Window Month End]]*365.25/12</f>
        <v>#VALUE!</v>
      </c>
      <c r="S871" s="3" t="e">
        <f ca="1">AND(NOW()&gt;=tbl_MTG_Set[[#This Row],[Heavy Printing Window Start]], NOW()&lt;=tbl_MTG_Set[[#This Row],[Heavy Printing Window End]])</f>
        <v>#VALUE!</v>
      </c>
      <c r="T871" t="str">
        <f>_xlfn.XLOOKUP(tbl_MTG_Set[[#This Row],[Type Name]], tbl_MTG_Set_Type[Set Type], tbl_MTG_Set_Type[Sell Window Month Start], "(Set Type not found)", 0, 1)</f>
        <v>(Set Type not found)</v>
      </c>
      <c r="U871" s="3" t="e">
        <f>tbl_MTG_Set[[#This Row],[Released On]]+tbl_MTG_Set[[#This Row],[Sell Window Month Start]]*365.25/12</f>
        <v>#VALUE!</v>
      </c>
      <c r="V871" t="str">
        <f>_xlfn.XLOOKUP(tbl_MTG_Set[[#This Row],[Type Name]], tbl_MTG_Set_Type[Set Type], tbl_MTG_Set_Type[Sell Window Month End], "(Set Type not found)", 0, 1)</f>
        <v>(Set Type not found)</v>
      </c>
      <c r="W871" s="3" t="e">
        <f>tbl_MTG_Set[[#This Row],[Released On]]+tbl_MTG_Set[[#This Row],[Sell Window Month End]]*365.25/12</f>
        <v>#VALUE!</v>
      </c>
      <c r="X871" s="3" t="e">
        <f ca="1">AND(NOW()&gt;=tbl_MTG_Set[[#This Row],[Sell Window Start]], NOW()&lt;=tbl_MTG_Set[[#This Row],[Sell Window End]])</f>
        <v>#VALUE!</v>
      </c>
      <c r="AG871" s="10"/>
      <c r="AH871" s="10"/>
      <c r="AM871" s="10" t="str" cm="1">
        <f t="array" ref="AM8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1" s="10" t="str" cm="1">
        <f t="array" ref="AN8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1" s="4" t="e">
        <f>_xlfn.XLOOKUP(tbl_MTG_Set[[#This Row],[Play Booster Box Product Id]], tbl_Product[Product Id], tbl_Product[Pack Size])</f>
        <v>#N/A</v>
      </c>
      <c r="AP871" s="10" t="e">
        <f>(tbl_MTG_Set[[#This Row],[Play Booster Box Cost]]+v_Item_Shipping_Cost_In)/tbl_MTG_Set[[#This Row],[Play Booster Box Size]]</f>
        <v>#VALUE!</v>
      </c>
      <c r="AQ871" s="10" t="str" cm="1">
        <f t="array" ref="AQ8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1" s="10"/>
      <c r="AS871" s="10"/>
      <c r="AT871" s="17" t="e">
        <f>tbl_MTG_Set[[#This Row],[Play Booster CardMarket Profit]]/tbl_MTG_Set[[#This Row],[Play Booster Cost]]</f>
        <v>#VALUE!</v>
      </c>
      <c r="AU871" s="10" t="e">
        <f>_xlfn.XLOOKUP(tbl_MTG_Set[[#This Row],[Collector Booster Box Product Id]], tbl_Product[Product Id], tbl_Product[Min Cost])</f>
        <v>#N/A</v>
      </c>
      <c r="AV871" s="10" t="e">
        <f>_xlfn.XLOOKUP(tbl_MTG_Set[[#This Row],[Collector Booster Box Product Id]], tbl_Product[Product Id], tbl_Product[Best Source])</f>
        <v>#N/A</v>
      </c>
      <c r="AW871" s="4" t="e">
        <f>_xlfn.XLOOKUP(tbl_MTG_Set[[#This Row],[Collector Booster Box Product Id]], tbl_Product[Product Id], tbl_Product[Pack Size])</f>
        <v>#N/A</v>
      </c>
      <c r="AX871" s="10" t="e">
        <f>(tbl_MTG_Set[[#This Row],[Collector Booster Box Cost]] + v_Item_Shipping_Cost_In) / tbl_MTG_Set[[#This Row],[Collector Booster Box Size]]</f>
        <v>#N/A</v>
      </c>
      <c r="AY871" s="10" t="str" cm="1">
        <f t="array" ref="AY8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1" s="10"/>
      <c r="BA8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1" s="17" t="e">
        <f>tbl_MTG_Set[[#This Row],[Collector Booster CardMarket Profit]]/tbl_MTG_Set[[#This Row],[Collector Booster Cost]]</f>
        <v>#N/A</v>
      </c>
      <c r="BC871" s="10"/>
      <c r="BF8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1" s="11" t="e">
        <f>tbl_MTG_Set[[#This Row],[Play Singles CardMarket Profit MTG Stocks]]/tbl_MTG_Set[[#This Row],[Play Booster Cost]]</f>
        <v>#VALUE!</v>
      </c>
      <c r="BI871" s="11" t="b">
        <f>tbl_MTG_Set[[#This Row],[Play Singles CardMarket Profit MTG Stocks]]&gt;0</f>
        <v>0</v>
      </c>
      <c r="BM871" s="10" t="e">
        <f>tbl_MTG_Set[[#This Row],[Play Booster Sell Price CardMarket]]*tbl_MTG_Set[[#This Row],[Play Booster Expected Market Value BotBox]]/tbl_MTG_Set[[#This Row],[Play Booster Sealed Market Value BotBox]]</f>
        <v>#VALUE!</v>
      </c>
      <c r="BN8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1" s="10" t="e">
        <f>tbl_MTG_Set[[#This Row],[Play Singles CardMarket Profit BotBox]]/tbl_MTG_Set[[#This Row],[Play Booster Cost]]</f>
        <v>#VALUE!</v>
      </c>
      <c r="BP871" s="10" t="b">
        <f>tbl_MTG_Set[[#This Row],[Play Singles CardMarket Profit BotBox]]&gt;0</f>
        <v>0</v>
      </c>
      <c r="BQ871" s="10"/>
      <c r="BR871" s="10"/>
      <c r="BS871" s="10"/>
      <c r="BT8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1" s="19" t="e">
        <f>tbl_MTG_Set[[#This Row],[Collector Singles CardMarket Profit MTG Stocks]]/tbl_MTG_Set[[#This Row],[Collector Booster Cost]]</f>
        <v>#N/A</v>
      </c>
      <c r="BW871" s="10" t="b">
        <f>tbl_MTG_Set[[#This Row],[Collector Singles CardMarket Profit MTG Stocks]]&gt;0</f>
        <v>0</v>
      </c>
      <c r="BX871" s="10"/>
      <c r="BY871" s="10"/>
      <c r="BZ8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1" s="10" t="e">
        <f>tbl_MTG_Set[[#This Row],[Collector Singles CardMarket Profit BotBox]]/tbl_MTG_Set[[#This Row],[Collector Booster Cost]]</f>
        <v>#N/A</v>
      </c>
      <c r="CC871" s="10" t="b">
        <f>tbl_MTG_Set[[#This Row],[Collector Singles CardMarket Profit BotBox]]&gt;0</f>
        <v>0</v>
      </c>
      <c r="CD8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2" spans="1:86" hidden="1">
      <c r="A872">
        <v>904</v>
      </c>
      <c r="B872" t="s">
        <v>1045</v>
      </c>
      <c r="C872">
        <v>13</v>
      </c>
      <c r="D872" s="3">
        <v>37622</v>
      </c>
      <c r="F872" t="s">
        <v>174</v>
      </c>
      <c r="G872">
        <v>1754</v>
      </c>
      <c r="H872">
        <f ca="1">MONTH(NOW())+12*YEAR(NOW())-MONTH(tbl_MTG_Set[[#This Row],[Released On]])-12*YEAR(tbl_MTG_Set[[#This Row],[Released On]])</f>
        <v>278</v>
      </c>
      <c r="I872" t="str">
        <f>_xlfn.XLOOKUP(tbl_MTG_Set[[#This Row],[Type Name]], tbl_MTG_Set_Type[Set Type], tbl_MTG_Set_Type[Index], "(Set Type not found)")</f>
        <v>(Set Type not found)</v>
      </c>
      <c r="J872" t="str">
        <f>_xlfn.XLOOKUP(tbl_MTG_Set[[#This Row],[Type Name]], tbl_MTG_Set_Type[Set Type], tbl_MTG_Set_Type[Buy Window Month Start], "(Set Type not found)")</f>
        <v>(Set Type not found)</v>
      </c>
      <c r="K872" s="3" t="e">
        <f>tbl_MTG_Set[[#This Row],[Released On]]+tbl_MTG_Set[[#This Row],[Buy Window Month Start]]*365.25/12</f>
        <v>#VALUE!</v>
      </c>
      <c r="L872" t="str">
        <f>_xlfn.XLOOKUP(tbl_MTG_Set[[#This Row],[Type Name]], tbl_MTG_Set_Type[Set Type], tbl_MTG_Set_Type[Buy Window Month End], "(Set Type not found)", 0, 1)</f>
        <v>(Set Type not found)</v>
      </c>
      <c r="M872" s="3" t="e">
        <f>tbl_MTG_Set[[#This Row],[Released On]]+tbl_MTG_Set[[#This Row],[Buy Window Month End]]*365.25/12</f>
        <v>#VALUE!</v>
      </c>
      <c r="N872" s="3" t="e">
        <f ca="1">AND(NOW()&gt;=tbl_MTG_Set[[#This Row],[Buy Window Start]], NOW()&lt;=tbl_MTG_Set[[#This Row],[Buy Window End]])</f>
        <v>#VALUE!</v>
      </c>
      <c r="O872" t="str">
        <f>_xlfn.XLOOKUP(tbl_MTG_Set[[#This Row],[Type Name]], tbl_MTG_Set_Type[Set Type], tbl_MTG_Set_Type[Heavy Printing Window Month Start], "(Set Type not found)", 0, 1)</f>
        <v>(Set Type not found)</v>
      </c>
      <c r="P872" s="3" t="e">
        <f>tbl_MTG_Set[[#This Row],[Released On]]+tbl_MTG_Set[[#This Row],[Heavy Printing Window Month Start]]*365.25/12</f>
        <v>#VALUE!</v>
      </c>
      <c r="Q872" t="str">
        <f>_xlfn.XLOOKUP(tbl_MTG_Set[[#This Row],[Type Name]], tbl_MTG_Set_Type[Set Type], tbl_MTG_Set_Type[Heavy Printing Window Month End], "(Set Type not found)", 0, 1)</f>
        <v>(Set Type not found)</v>
      </c>
      <c r="R872" s="3" t="e">
        <f>tbl_MTG_Set[[#This Row],[Released On]]+tbl_MTG_Set[[#This Row],[Heavy Printing Window Month End]]*365.25/12</f>
        <v>#VALUE!</v>
      </c>
      <c r="S872" s="3" t="e">
        <f ca="1">AND(NOW()&gt;=tbl_MTG_Set[[#This Row],[Heavy Printing Window Start]], NOW()&lt;=tbl_MTG_Set[[#This Row],[Heavy Printing Window End]])</f>
        <v>#VALUE!</v>
      </c>
      <c r="T872" t="str">
        <f>_xlfn.XLOOKUP(tbl_MTG_Set[[#This Row],[Type Name]], tbl_MTG_Set_Type[Set Type], tbl_MTG_Set_Type[Sell Window Month Start], "(Set Type not found)", 0, 1)</f>
        <v>(Set Type not found)</v>
      </c>
      <c r="U872" s="3" t="e">
        <f>tbl_MTG_Set[[#This Row],[Released On]]+tbl_MTG_Set[[#This Row],[Sell Window Month Start]]*365.25/12</f>
        <v>#VALUE!</v>
      </c>
      <c r="V872" t="str">
        <f>_xlfn.XLOOKUP(tbl_MTG_Set[[#This Row],[Type Name]], tbl_MTG_Set_Type[Set Type], tbl_MTG_Set_Type[Sell Window Month End], "(Set Type not found)", 0, 1)</f>
        <v>(Set Type not found)</v>
      </c>
      <c r="W872" s="3" t="e">
        <f>tbl_MTG_Set[[#This Row],[Released On]]+tbl_MTG_Set[[#This Row],[Sell Window Month End]]*365.25/12</f>
        <v>#VALUE!</v>
      </c>
      <c r="X872" s="3" t="e">
        <f ca="1">AND(NOW()&gt;=tbl_MTG_Set[[#This Row],[Sell Window Start]], NOW()&lt;=tbl_MTG_Set[[#This Row],[Sell Window End]])</f>
        <v>#VALUE!</v>
      </c>
      <c r="AG872" s="10"/>
      <c r="AH872" s="10"/>
      <c r="AM872" s="10" t="str" cm="1">
        <f t="array" ref="AM8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2" s="10" t="str" cm="1">
        <f t="array" ref="AN8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2" s="4" t="e">
        <f>_xlfn.XLOOKUP(tbl_MTG_Set[[#This Row],[Play Booster Box Product Id]], tbl_Product[Product Id], tbl_Product[Pack Size])</f>
        <v>#N/A</v>
      </c>
      <c r="AP872" s="10" t="e">
        <f>(tbl_MTG_Set[[#This Row],[Play Booster Box Cost]]+v_Item_Shipping_Cost_In)/tbl_MTG_Set[[#This Row],[Play Booster Box Size]]</f>
        <v>#VALUE!</v>
      </c>
      <c r="AQ872" s="10" t="str" cm="1">
        <f t="array" ref="AQ8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2" s="10"/>
      <c r="AS872" s="10"/>
      <c r="AT872" s="17" t="e">
        <f>tbl_MTG_Set[[#This Row],[Play Booster CardMarket Profit]]/tbl_MTG_Set[[#This Row],[Play Booster Cost]]</f>
        <v>#VALUE!</v>
      </c>
      <c r="AU872" s="10" t="e">
        <f>_xlfn.XLOOKUP(tbl_MTG_Set[[#This Row],[Collector Booster Box Product Id]], tbl_Product[Product Id], tbl_Product[Min Cost])</f>
        <v>#N/A</v>
      </c>
      <c r="AV872" s="10" t="e">
        <f>_xlfn.XLOOKUP(tbl_MTG_Set[[#This Row],[Collector Booster Box Product Id]], tbl_Product[Product Id], tbl_Product[Best Source])</f>
        <v>#N/A</v>
      </c>
      <c r="AW872" s="4" t="e">
        <f>_xlfn.XLOOKUP(tbl_MTG_Set[[#This Row],[Collector Booster Box Product Id]], tbl_Product[Product Id], tbl_Product[Pack Size])</f>
        <v>#N/A</v>
      </c>
      <c r="AX872" s="10" t="e">
        <f>(tbl_MTG_Set[[#This Row],[Collector Booster Box Cost]] + v_Item_Shipping_Cost_In) / tbl_MTG_Set[[#This Row],[Collector Booster Box Size]]</f>
        <v>#N/A</v>
      </c>
      <c r="AY872" s="10" t="str" cm="1">
        <f t="array" ref="AY8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2" s="10"/>
      <c r="BA8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2" s="17" t="e">
        <f>tbl_MTG_Set[[#This Row],[Collector Booster CardMarket Profit]]/tbl_MTG_Set[[#This Row],[Collector Booster Cost]]</f>
        <v>#N/A</v>
      </c>
      <c r="BC872" s="10"/>
      <c r="BF8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2" s="11" t="e">
        <f>tbl_MTG_Set[[#This Row],[Play Singles CardMarket Profit MTG Stocks]]/tbl_MTG_Set[[#This Row],[Play Booster Cost]]</f>
        <v>#VALUE!</v>
      </c>
      <c r="BI872" s="11" t="b">
        <f>tbl_MTG_Set[[#This Row],[Play Singles CardMarket Profit MTG Stocks]]&gt;0</f>
        <v>0</v>
      </c>
      <c r="BM872" s="10" t="e">
        <f>tbl_MTG_Set[[#This Row],[Play Booster Sell Price CardMarket]]*tbl_MTG_Set[[#This Row],[Play Booster Expected Market Value BotBox]]/tbl_MTG_Set[[#This Row],[Play Booster Sealed Market Value BotBox]]</f>
        <v>#VALUE!</v>
      </c>
      <c r="BN8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2" s="10" t="e">
        <f>tbl_MTG_Set[[#This Row],[Play Singles CardMarket Profit BotBox]]/tbl_MTG_Set[[#This Row],[Play Booster Cost]]</f>
        <v>#VALUE!</v>
      </c>
      <c r="BP872" s="10" t="b">
        <f>tbl_MTG_Set[[#This Row],[Play Singles CardMarket Profit BotBox]]&gt;0</f>
        <v>0</v>
      </c>
      <c r="BQ872" s="10"/>
      <c r="BR872" s="10"/>
      <c r="BS872" s="10"/>
      <c r="BT8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2" s="19" t="e">
        <f>tbl_MTG_Set[[#This Row],[Collector Singles CardMarket Profit MTG Stocks]]/tbl_MTG_Set[[#This Row],[Collector Booster Cost]]</f>
        <v>#N/A</v>
      </c>
      <c r="BW872" s="10" t="b">
        <f>tbl_MTG_Set[[#This Row],[Collector Singles CardMarket Profit MTG Stocks]]&gt;0</f>
        <v>0</v>
      </c>
      <c r="BX872" s="10"/>
      <c r="BY872" s="10"/>
      <c r="BZ8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2" s="10" t="e">
        <f>tbl_MTG_Set[[#This Row],[Collector Singles CardMarket Profit BotBox]]/tbl_MTG_Set[[#This Row],[Collector Booster Cost]]</f>
        <v>#N/A</v>
      </c>
      <c r="CC872" s="10" t="b">
        <f>tbl_MTG_Set[[#This Row],[Collector Singles CardMarket Profit BotBox]]&gt;0</f>
        <v>0</v>
      </c>
      <c r="CD8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3" spans="1:86" hidden="1">
      <c r="A873">
        <v>905</v>
      </c>
      <c r="B873" t="s">
        <v>1046</v>
      </c>
      <c r="C873">
        <v>35</v>
      </c>
      <c r="D873" s="3">
        <v>37622</v>
      </c>
      <c r="F873" t="s">
        <v>174</v>
      </c>
      <c r="G873">
        <v>1756</v>
      </c>
      <c r="H873">
        <f ca="1">MONTH(NOW())+12*YEAR(NOW())-MONTH(tbl_MTG_Set[[#This Row],[Released On]])-12*YEAR(tbl_MTG_Set[[#This Row],[Released On]])</f>
        <v>278</v>
      </c>
      <c r="I873" t="str">
        <f>_xlfn.XLOOKUP(tbl_MTG_Set[[#This Row],[Type Name]], tbl_MTG_Set_Type[Set Type], tbl_MTG_Set_Type[Index], "(Set Type not found)")</f>
        <v>(Set Type not found)</v>
      </c>
      <c r="J873" t="str">
        <f>_xlfn.XLOOKUP(tbl_MTG_Set[[#This Row],[Type Name]], tbl_MTG_Set_Type[Set Type], tbl_MTG_Set_Type[Buy Window Month Start], "(Set Type not found)")</f>
        <v>(Set Type not found)</v>
      </c>
      <c r="K873" s="3" t="e">
        <f>tbl_MTG_Set[[#This Row],[Released On]]+tbl_MTG_Set[[#This Row],[Buy Window Month Start]]*365.25/12</f>
        <v>#VALUE!</v>
      </c>
      <c r="L873" t="str">
        <f>_xlfn.XLOOKUP(tbl_MTG_Set[[#This Row],[Type Name]], tbl_MTG_Set_Type[Set Type], tbl_MTG_Set_Type[Buy Window Month End], "(Set Type not found)", 0, 1)</f>
        <v>(Set Type not found)</v>
      </c>
      <c r="M873" s="3" t="e">
        <f>tbl_MTG_Set[[#This Row],[Released On]]+tbl_MTG_Set[[#This Row],[Buy Window Month End]]*365.25/12</f>
        <v>#VALUE!</v>
      </c>
      <c r="N873" s="3" t="e">
        <f ca="1">AND(NOW()&gt;=tbl_MTG_Set[[#This Row],[Buy Window Start]], NOW()&lt;=tbl_MTG_Set[[#This Row],[Buy Window End]])</f>
        <v>#VALUE!</v>
      </c>
      <c r="O873" t="str">
        <f>_xlfn.XLOOKUP(tbl_MTG_Set[[#This Row],[Type Name]], tbl_MTG_Set_Type[Set Type], tbl_MTG_Set_Type[Heavy Printing Window Month Start], "(Set Type not found)", 0, 1)</f>
        <v>(Set Type not found)</v>
      </c>
      <c r="P873" s="3" t="e">
        <f>tbl_MTG_Set[[#This Row],[Released On]]+tbl_MTG_Set[[#This Row],[Heavy Printing Window Month Start]]*365.25/12</f>
        <v>#VALUE!</v>
      </c>
      <c r="Q873" t="str">
        <f>_xlfn.XLOOKUP(tbl_MTG_Set[[#This Row],[Type Name]], tbl_MTG_Set_Type[Set Type], tbl_MTG_Set_Type[Heavy Printing Window Month End], "(Set Type not found)", 0, 1)</f>
        <v>(Set Type not found)</v>
      </c>
      <c r="R873" s="3" t="e">
        <f>tbl_MTG_Set[[#This Row],[Released On]]+tbl_MTG_Set[[#This Row],[Heavy Printing Window Month End]]*365.25/12</f>
        <v>#VALUE!</v>
      </c>
      <c r="S873" s="3" t="e">
        <f ca="1">AND(NOW()&gt;=tbl_MTG_Set[[#This Row],[Heavy Printing Window Start]], NOW()&lt;=tbl_MTG_Set[[#This Row],[Heavy Printing Window End]])</f>
        <v>#VALUE!</v>
      </c>
      <c r="T873" t="str">
        <f>_xlfn.XLOOKUP(tbl_MTG_Set[[#This Row],[Type Name]], tbl_MTG_Set_Type[Set Type], tbl_MTG_Set_Type[Sell Window Month Start], "(Set Type not found)", 0, 1)</f>
        <v>(Set Type not found)</v>
      </c>
      <c r="U873" s="3" t="e">
        <f>tbl_MTG_Set[[#This Row],[Released On]]+tbl_MTG_Set[[#This Row],[Sell Window Month Start]]*365.25/12</f>
        <v>#VALUE!</v>
      </c>
      <c r="V873" t="str">
        <f>_xlfn.XLOOKUP(tbl_MTG_Set[[#This Row],[Type Name]], tbl_MTG_Set_Type[Set Type], tbl_MTG_Set_Type[Sell Window Month End], "(Set Type not found)", 0, 1)</f>
        <v>(Set Type not found)</v>
      </c>
      <c r="W873" s="3" t="e">
        <f>tbl_MTG_Set[[#This Row],[Released On]]+tbl_MTG_Set[[#This Row],[Sell Window Month End]]*365.25/12</f>
        <v>#VALUE!</v>
      </c>
      <c r="X873" s="3" t="e">
        <f ca="1">AND(NOW()&gt;=tbl_MTG_Set[[#This Row],[Sell Window Start]], NOW()&lt;=tbl_MTG_Set[[#This Row],[Sell Window End]])</f>
        <v>#VALUE!</v>
      </c>
      <c r="AG873" s="10"/>
      <c r="AH873" s="10"/>
      <c r="AM873" s="10" t="str" cm="1">
        <f t="array" ref="AM8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3" s="10" t="str" cm="1">
        <f t="array" ref="AN8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3" s="4" t="e">
        <f>_xlfn.XLOOKUP(tbl_MTG_Set[[#This Row],[Play Booster Box Product Id]], tbl_Product[Product Id], tbl_Product[Pack Size])</f>
        <v>#N/A</v>
      </c>
      <c r="AP873" s="10" t="e">
        <f>(tbl_MTG_Set[[#This Row],[Play Booster Box Cost]]+v_Item_Shipping_Cost_In)/tbl_MTG_Set[[#This Row],[Play Booster Box Size]]</f>
        <v>#VALUE!</v>
      </c>
      <c r="AQ873" s="10" t="str" cm="1">
        <f t="array" ref="AQ8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3" s="10"/>
      <c r="AS873" s="10"/>
      <c r="AT873" s="17" t="e">
        <f>tbl_MTG_Set[[#This Row],[Play Booster CardMarket Profit]]/tbl_MTG_Set[[#This Row],[Play Booster Cost]]</f>
        <v>#VALUE!</v>
      </c>
      <c r="AU873" s="10" t="e">
        <f>_xlfn.XLOOKUP(tbl_MTG_Set[[#This Row],[Collector Booster Box Product Id]], tbl_Product[Product Id], tbl_Product[Min Cost])</f>
        <v>#N/A</v>
      </c>
      <c r="AV873" s="10" t="e">
        <f>_xlfn.XLOOKUP(tbl_MTG_Set[[#This Row],[Collector Booster Box Product Id]], tbl_Product[Product Id], tbl_Product[Best Source])</f>
        <v>#N/A</v>
      </c>
      <c r="AW873" s="4" t="e">
        <f>_xlfn.XLOOKUP(tbl_MTG_Set[[#This Row],[Collector Booster Box Product Id]], tbl_Product[Product Id], tbl_Product[Pack Size])</f>
        <v>#N/A</v>
      </c>
      <c r="AX873" s="10" t="e">
        <f>(tbl_MTG_Set[[#This Row],[Collector Booster Box Cost]] + v_Item_Shipping_Cost_In) / tbl_MTG_Set[[#This Row],[Collector Booster Box Size]]</f>
        <v>#N/A</v>
      </c>
      <c r="AY873" s="10" t="str" cm="1">
        <f t="array" ref="AY8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3" s="10"/>
      <c r="BA8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3" s="17" t="e">
        <f>tbl_MTG_Set[[#This Row],[Collector Booster CardMarket Profit]]/tbl_MTG_Set[[#This Row],[Collector Booster Cost]]</f>
        <v>#N/A</v>
      </c>
      <c r="BC873" s="10"/>
      <c r="BF8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3" s="11" t="e">
        <f>tbl_MTG_Set[[#This Row],[Play Singles CardMarket Profit MTG Stocks]]/tbl_MTG_Set[[#This Row],[Play Booster Cost]]</f>
        <v>#VALUE!</v>
      </c>
      <c r="BI873" s="11" t="b">
        <f>tbl_MTG_Set[[#This Row],[Play Singles CardMarket Profit MTG Stocks]]&gt;0</f>
        <v>0</v>
      </c>
      <c r="BM873" s="10" t="e">
        <f>tbl_MTG_Set[[#This Row],[Play Booster Sell Price CardMarket]]*tbl_MTG_Set[[#This Row],[Play Booster Expected Market Value BotBox]]/tbl_MTG_Set[[#This Row],[Play Booster Sealed Market Value BotBox]]</f>
        <v>#VALUE!</v>
      </c>
      <c r="BN8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3" s="10" t="e">
        <f>tbl_MTG_Set[[#This Row],[Play Singles CardMarket Profit BotBox]]/tbl_MTG_Set[[#This Row],[Play Booster Cost]]</f>
        <v>#VALUE!</v>
      </c>
      <c r="BP873" s="10" t="b">
        <f>tbl_MTG_Set[[#This Row],[Play Singles CardMarket Profit BotBox]]&gt;0</f>
        <v>0</v>
      </c>
      <c r="BQ873" s="10"/>
      <c r="BR873" s="10"/>
      <c r="BS873" s="10"/>
      <c r="BT8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3" s="19" t="e">
        <f>tbl_MTG_Set[[#This Row],[Collector Singles CardMarket Profit MTG Stocks]]/tbl_MTG_Set[[#This Row],[Collector Booster Cost]]</f>
        <v>#N/A</v>
      </c>
      <c r="BW873" s="10" t="b">
        <f>tbl_MTG_Set[[#This Row],[Collector Singles CardMarket Profit MTG Stocks]]&gt;0</f>
        <v>0</v>
      </c>
      <c r="BX873" s="10"/>
      <c r="BY873" s="10"/>
      <c r="BZ8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3" s="10" t="e">
        <f>tbl_MTG_Set[[#This Row],[Collector Singles CardMarket Profit BotBox]]/tbl_MTG_Set[[#This Row],[Collector Booster Cost]]</f>
        <v>#N/A</v>
      </c>
      <c r="CC873" s="10" t="b">
        <f>tbl_MTG_Set[[#This Row],[Collector Singles CardMarket Profit BotBox]]&gt;0</f>
        <v>0</v>
      </c>
      <c r="CD8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4" spans="1:86" hidden="1">
      <c r="A874">
        <v>906</v>
      </c>
      <c r="B874" t="s">
        <v>1047</v>
      </c>
      <c r="C874">
        <v>153</v>
      </c>
      <c r="D874" s="3">
        <v>37591</v>
      </c>
      <c r="F874" t="s">
        <v>174</v>
      </c>
      <c r="G874">
        <v>1758</v>
      </c>
      <c r="H874">
        <f ca="1">MONTH(NOW())+12*YEAR(NOW())-MONTH(tbl_MTG_Set[[#This Row],[Released On]])-12*YEAR(tbl_MTG_Set[[#This Row],[Released On]])</f>
        <v>279</v>
      </c>
      <c r="I874" t="str">
        <f>_xlfn.XLOOKUP(tbl_MTG_Set[[#This Row],[Type Name]], tbl_MTG_Set_Type[Set Type], tbl_MTG_Set_Type[Index], "(Set Type not found)")</f>
        <v>(Set Type not found)</v>
      </c>
      <c r="J874" t="str">
        <f>_xlfn.XLOOKUP(tbl_MTG_Set[[#This Row],[Type Name]], tbl_MTG_Set_Type[Set Type], tbl_MTG_Set_Type[Buy Window Month Start], "(Set Type not found)")</f>
        <v>(Set Type not found)</v>
      </c>
      <c r="K874" s="3" t="e">
        <f>tbl_MTG_Set[[#This Row],[Released On]]+tbl_MTG_Set[[#This Row],[Buy Window Month Start]]*365.25/12</f>
        <v>#VALUE!</v>
      </c>
      <c r="L874" t="str">
        <f>_xlfn.XLOOKUP(tbl_MTG_Set[[#This Row],[Type Name]], tbl_MTG_Set_Type[Set Type], tbl_MTG_Set_Type[Buy Window Month End], "(Set Type not found)", 0, 1)</f>
        <v>(Set Type not found)</v>
      </c>
      <c r="M874" s="3" t="e">
        <f>tbl_MTG_Set[[#This Row],[Released On]]+tbl_MTG_Set[[#This Row],[Buy Window Month End]]*365.25/12</f>
        <v>#VALUE!</v>
      </c>
      <c r="N874" s="3" t="e">
        <f ca="1">AND(NOW()&gt;=tbl_MTG_Set[[#This Row],[Buy Window Start]], NOW()&lt;=tbl_MTG_Set[[#This Row],[Buy Window End]])</f>
        <v>#VALUE!</v>
      </c>
      <c r="O874" t="str">
        <f>_xlfn.XLOOKUP(tbl_MTG_Set[[#This Row],[Type Name]], tbl_MTG_Set_Type[Set Type], tbl_MTG_Set_Type[Heavy Printing Window Month Start], "(Set Type not found)", 0, 1)</f>
        <v>(Set Type not found)</v>
      </c>
      <c r="P874" s="3" t="e">
        <f>tbl_MTG_Set[[#This Row],[Released On]]+tbl_MTG_Set[[#This Row],[Heavy Printing Window Month Start]]*365.25/12</f>
        <v>#VALUE!</v>
      </c>
      <c r="Q874" t="str">
        <f>_xlfn.XLOOKUP(tbl_MTG_Set[[#This Row],[Type Name]], tbl_MTG_Set_Type[Set Type], tbl_MTG_Set_Type[Heavy Printing Window Month End], "(Set Type not found)", 0, 1)</f>
        <v>(Set Type not found)</v>
      </c>
      <c r="R874" s="3" t="e">
        <f>tbl_MTG_Set[[#This Row],[Released On]]+tbl_MTG_Set[[#This Row],[Heavy Printing Window Month End]]*365.25/12</f>
        <v>#VALUE!</v>
      </c>
      <c r="S874" s="3" t="e">
        <f ca="1">AND(NOW()&gt;=tbl_MTG_Set[[#This Row],[Heavy Printing Window Start]], NOW()&lt;=tbl_MTG_Set[[#This Row],[Heavy Printing Window End]])</f>
        <v>#VALUE!</v>
      </c>
      <c r="T874" t="str">
        <f>_xlfn.XLOOKUP(tbl_MTG_Set[[#This Row],[Type Name]], tbl_MTG_Set_Type[Set Type], tbl_MTG_Set_Type[Sell Window Month Start], "(Set Type not found)", 0, 1)</f>
        <v>(Set Type not found)</v>
      </c>
      <c r="U874" s="3" t="e">
        <f>tbl_MTG_Set[[#This Row],[Released On]]+tbl_MTG_Set[[#This Row],[Sell Window Month Start]]*365.25/12</f>
        <v>#VALUE!</v>
      </c>
      <c r="V874" t="str">
        <f>_xlfn.XLOOKUP(tbl_MTG_Set[[#This Row],[Type Name]], tbl_MTG_Set_Type[Set Type], tbl_MTG_Set_Type[Sell Window Month End], "(Set Type not found)", 0, 1)</f>
        <v>(Set Type not found)</v>
      </c>
      <c r="W874" s="3" t="e">
        <f>tbl_MTG_Set[[#This Row],[Released On]]+tbl_MTG_Set[[#This Row],[Sell Window Month End]]*365.25/12</f>
        <v>#VALUE!</v>
      </c>
      <c r="X874" s="3" t="e">
        <f ca="1">AND(NOW()&gt;=tbl_MTG_Set[[#This Row],[Sell Window Start]], NOW()&lt;=tbl_MTG_Set[[#This Row],[Sell Window End]])</f>
        <v>#VALUE!</v>
      </c>
      <c r="AG874" s="10"/>
      <c r="AH874" s="10"/>
      <c r="AM874" s="10" t="str" cm="1">
        <f t="array" ref="AM8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4" s="10" t="str" cm="1">
        <f t="array" ref="AN8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4" s="4" t="e">
        <f>_xlfn.XLOOKUP(tbl_MTG_Set[[#This Row],[Play Booster Box Product Id]], tbl_Product[Product Id], tbl_Product[Pack Size])</f>
        <v>#N/A</v>
      </c>
      <c r="AP874" s="10" t="e">
        <f>(tbl_MTG_Set[[#This Row],[Play Booster Box Cost]]+v_Item_Shipping_Cost_In)/tbl_MTG_Set[[#This Row],[Play Booster Box Size]]</f>
        <v>#VALUE!</v>
      </c>
      <c r="AQ874" s="10" t="str" cm="1">
        <f t="array" ref="AQ8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4" s="10"/>
      <c r="AS874" s="10"/>
      <c r="AT874" s="17" t="e">
        <f>tbl_MTG_Set[[#This Row],[Play Booster CardMarket Profit]]/tbl_MTG_Set[[#This Row],[Play Booster Cost]]</f>
        <v>#VALUE!</v>
      </c>
      <c r="AU874" s="10" t="e">
        <f>_xlfn.XLOOKUP(tbl_MTG_Set[[#This Row],[Collector Booster Box Product Id]], tbl_Product[Product Id], tbl_Product[Min Cost])</f>
        <v>#N/A</v>
      </c>
      <c r="AV874" s="10" t="e">
        <f>_xlfn.XLOOKUP(tbl_MTG_Set[[#This Row],[Collector Booster Box Product Id]], tbl_Product[Product Id], tbl_Product[Best Source])</f>
        <v>#N/A</v>
      </c>
      <c r="AW874" s="4" t="e">
        <f>_xlfn.XLOOKUP(tbl_MTG_Set[[#This Row],[Collector Booster Box Product Id]], tbl_Product[Product Id], tbl_Product[Pack Size])</f>
        <v>#N/A</v>
      </c>
      <c r="AX874" s="10" t="e">
        <f>(tbl_MTG_Set[[#This Row],[Collector Booster Box Cost]] + v_Item_Shipping_Cost_In) / tbl_MTG_Set[[#This Row],[Collector Booster Box Size]]</f>
        <v>#N/A</v>
      </c>
      <c r="AY874" s="10" t="str" cm="1">
        <f t="array" ref="AY8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4" s="10"/>
      <c r="BA8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4" s="17" t="e">
        <f>tbl_MTG_Set[[#This Row],[Collector Booster CardMarket Profit]]/tbl_MTG_Set[[#This Row],[Collector Booster Cost]]</f>
        <v>#N/A</v>
      </c>
      <c r="BC874" s="10"/>
      <c r="BF8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4" s="11" t="e">
        <f>tbl_MTG_Set[[#This Row],[Play Singles CardMarket Profit MTG Stocks]]/tbl_MTG_Set[[#This Row],[Play Booster Cost]]</f>
        <v>#VALUE!</v>
      </c>
      <c r="BI874" s="11" t="b">
        <f>tbl_MTG_Set[[#This Row],[Play Singles CardMarket Profit MTG Stocks]]&gt;0</f>
        <v>0</v>
      </c>
      <c r="BM874" s="10" t="e">
        <f>tbl_MTG_Set[[#This Row],[Play Booster Sell Price CardMarket]]*tbl_MTG_Set[[#This Row],[Play Booster Expected Market Value BotBox]]/tbl_MTG_Set[[#This Row],[Play Booster Sealed Market Value BotBox]]</f>
        <v>#VALUE!</v>
      </c>
      <c r="BN8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4" s="10" t="e">
        <f>tbl_MTG_Set[[#This Row],[Play Singles CardMarket Profit BotBox]]/tbl_MTG_Set[[#This Row],[Play Booster Cost]]</f>
        <v>#VALUE!</v>
      </c>
      <c r="BP874" s="10" t="b">
        <f>tbl_MTG_Set[[#This Row],[Play Singles CardMarket Profit BotBox]]&gt;0</f>
        <v>0</v>
      </c>
      <c r="BQ874" s="10"/>
      <c r="BR874" s="10"/>
      <c r="BS874" s="10"/>
      <c r="BT8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4" s="19" t="e">
        <f>tbl_MTG_Set[[#This Row],[Collector Singles CardMarket Profit MTG Stocks]]/tbl_MTG_Set[[#This Row],[Collector Booster Cost]]</f>
        <v>#N/A</v>
      </c>
      <c r="BW874" s="10" t="b">
        <f>tbl_MTG_Set[[#This Row],[Collector Singles CardMarket Profit MTG Stocks]]&gt;0</f>
        <v>0</v>
      </c>
      <c r="BX874" s="10"/>
      <c r="BY874" s="10"/>
      <c r="BZ8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4" s="10" t="e">
        <f>tbl_MTG_Set[[#This Row],[Collector Singles CardMarket Profit BotBox]]/tbl_MTG_Set[[#This Row],[Collector Booster Cost]]</f>
        <v>#N/A</v>
      </c>
      <c r="CC874" s="10" t="b">
        <f>tbl_MTG_Set[[#This Row],[Collector Singles CardMarket Profit BotBox]]&gt;0</f>
        <v>0</v>
      </c>
      <c r="CD8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5" spans="1:86" hidden="1">
      <c r="A875">
        <v>907</v>
      </c>
      <c r="B875" t="s">
        <v>1048</v>
      </c>
      <c r="C875">
        <v>351</v>
      </c>
      <c r="D875" s="3">
        <v>37536</v>
      </c>
      <c r="F875" t="s">
        <v>174</v>
      </c>
      <c r="G875">
        <v>1760</v>
      </c>
      <c r="H875">
        <f ca="1">MONTH(NOW())+12*YEAR(NOW())-MONTH(tbl_MTG_Set[[#This Row],[Released On]])-12*YEAR(tbl_MTG_Set[[#This Row],[Released On]])</f>
        <v>281</v>
      </c>
      <c r="I875" t="str">
        <f>_xlfn.XLOOKUP(tbl_MTG_Set[[#This Row],[Type Name]], tbl_MTG_Set_Type[Set Type], tbl_MTG_Set_Type[Index], "(Set Type not found)")</f>
        <v>(Set Type not found)</v>
      </c>
      <c r="J875" t="str">
        <f>_xlfn.XLOOKUP(tbl_MTG_Set[[#This Row],[Type Name]], tbl_MTG_Set_Type[Set Type], tbl_MTG_Set_Type[Buy Window Month Start], "(Set Type not found)")</f>
        <v>(Set Type not found)</v>
      </c>
      <c r="K875" s="3" t="e">
        <f>tbl_MTG_Set[[#This Row],[Released On]]+tbl_MTG_Set[[#This Row],[Buy Window Month Start]]*365.25/12</f>
        <v>#VALUE!</v>
      </c>
      <c r="L875" t="str">
        <f>_xlfn.XLOOKUP(tbl_MTG_Set[[#This Row],[Type Name]], tbl_MTG_Set_Type[Set Type], tbl_MTG_Set_Type[Buy Window Month End], "(Set Type not found)", 0, 1)</f>
        <v>(Set Type not found)</v>
      </c>
      <c r="M875" s="3" t="e">
        <f>tbl_MTG_Set[[#This Row],[Released On]]+tbl_MTG_Set[[#This Row],[Buy Window Month End]]*365.25/12</f>
        <v>#VALUE!</v>
      </c>
      <c r="N875" s="3" t="e">
        <f ca="1">AND(NOW()&gt;=tbl_MTG_Set[[#This Row],[Buy Window Start]], NOW()&lt;=tbl_MTG_Set[[#This Row],[Buy Window End]])</f>
        <v>#VALUE!</v>
      </c>
      <c r="O875" t="str">
        <f>_xlfn.XLOOKUP(tbl_MTG_Set[[#This Row],[Type Name]], tbl_MTG_Set_Type[Set Type], tbl_MTG_Set_Type[Heavy Printing Window Month Start], "(Set Type not found)", 0, 1)</f>
        <v>(Set Type not found)</v>
      </c>
      <c r="P875" s="3" t="e">
        <f>tbl_MTG_Set[[#This Row],[Released On]]+tbl_MTG_Set[[#This Row],[Heavy Printing Window Month Start]]*365.25/12</f>
        <v>#VALUE!</v>
      </c>
      <c r="Q875" t="str">
        <f>_xlfn.XLOOKUP(tbl_MTG_Set[[#This Row],[Type Name]], tbl_MTG_Set_Type[Set Type], tbl_MTG_Set_Type[Heavy Printing Window Month End], "(Set Type not found)", 0, 1)</f>
        <v>(Set Type not found)</v>
      </c>
      <c r="R875" s="3" t="e">
        <f>tbl_MTG_Set[[#This Row],[Released On]]+tbl_MTG_Set[[#This Row],[Heavy Printing Window Month End]]*365.25/12</f>
        <v>#VALUE!</v>
      </c>
      <c r="S875" s="3" t="e">
        <f ca="1">AND(NOW()&gt;=tbl_MTG_Set[[#This Row],[Heavy Printing Window Start]], NOW()&lt;=tbl_MTG_Set[[#This Row],[Heavy Printing Window End]])</f>
        <v>#VALUE!</v>
      </c>
      <c r="T875" t="str">
        <f>_xlfn.XLOOKUP(tbl_MTG_Set[[#This Row],[Type Name]], tbl_MTG_Set_Type[Set Type], tbl_MTG_Set_Type[Sell Window Month Start], "(Set Type not found)", 0, 1)</f>
        <v>(Set Type not found)</v>
      </c>
      <c r="U875" s="3" t="e">
        <f>tbl_MTG_Set[[#This Row],[Released On]]+tbl_MTG_Set[[#This Row],[Sell Window Month Start]]*365.25/12</f>
        <v>#VALUE!</v>
      </c>
      <c r="V875" t="str">
        <f>_xlfn.XLOOKUP(tbl_MTG_Set[[#This Row],[Type Name]], tbl_MTG_Set_Type[Set Type], tbl_MTG_Set_Type[Sell Window Month End], "(Set Type not found)", 0, 1)</f>
        <v>(Set Type not found)</v>
      </c>
      <c r="W875" s="3" t="e">
        <f>tbl_MTG_Set[[#This Row],[Released On]]+tbl_MTG_Set[[#This Row],[Sell Window Month End]]*365.25/12</f>
        <v>#VALUE!</v>
      </c>
      <c r="X875" s="3" t="e">
        <f ca="1">AND(NOW()&gt;=tbl_MTG_Set[[#This Row],[Sell Window Start]], NOW()&lt;=tbl_MTG_Set[[#This Row],[Sell Window End]])</f>
        <v>#VALUE!</v>
      </c>
      <c r="AG875" s="10"/>
      <c r="AH875" s="10"/>
      <c r="AM875" s="10" t="str" cm="1">
        <f t="array" ref="AM8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5" s="10" t="str" cm="1">
        <f t="array" ref="AN8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5" s="4" t="e">
        <f>_xlfn.XLOOKUP(tbl_MTG_Set[[#This Row],[Play Booster Box Product Id]], tbl_Product[Product Id], tbl_Product[Pack Size])</f>
        <v>#N/A</v>
      </c>
      <c r="AP875" s="10" t="e">
        <f>(tbl_MTG_Set[[#This Row],[Play Booster Box Cost]]+v_Item_Shipping_Cost_In)/tbl_MTG_Set[[#This Row],[Play Booster Box Size]]</f>
        <v>#VALUE!</v>
      </c>
      <c r="AQ875" s="10" t="str" cm="1">
        <f t="array" ref="AQ8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5" s="10"/>
      <c r="AS875" s="10"/>
      <c r="AT875" s="17" t="e">
        <f>tbl_MTG_Set[[#This Row],[Play Booster CardMarket Profit]]/tbl_MTG_Set[[#This Row],[Play Booster Cost]]</f>
        <v>#VALUE!</v>
      </c>
      <c r="AU875" s="10" t="e">
        <f>_xlfn.XLOOKUP(tbl_MTG_Set[[#This Row],[Collector Booster Box Product Id]], tbl_Product[Product Id], tbl_Product[Min Cost])</f>
        <v>#N/A</v>
      </c>
      <c r="AV875" s="10" t="e">
        <f>_xlfn.XLOOKUP(tbl_MTG_Set[[#This Row],[Collector Booster Box Product Id]], tbl_Product[Product Id], tbl_Product[Best Source])</f>
        <v>#N/A</v>
      </c>
      <c r="AW875" s="4" t="e">
        <f>_xlfn.XLOOKUP(tbl_MTG_Set[[#This Row],[Collector Booster Box Product Id]], tbl_Product[Product Id], tbl_Product[Pack Size])</f>
        <v>#N/A</v>
      </c>
      <c r="AX875" s="10" t="e">
        <f>(tbl_MTG_Set[[#This Row],[Collector Booster Box Cost]] + v_Item_Shipping_Cost_In) / tbl_MTG_Set[[#This Row],[Collector Booster Box Size]]</f>
        <v>#N/A</v>
      </c>
      <c r="AY875" s="10" t="str" cm="1">
        <f t="array" ref="AY8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5" s="10"/>
      <c r="BA8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5" s="17" t="e">
        <f>tbl_MTG_Set[[#This Row],[Collector Booster CardMarket Profit]]/tbl_MTG_Set[[#This Row],[Collector Booster Cost]]</f>
        <v>#N/A</v>
      </c>
      <c r="BC875" s="10"/>
      <c r="BF8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5" s="11" t="e">
        <f>tbl_MTG_Set[[#This Row],[Play Singles CardMarket Profit MTG Stocks]]/tbl_MTG_Set[[#This Row],[Play Booster Cost]]</f>
        <v>#VALUE!</v>
      </c>
      <c r="BI875" s="11" t="b">
        <f>tbl_MTG_Set[[#This Row],[Play Singles CardMarket Profit MTG Stocks]]&gt;0</f>
        <v>0</v>
      </c>
      <c r="BM875" s="10" t="e">
        <f>tbl_MTG_Set[[#This Row],[Play Booster Sell Price CardMarket]]*tbl_MTG_Set[[#This Row],[Play Booster Expected Market Value BotBox]]/tbl_MTG_Set[[#This Row],[Play Booster Sealed Market Value BotBox]]</f>
        <v>#VALUE!</v>
      </c>
      <c r="BN8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5" s="10" t="e">
        <f>tbl_MTG_Set[[#This Row],[Play Singles CardMarket Profit BotBox]]/tbl_MTG_Set[[#This Row],[Play Booster Cost]]</f>
        <v>#VALUE!</v>
      </c>
      <c r="BP875" s="10" t="b">
        <f>tbl_MTG_Set[[#This Row],[Play Singles CardMarket Profit BotBox]]&gt;0</f>
        <v>0</v>
      </c>
      <c r="BQ875" s="10"/>
      <c r="BR875" s="10"/>
      <c r="BS875" s="10"/>
      <c r="BT8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5" s="19" t="e">
        <f>tbl_MTG_Set[[#This Row],[Collector Singles CardMarket Profit MTG Stocks]]/tbl_MTG_Set[[#This Row],[Collector Booster Cost]]</f>
        <v>#N/A</v>
      </c>
      <c r="BW875" s="10" t="b">
        <f>tbl_MTG_Set[[#This Row],[Collector Singles CardMarket Profit MTG Stocks]]&gt;0</f>
        <v>0</v>
      </c>
      <c r="BX875" s="10"/>
      <c r="BY875" s="10"/>
      <c r="BZ8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5" s="10" t="e">
        <f>tbl_MTG_Set[[#This Row],[Collector Singles CardMarket Profit BotBox]]/tbl_MTG_Set[[#This Row],[Collector Booster Cost]]</f>
        <v>#N/A</v>
      </c>
      <c r="CC875" s="10" t="b">
        <f>tbl_MTG_Set[[#This Row],[Collector Singles CardMarket Profit BotBox]]&gt;0</f>
        <v>0</v>
      </c>
      <c r="CD8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6" spans="1:86" hidden="1">
      <c r="A876">
        <v>908</v>
      </c>
      <c r="B876" t="s">
        <v>1049</v>
      </c>
      <c r="C876">
        <v>1</v>
      </c>
      <c r="D876" s="3">
        <v>37527</v>
      </c>
      <c r="F876" t="s">
        <v>174</v>
      </c>
      <c r="G876">
        <v>1762</v>
      </c>
      <c r="H876">
        <f ca="1">MONTH(NOW())+12*YEAR(NOW())-MONTH(tbl_MTG_Set[[#This Row],[Released On]])-12*YEAR(tbl_MTG_Set[[#This Row],[Released On]])</f>
        <v>282</v>
      </c>
      <c r="I876" t="str">
        <f>_xlfn.XLOOKUP(tbl_MTG_Set[[#This Row],[Type Name]], tbl_MTG_Set_Type[Set Type], tbl_MTG_Set_Type[Index], "(Set Type not found)")</f>
        <v>(Set Type not found)</v>
      </c>
      <c r="J876" t="str">
        <f>_xlfn.XLOOKUP(tbl_MTG_Set[[#This Row],[Type Name]], tbl_MTG_Set_Type[Set Type], tbl_MTG_Set_Type[Buy Window Month Start], "(Set Type not found)")</f>
        <v>(Set Type not found)</v>
      </c>
      <c r="K876" s="3" t="e">
        <f>tbl_MTG_Set[[#This Row],[Released On]]+tbl_MTG_Set[[#This Row],[Buy Window Month Start]]*365.25/12</f>
        <v>#VALUE!</v>
      </c>
      <c r="L876" t="str">
        <f>_xlfn.XLOOKUP(tbl_MTG_Set[[#This Row],[Type Name]], tbl_MTG_Set_Type[Set Type], tbl_MTG_Set_Type[Buy Window Month End], "(Set Type not found)", 0, 1)</f>
        <v>(Set Type not found)</v>
      </c>
      <c r="M876" s="3" t="e">
        <f>tbl_MTG_Set[[#This Row],[Released On]]+tbl_MTG_Set[[#This Row],[Buy Window Month End]]*365.25/12</f>
        <v>#VALUE!</v>
      </c>
      <c r="N876" s="3" t="e">
        <f ca="1">AND(NOW()&gt;=tbl_MTG_Set[[#This Row],[Buy Window Start]], NOW()&lt;=tbl_MTG_Set[[#This Row],[Buy Window End]])</f>
        <v>#VALUE!</v>
      </c>
      <c r="O876" t="str">
        <f>_xlfn.XLOOKUP(tbl_MTG_Set[[#This Row],[Type Name]], tbl_MTG_Set_Type[Set Type], tbl_MTG_Set_Type[Heavy Printing Window Month Start], "(Set Type not found)", 0, 1)</f>
        <v>(Set Type not found)</v>
      </c>
      <c r="P876" s="3" t="e">
        <f>tbl_MTG_Set[[#This Row],[Released On]]+tbl_MTG_Set[[#This Row],[Heavy Printing Window Month Start]]*365.25/12</f>
        <v>#VALUE!</v>
      </c>
      <c r="Q876" t="str">
        <f>_xlfn.XLOOKUP(tbl_MTG_Set[[#This Row],[Type Name]], tbl_MTG_Set_Type[Set Type], tbl_MTG_Set_Type[Heavy Printing Window Month End], "(Set Type not found)", 0, 1)</f>
        <v>(Set Type not found)</v>
      </c>
      <c r="R876" s="3" t="e">
        <f>tbl_MTG_Set[[#This Row],[Released On]]+tbl_MTG_Set[[#This Row],[Heavy Printing Window Month End]]*365.25/12</f>
        <v>#VALUE!</v>
      </c>
      <c r="S876" s="3" t="e">
        <f ca="1">AND(NOW()&gt;=tbl_MTG_Set[[#This Row],[Heavy Printing Window Start]], NOW()&lt;=tbl_MTG_Set[[#This Row],[Heavy Printing Window End]])</f>
        <v>#VALUE!</v>
      </c>
      <c r="T876" t="str">
        <f>_xlfn.XLOOKUP(tbl_MTG_Set[[#This Row],[Type Name]], tbl_MTG_Set_Type[Set Type], tbl_MTG_Set_Type[Sell Window Month Start], "(Set Type not found)", 0, 1)</f>
        <v>(Set Type not found)</v>
      </c>
      <c r="U876" s="3" t="e">
        <f>tbl_MTG_Set[[#This Row],[Released On]]+tbl_MTG_Set[[#This Row],[Sell Window Month Start]]*365.25/12</f>
        <v>#VALUE!</v>
      </c>
      <c r="V876" t="str">
        <f>_xlfn.XLOOKUP(tbl_MTG_Set[[#This Row],[Type Name]], tbl_MTG_Set_Type[Set Type], tbl_MTG_Set_Type[Sell Window Month End], "(Set Type not found)", 0, 1)</f>
        <v>(Set Type not found)</v>
      </c>
      <c r="W876" s="3" t="e">
        <f>tbl_MTG_Set[[#This Row],[Released On]]+tbl_MTG_Set[[#This Row],[Sell Window Month End]]*365.25/12</f>
        <v>#VALUE!</v>
      </c>
      <c r="X876" s="3" t="e">
        <f ca="1">AND(NOW()&gt;=tbl_MTG_Set[[#This Row],[Sell Window Start]], NOW()&lt;=tbl_MTG_Set[[#This Row],[Sell Window End]])</f>
        <v>#VALUE!</v>
      </c>
      <c r="AG876" s="10"/>
      <c r="AH876" s="10"/>
      <c r="AM876" s="10" t="str" cm="1">
        <f t="array" ref="AM8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6" s="10" t="str" cm="1">
        <f t="array" ref="AN8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6" s="4" t="e">
        <f>_xlfn.XLOOKUP(tbl_MTG_Set[[#This Row],[Play Booster Box Product Id]], tbl_Product[Product Id], tbl_Product[Pack Size])</f>
        <v>#N/A</v>
      </c>
      <c r="AP876" s="10" t="e">
        <f>(tbl_MTG_Set[[#This Row],[Play Booster Box Cost]]+v_Item_Shipping_Cost_In)/tbl_MTG_Set[[#This Row],[Play Booster Box Size]]</f>
        <v>#VALUE!</v>
      </c>
      <c r="AQ876" s="10" t="str" cm="1">
        <f t="array" ref="AQ8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6" s="10"/>
      <c r="AS876" s="10"/>
      <c r="AT876" s="17" t="e">
        <f>tbl_MTG_Set[[#This Row],[Play Booster CardMarket Profit]]/tbl_MTG_Set[[#This Row],[Play Booster Cost]]</f>
        <v>#VALUE!</v>
      </c>
      <c r="AU876" s="10" t="e">
        <f>_xlfn.XLOOKUP(tbl_MTG_Set[[#This Row],[Collector Booster Box Product Id]], tbl_Product[Product Id], tbl_Product[Min Cost])</f>
        <v>#N/A</v>
      </c>
      <c r="AV876" s="10" t="e">
        <f>_xlfn.XLOOKUP(tbl_MTG_Set[[#This Row],[Collector Booster Box Product Id]], tbl_Product[Product Id], tbl_Product[Best Source])</f>
        <v>#N/A</v>
      </c>
      <c r="AW876" s="4" t="e">
        <f>_xlfn.XLOOKUP(tbl_MTG_Set[[#This Row],[Collector Booster Box Product Id]], tbl_Product[Product Id], tbl_Product[Pack Size])</f>
        <v>#N/A</v>
      </c>
      <c r="AX876" s="10" t="e">
        <f>(tbl_MTG_Set[[#This Row],[Collector Booster Box Cost]] + v_Item_Shipping_Cost_In) / tbl_MTG_Set[[#This Row],[Collector Booster Box Size]]</f>
        <v>#N/A</v>
      </c>
      <c r="AY876" s="10" t="str" cm="1">
        <f t="array" ref="AY8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6" s="10"/>
      <c r="BA8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6" s="17" t="e">
        <f>tbl_MTG_Set[[#This Row],[Collector Booster CardMarket Profit]]/tbl_MTG_Set[[#This Row],[Collector Booster Cost]]</f>
        <v>#N/A</v>
      </c>
      <c r="BC876" s="10"/>
      <c r="BF8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6" s="11" t="e">
        <f>tbl_MTG_Set[[#This Row],[Play Singles CardMarket Profit MTG Stocks]]/tbl_MTG_Set[[#This Row],[Play Booster Cost]]</f>
        <v>#VALUE!</v>
      </c>
      <c r="BI876" s="11" t="b">
        <f>tbl_MTG_Set[[#This Row],[Play Singles CardMarket Profit MTG Stocks]]&gt;0</f>
        <v>0</v>
      </c>
      <c r="BM876" s="10" t="e">
        <f>tbl_MTG_Set[[#This Row],[Play Booster Sell Price CardMarket]]*tbl_MTG_Set[[#This Row],[Play Booster Expected Market Value BotBox]]/tbl_MTG_Set[[#This Row],[Play Booster Sealed Market Value BotBox]]</f>
        <v>#VALUE!</v>
      </c>
      <c r="BN8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6" s="10" t="e">
        <f>tbl_MTG_Set[[#This Row],[Play Singles CardMarket Profit BotBox]]/tbl_MTG_Set[[#This Row],[Play Booster Cost]]</f>
        <v>#VALUE!</v>
      </c>
      <c r="BP876" s="10" t="b">
        <f>tbl_MTG_Set[[#This Row],[Play Singles CardMarket Profit BotBox]]&gt;0</f>
        <v>0</v>
      </c>
      <c r="BQ876" s="10"/>
      <c r="BR876" s="10"/>
      <c r="BS876" s="10"/>
      <c r="BT8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6" s="19" t="e">
        <f>tbl_MTG_Set[[#This Row],[Collector Singles CardMarket Profit MTG Stocks]]/tbl_MTG_Set[[#This Row],[Collector Booster Cost]]</f>
        <v>#N/A</v>
      </c>
      <c r="BW876" s="10" t="b">
        <f>tbl_MTG_Set[[#This Row],[Collector Singles CardMarket Profit MTG Stocks]]&gt;0</f>
        <v>0</v>
      </c>
      <c r="BX876" s="10"/>
      <c r="BY876" s="10"/>
      <c r="BZ8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6" s="10" t="e">
        <f>tbl_MTG_Set[[#This Row],[Collector Singles CardMarket Profit BotBox]]/tbl_MTG_Set[[#This Row],[Collector Booster Cost]]</f>
        <v>#N/A</v>
      </c>
      <c r="CC876" s="10" t="b">
        <f>tbl_MTG_Set[[#This Row],[Collector Singles CardMarket Profit BotBox]]&gt;0</f>
        <v>0</v>
      </c>
      <c r="CD8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7" spans="1:86" hidden="1">
      <c r="A877">
        <v>909</v>
      </c>
      <c r="B877" t="s">
        <v>1050</v>
      </c>
      <c r="C877">
        <v>5</v>
      </c>
      <c r="D877" s="3">
        <v>37438</v>
      </c>
      <c r="F877" t="s">
        <v>174</v>
      </c>
      <c r="G877">
        <v>1764</v>
      </c>
      <c r="H877">
        <f ca="1">MONTH(NOW())+12*YEAR(NOW())-MONTH(tbl_MTG_Set[[#This Row],[Released On]])-12*YEAR(tbl_MTG_Set[[#This Row],[Released On]])</f>
        <v>284</v>
      </c>
      <c r="I877" t="str">
        <f>_xlfn.XLOOKUP(tbl_MTG_Set[[#This Row],[Type Name]], tbl_MTG_Set_Type[Set Type], tbl_MTG_Set_Type[Index], "(Set Type not found)")</f>
        <v>(Set Type not found)</v>
      </c>
      <c r="J877" t="str">
        <f>_xlfn.XLOOKUP(tbl_MTG_Set[[#This Row],[Type Name]], tbl_MTG_Set_Type[Set Type], tbl_MTG_Set_Type[Buy Window Month Start], "(Set Type not found)")</f>
        <v>(Set Type not found)</v>
      </c>
      <c r="K877" s="3" t="e">
        <f>tbl_MTG_Set[[#This Row],[Released On]]+tbl_MTG_Set[[#This Row],[Buy Window Month Start]]*365.25/12</f>
        <v>#VALUE!</v>
      </c>
      <c r="L877" t="str">
        <f>_xlfn.XLOOKUP(tbl_MTG_Set[[#This Row],[Type Name]], tbl_MTG_Set_Type[Set Type], tbl_MTG_Set_Type[Buy Window Month End], "(Set Type not found)", 0, 1)</f>
        <v>(Set Type not found)</v>
      </c>
      <c r="M877" s="3" t="e">
        <f>tbl_MTG_Set[[#This Row],[Released On]]+tbl_MTG_Set[[#This Row],[Buy Window Month End]]*365.25/12</f>
        <v>#VALUE!</v>
      </c>
      <c r="N877" s="3" t="e">
        <f ca="1">AND(NOW()&gt;=tbl_MTG_Set[[#This Row],[Buy Window Start]], NOW()&lt;=tbl_MTG_Set[[#This Row],[Buy Window End]])</f>
        <v>#VALUE!</v>
      </c>
      <c r="O877" t="str">
        <f>_xlfn.XLOOKUP(tbl_MTG_Set[[#This Row],[Type Name]], tbl_MTG_Set_Type[Set Type], tbl_MTG_Set_Type[Heavy Printing Window Month Start], "(Set Type not found)", 0, 1)</f>
        <v>(Set Type not found)</v>
      </c>
      <c r="P877" s="3" t="e">
        <f>tbl_MTG_Set[[#This Row],[Released On]]+tbl_MTG_Set[[#This Row],[Heavy Printing Window Month Start]]*365.25/12</f>
        <v>#VALUE!</v>
      </c>
      <c r="Q877" t="str">
        <f>_xlfn.XLOOKUP(tbl_MTG_Set[[#This Row],[Type Name]], tbl_MTG_Set_Type[Set Type], tbl_MTG_Set_Type[Heavy Printing Window Month End], "(Set Type not found)", 0, 1)</f>
        <v>(Set Type not found)</v>
      </c>
      <c r="R877" s="3" t="e">
        <f>tbl_MTG_Set[[#This Row],[Released On]]+tbl_MTG_Set[[#This Row],[Heavy Printing Window Month End]]*365.25/12</f>
        <v>#VALUE!</v>
      </c>
      <c r="S877" s="3" t="e">
        <f ca="1">AND(NOW()&gt;=tbl_MTG_Set[[#This Row],[Heavy Printing Window Start]], NOW()&lt;=tbl_MTG_Set[[#This Row],[Heavy Printing Window End]])</f>
        <v>#VALUE!</v>
      </c>
      <c r="T877" t="str">
        <f>_xlfn.XLOOKUP(tbl_MTG_Set[[#This Row],[Type Name]], tbl_MTG_Set_Type[Set Type], tbl_MTG_Set_Type[Sell Window Month Start], "(Set Type not found)", 0, 1)</f>
        <v>(Set Type not found)</v>
      </c>
      <c r="U877" s="3" t="e">
        <f>tbl_MTG_Set[[#This Row],[Released On]]+tbl_MTG_Set[[#This Row],[Sell Window Month Start]]*365.25/12</f>
        <v>#VALUE!</v>
      </c>
      <c r="V877" t="str">
        <f>_xlfn.XLOOKUP(tbl_MTG_Set[[#This Row],[Type Name]], tbl_MTG_Set_Type[Set Type], tbl_MTG_Set_Type[Sell Window Month End], "(Set Type not found)", 0, 1)</f>
        <v>(Set Type not found)</v>
      </c>
      <c r="W877" s="3" t="e">
        <f>tbl_MTG_Set[[#This Row],[Released On]]+tbl_MTG_Set[[#This Row],[Sell Window Month End]]*365.25/12</f>
        <v>#VALUE!</v>
      </c>
      <c r="X877" s="3" t="e">
        <f ca="1">AND(NOW()&gt;=tbl_MTG_Set[[#This Row],[Sell Window Start]], NOW()&lt;=tbl_MTG_Set[[#This Row],[Sell Window End]])</f>
        <v>#VALUE!</v>
      </c>
      <c r="AG877" s="10"/>
      <c r="AH877" s="10"/>
      <c r="AM877" s="10" t="str" cm="1">
        <f t="array" ref="AM8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7" s="10" t="str" cm="1">
        <f t="array" ref="AN8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7" s="4" t="e">
        <f>_xlfn.XLOOKUP(tbl_MTG_Set[[#This Row],[Play Booster Box Product Id]], tbl_Product[Product Id], tbl_Product[Pack Size])</f>
        <v>#N/A</v>
      </c>
      <c r="AP877" s="10" t="e">
        <f>(tbl_MTG_Set[[#This Row],[Play Booster Box Cost]]+v_Item_Shipping_Cost_In)/tbl_MTG_Set[[#This Row],[Play Booster Box Size]]</f>
        <v>#VALUE!</v>
      </c>
      <c r="AQ877" s="10" t="str" cm="1">
        <f t="array" ref="AQ8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7" s="10"/>
      <c r="AS877" s="10"/>
      <c r="AT877" s="17" t="e">
        <f>tbl_MTG_Set[[#This Row],[Play Booster CardMarket Profit]]/tbl_MTG_Set[[#This Row],[Play Booster Cost]]</f>
        <v>#VALUE!</v>
      </c>
      <c r="AU877" s="10" t="e">
        <f>_xlfn.XLOOKUP(tbl_MTG_Set[[#This Row],[Collector Booster Box Product Id]], tbl_Product[Product Id], tbl_Product[Min Cost])</f>
        <v>#N/A</v>
      </c>
      <c r="AV877" s="10" t="e">
        <f>_xlfn.XLOOKUP(tbl_MTG_Set[[#This Row],[Collector Booster Box Product Id]], tbl_Product[Product Id], tbl_Product[Best Source])</f>
        <v>#N/A</v>
      </c>
      <c r="AW877" s="4" t="e">
        <f>_xlfn.XLOOKUP(tbl_MTG_Set[[#This Row],[Collector Booster Box Product Id]], tbl_Product[Product Id], tbl_Product[Pack Size])</f>
        <v>#N/A</v>
      </c>
      <c r="AX877" s="10" t="e">
        <f>(tbl_MTG_Set[[#This Row],[Collector Booster Box Cost]] + v_Item_Shipping_Cost_In) / tbl_MTG_Set[[#This Row],[Collector Booster Box Size]]</f>
        <v>#N/A</v>
      </c>
      <c r="AY877" s="10" t="str" cm="1">
        <f t="array" ref="AY8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7" s="10"/>
      <c r="BA8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7" s="17" t="e">
        <f>tbl_MTG_Set[[#This Row],[Collector Booster CardMarket Profit]]/tbl_MTG_Set[[#This Row],[Collector Booster Cost]]</f>
        <v>#N/A</v>
      </c>
      <c r="BC877" s="10"/>
      <c r="BF8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7" s="11" t="e">
        <f>tbl_MTG_Set[[#This Row],[Play Singles CardMarket Profit MTG Stocks]]/tbl_MTG_Set[[#This Row],[Play Booster Cost]]</f>
        <v>#VALUE!</v>
      </c>
      <c r="BI877" s="11" t="b">
        <f>tbl_MTG_Set[[#This Row],[Play Singles CardMarket Profit MTG Stocks]]&gt;0</f>
        <v>0</v>
      </c>
      <c r="BM877" s="10" t="e">
        <f>tbl_MTG_Set[[#This Row],[Play Booster Sell Price CardMarket]]*tbl_MTG_Set[[#This Row],[Play Booster Expected Market Value BotBox]]/tbl_MTG_Set[[#This Row],[Play Booster Sealed Market Value BotBox]]</f>
        <v>#VALUE!</v>
      </c>
      <c r="BN8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7" s="10" t="e">
        <f>tbl_MTG_Set[[#This Row],[Play Singles CardMarket Profit BotBox]]/tbl_MTG_Set[[#This Row],[Play Booster Cost]]</f>
        <v>#VALUE!</v>
      </c>
      <c r="BP877" s="10" t="b">
        <f>tbl_MTG_Set[[#This Row],[Play Singles CardMarket Profit BotBox]]&gt;0</f>
        <v>0</v>
      </c>
      <c r="BQ877" s="10"/>
      <c r="BR877" s="10"/>
      <c r="BS877" s="10"/>
      <c r="BT8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7" s="19" t="e">
        <f>tbl_MTG_Set[[#This Row],[Collector Singles CardMarket Profit MTG Stocks]]/tbl_MTG_Set[[#This Row],[Collector Booster Cost]]</f>
        <v>#N/A</v>
      </c>
      <c r="BW877" s="10" t="b">
        <f>tbl_MTG_Set[[#This Row],[Collector Singles CardMarket Profit MTG Stocks]]&gt;0</f>
        <v>0</v>
      </c>
      <c r="BX877" s="10"/>
      <c r="BY877" s="10"/>
      <c r="BZ8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7" s="10" t="e">
        <f>tbl_MTG_Set[[#This Row],[Collector Singles CardMarket Profit BotBox]]/tbl_MTG_Set[[#This Row],[Collector Booster Cost]]</f>
        <v>#N/A</v>
      </c>
      <c r="CC877" s="10" t="b">
        <f>tbl_MTG_Set[[#This Row],[Collector Singles CardMarket Profit BotBox]]&gt;0</f>
        <v>0</v>
      </c>
      <c r="CD8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8" spans="1:86" hidden="1">
      <c r="A878">
        <v>910</v>
      </c>
      <c r="B878" t="s">
        <v>1051</v>
      </c>
      <c r="C878">
        <v>3110</v>
      </c>
      <c r="D878" s="3">
        <v>37431</v>
      </c>
      <c r="F878" t="s">
        <v>174</v>
      </c>
      <c r="G878">
        <v>1766</v>
      </c>
      <c r="H878">
        <f ca="1">MONTH(NOW())+12*YEAR(NOW())-MONTH(tbl_MTG_Set[[#This Row],[Released On]])-12*YEAR(tbl_MTG_Set[[#This Row],[Released On]])</f>
        <v>285</v>
      </c>
      <c r="I878" t="str">
        <f>_xlfn.XLOOKUP(tbl_MTG_Set[[#This Row],[Type Name]], tbl_MTG_Set_Type[Set Type], tbl_MTG_Set_Type[Index], "(Set Type not found)")</f>
        <v>(Set Type not found)</v>
      </c>
      <c r="J878" t="str">
        <f>_xlfn.XLOOKUP(tbl_MTG_Set[[#This Row],[Type Name]], tbl_MTG_Set_Type[Set Type], tbl_MTG_Set_Type[Buy Window Month Start], "(Set Type not found)")</f>
        <v>(Set Type not found)</v>
      </c>
      <c r="K878" s="3" t="e">
        <f>tbl_MTG_Set[[#This Row],[Released On]]+tbl_MTG_Set[[#This Row],[Buy Window Month Start]]*365.25/12</f>
        <v>#VALUE!</v>
      </c>
      <c r="L878" t="str">
        <f>_xlfn.XLOOKUP(tbl_MTG_Set[[#This Row],[Type Name]], tbl_MTG_Set_Type[Set Type], tbl_MTG_Set_Type[Buy Window Month End], "(Set Type not found)", 0, 1)</f>
        <v>(Set Type not found)</v>
      </c>
      <c r="M878" s="3" t="e">
        <f>tbl_MTG_Set[[#This Row],[Released On]]+tbl_MTG_Set[[#This Row],[Buy Window Month End]]*365.25/12</f>
        <v>#VALUE!</v>
      </c>
      <c r="N878" s="3" t="e">
        <f ca="1">AND(NOW()&gt;=tbl_MTG_Set[[#This Row],[Buy Window Start]], NOW()&lt;=tbl_MTG_Set[[#This Row],[Buy Window End]])</f>
        <v>#VALUE!</v>
      </c>
      <c r="O878" t="str">
        <f>_xlfn.XLOOKUP(tbl_MTG_Set[[#This Row],[Type Name]], tbl_MTG_Set_Type[Set Type], tbl_MTG_Set_Type[Heavy Printing Window Month Start], "(Set Type not found)", 0, 1)</f>
        <v>(Set Type not found)</v>
      </c>
      <c r="P878" s="3" t="e">
        <f>tbl_MTG_Set[[#This Row],[Released On]]+tbl_MTG_Set[[#This Row],[Heavy Printing Window Month Start]]*365.25/12</f>
        <v>#VALUE!</v>
      </c>
      <c r="Q878" t="str">
        <f>_xlfn.XLOOKUP(tbl_MTG_Set[[#This Row],[Type Name]], tbl_MTG_Set_Type[Set Type], tbl_MTG_Set_Type[Heavy Printing Window Month End], "(Set Type not found)", 0, 1)</f>
        <v>(Set Type not found)</v>
      </c>
      <c r="R878" s="3" t="e">
        <f>tbl_MTG_Set[[#This Row],[Released On]]+tbl_MTG_Set[[#This Row],[Heavy Printing Window Month End]]*365.25/12</f>
        <v>#VALUE!</v>
      </c>
      <c r="S878" s="3" t="e">
        <f ca="1">AND(NOW()&gt;=tbl_MTG_Set[[#This Row],[Heavy Printing Window Start]], NOW()&lt;=tbl_MTG_Set[[#This Row],[Heavy Printing Window End]])</f>
        <v>#VALUE!</v>
      </c>
      <c r="T878" t="str">
        <f>_xlfn.XLOOKUP(tbl_MTG_Set[[#This Row],[Type Name]], tbl_MTG_Set_Type[Set Type], tbl_MTG_Set_Type[Sell Window Month Start], "(Set Type not found)", 0, 1)</f>
        <v>(Set Type not found)</v>
      </c>
      <c r="U878" s="3" t="e">
        <f>tbl_MTG_Set[[#This Row],[Released On]]+tbl_MTG_Set[[#This Row],[Sell Window Month Start]]*365.25/12</f>
        <v>#VALUE!</v>
      </c>
      <c r="V878" t="str">
        <f>_xlfn.XLOOKUP(tbl_MTG_Set[[#This Row],[Type Name]], tbl_MTG_Set_Type[Set Type], tbl_MTG_Set_Type[Sell Window Month End], "(Set Type not found)", 0, 1)</f>
        <v>(Set Type not found)</v>
      </c>
      <c r="W878" s="3" t="e">
        <f>tbl_MTG_Set[[#This Row],[Released On]]+tbl_MTG_Set[[#This Row],[Sell Window Month End]]*365.25/12</f>
        <v>#VALUE!</v>
      </c>
      <c r="X878" s="3" t="e">
        <f ca="1">AND(NOW()&gt;=tbl_MTG_Set[[#This Row],[Sell Window Start]], NOW()&lt;=tbl_MTG_Set[[#This Row],[Sell Window End]])</f>
        <v>#VALUE!</v>
      </c>
      <c r="AG878" s="10"/>
      <c r="AH878" s="10"/>
      <c r="AM878" s="10" t="str" cm="1">
        <f t="array" ref="AM8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8" s="10" t="str" cm="1">
        <f t="array" ref="AN8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8" s="4" t="e">
        <f>_xlfn.XLOOKUP(tbl_MTG_Set[[#This Row],[Play Booster Box Product Id]], tbl_Product[Product Id], tbl_Product[Pack Size])</f>
        <v>#N/A</v>
      </c>
      <c r="AP878" s="10" t="e">
        <f>(tbl_MTG_Set[[#This Row],[Play Booster Box Cost]]+v_Item_Shipping_Cost_In)/tbl_MTG_Set[[#This Row],[Play Booster Box Size]]</f>
        <v>#VALUE!</v>
      </c>
      <c r="AQ878" s="10" t="str" cm="1">
        <f t="array" ref="AQ8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8" s="10"/>
      <c r="AS878" s="10"/>
      <c r="AT878" s="17" t="e">
        <f>tbl_MTG_Set[[#This Row],[Play Booster CardMarket Profit]]/tbl_MTG_Set[[#This Row],[Play Booster Cost]]</f>
        <v>#VALUE!</v>
      </c>
      <c r="AU878" s="10" t="e">
        <f>_xlfn.XLOOKUP(tbl_MTG_Set[[#This Row],[Collector Booster Box Product Id]], tbl_Product[Product Id], tbl_Product[Min Cost])</f>
        <v>#N/A</v>
      </c>
      <c r="AV878" s="10" t="e">
        <f>_xlfn.XLOOKUP(tbl_MTG_Set[[#This Row],[Collector Booster Box Product Id]], tbl_Product[Product Id], tbl_Product[Best Source])</f>
        <v>#N/A</v>
      </c>
      <c r="AW878" s="4" t="e">
        <f>_xlfn.XLOOKUP(tbl_MTG_Set[[#This Row],[Collector Booster Box Product Id]], tbl_Product[Product Id], tbl_Product[Pack Size])</f>
        <v>#N/A</v>
      </c>
      <c r="AX878" s="10" t="e">
        <f>(tbl_MTG_Set[[#This Row],[Collector Booster Box Cost]] + v_Item_Shipping_Cost_In) / tbl_MTG_Set[[#This Row],[Collector Booster Box Size]]</f>
        <v>#N/A</v>
      </c>
      <c r="AY878" s="10" t="str" cm="1">
        <f t="array" ref="AY8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8" s="10"/>
      <c r="BA8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8" s="17" t="e">
        <f>tbl_MTG_Set[[#This Row],[Collector Booster CardMarket Profit]]/tbl_MTG_Set[[#This Row],[Collector Booster Cost]]</f>
        <v>#N/A</v>
      </c>
      <c r="BC878" s="10"/>
      <c r="BF8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8" s="11" t="e">
        <f>tbl_MTG_Set[[#This Row],[Play Singles CardMarket Profit MTG Stocks]]/tbl_MTG_Set[[#This Row],[Play Booster Cost]]</f>
        <v>#VALUE!</v>
      </c>
      <c r="BI878" s="11" t="b">
        <f>tbl_MTG_Set[[#This Row],[Play Singles CardMarket Profit MTG Stocks]]&gt;0</f>
        <v>0</v>
      </c>
      <c r="BM878" s="10" t="e">
        <f>tbl_MTG_Set[[#This Row],[Play Booster Sell Price CardMarket]]*tbl_MTG_Set[[#This Row],[Play Booster Expected Market Value BotBox]]/tbl_MTG_Set[[#This Row],[Play Booster Sealed Market Value BotBox]]</f>
        <v>#VALUE!</v>
      </c>
      <c r="BN8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8" s="10" t="e">
        <f>tbl_MTG_Set[[#This Row],[Play Singles CardMarket Profit BotBox]]/tbl_MTG_Set[[#This Row],[Play Booster Cost]]</f>
        <v>#VALUE!</v>
      </c>
      <c r="BP878" s="10" t="b">
        <f>tbl_MTG_Set[[#This Row],[Play Singles CardMarket Profit BotBox]]&gt;0</f>
        <v>0</v>
      </c>
      <c r="BQ878" s="10"/>
      <c r="BR878" s="10"/>
      <c r="BS878" s="10"/>
      <c r="BT8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8" s="19" t="e">
        <f>tbl_MTG_Set[[#This Row],[Collector Singles CardMarket Profit MTG Stocks]]/tbl_MTG_Set[[#This Row],[Collector Booster Cost]]</f>
        <v>#N/A</v>
      </c>
      <c r="BW878" s="10" t="b">
        <f>tbl_MTG_Set[[#This Row],[Collector Singles CardMarket Profit MTG Stocks]]&gt;0</f>
        <v>0</v>
      </c>
      <c r="BX878" s="10"/>
      <c r="BY878" s="10"/>
      <c r="BZ8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8" s="10" t="e">
        <f>tbl_MTG_Set[[#This Row],[Collector Singles CardMarket Profit BotBox]]/tbl_MTG_Set[[#This Row],[Collector Booster Cost]]</f>
        <v>#N/A</v>
      </c>
      <c r="CC878" s="10" t="b">
        <f>tbl_MTG_Set[[#This Row],[Collector Singles CardMarket Profit BotBox]]&gt;0</f>
        <v>0</v>
      </c>
      <c r="CD8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79" spans="1:86" hidden="1">
      <c r="A879">
        <v>911</v>
      </c>
      <c r="B879" t="s">
        <v>1052</v>
      </c>
      <c r="C879">
        <v>143</v>
      </c>
      <c r="D879" s="3">
        <v>37403</v>
      </c>
      <c r="F879" t="s">
        <v>174</v>
      </c>
      <c r="G879">
        <v>1768</v>
      </c>
      <c r="H879">
        <f ca="1">MONTH(NOW())+12*YEAR(NOW())-MONTH(tbl_MTG_Set[[#This Row],[Released On]])-12*YEAR(tbl_MTG_Set[[#This Row],[Released On]])</f>
        <v>286</v>
      </c>
      <c r="I879" t="str">
        <f>_xlfn.XLOOKUP(tbl_MTG_Set[[#This Row],[Type Name]], tbl_MTG_Set_Type[Set Type], tbl_MTG_Set_Type[Index], "(Set Type not found)")</f>
        <v>(Set Type not found)</v>
      </c>
      <c r="J879" t="str">
        <f>_xlfn.XLOOKUP(tbl_MTG_Set[[#This Row],[Type Name]], tbl_MTG_Set_Type[Set Type], tbl_MTG_Set_Type[Buy Window Month Start], "(Set Type not found)")</f>
        <v>(Set Type not found)</v>
      </c>
      <c r="K879" s="3" t="e">
        <f>tbl_MTG_Set[[#This Row],[Released On]]+tbl_MTG_Set[[#This Row],[Buy Window Month Start]]*365.25/12</f>
        <v>#VALUE!</v>
      </c>
      <c r="L879" t="str">
        <f>_xlfn.XLOOKUP(tbl_MTG_Set[[#This Row],[Type Name]], tbl_MTG_Set_Type[Set Type], tbl_MTG_Set_Type[Buy Window Month End], "(Set Type not found)", 0, 1)</f>
        <v>(Set Type not found)</v>
      </c>
      <c r="M879" s="3" t="e">
        <f>tbl_MTG_Set[[#This Row],[Released On]]+tbl_MTG_Set[[#This Row],[Buy Window Month End]]*365.25/12</f>
        <v>#VALUE!</v>
      </c>
      <c r="N879" s="3" t="e">
        <f ca="1">AND(NOW()&gt;=tbl_MTG_Set[[#This Row],[Buy Window Start]], NOW()&lt;=tbl_MTG_Set[[#This Row],[Buy Window End]])</f>
        <v>#VALUE!</v>
      </c>
      <c r="O879" t="str">
        <f>_xlfn.XLOOKUP(tbl_MTG_Set[[#This Row],[Type Name]], tbl_MTG_Set_Type[Set Type], tbl_MTG_Set_Type[Heavy Printing Window Month Start], "(Set Type not found)", 0, 1)</f>
        <v>(Set Type not found)</v>
      </c>
      <c r="P879" s="3" t="e">
        <f>tbl_MTG_Set[[#This Row],[Released On]]+tbl_MTG_Set[[#This Row],[Heavy Printing Window Month Start]]*365.25/12</f>
        <v>#VALUE!</v>
      </c>
      <c r="Q879" t="str">
        <f>_xlfn.XLOOKUP(tbl_MTG_Set[[#This Row],[Type Name]], tbl_MTG_Set_Type[Set Type], tbl_MTG_Set_Type[Heavy Printing Window Month End], "(Set Type not found)", 0, 1)</f>
        <v>(Set Type not found)</v>
      </c>
      <c r="R879" s="3" t="e">
        <f>tbl_MTG_Set[[#This Row],[Released On]]+tbl_MTG_Set[[#This Row],[Heavy Printing Window Month End]]*365.25/12</f>
        <v>#VALUE!</v>
      </c>
      <c r="S879" s="3" t="e">
        <f ca="1">AND(NOW()&gt;=tbl_MTG_Set[[#This Row],[Heavy Printing Window Start]], NOW()&lt;=tbl_MTG_Set[[#This Row],[Heavy Printing Window End]])</f>
        <v>#VALUE!</v>
      </c>
      <c r="T879" t="str">
        <f>_xlfn.XLOOKUP(tbl_MTG_Set[[#This Row],[Type Name]], tbl_MTG_Set_Type[Set Type], tbl_MTG_Set_Type[Sell Window Month Start], "(Set Type not found)", 0, 1)</f>
        <v>(Set Type not found)</v>
      </c>
      <c r="U879" s="3" t="e">
        <f>tbl_MTG_Set[[#This Row],[Released On]]+tbl_MTG_Set[[#This Row],[Sell Window Month Start]]*365.25/12</f>
        <v>#VALUE!</v>
      </c>
      <c r="V879" t="str">
        <f>_xlfn.XLOOKUP(tbl_MTG_Set[[#This Row],[Type Name]], tbl_MTG_Set_Type[Set Type], tbl_MTG_Set_Type[Sell Window Month End], "(Set Type not found)", 0, 1)</f>
        <v>(Set Type not found)</v>
      </c>
      <c r="W879" s="3" t="e">
        <f>tbl_MTG_Set[[#This Row],[Released On]]+tbl_MTG_Set[[#This Row],[Sell Window Month End]]*365.25/12</f>
        <v>#VALUE!</v>
      </c>
      <c r="X879" s="3" t="e">
        <f ca="1">AND(NOW()&gt;=tbl_MTG_Set[[#This Row],[Sell Window Start]], NOW()&lt;=tbl_MTG_Set[[#This Row],[Sell Window End]])</f>
        <v>#VALUE!</v>
      </c>
      <c r="AG879" s="10"/>
      <c r="AH879" s="10"/>
      <c r="AM879" s="10" t="str" cm="1">
        <f t="array" ref="AM8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79" s="10" t="str" cm="1">
        <f t="array" ref="AN8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79" s="4" t="e">
        <f>_xlfn.XLOOKUP(tbl_MTG_Set[[#This Row],[Play Booster Box Product Id]], tbl_Product[Product Id], tbl_Product[Pack Size])</f>
        <v>#N/A</v>
      </c>
      <c r="AP879" s="10" t="e">
        <f>(tbl_MTG_Set[[#This Row],[Play Booster Box Cost]]+v_Item_Shipping_Cost_In)/tbl_MTG_Set[[#This Row],[Play Booster Box Size]]</f>
        <v>#VALUE!</v>
      </c>
      <c r="AQ879" s="10" t="str" cm="1">
        <f t="array" ref="AQ8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79" s="10"/>
      <c r="AS879" s="10"/>
      <c r="AT879" s="17" t="e">
        <f>tbl_MTG_Set[[#This Row],[Play Booster CardMarket Profit]]/tbl_MTG_Set[[#This Row],[Play Booster Cost]]</f>
        <v>#VALUE!</v>
      </c>
      <c r="AU879" s="10" t="e">
        <f>_xlfn.XLOOKUP(tbl_MTG_Set[[#This Row],[Collector Booster Box Product Id]], tbl_Product[Product Id], tbl_Product[Min Cost])</f>
        <v>#N/A</v>
      </c>
      <c r="AV879" s="10" t="e">
        <f>_xlfn.XLOOKUP(tbl_MTG_Set[[#This Row],[Collector Booster Box Product Id]], tbl_Product[Product Id], tbl_Product[Best Source])</f>
        <v>#N/A</v>
      </c>
      <c r="AW879" s="4" t="e">
        <f>_xlfn.XLOOKUP(tbl_MTG_Set[[#This Row],[Collector Booster Box Product Id]], tbl_Product[Product Id], tbl_Product[Pack Size])</f>
        <v>#N/A</v>
      </c>
      <c r="AX879" s="10" t="e">
        <f>(tbl_MTG_Set[[#This Row],[Collector Booster Box Cost]] + v_Item_Shipping_Cost_In) / tbl_MTG_Set[[#This Row],[Collector Booster Box Size]]</f>
        <v>#N/A</v>
      </c>
      <c r="AY879" s="10" t="str" cm="1">
        <f t="array" ref="AY8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79" s="10"/>
      <c r="BA8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79" s="17" t="e">
        <f>tbl_MTG_Set[[#This Row],[Collector Booster CardMarket Profit]]/tbl_MTG_Set[[#This Row],[Collector Booster Cost]]</f>
        <v>#N/A</v>
      </c>
      <c r="BC879" s="10"/>
      <c r="BF8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79" s="11" t="e">
        <f>tbl_MTG_Set[[#This Row],[Play Singles CardMarket Profit MTG Stocks]]/tbl_MTG_Set[[#This Row],[Play Booster Cost]]</f>
        <v>#VALUE!</v>
      </c>
      <c r="BI879" s="11" t="b">
        <f>tbl_MTG_Set[[#This Row],[Play Singles CardMarket Profit MTG Stocks]]&gt;0</f>
        <v>0</v>
      </c>
      <c r="BM879" s="10" t="e">
        <f>tbl_MTG_Set[[#This Row],[Play Booster Sell Price CardMarket]]*tbl_MTG_Set[[#This Row],[Play Booster Expected Market Value BotBox]]/tbl_MTG_Set[[#This Row],[Play Booster Sealed Market Value BotBox]]</f>
        <v>#VALUE!</v>
      </c>
      <c r="BN8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79" s="10" t="e">
        <f>tbl_MTG_Set[[#This Row],[Play Singles CardMarket Profit BotBox]]/tbl_MTG_Set[[#This Row],[Play Booster Cost]]</f>
        <v>#VALUE!</v>
      </c>
      <c r="BP879" s="10" t="b">
        <f>tbl_MTG_Set[[#This Row],[Play Singles CardMarket Profit BotBox]]&gt;0</f>
        <v>0</v>
      </c>
      <c r="BQ879" s="10"/>
      <c r="BR879" s="10"/>
      <c r="BS879" s="10"/>
      <c r="BT8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79" s="19" t="e">
        <f>tbl_MTG_Set[[#This Row],[Collector Singles CardMarket Profit MTG Stocks]]/tbl_MTG_Set[[#This Row],[Collector Booster Cost]]</f>
        <v>#N/A</v>
      </c>
      <c r="BW879" s="10" t="b">
        <f>tbl_MTG_Set[[#This Row],[Collector Singles CardMarket Profit MTG Stocks]]&gt;0</f>
        <v>0</v>
      </c>
      <c r="BX879" s="10"/>
      <c r="BY879" s="10"/>
      <c r="BZ8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79" s="10" t="e">
        <f>tbl_MTG_Set[[#This Row],[Collector Singles CardMarket Profit BotBox]]/tbl_MTG_Set[[#This Row],[Collector Booster Cost]]</f>
        <v>#N/A</v>
      </c>
      <c r="CC879" s="10" t="b">
        <f>tbl_MTG_Set[[#This Row],[Collector Singles CardMarket Profit BotBox]]&gt;0</f>
        <v>0</v>
      </c>
      <c r="CD8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0" spans="1:86" hidden="1">
      <c r="A880">
        <v>912</v>
      </c>
      <c r="B880" t="s">
        <v>1053</v>
      </c>
      <c r="C880">
        <v>1</v>
      </c>
      <c r="D880" s="3">
        <v>37403</v>
      </c>
      <c r="F880" t="s">
        <v>174</v>
      </c>
      <c r="G880">
        <v>1770</v>
      </c>
      <c r="H880">
        <f ca="1">MONTH(NOW())+12*YEAR(NOW())-MONTH(tbl_MTG_Set[[#This Row],[Released On]])-12*YEAR(tbl_MTG_Set[[#This Row],[Released On]])</f>
        <v>286</v>
      </c>
      <c r="I880" t="str">
        <f>_xlfn.XLOOKUP(tbl_MTG_Set[[#This Row],[Type Name]], tbl_MTG_Set_Type[Set Type], tbl_MTG_Set_Type[Index], "(Set Type not found)")</f>
        <v>(Set Type not found)</v>
      </c>
      <c r="J880" t="str">
        <f>_xlfn.XLOOKUP(tbl_MTG_Set[[#This Row],[Type Name]], tbl_MTG_Set_Type[Set Type], tbl_MTG_Set_Type[Buy Window Month Start], "(Set Type not found)")</f>
        <v>(Set Type not found)</v>
      </c>
      <c r="K880" s="3" t="e">
        <f>tbl_MTG_Set[[#This Row],[Released On]]+tbl_MTG_Set[[#This Row],[Buy Window Month Start]]*365.25/12</f>
        <v>#VALUE!</v>
      </c>
      <c r="L880" t="str">
        <f>_xlfn.XLOOKUP(tbl_MTG_Set[[#This Row],[Type Name]], tbl_MTG_Set_Type[Set Type], tbl_MTG_Set_Type[Buy Window Month End], "(Set Type not found)", 0, 1)</f>
        <v>(Set Type not found)</v>
      </c>
      <c r="M880" s="3" t="e">
        <f>tbl_MTG_Set[[#This Row],[Released On]]+tbl_MTG_Set[[#This Row],[Buy Window Month End]]*365.25/12</f>
        <v>#VALUE!</v>
      </c>
      <c r="N880" s="3" t="e">
        <f ca="1">AND(NOW()&gt;=tbl_MTG_Set[[#This Row],[Buy Window Start]], NOW()&lt;=tbl_MTG_Set[[#This Row],[Buy Window End]])</f>
        <v>#VALUE!</v>
      </c>
      <c r="O880" t="str">
        <f>_xlfn.XLOOKUP(tbl_MTG_Set[[#This Row],[Type Name]], tbl_MTG_Set_Type[Set Type], tbl_MTG_Set_Type[Heavy Printing Window Month Start], "(Set Type not found)", 0, 1)</f>
        <v>(Set Type not found)</v>
      </c>
      <c r="P880" s="3" t="e">
        <f>tbl_MTG_Set[[#This Row],[Released On]]+tbl_MTG_Set[[#This Row],[Heavy Printing Window Month Start]]*365.25/12</f>
        <v>#VALUE!</v>
      </c>
      <c r="Q880" t="str">
        <f>_xlfn.XLOOKUP(tbl_MTG_Set[[#This Row],[Type Name]], tbl_MTG_Set_Type[Set Type], tbl_MTG_Set_Type[Heavy Printing Window Month End], "(Set Type not found)", 0, 1)</f>
        <v>(Set Type not found)</v>
      </c>
      <c r="R880" s="3" t="e">
        <f>tbl_MTG_Set[[#This Row],[Released On]]+tbl_MTG_Set[[#This Row],[Heavy Printing Window Month End]]*365.25/12</f>
        <v>#VALUE!</v>
      </c>
      <c r="S880" s="3" t="e">
        <f ca="1">AND(NOW()&gt;=tbl_MTG_Set[[#This Row],[Heavy Printing Window Start]], NOW()&lt;=tbl_MTG_Set[[#This Row],[Heavy Printing Window End]])</f>
        <v>#VALUE!</v>
      </c>
      <c r="T880" t="str">
        <f>_xlfn.XLOOKUP(tbl_MTG_Set[[#This Row],[Type Name]], tbl_MTG_Set_Type[Set Type], tbl_MTG_Set_Type[Sell Window Month Start], "(Set Type not found)", 0, 1)</f>
        <v>(Set Type not found)</v>
      </c>
      <c r="U880" s="3" t="e">
        <f>tbl_MTG_Set[[#This Row],[Released On]]+tbl_MTG_Set[[#This Row],[Sell Window Month Start]]*365.25/12</f>
        <v>#VALUE!</v>
      </c>
      <c r="V880" t="str">
        <f>_xlfn.XLOOKUP(tbl_MTG_Set[[#This Row],[Type Name]], tbl_MTG_Set_Type[Set Type], tbl_MTG_Set_Type[Sell Window Month End], "(Set Type not found)", 0, 1)</f>
        <v>(Set Type not found)</v>
      </c>
      <c r="W880" s="3" t="e">
        <f>tbl_MTG_Set[[#This Row],[Released On]]+tbl_MTG_Set[[#This Row],[Sell Window Month End]]*365.25/12</f>
        <v>#VALUE!</v>
      </c>
      <c r="X880" s="3" t="e">
        <f ca="1">AND(NOW()&gt;=tbl_MTG_Set[[#This Row],[Sell Window Start]], NOW()&lt;=tbl_MTG_Set[[#This Row],[Sell Window End]])</f>
        <v>#VALUE!</v>
      </c>
      <c r="AG880" s="10"/>
      <c r="AH880" s="10"/>
      <c r="AM880" s="10" t="str" cm="1">
        <f t="array" ref="AM8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0" s="10" t="str" cm="1">
        <f t="array" ref="AN8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0" s="4" t="e">
        <f>_xlfn.XLOOKUP(tbl_MTG_Set[[#This Row],[Play Booster Box Product Id]], tbl_Product[Product Id], tbl_Product[Pack Size])</f>
        <v>#N/A</v>
      </c>
      <c r="AP880" s="10" t="e">
        <f>(tbl_MTG_Set[[#This Row],[Play Booster Box Cost]]+v_Item_Shipping_Cost_In)/tbl_MTG_Set[[#This Row],[Play Booster Box Size]]</f>
        <v>#VALUE!</v>
      </c>
      <c r="AQ880" s="10" t="str" cm="1">
        <f t="array" ref="AQ8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0" s="10"/>
      <c r="AS880" s="10"/>
      <c r="AT880" s="17" t="e">
        <f>tbl_MTG_Set[[#This Row],[Play Booster CardMarket Profit]]/tbl_MTG_Set[[#This Row],[Play Booster Cost]]</f>
        <v>#VALUE!</v>
      </c>
      <c r="AU880" s="10" t="e">
        <f>_xlfn.XLOOKUP(tbl_MTG_Set[[#This Row],[Collector Booster Box Product Id]], tbl_Product[Product Id], tbl_Product[Min Cost])</f>
        <v>#N/A</v>
      </c>
      <c r="AV880" s="10" t="e">
        <f>_xlfn.XLOOKUP(tbl_MTG_Set[[#This Row],[Collector Booster Box Product Id]], tbl_Product[Product Id], tbl_Product[Best Source])</f>
        <v>#N/A</v>
      </c>
      <c r="AW880" s="4" t="e">
        <f>_xlfn.XLOOKUP(tbl_MTG_Set[[#This Row],[Collector Booster Box Product Id]], tbl_Product[Product Id], tbl_Product[Pack Size])</f>
        <v>#N/A</v>
      </c>
      <c r="AX880" s="10" t="e">
        <f>(tbl_MTG_Set[[#This Row],[Collector Booster Box Cost]] + v_Item_Shipping_Cost_In) / tbl_MTG_Set[[#This Row],[Collector Booster Box Size]]</f>
        <v>#N/A</v>
      </c>
      <c r="AY880" s="10" t="str" cm="1">
        <f t="array" ref="AY8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0" s="10"/>
      <c r="BA8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0" s="17" t="e">
        <f>tbl_MTG_Set[[#This Row],[Collector Booster CardMarket Profit]]/tbl_MTG_Set[[#This Row],[Collector Booster Cost]]</f>
        <v>#N/A</v>
      </c>
      <c r="BC880" s="10"/>
      <c r="BF8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0" s="11" t="e">
        <f>tbl_MTG_Set[[#This Row],[Play Singles CardMarket Profit MTG Stocks]]/tbl_MTG_Set[[#This Row],[Play Booster Cost]]</f>
        <v>#VALUE!</v>
      </c>
      <c r="BI880" s="11" t="b">
        <f>tbl_MTG_Set[[#This Row],[Play Singles CardMarket Profit MTG Stocks]]&gt;0</f>
        <v>0</v>
      </c>
      <c r="BM880" s="10" t="e">
        <f>tbl_MTG_Set[[#This Row],[Play Booster Sell Price CardMarket]]*tbl_MTG_Set[[#This Row],[Play Booster Expected Market Value BotBox]]/tbl_MTG_Set[[#This Row],[Play Booster Sealed Market Value BotBox]]</f>
        <v>#VALUE!</v>
      </c>
      <c r="BN8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0" s="10" t="e">
        <f>tbl_MTG_Set[[#This Row],[Play Singles CardMarket Profit BotBox]]/tbl_MTG_Set[[#This Row],[Play Booster Cost]]</f>
        <v>#VALUE!</v>
      </c>
      <c r="BP880" s="10" t="b">
        <f>tbl_MTG_Set[[#This Row],[Play Singles CardMarket Profit BotBox]]&gt;0</f>
        <v>0</v>
      </c>
      <c r="BQ880" s="10"/>
      <c r="BR880" s="10"/>
      <c r="BS880" s="10"/>
      <c r="BT8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0" s="19" t="e">
        <f>tbl_MTG_Set[[#This Row],[Collector Singles CardMarket Profit MTG Stocks]]/tbl_MTG_Set[[#This Row],[Collector Booster Cost]]</f>
        <v>#N/A</v>
      </c>
      <c r="BW880" s="10" t="b">
        <f>tbl_MTG_Set[[#This Row],[Collector Singles CardMarket Profit MTG Stocks]]&gt;0</f>
        <v>0</v>
      </c>
      <c r="BX880" s="10"/>
      <c r="BY880" s="10"/>
      <c r="BZ8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0" s="10" t="e">
        <f>tbl_MTG_Set[[#This Row],[Collector Singles CardMarket Profit BotBox]]/tbl_MTG_Set[[#This Row],[Collector Booster Cost]]</f>
        <v>#N/A</v>
      </c>
      <c r="CC880" s="10" t="b">
        <f>tbl_MTG_Set[[#This Row],[Collector Singles CardMarket Profit BotBox]]&gt;0</f>
        <v>0</v>
      </c>
      <c r="CD8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1" spans="1:86" hidden="1">
      <c r="A881">
        <v>913</v>
      </c>
      <c r="B881" t="s">
        <v>1054</v>
      </c>
      <c r="C881">
        <v>143</v>
      </c>
      <c r="D881" s="3">
        <v>37291</v>
      </c>
      <c r="F881" t="s">
        <v>174</v>
      </c>
      <c r="G881">
        <v>1772</v>
      </c>
      <c r="H881">
        <f ca="1">MONTH(NOW())+12*YEAR(NOW())-MONTH(tbl_MTG_Set[[#This Row],[Released On]])-12*YEAR(tbl_MTG_Set[[#This Row],[Released On]])</f>
        <v>289</v>
      </c>
      <c r="I881" t="str">
        <f>_xlfn.XLOOKUP(tbl_MTG_Set[[#This Row],[Type Name]], tbl_MTG_Set_Type[Set Type], tbl_MTG_Set_Type[Index], "(Set Type not found)")</f>
        <v>(Set Type not found)</v>
      </c>
      <c r="J881" t="str">
        <f>_xlfn.XLOOKUP(tbl_MTG_Set[[#This Row],[Type Name]], tbl_MTG_Set_Type[Set Type], tbl_MTG_Set_Type[Buy Window Month Start], "(Set Type not found)")</f>
        <v>(Set Type not found)</v>
      </c>
      <c r="K881" s="3" t="e">
        <f>tbl_MTG_Set[[#This Row],[Released On]]+tbl_MTG_Set[[#This Row],[Buy Window Month Start]]*365.25/12</f>
        <v>#VALUE!</v>
      </c>
      <c r="L881" t="str">
        <f>_xlfn.XLOOKUP(tbl_MTG_Set[[#This Row],[Type Name]], tbl_MTG_Set_Type[Set Type], tbl_MTG_Set_Type[Buy Window Month End], "(Set Type not found)", 0, 1)</f>
        <v>(Set Type not found)</v>
      </c>
      <c r="M881" s="3" t="e">
        <f>tbl_MTG_Set[[#This Row],[Released On]]+tbl_MTG_Set[[#This Row],[Buy Window Month End]]*365.25/12</f>
        <v>#VALUE!</v>
      </c>
      <c r="N881" s="3" t="e">
        <f ca="1">AND(NOW()&gt;=tbl_MTG_Set[[#This Row],[Buy Window Start]], NOW()&lt;=tbl_MTG_Set[[#This Row],[Buy Window End]])</f>
        <v>#VALUE!</v>
      </c>
      <c r="O881" t="str">
        <f>_xlfn.XLOOKUP(tbl_MTG_Set[[#This Row],[Type Name]], tbl_MTG_Set_Type[Set Type], tbl_MTG_Set_Type[Heavy Printing Window Month Start], "(Set Type not found)", 0, 1)</f>
        <v>(Set Type not found)</v>
      </c>
      <c r="P881" s="3" t="e">
        <f>tbl_MTG_Set[[#This Row],[Released On]]+tbl_MTG_Set[[#This Row],[Heavy Printing Window Month Start]]*365.25/12</f>
        <v>#VALUE!</v>
      </c>
      <c r="Q881" t="str">
        <f>_xlfn.XLOOKUP(tbl_MTG_Set[[#This Row],[Type Name]], tbl_MTG_Set_Type[Set Type], tbl_MTG_Set_Type[Heavy Printing Window Month End], "(Set Type not found)", 0, 1)</f>
        <v>(Set Type not found)</v>
      </c>
      <c r="R881" s="3" t="e">
        <f>tbl_MTG_Set[[#This Row],[Released On]]+tbl_MTG_Set[[#This Row],[Heavy Printing Window Month End]]*365.25/12</f>
        <v>#VALUE!</v>
      </c>
      <c r="S881" s="3" t="e">
        <f ca="1">AND(NOW()&gt;=tbl_MTG_Set[[#This Row],[Heavy Printing Window Start]], NOW()&lt;=tbl_MTG_Set[[#This Row],[Heavy Printing Window End]])</f>
        <v>#VALUE!</v>
      </c>
      <c r="T881" t="str">
        <f>_xlfn.XLOOKUP(tbl_MTG_Set[[#This Row],[Type Name]], tbl_MTG_Set_Type[Set Type], tbl_MTG_Set_Type[Sell Window Month Start], "(Set Type not found)", 0, 1)</f>
        <v>(Set Type not found)</v>
      </c>
      <c r="U881" s="3" t="e">
        <f>tbl_MTG_Set[[#This Row],[Released On]]+tbl_MTG_Set[[#This Row],[Sell Window Month Start]]*365.25/12</f>
        <v>#VALUE!</v>
      </c>
      <c r="V881" t="str">
        <f>_xlfn.XLOOKUP(tbl_MTG_Set[[#This Row],[Type Name]], tbl_MTG_Set_Type[Set Type], tbl_MTG_Set_Type[Sell Window Month End], "(Set Type not found)", 0, 1)</f>
        <v>(Set Type not found)</v>
      </c>
      <c r="W881" s="3" t="e">
        <f>tbl_MTG_Set[[#This Row],[Released On]]+tbl_MTG_Set[[#This Row],[Sell Window Month End]]*365.25/12</f>
        <v>#VALUE!</v>
      </c>
      <c r="X881" s="3" t="e">
        <f ca="1">AND(NOW()&gt;=tbl_MTG_Set[[#This Row],[Sell Window Start]], NOW()&lt;=tbl_MTG_Set[[#This Row],[Sell Window End]])</f>
        <v>#VALUE!</v>
      </c>
      <c r="AG881" s="10"/>
      <c r="AH881" s="10"/>
      <c r="AM881" s="10" t="str" cm="1">
        <f t="array" ref="AM8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1" s="10" t="str" cm="1">
        <f t="array" ref="AN8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1" s="4" t="e">
        <f>_xlfn.XLOOKUP(tbl_MTG_Set[[#This Row],[Play Booster Box Product Id]], tbl_Product[Product Id], tbl_Product[Pack Size])</f>
        <v>#N/A</v>
      </c>
      <c r="AP881" s="10" t="e">
        <f>(tbl_MTG_Set[[#This Row],[Play Booster Box Cost]]+v_Item_Shipping_Cost_In)/tbl_MTG_Set[[#This Row],[Play Booster Box Size]]</f>
        <v>#VALUE!</v>
      </c>
      <c r="AQ881" s="10" t="str" cm="1">
        <f t="array" ref="AQ8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1" s="10"/>
      <c r="AS881" s="10"/>
      <c r="AT881" s="17" t="e">
        <f>tbl_MTG_Set[[#This Row],[Play Booster CardMarket Profit]]/tbl_MTG_Set[[#This Row],[Play Booster Cost]]</f>
        <v>#VALUE!</v>
      </c>
      <c r="AU881" s="10" t="e">
        <f>_xlfn.XLOOKUP(tbl_MTG_Set[[#This Row],[Collector Booster Box Product Id]], tbl_Product[Product Id], tbl_Product[Min Cost])</f>
        <v>#N/A</v>
      </c>
      <c r="AV881" s="10" t="e">
        <f>_xlfn.XLOOKUP(tbl_MTG_Set[[#This Row],[Collector Booster Box Product Id]], tbl_Product[Product Id], tbl_Product[Best Source])</f>
        <v>#N/A</v>
      </c>
      <c r="AW881" s="4" t="e">
        <f>_xlfn.XLOOKUP(tbl_MTG_Set[[#This Row],[Collector Booster Box Product Id]], tbl_Product[Product Id], tbl_Product[Pack Size])</f>
        <v>#N/A</v>
      </c>
      <c r="AX881" s="10" t="e">
        <f>(tbl_MTG_Set[[#This Row],[Collector Booster Box Cost]] + v_Item_Shipping_Cost_In) / tbl_MTG_Set[[#This Row],[Collector Booster Box Size]]</f>
        <v>#N/A</v>
      </c>
      <c r="AY881" s="10" t="str" cm="1">
        <f t="array" ref="AY8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1" s="10"/>
      <c r="BA8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1" s="17" t="e">
        <f>tbl_MTG_Set[[#This Row],[Collector Booster CardMarket Profit]]/tbl_MTG_Set[[#This Row],[Collector Booster Cost]]</f>
        <v>#N/A</v>
      </c>
      <c r="BC881" s="10"/>
      <c r="BF8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1" s="11" t="e">
        <f>tbl_MTG_Set[[#This Row],[Play Singles CardMarket Profit MTG Stocks]]/tbl_MTG_Set[[#This Row],[Play Booster Cost]]</f>
        <v>#VALUE!</v>
      </c>
      <c r="BI881" s="11" t="b">
        <f>tbl_MTG_Set[[#This Row],[Play Singles CardMarket Profit MTG Stocks]]&gt;0</f>
        <v>0</v>
      </c>
      <c r="BM881" s="10" t="e">
        <f>tbl_MTG_Set[[#This Row],[Play Booster Sell Price CardMarket]]*tbl_MTG_Set[[#This Row],[Play Booster Expected Market Value BotBox]]/tbl_MTG_Set[[#This Row],[Play Booster Sealed Market Value BotBox]]</f>
        <v>#VALUE!</v>
      </c>
      <c r="BN8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1" s="10" t="e">
        <f>tbl_MTG_Set[[#This Row],[Play Singles CardMarket Profit BotBox]]/tbl_MTG_Set[[#This Row],[Play Booster Cost]]</f>
        <v>#VALUE!</v>
      </c>
      <c r="BP881" s="10" t="b">
        <f>tbl_MTG_Set[[#This Row],[Play Singles CardMarket Profit BotBox]]&gt;0</f>
        <v>0</v>
      </c>
      <c r="BQ881" s="10"/>
      <c r="BR881" s="10"/>
      <c r="BS881" s="10"/>
      <c r="BT8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1" s="19" t="e">
        <f>tbl_MTG_Set[[#This Row],[Collector Singles CardMarket Profit MTG Stocks]]/tbl_MTG_Set[[#This Row],[Collector Booster Cost]]</f>
        <v>#N/A</v>
      </c>
      <c r="BW881" s="10" t="b">
        <f>tbl_MTG_Set[[#This Row],[Collector Singles CardMarket Profit MTG Stocks]]&gt;0</f>
        <v>0</v>
      </c>
      <c r="BX881" s="10"/>
      <c r="BY881" s="10"/>
      <c r="BZ8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1" s="10" t="e">
        <f>tbl_MTG_Set[[#This Row],[Collector Singles CardMarket Profit BotBox]]/tbl_MTG_Set[[#This Row],[Collector Booster Cost]]</f>
        <v>#N/A</v>
      </c>
      <c r="CC881" s="10" t="b">
        <f>tbl_MTG_Set[[#This Row],[Collector Singles CardMarket Profit BotBox]]&gt;0</f>
        <v>0</v>
      </c>
      <c r="CD8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2" spans="1:86" hidden="1">
      <c r="A882">
        <v>914</v>
      </c>
      <c r="B882" t="s">
        <v>1055</v>
      </c>
      <c r="C882">
        <v>3</v>
      </c>
      <c r="D882" s="3">
        <v>37291</v>
      </c>
      <c r="F882" t="s">
        <v>174</v>
      </c>
      <c r="G882">
        <v>1774</v>
      </c>
      <c r="H882">
        <f ca="1">MONTH(NOW())+12*YEAR(NOW())-MONTH(tbl_MTG_Set[[#This Row],[Released On]])-12*YEAR(tbl_MTG_Set[[#This Row],[Released On]])</f>
        <v>289</v>
      </c>
      <c r="I882" t="str">
        <f>_xlfn.XLOOKUP(tbl_MTG_Set[[#This Row],[Type Name]], tbl_MTG_Set_Type[Set Type], tbl_MTG_Set_Type[Index], "(Set Type not found)")</f>
        <v>(Set Type not found)</v>
      </c>
      <c r="J882" t="str">
        <f>_xlfn.XLOOKUP(tbl_MTG_Set[[#This Row],[Type Name]], tbl_MTG_Set_Type[Set Type], tbl_MTG_Set_Type[Buy Window Month Start], "(Set Type not found)")</f>
        <v>(Set Type not found)</v>
      </c>
      <c r="K882" s="3" t="e">
        <f>tbl_MTG_Set[[#This Row],[Released On]]+tbl_MTG_Set[[#This Row],[Buy Window Month Start]]*365.25/12</f>
        <v>#VALUE!</v>
      </c>
      <c r="L882" t="str">
        <f>_xlfn.XLOOKUP(tbl_MTG_Set[[#This Row],[Type Name]], tbl_MTG_Set_Type[Set Type], tbl_MTG_Set_Type[Buy Window Month End], "(Set Type not found)", 0, 1)</f>
        <v>(Set Type not found)</v>
      </c>
      <c r="M882" s="3" t="e">
        <f>tbl_MTG_Set[[#This Row],[Released On]]+tbl_MTG_Set[[#This Row],[Buy Window Month End]]*365.25/12</f>
        <v>#VALUE!</v>
      </c>
      <c r="N882" s="3" t="e">
        <f ca="1">AND(NOW()&gt;=tbl_MTG_Set[[#This Row],[Buy Window Start]], NOW()&lt;=tbl_MTG_Set[[#This Row],[Buy Window End]])</f>
        <v>#VALUE!</v>
      </c>
      <c r="O882" t="str">
        <f>_xlfn.XLOOKUP(tbl_MTG_Set[[#This Row],[Type Name]], tbl_MTG_Set_Type[Set Type], tbl_MTG_Set_Type[Heavy Printing Window Month Start], "(Set Type not found)", 0, 1)</f>
        <v>(Set Type not found)</v>
      </c>
      <c r="P882" s="3" t="e">
        <f>tbl_MTG_Set[[#This Row],[Released On]]+tbl_MTG_Set[[#This Row],[Heavy Printing Window Month Start]]*365.25/12</f>
        <v>#VALUE!</v>
      </c>
      <c r="Q882" t="str">
        <f>_xlfn.XLOOKUP(tbl_MTG_Set[[#This Row],[Type Name]], tbl_MTG_Set_Type[Set Type], tbl_MTG_Set_Type[Heavy Printing Window Month End], "(Set Type not found)", 0, 1)</f>
        <v>(Set Type not found)</v>
      </c>
      <c r="R882" s="3" t="e">
        <f>tbl_MTG_Set[[#This Row],[Released On]]+tbl_MTG_Set[[#This Row],[Heavy Printing Window Month End]]*365.25/12</f>
        <v>#VALUE!</v>
      </c>
      <c r="S882" s="3" t="e">
        <f ca="1">AND(NOW()&gt;=tbl_MTG_Set[[#This Row],[Heavy Printing Window Start]], NOW()&lt;=tbl_MTG_Set[[#This Row],[Heavy Printing Window End]])</f>
        <v>#VALUE!</v>
      </c>
      <c r="T882" t="str">
        <f>_xlfn.XLOOKUP(tbl_MTG_Set[[#This Row],[Type Name]], tbl_MTG_Set_Type[Set Type], tbl_MTG_Set_Type[Sell Window Month Start], "(Set Type not found)", 0, 1)</f>
        <v>(Set Type not found)</v>
      </c>
      <c r="U882" s="3" t="e">
        <f>tbl_MTG_Set[[#This Row],[Released On]]+tbl_MTG_Set[[#This Row],[Sell Window Month Start]]*365.25/12</f>
        <v>#VALUE!</v>
      </c>
      <c r="V882" t="str">
        <f>_xlfn.XLOOKUP(tbl_MTG_Set[[#This Row],[Type Name]], tbl_MTG_Set_Type[Set Type], tbl_MTG_Set_Type[Sell Window Month End], "(Set Type not found)", 0, 1)</f>
        <v>(Set Type not found)</v>
      </c>
      <c r="W882" s="3" t="e">
        <f>tbl_MTG_Set[[#This Row],[Released On]]+tbl_MTG_Set[[#This Row],[Sell Window Month End]]*365.25/12</f>
        <v>#VALUE!</v>
      </c>
      <c r="X882" s="3" t="e">
        <f ca="1">AND(NOW()&gt;=tbl_MTG_Set[[#This Row],[Sell Window Start]], NOW()&lt;=tbl_MTG_Set[[#This Row],[Sell Window End]])</f>
        <v>#VALUE!</v>
      </c>
      <c r="AG882" s="10"/>
      <c r="AH882" s="10"/>
      <c r="AM882" s="10" t="str" cm="1">
        <f t="array" ref="AM8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2" s="10" t="str" cm="1">
        <f t="array" ref="AN8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2" s="4" t="e">
        <f>_xlfn.XLOOKUP(tbl_MTG_Set[[#This Row],[Play Booster Box Product Id]], tbl_Product[Product Id], tbl_Product[Pack Size])</f>
        <v>#N/A</v>
      </c>
      <c r="AP882" s="10" t="e">
        <f>(tbl_MTG_Set[[#This Row],[Play Booster Box Cost]]+v_Item_Shipping_Cost_In)/tbl_MTG_Set[[#This Row],[Play Booster Box Size]]</f>
        <v>#VALUE!</v>
      </c>
      <c r="AQ882" s="10" t="str" cm="1">
        <f t="array" ref="AQ8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2" s="10"/>
      <c r="AS882" s="10"/>
      <c r="AT882" s="17" t="e">
        <f>tbl_MTG_Set[[#This Row],[Play Booster CardMarket Profit]]/tbl_MTG_Set[[#This Row],[Play Booster Cost]]</f>
        <v>#VALUE!</v>
      </c>
      <c r="AU882" s="10" t="e">
        <f>_xlfn.XLOOKUP(tbl_MTG_Set[[#This Row],[Collector Booster Box Product Id]], tbl_Product[Product Id], tbl_Product[Min Cost])</f>
        <v>#N/A</v>
      </c>
      <c r="AV882" s="10" t="e">
        <f>_xlfn.XLOOKUP(tbl_MTG_Set[[#This Row],[Collector Booster Box Product Id]], tbl_Product[Product Id], tbl_Product[Best Source])</f>
        <v>#N/A</v>
      </c>
      <c r="AW882" s="4" t="e">
        <f>_xlfn.XLOOKUP(tbl_MTG_Set[[#This Row],[Collector Booster Box Product Id]], tbl_Product[Product Id], tbl_Product[Pack Size])</f>
        <v>#N/A</v>
      </c>
      <c r="AX882" s="10" t="e">
        <f>(tbl_MTG_Set[[#This Row],[Collector Booster Box Cost]] + v_Item_Shipping_Cost_In) / tbl_MTG_Set[[#This Row],[Collector Booster Box Size]]</f>
        <v>#N/A</v>
      </c>
      <c r="AY882" s="10" t="str" cm="1">
        <f t="array" ref="AY8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2" s="10"/>
      <c r="BA8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2" s="17" t="e">
        <f>tbl_MTG_Set[[#This Row],[Collector Booster CardMarket Profit]]/tbl_MTG_Set[[#This Row],[Collector Booster Cost]]</f>
        <v>#N/A</v>
      </c>
      <c r="BC882" s="10"/>
      <c r="BF8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2" s="11" t="e">
        <f>tbl_MTG_Set[[#This Row],[Play Singles CardMarket Profit MTG Stocks]]/tbl_MTG_Set[[#This Row],[Play Booster Cost]]</f>
        <v>#VALUE!</v>
      </c>
      <c r="BI882" s="11" t="b">
        <f>tbl_MTG_Set[[#This Row],[Play Singles CardMarket Profit MTG Stocks]]&gt;0</f>
        <v>0</v>
      </c>
      <c r="BM882" s="10" t="e">
        <f>tbl_MTG_Set[[#This Row],[Play Booster Sell Price CardMarket]]*tbl_MTG_Set[[#This Row],[Play Booster Expected Market Value BotBox]]/tbl_MTG_Set[[#This Row],[Play Booster Sealed Market Value BotBox]]</f>
        <v>#VALUE!</v>
      </c>
      <c r="BN8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2" s="10" t="e">
        <f>tbl_MTG_Set[[#This Row],[Play Singles CardMarket Profit BotBox]]/tbl_MTG_Set[[#This Row],[Play Booster Cost]]</f>
        <v>#VALUE!</v>
      </c>
      <c r="BP882" s="10" t="b">
        <f>tbl_MTG_Set[[#This Row],[Play Singles CardMarket Profit BotBox]]&gt;0</f>
        <v>0</v>
      </c>
      <c r="BQ882" s="10"/>
      <c r="BR882" s="10"/>
      <c r="BS882" s="10"/>
      <c r="BT8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2" s="19" t="e">
        <f>tbl_MTG_Set[[#This Row],[Collector Singles CardMarket Profit MTG Stocks]]/tbl_MTG_Set[[#This Row],[Collector Booster Cost]]</f>
        <v>#N/A</v>
      </c>
      <c r="BW882" s="10" t="b">
        <f>tbl_MTG_Set[[#This Row],[Collector Singles CardMarket Profit MTG Stocks]]&gt;0</f>
        <v>0</v>
      </c>
      <c r="BX882" s="10"/>
      <c r="BY882" s="10"/>
      <c r="BZ8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2" s="10" t="e">
        <f>tbl_MTG_Set[[#This Row],[Collector Singles CardMarket Profit BotBox]]/tbl_MTG_Set[[#This Row],[Collector Booster Cost]]</f>
        <v>#N/A</v>
      </c>
      <c r="CC882" s="10" t="b">
        <f>tbl_MTG_Set[[#This Row],[Collector Singles CardMarket Profit BotBox]]&gt;0</f>
        <v>0</v>
      </c>
      <c r="CD8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3" spans="1:86" hidden="1">
      <c r="A883">
        <v>915</v>
      </c>
      <c r="B883" t="s">
        <v>1056</v>
      </c>
      <c r="C883">
        <v>5</v>
      </c>
      <c r="D883" s="3">
        <v>37257</v>
      </c>
      <c r="F883" t="s">
        <v>174</v>
      </c>
      <c r="G883">
        <v>1776</v>
      </c>
      <c r="H883">
        <f ca="1">MONTH(NOW())+12*YEAR(NOW())-MONTH(tbl_MTG_Set[[#This Row],[Released On]])-12*YEAR(tbl_MTG_Set[[#This Row],[Released On]])</f>
        <v>290</v>
      </c>
      <c r="I883" t="str">
        <f>_xlfn.XLOOKUP(tbl_MTG_Set[[#This Row],[Type Name]], tbl_MTG_Set_Type[Set Type], tbl_MTG_Set_Type[Index], "(Set Type not found)")</f>
        <v>(Set Type not found)</v>
      </c>
      <c r="J883" t="str">
        <f>_xlfn.XLOOKUP(tbl_MTG_Set[[#This Row],[Type Name]], tbl_MTG_Set_Type[Set Type], tbl_MTG_Set_Type[Buy Window Month Start], "(Set Type not found)")</f>
        <v>(Set Type not found)</v>
      </c>
      <c r="K883" s="3" t="e">
        <f>tbl_MTG_Set[[#This Row],[Released On]]+tbl_MTG_Set[[#This Row],[Buy Window Month Start]]*365.25/12</f>
        <v>#VALUE!</v>
      </c>
      <c r="L883" t="str">
        <f>_xlfn.XLOOKUP(tbl_MTG_Set[[#This Row],[Type Name]], tbl_MTG_Set_Type[Set Type], tbl_MTG_Set_Type[Buy Window Month End], "(Set Type not found)", 0, 1)</f>
        <v>(Set Type not found)</v>
      </c>
      <c r="M883" s="3" t="e">
        <f>tbl_MTG_Set[[#This Row],[Released On]]+tbl_MTG_Set[[#This Row],[Buy Window Month End]]*365.25/12</f>
        <v>#VALUE!</v>
      </c>
      <c r="N883" s="3" t="e">
        <f ca="1">AND(NOW()&gt;=tbl_MTG_Set[[#This Row],[Buy Window Start]], NOW()&lt;=tbl_MTG_Set[[#This Row],[Buy Window End]])</f>
        <v>#VALUE!</v>
      </c>
      <c r="O883" t="str">
        <f>_xlfn.XLOOKUP(tbl_MTG_Set[[#This Row],[Type Name]], tbl_MTG_Set_Type[Set Type], tbl_MTG_Set_Type[Heavy Printing Window Month Start], "(Set Type not found)", 0, 1)</f>
        <v>(Set Type not found)</v>
      </c>
      <c r="P883" s="3" t="e">
        <f>tbl_MTG_Set[[#This Row],[Released On]]+tbl_MTG_Set[[#This Row],[Heavy Printing Window Month Start]]*365.25/12</f>
        <v>#VALUE!</v>
      </c>
      <c r="Q883" t="str">
        <f>_xlfn.XLOOKUP(tbl_MTG_Set[[#This Row],[Type Name]], tbl_MTG_Set_Type[Set Type], tbl_MTG_Set_Type[Heavy Printing Window Month End], "(Set Type not found)", 0, 1)</f>
        <v>(Set Type not found)</v>
      </c>
      <c r="R883" s="3" t="e">
        <f>tbl_MTG_Set[[#This Row],[Released On]]+tbl_MTG_Set[[#This Row],[Heavy Printing Window Month End]]*365.25/12</f>
        <v>#VALUE!</v>
      </c>
      <c r="S883" s="3" t="e">
        <f ca="1">AND(NOW()&gt;=tbl_MTG_Set[[#This Row],[Heavy Printing Window Start]], NOW()&lt;=tbl_MTG_Set[[#This Row],[Heavy Printing Window End]])</f>
        <v>#VALUE!</v>
      </c>
      <c r="T883" t="str">
        <f>_xlfn.XLOOKUP(tbl_MTG_Set[[#This Row],[Type Name]], tbl_MTG_Set_Type[Set Type], tbl_MTG_Set_Type[Sell Window Month Start], "(Set Type not found)", 0, 1)</f>
        <v>(Set Type not found)</v>
      </c>
      <c r="U883" s="3" t="e">
        <f>tbl_MTG_Set[[#This Row],[Released On]]+tbl_MTG_Set[[#This Row],[Sell Window Month Start]]*365.25/12</f>
        <v>#VALUE!</v>
      </c>
      <c r="V883" t="str">
        <f>_xlfn.XLOOKUP(tbl_MTG_Set[[#This Row],[Type Name]], tbl_MTG_Set_Type[Set Type], tbl_MTG_Set_Type[Sell Window Month End], "(Set Type not found)", 0, 1)</f>
        <v>(Set Type not found)</v>
      </c>
      <c r="W883" s="3" t="e">
        <f>tbl_MTG_Set[[#This Row],[Released On]]+tbl_MTG_Set[[#This Row],[Sell Window Month End]]*365.25/12</f>
        <v>#VALUE!</v>
      </c>
      <c r="X883" s="3" t="e">
        <f ca="1">AND(NOW()&gt;=tbl_MTG_Set[[#This Row],[Sell Window Start]], NOW()&lt;=tbl_MTG_Set[[#This Row],[Sell Window End]])</f>
        <v>#VALUE!</v>
      </c>
      <c r="AG883" s="10"/>
      <c r="AH883" s="10"/>
      <c r="AM883" s="10" t="str" cm="1">
        <f t="array" ref="AM8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3" s="10" t="str" cm="1">
        <f t="array" ref="AN8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3" s="4" t="e">
        <f>_xlfn.XLOOKUP(tbl_MTG_Set[[#This Row],[Play Booster Box Product Id]], tbl_Product[Product Id], tbl_Product[Pack Size])</f>
        <v>#N/A</v>
      </c>
      <c r="AP883" s="10" t="e">
        <f>(tbl_MTG_Set[[#This Row],[Play Booster Box Cost]]+v_Item_Shipping_Cost_In)/tbl_MTG_Set[[#This Row],[Play Booster Box Size]]</f>
        <v>#VALUE!</v>
      </c>
      <c r="AQ883" s="10" t="str" cm="1">
        <f t="array" ref="AQ8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3" s="10"/>
      <c r="AS883" s="10"/>
      <c r="AT883" s="17" t="e">
        <f>tbl_MTG_Set[[#This Row],[Play Booster CardMarket Profit]]/tbl_MTG_Set[[#This Row],[Play Booster Cost]]</f>
        <v>#VALUE!</v>
      </c>
      <c r="AU883" s="10" t="e">
        <f>_xlfn.XLOOKUP(tbl_MTG_Set[[#This Row],[Collector Booster Box Product Id]], tbl_Product[Product Id], tbl_Product[Min Cost])</f>
        <v>#N/A</v>
      </c>
      <c r="AV883" s="10" t="e">
        <f>_xlfn.XLOOKUP(tbl_MTG_Set[[#This Row],[Collector Booster Box Product Id]], tbl_Product[Product Id], tbl_Product[Best Source])</f>
        <v>#N/A</v>
      </c>
      <c r="AW883" s="4" t="e">
        <f>_xlfn.XLOOKUP(tbl_MTG_Set[[#This Row],[Collector Booster Box Product Id]], tbl_Product[Product Id], tbl_Product[Pack Size])</f>
        <v>#N/A</v>
      </c>
      <c r="AX883" s="10" t="e">
        <f>(tbl_MTG_Set[[#This Row],[Collector Booster Box Cost]] + v_Item_Shipping_Cost_In) / tbl_MTG_Set[[#This Row],[Collector Booster Box Size]]</f>
        <v>#N/A</v>
      </c>
      <c r="AY883" s="10" t="str" cm="1">
        <f t="array" ref="AY8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3" s="10"/>
      <c r="BA8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3" s="17" t="e">
        <f>tbl_MTG_Set[[#This Row],[Collector Booster CardMarket Profit]]/tbl_MTG_Set[[#This Row],[Collector Booster Cost]]</f>
        <v>#N/A</v>
      </c>
      <c r="BC883" s="10"/>
      <c r="BF8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3" s="11" t="e">
        <f>tbl_MTG_Set[[#This Row],[Play Singles CardMarket Profit MTG Stocks]]/tbl_MTG_Set[[#This Row],[Play Booster Cost]]</f>
        <v>#VALUE!</v>
      </c>
      <c r="BI883" s="11" t="b">
        <f>tbl_MTG_Set[[#This Row],[Play Singles CardMarket Profit MTG Stocks]]&gt;0</f>
        <v>0</v>
      </c>
      <c r="BM883" s="10" t="e">
        <f>tbl_MTG_Set[[#This Row],[Play Booster Sell Price CardMarket]]*tbl_MTG_Set[[#This Row],[Play Booster Expected Market Value BotBox]]/tbl_MTG_Set[[#This Row],[Play Booster Sealed Market Value BotBox]]</f>
        <v>#VALUE!</v>
      </c>
      <c r="BN8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3" s="10" t="e">
        <f>tbl_MTG_Set[[#This Row],[Play Singles CardMarket Profit BotBox]]/tbl_MTG_Set[[#This Row],[Play Booster Cost]]</f>
        <v>#VALUE!</v>
      </c>
      <c r="BP883" s="10" t="b">
        <f>tbl_MTG_Set[[#This Row],[Play Singles CardMarket Profit BotBox]]&gt;0</f>
        <v>0</v>
      </c>
      <c r="BQ883" s="10"/>
      <c r="BR883" s="10"/>
      <c r="BS883" s="10"/>
      <c r="BT8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3" s="19" t="e">
        <f>tbl_MTG_Set[[#This Row],[Collector Singles CardMarket Profit MTG Stocks]]/tbl_MTG_Set[[#This Row],[Collector Booster Cost]]</f>
        <v>#N/A</v>
      </c>
      <c r="BW883" s="10" t="b">
        <f>tbl_MTG_Set[[#This Row],[Collector Singles CardMarket Profit MTG Stocks]]&gt;0</f>
        <v>0</v>
      </c>
      <c r="BX883" s="10"/>
      <c r="BY883" s="10"/>
      <c r="BZ8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3" s="10" t="e">
        <f>tbl_MTG_Set[[#This Row],[Collector Singles CardMarket Profit BotBox]]/tbl_MTG_Set[[#This Row],[Collector Booster Cost]]</f>
        <v>#N/A</v>
      </c>
      <c r="CC883" s="10" t="b">
        <f>tbl_MTG_Set[[#This Row],[Collector Singles CardMarket Profit BotBox]]&gt;0</f>
        <v>0</v>
      </c>
      <c r="CD8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4" spans="1:86" hidden="1">
      <c r="A884">
        <v>916</v>
      </c>
      <c r="B884" t="s">
        <v>1057</v>
      </c>
      <c r="C884">
        <v>6</v>
      </c>
      <c r="D884" s="3">
        <v>37257</v>
      </c>
      <c r="F884" t="s">
        <v>174</v>
      </c>
      <c r="G884">
        <v>1778</v>
      </c>
      <c r="H884">
        <f ca="1">MONTH(NOW())+12*YEAR(NOW())-MONTH(tbl_MTG_Set[[#This Row],[Released On]])-12*YEAR(tbl_MTG_Set[[#This Row],[Released On]])</f>
        <v>290</v>
      </c>
      <c r="I884" t="str">
        <f>_xlfn.XLOOKUP(tbl_MTG_Set[[#This Row],[Type Name]], tbl_MTG_Set_Type[Set Type], tbl_MTG_Set_Type[Index], "(Set Type not found)")</f>
        <v>(Set Type not found)</v>
      </c>
      <c r="J884" t="str">
        <f>_xlfn.XLOOKUP(tbl_MTG_Set[[#This Row],[Type Name]], tbl_MTG_Set_Type[Set Type], tbl_MTG_Set_Type[Buy Window Month Start], "(Set Type not found)")</f>
        <v>(Set Type not found)</v>
      </c>
      <c r="K884" s="3" t="e">
        <f>tbl_MTG_Set[[#This Row],[Released On]]+tbl_MTG_Set[[#This Row],[Buy Window Month Start]]*365.25/12</f>
        <v>#VALUE!</v>
      </c>
      <c r="L884" t="str">
        <f>_xlfn.XLOOKUP(tbl_MTG_Set[[#This Row],[Type Name]], tbl_MTG_Set_Type[Set Type], tbl_MTG_Set_Type[Buy Window Month End], "(Set Type not found)", 0, 1)</f>
        <v>(Set Type not found)</v>
      </c>
      <c r="M884" s="3" t="e">
        <f>tbl_MTG_Set[[#This Row],[Released On]]+tbl_MTG_Set[[#This Row],[Buy Window Month End]]*365.25/12</f>
        <v>#VALUE!</v>
      </c>
      <c r="N884" s="3" t="e">
        <f ca="1">AND(NOW()&gt;=tbl_MTG_Set[[#This Row],[Buy Window Start]], NOW()&lt;=tbl_MTG_Set[[#This Row],[Buy Window End]])</f>
        <v>#VALUE!</v>
      </c>
      <c r="O884" t="str">
        <f>_xlfn.XLOOKUP(tbl_MTG_Set[[#This Row],[Type Name]], tbl_MTG_Set_Type[Set Type], tbl_MTG_Set_Type[Heavy Printing Window Month Start], "(Set Type not found)", 0, 1)</f>
        <v>(Set Type not found)</v>
      </c>
      <c r="P884" s="3" t="e">
        <f>tbl_MTG_Set[[#This Row],[Released On]]+tbl_MTG_Set[[#This Row],[Heavy Printing Window Month Start]]*365.25/12</f>
        <v>#VALUE!</v>
      </c>
      <c r="Q884" t="str">
        <f>_xlfn.XLOOKUP(tbl_MTG_Set[[#This Row],[Type Name]], tbl_MTG_Set_Type[Set Type], tbl_MTG_Set_Type[Heavy Printing Window Month End], "(Set Type not found)", 0, 1)</f>
        <v>(Set Type not found)</v>
      </c>
      <c r="R884" s="3" t="e">
        <f>tbl_MTG_Set[[#This Row],[Released On]]+tbl_MTG_Set[[#This Row],[Heavy Printing Window Month End]]*365.25/12</f>
        <v>#VALUE!</v>
      </c>
      <c r="S884" s="3" t="e">
        <f ca="1">AND(NOW()&gt;=tbl_MTG_Set[[#This Row],[Heavy Printing Window Start]], NOW()&lt;=tbl_MTG_Set[[#This Row],[Heavy Printing Window End]])</f>
        <v>#VALUE!</v>
      </c>
      <c r="T884" t="str">
        <f>_xlfn.XLOOKUP(tbl_MTG_Set[[#This Row],[Type Name]], tbl_MTG_Set_Type[Set Type], tbl_MTG_Set_Type[Sell Window Month Start], "(Set Type not found)", 0, 1)</f>
        <v>(Set Type not found)</v>
      </c>
      <c r="U884" s="3" t="e">
        <f>tbl_MTG_Set[[#This Row],[Released On]]+tbl_MTG_Set[[#This Row],[Sell Window Month Start]]*365.25/12</f>
        <v>#VALUE!</v>
      </c>
      <c r="V884" t="str">
        <f>_xlfn.XLOOKUP(tbl_MTG_Set[[#This Row],[Type Name]], tbl_MTG_Set_Type[Set Type], tbl_MTG_Set_Type[Sell Window Month End], "(Set Type not found)", 0, 1)</f>
        <v>(Set Type not found)</v>
      </c>
      <c r="W884" s="3" t="e">
        <f>tbl_MTG_Set[[#This Row],[Released On]]+tbl_MTG_Set[[#This Row],[Sell Window Month End]]*365.25/12</f>
        <v>#VALUE!</v>
      </c>
      <c r="X884" s="3" t="e">
        <f ca="1">AND(NOW()&gt;=tbl_MTG_Set[[#This Row],[Sell Window Start]], NOW()&lt;=tbl_MTG_Set[[#This Row],[Sell Window End]])</f>
        <v>#VALUE!</v>
      </c>
      <c r="AG884" s="10"/>
      <c r="AH884" s="10"/>
      <c r="AM884" s="10" t="str" cm="1">
        <f t="array" ref="AM8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4" s="10" t="str" cm="1">
        <f t="array" ref="AN8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4" s="4" t="e">
        <f>_xlfn.XLOOKUP(tbl_MTG_Set[[#This Row],[Play Booster Box Product Id]], tbl_Product[Product Id], tbl_Product[Pack Size])</f>
        <v>#N/A</v>
      </c>
      <c r="AP884" s="10" t="e">
        <f>(tbl_MTG_Set[[#This Row],[Play Booster Box Cost]]+v_Item_Shipping_Cost_In)/tbl_MTG_Set[[#This Row],[Play Booster Box Size]]</f>
        <v>#VALUE!</v>
      </c>
      <c r="AQ884" s="10" t="str" cm="1">
        <f t="array" ref="AQ8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4" s="10"/>
      <c r="AS884" s="10"/>
      <c r="AT884" s="17" t="e">
        <f>tbl_MTG_Set[[#This Row],[Play Booster CardMarket Profit]]/tbl_MTG_Set[[#This Row],[Play Booster Cost]]</f>
        <v>#VALUE!</v>
      </c>
      <c r="AU884" s="10" t="e">
        <f>_xlfn.XLOOKUP(tbl_MTG_Set[[#This Row],[Collector Booster Box Product Id]], tbl_Product[Product Id], tbl_Product[Min Cost])</f>
        <v>#N/A</v>
      </c>
      <c r="AV884" s="10" t="e">
        <f>_xlfn.XLOOKUP(tbl_MTG_Set[[#This Row],[Collector Booster Box Product Id]], tbl_Product[Product Id], tbl_Product[Best Source])</f>
        <v>#N/A</v>
      </c>
      <c r="AW884" s="4" t="e">
        <f>_xlfn.XLOOKUP(tbl_MTG_Set[[#This Row],[Collector Booster Box Product Id]], tbl_Product[Product Id], tbl_Product[Pack Size])</f>
        <v>#N/A</v>
      </c>
      <c r="AX884" s="10" t="e">
        <f>(tbl_MTG_Set[[#This Row],[Collector Booster Box Cost]] + v_Item_Shipping_Cost_In) / tbl_MTG_Set[[#This Row],[Collector Booster Box Size]]</f>
        <v>#N/A</v>
      </c>
      <c r="AY884" s="10" t="str" cm="1">
        <f t="array" ref="AY8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4" s="10"/>
      <c r="BA8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4" s="17" t="e">
        <f>tbl_MTG_Set[[#This Row],[Collector Booster CardMarket Profit]]/tbl_MTG_Set[[#This Row],[Collector Booster Cost]]</f>
        <v>#N/A</v>
      </c>
      <c r="BC884" s="10"/>
      <c r="BF8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4" s="11" t="e">
        <f>tbl_MTG_Set[[#This Row],[Play Singles CardMarket Profit MTG Stocks]]/tbl_MTG_Set[[#This Row],[Play Booster Cost]]</f>
        <v>#VALUE!</v>
      </c>
      <c r="BI884" s="11" t="b">
        <f>tbl_MTG_Set[[#This Row],[Play Singles CardMarket Profit MTG Stocks]]&gt;0</f>
        <v>0</v>
      </c>
      <c r="BM884" s="10" t="e">
        <f>tbl_MTG_Set[[#This Row],[Play Booster Sell Price CardMarket]]*tbl_MTG_Set[[#This Row],[Play Booster Expected Market Value BotBox]]/tbl_MTG_Set[[#This Row],[Play Booster Sealed Market Value BotBox]]</f>
        <v>#VALUE!</v>
      </c>
      <c r="BN8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4" s="10" t="e">
        <f>tbl_MTG_Set[[#This Row],[Play Singles CardMarket Profit BotBox]]/tbl_MTG_Set[[#This Row],[Play Booster Cost]]</f>
        <v>#VALUE!</v>
      </c>
      <c r="BP884" s="10" t="b">
        <f>tbl_MTG_Set[[#This Row],[Play Singles CardMarket Profit BotBox]]&gt;0</f>
        <v>0</v>
      </c>
      <c r="BQ884" s="10"/>
      <c r="BR884" s="10"/>
      <c r="BS884" s="10"/>
      <c r="BT8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4" s="19" t="e">
        <f>tbl_MTG_Set[[#This Row],[Collector Singles CardMarket Profit MTG Stocks]]/tbl_MTG_Set[[#This Row],[Collector Booster Cost]]</f>
        <v>#N/A</v>
      </c>
      <c r="BW884" s="10" t="b">
        <f>tbl_MTG_Set[[#This Row],[Collector Singles CardMarket Profit MTG Stocks]]&gt;0</f>
        <v>0</v>
      </c>
      <c r="BX884" s="10"/>
      <c r="BY884" s="10"/>
      <c r="BZ8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4" s="10" t="e">
        <f>tbl_MTG_Set[[#This Row],[Collector Singles CardMarket Profit BotBox]]/tbl_MTG_Set[[#This Row],[Collector Booster Cost]]</f>
        <v>#N/A</v>
      </c>
      <c r="CC884" s="10" t="b">
        <f>tbl_MTG_Set[[#This Row],[Collector Singles CardMarket Profit BotBox]]&gt;0</f>
        <v>0</v>
      </c>
      <c r="CD8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5" spans="1:86" hidden="1">
      <c r="A885">
        <v>917</v>
      </c>
      <c r="B885" t="s">
        <v>1058</v>
      </c>
      <c r="C885">
        <v>2</v>
      </c>
      <c r="D885" s="3">
        <v>37257</v>
      </c>
      <c r="F885" t="s">
        <v>174</v>
      </c>
      <c r="G885">
        <v>1780</v>
      </c>
      <c r="H885">
        <f ca="1">MONTH(NOW())+12*YEAR(NOW())-MONTH(tbl_MTG_Set[[#This Row],[Released On]])-12*YEAR(tbl_MTG_Set[[#This Row],[Released On]])</f>
        <v>290</v>
      </c>
      <c r="I885" t="str">
        <f>_xlfn.XLOOKUP(tbl_MTG_Set[[#This Row],[Type Name]], tbl_MTG_Set_Type[Set Type], tbl_MTG_Set_Type[Index], "(Set Type not found)")</f>
        <v>(Set Type not found)</v>
      </c>
      <c r="J885" t="str">
        <f>_xlfn.XLOOKUP(tbl_MTG_Set[[#This Row],[Type Name]], tbl_MTG_Set_Type[Set Type], tbl_MTG_Set_Type[Buy Window Month Start], "(Set Type not found)")</f>
        <v>(Set Type not found)</v>
      </c>
      <c r="K885" s="3" t="e">
        <f>tbl_MTG_Set[[#This Row],[Released On]]+tbl_MTG_Set[[#This Row],[Buy Window Month Start]]*365.25/12</f>
        <v>#VALUE!</v>
      </c>
      <c r="L885" t="str">
        <f>_xlfn.XLOOKUP(tbl_MTG_Set[[#This Row],[Type Name]], tbl_MTG_Set_Type[Set Type], tbl_MTG_Set_Type[Buy Window Month End], "(Set Type not found)", 0, 1)</f>
        <v>(Set Type not found)</v>
      </c>
      <c r="M885" s="3" t="e">
        <f>tbl_MTG_Set[[#This Row],[Released On]]+tbl_MTG_Set[[#This Row],[Buy Window Month End]]*365.25/12</f>
        <v>#VALUE!</v>
      </c>
      <c r="N885" s="3" t="e">
        <f ca="1">AND(NOW()&gt;=tbl_MTG_Set[[#This Row],[Buy Window Start]], NOW()&lt;=tbl_MTG_Set[[#This Row],[Buy Window End]])</f>
        <v>#VALUE!</v>
      </c>
      <c r="O885" t="str">
        <f>_xlfn.XLOOKUP(tbl_MTG_Set[[#This Row],[Type Name]], tbl_MTG_Set_Type[Set Type], tbl_MTG_Set_Type[Heavy Printing Window Month Start], "(Set Type not found)", 0, 1)</f>
        <v>(Set Type not found)</v>
      </c>
      <c r="P885" s="3" t="e">
        <f>tbl_MTG_Set[[#This Row],[Released On]]+tbl_MTG_Set[[#This Row],[Heavy Printing Window Month Start]]*365.25/12</f>
        <v>#VALUE!</v>
      </c>
      <c r="Q885" t="str">
        <f>_xlfn.XLOOKUP(tbl_MTG_Set[[#This Row],[Type Name]], tbl_MTG_Set_Type[Set Type], tbl_MTG_Set_Type[Heavy Printing Window Month End], "(Set Type not found)", 0, 1)</f>
        <v>(Set Type not found)</v>
      </c>
      <c r="R885" s="3" t="e">
        <f>tbl_MTG_Set[[#This Row],[Released On]]+tbl_MTG_Set[[#This Row],[Heavy Printing Window Month End]]*365.25/12</f>
        <v>#VALUE!</v>
      </c>
      <c r="S885" s="3" t="e">
        <f ca="1">AND(NOW()&gt;=tbl_MTG_Set[[#This Row],[Heavy Printing Window Start]], NOW()&lt;=tbl_MTG_Set[[#This Row],[Heavy Printing Window End]])</f>
        <v>#VALUE!</v>
      </c>
      <c r="T885" t="str">
        <f>_xlfn.XLOOKUP(tbl_MTG_Set[[#This Row],[Type Name]], tbl_MTG_Set_Type[Set Type], tbl_MTG_Set_Type[Sell Window Month Start], "(Set Type not found)", 0, 1)</f>
        <v>(Set Type not found)</v>
      </c>
      <c r="U885" s="3" t="e">
        <f>tbl_MTG_Set[[#This Row],[Released On]]+tbl_MTG_Set[[#This Row],[Sell Window Month Start]]*365.25/12</f>
        <v>#VALUE!</v>
      </c>
      <c r="V885" t="str">
        <f>_xlfn.XLOOKUP(tbl_MTG_Set[[#This Row],[Type Name]], tbl_MTG_Set_Type[Set Type], tbl_MTG_Set_Type[Sell Window Month End], "(Set Type not found)", 0, 1)</f>
        <v>(Set Type not found)</v>
      </c>
      <c r="W885" s="3" t="e">
        <f>tbl_MTG_Set[[#This Row],[Released On]]+tbl_MTG_Set[[#This Row],[Sell Window Month End]]*365.25/12</f>
        <v>#VALUE!</v>
      </c>
      <c r="X885" s="3" t="e">
        <f ca="1">AND(NOW()&gt;=tbl_MTG_Set[[#This Row],[Sell Window Start]], NOW()&lt;=tbl_MTG_Set[[#This Row],[Sell Window End]])</f>
        <v>#VALUE!</v>
      </c>
      <c r="AG885" s="10"/>
      <c r="AH885" s="10"/>
      <c r="AM885" s="10" t="str" cm="1">
        <f t="array" ref="AM8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5" s="10" t="str" cm="1">
        <f t="array" ref="AN8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5" s="4" t="e">
        <f>_xlfn.XLOOKUP(tbl_MTG_Set[[#This Row],[Play Booster Box Product Id]], tbl_Product[Product Id], tbl_Product[Pack Size])</f>
        <v>#N/A</v>
      </c>
      <c r="AP885" s="10" t="e">
        <f>(tbl_MTG_Set[[#This Row],[Play Booster Box Cost]]+v_Item_Shipping_Cost_In)/tbl_MTG_Set[[#This Row],[Play Booster Box Size]]</f>
        <v>#VALUE!</v>
      </c>
      <c r="AQ885" s="10" t="str" cm="1">
        <f t="array" ref="AQ8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5" s="10"/>
      <c r="AS885" s="10"/>
      <c r="AT885" s="17" t="e">
        <f>tbl_MTG_Set[[#This Row],[Play Booster CardMarket Profit]]/tbl_MTG_Set[[#This Row],[Play Booster Cost]]</f>
        <v>#VALUE!</v>
      </c>
      <c r="AU885" s="10" t="e">
        <f>_xlfn.XLOOKUP(tbl_MTG_Set[[#This Row],[Collector Booster Box Product Id]], tbl_Product[Product Id], tbl_Product[Min Cost])</f>
        <v>#N/A</v>
      </c>
      <c r="AV885" s="10" t="e">
        <f>_xlfn.XLOOKUP(tbl_MTG_Set[[#This Row],[Collector Booster Box Product Id]], tbl_Product[Product Id], tbl_Product[Best Source])</f>
        <v>#N/A</v>
      </c>
      <c r="AW885" s="4" t="e">
        <f>_xlfn.XLOOKUP(tbl_MTG_Set[[#This Row],[Collector Booster Box Product Id]], tbl_Product[Product Id], tbl_Product[Pack Size])</f>
        <v>#N/A</v>
      </c>
      <c r="AX885" s="10" t="e">
        <f>(tbl_MTG_Set[[#This Row],[Collector Booster Box Cost]] + v_Item_Shipping_Cost_In) / tbl_MTG_Set[[#This Row],[Collector Booster Box Size]]</f>
        <v>#N/A</v>
      </c>
      <c r="AY885" s="10" t="str" cm="1">
        <f t="array" ref="AY8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5" s="10"/>
      <c r="BA8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5" s="17" t="e">
        <f>tbl_MTG_Set[[#This Row],[Collector Booster CardMarket Profit]]/tbl_MTG_Set[[#This Row],[Collector Booster Cost]]</f>
        <v>#N/A</v>
      </c>
      <c r="BC885" s="10"/>
      <c r="BF8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5" s="11" t="e">
        <f>tbl_MTG_Set[[#This Row],[Play Singles CardMarket Profit MTG Stocks]]/tbl_MTG_Set[[#This Row],[Play Booster Cost]]</f>
        <v>#VALUE!</v>
      </c>
      <c r="BI885" s="11" t="b">
        <f>tbl_MTG_Set[[#This Row],[Play Singles CardMarket Profit MTG Stocks]]&gt;0</f>
        <v>0</v>
      </c>
      <c r="BM885" s="10" t="e">
        <f>tbl_MTG_Set[[#This Row],[Play Booster Sell Price CardMarket]]*tbl_MTG_Set[[#This Row],[Play Booster Expected Market Value BotBox]]/tbl_MTG_Set[[#This Row],[Play Booster Sealed Market Value BotBox]]</f>
        <v>#VALUE!</v>
      </c>
      <c r="BN8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5" s="10" t="e">
        <f>tbl_MTG_Set[[#This Row],[Play Singles CardMarket Profit BotBox]]/tbl_MTG_Set[[#This Row],[Play Booster Cost]]</f>
        <v>#VALUE!</v>
      </c>
      <c r="BP885" s="10" t="b">
        <f>tbl_MTG_Set[[#This Row],[Play Singles CardMarket Profit BotBox]]&gt;0</f>
        <v>0</v>
      </c>
      <c r="BQ885" s="10"/>
      <c r="BR885" s="10"/>
      <c r="BS885" s="10"/>
      <c r="BT8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5" s="19" t="e">
        <f>tbl_MTG_Set[[#This Row],[Collector Singles CardMarket Profit MTG Stocks]]/tbl_MTG_Set[[#This Row],[Collector Booster Cost]]</f>
        <v>#N/A</v>
      </c>
      <c r="BW885" s="10" t="b">
        <f>tbl_MTG_Set[[#This Row],[Collector Singles CardMarket Profit MTG Stocks]]&gt;0</f>
        <v>0</v>
      </c>
      <c r="BX885" s="10"/>
      <c r="BY885" s="10"/>
      <c r="BZ8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5" s="10" t="e">
        <f>tbl_MTG_Set[[#This Row],[Collector Singles CardMarket Profit BotBox]]/tbl_MTG_Set[[#This Row],[Collector Booster Cost]]</f>
        <v>#N/A</v>
      </c>
      <c r="CC885" s="10" t="b">
        <f>tbl_MTG_Set[[#This Row],[Collector Singles CardMarket Profit BotBox]]&gt;0</f>
        <v>0</v>
      </c>
      <c r="CD8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6" spans="1:86" hidden="1">
      <c r="A886">
        <v>918</v>
      </c>
      <c r="B886" t="s">
        <v>1059</v>
      </c>
      <c r="C886">
        <v>12</v>
      </c>
      <c r="D886" s="3">
        <v>37257</v>
      </c>
      <c r="F886" t="s">
        <v>174</v>
      </c>
      <c r="G886">
        <v>1782</v>
      </c>
      <c r="H886">
        <f ca="1">MONTH(NOW())+12*YEAR(NOW())-MONTH(tbl_MTG_Set[[#This Row],[Released On]])-12*YEAR(tbl_MTG_Set[[#This Row],[Released On]])</f>
        <v>290</v>
      </c>
      <c r="I886" t="str">
        <f>_xlfn.XLOOKUP(tbl_MTG_Set[[#This Row],[Type Name]], tbl_MTG_Set_Type[Set Type], tbl_MTG_Set_Type[Index], "(Set Type not found)")</f>
        <v>(Set Type not found)</v>
      </c>
      <c r="J886" t="str">
        <f>_xlfn.XLOOKUP(tbl_MTG_Set[[#This Row],[Type Name]], tbl_MTG_Set_Type[Set Type], tbl_MTG_Set_Type[Buy Window Month Start], "(Set Type not found)")</f>
        <v>(Set Type not found)</v>
      </c>
      <c r="K886" s="3" t="e">
        <f>tbl_MTG_Set[[#This Row],[Released On]]+tbl_MTG_Set[[#This Row],[Buy Window Month Start]]*365.25/12</f>
        <v>#VALUE!</v>
      </c>
      <c r="L886" t="str">
        <f>_xlfn.XLOOKUP(tbl_MTG_Set[[#This Row],[Type Name]], tbl_MTG_Set_Type[Set Type], tbl_MTG_Set_Type[Buy Window Month End], "(Set Type not found)", 0, 1)</f>
        <v>(Set Type not found)</v>
      </c>
      <c r="M886" s="3" t="e">
        <f>tbl_MTG_Set[[#This Row],[Released On]]+tbl_MTG_Set[[#This Row],[Buy Window Month End]]*365.25/12</f>
        <v>#VALUE!</v>
      </c>
      <c r="N886" s="3" t="e">
        <f ca="1">AND(NOW()&gt;=tbl_MTG_Set[[#This Row],[Buy Window Start]], NOW()&lt;=tbl_MTG_Set[[#This Row],[Buy Window End]])</f>
        <v>#VALUE!</v>
      </c>
      <c r="O886" t="str">
        <f>_xlfn.XLOOKUP(tbl_MTG_Set[[#This Row],[Type Name]], tbl_MTG_Set_Type[Set Type], tbl_MTG_Set_Type[Heavy Printing Window Month Start], "(Set Type not found)", 0, 1)</f>
        <v>(Set Type not found)</v>
      </c>
      <c r="P886" s="3" t="e">
        <f>tbl_MTG_Set[[#This Row],[Released On]]+tbl_MTG_Set[[#This Row],[Heavy Printing Window Month Start]]*365.25/12</f>
        <v>#VALUE!</v>
      </c>
      <c r="Q886" t="str">
        <f>_xlfn.XLOOKUP(tbl_MTG_Set[[#This Row],[Type Name]], tbl_MTG_Set_Type[Set Type], tbl_MTG_Set_Type[Heavy Printing Window Month End], "(Set Type not found)", 0, 1)</f>
        <v>(Set Type not found)</v>
      </c>
      <c r="R886" s="3" t="e">
        <f>tbl_MTG_Set[[#This Row],[Released On]]+tbl_MTG_Set[[#This Row],[Heavy Printing Window Month End]]*365.25/12</f>
        <v>#VALUE!</v>
      </c>
      <c r="S886" s="3" t="e">
        <f ca="1">AND(NOW()&gt;=tbl_MTG_Set[[#This Row],[Heavy Printing Window Start]], NOW()&lt;=tbl_MTG_Set[[#This Row],[Heavy Printing Window End]])</f>
        <v>#VALUE!</v>
      </c>
      <c r="T886" t="str">
        <f>_xlfn.XLOOKUP(tbl_MTG_Set[[#This Row],[Type Name]], tbl_MTG_Set_Type[Set Type], tbl_MTG_Set_Type[Sell Window Month Start], "(Set Type not found)", 0, 1)</f>
        <v>(Set Type not found)</v>
      </c>
      <c r="U886" s="3" t="e">
        <f>tbl_MTG_Set[[#This Row],[Released On]]+tbl_MTG_Set[[#This Row],[Sell Window Month Start]]*365.25/12</f>
        <v>#VALUE!</v>
      </c>
      <c r="V886" t="str">
        <f>_xlfn.XLOOKUP(tbl_MTG_Set[[#This Row],[Type Name]], tbl_MTG_Set_Type[Set Type], tbl_MTG_Set_Type[Sell Window Month End], "(Set Type not found)", 0, 1)</f>
        <v>(Set Type not found)</v>
      </c>
      <c r="W886" s="3" t="e">
        <f>tbl_MTG_Set[[#This Row],[Released On]]+tbl_MTG_Set[[#This Row],[Sell Window Month End]]*365.25/12</f>
        <v>#VALUE!</v>
      </c>
      <c r="X886" s="3" t="e">
        <f ca="1">AND(NOW()&gt;=tbl_MTG_Set[[#This Row],[Sell Window Start]], NOW()&lt;=tbl_MTG_Set[[#This Row],[Sell Window End]])</f>
        <v>#VALUE!</v>
      </c>
      <c r="AG886" s="10"/>
      <c r="AH886" s="10"/>
      <c r="AM886" s="10" t="str" cm="1">
        <f t="array" ref="AM8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6" s="10" t="str" cm="1">
        <f t="array" ref="AN8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6" s="4" t="e">
        <f>_xlfn.XLOOKUP(tbl_MTG_Set[[#This Row],[Play Booster Box Product Id]], tbl_Product[Product Id], tbl_Product[Pack Size])</f>
        <v>#N/A</v>
      </c>
      <c r="AP886" s="10" t="e">
        <f>(tbl_MTG_Set[[#This Row],[Play Booster Box Cost]]+v_Item_Shipping_Cost_In)/tbl_MTG_Set[[#This Row],[Play Booster Box Size]]</f>
        <v>#VALUE!</v>
      </c>
      <c r="AQ886" s="10" t="str" cm="1">
        <f t="array" ref="AQ8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6" s="10"/>
      <c r="AS886" s="10"/>
      <c r="AT886" s="17" t="e">
        <f>tbl_MTG_Set[[#This Row],[Play Booster CardMarket Profit]]/tbl_MTG_Set[[#This Row],[Play Booster Cost]]</f>
        <v>#VALUE!</v>
      </c>
      <c r="AU886" s="10" t="e">
        <f>_xlfn.XLOOKUP(tbl_MTG_Set[[#This Row],[Collector Booster Box Product Id]], tbl_Product[Product Id], tbl_Product[Min Cost])</f>
        <v>#N/A</v>
      </c>
      <c r="AV886" s="10" t="e">
        <f>_xlfn.XLOOKUP(tbl_MTG_Set[[#This Row],[Collector Booster Box Product Id]], tbl_Product[Product Id], tbl_Product[Best Source])</f>
        <v>#N/A</v>
      </c>
      <c r="AW886" s="4" t="e">
        <f>_xlfn.XLOOKUP(tbl_MTG_Set[[#This Row],[Collector Booster Box Product Id]], tbl_Product[Product Id], tbl_Product[Pack Size])</f>
        <v>#N/A</v>
      </c>
      <c r="AX886" s="10" t="e">
        <f>(tbl_MTG_Set[[#This Row],[Collector Booster Box Cost]] + v_Item_Shipping_Cost_In) / tbl_MTG_Set[[#This Row],[Collector Booster Box Size]]</f>
        <v>#N/A</v>
      </c>
      <c r="AY886" s="10" t="str" cm="1">
        <f t="array" ref="AY8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6" s="10"/>
      <c r="BA8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6" s="17" t="e">
        <f>tbl_MTG_Set[[#This Row],[Collector Booster CardMarket Profit]]/tbl_MTG_Set[[#This Row],[Collector Booster Cost]]</f>
        <v>#N/A</v>
      </c>
      <c r="BC886" s="10"/>
      <c r="BF8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6" s="11" t="e">
        <f>tbl_MTG_Set[[#This Row],[Play Singles CardMarket Profit MTG Stocks]]/tbl_MTG_Set[[#This Row],[Play Booster Cost]]</f>
        <v>#VALUE!</v>
      </c>
      <c r="BI886" s="11" t="b">
        <f>tbl_MTG_Set[[#This Row],[Play Singles CardMarket Profit MTG Stocks]]&gt;0</f>
        <v>0</v>
      </c>
      <c r="BM886" s="10" t="e">
        <f>tbl_MTG_Set[[#This Row],[Play Booster Sell Price CardMarket]]*tbl_MTG_Set[[#This Row],[Play Booster Expected Market Value BotBox]]/tbl_MTG_Set[[#This Row],[Play Booster Sealed Market Value BotBox]]</f>
        <v>#VALUE!</v>
      </c>
      <c r="BN8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6" s="10" t="e">
        <f>tbl_MTG_Set[[#This Row],[Play Singles CardMarket Profit BotBox]]/tbl_MTG_Set[[#This Row],[Play Booster Cost]]</f>
        <v>#VALUE!</v>
      </c>
      <c r="BP886" s="10" t="b">
        <f>tbl_MTG_Set[[#This Row],[Play Singles CardMarket Profit BotBox]]&gt;0</f>
        <v>0</v>
      </c>
      <c r="BQ886" s="10"/>
      <c r="BR886" s="10"/>
      <c r="BS886" s="10"/>
      <c r="BT8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6" s="19" t="e">
        <f>tbl_MTG_Set[[#This Row],[Collector Singles CardMarket Profit MTG Stocks]]/tbl_MTG_Set[[#This Row],[Collector Booster Cost]]</f>
        <v>#N/A</v>
      </c>
      <c r="BW886" s="10" t="b">
        <f>tbl_MTG_Set[[#This Row],[Collector Singles CardMarket Profit MTG Stocks]]&gt;0</f>
        <v>0</v>
      </c>
      <c r="BX886" s="10"/>
      <c r="BY886" s="10"/>
      <c r="BZ8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6" s="10" t="e">
        <f>tbl_MTG_Set[[#This Row],[Collector Singles CardMarket Profit BotBox]]/tbl_MTG_Set[[#This Row],[Collector Booster Cost]]</f>
        <v>#N/A</v>
      </c>
      <c r="CC886" s="10" t="b">
        <f>tbl_MTG_Set[[#This Row],[Collector Singles CardMarket Profit BotBox]]&gt;0</f>
        <v>0</v>
      </c>
      <c r="CD8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7" spans="1:86" hidden="1">
      <c r="A887">
        <v>919</v>
      </c>
      <c r="B887" t="s">
        <v>1060</v>
      </c>
      <c r="C887">
        <v>58</v>
      </c>
      <c r="D887" s="3">
        <v>37226</v>
      </c>
      <c r="F887" t="s">
        <v>174</v>
      </c>
      <c r="G887">
        <v>1784</v>
      </c>
      <c r="H887">
        <f ca="1">MONTH(NOW())+12*YEAR(NOW())-MONTH(tbl_MTG_Set[[#This Row],[Released On]])-12*YEAR(tbl_MTG_Set[[#This Row],[Released On]])</f>
        <v>291</v>
      </c>
      <c r="I887" t="str">
        <f>_xlfn.XLOOKUP(tbl_MTG_Set[[#This Row],[Type Name]], tbl_MTG_Set_Type[Set Type], tbl_MTG_Set_Type[Index], "(Set Type not found)")</f>
        <v>(Set Type not found)</v>
      </c>
      <c r="J887" t="str">
        <f>_xlfn.XLOOKUP(tbl_MTG_Set[[#This Row],[Type Name]], tbl_MTG_Set_Type[Set Type], tbl_MTG_Set_Type[Buy Window Month Start], "(Set Type not found)")</f>
        <v>(Set Type not found)</v>
      </c>
      <c r="K887" s="3" t="e">
        <f>tbl_MTG_Set[[#This Row],[Released On]]+tbl_MTG_Set[[#This Row],[Buy Window Month Start]]*365.25/12</f>
        <v>#VALUE!</v>
      </c>
      <c r="L887" t="str">
        <f>_xlfn.XLOOKUP(tbl_MTG_Set[[#This Row],[Type Name]], tbl_MTG_Set_Type[Set Type], tbl_MTG_Set_Type[Buy Window Month End], "(Set Type not found)", 0, 1)</f>
        <v>(Set Type not found)</v>
      </c>
      <c r="M887" s="3" t="e">
        <f>tbl_MTG_Set[[#This Row],[Released On]]+tbl_MTG_Set[[#This Row],[Buy Window Month End]]*365.25/12</f>
        <v>#VALUE!</v>
      </c>
      <c r="N887" s="3" t="e">
        <f ca="1">AND(NOW()&gt;=tbl_MTG_Set[[#This Row],[Buy Window Start]], NOW()&lt;=tbl_MTG_Set[[#This Row],[Buy Window End]])</f>
        <v>#VALUE!</v>
      </c>
      <c r="O887" t="str">
        <f>_xlfn.XLOOKUP(tbl_MTG_Set[[#This Row],[Type Name]], tbl_MTG_Set_Type[Set Type], tbl_MTG_Set_Type[Heavy Printing Window Month Start], "(Set Type not found)", 0, 1)</f>
        <v>(Set Type not found)</v>
      </c>
      <c r="P887" s="3" t="e">
        <f>tbl_MTG_Set[[#This Row],[Released On]]+tbl_MTG_Set[[#This Row],[Heavy Printing Window Month Start]]*365.25/12</f>
        <v>#VALUE!</v>
      </c>
      <c r="Q887" t="str">
        <f>_xlfn.XLOOKUP(tbl_MTG_Set[[#This Row],[Type Name]], tbl_MTG_Set_Type[Set Type], tbl_MTG_Set_Type[Heavy Printing Window Month End], "(Set Type not found)", 0, 1)</f>
        <v>(Set Type not found)</v>
      </c>
      <c r="R887" s="3" t="e">
        <f>tbl_MTG_Set[[#This Row],[Released On]]+tbl_MTG_Set[[#This Row],[Heavy Printing Window Month End]]*365.25/12</f>
        <v>#VALUE!</v>
      </c>
      <c r="S887" s="3" t="e">
        <f ca="1">AND(NOW()&gt;=tbl_MTG_Set[[#This Row],[Heavy Printing Window Start]], NOW()&lt;=tbl_MTG_Set[[#This Row],[Heavy Printing Window End]])</f>
        <v>#VALUE!</v>
      </c>
      <c r="T887" t="str">
        <f>_xlfn.XLOOKUP(tbl_MTG_Set[[#This Row],[Type Name]], tbl_MTG_Set_Type[Set Type], tbl_MTG_Set_Type[Sell Window Month Start], "(Set Type not found)", 0, 1)</f>
        <v>(Set Type not found)</v>
      </c>
      <c r="U887" s="3" t="e">
        <f>tbl_MTG_Set[[#This Row],[Released On]]+tbl_MTG_Set[[#This Row],[Sell Window Month Start]]*365.25/12</f>
        <v>#VALUE!</v>
      </c>
      <c r="V887" t="str">
        <f>_xlfn.XLOOKUP(tbl_MTG_Set[[#This Row],[Type Name]], tbl_MTG_Set_Type[Set Type], tbl_MTG_Set_Type[Sell Window Month End], "(Set Type not found)", 0, 1)</f>
        <v>(Set Type not found)</v>
      </c>
      <c r="W887" s="3" t="e">
        <f>tbl_MTG_Set[[#This Row],[Released On]]+tbl_MTG_Set[[#This Row],[Sell Window Month End]]*365.25/12</f>
        <v>#VALUE!</v>
      </c>
      <c r="X887" s="3" t="e">
        <f ca="1">AND(NOW()&gt;=tbl_MTG_Set[[#This Row],[Sell Window Start]], NOW()&lt;=tbl_MTG_Set[[#This Row],[Sell Window End]])</f>
        <v>#VALUE!</v>
      </c>
      <c r="AG887" s="10"/>
      <c r="AH887" s="10"/>
      <c r="AM887" s="10" t="str" cm="1">
        <f t="array" ref="AM8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7" s="10" t="str" cm="1">
        <f t="array" ref="AN8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7" s="4" t="e">
        <f>_xlfn.XLOOKUP(tbl_MTG_Set[[#This Row],[Play Booster Box Product Id]], tbl_Product[Product Id], tbl_Product[Pack Size])</f>
        <v>#N/A</v>
      </c>
      <c r="AP887" s="10" t="e">
        <f>(tbl_MTG_Set[[#This Row],[Play Booster Box Cost]]+v_Item_Shipping_Cost_In)/tbl_MTG_Set[[#This Row],[Play Booster Box Size]]</f>
        <v>#VALUE!</v>
      </c>
      <c r="AQ887" s="10" t="str" cm="1">
        <f t="array" ref="AQ8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7" s="10"/>
      <c r="AS887" s="10"/>
      <c r="AT887" s="17" t="e">
        <f>tbl_MTG_Set[[#This Row],[Play Booster CardMarket Profit]]/tbl_MTG_Set[[#This Row],[Play Booster Cost]]</f>
        <v>#VALUE!</v>
      </c>
      <c r="AU887" s="10" t="e">
        <f>_xlfn.XLOOKUP(tbl_MTG_Set[[#This Row],[Collector Booster Box Product Id]], tbl_Product[Product Id], tbl_Product[Min Cost])</f>
        <v>#N/A</v>
      </c>
      <c r="AV887" s="10" t="e">
        <f>_xlfn.XLOOKUP(tbl_MTG_Set[[#This Row],[Collector Booster Box Product Id]], tbl_Product[Product Id], tbl_Product[Best Source])</f>
        <v>#N/A</v>
      </c>
      <c r="AW887" s="4" t="e">
        <f>_xlfn.XLOOKUP(tbl_MTG_Set[[#This Row],[Collector Booster Box Product Id]], tbl_Product[Product Id], tbl_Product[Pack Size])</f>
        <v>#N/A</v>
      </c>
      <c r="AX887" s="10" t="e">
        <f>(tbl_MTG_Set[[#This Row],[Collector Booster Box Cost]] + v_Item_Shipping_Cost_In) / tbl_MTG_Set[[#This Row],[Collector Booster Box Size]]</f>
        <v>#N/A</v>
      </c>
      <c r="AY887" s="10" t="str" cm="1">
        <f t="array" ref="AY8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7" s="10"/>
      <c r="BA8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7" s="17" t="e">
        <f>tbl_MTG_Set[[#This Row],[Collector Booster CardMarket Profit]]/tbl_MTG_Set[[#This Row],[Collector Booster Cost]]</f>
        <v>#N/A</v>
      </c>
      <c r="BC887" s="10"/>
      <c r="BF8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7" s="11" t="e">
        <f>tbl_MTG_Set[[#This Row],[Play Singles CardMarket Profit MTG Stocks]]/tbl_MTG_Set[[#This Row],[Play Booster Cost]]</f>
        <v>#VALUE!</v>
      </c>
      <c r="BI887" s="11" t="b">
        <f>tbl_MTG_Set[[#This Row],[Play Singles CardMarket Profit MTG Stocks]]&gt;0</f>
        <v>0</v>
      </c>
      <c r="BM887" s="10" t="e">
        <f>tbl_MTG_Set[[#This Row],[Play Booster Sell Price CardMarket]]*tbl_MTG_Set[[#This Row],[Play Booster Expected Market Value BotBox]]/tbl_MTG_Set[[#This Row],[Play Booster Sealed Market Value BotBox]]</f>
        <v>#VALUE!</v>
      </c>
      <c r="BN8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7" s="10" t="e">
        <f>tbl_MTG_Set[[#This Row],[Play Singles CardMarket Profit BotBox]]/tbl_MTG_Set[[#This Row],[Play Booster Cost]]</f>
        <v>#VALUE!</v>
      </c>
      <c r="BP887" s="10" t="b">
        <f>tbl_MTG_Set[[#This Row],[Play Singles CardMarket Profit BotBox]]&gt;0</f>
        <v>0</v>
      </c>
      <c r="BQ887" s="10"/>
      <c r="BR887" s="10"/>
      <c r="BS887" s="10"/>
      <c r="BT8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7" s="19" t="e">
        <f>tbl_MTG_Set[[#This Row],[Collector Singles CardMarket Profit MTG Stocks]]/tbl_MTG_Set[[#This Row],[Collector Booster Cost]]</f>
        <v>#N/A</v>
      </c>
      <c r="BW887" s="10" t="b">
        <f>tbl_MTG_Set[[#This Row],[Collector Singles CardMarket Profit MTG Stocks]]&gt;0</f>
        <v>0</v>
      </c>
      <c r="BX887" s="10"/>
      <c r="BY887" s="10"/>
      <c r="BZ8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7" s="10" t="e">
        <f>tbl_MTG_Set[[#This Row],[Collector Singles CardMarket Profit BotBox]]/tbl_MTG_Set[[#This Row],[Collector Booster Cost]]</f>
        <v>#N/A</v>
      </c>
      <c r="CC887" s="10" t="b">
        <f>tbl_MTG_Set[[#This Row],[Collector Singles CardMarket Profit BotBox]]&gt;0</f>
        <v>0</v>
      </c>
      <c r="CD8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8" spans="1:86" hidden="1">
      <c r="A888">
        <v>920</v>
      </c>
      <c r="B888" t="s">
        <v>1061</v>
      </c>
      <c r="C888">
        <v>353</v>
      </c>
      <c r="D888" s="3">
        <v>37165</v>
      </c>
      <c r="F888" t="s">
        <v>174</v>
      </c>
      <c r="G888">
        <v>1786</v>
      </c>
      <c r="H888">
        <f ca="1">MONTH(NOW())+12*YEAR(NOW())-MONTH(tbl_MTG_Set[[#This Row],[Released On]])-12*YEAR(tbl_MTG_Set[[#This Row],[Released On]])</f>
        <v>293</v>
      </c>
      <c r="I888" t="str">
        <f>_xlfn.XLOOKUP(tbl_MTG_Set[[#This Row],[Type Name]], tbl_MTG_Set_Type[Set Type], tbl_MTG_Set_Type[Index], "(Set Type not found)")</f>
        <v>(Set Type not found)</v>
      </c>
      <c r="J888" t="str">
        <f>_xlfn.XLOOKUP(tbl_MTG_Set[[#This Row],[Type Name]], tbl_MTG_Set_Type[Set Type], tbl_MTG_Set_Type[Buy Window Month Start], "(Set Type not found)")</f>
        <v>(Set Type not found)</v>
      </c>
      <c r="K888" s="3" t="e">
        <f>tbl_MTG_Set[[#This Row],[Released On]]+tbl_MTG_Set[[#This Row],[Buy Window Month Start]]*365.25/12</f>
        <v>#VALUE!</v>
      </c>
      <c r="L888" t="str">
        <f>_xlfn.XLOOKUP(tbl_MTG_Set[[#This Row],[Type Name]], tbl_MTG_Set_Type[Set Type], tbl_MTG_Set_Type[Buy Window Month End], "(Set Type not found)", 0, 1)</f>
        <v>(Set Type not found)</v>
      </c>
      <c r="M888" s="3" t="e">
        <f>tbl_MTG_Set[[#This Row],[Released On]]+tbl_MTG_Set[[#This Row],[Buy Window Month End]]*365.25/12</f>
        <v>#VALUE!</v>
      </c>
      <c r="N888" s="3" t="e">
        <f ca="1">AND(NOW()&gt;=tbl_MTG_Set[[#This Row],[Buy Window Start]], NOW()&lt;=tbl_MTG_Set[[#This Row],[Buy Window End]])</f>
        <v>#VALUE!</v>
      </c>
      <c r="O888" t="str">
        <f>_xlfn.XLOOKUP(tbl_MTG_Set[[#This Row],[Type Name]], tbl_MTG_Set_Type[Set Type], tbl_MTG_Set_Type[Heavy Printing Window Month Start], "(Set Type not found)", 0, 1)</f>
        <v>(Set Type not found)</v>
      </c>
      <c r="P888" s="3" t="e">
        <f>tbl_MTG_Set[[#This Row],[Released On]]+tbl_MTG_Set[[#This Row],[Heavy Printing Window Month Start]]*365.25/12</f>
        <v>#VALUE!</v>
      </c>
      <c r="Q888" t="str">
        <f>_xlfn.XLOOKUP(tbl_MTG_Set[[#This Row],[Type Name]], tbl_MTG_Set_Type[Set Type], tbl_MTG_Set_Type[Heavy Printing Window Month End], "(Set Type not found)", 0, 1)</f>
        <v>(Set Type not found)</v>
      </c>
      <c r="R888" s="3" t="e">
        <f>tbl_MTG_Set[[#This Row],[Released On]]+tbl_MTG_Set[[#This Row],[Heavy Printing Window Month End]]*365.25/12</f>
        <v>#VALUE!</v>
      </c>
      <c r="S888" s="3" t="e">
        <f ca="1">AND(NOW()&gt;=tbl_MTG_Set[[#This Row],[Heavy Printing Window Start]], NOW()&lt;=tbl_MTG_Set[[#This Row],[Heavy Printing Window End]])</f>
        <v>#VALUE!</v>
      </c>
      <c r="T888" t="str">
        <f>_xlfn.XLOOKUP(tbl_MTG_Set[[#This Row],[Type Name]], tbl_MTG_Set_Type[Set Type], tbl_MTG_Set_Type[Sell Window Month Start], "(Set Type not found)", 0, 1)</f>
        <v>(Set Type not found)</v>
      </c>
      <c r="U888" s="3" t="e">
        <f>tbl_MTG_Set[[#This Row],[Released On]]+tbl_MTG_Set[[#This Row],[Sell Window Month Start]]*365.25/12</f>
        <v>#VALUE!</v>
      </c>
      <c r="V888" t="str">
        <f>_xlfn.XLOOKUP(tbl_MTG_Set[[#This Row],[Type Name]], tbl_MTG_Set_Type[Set Type], tbl_MTG_Set_Type[Sell Window Month End], "(Set Type not found)", 0, 1)</f>
        <v>(Set Type not found)</v>
      </c>
      <c r="W888" s="3" t="e">
        <f>tbl_MTG_Set[[#This Row],[Released On]]+tbl_MTG_Set[[#This Row],[Sell Window Month End]]*365.25/12</f>
        <v>#VALUE!</v>
      </c>
      <c r="X888" s="3" t="e">
        <f ca="1">AND(NOW()&gt;=tbl_MTG_Set[[#This Row],[Sell Window Start]], NOW()&lt;=tbl_MTG_Set[[#This Row],[Sell Window End]])</f>
        <v>#VALUE!</v>
      </c>
      <c r="AG888" s="10"/>
      <c r="AH888" s="10"/>
      <c r="AM888" s="10" t="str" cm="1">
        <f t="array" ref="AM8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8" s="10" t="str" cm="1">
        <f t="array" ref="AN8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8" s="4" t="e">
        <f>_xlfn.XLOOKUP(tbl_MTG_Set[[#This Row],[Play Booster Box Product Id]], tbl_Product[Product Id], tbl_Product[Pack Size])</f>
        <v>#N/A</v>
      </c>
      <c r="AP888" s="10" t="e">
        <f>(tbl_MTG_Set[[#This Row],[Play Booster Box Cost]]+v_Item_Shipping_Cost_In)/tbl_MTG_Set[[#This Row],[Play Booster Box Size]]</f>
        <v>#VALUE!</v>
      </c>
      <c r="AQ888" s="10" t="str" cm="1">
        <f t="array" ref="AQ8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8" s="10"/>
      <c r="AS888" s="10"/>
      <c r="AT888" s="17" t="e">
        <f>tbl_MTG_Set[[#This Row],[Play Booster CardMarket Profit]]/tbl_MTG_Set[[#This Row],[Play Booster Cost]]</f>
        <v>#VALUE!</v>
      </c>
      <c r="AU888" s="10" t="e">
        <f>_xlfn.XLOOKUP(tbl_MTG_Set[[#This Row],[Collector Booster Box Product Id]], tbl_Product[Product Id], tbl_Product[Min Cost])</f>
        <v>#N/A</v>
      </c>
      <c r="AV888" s="10" t="e">
        <f>_xlfn.XLOOKUP(tbl_MTG_Set[[#This Row],[Collector Booster Box Product Id]], tbl_Product[Product Id], tbl_Product[Best Source])</f>
        <v>#N/A</v>
      </c>
      <c r="AW888" s="4" t="e">
        <f>_xlfn.XLOOKUP(tbl_MTG_Set[[#This Row],[Collector Booster Box Product Id]], tbl_Product[Product Id], tbl_Product[Pack Size])</f>
        <v>#N/A</v>
      </c>
      <c r="AX888" s="10" t="e">
        <f>(tbl_MTG_Set[[#This Row],[Collector Booster Box Cost]] + v_Item_Shipping_Cost_In) / tbl_MTG_Set[[#This Row],[Collector Booster Box Size]]</f>
        <v>#N/A</v>
      </c>
      <c r="AY888" s="10" t="str" cm="1">
        <f t="array" ref="AY8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8" s="10"/>
      <c r="BA8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8" s="17" t="e">
        <f>tbl_MTG_Set[[#This Row],[Collector Booster CardMarket Profit]]/tbl_MTG_Set[[#This Row],[Collector Booster Cost]]</f>
        <v>#N/A</v>
      </c>
      <c r="BC888" s="10"/>
      <c r="BF8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8" s="11" t="e">
        <f>tbl_MTG_Set[[#This Row],[Play Singles CardMarket Profit MTG Stocks]]/tbl_MTG_Set[[#This Row],[Play Booster Cost]]</f>
        <v>#VALUE!</v>
      </c>
      <c r="BI888" s="11" t="b">
        <f>tbl_MTG_Set[[#This Row],[Play Singles CardMarket Profit MTG Stocks]]&gt;0</f>
        <v>0</v>
      </c>
      <c r="BM888" s="10" t="e">
        <f>tbl_MTG_Set[[#This Row],[Play Booster Sell Price CardMarket]]*tbl_MTG_Set[[#This Row],[Play Booster Expected Market Value BotBox]]/tbl_MTG_Set[[#This Row],[Play Booster Sealed Market Value BotBox]]</f>
        <v>#VALUE!</v>
      </c>
      <c r="BN8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8" s="10" t="e">
        <f>tbl_MTG_Set[[#This Row],[Play Singles CardMarket Profit BotBox]]/tbl_MTG_Set[[#This Row],[Play Booster Cost]]</f>
        <v>#VALUE!</v>
      </c>
      <c r="BP888" s="10" t="b">
        <f>tbl_MTG_Set[[#This Row],[Play Singles CardMarket Profit BotBox]]&gt;0</f>
        <v>0</v>
      </c>
      <c r="BQ888" s="10"/>
      <c r="BR888" s="10"/>
      <c r="BS888" s="10"/>
      <c r="BT8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8" s="19" t="e">
        <f>tbl_MTG_Set[[#This Row],[Collector Singles CardMarket Profit MTG Stocks]]/tbl_MTG_Set[[#This Row],[Collector Booster Cost]]</f>
        <v>#N/A</v>
      </c>
      <c r="BW888" s="10" t="b">
        <f>tbl_MTG_Set[[#This Row],[Collector Singles CardMarket Profit MTG Stocks]]&gt;0</f>
        <v>0</v>
      </c>
      <c r="BX888" s="10"/>
      <c r="BY888" s="10"/>
      <c r="BZ8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8" s="10" t="e">
        <f>tbl_MTG_Set[[#This Row],[Collector Singles CardMarket Profit BotBox]]/tbl_MTG_Set[[#This Row],[Collector Booster Cost]]</f>
        <v>#N/A</v>
      </c>
      <c r="CC888" s="10" t="b">
        <f>tbl_MTG_Set[[#This Row],[Collector Singles CardMarket Profit BotBox]]&gt;0</f>
        <v>0</v>
      </c>
      <c r="CD8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89" spans="1:86" hidden="1">
      <c r="A889">
        <v>921</v>
      </c>
      <c r="B889" t="s">
        <v>1062</v>
      </c>
      <c r="C889">
        <v>1</v>
      </c>
      <c r="D889" s="3">
        <v>37165</v>
      </c>
      <c r="F889" t="s">
        <v>174</v>
      </c>
      <c r="G889">
        <v>1788</v>
      </c>
      <c r="H889">
        <f ca="1">MONTH(NOW())+12*YEAR(NOW())-MONTH(tbl_MTG_Set[[#This Row],[Released On]])-12*YEAR(tbl_MTG_Set[[#This Row],[Released On]])</f>
        <v>293</v>
      </c>
      <c r="I889" t="str">
        <f>_xlfn.XLOOKUP(tbl_MTG_Set[[#This Row],[Type Name]], tbl_MTG_Set_Type[Set Type], tbl_MTG_Set_Type[Index], "(Set Type not found)")</f>
        <v>(Set Type not found)</v>
      </c>
      <c r="J889" t="str">
        <f>_xlfn.XLOOKUP(tbl_MTG_Set[[#This Row],[Type Name]], tbl_MTG_Set_Type[Set Type], tbl_MTG_Set_Type[Buy Window Month Start], "(Set Type not found)")</f>
        <v>(Set Type not found)</v>
      </c>
      <c r="K889" s="3" t="e">
        <f>tbl_MTG_Set[[#This Row],[Released On]]+tbl_MTG_Set[[#This Row],[Buy Window Month Start]]*365.25/12</f>
        <v>#VALUE!</v>
      </c>
      <c r="L889" t="str">
        <f>_xlfn.XLOOKUP(tbl_MTG_Set[[#This Row],[Type Name]], tbl_MTG_Set_Type[Set Type], tbl_MTG_Set_Type[Buy Window Month End], "(Set Type not found)", 0, 1)</f>
        <v>(Set Type not found)</v>
      </c>
      <c r="M889" s="3" t="e">
        <f>tbl_MTG_Set[[#This Row],[Released On]]+tbl_MTG_Set[[#This Row],[Buy Window Month End]]*365.25/12</f>
        <v>#VALUE!</v>
      </c>
      <c r="N889" s="3" t="e">
        <f ca="1">AND(NOW()&gt;=tbl_MTG_Set[[#This Row],[Buy Window Start]], NOW()&lt;=tbl_MTG_Set[[#This Row],[Buy Window End]])</f>
        <v>#VALUE!</v>
      </c>
      <c r="O889" t="str">
        <f>_xlfn.XLOOKUP(tbl_MTG_Set[[#This Row],[Type Name]], tbl_MTG_Set_Type[Set Type], tbl_MTG_Set_Type[Heavy Printing Window Month Start], "(Set Type not found)", 0, 1)</f>
        <v>(Set Type not found)</v>
      </c>
      <c r="P889" s="3" t="e">
        <f>tbl_MTG_Set[[#This Row],[Released On]]+tbl_MTG_Set[[#This Row],[Heavy Printing Window Month Start]]*365.25/12</f>
        <v>#VALUE!</v>
      </c>
      <c r="Q889" t="str">
        <f>_xlfn.XLOOKUP(tbl_MTG_Set[[#This Row],[Type Name]], tbl_MTG_Set_Type[Set Type], tbl_MTG_Set_Type[Heavy Printing Window Month End], "(Set Type not found)", 0, 1)</f>
        <v>(Set Type not found)</v>
      </c>
      <c r="R889" s="3" t="e">
        <f>tbl_MTG_Set[[#This Row],[Released On]]+tbl_MTG_Set[[#This Row],[Heavy Printing Window Month End]]*365.25/12</f>
        <v>#VALUE!</v>
      </c>
      <c r="S889" s="3" t="e">
        <f ca="1">AND(NOW()&gt;=tbl_MTG_Set[[#This Row],[Heavy Printing Window Start]], NOW()&lt;=tbl_MTG_Set[[#This Row],[Heavy Printing Window End]])</f>
        <v>#VALUE!</v>
      </c>
      <c r="T889" t="str">
        <f>_xlfn.XLOOKUP(tbl_MTG_Set[[#This Row],[Type Name]], tbl_MTG_Set_Type[Set Type], tbl_MTG_Set_Type[Sell Window Month Start], "(Set Type not found)", 0, 1)</f>
        <v>(Set Type not found)</v>
      </c>
      <c r="U889" s="3" t="e">
        <f>tbl_MTG_Set[[#This Row],[Released On]]+tbl_MTG_Set[[#This Row],[Sell Window Month Start]]*365.25/12</f>
        <v>#VALUE!</v>
      </c>
      <c r="V889" t="str">
        <f>_xlfn.XLOOKUP(tbl_MTG_Set[[#This Row],[Type Name]], tbl_MTG_Set_Type[Set Type], tbl_MTG_Set_Type[Sell Window Month End], "(Set Type not found)", 0, 1)</f>
        <v>(Set Type not found)</v>
      </c>
      <c r="W889" s="3" t="e">
        <f>tbl_MTG_Set[[#This Row],[Released On]]+tbl_MTG_Set[[#This Row],[Sell Window Month End]]*365.25/12</f>
        <v>#VALUE!</v>
      </c>
      <c r="X889" s="3" t="e">
        <f ca="1">AND(NOW()&gt;=tbl_MTG_Set[[#This Row],[Sell Window Start]], NOW()&lt;=tbl_MTG_Set[[#This Row],[Sell Window End]])</f>
        <v>#VALUE!</v>
      </c>
      <c r="AG889" s="10"/>
      <c r="AH889" s="10"/>
      <c r="AM889" s="10" t="str" cm="1">
        <f t="array" ref="AM8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89" s="10" t="str" cm="1">
        <f t="array" ref="AN8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89" s="4" t="e">
        <f>_xlfn.XLOOKUP(tbl_MTG_Set[[#This Row],[Play Booster Box Product Id]], tbl_Product[Product Id], tbl_Product[Pack Size])</f>
        <v>#N/A</v>
      </c>
      <c r="AP889" s="10" t="e">
        <f>(tbl_MTG_Set[[#This Row],[Play Booster Box Cost]]+v_Item_Shipping_Cost_In)/tbl_MTG_Set[[#This Row],[Play Booster Box Size]]</f>
        <v>#VALUE!</v>
      </c>
      <c r="AQ889" s="10" t="str" cm="1">
        <f t="array" ref="AQ8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89" s="10"/>
      <c r="AS889" s="10"/>
      <c r="AT889" s="17" t="e">
        <f>tbl_MTG_Set[[#This Row],[Play Booster CardMarket Profit]]/tbl_MTG_Set[[#This Row],[Play Booster Cost]]</f>
        <v>#VALUE!</v>
      </c>
      <c r="AU889" s="10" t="e">
        <f>_xlfn.XLOOKUP(tbl_MTG_Set[[#This Row],[Collector Booster Box Product Id]], tbl_Product[Product Id], tbl_Product[Min Cost])</f>
        <v>#N/A</v>
      </c>
      <c r="AV889" s="10" t="e">
        <f>_xlfn.XLOOKUP(tbl_MTG_Set[[#This Row],[Collector Booster Box Product Id]], tbl_Product[Product Id], tbl_Product[Best Source])</f>
        <v>#N/A</v>
      </c>
      <c r="AW889" s="4" t="e">
        <f>_xlfn.XLOOKUP(tbl_MTG_Set[[#This Row],[Collector Booster Box Product Id]], tbl_Product[Product Id], tbl_Product[Pack Size])</f>
        <v>#N/A</v>
      </c>
      <c r="AX889" s="10" t="e">
        <f>(tbl_MTG_Set[[#This Row],[Collector Booster Box Cost]] + v_Item_Shipping_Cost_In) / tbl_MTG_Set[[#This Row],[Collector Booster Box Size]]</f>
        <v>#N/A</v>
      </c>
      <c r="AY889" s="10" t="str" cm="1">
        <f t="array" ref="AY8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89" s="10"/>
      <c r="BA8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89" s="17" t="e">
        <f>tbl_MTG_Set[[#This Row],[Collector Booster CardMarket Profit]]/tbl_MTG_Set[[#This Row],[Collector Booster Cost]]</f>
        <v>#N/A</v>
      </c>
      <c r="BC889" s="10"/>
      <c r="BF8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89" s="11" t="e">
        <f>tbl_MTG_Set[[#This Row],[Play Singles CardMarket Profit MTG Stocks]]/tbl_MTG_Set[[#This Row],[Play Booster Cost]]</f>
        <v>#VALUE!</v>
      </c>
      <c r="BI889" s="11" t="b">
        <f>tbl_MTG_Set[[#This Row],[Play Singles CardMarket Profit MTG Stocks]]&gt;0</f>
        <v>0</v>
      </c>
      <c r="BM889" s="10" t="e">
        <f>tbl_MTG_Set[[#This Row],[Play Booster Sell Price CardMarket]]*tbl_MTG_Set[[#This Row],[Play Booster Expected Market Value BotBox]]/tbl_MTG_Set[[#This Row],[Play Booster Sealed Market Value BotBox]]</f>
        <v>#VALUE!</v>
      </c>
      <c r="BN8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89" s="10" t="e">
        <f>tbl_MTG_Set[[#This Row],[Play Singles CardMarket Profit BotBox]]/tbl_MTG_Set[[#This Row],[Play Booster Cost]]</f>
        <v>#VALUE!</v>
      </c>
      <c r="BP889" s="10" t="b">
        <f>tbl_MTG_Set[[#This Row],[Play Singles CardMarket Profit BotBox]]&gt;0</f>
        <v>0</v>
      </c>
      <c r="BQ889" s="10"/>
      <c r="BR889" s="10"/>
      <c r="BS889" s="10"/>
      <c r="BT8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89" s="19" t="e">
        <f>tbl_MTG_Set[[#This Row],[Collector Singles CardMarket Profit MTG Stocks]]/tbl_MTG_Set[[#This Row],[Collector Booster Cost]]</f>
        <v>#N/A</v>
      </c>
      <c r="BW889" s="10" t="b">
        <f>tbl_MTG_Set[[#This Row],[Collector Singles CardMarket Profit MTG Stocks]]&gt;0</f>
        <v>0</v>
      </c>
      <c r="BX889" s="10"/>
      <c r="BY889" s="10"/>
      <c r="BZ8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89" s="10" t="e">
        <f>tbl_MTG_Set[[#This Row],[Collector Singles CardMarket Profit BotBox]]/tbl_MTG_Set[[#This Row],[Collector Booster Cost]]</f>
        <v>#N/A</v>
      </c>
      <c r="CC889" s="10" t="b">
        <f>tbl_MTG_Set[[#This Row],[Collector Singles CardMarket Profit BotBox]]&gt;0</f>
        <v>0</v>
      </c>
      <c r="CD8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0" spans="1:86" hidden="1">
      <c r="A890">
        <v>922</v>
      </c>
      <c r="B890" t="s">
        <v>1063</v>
      </c>
      <c r="C890">
        <v>138</v>
      </c>
      <c r="D890" s="3">
        <v>37111</v>
      </c>
      <c r="F890" t="s">
        <v>174</v>
      </c>
      <c r="G890">
        <v>1790</v>
      </c>
      <c r="H890">
        <f ca="1">MONTH(NOW())+12*YEAR(NOW())-MONTH(tbl_MTG_Set[[#This Row],[Released On]])-12*YEAR(tbl_MTG_Set[[#This Row],[Released On]])</f>
        <v>295</v>
      </c>
      <c r="I890" t="str">
        <f>_xlfn.XLOOKUP(tbl_MTG_Set[[#This Row],[Type Name]], tbl_MTG_Set_Type[Set Type], tbl_MTG_Set_Type[Index], "(Set Type not found)")</f>
        <v>(Set Type not found)</v>
      </c>
      <c r="J890" t="str">
        <f>_xlfn.XLOOKUP(tbl_MTG_Set[[#This Row],[Type Name]], tbl_MTG_Set_Type[Set Type], tbl_MTG_Set_Type[Buy Window Month Start], "(Set Type not found)")</f>
        <v>(Set Type not found)</v>
      </c>
      <c r="K890" s="3" t="e">
        <f>tbl_MTG_Set[[#This Row],[Released On]]+tbl_MTG_Set[[#This Row],[Buy Window Month Start]]*365.25/12</f>
        <v>#VALUE!</v>
      </c>
      <c r="L890" t="str">
        <f>_xlfn.XLOOKUP(tbl_MTG_Set[[#This Row],[Type Name]], tbl_MTG_Set_Type[Set Type], tbl_MTG_Set_Type[Buy Window Month End], "(Set Type not found)", 0, 1)</f>
        <v>(Set Type not found)</v>
      </c>
      <c r="M890" s="3" t="e">
        <f>tbl_MTG_Set[[#This Row],[Released On]]+tbl_MTG_Set[[#This Row],[Buy Window Month End]]*365.25/12</f>
        <v>#VALUE!</v>
      </c>
      <c r="N890" s="3" t="e">
        <f ca="1">AND(NOW()&gt;=tbl_MTG_Set[[#This Row],[Buy Window Start]], NOW()&lt;=tbl_MTG_Set[[#This Row],[Buy Window End]])</f>
        <v>#VALUE!</v>
      </c>
      <c r="O890" t="str">
        <f>_xlfn.XLOOKUP(tbl_MTG_Set[[#This Row],[Type Name]], tbl_MTG_Set_Type[Set Type], tbl_MTG_Set_Type[Heavy Printing Window Month Start], "(Set Type not found)", 0, 1)</f>
        <v>(Set Type not found)</v>
      </c>
      <c r="P890" s="3" t="e">
        <f>tbl_MTG_Set[[#This Row],[Released On]]+tbl_MTG_Set[[#This Row],[Heavy Printing Window Month Start]]*365.25/12</f>
        <v>#VALUE!</v>
      </c>
      <c r="Q890" t="str">
        <f>_xlfn.XLOOKUP(tbl_MTG_Set[[#This Row],[Type Name]], tbl_MTG_Set_Type[Set Type], tbl_MTG_Set_Type[Heavy Printing Window Month End], "(Set Type not found)", 0, 1)</f>
        <v>(Set Type not found)</v>
      </c>
      <c r="R890" s="3" t="e">
        <f>tbl_MTG_Set[[#This Row],[Released On]]+tbl_MTG_Set[[#This Row],[Heavy Printing Window Month End]]*365.25/12</f>
        <v>#VALUE!</v>
      </c>
      <c r="S890" s="3" t="e">
        <f ca="1">AND(NOW()&gt;=tbl_MTG_Set[[#This Row],[Heavy Printing Window Start]], NOW()&lt;=tbl_MTG_Set[[#This Row],[Heavy Printing Window End]])</f>
        <v>#VALUE!</v>
      </c>
      <c r="T890" t="str">
        <f>_xlfn.XLOOKUP(tbl_MTG_Set[[#This Row],[Type Name]], tbl_MTG_Set_Type[Set Type], tbl_MTG_Set_Type[Sell Window Month Start], "(Set Type not found)", 0, 1)</f>
        <v>(Set Type not found)</v>
      </c>
      <c r="U890" s="3" t="e">
        <f>tbl_MTG_Set[[#This Row],[Released On]]+tbl_MTG_Set[[#This Row],[Sell Window Month Start]]*365.25/12</f>
        <v>#VALUE!</v>
      </c>
      <c r="V890" t="str">
        <f>_xlfn.XLOOKUP(tbl_MTG_Set[[#This Row],[Type Name]], tbl_MTG_Set_Type[Set Type], tbl_MTG_Set_Type[Sell Window Month End], "(Set Type not found)", 0, 1)</f>
        <v>(Set Type not found)</v>
      </c>
      <c r="W890" s="3" t="e">
        <f>tbl_MTG_Set[[#This Row],[Released On]]+tbl_MTG_Set[[#This Row],[Sell Window Month End]]*365.25/12</f>
        <v>#VALUE!</v>
      </c>
      <c r="X890" s="3" t="e">
        <f ca="1">AND(NOW()&gt;=tbl_MTG_Set[[#This Row],[Sell Window Start]], NOW()&lt;=tbl_MTG_Set[[#This Row],[Sell Window End]])</f>
        <v>#VALUE!</v>
      </c>
      <c r="AG890" s="10"/>
      <c r="AH890" s="10"/>
      <c r="AM890" s="10" t="str" cm="1">
        <f t="array" ref="AM8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0" s="10" t="str" cm="1">
        <f t="array" ref="AN8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0" s="4" t="e">
        <f>_xlfn.XLOOKUP(tbl_MTG_Set[[#This Row],[Play Booster Box Product Id]], tbl_Product[Product Id], tbl_Product[Pack Size])</f>
        <v>#N/A</v>
      </c>
      <c r="AP890" s="10" t="e">
        <f>(tbl_MTG_Set[[#This Row],[Play Booster Box Cost]]+v_Item_Shipping_Cost_In)/tbl_MTG_Set[[#This Row],[Play Booster Box Size]]</f>
        <v>#VALUE!</v>
      </c>
      <c r="AQ890" s="10" t="str" cm="1">
        <f t="array" ref="AQ8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0" s="10"/>
      <c r="AS890" s="10"/>
      <c r="AT890" s="17" t="e">
        <f>tbl_MTG_Set[[#This Row],[Play Booster CardMarket Profit]]/tbl_MTG_Set[[#This Row],[Play Booster Cost]]</f>
        <v>#VALUE!</v>
      </c>
      <c r="AU890" s="10" t="e">
        <f>_xlfn.XLOOKUP(tbl_MTG_Set[[#This Row],[Collector Booster Box Product Id]], tbl_Product[Product Id], tbl_Product[Min Cost])</f>
        <v>#N/A</v>
      </c>
      <c r="AV890" s="10" t="e">
        <f>_xlfn.XLOOKUP(tbl_MTG_Set[[#This Row],[Collector Booster Box Product Id]], tbl_Product[Product Id], tbl_Product[Best Source])</f>
        <v>#N/A</v>
      </c>
      <c r="AW890" s="4" t="e">
        <f>_xlfn.XLOOKUP(tbl_MTG_Set[[#This Row],[Collector Booster Box Product Id]], tbl_Product[Product Id], tbl_Product[Pack Size])</f>
        <v>#N/A</v>
      </c>
      <c r="AX890" s="10" t="e">
        <f>(tbl_MTG_Set[[#This Row],[Collector Booster Box Cost]] + v_Item_Shipping_Cost_In) / tbl_MTG_Set[[#This Row],[Collector Booster Box Size]]</f>
        <v>#N/A</v>
      </c>
      <c r="AY890" s="10" t="str" cm="1">
        <f t="array" ref="AY8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0" s="10"/>
      <c r="BA8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0" s="17" t="e">
        <f>tbl_MTG_Set[[#This Row],[Collector Booster CardMarket Profit]]/tbl_MTG_Set[[#This Row],[Collector Booster Cost]]</f>
        <v>#N/A</v>
      </c>
      <c r="BC890" s="10"/>
      <c r="BF8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0" s="11" t="e">
        <f>tbl_MTG_Set[[#This Row],[Play Singles CardMarket Profit MTG Stocks]]/tbl_MTG_Set[[#This Row],[Play Booster Cost]]</f>
        <v>#VALUE!</v>
      </c>
      <c r="BI890" s="11" t="b">
        <f>tbl_MTG_Set[[#This Row],[Play Singles CardMarket Profit MTG Stocks]]&gt;0</f>
        <v>0</v>
      </c>
      <c r="BM890" s="10" t="e">
        <f>tbl_MTG_Set[[#This Row],[Play Booster Sell Price CardMarket]]*tbl_MTG_Set[[#This Row],[Play Booster Expected Market Value BotBox]]/tbl_MTG_Set[[#This Row],[Play Booster Sealed Market Value BotBox]]</f>
        <v>#VALUE!</v>
      </c>
      <c r="BN8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0" s="10" t="e">
        <f>tbl_MTG_Set[[#This Row],[Play Singles CardMarket Profit BotBox]]/tbl_MTG_Set[[#This Row],[Play Booster Cost]]</f>
        <v>#VALUE!</v>
      </c>
      <c r="BP890" s="10" t="b">
        <f>tbl_MTG_Set[[#This Row],[Play Singles CardMarket Profit BotBox]]&gt;0</f>
        <v>0</v>
      </c>
      <c r="BQ890" s="10"/>
      <c r="BR890" s="10"/>
      <c r="BS890" s="10"/>
      <c r="BT8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0" s="19" t="e">
        <f>tbl_MTG_Set[[#This Row],[Collector Singles CardMarket Profit MTG Stocks]]/tbl_MTG_Set[[#This Row],[Collector Booster Cost]]</f>
        <v>#N/A</v>
      </c>
      <c r="BW890" s="10" t="b">
        <f>tbl_MTG_Set[[#This Row],[Collector Singles CardMarket Profit MTG Stocks]]&gt;0</f>
        <v>0</v>
      </c>
      <c r="BX890" s="10"/>
      <c r="BY890" s="10"/>
      <c r="BZ8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0" s="10" t="e">
        <f>tbl_MTG_Set[[#This Row],[Collector Singles CardMarket Profit BotBox]]/tbl_MTG_Set[[#This Row],[Collector Booster Cost]]</f>
        <v>#N/A</v>
      </c>
      <c r="CC890" s="10" t="b">
        <f>tbl_MTG_Set[[#This Row],[Collector Singles CardMarket Profit BotBox]]&gt;0</f>
        <v>0</v>
      </c>
      <c r="CD8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1" spans="1:86" hidden="1">
      <c r="A891">
        <v>923</v>
      </c>
      <c r="B891" t="s">
        <v>1064</v>
      </c>
      <c r="C891">
        <v>10</v>
      </c>
      <c r="D891" s="3">
        <v>37070</v>
      </c>
      <c r="F891" t="s">
        <v>174</v>
      </c>
      <c r="G891">
        <v>1792</v>
      </c>
      <c r="H891">
        <f ca="1">MONTH(NOW())+12*YEAR(NOW())-MONTH(tbl_MTG_Set[[#This Row],[Released On]])-12*YEAR(tbl_MTG_Set[[#This Row],[Released On]])</f>
        <v>297</v>
      </c>
      <c r="I891" t="str">
        <f>_xlfn.XLOOKUP(tbl_MTG_Set[[#This Row],[Type Name]], tbl_MTG_Set_Type[Set Type], tbl_MTG_Set_Type[Index], "(Set Type not found)")</f>
        <v>(Set Type not found)</v>
      </c>
      <c r="J891" t="str">
        <f>_xlfn.XLOOKUP(tbl_MTG_Set[[#This Row],[Type Name]], tbl_MTG_Set_Type[Set Type], tbl_MTG_Set_Type[Buy Window Month Start], "(Set Type not found)")</f>
        <v>(Set Type not found)</v>
      </c>
      <c r="K891" s="3" t="e">
        <f>tbl_MTG_Set[[#This Row],[Released On]]+tbl_MTG_Set[[#This Row],[Buy Window Month Start]]*365.25/12</f>
        <v>#VALUE!</v>
      </c>
      <c r="L891" t="str">
        <f>_xlfn.XLOOKUP(tbl_MTG_Set[[#This Row],[Type Name]], tbl_MTG_Set_Type[Set Type], tbl_MTG_Set_Type[Buy Window Month End], "(Set Type not found)", 0, 1)</f>
        <v>(Set Type not found)</v>
      </c>
      <c r="M891" s="3" t="e">
        <f>tbl_MTG_Set[[#This Row],[Released On]]+tbl_MTG_Set[[#This Row],[Buy Window Month End]]*365.25/12</f>
        <v>#VALUE!</v>
      </c>
      <c r="N891" s="3" t="e">
        <f ca="1">AND(NOW()&gt;=tbl_MTG_Set[[#This Row],[Buy Window Start]], NOW()&lt;=tbl_MTG_Set[[#This Row],[Buy Window End]])</f>
        <v>#VALUE!</v>
      </c>
      <c r="O891" t="str">
        <f>_xlfn.XLOOKUP(tbl_MTG_Set[[#This Row],[Type Name]], tbl_MTG_Set_Type[Set Type], tbl_MTG_Set_Type[Heavy Printing Window Month Start], "(Set Type not found)", 0, 1)</f>
        <v>(Set Type not found)</v>
      </c>
      <c r="P891" s="3" t="e">
        <f>tbl_MTG_Set[[#This Row],[Released On]]+tbl_MTG_Set[[#This Row],[Heavy Printing Window Month Start]]*365.25/12</f>
        <v>#VALUE!</v>
      </c>
      <c r="Q891" t="str">
        <f>_xlfn.XLOOKUP(tbl_MTG_Set[[#This Row],[Type Name]], tbl_MTG_Set_Type[Set Type], tbl_MTG_Set_Type[Heavy Printing Window Month End], "(Set Type not found)", 0, 1)</f>
        <v>(Set Type not found)</v>
      </c>
      <c r="R891" s="3" t="e">
        <f>tbl_MTG_Set[[#This Row],[Released On]]+tbl_MTG_Set[[#This Row],[Heavy Printing Window Month End]]*365.25/12</f>
        <v>#VALUE!</v>
      </c>
      <c r="S891" s="3" t="e">
        <f ca="1">AND(NOW()&gt;=tbl_MTG_Set[[#This Row],[Heavy Printing Window Start]], NOW()&lt;=tbl_MTG_Set[[#This Row],[Heavy Printing Window End]])</f>
        <v>#VALUE!</v>
      </c>
      <c r="T891" t="str">
        <f>_xlfn.XLOOKUP(tbl_MTG_Set[[#This Row],[Type Name]], tbl_MTG_Set_Type[Set Type], tbl_MTG_Set_Type[Sell Window Month Start], "(Set Type not found)", 0, 1)</f>
        <v>(Set Type not found)</v>
      </c>
      <c r="U891" s="3" t="e">
        <f>tbl_MTG_Set[[#This Row],[Released On]]+tbl_MTG_Set[[#This Row],[Sell Window Month Start]]*365.25/12</f>
        <v>#VALUE!</v>
      </c>
      <c r="V891" t="str">
        <f>_xlfn.XLOOKUP(tbl_MTG_Set[[#This Row],[Type Name]], tbl_MTG_Set_Type[Set Type], tbl_MTG_Set_Type[Sell Window Month End], "(Set Type not found)", 0, 1)</f>
        <v>(Set Type not found)</v>
      </c>
      <c r="W891" s="3" t="e">
        <f>tbl_MTG_Set[[#This Row],[Released On]]+tbl_MTG_Set[[#This Row],[Sell Window Month End]]*365.25/12</f>
        <v>#VALUE!</v>
      </c>
      <c r="X891" s="3" t="e">
        <f ca="1">AND(NOW()&gt;=tbl_MTG_Set[[#This Row],[Sell Window Start]], NOW()&lt;=tbl_MTG_Set[[#This Row],[Sell Window End]])</f>
        <v>#VALUE!</v>
      </c>
      <c r="AG891" s="10"/>
      <c r="AH891" s="10"/>
      <c r="AM891" s="10" t="str" cm="1">
        <f t="array" ref="AM8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1" s="10" t="str" cm="1">
        <f t="array" ref="AN8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1" s="4" t="e">
        <f>_xlfn.XLOOKUP(tbl_MTG_Set[[#This Row],[Play Booster Box Product Id]], tbl_Product[Product Id], tbl_Product[Pack Size])</f>
        <v>#N/A</v>
      </c>
      <c r="AP891" s="10" t="e">
        <f>(tbl_MTG_Set[[#This Row],[Play Booster Box Cost]]+v_Item_Shipping_Cost_In)/tbl_MTG_Set[[#This Row],[Play Booster Box Size]]</f>
        <v>#VALUE!</v>
      </c>
      <c r="AQ891" s="10" t="str" cm="1">
        <f t="array" ref="AQ8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1" s="10"/>
      <c r="AS891" s="10"/>
      <c r="AT891" s="17" t="e">
        <f>tbl_MTG_Set[[#This Row],[Play Booster CardMarket Profit]]/tbl_MTG_Set[[#This Row],[Play Booster Cost]]</f>
        <v>#VALUE!</v>
      </c>
      <c r="AU891" s="10" t="e">
        <f>_xlfn.XLOOKUP(tbl_MTG_Set[[#This Row],[Collector Booster Box Product Id]], tbl_Product[Product Id], tbl_Product[Min Cost])</f>
        <v>#N/A</v>
      </c>
      <c r="AV891" s="10" t="e">
        <f>_xlfn.XLOOKUP(tbl_MTG_Set[[#This Row],[Collector Booster Box Product Id]], tbl_Product[Product Id], tbl_Product[Best Source])</f>
        <v>#N/A</v>
      </c>
      <c r="AW891" s="4" t="e">
        <f>_xlfn.XLOOKUP(tbl_MTG_Set[[#This Row],[Collector Booster Box Product Id]], tbl_Product[Product Id], tbl_Product[Pack Size])</f>
        <v>#N/A</v>
      </c>
      <c r="AX891" s="10" t="e">
        <f>(tbl_MTG_Set[[#This Row],[Collector Booster Box Cost]] + v_Item_Shipping_Cost_In) / tbl_MTG_Set[[#This Row],[Collector Booster Box Size]]</f>
        <v>#N/A</v>
      </c>
      <c r="AY891" s="10" t="str" cm="1">
        <f t="array" ref="AY8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1" s="10"/>
      <c r="BA8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1" s="17" t="e">
        <f>tbl_MTG_Set[[#This Row],[Collector Booster CardMarket Profit]]/tbl_MTG_Set[[#This Row],[Collector Booster Cost]]</f>
        <v>#N/A</v>
      </c>
      <c r="BC891" s="10"/>
      <c r="BF89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1" s="11" t="e">
        <f>tbl_MTG_Set[[#This Row],[Play Singles CardMarket Profit MTG Stocks]]/tbl_MTG_Set[[#This Row],[Play Booster Cost]]</f>
        <v>#VALUE!</v>
      </c>
      <c r="BI891" s="11" t="b">
        <f>tbl_MTG_Set[[#This Row],[Play Singles CardMarket Profit MTG Stocks]]&gt;0</f>
        <v>0</v>
      </c>
      <c r="BM891" s="10" t="e">
        <f>tbl_MTG_Set[[#This Row],[Play Booster Sell Price CardMarket]]*tbl_MTG_Set[[#This Row],[Play Booster Expected Market Value BotBox]]/tbl_MTG_Set[[#This Row],[Play Booster Sealed Market Value BotBox]]</f>
        <v>#VALUE!</v>
      </c>
      <c r="BN8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1" s="10" t="e">
        <f>tbl_MTG_Set[[#This Row],[Play Singles CardMarket Profit BotBox]]/tbl_MTG_Set[[#This Row],[Play Booster Cost]]</f>
        <v>#VALUE!</v>
      </c>
      <c r="BP891" s="10" t="b">
        <f>tbl_MTG_Set[[#This Row],[Play Singles CardMarket Profit BotBox]]&gt;0</f>
        <v>0</v>
      </c>
      <c r="BQ891" s="10"/>
      <c r="BR891" s="10"/>
      <c r="BS891" s="10"/>
      <c r="BT8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1" s="19" t="e">
        <f>tbl_MTG_Set[[#This Row],[Collector Singles CardMarket Profit MTG Stocks]]/tbl_MTG_Set[[#This Row],[Collector Booster Cost]]</f>
        <v>#N/A</v>
      </c>
      <c r="BW891" s="10" t="b">
        <f>tbl_MTG_Set[[#This Row],[Collector Singles CardMarket Profit MTG Stocks]]&gt;0</f>
        <v>0</v>
      </c>
      <c r="BX891" s="10"/>
      <c r="BY891" s="10"/>
      <c r="BZ8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1" s="10" t="e">
        <f>tbl_MTG_Set[[#This Row],[Collector Singles CardMarket Profit BotBox]]/tbl_MTG_Set[[#This Row],[Collector Booster Cost]]</f>
        <v>#N/A</v>
      </c>
      <c r="CC891" s="10" t="b">
        <f>tbl_MTG_Set[[#This Row],[Collector Singles CardMarket Profit BotBox]]&gt;0</f>
        <v>0</v>
      </c>
      <c r="CD8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2" spans="1:86" hidden="1">
      <c r="A892">
        <v>924</v>
      </c>
      <c r="B892" t="s">
        <v>1065</v>
      </c>
      <c r="C892">
        <v>143</v>
      </c>
      <c r="D892" s="3">
        <v>37046</v>
      </c>
      <c r="F892" t="s">
        <v>174</v>
      </c>
      <c r="G892">
        <v>1794</v>
      </c>
      <c r="H892">
        <f ca="1">MONTH(NOW())+12*YEAR(NOW())-MONTH(tbl_MTG_Set[[#This Row],[Released On]])-12*YEAR(tbl_MTG_Set[[#This Row],[Released On]])</f>
        <v>297</v>
      </c>
      <c r="I892" t="str">
        <f>_xlfn.XLOOKUP(tbl_MTG_Set[[#This Row],[Type Name]], tbl_MTG_Set_Type[Set Type], tbl_MTG_Set_Type[Index], "(Set Type not found)")</f>
        <v>(Set Type not found)</v>
      </c>
      <c r="J892" t="str">
        <f>_xlfn.XLOOKUP(tbl_MTG_Set[[#This Row],[Type Name]], tbl_MTG_Set_Type[Set Type], tbl_MTG_Set_Type[Buy Window Month Start], "(Set Type not found)")</f>
        <v>(Set Type not found)</v>
      </c>
      <c r="K892" s="3" t="e">
        <f>tbl_MTG_Set[[#This Row],[Released On]]+tbl_MTG_Set[[#This Row],[Buy Window Month Start]]*365.25/12</f>
        <v>#VALUE!</v>
      </c>
      <c r="L892" t="str">
        <f>_xlfn.XLOOKUP(tbl_MTG_Set[[#This Row],[Type Name]], tbl_MTG_Set_Type[Set Type], tbl_MTG_Set_Type[Buy Window Month End], "(Set Type not found)", 0, 1)</f>
        <v>(Set Type not found)</v>
      </c>
      <c r="M892" s="3" t="e">
        <f>tbl_MTG_Set[[#This Row],[Released On]]+tbl_MTG_Set[[#This Row],[Buy Window Month End]]*365.25/12</f>
        <v>#VALUE!</v>
      </c>
      <c r="N892" s="3" t="e">
        <f ca="1">AND(NOW()&gt;=tbl_MTG_Set[[#This Row],[Buy Window Start]], NOW()&lt;=tbl_MTG_Set[[#This Row],[Buy Window End]])</f>
        <v>#VALUE!</v>
      </c>
      <c r="O892" t="str">
        <f>_xlfn.XLOOKUP(tbl_MTG_Set[[#This Row],[Type Name]], tbl_MTG_Set_Type[Set Type], tbl_MTG_Set_Type[Heavy Printing Window Month Start], "(Set Type not found)", 0, 1)</f>
        <v>(Set Type not found)</v>
      </c>
      <c r="P892" s="3" t="e">
        <f>tbl_MTG_Set[[#This Row],[Released On]]+tbl_MTG_Set[[#This Row],[Heavy Printing Window Month Start]]*365.25/12</f>
        <v>#VALUE!</v>
      </c>
      <c r="Q892" t="str">
        <f>_xlfn.XLOOKUP(tbl_MTG_Set[[#This Row],[Type Name]], tbl_MTG_Set_Type[Set Type], tbl_MTG_Set_Type[Heavy Printing Window Month End], "(Set Type not found)", 0, 1)</f>
        <v>(Set Type not found)</v>
      </c>
      <c r="R892" s="3" t="e">
        <f>tbl_MTG_Set[[#This Row],[Released On]]+tbl_MTG_Set[[#This Row],[Heavy Printing Window Month End]]*365.25/12</f>
        <v>#VALUE!</v>
      </c>
      <c r="S892" s="3" t="e">
        <f ca="1">AND(NOW()&gt;=tbl_MTG_Set[[#This Row],[Heavy Printing Window Start]], NOW()&lt;=tbl_MTG_Set[[#This Row],[Heavy Printing Window End]])</f>
        <v>#VALUE!</v>
      </c>
      <c r="T892" t="str">
        <f>_xlfn.XLOOKUP(tbl_MTG_Set[[#This Row],[Type Name]], tbl_MTG_Set_Type[Set Type], tbl_MTG_Set_Type[Sell Window Month Start], "(Set Type not found)", 0, 1)</f>
        <v>(Set Type not found)</v>
      </c>
      <c r="U892" s="3" t="e">
        <f>tbl_MTG_Set[[#This Row],[Released On]]+tbl_MTG_Set[[#This Row],[Sell Window Month Start]]*365.25/12</f>
        <v>#VALUE!</v>
      </c>
      <c r="V892" t="str">
        <f>_xlfn.XLOOKUP(tbl_MTG_Set[[#This Row],[Type Name]], tbl_MTG_Set_Type[Set Type], tbl_MTG_Set_Type[Sell Window Month End], "(Set Type not found)", 0, 1)</f>
        <v>(Set Type not found)</v>
      </c>
      <c r="W892" s="3" t="e">
        <f>tbl_MTG_Set[[#This Row],[Released On]]+tbl_MTG_Set[[#This Row],[Sell Window Month End]]*365.25/12</f>
        <v>#VALUE!</v>
      </c>
      <c r="X892" s="3" t="e">
        <f ca="1">AND(NOW()&gt;=tbl_MTG_Set[[#This Row],[Sell Window Start]], NOW()&lt;=tbl_MTG_Set[[#This Row],[Sell Window End]])</f>
        <v>#VALUE!</v>
      </c>
      <c r="AG892" s="10"/>
      <c r="AH892" s="10"/>
      <c r="AM892" s="10" t="str" cm="1">
        <f t="array" ref="AM8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2" s="10" t="str" cm="1">
        <f t="array" ref="AN8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2" s="4" t="e">
        <f>_xlfn.XLOOKUP(tbl_MTG_Set[[#This Row],[Play Booster Box Product Id]], tbl_Product[Product Id], tbl_Product[Pack Size])</f>
        <v>#N/A</v>
      </c>
      <c r="AP892" s="10" t="e">
        <f>(tbl_MTG_Set[[#This Row],[Play Booster Box Cost]]+v_Item_Shipping_Cost_In)/tbl_MTG_Set[[#This Row],[Play Booster Box Size]]</f>
        <v>#VALUE!</v>
      </c>
      <c r="AQ892" s="10" t="str" cm="1">
        <f t="array" ref="AQ8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2" s="10"/>
      <c r="AS892" s="10"/>
      <c r="AT892" s="17" t="e">
        <f>tbl_MTG_Set[[#This Row],[Play Booster CardMarket Profit]]/tbl_MTG_Set[[#This Row],[Play Booster Cost]]</f>
        <v>#VALUE!</v>
      </c>
      <c r="AU892" s="10" t="e">
        <f>_xlfn.XLOOKUP(tbl_MTG_Set[[#This Row],[Collector Booster Box Product Id]], tbl_Product[Product Id], tbl_Product[Min Cost])</f>
        <v>#N/A</v>
      </c>
      <c r="AV892" s="10" t="e">
        <f>_xlfn.XLOOKUP(tbl_MTG_Set[[#This Row],[Collector Booster Box Product Id]], tbl_Product[Product Id], tbl_Product[Best Source])</f>
        <v>#N/A</v>
      </c>
      <c r="AW892" s="4" t="e">
        <f>_xlfn.XLOOKUP(tbl_MTG_Set[[#This Row],[Collector Booster Box Product Id]], tbl_Product[Product Id], tbl_Product[Pack Size])</f>
        <v>#N/A</v>
      </c>
      <c r="AX892" s="10" t="e">
        <f>(tbl_MTG_Set[[#This Row],[Collector Booster Box Cost]] + v_Item_Shipping_Cost_In) / tbl_MTG_Set[[#This Row],[Collector Booster Box Size]]</f>
        <v>#N/A</v>
      </c>
      <c r="AY892" s="10" t="str" cm="1">
        <f t="array" ref="AY8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2" s="10"/>
      <c r="BA8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2" s="17" t="e">
        <f>tbl_MTG_Set[[#This Row],[Collector Booster CardMarket Profit]]/tbl_MTG_Set[[#This Row],[Collector Booster Cost]]</f>
        <v>#N/A</v>
      </c>
      <c r="BC892" s="10"/>
      <c r="BF89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2" s="11" t="e">
        <f>tbl_MTG_Set[[#This Row],[Play Singles CardMarket Profit MTG Stocks]]/tbl_MTG_Set[[#This Row],[Play Booster Cost]]</f>
        <v>#VALUE!</v>
      </c>
      <c r="BI892" s="11" t="b">
        <f>tbl_MTG_Set[[#This Row],[Play Singles CardMarket Profit MTG Stocks]]&gt;0</f>
        <v>0</v>
      </c>
      <c r="BM892" s="10" t="e">
        <f>tbl_MTG_Set[[#This Row],[Play Booster Sell Price CardMarket]]*tbl_MTG_Set[[#This Row],[Play Booster Expected Market Value BotBox]]/tbl_MTG_Set[[#This Row],[Play Booster Sealed Market Value BotBox]]</f>
        <v>#VALUE!</v>
      </c>
      <c r="BN8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2" s="10" t="e">
        <f>tbl_MTG_Set[[#This Row],[Play Singles CardMarket Profit BotBox]]/tbl_MTG_Set[[#This Row],[Play Booster Cost]]</f>
        <v>#VALUE!</v>
      </c>
      <c r="BP892" s="10" t="b">
        <f>tbl_MTG_Set[[#This Row],[Play Singles CardMarket Profit BotBox]]&gt;0</f>
        <v>0</v>
      </c>
      <c r="BQ892" s="10"/>
      <c r="BR892" s="10"/>
      <c r="BS892" s="10"/>
      <c r="BT8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2" s="19" t="e">
        <f>tbl_MTG_Set[[#This Row],[Collector Singles CardMarket Profit MTG Stocks]]/tbl_MTG_Set[[#This Row],[Collector Booster Cost]]</f>
        <v>#N/A</v>
      </c>
      <c r="BW892" s="10" t="b">
        <f>tbl_MTG_Set[[#This Row],[Collector Singles CardMarket Profit MTG Stocks]]&gt;0</f>
        <v>0</v>
      </c>
      <c r="BX892" s="10"/>
      <c r="BY892" s="10"/>
      <c r="BZ8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2" s="10" t="e">
        <f>tbl_MTG_Set[[#This Row],[Collector Singles CardMarket Profit BotBox]]/tbl_MTG_Set[[#This Row],[Collector Booster Cost]]</f>
        <v>#N/A</v>
      </c>
      <c r="CC892" s="10" t="b">
        <f>tbl_MTG_Set[[#This Row],[Collector Singles CardMarket Profit BotBox]]&gt;0</f>
        <v>0</v>
      </c>
      <c r="CD8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3" spans="1:86" hidden="1">
      <c r="A893">
        <v>925</v>
      </c>
      <c r="B893" t="s">
        <v>1066</v>
      </c>
      <c r="C893">
        <v>1</v>
      </c>
      <c r="D893" s="3">
        <v>37046</v>
      </c>
      <c r="F893" t="s">
        <v>174</v>
      </c>
      <c r="G893">
        <v>1796</v>
      </c>
      <c r="H893">
        <f ca="1">MONTH(NOW())+12*YEAR(NOW())-MONTH(tbl_MTG_Set[[#This Row],[Released On]])-12*YEAR(tbl_MTG_Set[[#This Row],[Released On]])</f>
        <v>297</v>
      </c>
      <c r="I893" t="str">
        <f>_xlfn.XLOOKUP(tbl_MTG_Set[[#This Row],[Type Name]], tbl_MTG_Set_Type[Set Type], tbl_MTG_Set_Type[Index], "(Set Type not found)")</f>
        <v>(Set Type not found)</v>
      </c>
      <c r="J893" t="str">
        <f>_xlfn.XLOOKUP(tbl_MTG_Set[[#This Row],[Type Name]], tbl_MTG_Set_Type[Set Type], tbl_MTG_Set_Type[Buy Window Month Start], "(Set Type not found)")</f>
        <v>(Set Type not found)</v>
      </c>
      <c r="K893" s="3" t="e">
        <f>tbl_MTG_Set[[#This Row],[Released On]]+tbl_MTG_Set[[#This Row],[Buy Window Month Start]]*365.25/12</f>
        <v>#VALUE!</v>
      </c>
      <c r="L893" t="str">
        <f>_xlfn.XLOOKUP(tbl_MTG_Set[[#This Row],[Type Name]], tbl_MTG_Set_Type[Set Type], tbl_MTG_Set_Type[Buy Window Month End], "(Set Type not found)", 0, 1)</f>
        <v>(Set Type not found)</v>
      </c>
      <c r="M893" s="3" t="e">
        <f>tbl_MTG_Set[[#This Row],[Released On]]+tbl_MTG_Set[[#This Row],[Buy Window Month End]]*365.25/12</f>
        <v>#VALUE!</v>
      </c>
      <c r="N893" s="3" t="e">
        <f ca="1">AND(NOW()&gt;=tbl_MTG_Set[[#This Row],[Buy Window Start]], NOW()&lt;=tbl_MTG_Set[[#This Row],[Buy Window End]])</f>
        <v>#VALUE!</v>
      </c>
      <c r="O893" t="str">
        <f>_xlfn.XLOOKUP(tbl_MTG_Set[[#This Row],[Type Name]], tbl_MTG_Set_Type[Set Type], tbl_MTG_Set_Type[Heavy Printing Window Month Start], "(Set Type not found)", 0, 1)</f>
        <v>(Set Type not found)</v>
      </c>
      <c r="P893" s="3" t="e">
        <f>tbl_MTG_Set[[#This Row],[Released On]]+tbl_MTG_Set[[#This Row],[Heavy Printing Window Month Start]]*365.25/12</f>
        <v>#VALUE!</v>
      </c>
      <c r="Q893" t="str">
        <f>_xlfn.XLOOKUP(tbl_MTG_Set[[#This Row],[Type Name]], tbl_MTG_Set_Type[Set Type], tbl_MTG_Set_Type[Heavy Printing Window Month End], "(Set Type not found)", 0, 1)</f>
        <v>(Set Type not found)</v>
      </c>
      <c r="R893" s="3" t="e">
        <f>tbl_MTG_Set[[#This Row],[Released On]]+tbl_MTG_Set[[#This Row],[Heavy Printing Window Month End]]*365.25/12</f>
        <v>#VALUE!</v>
      </c>
      <c r="S893" s="3" t="e">
        <f ca="1">AND(NOW()&gt;=tbl_MTG_Set[[#This Row],[Heavy Printing Window Start]], NOW()&lt;=tbl_MTG_Set[[#This Row],[Heavy Printing Window End]])</f>
        <v>#VALUE!</v>
      </c>
      <c r="T893" t="str">
        <f>_xlfn.XLOOKUP(tbl_MTG_Set[[#This Row],[Type Name]], tbl_MTG_Set_Type[Set Type], tbl_MTG_Set_Type[Sell Window Month Start], "(Set Type not found)", 0, 1)</f>
        <v>(Set Type not found)</v>
      </c>
      <c r="U893" s="3" t="e">
        <f>tbl_MTG_Set[[#This Row],[Released On]]+tbl_MTG_Set[[#This Row],[Sell Window Month Start]]*365.25/12</f>
        <v>#VALUE!</v>
      </c>
      <c r="V893" t="str">
        <f>_xlfn.XLOOKUP(tbl_MTG_Set[[#This Row],[Type Name]], tbl_MTG_Set_Type[Set Type], tbl_MTG_Set_Type[Sell Window Month End], "(Set Type not found)", 0, 1)</f>
        <v>(Set Type not found)</v>
      </c>
      <c r="W893" s="3" t="e">
        <f>tbl_MTG_Set[[#This Row],[Released On]]+tbl_MTG_Set[[#This Row],[Sell Window Month End]]*365.25/12</f>
        <v>#VALUE!</v>
      </c>
      <c r="X893" s="3" t="e">
        <f ca="1">AND(NOW()&gt;=tbl_MTG_Set[[#This Row],[Sell Window Start]], NOW()&lt;=tbl_MTG_Set[[#This Row],[Sell Window End]])</f>
        <v>#VALUE!</v>
      </c>
      <c r="AG893" s="10"/>
      <c r="AH893" s="10"/>
      <c r="AM893" s="10" t="str" cm="1">
        <f t="array" ref="AM8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3" s="10" t="str" cm="1">
        <f t="array" ref="AN8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3" s="4" t="e">
        <f>_xlfn.XLOOKUP(tbl_MTG_Set[[#This Row],[Play Booster Box Product Id]], tbl_Product[Product Id], tbl_Product[Pack Size])</f>
        <v>#N/A</v>
      </c>
      <c r="AP893" s="10" t="e">
        <f>(tbl_MTG_Set[[#This Row],[Play Booster Box Cost]]+v_Item_Shipping_Cost_In)/tbl_MTG_Set[[#This Row],[Play Booster Box Size]]</f>
        <v>#VALUE!</v>
      </c>
      <c r="AQ893" s="10" t="str" cm="1">
        <f t="array" ref="AQ8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3" s="10"/>
      <c r="AS893" s="10"/>
      <c r="AT893" s="17" t="e">
        <f>tbl_MTG_Set[[#This Row],[Play Booster CardMarket Profit]]/tbl_MTG_Set[[#This Row],[Play Booster Cost]]</f>
        <v>#VALUE!</v>
      </c>
      <c r="AU893" s="10" t="e">
        <f>_xlfn.XLOOKUP(tbl_MTG_Set[[#This Row],[Collector Booster Box Product Id]], tbl_Product[Product Id], tbl_Product[Min Cost])</f>
        <v>#N/A</v>
      </c>
      <c r="AV893" s="10" t="e">
        <f>_xlfn.XLOOKUP(tbl_MTG_Set[[#This Row],[Collector Booster Box Product Id]], tbl_Product[Product Id], tbl_Product[Best Source])</f>
        <v>#N/A</v>
      </c>
      <c r="AW893" s="4" t="e">
        <f>_xlfn.XLOOKUP(tbl_MTG_Set[[#This Row],[Collector Booster Box Product Id]], tbl_Product[Product Id], tbl_Product[Pack Size])</f>
        <v>#N/A</v>
      </c>
      <c r="AX893" s="10" t="e">
        <f>(tbl_MTG_Set[[#This Row],[Collector Booster Box Cost]] + v_Item_Shipping_Cost_In) / tbl_MTG_Set[[#This Row],[Collector Booster Box Size]]</f>
        <v>#N/A</v>
      </c>
      <c r="AY893" s="10" t="str" cm="1">
        <f t="array" ref="AY8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3" s="10"/>
      <c r="BA8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3" s="17" t="e">
        <f>tbl_MTG_Set[[#This Row],[Collector Booster CardMarket Profit]]/tbl_MTG_Set[[#This Row],[Collector Booster Cost]]</f>
        <v>#N/A</v>
      </c>
      <c r="BC893" s="10"/>
      <c r="BF89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3" s="11" t="e">
        <f>tbl_MTG_Set[[#This Row],[Play Singles CardMarket Profit MTG Stocks]]/tbl_MTG_Set[[#This Row],[Play Booster Cost]]</f>
        <v>#VALUE!</v>
      </c>
      <c r="BI893" s="11" t="b">
        <f>tbl_MTG_Set[[#This Row],[Play Singles CardMarket Profit MTG Stocks]]&gt;0</f>
        <v>0</v>
      </c>
      <c r="BM893" s="10" t="e">
        <f>tbl_MTG_Set[[#This Row],[Play Booster Sell Price CardMarket]]*tbl_MTG_Set[[#This Row],[Play Booster Expected Market Value BotBox]]/tbl_MTG_Set[[#This Row],[Play Booster Sealed Market Value BotBox]]</f>
        <v>#VALUE!</v>
      </c>
      <c r="BN8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3" s="10" t="e">
        <f>tbl_MTG_Set[[#This Row],[Play Singles CardMarket Profit BotBox]]/tbl_MTG_Set[[#This Row],[Play Booster Cost]]</f>
        <v>#VALUE!</v>
      </c>
      <c r="BP893" s="10" t="b">
        <f>tbl_MTG_Set[[#This Row],[Play Singles CardMarket Profit BotBox]]&gt;0</f>
        <v>0</v>
      </c>
      <c r="BQ893" s="10"/>
      <c r="BR893" s="10"/>
      <c r="BS893" s="10"/>
      <c r="BT89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3" s="19" t="e">
        <f>tbl_MTG_Set[[#This Row],[Collector Singles CardMarket Profit MTG Stocks]]/tbl_MTG_Set[[#This Row],[Collector Booster Cost]]</f>
        <v>#N/A</v>
      </c>
      <c r="BW893" s="10" t="b">
        <f>tbl_MTG_Set[[#This Row],[Collector Singles CardMarket Profit MTG Stocks]]&gt;0</f>
        <v>0</v>
      </c>
      <c r="BX893" s="10"/>
      <c r="BY893" s="10"/>
      <c r="BZ89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3" s="10" t="e">
        <f>tbl_MTG_Set[[#This Row],[Collector Singles CardMarket Profit BotBox]]/tbl_MTG_Set[[#This Row],[Collector Booster Cost]]</f>
        <v>#N/A</v>
      </c>
      <c r="CC893" s="10" t="b">
        <f>tbl_MTG_Set[[#This Row],[Collector Singles CardMarket Profit BotBox]]&gt;0</f>
        <v>0</v>
      </c>
      <c r="CD8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4" spans="1:86" hidden="1">
      <c r="A894">
        <v>926</v>
      </c>
      <c r="B894" t="s">
        <v>1067</v>
      </c>
      <c r="C894">
        <v>708</v>
      </c>
      <c r="D894" s="3">
        <v>36992</v>
      </c>
      <c r="F894" t="s">
        <v>174</v>
      </c>
      <c r="G894">
        <v>1798</v>
      </c>
      <c r="H894">
        <f ca="1">MONTH(NOW())+12*YEAR(NOW())-MONTH(tbl_MTG_Set[[#This Row],[Released On]])-12*YEAR(tbl_MTG_Set[[#This Row],[Released On]])</f>
        <v>299</v>
      </c>
      <c r="I894" t="str">
        <f>_xlfn.XLOOKUP(tbl_MTG_Set[[#This Row],[Type Name]], tbl_MTG_Set_Type[Set Type], tbl_MTG_Set_Type[Index], "(Set Type not found)")</f>
        <v>(Set Type not found)</v>
      </c>
      <c r="J894" t="str">
        <f>_xlfn.XLOOKUP(tbl_MTG_Set[[#This Row],[Type Name]], tbl_MTG_Set_Type[Set Type], tbl_MTG_Set_Type[Buy Window Month Start], "(Set Type not found)")</f>
        <v>(Set Type not found)</v>
      </c>
      <c r="K894" s="3" t="e">
        <f>tbl_MTG_Set[[#This Row],[Released On]]+tbl_MTG_Set[[#This Row],[Buy Window Month Start]]*365.25/12</f>
        <v>#VALUE!</v>
      </c>
      <c r="L894" t="str">
        <f>_xlfn.XLOOKUP(tbl_MTG_Set[[#This Row],[Type Name]], tbl_MTG_Set_Type[Set Type], tbl_MTG_Set_Type[Buy Window Month End], "(Set Type not found)", 0, 1)</f>
        <v>(Set Type not found)</v>
      </c>
      <c r="M894" s="3" t="e">
        <f>tbl_MTG_Set[[#This Row],[Released On]]+tbl_MTG_Set[[#This Row],[Buy Window Month End]]*365.25/12</f>
        <v>#VALUE!</v>
      </c>
      <c r="N894" s="3" t="e">
        <f ca="1">AND(NOW()&gt;=tbl_MTG_Set[[#This Row],[Buy Window Start]], NOW()&lt;=tbl_MTG_Set[[#This Row],[Buy Window End]])</f>
        <v>#VALUE!</v>
      </c>
      <c r="O894" t="str">
        <f>_xlfn.XLOOKUP(tbl_MTG_Set[[#This Row],[Type Name]], tbl_MTG_Set_Type[Set Type], tbl_MTG_Set_Type[Heavy Printing Window Month Start], "(Set Type not found)", 0, 1)</f>
        <v>(Set Type not found)</v>
      </c>
      <c r="P894" s="3" t="e">
        <f>tbl_MTG_Set[[#This Row],[Released On]]+tbl_MTG_Set[[#This Row],[Heavy Printing Window Month Start]]*365.25/12</f>
        <v>#VALUE!</v>
      </c>
      <c r="Q894" t="str">
        <f>_xlfn.XLOOKUP(tbl_MTG_Set[[#This Row],[Type Name]], tbl_MTG_Set_Type[Set Type], tbl_MTG_Set_Type[Heavy Printing Window Month End], "(Set Type not found)", 0, 1)</f>
        <v>(Set Type not found)</v>
      </c>
      <c r="R894" s="3" t="e">
        <f>tbl_MTG_Set[[#This Row],[Released On]]+tbl_MTG_Set[[#This Row],[Heavy Printing Window Month End]]*365.25/12</f>
        <v>#VALUE!</v>
      </c>
      <c r="S894" s="3" t="e">
        <f ca="1">AND(NOW()&gt;=tbl_MTG_Set[[#This Row],[Heavy Printing Window Start]], NOW()&lt;=tbl_MTG_Set[[#This Row],[Heavy Printing Window End]])</f>
        <v>#VALUE!</v>
      </c>
      <c r="T894" t="str">
        <f>_xlfn.XLOOKUP(tbl_MTG_Set[[#This Row],[Type Name]], tbl_MTG_Set_Type[Set Type], tbl_MTG_Set_Type[Sell Window Month Start], "(Set Type not found)", 0, 1)</f>
        <v>(Set Type not found)</v>
      </c>
      <c r="U894" s="3" t="e">
        <f>tbl_MTG_Set[[#This Row],[Released On]]+tbl_MTG_Set[[#This Row],[Sell Window Month Start]]*365.25/12</f>
        <v>#VALUE!</v>
      </c>
      <c r="V894" t="str">
        <f>_xlfn.XLOOKUP(tbl_MTG_Set[[#This Row],[Type Name]], tbl_MTG_Set_Type[Set Type], tbl_MTG_Set_Type[Sell Window Month End], "(Set Type not found)", 0, 1)</f>
        <v>(Set Type not found)</v>
      </c>
      <c r="W894" s="3" t="e">
        <f>tbl_MTG_Set[[#This Row],[Released On]]+tbl_MTG_Set[[#This Row],[Sell Window Month End]]*365.25/12</f>
        <v>#VALUE!</v>
      </c>
      <c r="X894" s="3" t="e">
        <f ca="1">AND(NOW()&gt;=tbl_MTG_Set[[#This Row],[Sell Window Start]], NOW()&lt;=tbl_MTG_Set[[#This Row],[Sell Window End]])</f>
        <v>#VALUE!</v>
      </c>
      <c r="AG894" s="10"/>
      <c r="AH894" s="10"/>
      <c r="AM894" s="10" t="str" cm="1">
        <f t="array" ref="AM8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4" s="10" t="str" cm="1">
        <f t="array" ref="AN8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4" s="4" t="e">
        <f>_xlfn.XLOOKUP(tbl_MTG_Set[[#This Row],[Play Booster Box Product Id]], tbl_Product[Product Id], tbl_Product[Pack Size])</f>
        <v>#N/A</v>
      </c>
      <c r="AP894" s="10" t="e">
        <f>(tbl_MTG_Set[[#This Row],[Play Booster Box Cost]]+v_Item_Shipping_Cost_In)/tbl_MTG_Set[[#This Row],[Play Booster Box Size]]</f>
        <v>#VALUE!</v>
      </c>
      <c r="AQ894" s="10" t="str" cm="1">
        <f t="array" ref="AQ8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4" s="10"/>
      <c r="AS894" s="10"/>
      <c r="AT894" s="17" t="e">
        <f>tbl_MTG_Set[[#This Row],[Play Booster CardMarket Profit]]/tbl_MTG_Set[[#This Row],[Play Booster Cost]]</f>
        <v>#VALUE!</v>
      </c>
      <c r="AU894" s="10" t="e">
        <f>_xlfn.XLOOKUP(tbl_MTG_Set[[#This Row],[Collector Booster Box Product Id]], tbl_Product[Product Id], tbl_Product[Min Cost])</f>
        <v>#N/A</v>
      </c>
      <c r="AV894" s="10" t="e">
        <f>_xlfn.XLOOKUP(tbl_MTG_Set[[#This Row],[Collector Booster Box Product Id]], tbl_Product[Product Id], tbl_Product[Best Source])</f>
        <v>#N/A</v>
      </c>
      <c r="AW894" s="4" t="e">
        <f>_xlfn.XLOOKUP(tbl_MTG_Set[[#This Row],[Collector Booster Box Product Id]], tbl_Product[Product Id], tbl_Product[Pack Size])</f>
        <v>#N/A</v>
      </c>
      <c r="AX894" s="10" t="e">
        <f>(tbl_MTG_Set[[#This Row],[Collector Booster Box Cost]] + v_Item_Shipping_Cost_In) / tbl_MTG_Set[[#This Row],[Collector Booster Box Size]]</f>
        <v>#N/A</v>
      </c>
      <c r="AY894" s="10" t="str" cm="1">
        <f t="array" ref="AY8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4" s="10"/>
      <c r="BA8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4" s="17" t="e">
        <f>tbl_MTG_Set[[#This Row],[Collector Booster CardMarket Profit]]/tbl_MTG_Set[[#This Row],[Collector Booster Cost]]</f>
        <v>#N/A</v>
      </c>
      <c r="BC894" s="10"/>
      <c r="BF89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4" s="11" t="e">
        <f>tbl_MTG_Set[[#This Row],[Play Singles CardMarket Profit MTG Stocks]]/tbl_MTG_Set[[#This Row],[Play Booster Cost]]</f>
        <v>#VALUE!</v>
      </c>
      <c r="BI894" s="11" t="b">
        <f>tbl_MTG_Set[[#This Row],[Play Singles CardMarket Profit MTG Stocks]]&gt;0</f>
        <v>0</v>
      </c>
      <c r="BM894" s="10" t="e">
        <f>tbl_MTG_Set[[#This Row],[Play Booster Sell Price CardMarket]]*tbl_MTG_Set[[#This Row],[Play Booster Expected Market Value BotBox]]/tbl_MTG_Set[[#This Row],[Play Booster Sealed Market Value BotBox]]</f>
        <v>#VALUE!</v>
      </c>
      <c r="BN8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4" s="10" t="e">
        <f>tbl_MTG_Set[[#This Row],[Play Singles CardMarket Profit BotBox]]/tbl_MTG_Set[[#This Row],[Play Booster Cost]]</f>
        <v>#VALUE!</v>
      </c>
      <c r="BP894" s="10" t="b">
        <f>tbl_MTG_Set[[#This Row],[Play Singles CardMarket Profit BotBox]]&gt;0</f>
        <v>0</v>
      </c>
      <c r="BQ894" s="10"/>
      <c r="BR894" s="10"/>
      <c r="BS894" s="10"/>
      <c r="BT89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4" s="19" t="e">
        <f>tbl_MTG_Set[[#This Row],[Collector Singles CardMarket Profit MTG Stocks]]/tbl_MTG_Set[[#This Row],[Collector Booster Cost]]</f>
        <v>#N/A</v>
      </c>
      <c r="BW894" s="10" t="b">
        <f>tbl_MTG_Set[[#This Row],[Collector Singles CardMarket Profit MTG Stocks]]&gt;0</f>
        <v>0</v>
      </c>
      <c r="BX894" s="10"/>
      <c r="BY894" s="10"/>
      <c r="BZ89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4" s="10" t="e">
        <f>tbl_MTG_Set[[#This Row],[Collector Singles CardMarket Profit BotBox]]/tbl_MTG_Set[[#This Row],[Collector Booster Cost]]</f>
        <v>#N/A</v>
      </c>
      <c r="CC894" s="10" t="b">
        <f>tbl_MTG_Set[[#This Row],[Collector Singles CardMarket Profit BotBox]]&gt;0</f>
        <v>0</v>
      </c>
      <c r="CD8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5" spans="1:86" hidden="1">
      <c r="A895">
        <v>927</v>
      </c>
      <c r="B895" t="s">
        <v>1068</v>
      </c>
      <c r="C895">
        <v>146</v>
      </c>
      <c r="D895" s="3">
        <v>36927</v>
      </c>
      <c r="F895" t="s">
        <v>174</v>
      </c>
      <c r="G895">
        <v>1800</v>
      </c>
      <c r="H895">
        <f ca="1">MONTH(NOW())+12*YEAR(NOW())-MONTH(tbl_MTG_Set[[#This Row],[Released On]])-12*YEAR(tbl_MTG_Set[[#This Row],[Released On]])</f>
        <v>301</v>
      </c>
      <c r="I895" t="str">
        <f>_xlfn.XLOOKUP(tbl_MTG_Set[[#This Row],[Type Name]], tbl_MTG_Set_Type[Set Type], tbl_MTG_Set_Type[Index], "(Set Type not found)")</f>
        <v>(Set Type not found)</v>
      </c>
      <c r="J895" t="str">
        <f>_xlfn.XLOOKUP(tbl_MTG_Set[[#This Row],[Type Name]], tbl_MTG_Set_Type[Set Type], tbl_MTG_Set_Type[Buy Window Month Start], "(Set Type not found)")</f>
        <v>(Set Type not found)</v>
      </c>
      <c r="K895" s="3" t="e">
        <f>tbl_MTG_Set[[#This Row],[Released On]]+tbl_MTG_Set[[#This Row],[Buy Window Month Start]]*365.25/12</f>
        <v>#VALUE!</v>
      </c>
      <c r="L895" t="str">
        <f>_xlfn.XLOOKUP(tbl_MTG_Set[[#This Row],[Type Name]], tbl_MTG_Set_Type[Set Type], tbl_MTG_Set_Type[Buy Window Month End], "(Set Type not found)", 0, 1)</f>
        <v>(Set Type not found)</v>
      </c>
      <c r="M895" s="3" t="e">
        <f>tbl_MTG_Set[[#This Row],[Released On]]+tbl_MTG_Set[[#This Row],[Buy Window Month End]]*365.25/12</f>
        <v>#VALUE!</v>
      </c>
      <c r="N895" s="3" t="e">
        <f ca="1">AND(NOW()&gt;=tbl_MTG_Set[[#This Row],[Buy Window Start]], NOW()&lt;=tbl_MTG_Set[[#This Row],[Buy Window End]])</f>
        <v>#VALUE!</v>
      </c>
      <c r="O895" t="str">
        <f>_xlfn.XLOOKUP(tbl_MTG_Set[[#This Row],[Type Name]], tbl_MTG_Set_Type[Set Type], tbl_MTG_Set_Type[Heavy Printing Window Month Start], "(Set Type not found)", 0, 1)</f>
        <v>(Set Type not found)</v>
      </c>
      <c r="P895" s="3" t="e">
        <f>tbl_MTG_Set[[#This Row],[Released On]]+tbl_MTG_Set[[#This Row],[Heavy Printing Window Month Start]]*365.25/12</f>
        <v>#VALUE!</v>
      </c>
      <c r="Q895" t="str">
        <f>_xlfn.XLOOKUP(tbl_MTG_Set[[#This Row],[Type Name]], tbl_MTG_Set_Type[Set Type], tbl_MTG_Set_Type[Heavy Printing Window Month End], "(Set Type not found)", 0, 1)</f>
        <v>(Set Type not found)</v>
      </c>
      <c r="R895" s="3" t="e">
        <f>tbl_MTG_Set[[#This Row],[Released On]]+tbl_MTG_Set[[#This Row],[Heavy Printing Window Month End]]*365.25/12</f>
        <v>#VALUE!</v>
      </c>
      <c r="S895" s="3" t="e">
        <f ca="1">AND(NOW()&gt;=tbl_MTG_Set[[#This Row],[Heavy Printing Window Start]], NOW()&lt;=tbl_MTG_Set[[#This Row],[Heavy Printing Window End]])</f>
        <v>#VALUE!</v>
      </c>
      <c r="T895" t="str">
        <f>_xlfn.XLOOKUP(tbl_MTG_Set[[#This Row],[Type Name]], tbl_MTG_Set_Type[Set Type], tbl_MTG_Set_Type[Sell Window Month Start], "(Set Type not found)", 0, 1)</f>
        <v>(Set Type not found)</v>
      </c>
      <c r="U895" s="3" t="e">
        <f>tbl_MTG_Set[[#This Row],[Released On]]+tbl_MTG_Set[[#This Row],[Sell Window Month Start]]*365.25/12</f>
        <v>#VALUE!</v>
      </c>
      <c r="V895" t="str">
        <f>_xlfn.XLOOKUP(tbl_MTG_Set[[#This Row],[Type Name]], tbl_MTG_Set_Type[Set Type], tbl_MTG_Set_Type[Sell Window Month End], "(Set Type not found)", 0, 1)</f>
        <v>(Set Type not found)</v>
      </c>
      <c r="W895" s="3" t="e">
        <f>tbl_MTG_Set[[#This Row],[Released On]]+tbl_MTG_Set[[#This Row],[Sell Window Month End]]*365.25/12</f>
        <v>#VALUE!</v>
      </c>
      <c r="X895" s="3" t="e">
        <f ca="1">AND(NOW()&gt;=tbl_MTG_Set[[#This Row],[Sell Window Start]], NOW()&lt;=tbl_MTG_Set[[#This Row],[Sell Window End]])</f>
        <v>#VALUE!</v>
      </c>
      <c r="AG895" s="10"/>
      <c r="AH895" s="10"/>
      <c r="AM895" s="10" t="str" cm="1">
        <f t="array" ref="AM8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5" s="10" t="str" cm="1">
        <f t="array" ref="AN8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5" s="4" t="e">
        <f>_xlfn.XLOOKUP(tbl_MTG_Set[[#This Row],[Play Booster Box Product Id]], tbl_Product[Product Id], tbl_Product[Pack Size])</f>
        <v>#N/A</v>
      </c>
      <c r="AP895" s="10" t="e">
        <f>(tbl_MTG_Set[[#This Row],[Play Booster Box Cost]]+v_Item_Shipping_Cost_In)/tbl_MTG_Set[[#This Row],[Play Booster Box Size]]</f>
        <v>#VALUE!</v>
      </c>
      <c r="AQ895" s="10" t="str" cm="1">
        <f t="array" ref="AQ8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5" s="10"/>
      <c r="AS895" s="10"/>
      <c r="AT895" s="17" t="e">
        <f>tbl_MTG_Set[[#This Row],[Play Booster CardMarket Profit]]/tbl_MTG_Set[[#This Row],[Play Booster Cost]]</f>
        <v>#VALUE!</v>
      </c>
      <c r="AU895" s="10" t="e">
        <f>_xlfn.XLOOKUP(tbl_MTG_Set[[#This Row],[Collector Booster Box Product Id]], tbl_Product[Product Id], tbl_Product[Min Cost])</f>
        <v>#N/A</v>
      </c>
      <c r="AV895" s="10" t="e">
        <f>_xlfn.XLOOKUP(tbl_MTG_Set[[#This Row],[Collector Booster Box Product Id]], tbl_Product[Product Id], tbl_Product[Best Source])</f>
        <v>#N/A</v>
      </c>
      <c r="AW895" s="4" t="e">
        <f>_xlfn.XLOOKUP(tbl_MTG_Set[[#This Row],[Collector Booster Box Product Id]], tbl_Product[Product Id], tbl_Product[Pack Size])</f>
        <v>#N/A</v>
      </c>
      <c r="AX895" s="10" t="e">
        <f>(tbl_MTG_Set[[#This Row],[Collector Booster Box Cost]] + v_Item_Shipping_Cost_In) / tbl_MTG_Set[[#This Row],[Collector Booster Box Size]]</f>
        <v>#N/A</v>
      </c>
      <c r="AY895" s="10" t="str" cm="1">
        <f t="array" ref="AY8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5" s="10"/>
      <c r="BA8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5" s="17" t="e">
        <f>tbl_MTG_Set[[#This Row],[Collector Booster CardMarket Profit]]/tbl_MTG_Set[[#This Row],[Collector Booster Cost]]</f>
        <v>#N/A</v>
      </c>
      <c r="BC895" s="10"/>
      <c r="BF89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5" s="11" t="e">
        <f>tbl_MTG_Set[[#This Row],[Play Singles CardMarket Profit MTG Stocks]]/tbl_MTG_Set[[#This Row],[Play Booster Cost]]</f>
        <v>#VALUE!</v>
      </c>
      <c r="BI895" s="11" t="b">
        <f>tbl_MTG_Set[[#This Row],[Play Singles CardMarket Profit MTG Stocks]]&gt;0</f>
        <v>0</v>
      </c>
      <c r="BM895" s="10" t="e">
        <f>tbl_MTG_Set[[#This Row],[Play Booster Sell Price CardMarket]]*tbl_MTG_Set[[#This Row],[Play Booster Expected Market Value BotBox]]/tbl_MTG_Set[[#This Row],[Play Booster Sealed Market Value BotBox]]</f>
        <v>#VALUE!</v>
      </c>
      <c r="BN8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5" s="10" t="e">
        <f>tbl_MTG_Set[[#This Row],[Play Singles CardMarket Profit BotBox]]/tbl_MTG_Set[[#This Row],[Play Booster Cost]]</f>
        <v>#VALUE!</v>
      </c>
      <c r="BP895" s="10" t="b">
        <f>tbl_MTG_Set[[#This Row],[Play Singles CardMarket Profit BotBox]]&gt;0</f>
        <v>0</v>
      </c>
      <c r="BQ895" s="10"/>
      <c r="BR895" s="10"/>
      <c r="BS895" s="10"/>
      <c r="BT89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5" s="19" t="e">
        <f>tbl_MTG_Set[[#This Row],[Collector Singles CardMarket Profit MTG Stocks]]/tbl_MTG_Set[[#This Row],[Collector Booster Cost]]</f>
        <v>#N/A</v>
      </c>
      <c r="BW895" s="10" t="b">
        <f>tbl_MTG_Set[[#This Row],[Collector Singles CardMarket Profit MTG Stocks]]&gt;0</f>
        <v>0</v>
      </c>
      <c r="BX895" s="10"/>
      <c r="BY895" s="10"/>
      <c r="BZ89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5" s="10" t="e">
        <f>tbl_MTG_Set[[#This Row],[Collector Singles CardMarket Profit BotBox]]/tbl_MTG_Set[[#This Row],[Collector Booster Cost]]</f>
        <v>#N/A</v>
      </c>
      <c r="CC895" s="10" t="b">
        <f>tbl_MTG_Set[[#This Row],[Collector Singles CardMarket Profit BotBox]]&gt;0</f>
        <v>0</v>
      </c>
      <c r="CD8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6" spans="1:86" hidden="1">
      <c r="A896">
        <v>928</v>
      </c>
      <c r="B896" t="s">
        <v>1069</v>
      </c>
      <c r="C896">
        <v>1</v>
      </c>
      <c r="D896" s="3">
        <v>36927</v>
      </c>
      <c r="F896" t="s">
        <v>174</v>
      </c>
      <c r="G896">
        <v>1802</v>
      </c>
      <c r="H896">
        <f ca="1">MONTH(NOW())+12*YEAR(NOW())-MONTH(tbl_MTG_Set[[#This Row],[Released On]])-12*YEAR(tbl_MTG_Set[[#This Row],[Released On]])</f>
        <v>301</v>
      </c>
      <c r="I896" t="str">
        <f>_xlfn.XLOOKUP(tbl_MTG_Set[[#This Row],[Type Name]], tbl_MTG_Set_Type[Set Type], tbl_MTG_Set_Type[Index], "(Set Type not found)")</f>
        <v>(Set Type not found)</v>
      </c>
      <c r="J896" t="str">
        <f>_xlfn.XLOOKUP(tbl_MTG_Set[[#This Row],[Type Name]], tbl_MTG_Set_Type[Set Type], tbl_MTG_Set_Type[Buy Window Month Start], "(Set Type not found)")</f>
        <v>(Set Type not found)</v>
      </c>
      <c r="K896" s="3" t="e">
        <f>tbl_MTG_Set[[#This Row],[Released On]]+tbl_MTG_Set[[#This Row],[Buy Window Month Start]]*365.25/12</f>
        <v>#VALUE!</v>
      </c>
      <c r="L896" t="str">
        <f>_xlfn.XLOOKUP(tbl_MTG_Set[[#This Row],[Type Name]], tbl_MTG_Set_Type[Set Type], tbl_MTG_Set_Type[Buy Window Month End], "(Set Type not found)", 0, 1)</f>
        <v>(Set Type not found)</v>
      </c>
      <c r="M896" s="3" t="e">
        <f>tbl_MTG_Set[[#This Row],[Released On]]+tbl_MTG_Set[[#This Row],[Buy Window Month End]]*365.25/12</f>
        <v>#VALUE!</v>
      </c>
      <c r="N896" s="3" t="e">
        <f ca="1">AND(NOW()&gt;=tbl_MTG_Set[[#This Row],[Buy Window Start]], NOW()&lt;=tbl_MTG_Set[[#This Row],[Buy Window End]])</f>
        <v>#VALUE!</v>
      </c>
      <c r="O896" t="str">
        <f>_xlfn.XLOOKUP(tbl_MTG_Set[[#This Row],[Type Name]], tbl_MTG_Set_Type[Set Type], tbl_MTG_Set_Type[Heavy Printing Window Month Start], "(Set Type not found)", 0, 1)</f>
        <v>(Set Type not found)</v>
      </c>
      <c r="P896" s="3" t="e">
        <f>tbl_MTG_Set[[#This Row],[Released On]]+tbl_MTG_Set[[#This Row],[Heavy Printing Window Month Start]]*365.25/12</f>
        <v>#VALUE!</v>
      </c>
      <c r="Q896" t="str">
        <f>_xlfn.XLOOKUP(tbl_MTG_Set[[#This Row],[Type Name]], tbl_MTG_Set_Type[Set Type], tbl_MTG_Set_Type[Heavy Printing Window Month End], "(Set Type not found)", 0, 1)</f>
        <v>(Set Type not found)</v>
      </c>
      <c r="R896" s="3" t="e">
        <f>tbl_MTG_Set[[#This Row],[Released On]]+tbl_MTG_Set[[#This Row],[Heavy Printing Window Month End]]*365.25/12</f>
        <v>#VALUE!</v>
      </c>
      <c r="S896" s="3" t="e">
        <f ca="1">AND(NOW()&gt;=tbl_MTG_Set[[#This Row],[Heavy Printing Window Start]], NOW()&lt;=tbl_MTG_Set[[#This Row],[Heavy Printing Window End]])</f>
        <v>#VALUE!</v>
      </c>
      <c r="T896" t="str">
        <f>_xlfn.XLOOKUP(tbl_MTG_Set[[#This Row],[Type Name]], tbl_MTG_Set_Type[Set Type], tbl_MTG_Set_Type[Sell Window Month Start], "(Set Type not found)", 0, 1)</f>
        <v>(Set Type not found)</v>
      </c>
      <c r="U896" s="3" t="e">
        <f>tbl_MTG_Set[[#This Row],[Released On]]+tbl_MTG_Set[[#This Row],[Sell Window Month Start]]*365.25/12</f>
        <v>#VALUE!</v>
      </c>
      <c r="V896" t="str">
        <f>_xlfn.XLOOKUP(tbl_MTG_Set[[#This Row],[Type Name]], tbl_MTG_Set_Type[Set Type], tbl_MTG_Set_Type[Sell Window Month End], "(Set Type not found)", 0, 1)</f>
        <v>(Set Type not found)</v>
      </c>
      <c r="W896" s="3" t="e">
        <f>tbl_MTG_Set[[#This Row],[Released On]]+tbl_MTG_Set[[#This Row],[Sell Window Month End]]*365.25/12</f>
        <v>#VALUE!</v>
      </c>
      <c r="X896" s="3" t="e">
        <f ca="1">AND(NOW()&gt;=tbl_MTG_Set[[#This Row],[Sell Window Start]], NOW()&lt;=tbl_MTG_Set[[#This Row],[Sell Window End]])</f>
        <v>#VALUE!</v>
      </c>
      <c r="AG896" s="10"/>
      <c r="AH896" s="10"/>
      <c r="AM896" s="10" t="str" cm="1">
        <f t="array" ref="AM8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6" s="10" t="str" cm="1">
        <f t="array" ref="AN8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6" s="4" t="e">
        <f>_xlfn.XLOOKUP(tbl_MTG_Set[[#This Row],[Play Booster Box Product Id]], tbl_Product[Product Id], tbl_Product[Pack Size])</f>
        <v>#N/A</v>
      </c>
      <c r="AP896" s="10" t="e">
        <f>(tbl_MTG_Set[[#This Row],[Play Booster Box Cost]]+v_Item_Shipping_Cost_In)/tbl_MTG_Set[[#This Row],[Play Booster Box Size]]</f>
        <v>#VALUE!</v>
      </c>
      <c r="AQ896" s="10" t="str" cm="1">
        <f t="array" ref="AQ8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6" s="10"/>
      <c r="AS896" s="10"/>
      <c r="AT896" s="17" t="e">
        <f>tbl_MTG_Set[[#This Row],[Play Booster CardMarket Profit]]/tbl_MTG_Set[[#This Row],[Play Booster Cost]]</f>
        <v>#VALUE!</v>
      </c>
      <c r="AU896" s="10" t="e">
        <f>_xlfn.XLOOKUP(tbl_MTG_Set[[#This Row],[Collector Booster Box Product Id]], tbl_Product[Product Id], tbl_Product[Min Cost])</f>
        <v>#N/A</v>
      </c>
      <c r="AV896" s="10" t="e">
        <f>_xlfn.XLOOKUP(tbl_MTG_Set[[#This Row],[Collector Booster Box Product Id]], tbl_Product[Product Id], tbl_Product[Best Source])</f>
        <v>#N/A</v>
      </c>
      <c r="AW896" s="4" t="e">
        <f>_xlfn.XLOOKUP(tbl_MTG_Set[[#This Row],[Collector Booster Box Product Id]], tbl_Product[Product Id], tbl_Product[Pack Size])</f>
        <v>#N/A</v>
      </c>
      <c r="AX896" s="10" t="e">
        <f>(tbl_MTG_Set[[#This Row],[Collector Booster Box Cost]] + v_Item_Shipping_Cost_In) / tbl_MTG_Set[[#This Row],[Collector Booster Box Size]]</f>
        <v>#N/A</v>
      </c>
      <c r="AY896" s="10" t="str" cm="1">
        <f t="array" ref="AY8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6" s="10"/>
      <c r="BA8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6" s="17" t="e">
        <f>tbl_MTG_Set[[#This Row],[Collector Booster CardMarket Profit]]/tbl_MTG_Set[[#This Row],[Collector Booster Cost]]</f>
        <v>#N/A</v>
      </c>
      <c r="BC896" s="10"/>
      <c r="BF89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6" s="11" t="e">
        <f>tbl_MTG_Set[[#This Row],[Play Singles CardMarket Profit MTG Stocks]]/tbl_MTG_Set[[#This Row],[Play Booster Cost]]</f>
        <v>#VALUE!</v>
      </c>
      <c r="BI896" s="11" t="b">
        <f>tbl_MTG_Set[[#This Row],[Play Singles CardMarket Profit MTG Stocks]]&gt;0</f>
        <v>0</v>
      </c>
      <c r="BM896" s="10" t="e">
        <f>tbl_MTG_Set[[#This Row],[Play Booster Sell Price CardMarket]]*tbl_MTG_Set[[#This Row],[Play Booster Expected Market Value BotBox]]/tbl_MTG_Set[[#This Row],[Play Booster Sealed Market Value BotBox]]</f>
        <v>#VALUE!</v>
      </c>
      <c r="BN8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6" s="10" t="e">
        <f>tbl_MTG_Set[[#This Row],[Play Singles CardMarket Profit BotBox]]/tbl_MTG_Set[[#This Row],[Play Booster Cost]]</f>
        <v>#VALUE!</v>
      </c>
      <c r="BP896" s="10" t="b">
        <f>tbl_MTG_Set[[#This Row],[Play Singles CardMarket Profit BotBox]]&gt;0</f>
        <v>0</v>
      </c>
      <c r="BQ896" s="10"/>
      <c r="BR896" s="10"/>
      <c r="BS896" s="10"/>
      <c r="BT89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6" s="19" t="e">
        <f>tbl_MTG_Set[[#This Row],[Collector Singles CardMarket Profit MTG Stocks]]/tbl_MTG_Set[[#This Row],[Collector Booster Cost]]</f>
        <v>#N/A</v>
      </c>
      <c r="BW896" s="10" t="b">
        <f>tbl_MTG_Set[[#This Row],[Collector Singles CardMarket Profit MTG Stocks]]&gt;0</f>
        <v>0</v>
      </c>
      <c r="BX896" s="10"/>
      <c r="BY896" s="10"/>
      <c r="BZ89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6" s="10" t="e">
        <f>tbl_MTG_Set[[#This Row],[Collector Singles CardMarket Profit BotBox]]/tbl_MTG_Set[[#This Row],[Collector Booster Cost]]</f>
        <v>#N/A</v>
      </c>
      <c r="CC896" s="10" t="b">
        <f>tbl_MTG_Set[[#This Row],[Collector Singles CardMarket Profit BotBox]]&gt;0</f>
        <v>0</v>
      </c>
      <c r="CD8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7" spans="1:86" hidden="1">
      <c r="A897">
        <v>929</v>
      </c>
      <c r="B897" t="s">
        <v>1070</v>
      </c>
      <c r="C897">
        <v>12</v>
      </c>
      <c r="D897" s="3">
        <v>36892</v>
      </c>
      <c r="F897" t="s">
        <v>174</v>
      </c>
      <c r="G897">
        <v>1804</v>
      </c>
      <c r="H897">
        <f ca="1">MONTH(NOW())+12*YEAR(NOW())-MONTH(tbl_MTG_Set[[#This Row],[Released On]])-12*YEAR(tbl_MTG_Set[[#This Row],[Released On]])</f>
        <v>302</v>
      </c>
      <c r="I897" t="str">
        <f>_xlfn.XLOOKUP(tbl_MTG_Set[[#This Row],[Type Name]], tbl_MTG_Set_Type[Set Type], tbl_MTG_Set_Type[Index], "(Set Type not found)")</f>
        <v>(Set Type not found)</v>
      </c>
      <c r="J897" t="str">
        <f>_xlfn.XLOOKUP(tbl_MTG_Set[[#This Row],[Type Name]], tbl_MTG_Set_Type[Set Type], tbl_MTG_Set_Type[Buy Window Month Start], "(Set Type not found)")</f>
        <v>(Set Type not found)</v>
      </c>
      <c r="K897" s="3" t="e">
        <f>tbl_MTG_Set[[#This Row],[Released On]]+tbl_MTG_Set[[#This Row],[Buy Window Month Start]]*365.25/12</f>
        <v>#VALUE!</v>
      </c>
      <c r="L897" t="str">
        <f>_xlfn.XLOOKUP(tbl_MTG_Set[[#This Row],[Type Name]], tbl_MTG_Set_Type[Set Type], tbl_MTG_Set_Type[Buy Window Month End], "(Set Type not found)", 0, 1)</f>
        <v>(Set Type not found)</v>
      </c>
      <c r="M897" s="3" t="e">
        <f>tbl_MTG_Set[[#This Row],[Released On]]+tbl_MTG_Set[[#This Row],[Buy Window Month End]]*365.25/12</f>
        <v>#VALUE!</v>
      </c>
      <c r="N897" s="3" t="e">
        <f ca="1">AND(NOW()&gt;=tbl_MTG_Set[[#This Row],[Buy Window Start]], NOW()&lt;=tbl_MTG_Set[[#This Row],[Buy Window End]])</f>
        <v>#VALUE!</v>
      </c>
      <c r="O897" t="str">
        <f>_xlfn.XLOOKUP(tbl_MTG_Set[[#This Row],[Type Name]], tbl_MTG_Set_Type[Set Type], tbl_MTG_Set_Type[Heavy Printing Window Month Start], "(Set Type not found)", 0, 1)</f>
        <v>(Set Type not found)</v>
      </c>
      <c r="P897" s="3" t="e">
        <f>tbl_MTG_Set[[#This Row],[Released On]]+tbl_MTG_Set[[#This Row],[Heavy Printing Window Month Start]]*365.25/12</f>
        <v>#VALUE!</v>
      </c>
      <c r="Q897" t="str">
        <f>_xlfn.XLOOKUP(tbl_MTG_Set[[#This Row],[Type Name]], tbl_MTG_Set_Type[Set Type], tbl_MTG_Set_Type[Heavy Printing Window Month End], "(Set Type not found)", 0, 1)</f>
        <v>(Set Type not found)</v>
      </c>
      <c r="R897" s="3" t="e">
        <f>tbl_MTG_Set[[#This Row],[Released On]]+tbl_MTG_Set[[#This Row],[Heavy Printing Window Month End]]*365.25/12</f>
        <v>#VALUE!</v>
      </c>
      <c r="S897" s="3" t="e">
        <f ca="1">AND(NOW()&gt;=tbl_MTG_Set[[#This Row],[Heavy Printing Window Start]], NOW()&lt;=tbl_MTG_Set[[#This Row],[Heavy Printing Window End]])</f>
        <v>#VALUE!</v>
      </c>
      <c r="T897" t="str">
        <f>_xlfn.XLOOKUP(tbl_MTG_Set[[#This Row],[Type Name]], tbl_MTG_Set_Type[Set Type], tbl_MTG_Set_Type[Sell Window Month Start], "(Set Type not found)", 0, 1)</f>
        <v>(Set Type not found)</v>
      </c>
      <c r="U897" s="3" t="e">
        <f>tbl_MTG_Set[[#This Row],[Released On]]+tbl_MTG_Set[[#This Row],[Sell Window Month Start]]*365.25/12</f>
        <v>#VALUE!</v>
      </c>
      <c r="V897" t="str">
        <f>_xlfn.XLOOKUP(tbl_MTG_Set[[#This Row],[Type Name]], tbl_MTG_Set_Type[Set Type], tbl_MTG_Set_Type[Sell Window Month End], "(Set Type not found)", 0, 1)</f>
        <v>(Set Type not found)</v>
      </c>
      <c r="W897" s="3" t="e">
        <f>tbl_MTG_Set[[#This Row],[Released On]]+tbl_MTG_Set[[#This Row],[Sell Window Month End]]*365.25/12</f>
        <v>#VALUE!</v>
      </c>
      <c r="X897" s="3" t="e">
        <f ca="1">AND(NOW()&gt;=tbl_MTG_Set[[#This Row],[Sell Window Start]], NOW()&lt;=tbl_MTG_Set[[#This Row],[Sell Window End]])</f>
        <v>#VALUE!</v>
      </c>
      <c r="AG897" s="10"/>
      <c r="AH897" s="10"/>
      <c r="AM897" s="10" t="str" cm="1">
        <f t="array" ref="AM8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7" s="10" t="str" cm="1">
        <f t="array" ref="AN8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7" s="4" t="e">
        <f>_xlfn.XLOOKUP(tbl_MTG_Set[[#This Row],[Play Booster Box Product Id]], tbl_Product[Product Id], tbl_Product[Pack Size])</f>
        <v>#N/A</v>
      </c>
      <c r="AP897" s="10" t="e">
        <f>(tbl_MTG_Set[[#This Row],[Play Booster Box Cost]]+v_Item_Shipping_Cost_In)/tbl_MTG_Set[[#This Row],[Play Booster Box Size]]</f>
        <v>#VALUE!</v>
      </c>
      <c r="AQ897" s="10" t="str" cm="1">
        <f t="array" ref="AQ8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7" s="10"/>
      <c r="AS897" s="10"/>
      <c r="AT897" s="17" t="e">
        <f>tbl_MTG_Set[[#This Row],[Play Booster CardMarket Profit]]/tbl_MTG_Set[[#This Row],[Play Booster Cost]]</f>
        <v>#VALUE!</v>
      </c>
      <c r="AU897" s="10" t="e">
        <f>_xlfn.XLOOKUP(tbl_MTG_Set[[#This Row],[Collector Booster Box Product Id]], tbl_Product[Product Id], tbl_Product[Min Cost])</f>
        <v>#N/A</v>
      </c>
      <c r="AV897" s="10" t="e">
        <f>_xlfn.XLOOKUP(tbl_MTG_Set[[#This Row],[Collector Booster Box Product Id]], tbl_Product[Product Id], tbl_Product[Best Source])</f>
        <v>#N/A</v>
      </c>
      <c r="AW897" s="4" t="e">
        <f>_xlfn.XLOOKUP(tbl_MTG_Set[[#This Row],[Collector Booster Box Product Id]], tbl_Product[Product Id], tbl_Product[Pack Size])</f>
        <v>#N/A</v>
      </c>
      <c r="AX897" s="10" t="e">
        <f>(tbl_MTG_Set[[#This Row],[Collector Booster Box Cost]] + v_Item_Shipping_Cost_In) / tbl_MTG_Set[[#This Row],[Collector Booster Box Size]]</f>
        <v>#N/A</v>
      </c>
      <c r="AY897" s="10" t="str" cm="1">
        <f t="array" ref="AY8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7" s="10"/>
      <c r="BA8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7" s="17" t="e">
        <f>tbl_MTG_Set[[#This Row],[Collector Booster CardMarket Profit]]/tbl_MTG_Set[[#This Row],[Collector Booster Cost]]</f>
        <v>#N/A</v>
      </c>
      <c r="BC897" s="10"/>
      <c r="BF89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7" s="11" t="e">
        <f>tbl_MTG_Set[[#This Row],[Play Singles CardMarket Profit MTG Stocks]]/tbl_MTG_Set[[#This Row],[Play Booster Cost]]</f>
        <v>#VALUE!</v>
      </c>
      <c r="BI897" s="11" t="b">
        <f>tbl_MTG_Set[[#This Row],[Play Singles CardMarket Profit MTG Stocks]]&gt;0</f>
        <v>0</v>
      </c>
      <c r="BM897" s="10" t="e">
        <f>tbl_MTG_Set[[#This Row],[Play Booster Sell Price CardMarket]]*tbl_MTG_Set[[#This Row],[Play Booster Expected Market Value BotBox]]/tbl_MTG_Set[[#This Row],[Play Booster Sealed Market Value BotBox]]</f>
        <v>#VALUE!</v>
      </c>
      <c r="BN8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7" s="10" t="e">
        <f>tbl_MTG_Set[[#This Row],[Play Singles CardMarket Profit BotBox]]/tbl_MTG_Set[[#This Row],[Play Booster Cost]]</f>
        <v>#VALUE!</v>
      </c>
      <c r="BP897" s="10" t="b">
        <f>tbl_MTG_Set[[#This Row],[Play Singles CardMarket Profit BotBox]]&gt;0</f>
        <v>0</v>
      </c>
      <c r="BQ897" s="10"/>
      <c r="BR897" s="10"/>
      <c r="BS897" s="10"/>
      <c r="BT89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7" s="19" t="e">
        <f>tbl_MTG_Set[[#This Row],[Collector Singles CardMarket Profit MTG Stocks]]/tbl_MTG_Set[[#This Row],[Collector Booster Cost]]</f>
        <v>#N/A</v>
      </c>
      <c r="BW897" s="10" t="b">
        <f>tbl_MTG_Set[[#This Row],[Collector Singles CardMarket Profit MTG Stocks]]&gt;0</f>
        <v>0</v>
      </c>
      <c r="BX897" s="10"/>
      <c r="BY897" s="10"/>
      <c r="BZ89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7" s="10" t="e">
        <f>tbl_MTG_Set[[#This Row],[Collector Singles CardMarket Profit BotBox]]/tbl_MTG_Set[[#This Row],[Collector Booster Cost]]</f>
        <v>#N/A</v>
      </c>
      <c r="CC897" s="10" t="b">
        <f>tbl_MTG_Set[[#This Row],[Collector Singles CardMarket Profit BotBox]]&gt;0</f>
        <v>0</v>
      </c>
      <c r="CD8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8" spans="1:86" hidden="1">
      <c r="A898">
        <v>930</v>
      </c>
      <c r="B898" t="s">
        <v>1071</v>
      </c>
      <c r="C898">
        <v>8</v>
      </c>
      <c r="D898" s="3">
        <v>36892</v>
      </c>
      <c r="F898" t="s">
        <v>174</v>
      </c>
      <c r="G898">
        <v>1806</v>
      </c>
      <c r="H898">
        <f ca="1">MONTH(NOW())+12*YEAR(NOW())-MONTH(tbl_MTG_Set[[#This Row],[Released On]])-12*YEAR(tbl_MTG_Set[[#This Row],[Released On]])</f>
        <v>302</v>
      </c>
      <c r="I898" t="str">
        <f>_xlfn.XLOOKUP(tbl_MTG_Set[[#This Row],[Type Name]], tbl_MTG_Set_Type[Set Type], tbl_MTG_Set_Type[Index], "(Set Type not found)")</f>
        <v>(Set Type not found)</v>
      </c>
      <c r="J898" t="str">
        <f>_xlfn.XLOOKUP(tbl_MTG_Set[[#This Row],[Type Name]], tbl_MTG_Set_Type[Set Type], tbl_MTG_Set_Type[Buy Window Month Start], "(Set Type not found)")</f>
        <v>(Set Type not found)</v>
      </c>
      <c r="K898" s="3" t="e">
        <f>tbl_MTG_Set[[#This Row],[Released On]]+tbl_MTG_Set[[#This Row],[Buy Window Month Start]]*365.25/12</f>
        <v>#VALUE!</v>
      </c>
      <c r="L898" t="str">
        <f>_xlfn.XLOOKUP(tbl_MTG_Set[[#This Row],[Type Name]], tbl_MTG_Set_Type[Set Type], tbl_MTG_Set_Type[Buy Window Month End], "(Set Type not found)", 0, 1)</f>
        <v>(Set Type not found)</v>
      </c>
      <c r="M898" s="3" t="e">
        <f>tbl_MTG_Set[[#This Row],[Released On]]+tbl_MTG_Set[[#This Row],[Buy Window Month End]]*365.25/12</f>
        <v>#VALUE!</v>
      </c>
      <c r="N898" s="3" t="e">
        <f ca="1">AND(NOW()&gt;=tbl_MTG_Set[[#This Row],[Buy Window Start]], NOW()&lt;=tbl_MTG_Set[[#This Row],[Buy Window End]])</f>
        <v>#VALUE!</v>
      </c>
      <c r="O898" t="str">
        <f>_xlfn.XLOOKUP(tbl_MTG_Set[[#This Row],[Type Name]], tbl_MTG_Set_Type[Set Type], tbl_MTG_Set_Type[Heavy Printing Window Month Start], "(Set Type not found)", 0, 1)</f>
        <v>(Set Type not found)</v>
      </c>
      <c r="P898" s="3" t="e">
        <f>tbl_MTG_Set[[#This Row],[Released On]]+tbl_MTG_Set[[#This Row],[Heavy Printing Window Month Start]]*365.25/12</f>
        <v>#VALUE!</v>
      </c>
      <c r="Q898" t="str">
        <f>_xlfn.XLOOKUP(tbl_MTG_Set[[#This Row],[Type Name]], tbl_MTG_Set_Type[Set Type], tbl_MTG_Set_Type[Heavy Printing Window Month End], "(Set Type not found)", 0, 1)</f>
        <v>(Set Type not found)</v>
      </c>
      <c r="R898" s="3" t="e">
        <f>tbl_MTG_Set[[#This Row],[Released On]]+tbl_MTG_Set[[#This Row],[Heavy Printing Window Month End]]*365.25/12</f>
        <v>#VALUE!</v>
      </c>
      <c r="S898" s="3" t="e">
        <f ca="1">AND(NOW()&gt;=tbl_MTG_Set[[#This Row],[Heavy Printing Window Start]], NOW()&lt;=tbl_MTG_Set[[#This Row],[Heavy Printing Window End]])</f>
        <v>#VALUE!</v>
      </c>
      <c r="T898" t="str">
        <f>_xlfn.XLOOKUP(tbl_MTG_Set[[#This Row],[Type Name]], tbl_MTG_Set_Type[Set Type], tbl_MTG_Set_Type[Sell Window Month Start], "(Set Type not found)", 0, 1)</f>
        <v>(Set Type not found)</v>
      </c>
      <c r="U898" s="3" t="e">
        <f>tbl_MTG_Set[[#This Row],[Released On]]+tbl_MTG_Set[[#This Row],[Sell Window Month Start]]*365.25/12</f>
        <v>#VALUE!</v>
      </c>
      <c r="V898" t="str">
        <f>_xlfn.XLOOKUP(tbl_MTG_Set[[#This Row],[Type Name]], tbl_MTG_Set_Type[Set Type], tbl_MTG_Set_Type[Sell Window Month End], "(Set Type not found)", 0, 1)</f>
        <v>(Set Type not found)</v>
      </c>
      <c r="W898" s="3" t="e">
        <f>tbl_MTG_Set[[#This Row],[Released On]]+tbl_MTG_Set[[#This Row],[Sell Window Month End]]*365.25/12</f>
        <v>#VALUE!</v>
      </c>
      <c r="X898" s="3" t="e">
        <f ca="1">AND(NOW()&gt;=tbl_MTG_Set[[#This Row],[Sell Window Start]], NOW()&lt;=tbl_MTG_Set[[#This Row],[Sell Window End]])</f>
        <v>#VALUE!</v>
      </c>
      <c r="AG898" s="10"/>
      <c r="AH898" s="10"/>
      <c r="AM898" s="10" t="str" cm="1">
        <f t="array" ref="AM8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8" s="10" t="str" cm="1">
        <f t="array" ref="AN8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8" s="4" t="e">
        <f>_xlfn.XLOOKUP(tbl_MTG_Set[[#This Row],[Play Booster Box Product Id]], tbl_Product[Product Id], tbl_Product[Pack Size])</f>
        <v>#N/A</v>
      </c>
      <c r="AP898" s="10" t="e">
        <f>(tbl_MTG_Set[[#This Row],[Play Booster Box Cost]]+v_Item_Shipping_Cost_In)/tbl_MTG_Set[[#This Row],[Play Booster Box Size]]</f>
        <v>#VALUE!</v>
      </c>
      <c r="AQ898" s="10" t="str" cm="1">
        <f t="array" ref="AQ8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8" s="10"/>
      <c r="AS898" s="10"/>
      <c r="AT898" s="17" t="e">
        <f>tbl_MTG_Set[[#This Row],[Play Booster CardMarket Profit]]/tbl_MTG_Set[[#This Row],[Play Booster Cost]]</f>
        <v>#VALUE!</v>
      </c>
      <c r="AU898" s="10" t="e">
        <f>_xlfn.XLOOKUP(tbl_MTG_Set[[#This Row],[Collector Booster Box Product Id]], tbl_Product[Product Id], tbl_Product[Min Cost])</f>
        <v>#N/A</v>
      </c>
      <c r="AV898" s="10" t="e">
        <f>_xlfn.XLOOKUP(tbl_MTG_Set[[#This Row],[Collector Booster Box Product Id]], tbl_Product[Product Id], tbl_Product[Best Source])</f>
        <v>#N/A</v>
      </c>
      <c r="AW898" s="4" t="e">
        <f>_xlfn.XLOOKUP(tbl_MTG_Set[[#This Row],[Collector Booster Box Product Id]], tbl_Product[Product Id], tbl_Product[Pack Size])</f>
        <v>#N/A</v>
      </c>
      <c r="AX898" s="10" t="e">
        <f>(tbl_MTG_Set[[#This Row],[Collector Booster Box Cost]] + v_Item_Shipping_Cost_In) / tbl_MTG_Set[[#This Row],[Collector Booster Box Size]]</f>
        <v>#N/A</v>
      </c>
      <c r="AY898" s="10" t="str" cm="1">
        <f t="array" ref="AY8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8" s="10"/>
      <c r="BA8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8" s="17" t="e">
        <f>tbl_MTG_Set[[#This Row],[Collector Booster CardMarket Profit]]/tbl_MTG_Set[[#This Row],[Collector Booster Cost]]</f>
        <v>#N/A</v>
      </c>
      <c r="BC898" s="10"/>
      <c r="BF89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8" s="11" t="e">
        <f>tbl_MTG_Set[[#This Row],[Play Singles CardMarket Profit MTG Stocks]]/tbl_MTG_Set[[#This Row],[Play Booster Cost]]</f>
        <v>#VALUE!</v>
      </c>
      <c r="BI898" s="11" t="b">
        <f>tbl_MTG_Set[[#This Row],[Play Singles CardMarket Profit MTG Stocks]]&gt;0</f>
        <v>0</v>
      </c>
      <c r="BM898" s="10" t="e">
        <f>tbl_MTG_Set[[#This Row],[Play Booster Sell Price CardMarket]]*tbl_MTG_Set[[#This Row],[Play Booster Expected Market Value BotBox]]/tbl_MTG_Set[[#This Row],[Play Booster Sealed Market Value BotBox]]</f>
        <v>#VALUE!</v>
      </c>
      <c r="BN8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8" s="10" t="e">
        <f>tbl_MTG_Set[[#This Row],[Play Singles CardMarket Profit BotBox]]/tbl_MTG_Set[[#This Row],[Play Booster Cost]]</f>
        <v>#VALUE!</v>
      </c>
      <c r="BP898" s="10" t="b">
        <f>tbl_MTG_Set[[#This Row],[Play Singles CardMarket Profit BotBox]]&gt;0</f>
        <v>0</v>
      </c>
      <c r="BQ898" s="10"/>
      <c r="BR898" s="10"/>
      <c r="BS898" s="10"/>
      <c r="BT89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8" s="19" t="e">
        <f>tbl_MTG_Set[[#This Row],[Collector Singles CardMarket Profit MTG Stocks]]/tbl_MTG_Set[[#This Row],[Collector Booster Cost]]</f>
        <v>#N/A</v>
      </c>
      <c r="BW898" s="10" t="b">
        <f>tbl_MTG_Set[[#This Row],[Collector Singles CardMarket Profit MTG Stocks]]&gt;0</f>
        <v>0</v>
      </c>
      <c r="BX898" s="10"/>
      <c r="BY898" s="10"/>
      <c r="BZ89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8" s="10" t="e">
        <f>tbl_MTG_Set[[#This Row],[Collector Singles CardMarket Profit BotBox]]/tbl_MTG_Set[[#This Row],[Collector Booster Cost]]</f>
        <v>#N/A</v>
      </c>
      <c r="CC898" s="10" t="b">
        <f>tbl_MTG_Set[[#This Row],[Collector Singles CardMarket Profit BotBox]]&gt;0</f>
        <v>0</v>
      </c>
      <c r="CD8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899" spans="1:86" hidden="1">
      <c r="A899">
        <v>931</v>
      </c>
      <c r="B899" t="s">
        <v>1072</v>
      </c>
      <c r="C899">
        <v>2</v>
      </c>
      <c r="D899" s="3">
        <v>36892</v>
      </c>
      <c r="F899" t="s">
        <v>174</v>
      </c>
      <c r="G899">
        <v>1808</v>
      </c>
      <c r="H899">
        <f ca="1">MONTH(NOW())+12*YEAR(NOW())-MONTH(tbl_MTG_Set[[#This Row],[Released On]])-12*YEAR(tbl_MTG_Set[[#This Row],[Released On]])</f>
        <v>302</v>
      </c>
      <c r="I899" t="str">
        <f>_xlfn.XLOOKUP(tbl_MTG_Set[[#This Row],[Type Name]], tbl_MTG_Set_Type[Set Type], tbl_MTG_Set_Type[Index], "(Set Type not found)")</f>
        <v>(Set Type not found)</v>
      </c>
      <c r="J899" t="str">
        <f>_xlfn.XLOOKUP(tbl_MTG_Set[[#This Row],[Type Name]], tbl_MTG_Set_Type[Set Type], tbl_MTG_Set_Type[Buy Window Month Start], "(Set Type not found)")</f>
        <v>(Set Type not found)</v>
      </c>
      <c r="K899" s="3" t="e">
        <f>tbl_MTG_Set[[#This Row],[Released On]]+tbl_MTG_Set[[#This Row],[Buy Window Month Start]]*365.25/12</f>
        <v>#VALUE!</v>
      </c>
      <c r="L899" t="str">
        <f>_xlfn.XLOOKUP(tbl_MTG_Set[[#This Row],[Type Name]], tbl_MTG_Set_Type[Set Type], tbl_MTG_Set_Type[Buy Window Month End], "(Set Type not found)", 0, 1)</f>
        <v>(Set Type not found)</v>
      </c>
      <c r="M899" s="3" t="e">
        <f>tbl_MTG_Set[[#This Row],[Released On]]+tbl_MTG_Set[[#This Row],[Buy Window Month End]]*365.25/12</f>
        <v>#VALUE!</v>
      </c>
      <c r="N899" s="3" t="e">
        <f ca="1">AND(NOW()&gt;=tbl_MTG_Set[[#This Row],[Buy Window Start]], NOW()&lt;=tbl_MTG_Set[[#This Row],[Buy Window End]])</f>
        <v>#VALUE!</v>
      </c>
      <c r="O899" t="str">
        <f>_xlfn.XLOOKUP(tbl_MTG_Set[[#This Row],[Type Name]], tbl_MTG_Set_Type[Set Type], tbl_MTG_Set_Type[Heavy Printing Window Month Start], "(Set Type not found)", 0, 1)</f>
        <v>(Set Type not found)</v>
      </c>
      <c r="P899" s="3" t="e">
        <f>tbl_MTG_Set[[#This Row],[Released On]]+tbl_MTG_Set[[#This Row],[Heavy Printing Window Month Start]]*365.25/12</f>
        <v>#VALUE!</v>
      </c>
      <c r="Q899" t="str">
        <f>_xlfn.XLOOKUP(tbl_MTG_Set[[#This Row],[Type Name]], tbl_MTG_Set_Type[Set Type], tbl_MTG_Set_Type[Heavy Printing Window Month End], "(Set Type not found)", 0, 1)</f>
        <v>(Set Type not found)</v>
      </c>
      <c r="R899" s="3" t="e">
        <f>tbl_MTG_Set[[#This Row],[Released On]]+tbl_MTG_Set[[#This Row],[Heavy Printing Window Month End]]*365.25/12</f>
        <v>#VALUE!</v>
      </c>
      <c r="S899" s="3" t="e">
        <f ca="1">AND(NOW()&gt;=tbl_MTG_Set[[#This Row],[Heavy Printing Window Start]], NOW()&lt;=tbl_MTG_Set[[#This Row],[Heavy Printing Window End]])</f>
        <v>#VALUE!</v>
      </c>
      <c r="T899" t="str">
        <f>_xlfn.XLOOKUP(tbl_MTG_Set[[#This Row],[Type Name]], tbl_MTG_Set_Type[Set Type], tbl_MTG_Set_Type[Sell Window Month Start], "(Set Type not found)", 0, 1)</f>
        <v>(Set Type not found)</v>
      </c>
      <c r="U899" s="3" t="e">
        <f>tbl_MTG_Set[[#This Row],[Released On]]+tbl_MTG_Set[[#This Row],[Sell Window Month Start]]*365.25/12</f>
        <v>#VALUE!</v>
      </c>
      <c r="V899" t="str">
        <f>_xlfn.XLOOKUP(tbl_MTG_Set[[#This Row],[Type Name]], tbl_MTG_Set_Type[Set Type], tbl_MTG_Set_Type[Sell Window Month End], "(Set Type not found)", 0, 1)</f>
        <v>(Set Type not found)</v>
      </c>
      <c r="W899" s="3" t="e">
        <f>tbl_MTG_Set[[#This Row],[Released On]]+tbl_MTG_Set[[#This Row],[Sell Window Month End]]*365.25/12</f>
        <v>#VALUE!</v>
      </c>
      <c r="X899" s="3" t="e">
        <f ca="1">AND(NOW()&gt;=tbl_MTG_Set[[#This Row],[Sell Window Start]], NOW()&lt;=tbl_MTG_Set[[#This Row],[Sell Window End]])</f>
        <v>#VALUE!</v>
      </c>
      <c r="AG899" s="10"/>
      <c r="AH899" s="10"/>
      <c r="AM899" s="10" t="str" cm="1">
        <f t="array" ref="AM8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899" s="10" t="str" cm="1">
        <f t="array" ref="AN8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899" s="4" t="e">
        <f>_xlfn.XLOOKUP(tbl_MTG_Set[[#This Row],[Play Booster Box Product Id]], tbl_Product[Product Id], tbl_Product[Pack Size])</f>
        <v>#N/A</v>
      </c>
      <c r="AP899" s="10" t="e">
        <f>(tbl_MTG_Set[[#This Row],[Play Booster Box Cost]]+v_Item_Shipping_Cost_In)/tbl_MTG_Set[[#This Row],[Play Booster Box Size]]</f>
        <v>#VALUE!</v>
      </c>
      <c r="AQ899" s="10" t="str" cm="1">
        <f t="array" ref="AQ8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899" s="10"/>
      <c r="AS899" s="10"/>
      <c r="AT899" s="17" t="e">
        <f>tbl_MTG_Set[[#This Row],[Play Booster CardMarket Profit]]/tbl_MTG_Set[[#This Row],[Play Booster Cost]]</f>
        <v>#VALUE!</v>
      </c>
      <c r="AU899" s="10" t="e">
        <f>_xlfn.XLOOKUP(tbl_MTG_Set[[#This Row],[Collector Booster Box Product Id]], tbl_Product[Product Id], tbl_Product[Min Cost])</f>
        <v>#N/A</v>
      </c>
      <c r="AV899" s="10" t="e">
        <f>_xlfn.XLOOKUP(tbl_MTG_Set[[#This Row],[Collector Booster Box Product Id]], tbl_Product[Product Id], tbl_Product[Best Source])</f>
        <v>#N/A</v>
      </c>
      <c r="AW899" s="4" t="e">
        <f>_xlfn.XLOOKUP(tbl_MTG_Set[[#This Row],[Collector Booster Box Product Id]], tbl_Product[Product Id], tbl_Product[Pack Size])</f>
        <v>#N/A</v>
      </c>
      <c r="AX899" s="10" t="e">
        <f>(tbl_MTG_Set[[#This Row],[Collector Booster Box Cost]] + v_Item_Shipping_Cost_In) / tbl_MTG_Set[[#This Row],[Collector Booster Box Size]]</f>
        <v>#N/A</v>
      </c>
      <c r="AY899" s="10" t="str" cm="1">
        <f t="array" ref="AY8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899" s="10"/>
      <c r="BA8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899" s="17" t="e">
        <f>tbl_MTG_Set[[#This Row],[Collector Booster CardMarket Profit]]/tbl_MTG_Set[[#This Row],[Collector Booster Cost]]</f>
        <v>#N/A</v>
      </c>
      <c r="BC899" s="10"/>
      <c r="BF89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8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899" s="11" t="e">
        <f>tbl_MTG_Set[[#This Row],[Play Singles CardMarket Profit MTG Stocks]]/tbl_MTG_Set[[#This Row],[Play Booster Cost]]</f>
        <v>#VALUE!</v>
      </c>
      <c r="BI899" s="11" t="b">
        <f>tbl_MTG_Set[[#This Row],[Play Singles CardMarket Profit MTG Stocks]]&gt;0</f>
        <v>0</v>
      </c>
      <c r="BM899" s="10" t="e">
        <f>tbl_MTG_Set[[#This Row],[Play Booster Sell Price CardMarket]]*tbl_MTG_Set[[#This Row],[Play Booster Expected Market Value BotBox]]/tbl_MTG_Set[[#This Row],[Play Booster Sealed Market Value BotBox]]</f>
        <v>#VALUE!</v>
      </c>
      <c r="BN8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899" s="10" t="e">
        <f>tbl_MTG_Set[[#This Row],[Play Singles CardMarket Profit BotBox]]/tbl_MTG_Set[[#This Row],[Play Booster Cost]]</f>
        <v>#VALUE!</v>
      </c>
      <c r="BP899" s="10" t="b">
        <f>tbl_MTG_Set[[#This Row],[Play Singles CardMarket Profit BotBox]]&gt;0</f>
        <v>0</v>
      </c>
      <c r="BQ899" s="10"/>
      <c r="BR899" s="10"/>
      <c r="BS899" s="10"/>
      <c r="BT89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8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899" s="19" t="e">
        <f>tbl_MTG_Set[[#This Row],[Collector Singles CardMarket Profit MTG Stocks]]/tbl_MTG_Set[[#This Row],[Collector Booster Cost]]</f>
        <v>#N/A</v>
      </c>
      <c r="BW899" s="10" t="b">
        <f>tbl_MTG_Set[[#This Row],[Collector Singles CardMarket Profit MTG Stocks]]&gt;0</f>
        <v>0</v>
      </c>
      <c r="BX899" s="10"/>
      <c r="BY899" s="10"/>
      <c r="BZ89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8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899" s="10" t="e">
        <f>tbl_MTG_Set[[#This Row],[Collector Singles CardMarket Profit BotBox]]/tbl_MTG_Set[[#This Row],[Collector Booster Cost]]</f>
        <v>#N/A</v>
      </c>
      <c r="CC899" s="10" t="b">
        <f>tbl_MTG_Set[[#This Row],[Collector Singles CardMarket Profit BotBox]]&gt;0</f>
        <v>0</v>
      </c>
      <c r="CD8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8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8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8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8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0" spans="1:86" hidden="1">
      <c r="A900">
        <v>932</v>
      </c>
      <c r="B900" t="s">
        <v>1073</v>
      </c>
      <c r="C900">
        <v>7</v>
      </c>
      <c r="D900" s="3">
        <v>36892</v>
      </c>
      <c r="F900" t="s">
        <v>174</v>
      </c>
      <c r="G900">
        <v>1810</v>
      </c>
      <c r="H900">
        <f ca="1">MONTH(NOW())+12*YEAR(NOW())-MONTH(tbl_MTG_Set[[#This Row],[Released On]])-12*YEAR(tbl_MTG_Set[[#This Row],[Released On]])</f>
        <v>302</v>
      </c>
      <c r="I900" t="str">
        <f>_xlfn.XLOOKUP(tbl_MTG_Set[[#This Row],[Type Name]], tbl_MTG_Set_Type[Set Type], tbl_MTG_Set_Type[Index], "(Set Type not found)")</f>
        <v>(Set Type not found)</v>
      </c>
      <c r="J900" t="str">
        <f>_xlfn.XLOOKUP(tbl_MTG_Set[[#This Row],[Type Name]], tbl_MTG_Set_Type[Set Type], tbl_MTG_Set_Type[Buy Window Month Start], "(Set Type not found)")</f>
        <v>(Set Type not found)</v>
      </c>
      <c r="K900" s="3" t="e">
        <f>tbl_MTG_Set[[#This Row],[Released On]]+tbl_MTG_Set[[#This Row],[Buy Window Month Start]]*365.25/12</f>
        <v>#VALUE!</v>
      </c>
      <c r="L900" t="str">
        <f>_xlfn.XLOOKUP(tbl_MTG_Set[[#This Row],[Type Name]], tbl_MTG_Set_Type[Set Type], tbl_MTG_Set_Type[Buy Window Month End], "(Set Type not found)", 0, 1)</f>
        <v>(Set Type not found)</v>
      </c>
      <c r="M900" s="3" t="e">
        <f>tbl_MTG_Set[[#This Row],[Released On]]+tbl_MTG_Set[[#This Row],[Buy Window Month End]]*365.25/12</f>
        <v>#VALUE!</v>
      </c>
      <c r="N900" s="3" t="e">
        <f ca="1">AND(NOW()&gt;=tbl_MTG_Set[[#This Row],[Buy Window Start]], NOW()&lt;=tbl_MTG_Set[[#This Row],[Buy Window End]])</f>
        <v>#VALUE!</v>
      </c>
      <c r="O900" t="str">
        <f>_xlfn.XLOOKUP(tbl_MTG_Set[[#This Row],[Type Name]], tbl_MTG_Set_Type[Set Type], tbl_MTG_Set_Type[Heavy Printing Window Month Start], "(Set Type not found)", 0, 1)</f>
        <v>(Set Type not found)</v>
      </c>
      <c r="P900" s="3" t="e">
        <f>tbl_MTG_Set[[#This Row],[Released On]]+tbl_MTG_Set[[#This Row],[Heavy Printing Window Month Start]]*365.25/12</f>
        <v>#VALUE!</v>
      </c>
      <c r="Q900" t="str">
        <f>_xlfn.XLOOKUP(tbl_MTG_Set[[#This Row],[Type Name]], tbl_MTG_Set_Type[Set Type], tbl_MTG_Set_Type[Heavy Printing Window Month End], "(Set Type not found)", 0, 1)</f>
        <v>(Set Type not found)</v>
      </c>
      <c r="R900" s="3" t="e">
        <f>tbl_MTG_Set[[#This Row],[Released On]]+tbl_MTG_Set[[#This Row],[Heavy Printing Window Month End]]*365.25/12</f>
        <v>#VALUE!</v>
      </c>
      <c r="S900" s="3" t="e">
        <f ca="1">AND(NOW()&gt;=tbl_MTG_Set[[#This Row],[Heavy Printing Window Start]], NOW()&lt;=tbl_MTG_Set[[#This Row],[Heavy Printing Window End]])</f>
        <v>#VALUE!</v>
      </c>
      <c r="T900" t="str">
        <f>_xlfn.XLOOKUP(tbl_MTG_Set[[#This Row],[Type Name]], tbl_MTG_Set_Type[Set Type], tbl_MTG_Set_Type[Sell Window Month Start], "(Set Type not found)", 0, 1)</f>
        <v>(Set Type not found)</v>
      </c>
      <c r="U900" s="3" t="e">
        <f>tbl_MTG_Set[[#This Row],[Released On]]+tbl_MTG_Set[[#This Row],[Sell Window Month Start]]*365.25/12</f>
        <v>#VALUE!</v>
      </c>
      <c r="V900" t="str">
        <f>_xlfn.XLOOKUP(tbl_MTG_Set[[#This Row],[Type Name]], tbl_MTG_Set_Type[Set Type], tbl_MTG_Set_Type[Sell Window Month End], "(Set Type not found)", 0, 1)</f>
        <v>(Set Type not found)</v>
      </c>
      <c r="W900" s="3" t="e">
        <f>tbl_MTG_Set[[#This Row],[Released On]]+tbl_MTG_Set[[#This Row],[Sell Window Month End]]*365.25/12</f>
        <v>#VALUE!</v>
      </c>
      <c r="X900" s="3" t="e">
        <f ca="1">AND(NOW()&gt;=tbl_MTG_Set[[#This Row],[Sell Window Start]], NOW()&lt;=tbl_MTG_Set[[#This Row],[Sell Window End]])</f>
        <v>#VALUE!</v>
      </c>
      <c r="AG900" s="10"/>
      <c r="AH900" s="10"/>
      <c r="AM900" s="10" t="str" cm="1">
        <f t="array" ref="AM9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0" s="10" t="str" cm="1">
        <f t="array" ref="AN9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0" s="4" t="e">
        <f>_xlfn.XLOOKUP(tbl_MTG_Set[[#This Row],[Play Booster Box Product Id]], tbl_Product[Product Id], tbl_Product[Pack Size])</f>
        <v>#N/A</v>
      </c>
      <c r="AP900" s="10" t="e">
        <f>(tbl_MTG_Set[[#This Row],[Play Booster Box Cost]]+v_Item_Shipping_Cost_In)/tbl_MTG_Set[[#This Row],[Play Booster Box Size]]</f>
        <v>#VALUE!</v>
      </c>
      <c r="AQ900" s="10" t="str" cm="1">
        <f t="array" ref="AQ9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0" s="10"/>
      <c r="AS900" s="10"/>
      <c r="AT900" s="17" t="e">
        <f>tbl_MTG_Set[[#This Row],[Play Booster CardMarket Profit]]/tbl_MTG_Set[[#This Row],[Play Booster Cost]]</f>
        <v>#VALUE!</v>
      </c>
      <c r="AU900" s="10" t="e">
        <f>_xlfn.XLOOKUP(tbl_MTG_Set[[#This Row],[Collector Booster Box Product Id]], tbl_Product[Product Id], tbl_Product[Min Cost])</f>
        <v>#N/A</v>
      </c>
      <c r="AV900" s="10" t="e">
        <f>_xlfn.XLOOKUP(tbl_MTG_Set[[#This Row],[Collector Booster Box Product Id]], tbl_Product[Product Id], tbl_Product[Best Source])</f>
        <v>#N/A</v>
      </c>
      <c r="AW900" s="4" t="e">
        <f>_xlfn.XLOOKUP(tbl_MTG_Set[[#This Row],[Collector Booster Box Product Id]], tbl_Product[Product Id], tbl_Product[Pack Size])</f>
        <v>#N/A</v>
      </c>
      <c r="AX900" s="10" t="e">
        <f>(tbl_MTG_Set[[#This Row],[Collector Booster Box Cost]] + v_Item_Shipping_Cost_In) / tbl_MTG_Set[[#This Row],[Collector Booster Box Size]]</f>
        <v>#N/A</v>
      </c>
      <c r="AY900" s="10" t="str" cm="1">
        <f t="array" ref="AY9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0" s="10"/>
      <c r="BA9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0" s="17" t="e">
        <f>tbl_MTG_Set[[#This Row],[Collector Booster CardMarket Profit]]/tbl_MTG_Set[[#This Row],[Collector Booster Cost]]</f>
        <v>#N/A</v>
      </c>
      <c r="BC900" s="10"/>
      <c r="BF90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0" s="11" t="e">
        <f>tbl_MTG_Set[[#This Row],[Play Singles CardMarket Profit MTG Stocks]]/tbl_MTG_Set[[#This Row],[Play Booster Cost]]</f>
        <v>#VALUE!</v>
      </c>
      <c r="BI900" s="11" t="b">
        <f>tbl_MTG_Set[[#This Row],[Play Singles CardMarket Profit MTG Stocks]]&gt;0</f>
        <v>0</v>
      </c>
      <c r="BM900" s="10" t="e">
        <f>tbl_MTG_Set[[#This Row],[Play Booster Sell Price CardMarket]]*tbl_MTG_Set[[#This Row],[Play Booster Expected Market Value BotBox]]/tbl_MTG_Set[[#This Row],[Play Booster Sealed Market Value BotBox]]</f>
        <v>#VALUE!</v>
      </c>
      <c r="BN9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0" s="10" t="e">
        <f>tbl_MTG_Set[[#This Row],[Play Singles CardMarket Profit BotBox]]/tbl_MTG_Set[[#This Row],[Play Booster Cost]]</f>
        <v>#VALUE!</v>
      </c>
      <c r="BP900" s="10" t="b">
        <f>tbl_MTG_Set[[#This Row],[Play Singles CardMarket Profit BotBox]]&gt;0</f>
        <v>0</v>
      </c>
      <c r="BQ900" s="10"/>
      <c r="BR900" s="10"/>
      <c r="BS900" s="10"/>
      <c r="BT90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0" s="19" t="e">
        <f>tbl_MTG_Set[[#This Row],[Collector Singles CardMarket Profit MTG Stocks]]/tbl_MTG_Set[[#This Row],[Collector Booster Cost]]</f>
        <v>#N/A</v>
      </c>
      <c r="BW900" s="10" t="b">
        <f>tbl_MTG_Set[[#This Row],[Collector Singles CardMarket Profit MTG Stocks]]&gt;0</f>
        <v>0</v>
      </c>
      <c r="BX900" s="10"/>
      <c r="BY900" s="10"/>
      <c r="BZ90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0" s="10" t="e">
        <f>tbl_MTG_Set[[#This Row],[Collector Singles CardMarket Profit BotBox]]/tbl_MTG_Set[[#This Row],[Collector Booster Cost]]</f>
        <v>#N/A</v>
      </c>
      <c r="CC900" s="10" t="b">
        <f>tbl_MTG_Set[[#This Row],[Collector Singles CardMarket Profit BotBox]]&gt;0</f>
        <v>0</v>
      </c>
      <c r="CD9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1" spans="1:86" hidden="1">
      <c r="A901">
        <v>933</v>
      </c>
      <c r="B901" t="s">
        <v>1074</v>
      </c>
      <c r="C901">
        <v>354</v>
      </c>
      <c r="D901" s="3">
        <v>36801</v>
      </c>
      <c r="F901" t="s">
        <v>174</v>
      </c>
      <c r="G901">
        <v>1812</v>
      </c>
      <c r="H901">
        <f ca="1">MONTH(NOW())+12*YEAR(NOW())-MONTH(tbl_MTG_Set[[#This Row],[Released On]])-12*YEAR(tbl_MTG_Set[[#This Row],[Released On]])</f>
        <v>305</v>
      </c>
      <c r="I901" t="str">
        <f>_xlfn.XLOOKUP(tbl_MTG_Set[[#This Row],[Type Name]], tbl_MTG_Set_Type[Set Type], tbl_MTG_Set_Type[Index], "(Set Type not found)")</f>
        <v>(Set Type not found)</v>
      </c>
      <c r="J901" t="str">
        <f>_xlfn.XLOOKUP(tbl_MTG_Set[[#This Row],[Type Name]], tbl_MTG_Set_Type[Set Type], tbl_MTG_Set_Type[Buy Window Month Start], "(Set Type not found)")</f>
        <v>(Set Type not found)</v>
      </c>
      <c r="K901" s="3" t="e">
        <f>tbl_MTG_Set[[#This Row],[Released On]]+tbl_MTG_Set[[#This Row],[Buy Window Month Start]]*365.25/12</f>
        <v>#VALUE!</v>
      </c>
      <c r="L901" t="str">
        <f>_xlfn.XLOOKUP(tbl_MTG_Set[[#This Row],[Type Name]], tbl_MTG_Set_Type[Set Type], tbl_MTG_Set_Type[Buy Window Month End], "(Set Type not found)", 0, 1)</f>
        <v>(Set Type not found)</v>
      </c>
      <c r="M901" s="3" t="e">
        <f>tbl_MTG_Set[[#This Row],[Released On]]+tbl_MTG_Set[[#This Row],[Buy Window Month End]]*365.25/12</f>
        <v>#VALUE!</v>
      </c>
      <c r="N901" s="3" t="e">
        <f ca="1">AND(NOW()&gt;=tbl_MTG_Set[[#This Row],[Buy Window Start]], NOW()&lt;=tbl_MTG_Set[[#This Row],[Buy Window End]])</f>
        <v>#VALUE!</v>
      </c>
      <c r="O901" t="str">
        <f>_xlfn.XLOOKUP(tbl_MTG_Set[[#This Row],[Type Name]], tbl_MTG_Set_Type[Set Type], tbl_MTG_Set_Type[Heavy Printing Window Month Start], "(Set Type not found)", 0, 1)</f>
        <v>(Set Type not found)</v>
      </c>
      <c r="P901" s="3" t="e">
        <f>tbl_MTG_Set[[#This Row],[Released On]]+tbl_MTG_Set[[#This Row],[Heavy Printing Window Month Start]]*365.25/12</f>
        <v>#VALUE!</v>
      </c>
      <c r="Q901" t="str">
        <f>_xlfn.XLOOKUP(tbl_MTG_Set[[#This Row],[Type Name]], tbl_MTG_Set_Type[Set Type], tbl_MTG_Set_Type[Heavy Printing Window Month End], "(Set Type not found)", 0, 1)</f>
        <v>(Set Type not found)</v>
      </c>
      <c r="R901" s="3" t="e">
        <f>tbl_MTG_Set[[#This Row],[Released On]]+tbl_MTG_Set[[#This Row],[Heavy Printing Window Month End]]*365.25/12</f>
        <v>#VALUE!</v>
      </c>
      <c r="S901" s="3" t="e">
        <f ca="1">AND(NOW()&gt;=tbl_MTG_Set[[#This Row],[Heavy Printing Window Start]], NOW()&lt;=tbl_MTG_Set[[#This Row],[Heavy Printing Window End]])</f>
        <v>#VALUE!</v>
      </c>
      <c r="T901" t="str">
        <f>_xlfn.XLOOKUP(tbl_MTG_Set[[#This Row],[Type Name]], tbl_MTG_Set_Type[Set Type], tbl_MTG_Set_Type[Sell Window Month Start], "(Set Type not found)", 0, 1)</f>
        <v>(Set Type not found)</v>
      </c>
      <c r="U901" s="3" t="e">
        <f>tbl_MTG_Set[[#This Row],[Released On]]+tbl_MTG_Set[[#This Row],[Sell Window Month Start]]*365.25/12</f>
        <v>#VALUE!</v>
      </c>
      <c r="V901" t="str">
        <f>_xlfn.XLOOKUP(tbl_MTG_Set[[#This Row],[Type Name]], tbl_MTG_Set_Type[Set Type], tbl_MTG_Set_Type[Sell Window Month End], "(Set Type not found)", 0, 1)</f>
        <v>(Set Type not found)</v>
      </c>
      <c r="W901" s="3" t="e">
        <f>tbl_MTG_Set[[#This Row],[Released On]]+tbl_MTG_Set[[#This Row],[Sell Window Month End]]*365.25/12</f>
        <v>#VALUE!</v>
      </c>
      <c r="X901" s="3" t="e">
        <f ca="1">AND(NOW()&gt;=tbl_MTG_Set[[#This Row],[Sell Window Start]], NOW()&lt;=tbl_MTG_Set[[#This Row],[Sell Window End]])</f>
        <v>#VALUE!</v>
      </c>
      <c r="AG901" s="10"/>
      <c r="AH901" s="10"/>
      <c r="AM901" s="10" t="str" cm="1">
        <f t="array" ref="AM9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1" s="10" t="str" cm="1">
        <f t="array" ref="AN9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1" s="4" t="e">
        <f>_xlfn.XLOOKUP(tbl_MTG_Set[[#This Row],[Play Booster Box Product Id]], tbl_Product[Product Id], tbl_Product[Pack Size])</f>
        <v>#N/A</v>
      </c>
      <c r="AP901" s="10" t="e">
        <f>(tbl_MTG_Set[[#This Row],[Play Booster Box Cost]]+v_Item_Shipping_Cost_In)/tbl_MTG_Set[[#This Row],[Play Booster Box Size]]</f>
        <v>#VALUE!</v>
      </c>
      <c r="AQ901" s="10" t="str" cm="1">
        <f t="array" ref="AQ9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1" s="10"/>
      <c r="AS901" s="10"/>
      <c r="AT901" s="17" t="e">
        <f>tbl_MTG_Set[[#This Row],[Play Booster CardMarket Profit]]/tbl_MTG_Set[[#This Row],[Play Booster Cost]]</f>
        <v>#VALUE!</v>
      </c>
      <c r="AU901" s="10" t="e">
        <f>_xlfn.XLOOKUP(tbl_MTG_Set[[#This Row],[Collector Booster Box Product Id]], tbl_Product[Product Id], tbl_Product[Min Cost])</f>
        <v>#N/A</v>
      </c>
      <c r="AV901" s="10" t="e">
        <f>_xlfn.XLOOKUP(tbl_MTG_Set[[#This Row],[Collector Booster Box Product Id]], tbl_Product[Product Id], tbl_Product[Best Source])</f>
        <v>#N/A</v>
      </c>
      <c r="AW901" s="4" t="e">
        <f>_xlfn.XLOOKUP(tbl_MTG_Set[[#This Row],[Collector Booster Box Product Id]], tbl_Product[Product Id], tbl_Product[Pack Size])</f>
        <v>#N/A</v>
      </c>
      <c r="AX901" s="10" t="e">
        <f>(tbl_MTG_Set[[#This Row],[Collector Booster Box Cost]] + v_Item_Shipping_Cost_In) / tbl_MTG_Set[[#This Row],[Collector Booster Box Size]]</f>
        <v>#N/A</v>
      </c>
      <c r="AY901" s="10" t="str" cm="1">
        <f t="array" ref="AY9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1" s="10"/>
      <c r="BA9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1" s="17" t="e">
        <f>tbl_MTG_Set[[#This Row],[Collector Booster CardMarket Profit]]/tbl_MTG_Set[[#This Row],[Collector Booster Cost]]</f>
        <v>#N/A</v>
      </c>
      <c r="BC901" s="10"/>
      <c r="BF9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1" s="11" t="e">
        <f>tbl_MTG_Set[[#This Row],[Play Singles CardMarket Profit MTG Stocks]]/tbl_MTG_Set[[#This Row],[Play Booster Cost]]</f>
        <v>#VALUE!</v>
      </c>
      <c r="BI901" s="11" t="b">
        <f>tbl_MTG_Set[[#This Row],[Play Singles CardMarket Profit MTG Stocks]]&gt;0</f>
        <v>0</v>
      </c>
      <c r="BM901" s="10" t="e">
        <f>tbl_MTG_Set[[#This Row],[Play Booster Sell Price CardMarket]]*tbl_MTG_Set[[#This Row],[Play Booster Expected Market Value BotBox]]/tbl_MTG_Set[[#This Row],[Play Booster Sealed Market Value BotBox]]</f>
        <v>#VALUE!</v>
      </c>
      <c r="BN9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1" s="10" t="e">
        <f>tbl_MTG_Set[[#This Row],[Play Singles CardMarket Profit BotBox]]/tbl_MTG_Set[[#This Row],[Play Booster Cost]]</f>
        <v>#VALUE!</v>
      </c>
      <c r="BP901" s="10" t="b">
        <f>tbl_MTG_Set[[#This Row],[Play Singles CardMarket Profit BotBox]]&gt;0</f>
        <v>0</v>
      </c>
      <c r="BQ901" s="10"/>
      <c r="BR901" s="10"/>
      <c r="BS901" s="10"/>
      <c r="BT90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1" s="19" t="e">
        <f>tbl_MTG_Set[[#This Row],[Collector Singles CardMarket Profit MTG Stocks]]/tbl_MTG_Set[[#This Row],[Collector Booster Cost]]</f>
        <v>#N/A</v>
      </c>
      <c r="BW901" s="10" t="b">
        <f>tbl_MTG_Set[[#This Row],[Collector Singles CardMarket Profit MTG Stocks]]&gt;0</f>
        <v>0</v>
      </c>
      <c r="BX901" s="10"/>
      <c r="BY901" s="10"/>
      <c r="BZ90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1" s="10" t="e">
        <f>tbl_MTG_Set[[#This Row],[Collector Singles CardMarket Profit BotBox]]/tbl_MTG_Set[[#This Row],[Collector Booster Cost]]</f>
        <v>#N/A</v>
      </c>
      <c r="CC901" s="10" t="b">
        <f>tbl_MTG_Set[[#This Row],[Collector Singles CardMarket Profit BotBox]]&gt;0</f>
        <v>0</v>
      </c>
      <c r="CD9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2" spans="1:86" hidden="1">
      <c r="A902">
        <v>934</v>
      </c>
      <c r="B902" t="s">
        <v>1075</v>
      </c>
      <c r="C902">
        <v>1</v>
      </c>
      <c r="D902" s="3">
        <v>36801</v>
      </c>
      <c r="F902" t="s">
        <v>174</v>
      </c>
      <c r="G902">
        <v>1814</v>
      </c>
      <c r="H902">
        <f ca="1">MONTH(NOW())+12*YEAR(NOW())-MONTH(tbl_MTG_Set[[#This Row],[Released On]])-12*YEAR(tbl_MTG_Set[[#This Row],[Released On]])</f>
        <v>305</v>
      </c>
      <c r="I902" t="str">
        <f>_xlfn.XLOOKUP(tbl_MTG_Set[[#This Row],[Type Name]], tbl_MTG_Set_Type[Set Type], tbl_MTG_Set_Type[Index], "(Set Type not found)")</f>
        <v>(Set Type not found)</v>
      </c>
      <c r="J902" t="str">
        <f>_xlfn.XLOOKUP(tbl_MTG_Set[[#This Row],[Type Name]], tbl_MTG_Set_Type[Set Type], tbl_MTG_Set_Type[Buy Window Month Start], "(Set Type not found)")</f>
        <v>(Set Type not found)</v>
      </c>
      <c r="K902" s="3" t="e">
        <f>tbl_MTG_Set[[#This Row],[Released On]]+tbl_MTG_Set[[#This Row],[Buy Window Month Start]]*365.25/12</f>
        <v>#VALUE!</v>
      </c>
      <c r="L902" t="str">
        <f>_xlfn.XLOOKUP(tbl_MTG_Set[[#This Row],[Type Name]], tbl_MTG_Set_Type[Set Type], tbl_MTG_Set_Type[Buy Window Month End], "(Set Type not found)", 0, 1)</f>
        <v>(Set Type not found)</v>
      </c>
      <c r="M902" s="3" t="e">
        <f>tbl_MTG_Set[[#This Row],[Released On]]+tbl_MTG_Set[[#This Row],[Buy Window Month End]]*365.25/12</f>
        <v>#VALUE!</v>
      </c>
      <c r="N902" s="3" t="e">
        <f ca="1">AND(NOW()&gt;=tbl_MTG_Set[[#This Row],[Buy Window Start]], NOW()&lt;=tbl_MTG_Set[[#This Row],[Buy Window End]])</f>
        <v>#VALUE!</v>
      </c>
      <c r="O902" t="str">
        <f>_xlfn.XLOOKUP(tbl_MTG_Set[[#This Row],[Type Name]], tbl_MTG_Set_Type[Set Type], tbl_MTG_Set_Type[Heavy Printing Window Month Start], "(Set Type not found)", 0, 1)</f>
        <v>(Set Type not found)</v>
      </c>
      <c r="P902" s="3" t="e">
        <f>tbl_MTG_Set[[#This Row],[Released On]]+tbl_MTG_Set[[#This Row],[Heavy Printing Window Month Start]]*365.25/12</f>
        <v>#VALUE!</v>
      </c>
      <c r="Q902" t="str">
        <f>_xlfn.XLOOKUP(tbl_MTG_Set[[#This Row],[Type Name]], tbl_MTG_Set_Type[Set Type], tbl_MTG_Set_Type[Heavy Printing Window Month End], "(Set Type not found)", 0, 1)</f>
        <v>(Set Type not found)</v>
      </c>
      <c r="R902" s="3" t="e">
        <f>tbl_MTG_Set[[#This Row],[Released On]]+tbl_MTG_Set[[#This Row],[Heavy Printing Window Month End]]*365.25/12</f>
        <v>#VALUE!</v>
      </c>
      <c r="S902" s="3" t="e">
        <f ca="1">AND(NOW()&gt;=tbl_MTG_Set[[#This Row],[Heavy Printing Window Start]], NOW()&lt;=tbl_MTG_Set[[#This Row],[Heavy Printing Window End]])</f>
        <v>#VALUE!</v>
      </c>
      <c r="T902" t="str">
        <f>_xlfn.XLOOKUP(tbl_MTG_Set[[#This Row],[Type Name]], tbl_MTG_Set_Type[Set Type], tbl_MTG_Set_Type[Sell Window Month Start], "(Set Type not found)", 0, 1)</f>
        <v>(Set Type not found)</v>
      </c>
      <c r="U902" s="3" t="e">
        <f>tbl_MTG_Set[[#This Row],[Released On]]+tbl_MTG_Set[[#This Row],[Sell Window Month Start]]*365.25/12</f>
        <v>#VALUE!</v>
      </c>
      <c r="V902" t="str">
        <f>_xlfn.XLOOKUP(tbl_MTG_Set[[#This Row],[Type Name]], tbl_MTG_Set_Type[Set Type], tbl_MTG_Set_Type[Sell Window Month End], "(Set Type not found)", 0, 1)</f>
        <v>(Set Type not found)</v>
      </c>
      <c r="W902" s="3" t="e">
        <f>tbl_MTG_Set[[#This Row],[Released On]]+tbl_MTG_Set[[#This Row],[Sell Window Month End]]*365.25/12</f>
        <v>#VALUE!</v>
      </c>
      <c r="X902" s="3" t="e">
        <f ca="1">AND(NOW()&gt;=tbl_MTG_Set[[#This Row],[Sell Window Start]], NOW()&lt;=tbl_MTG_Set[[#This Row],[Sell Window End]])</f>
        <v>#VALUE!</v>
      </c>
      <c r="AG902" s="10"/>
      <c r="AH902" s="10"/>
      <c r="AM902" s="10" t="str" cm="1">
        <f t="array" ref="AM9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2" s="10" t="str" cm="1">
        <f t="array" ref="AN9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2" s="4" t="e">
        <f>_xlfn.XLOOKUP(tbl_MTG_Set[[#This Row],[Play Booster Box Product Id]], tbl_Product[Product Id], tbl_Product[Pack Size])</f>
        <v>#N/A</v>
      </c>
      <c r="AP902" s="10" t="e">
        <f>(tbl_MTG_Set[[#This Row],[Play Booster Box Cost]]+v_Item_Shipping_Cost_In)/tbl_MTG_Set[[#This Row],[Play Booster Box Size]]</f>
        <v>#VALUE!</v>
      </c>
      <c r="AQ902" s="10" t="str" cm="1">
        <f t="array" ref="AQ9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2" s="10"/>
      <c r="AS902" s="10"/>
      <c r="AT902" s="17" t="e">
        <f>tbl_MTG_Set[[#This Row],[Play Booster CardMarket Profit]]/tbl_MTG_Set[[#This Row],[Play Booster Cost]]</f>
        <v>#VALUE!</v>
      </c>
      <c r="AU902" s="10" t="e">
        <f>_xlfn.XLOOKUP(tbl_MTG_Set[[#This Row],[Collector Booster Box Product Id]], tbl_Product[Product Id], tbl_Product[Min Cost])</f>
        <v>#N/A</v>
      </c>
      <c r="AV902" s="10" t="e">
        <f>_xlfn.XLOOKUP(tbl_MTG_Set[[#This Row],[Collector Booster Box Product Id]], tbl_Product[Product Id], tbl_Product[Best Source])</f>
        <v>#N/A</v>
      </c>
      <c r="AW902" s="4" t="e">
        <f>_xlfn.XLOOKUP(tbl_MTG_Set[[#This Row],[Collector Booster Box Product Id]], tbl_Product[Product Id], tbl_Product[Pack Size])</f>
        <v>#N/A</v>
      </c>
      <c r="AX902" s="10" t="e">
        <f>(tbl_MTG_Set[[#This Row],[Collector Booster Box Cost]] + v_Item_Shipping_Cost_In) / tbl_MTG_Set[[#This Row],[Collector Booster Box Size]]</f>
        <v>#N/A</v>
      </c>
      <c r="AY902" s="10" t="str" cm="1">
        <f t="array" ref="AY9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2" s="10"/>
      <c r="BA9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2" s="17" t="e">
        <f>tbl_MTG_Set[[#This Row],[Collector Booster CardMarket Profit]]/tbl_MTG_Set[[#This Row],[Collector Booster Cost]]</f>
        <v>#N/A</v>
      </c>
      <c r="BC902" s="10"/>
      <c r="BF90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2" s="11" t="e">
        <f>tbl_MTG_Set[[#This Row],[Play Singles CardMarket Profit MTG Stocks]]/tbl_MTG_Set[[#This Row],[Play Booster Cost]]</f>
        <v>#VALUE!</v>
      </c>
      <c r="BI902" s="11" t="b">
        <f>tbl_MTG_Set[[#This Row],[Play Singles CardMarket Profit MTG Stocks]]&gt;0</f>
        <v>0</v>
      </c>
      <c r="BM902" s="10" t="e">
        <f>tbl_MTG_Set[[#This Row],[Play Booster Sell Price CardMarket]]*tbl_MTG_Set[[#This Row],[Play Booster Expected Market Value BotBox]]/tbl_MTG_Set[[#This Row],[Play Booster Sealed Market Value BotBox]]</f>
        <v>#VALUE!</v>
      </c>
      <c r="BN9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2" s="10" t="e">
        <f>tbl_MTG_Set[[#This Row],[Play Singles CardMarket Profit BotBox]]/tbl_MTG_Set[[#This Row],[Play Booster Cost]]</f>
        <v>#VALUE!</v>
      </c>
      <c r="BP902" s="10" t="b">
        <f>tbl_MTG_Set[[#This Row],[Play Singles CardMarket Profit BotBox]]&gt;0</f>
        <v>0</v>
      </c>
      <c r="BQ902" s="10"/>
      <c r="BR902" s="10"/>
      <c r="BS902" s="10"/>
      <c r="BT90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2" s="19" t="e">
        <f>tbl_MTG_Set[[#This Row],[Collector Singles CardMarket Profit MTG Stocks]]/tbl_MTG_Set[[#This Row],[Collector Booster Cost]]</f>
        <v>#N/A</v>
      </c>
      <c r="BW902" s="10" t="b">
        <f>tbl_MTG_Set[[#This Row],[Collector Singles CardMarket Profit MTG Stocks]]&gt;0</f>
        <v>0</v>
      </c>
      <c r="BX902" s="10"/>
      <c r="BY902" s="10"/>
      <c r="BZ90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2" s="10" t="e">
        <f>tbl_MTG_Set[[#This Row],[Collector Singles CardMarket Profit BotBox]]/tbl_MTG_Set[[#This Row],[Collector Booster Cost]]</f>
        <v>#N/A</v>
      </c>
      <c r="CC902" s="10" t="b">
        <f>tbl_MTG_Set[[#This Row],[Collector Singles CardMarket Profit BotBox]]&gt;0</f>
        <v>0</v>
      </c>
      <c r="CD9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3" spans="1:86" hidden="1">
      <c r="A903">
        <v>935</v>
      </c>
      <c r="B903" t="s">
        <v>1076</v>
      </c>
      <c r="C903">
        <v>90</v>
      </c>
      <c r="D903" s="3">
        <v>36800</v>
      </c>
      <c r="F903" t="s">
        <v>174</v>
      </c>
      <c r="G903">
        <v>1816</v>
      </c>
      <c r="H903">
        <f ca="1">MONTH(NOW())+12*YEAR(NOW())-MONTH(tbl_MTG_Set[[#This Row],[Released On]])-12*YEAR(tbl_MTG_Set[[#This Row],[Released On]])</f>
        <v>305</v>
      </c>
      <c r="I903" t="str">
        <f>_xlfn.XLOOKUP(tbl_MTG_Set[[#This Row],[Type Name]], tbl_MTG_Set_Type[Set Type], tbl_MTG_Set_Type[Index], "(Set Type not found)")</f>
        <v>(Set Type not found)</v>
      </c>
      <c r="J903" t="str">
        <f>_xlfn.XLOOKUP(tbl_MTG_Set[[#This Row],[Type Name]], tbl_MTG_Set_Type[Set Type], tbl_MTG_Set_Type[Buy Window Month Start], "(Set Type not found)")</f>
        <v>(Set Type not found)</v>
      </c>
      <c r="K903" s="3" t="e">
        <f>tbl_MTG_Set[[#This Row],[Released On]]+tbl_MTG_Set[[#This Row],[Buy Window Month Start]]*365.25/12</f>
        <v>#VALUE!</v>
      </c>
      <c r="L903" t="str">
        <f>_xlfn.XLOOKUP(tbl_MTG_Set[[#This Row],[Type Name]], tbl_MTG_Set_Type[Set Type], tbl_MTG_Set_Type[Buy Window Month End], "(Set Type not found)", 0, 1)</f>
        <v>(Set Type not found)</v>
      </c>
      <c r="M903" s="3" t="e">
        <f>tbl_MTG_Set[[#This Row],[Released On]]+tbl_MTG_Set[[#This Row],[Buy Window Month End]]*365.25/12</f>
        <v>#VALUE!</v>
      </c>
      <c r="N903" s="3" t="e">
        <f ca="1">AND(NOW()&gt;=tbl_MTG_Set[[#This Row],[Buy Window Start]], NOW()&lt;=tbl_MTG_Set[[#This Row],[Buy Window End]])</f>
        <v>#VALUE!</v>
      </c>
      <c r="O903" t="str">
        <f>_xlfn.XLOOKUP(tbl_MTG_Set[[#This Row],[Type Name]], tbl_MTG_Set_Type[Set Type], tbl_MTG_Set_Type[Heavy Printing Window Month Start], "(Set Type not found)", 0, 1)</f>
        <v>(Set Type not found)</v>
      </c>
      <c r="P903" s="3" t="e">
        <f>tbl_MTG_Set[[#This Row],[Released On]]+tbl_MTG_Set[[#This Row],[Heavy Printing Window Month Start]]*365.25/12</f>
        <v>#VALUE!</v>
      </c>
      <c r="Q903" t="str">
        <f>_xlfn.XLOOKUP(tbl_MTG_Set[[#This Row],[Type Name]], tbl_MTG_Set_Type[Set Type], tbl_MTG_Set_Type[Heavy Printing Window Month End], "(Set Type not found)", 0, 1)</f>
        <v>(Set Type not found)</v>
      </c>
      <c r="R903" s="3" t="e">
        <f>tbl_MTG_Set[[#This Row],[Released On]]+tbl_MTG_Set[[#This Row],[Heavy Printing Window Month End]]*365.25/12</f>
        <v>#VALUE!</v>
      </c>
      <c r="S903" s="3" t="e">
        <f ca="1">AND(NOW()&gt;=tbl_MTG_Set[[#This Row],[Heavy Printing Window Start]], NOW()&lt;=tbl_MTG_Set[[#This Row],[Heavy Printing Window End]])</f>
        <v>#VALUE!</v>
      </c>
      <c r="T903" t="str">
        <f>_xlfn.XLOOKUP(tbl_MTG_Set[[#This Row],[Type Name]], tbl_MTG_Set_Type[Set Type], tbl_MTG_Set_Type[Sell Window Month Start], "(Set Type not found)", 0, 1)</f>
        <v>(Set Type not found)</v>
      </c>
      <c r="U903" s="3" t="e">
        <f>tbl_MTG_Set[[#This Row],[Released On]]+tbl_MTG_Set[[#This Row],[Sell Window Month Start]]*365.25/12</f>
        <v>#VALUE!</v>
      </c>
      <c r="V903" t="str">
        <f>_xlfn.XLOOKUP(tbl_MTG_Set[[#This Row],[Type Name]], tbl_MTG_Set_Type[Set Type], tbl_MTG_Set_Type[Sell Window Month End], "(Set Type not found)", 0, 1)</f>
        <v>(Set Type not found)</v>
      </c>
      <c r="W903" s="3" t="e">
        <f>tbl_MTG_Set[[#This Row],[Released On]]+tbl_MTG_Set[[#This Row],[Sell Window Month End]]*365.25/12</f>
        <v>#VALUE!</v>
      </c>
      <c r="X903" s="3" t="e">
        <f ca="1">AND(NOW()&gt;=tbl_MTG_Set[[#This Row],[Sell Window Start]], NOW()&lt;=tbl_MTG_Set[[#This Row],[Sell Window End]])</f>
        <v>#VALUE!</v>
      </c>
      <c r="AG903" s="10"/>
      <c r="AH903" s="10"/>
      <c r="AM903" s="10" t="str" cm="1">
        <f t="array" ref="AM9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3" s="10" t="str" cm="1">
        <f t="array" ref="AN9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3" s="4" t="e">
        <f>_xlfn.XLOOKUP(tbl_MTG_Set[[#This Row],[Play Booster Box Product Id]], tbl_Product[Product Id], tbl_Product[Pack Size])</f>
        <v>#N/A</v>
      </c>
      <c r="AP903" s="10" t="e">
        <f>(tbl_MTG_Set[[#This Row],[Play Booster Box Cost]]+v_Item_Shipping_Cost_In)/tbl_MTG_Set[[#This Row],[Play Booster Box Size]]</f>
        <v>#VALUE!</v>
      </c>
      <c r="AQ903" s="10" t="str" cm="1">
        <f t="array" ref="AQ9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3" s="10"/>
      <c r="AS903" s="10"/>
      <c r="AT903" s="17" t="e">
        <f>tbl_MTG_Set[[#This Row],[Play Booster CardMarket Profit]]/tbl_MTG_Set[[#This Row],[Play Booster Cost]]</f>
        <v>#VALUE!</v>
      </c>
      <c r="AU903" s="10" t="e">
        <f>_xlfn.XLOOKUP(tbl_MTG_Set[[#This Row],[Collector Booster Box Product Id]], tbl_Product[Product Id], tbl_Product[Min Cost])</f>
        <v>#N/A</v>
      </c>
      <c r="AV903" s="10" t="e">
        <f>_xlfn.XLOOKUP(tbl_MTG_Set[[#This Row],[Collector Booster Box Product Id]], tbl_Product[Product Id], tbl_Product[Best Source])</f>
        <v>#N/A</v>
      </c>
      <c r="AW903" s="4" t="e">
        <f>_xlfn.XLOOKUP(tbl_MTG_Set[[#This Row],[Collector Booster Box Product Id]], tbl_Product[Product Id], tbl_Product[Pack Size])</f>
        <v>#N/A</v>
      </c>
      <c r="AX903" s="10" t="e">
        <f>(tbl_MTG_Set[[#This Row],[Collector Booster Box Cost]] + v_Item_Shipping_Cost_In) / tbl_MTG_Set[[#This Row],[Collector Booster Box Size]]</f>
        <v>#N/A</v>
      </c>
      <c r="AY903" s="10" t="str" cm="1">
        <f t="array" ref="AY9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3" s="10"/>
      <c r="BA9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3" s="17" t="e">
        <f>tbl_MTG_Set[[#This Row],[Collector Booster CardMarket Profit]]/tbl_MTG_Set[[#This Row],[Collector Booster Cost]]</f>
        <v>#N/A</v>
      </c>
      <c r="BC903" s="10"/>
      <c r="BF90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3" s="11" t="e">
        <f>tbl_MTG_Set[[#This Row],[Play Singles CardMarket Profit MTG Stocks]]/tbl_MTG_Set[[#This Row],[Play Booster Cost]]</f>
        <v>#VALUE!</v>
      </c>
      <c r="BI903" s="11" t="b">
        <f>tbl_MTG_Set[[#This Row],[Play Singles CardMarket Profit MTG Stocks]]&gt;0</f>
        <v>0</v>
      </c>
      <c r="BM903" s="10" t="e">
        <f>tbl_MTG_Set[[#This Row],[Play Booster Sell Price CardMarket]]*tbl_MTG_Set[[#This Row],[Play Booster Expected Market Value BotBox]]/tbl_MTG_Set[[#This Row],[Play Booster Sealed Market Value BotBox]]</f>
        <v>#VALUE!</v>
      </c>
      <c r="BN9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3" s="10" t="e">
        <f>tbl_MTG_Set[[#This Row],[Play Singles CardMarket Profit BotBox]]/tbl_MTG_Set[[#This Row],[Play Booster Cost]]</f>
        <v>#VALUE!</v>
      </c>
      <c r="BP903" s="10" t="b">
        <f>tbl_MTG_Set[[#This Row],[Play Singles CardMarket Profit BotBox]]&gt;0</f>
        <v>0</v>
      </c>
      <c r="BQ903" s="10"/>
      <c r="BR903" s="10"/>
      <c r="BS903" s="10"/>
      <c r="BT90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3" s="19" t="e">
        <f>tbl_MTG_Set[[#This Row],[Collector Singles CardMarket Profit MTG Stocks]]/tbl_MTG_Set[[#This Row],[Collector Booster Cost]]</f>
        <v>#N/A</v>
      </c>
      <c r="BW903" s="10" t="b">
        <f>tbl_MTG_Set[[#This Row],[Collector Singles CardMarket Profit MTG Stocks]]&gt;0</f>
        <v>0</v>
      </c>
      <c r="BX903" s="10"/>
      <c r="BY903" s="10"/>
      <c r="BZ90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3" s="10" t="e">
        <f>tbl_MTG_Set[[#This Row],[Collector Singles CardMarket Profit BotBox]]/tbl_MTG_Set[[#This Row],[Collector Booster Cost]]</f>
        <v>#N/A</v>
      </c>
      <c r="CC903" s="10" t="b">
        <f>tbl_MTG_Set[[#This Row],[Collector Singles CardMarket Profit BotBox]]&gt;0</f>
        <v>0</v>
      </c>
      <c r="CD9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4" spans="1:86" hidden="1">
      <c r="A904">
        <v>936</v>
      </c>
      <c r="B904" t="s">
        <v>1077</v>
      </c>
      <c r="C904">
        <v>117</v>
      </c>
      <c r="D904" s="3">
        <v>36740</v>
      </c>
      <c r="F904" t="s">
        <v>174</v>
      </c>
      <c r="G904">
        <v>1818</v>
      </c>
      <c r="H904">
        <f ca="1">MONTH(NOW())+12*YEAR(NOW())-MONTH(tbl_MTG_Set[[#This Row],[Released On]])-12*YEAR(tbl_MTG_Set[[#This Row],[Released On]])</f>
        <v>307</v>
      </c>
      <c r="I904" t="str">
        <f>_xlfn.XLOOKUP(tbl_MTG_Set[[#This Row],[Type Name]], tbl_MTG_Set_Type[Set Type], tbl_MTG_Set_Type[Index], "(Set Type not found)")</f>
        <v>(Set Type not found)</v>
      </c>
      <c r="J904" t="str">
        <f>_xlfn.XLOOKUP(tbl_MTG_Set[[#This Row],[Type Name]], tbl_MTG_Set_Type[Set Type], tbl_MTG_Set_Type[Buy Window Month Start], "(Set Type not found)")</f>
        <v>(Set Type not found)</v>
      </c>
      <c r="K904" s="3" t="e">
        <f>tbl_MTG_Set[[#This Row],[Released On]]+tbl_MTG_Set[[#This Row],[Buy Window Month Start]]*365.25/12</f>
        <v>#VALUE!</v>
      </c>
      <c r="L904" t="str">
        <f>_xlfn.XLOOKUP(tbl_MTG_Set[[#This Row],[Type Name]], tbl_MTG_Set_Type[Set Type], tbl_MTG_Set_Type[Buy Window Month End], "(Set Type not found)", 0, 1)</f>
        <v>(Set Type not found)</v>
      </c>
      <c r="M904" s="3" t="e">
        <f>tbl_MTG_Set[[#This Row],[Released On]]+tbl_MTG_Set[[#This Row],[Buy Window Month End]]*365.25/12</f>
        <v>#VALUE!</v>
      </c>
      <c r="N904" s="3" t="e">
        <f ca="1">AND(NOW()&gt;=tbl_MTG_Set[[#This Row],[Buy Window Start]], NOW()&lt;=tbl_MTG_Set[[#This Row],[Buy Window End]])</f>
        <v>#VALUE!</v>
      </c>
      <c r="O904" t="str">
        <f>_xlfn.XLOOKUP(tbl_MTG_Set[[#This Row],[Type Name]], tbl_MTG_Set_Type[Set Type], tbl_MTG_Set_Type[Heavy Printing Window Month Start], "(Set Type not found)", 0, 1)</f>
        <v>(Set Type not found)</v>
      </c>
      <c r="P904" s="3" t="e">
        <f>tbl_MTG_Set[[#This Row],[Released On]]+tbl_MTG_Set[[#This Row],[Heavy Printing Window Month Start]]*365.25/12</f>
        <v>#VALUE!</v>
      </c>
      <c r="Q904" t="str">
        <f>_xlfn.XLOOKUP(tbl_MTG_Set[[#This Row],[Type Name]], tbl_MTG_Set_Type[Set Type], tbl_MTG_Set_Type[Heavy Printing Window Month End], "(Set Type not found)", 0, 1)</f>
        <v>(Set Type not found)</v>
      </c>
      <c r="R904" s="3" t="e">
        <f>tbl_MTG_Set[[#This Row],[Released On]]+tbl_MTG_Set[[#This Row],[Heavy Printing Window Month End]]*365.25/12</f>
        <v>#VALUE!</v>
      </c>
      <c r="S904" s="3" t="e">
        <f ca="1">AND(NOW()&gt;=tbl_MTG_Set[[#This Row],[Heavy Printing Window Start]], NOW()&lt;=tbl_MTG_Set[[#This Row],[Heavy Printing Window End]])</f>
        <v>#VALUE!</v>
      </c>
      <c r="T904" t="str">
        <f>_xlfn.XLOOKUP(tbl_MTG_Set[[#This Row],[Type Name]], tbl_MTG_Set_Type[Set Type], tbl_MTG_Set_Type[Sell Window Month Start], "(Set Type not found)", 0, 1)</f>
        <v>(Set Type not found)</v>
      </c>
      <c r="U904" s="3" t="e">
        <f>tbl_MTG_Set[[#This Row],[Released On]]+tbl_MTG_Set[[#This Row],[Sell Window Month Start]]*365.25/12</f>
        <v>#VALUE!</v>
      </c>
      <c r="V904" t="str">
        <f>_xlfn.XLOOKUP(tbl_MTG_Set[[#This Row],[Type Name]], tbl_MTG_Set_Type[Set Type], tbl_MTG_Set_Type[Sell Window Month End], "(Set Type not found)", 0, 1)</f>
        <v>(Set Type not found)</v>
      </c>
      <c r="W904" s="3" t="e">
        <f>tbl_MTG_Set[[#This Row],[Released On]]+tbl_MTG_Set[[#This Row],[Sell Window Month End]]*365.25/12</f>
        <v>#VALUE!</v>
      </c>
      <c r="X904" s="3" t="e">
        <f ca="1">AND(NOW()&gt;=tbl_MTG_Set[[#This Row],[Sell Window Start]], NOW()&lt;=tbl_MTG_Set[[#This Row],[Sell Window End]])</f>
        <v>#VALUE!</v>
      </c>
      <c r="AG904" s="10"/>
      <c r="AH904" s="10"/>
      <c r="AM904" s="10" t="str" cm="1">
        <f t="array" ref="AM9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4" s="10" t="str" cm="1">
        <f t="array" ref="AN9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4" s="4" t="e">
        <f>_xlfn.XLOOKUP(tbl_MTG_Set[[#This Row],[Play Booster Box Product Id]], tbl_Product[Product Id], tbl_Product[Pack Size])</f>
        <v>#N/A</v>
      </c>
      <c r="AP904" s="10" t="e">
        <f>(tbl_MTG_Set[[#This Row],[Play Booster Box Cost]]+v_Item_Shipping_Cost_In)/tbl_MTG_Set[[#This Row],[Play Booster Box Size]]</f>
        <v>#VALUE!</v>
      </c>
      <c r="AQ904" s="10" t="str" cm="1">
        <f t="array" ref="AQ9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4" s="10"/>
      <c r="AS904" s="10"/>
      <c r="AT904" s="17" t="e">
        <f>tbl_MTG_Set[[#This Row],[Play Booster CardMarket Profit]]/tbl_MTG_Set[[#This Row],[Play Booster Cost]]</f>
        <v>#VALUE!</v>
      </c>
      <c r="AU904" s="10" t="e">
        <f>_xlfn.XLOOKUP(tbl_MTG_Set[[#This Row],[Collector Booster Box Product Id]], tbl_Product[Product Id], tbl_Product[Min Cost])</f>
        <v>#N/A</v>
      </c>
      <c r="AV904" s="10" t="e">
        <f>_xlfn.XLOOKUP(tbl_MTG_Set[[#This Row],[Collector Booster Box Product Id]], tbl_Product[Product Id], tbl_Product[Best Source])</f>
        <v>#N/A</v>
      </c>
      <c r="AW904" s="4" t="e">
        <f>_xlfn.XLOOKUP(tbl_MTG_Set[[#This Row],[Collector Booster Box Product Id]], tbl_Product[Product Id], tbl_Product[Pack Size])</f>
        <v>#N/A</v>
      </c>
      <c r="AX904" s="10" t="e">
        <f>(tbl_MTG_Set[[#This Row],[Collector Booster Box Cost]] + v_Item_Shipping_Cost_In) / tbl_MTG_Set[[#This Row],[Collector Booster Box Size]]</f>
        <v>#N/A</v>
      </c>
      <c r="AY904" s="10" t="str" cm="1">
        <f t="array" ref="AY9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4" s="10"/>
      <c r="BA9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4" s="17" t="e">
        <f>tbl_MTG_Set[[#This Row],[Collector Booster CardMarket Profit]]/tbl_MTG_Set[[#This Row],[Collector Booster Cost]]</f>
        <v>#N/A</v>
      </c>
      <c r="BC904" s="10"/>
      <c r="BF90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4" s="11" t="e">
        <f>tbl_MTG_Set[[#This Row],[Play Singles CardMarket Profit MTG Stocks]]/tbl_MTG_Set[[#This Row],[Play Booster Cost]]</f>
        <v>#VALUE!</v>
      </c>
      <c r="BI904" s="11" t="b">
        <f>tbl_MTG_Set[[#This Row],[Play Singles CardMarket Profit MTG Stocks]]&gt;0</f>
        <v>0</v>
      </c>
      <c r="BM904" s="10" t="e">
        <f>tbl_MTG_Set[[#This Row],[Play Booster Sell Price CardMarket]]*tbl_MTG_Set[[#This Row],[Play Booster Expected Market Value BotBox]]/tbl_MTG_Set[[#This Row],[Play Booster Sealed Market Value BotBox]]</f>
        <v>#VALUE!</v>
      </c>
      <c r="BN9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4" s="10" t="e">
        <f>tbl_MTG_Set[[#This Row],[Play Singles CardMarket Profit BotBox]]/tbl_MTG_Set[[#This Row],[Play Booster Cost]]</f>
        <v>#VALUE!</v>
      </c>
      <c r="BP904" s="10" t="b">
        <f>tbl_MTG_Set[[#This Row],[Play Singles CardMarket Profit BotBox]]&gt;0</f>
        <v>0</v>
      </c>
      <c r="BQ904" s="10"/>
      <c r="BR904" s="10"/>
      <c r="BS904" s="10"/>
      <c r="BT90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4" s="19" t="e">
        <f>tbl_MTG_Set[[#This Row],[Collector Singles CardMarket Profit MTG Stocks]]/tbl_MTG_Set[[#This Row],[Collector Booster Cost]]</f>
        <v>#N/A</v>
      </c>
      <c r="BW904" s="10" t="b">
        <f>tbl_MTG_Set[[#This Row],[Collector Singles CardMarket Profit MTG Stocks]]&gt;0</f>
        <v>0</v>
      </c>
      <c r="BX904" s="10"/>
      <c r="BY904" s="10"/>
      <c r="BZ90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4" s="10" t="e">
        <f>tbl_MTG_Set[[#This Row],[Collector Singles CardMarket Profit BotBox]]/tbl_MTG_Set[[#This Row],[Collector Booster Cost]]</f>
        <v>#N/A</v>
      </c>
      <c r="CC904" s="10" t="b">
        <f>tbl_MTG_Set[[#This Row],[Collector Singles CardMarket Profit BotBox]]&gt;0</f>
        <v>0</v>
      </c>
      <c r="CD9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5" spans="1:86" hidden="1">
      <c r="A905">
        <v>937</v>
      </c>
      <c r="B905" t="s">
        <v>1078</v>
      </c>
      <c r="C905">
        <v>144</v>
      </c>
      <c r="D905" s="3">
        <v>36682</v>
      </c>
      <c r="F905" t="s">
        <v>174</v>
      </c>
      <c r="G905">
        <v>1820</v>
      </c>
      <c r="H905">
        <f ca="1">MONTH(NOW())+12*YEAR(NOW())-MONTH(tbl_MTG_Set[[#This Row],[Released On]])-12*YEAR(tbl_MTG_Set[[#This Row],[Released On]])</f>
        <v>309</v>
      </c>
      <c r="I905" t="str">
        <f>_xlfn.XLOOKUP(tbl_MTG_Set[[#This Row],[Type Name]], tbl_MTG_Set_Type[Set Type], tbl_MTG_Set_Type[Index], "(Set Type not found)")</f>
        <v>(Set Type not found)</v>
      </c>
      <c r="J905" t="str">
        <f>_xlfn.XLOOKUP(tbl_MTG_Set[[#This Row],[Type Name]], tbl_MTG_Set_Type[Set Type], tbl_MTG_Set_Type[Buy Window Month Start], "(Set Type not found)")</f>
        <v>(Set Type not found)</v>
      </c>
      <c r="K905" s="3" t="e">
        <f>tbl_MTG_Set[[#This Row],[Released On]]+tbl_MTG_Set[[#This Row],[Buy Window Month Start]]*365.25/12</f>
        <v>#VALUE!</v>
      </c>
      <c r="L905" t="str">
        <f>_xlfn.XLOOKUP(tbl_MTG_Set[[#This Row],[Type Name]], tbl_MTG_Set_Type[Set Type], tbl_MTG_Set_Type[Buy Window Month End], "(Set Type not found)", 0, 1)</f>
        <v>(Set Type not found)</v>
      </c>
      <c r="M905" s="3" t="e">
        <f>tbl_MTG_Set[[#This Row],[Released On]]+tbl_MTG_Set[[#This Row],[Buy Window Month End]]*365.25/12</f>
        <v>#VALUE!</v>
      </c>
      <c r="N905" s="3" t="e">
        <f ca="1">AND(NOW()&gt;=tbl_MTG_Set[[#This Row],[Buy Window Start]], NOW()&lt;=tbl_MTG_Set[[#This Row],[Buy Window End]])</f>
        <v>#VALUE!</v>
      </c>
      <c r="O905" t="str">
        <f>_xlfn.XLOOKUP(tbl_MTG_Set[[#This Row],[Type Name]], tbl_MTG_Set_Type[Set Type], tbl_MTG_Set_Type[Heavy Printing Window Month Start], "(Set Type not found)", 0, 1)</f>
        <v>(Set Type not found)</v>
      </c>
      <c r="P905" s="3" t="e">
        <f>tbl_MTG_Set[[#This Row],[Released On]]+tbl_MTG_Set[[#This Row],[Heavy Printing Window Month Start]]*365.25/12</f>
        <v>#VALUE!</v>
      </c>
      <c r="Q905" t="str">
        <f>_xlfn.XLOOKUP(tbl_MTG_Set[[#This Row],[Type Name]], tbl_MTG_Set_Type[Set Type], tbl_MTG_Set_Type[Heavy Printing Window Month End], "(Set Type not found)", 0, 1)</f>
        <v>(Set Type not found)</v>
      </c>
      <c r="R905" s="3" t="e">
        <f>tbl_MTG_Set[[#This Row],[Released On]]+tbl_MTG_Set[[#This Row],[Heavy Printing Window Month End]]*365.25/12</f>
        <v>#VALUE!</v>
      </c>
      <c r="S905" s="3" t="e">
        <f ca="1">AND(NOW()&gt;=tbl_MTG_Set[[#This Row],[Heavy Printing Window Start]], NOW()&lt;=tbl_MTG_Set[[#This Row],[Heavy Printing Window End]])</f>
        <v>#VALUE!</v>
      </c>
      <c r="T905" t="str">
        <f>_xlfn.XLOOKUP(tbl_MTG_Set[[#This Row],[Type Name]], tbl_MTG_Set_Type[Set Type], tbl_MTG_Set_Type[Sell Window Month Start], "(Set Type not found)", 0, 1)</f>
        <v>(Set Type not found)</v>
      </c>
      <c r="U905" s="3" t="e">
        <f>tbl_MTG_Set[[#This Row],[Released On]]+tbl_MTG_Set[[#This Row],[Sell Window Month Start]]*365.25/12</f>
        <v>#VALUE!</v>
      </c>
      <c r="V905" t="str">
        <f>_xlfn.XLOOKUP(tbl_MTG_Set[[#This Row],[Type Name]], tbl_MTG_Set_Type[Set Type], tbl_MTG_Set_Type[Sell Window Month End], "(Set Type not found)", 0, 1)</f>
        <v>(Set Type not found)</v>
      </c>
      <c r="W905" s="3" t="e">
        <f>tbl_MTG_Set[[#This Row],[Released On]]+tbl_MTG_Set[[#This Row],[Sell Window Month End]]*365.25/12</f>
        <v>#VALUE!</v>
      </c>
      <c r="X905" s="3" t="e">
        <f ca="1">AND(NOW()&gt;=tbl_MTG_Set[[#This Row],[Sell Window Start]], NOW()&lt;=tbl_MTG_Set[[#This Row],[Sell Window End]])</f>
        <v>#VALUE!</v>
      </c>
      <c r="AG905" s="10"/>
      <c r="AH905" s="10"/>
      <c r="AM905" s="10" t="str" cm="1">
        <f t="array" ref="AM9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5" s="10" t="str" cm="1">
        <f t="array" ref="AN9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5" s="4" t="e">
        <f>_xlfn.XLOOKUP(tbl_MTG_Set[[#This Row],[Play Booster Box Product Id]], tbl_Product[Product Id], tbl_Product[Pack Size])</f>
        <v>#N/A</v>
      </c>
      <c r="AP905" s="10" t="e">
        <f>(tbl_MTG_Set[[#This Row],[Play Booster Box Cost]]+v_Item_Shipping_Cost_In)/tbl_MTG_Set[[#This Row],[Play Booster Box Size]]</f>
        <v>#VALUE!</v>
      </c>
      <c r="AQ905" s="10" t="str" cm="1">
        <f t="array" ref="AQ9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5" s="10"/>
      <c r="AS905" s="10"/>
      <c r="AT905" s="17" t="e">
        <f>tbl_MTG_Set[[#This Row],[Play Booster CardMarket Profit]]/tbl_MTG_Set[[#This Row],[Play Booster Cost]]</f>
        <v>#VALUE!</v>
      </c>
      <c r="AU905" s="10" t="e">
        <f>_xlfn.XLOOKUP(tbl_MTG_Set[[#This Row],[Collector Booster Box Product Id]], tbl_Product[Product Id], tbl_Product[Min Cost])</f>
        <v>#N/A</v>
      </c>
      <c r="AV905" s="10" t="e">
        <f>_xlfn.XLOOKUP(tbl_MTG_Set[[#This Row],[Collector Booster Box Product Id]], tbl_Product[Product Id], tbl_Product[Best Source])</f>
        <v>#N/A</v>
      </c>
      <c r="AW905" s="4" t="e">
        <f>_xlfn.XLOOKUP(tbl_MTG_Set[[#This Row],[Collector Booster Box Product Id]], tbl_Product[Product Id], tbl_Product[Pack Size])</f>
        <v>#N/A</v>
      </c>
      <c r="AX905" s="10" t="e">
        <f>(tbl_MTG_Set[[#This Row],[Collector Booster Box Cost]] + v_Item_Shipping_Cost_In) / tbl_MTG_Set[[#This Row],[Collector Booster Box Size]]</f>
        <v>#N/A</v>
      </c>
      <c r="AY905" s="10" t="str" cm="1">
        <f t="array" ref="AY9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5" s="10"/>
      <c r="BA9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5" s="17" t="e">
        <f>tbl_MTG_Set[[#This Row],[Collector Booster CardMarket Profit]]/tbl_MTG_Set[[#This Row],[Collector Booster Cost]]</f>
        <v>#N/A</v>
      </c>
      <c r="BC905" s="10"/>
      <c r="BF90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5" s="11" t="e">
        <f>tbl_MTG_Set[[#This Row],[Play Singles CardMarket Profit MTG Stocks]]/tbl_MTG_Set[[#This Row],[Play Booster Cost]]</f>
        <v>#VALUE!</v>
      </c>
      <c r="BI905" s="11" t="b">
        <f>tbl_MTG_Set[[#This Row],[Play Singles CardMarket Profit MTG Stocks]]&gt;0</f>
        <v>0</v>
      </c>
      <c r="BM905" s="10" t="e">
        <f>tbl_MTG_Set[[#This Row],[Play Booster Sell Price CardMarket]]*tbl_MTG_Set[[#This Row],[Play Booster Expected Market Value BotBox]]/tbl_MTG_Set[[#This Row],[Play Booster Sealed Market Value BotBox]]</f>
        <v>#VALUE!</v>
      </c>
      <c r="BN9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5" s="10" t="e">
        <f>tbl_MTG_Set[[#This Row],[Play Singles CardMarket Profit BotBox]]/tbl_MTG_Set[[#This Row],[Play Booster Cost]]</f>
        <v>#VALUE!</v>
      </c>
      <c r="BP905" s="10" t="b">
        <f>tbl_MTG_Set[[#This Row],[Play Singles CardMarket Profit BotBox]]&gt;0</f>
        <v>0</v>
      </c>
      <c r="BQ905" s="10"/>
      <c r="BR905" s="10"/>
      <c r="BS905" s="10"/>
      <c r="BT90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5" s="19" t="e">
        <f>tbl_MTG_Set[[#This Row],[Collector Singles CardMarket Profit MTG Stocks]]/tbl_MTG_Set[[#This Row],[Collector Booster Cost]]</f>
        <v>#N/A</v>
      </c>
      <c r="BW905" s="10" t="b">
        <f>tbl_MTG_Set[[#This Row],[Collector Singles CardMarket Profit MTG Stocks]]&gt;0</f>
        <v>0</v>
      </c>
      <c r="BX905" s="10"/>
      <c r="BY905" s="10"/>
      <c r="BZ90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5" s="10" t="e">
        <f>tbl_MTG_Set[[#This Row],[Collector Singles CardMarket Profit BotBox]]/tbl_MTG_Set[[#This Row],[Collector Booster Cost]]</f>
        <v>#N/A</v>
      </c>
      <c r="CC905" s="10" t="b">
        <f>tbl_MTG_Set[[#This Row],[Collector Singles CardMarket Profit BotBox]]&gt;0</f>
        <v>0</v>
      </c>
      <c r="CD9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6" spans="1:86" hidden="1">
      <c r="A906">
        <v>938</v>
      </c>
      <c r="B906" t="s">
        <v>1079</v>
      </c>
      <c r="C906">
        <v>1</v>
      </c>
      <c r="D906" s="3">
        <v>36682</v>
      </c>
      <c r="F906" t="s">
        <v>174</v>
      </c>
      <c r="G906">
        <v>1822</v>
      </c>
      <c r="H906">
        <f ca="1">MONTH(NOW())+12*YEAR(NOW())-MONTH(tbl_MTG_Set[[#This Row],[Released On]])-12*YEAR(tbl_MTG_Set[[#This Row],[Released On]])</f>
        <v>309</v>
      </c>
      <c r="I906" t="str">
        <f>_xlfn.XLOOKUP(tbl_MTG_Set[[#This Row],[Type Name]], tbl_MTG_Set_Type[Set Type], tbl_MTG_Set_Type[Index], "(Set Type not found)")</f>
        <v>(Set Type not found)</v>
      </c>
      <c r="J906" t="str">
        <f>_xlfn.XLOOKUP(tbl_MTG_Set[[#This Row],[Type Name]], tbl_MTG_Set_Type[Set Type], tbl_MTG_Set_Type[Buy Window Month Start], "(Set Type not found)")</f>
        <v>(Set Type not found)</v>
      </c>
      <c r="K906" s="3" t="e">
        <f>tbl_MTG_Set[[#This Row],[Released On]]+tbl_MTG_Set[[#This Row],[Buy Window Month Start]]*365.25/12</f>
        <v>#VALUE!</v>
      </c>
      <c r="L906" t="str">
        <f>_xlfn.XLOOKUP(tbl_MTG_Set[[#This Row],[Type Name]], tbl_MTG_Set_Type[Set Type], tbl_MTG_Set_Type[Buy Window Month End], "(Set Type not found)", 0, 1)</f>
        <v>(Set Type not found)</v>
      </c>
      <c r="M906" s="3" t="e">
        <f>tbl_MTG_Set[[#This Row],[Released On]]+tbl_MTG_Set[[#This Row],[Buy Window Month End]]*365.25/12</f>
        <v>#VALUE!</v>
      </c>
      <c r="N906" s="3" t="e">
        <f ca="1">AND(NOW()&gt;=tbl_MTG_Set[[#This Row],[Buy Window Start]], NOW()&lt;=tbl_MTG_Set[[#This Row],[Buy Window End]])</f>
        <v>#VALUE!</v>
      </c>
      <c r="O906" t="str">
        <f>_xlfn.XLOOKUP(tbl_MTG_Set[[#This Row],[Type Name]], tbl_MTG_Set_Type[Set Type], tbl_MTG_Set_Type[Heavy Printing Window Month Start], "(Set Type not found)", 0, 1)</f>
        <v>(Set Type not found)</v>
      </c>
      <c r="P906" s="3" t="e">
        <f>tbl_MTG_Set[[#This Row],[Released On]]+tbl_MTG_Set[[#This Row],[Heavy Printing Window Month Start]]*365.25/12</f>
        <v>#VALUE!</v>
      </c>
      <c r="Q906" t="str">
        <f>_xlfn.XLOOKUP(tbl_MTG_Set[[#This Row],[Type Name]], tbl_MTG_Set_Type[Set Type], tbl_MTG_Set_Type[Heavy Printing Window Month End], "(Set Type not found)", 0, 1)</f>
        <v>(Set Type not found)</v>
      </c>
      <c r="R906" s="3" t="e">
        <f>tbl_MTG_Set[[#This Row],[Released On]]+tbl_MTG_Set[[#This Row],[Heavy Printing Window Month End]]*365.25/12</f>
        <v>#VALUE!</v>
      </c>
      <c r="S906" s="3" t="e">
        <f ca="1">AND(NOW()&gt;=tbl_MTG_Set[[#This Row],[Heavy Printing Window Start]], NOW()&lt;=tbl_MTG_Set[[#This Row],[Heavy Printing Window End]])</f>
        <v>#VALUE!</v>
      </c>
      <c r="T906" t="str">
        <f>_xlfn.XLOOKUP(tbl_MTG_Set[[#This Row],[Type Name]], tbl_MTG_Set_Type[Set Type], tbl_MTG_Set_Type[Sell Window Month Start], "(Set Type not found)", 0, 1)</f>
        <v>(Set Type not found)</v>
      </c>
      <c r="U906" s="3" t="e">
        <f>tbl_MTG_Set[[#This Row],[Released On]]+tbl_MTG_Set[[#This Row],[Sell Window Month Start]]*365.25/12</f>
        <v>#VALUE!</v>
      </c>
      <c r="V906" t="str">
        <f>_xlfn.XLOOKUP(tbl_MTG_Set[[#This Row],[Type Name]], tbl_MTG_Set_Type[Set Type], tbl_MTG_Set_Type[Sell Window Month End], "(Set Type not found)", 0, 1)</f>
        <v>(Set Type not found)</v>
      </c>
      <c r="W906" s="3" t="e">
        <f>tbl_MTG_Set[[#This Row],[Released On]]+tbl_MTG_Set[[#This Row],[Sell Window Month End]]*365.25/12</f>
        <v>#VALUE!</v>
      </c>
      <c r="X906" s="3" t="e">
        <f ca="1">AND(NOW()&gt;=tbl_MTG_Set[[#This Row],[Sell Window Start]], NOW()&lt;=tbl_MTG_Set[[#This Row],[Sell Window End]])</f>
        <v>#VALUE!</v>
      </c>
      <c r="AG906" s="10"/>
      <c r="AH906" s="10"/>
      <c r="AM906" s="10" t="str" cm="1">
        <f t="array" ref="AM9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6" s="10" t="str" cm="1">
        <f t="array" ref="AN9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6" s="4" t="e">
        <f>_xlfn.XLOOKUP(tbl_MTG_Set[[#This Row],[Play Booster Box Product Id]], tbl_Product[Product Id], tbl_Product[Pack Size])</f>
        <v>#N/A</v>
      </c>
      <c r="AP906" s="10" t="e">
        <f>(tbl_MTG_Set[[#This Row],[Play Booster Box Cost]]+v_Item_Shipping_Cost_In)/tbl_MTG_Set[[#This Row],[Play Booster Box Size]]</f>
        <v>#VALUE!</v>
      </c>
      <c r="AQ906" s="10" t="str" cm="1">
        <f t="array" ref="AQ9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6" s="10"/>
      <c r="AS906" s="10"/>
      <c r="AT906" s="17" t="e">
        <f>tbl_MTG_Set[[#This Row],[Play Booster CardMarket Profit]]/tbl_MTG_Set[[#This Row],[Play Booster Cost]]</f>
        <v>#VALUE!</v>
      </c>
      <c r="AU906" s="10" t="e">
        <f>_xlfn.XLOOKUP(tbl_MTG_Set[[#This Row],[Collector Booster Box Product Id]], tbl_Product[Product Id], tbl_Product[Min Cost])</f>
        <v>#N/A</v>
      </c>
      <c r="AV906" s="10" t="e">
        <f>_xlfn.XLOOKUP(tbl_MTG_Set[[#This Row],[Collector Booster Box Product Id]], tbl_Product[Product Id], tbl_Product[Best Source])</f>
        <v>#N/A</v>
      </c>
      <c r="AW906" s="4" t="e">
        <f>_xlfn.XLOOKUP(tbl_MTG_Set[[#This Row],[Collector Booster Box Product Id]], tbl_Product[Product Id], tbl_Product[Pack Size])</f>
        <v>#N/A</v>
      </c>
      <c r="AX906" s="10" t="e">
        <f>(tbl_MTG_Set[[#This Row],[Collector Booster Box Cost]] + v_Item_Shipping_Cost_In) / tbl_MTG_Set[[#This Row],[Collector Booster Box Size]]</f>
        <v>#N/A</v>
      </c>
      <c r="AY906" s="10" t="str" cm="1">
        <f t="array" ref="AY9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6" s="10"/>
      <c r="BA9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6" s="17" t="e">
        <f>tbl_MTG_Set[[#This Row],[Collector Booster CardMarket Profit]]/tbl_MTG_Set[[#This Row],[Collector Booster Cost]]</f>
        <v>#N/A</v>
      </c>
      <c r="BC906" s="10"/>
      <c r="BF90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6" s="11" t="e">
        <f>tbl_MTG_Set[[#This Row],[Play Singles CardMarket Profit MTG Stocks]]/tbl_MTG_Set[[#This Row],[Play Booster Cost]]</f>
        <v>#VALUE!</v>
      </c>
      <c r="BI906" s="11" t="b">
        <f>tbl_MTG_Set[[#This Row],[Play Singles CardMarket Profit MTG Stocks]]&gt;0</f>
        <v>0</v>
      </c>
      <c r="BM906" s="10" t="e">
        <f>tbl_MTG_Set[[#This Row],[Play Booster Sell Price CardMarket]]*tbl_MTG_Set[[#This Row],[Play Booster Expected Market Value BotBox]]/tbl_MTG_Set[[#This Row],[Play Booster Sealed Market Value BotBox]]</f>
        <v>#VALUE!</v>
      </c>
      <c r="BN9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6" s="10" t="e">
        <f>tbl_MTG_Set[[#This Row],[Play Singles CardMarket Profit BotBox]]/tbl_MTG_Set[[#This Row],[Play Booster Cost]]</f>
        <v>#VALUE!</v>
      </c>
      <c r="BP906" s="10" t="b">
        <f>tbl_MTG_Set[[#This Row],[Play Singles CardMarket Profit BotBox]]&gt;0</f>
        <v>0</v>
      </c>
      <c r="BQ906" s="10"/>
      <c r="BR906" s="10"/>
      <c r="BS906" s="10"/>
      <c r="BT90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6" s="19" t="e">
        <f>tbl_MTG_Set[[#This Row],[Collector Singles CardMarket Profit MTG Stocks]]/tbl_MTG_Set[[#This Row],[Collector Booster Cost]]</f>
        <v>#N/A</v>
      </c>
      <c r="BW906" s="10" t="b">
        <f>tbl_MTG_Set[[#This Row],[Collector Singles CardMarket Profit MTG Stocks]]&gt;0</f>
        <v>0</v>
      </c>
      <c r="BX906" s="10"/>
      <c r="BY906" s="10"/>
      <c r="BZ90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6" s="10" t="e">
        <f>tbl_MTG_Set[[#This Row],[Collector Singles CardMarket Profit BotBox]]/tbl_MTG_Set[[#This Row],[Collector Booster Cost]]</f>
        <v>#N/A</v>
      </c>
      <c r="CC906" s="10" t="b">
        <f>tbl_MTG_Set[[#This Row],[Collector Singles CardMarket Profit BotBox]]&gt;0</f>
        <v>0</v>
      </c>
      <c r="CD9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7" spans="1:86" hidden="1">
      <c r="A907">
        <v>939</v>
      </c>
      <c r="B907" t="s">
        <v>1080</v>
      </c>
      <c r="C907">
        <v>20</v>
      </c>
      <c r="D907" s="3">
        <v>36617</v>
      </c>
      <c r="F907" t="s">
        <v>174</v>
      </c>
      <c r="G907">
        <v>1824</v>
      </c>
      <c r="H907">
        <f ca="1">MONTH(NOW())+12*YEAR(NOW())-MONTH(tbl_MTG_Set[[#This Row],[Released On]])-12*YEAR(tbl_MTG_Set[[#This Row],[Released On]])</f>
        <v>311</v>
      </c>
      <c r="I907" t="str">
        <f>_xlfn.XLOOKUP(tbl_MTG_Set[[#This Row],[Type Name]], tbl_MTG_Set_Type[Set Type], tbl_MTG_Set_Type[Index], "(Set Type not found)")</f>
        <v>(Set Type not found)</v>
      </c>
      <c r="J907" t="str">
        <f>_xlfn.XLOOKUP(tbl_MTG_Set[[#This Row],[Type Name]], tbl_MTG_Set_Type[Set Type], tbl_MTG_Set_Type[Buy Window Month Start], "(Set Type not found)")</f>
        <v>(Set Type not found)</v>
      </c>
      <c r="K907" s="3" t="e">
        <f>tbl_MTG_Set[[#This Row],[Released On]]+tbl_MTG_Set[[#This Row],[Buy Window Month Start]]*365.25/12</f>
        <v>#VALUE!</v>
      </c>
      <c r="L907" t="str">
        <f>_xlfn.XLOOKUP(tbl_MTG_Set[[#This Row],[Type Name]], tbl_MTG_Set_Type[Set Type], tbl_MTG_Set_Type[Buy Window Month End], "(Set Type not found)", 0, 1)</f>
        <v>(Set Type not found)</v>
      </c>
      <c r="M907" s="3" t="e">
        <f>tbl_MTG_Set[[#This Row],[Released On]]+tbl_MTG_Set[[#This Row],[Buy Window Month End]]*365.25/12</f>
        <v>#VALUE!</v>
      </c>
      <c r="N907" s="3" t="e">
        <f ca="1">AND(NOW()&gt;=tbl_MTG_Set[[#This Row],[Buy Window Start]], NOW()&lt;=tbl_MTG_Set[[#This Row],[Buy Window End]])</f>
        <v>#VALUE!</v>
      </c>
      <c r="O907" t="str">
        <f>_xlfn.XLOOKUP(tbl_MTG_Set[[#This Row],[Type Name]], tbl_MTG_Set_Type[Set Type], tbl_MTG_Set_Type[Heavy Printing Window Month Start], "(Set Type not found)", 0, 1)</f>
        <v>(Set Type not found)</v>
      </c>
      <c r="P907" s="3" t="e">
        <f>tbl_MTG_Set[[#This Row],[Released On]]+tbl_MTG_Set[[#This Row],[Heavy Printing Window Month Start]]*365.25/12</f>
        <v>#VALUE!</v>
      </c>
      <c r="Q907" t="str">
        <f>_xlfn.XLOOKUP(tbl_MTG_Set[[#This Row],[Type Name]], tbl_MTG_Set_Type[Set Type], tbl_MTG_Set_Type[Heavy Printing Window Month End], "(Set Type not found)", 0, 1)</f>
        <v>(Set Type not found)</v>
      </c>
      <c r="R907" s="3" t="e">
        <f>tbl_MTG_Set[[#This Row],[Released On]]+tbl_MTG_Set[[#This Row],[Heavy Printing Window Month End]]*365.25/12</f>
        <v>#VALUE!</v>
      </c>
      <c r="S907" s="3" t="e">
        <f ca="1">AND(NOW()&gt;=tbl_MTG_Set[[#This Row],[Heavy Printing Window Start]], NOW()&lt;=tbl_MTG_Set[[#This Row],[Heavy Printing Window End]])</f>
        <v>#VALUE!</v>
      </c>
      <c r="T907" t="str">
        <f>_xlfn.XLOOKUP(tbl_MTG_Set[[#This Row],[Type Name]], tbl_MTG_Set_Type[Set Type], tbl_MTG_Set_Type[Sell Window Month Start], "(Set Type not found)", 0, 1)</f>
        <v>(Set Type not found)</v>
      </c>
      <c r="U907" s="3" t="e">
        <f>tbl_MTG_Set[[#This Row],[Released On]]+tbl_MTG_Set[[#This Row],[Sell Window Month Start]]*365.25/12</f>
        <v>#VALUE!</v>
      </c>
      <c r="V907" t="str">
        <f>_xlfn.XLOOKUP(tbl_MTG_Set[[#This Row],[Type Name]], tbl_MTG_Set_Type[Set Type], tbl_MTG_Set_Type[Sell Window Month End], "(Set Type not found)", 0, 1)</f>
        <v>(Set Type not found)</v>
      </c>
      <c r="W907" s="3" t="e">
        <f>tbl_MTG_Set[[#This Row],[Released On]]+tbl_MTG_Set[[#This Row],[Sell Window Month End]]*365.25/12</f>
        <v>#VALUE!</v>
      </c>
      <c r="X907" s="3" t="e">
        <f ca="1">AND(NOW()&gt;=tbl_MTG_Set[[#This Row],[Sell Window Start]], NOW()&lt;=tbl_MTG_Set[[#This Row],[Sell Window End]])</f>
        <v>#VALUE!</v>
      </c>
      <c r="AG907" s="10"/>
      <c r="AH907" s="10"/>
      <c r="AM907" s="10" t="str" cm="1">
        <f t="array" ref="AM9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7" s="10" t="str" cm="1">
        <f t="array" ref="AN9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7" s="4" t="e">
        <f>_xlfn.XLOOKUP(tbl_MTG_Set[[#This Row],[Play Booster Box Product Id]], tbl_Product[Product Id], tbl_Product[Pack Size])</f>
        <v>#N/A</v>
      </c>
      <c r="AP907" s="10" t="e">
        <f>(tbl_MTG_Set[[#This Row],[Play Booster Box Cost]]+v_Item_Shipping_Cost_In)/tbl_MTG_Set[[#This Row],[Play Booster Box Size]]</f>
        <v>#VALUE!</v>
      </c>
      <c r="AQ907" s="10" t="str" cm="1">
        <f t="array" ref="AQ9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7" s="10"/>
      <c r="AS907" s="10"/>
      <c r="AT907" s="17" t="e">
        <f>tbl_MTG_Set[[#This Row],[Play Booster CardMarket Profit]]/tbl_MTG_Set[[#This Row],[Play Booster Cost]]</f>
        <v>#VALUE!</v>
      </c>
      <c r="AU907" s="10" t="e">
        <f>_xlfn.XLOOKUP(tbl_MTG_Set[[#This Row],[Collector Booster Box Product Id]], tbl_Product[Product Id], tbl_Product[Min Cost])</f>
        <v>#N/A</v>
      </c>
      <c r="AV907" s="10" t="e">
        <f>_xlfn.XLOOKUP(tbl_MTG_Set[[#This Row],[Collector Booster Box Product Id]], tbl_Product[Product Id], tbl_Product[Best Source])</f>
        <v>#N/A</v>
      </c>
      <c r="AW907" s="4" t="e">
        <f>_xlfn.XLOOKUP(tbl_MTG_Set[[#This Row],[Collector Booster Box Product Id]], tbl_Product[Product Id], tbl_Product[Pack Size])</f>
        <v>#N/A</v>
      </c>
      <c r="AX907" s="10" t="e">
        <f>(tbl_MTG_Set[[#This Row],[Collector Booster Box Cost]] + v_Item_Shipping_Cost_In) / tbl_MTG_Set[[#This Row],[Collector Booster Box Size]]</f>
        <v>#N/A</v>
      </c>
      <c r="AY907" s="10" t="str" cm="1">
        <f t="array" ref="AY9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7" s="10"/>
      <c r="BA9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7" s="17" t="e">
        <f>tbl_MTG_Set[[#This Row],[Collector Booster CardMarket Profit]]/tbl_MTG_Set[[#This Row],[Collector Booster Cost]]</f>
        <v>#N/A</v>
      </c>
      <c r="BC907" s="10"/>
      <c r="BF90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7" s="11" t="e">
        <f>tbl_MTG_Set[[#This Row],[Play Singles CardMarket Profit MTG Stocks]]/tbl_MTG_Set[[#This Row],[Play Booster Cost]]</f>
        <v>#VALUE!</v>
      </c>
      <c r="BI907" s="11" t="b">
        <f>tbl_MTG_Set[[#This Row],[Play Singles CardMarket Profit MTG Stocks]]&gt;0</f>
        <v>0</v>
      </c>
      <c r="BM907" s="10" t="e">
        <f>tbl_MTG_Set[[#This Row],[Play Booster Sell Price CardMarket]]*tbl_MTG_Set[[#This Row],[Play Booster Expected Market Value BotBox]]/tbl_MTG_Set[[#This Row],[Play Booster Sealed Market Value BotBox]]</f>
        <v>#VALUE!</v>
      </c>
      <c r="BN9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7" s="10" t="e">
        <f>tbl_MTG_Set[[#This Row],[Play Singles CardMarket Profit BotBox]]/tbl_MTG_Set[[#This Row],[Play Booster Cost]]</f>
        <v>#VALUE!</v>
      </c>
      <c r="BP907" s="10" t="b">
        <f>tbl_MTG_Set[[#This Row],[Play Singles CardMarket Profit BotBox]]&gt;0</f>
        <v>0</v>
      </c>
      <c r="BQ907" s="10"/>
      <c r="BR907" s="10"/>
      <c r="BS907" s="10"/>
      <c r="BT90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7" s="19" t="e">
        <f>tbl_MTG_Set[[#This Row],[Collector Singles CardMarket Profit MTG Stocks]]/tbl_MTG_Set[[#This Row],[Collector Booster Cost]]</f>
        <v>#N/A</v>
      </c>
      <c r="BW907" s="10" t="b">
        <f>tbl_MTG_Set[[#This Row],[Collector Singles CardMarket Profit MTG Stocks]]&gt;0</f>
        <v>0</v>
      </c>
      <c r="BX907" s="10"/>
      <c r="BY907" s="10"/>
      <c r="BZ90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7" s="10" t="e">
        <f>tbl_MTG_Set[[#This Row],[Collector Singles CardMarket Profit BotBox]]/tbl_MTG_Set[[#This Row],[Collector Booster Cost]]</f>
        <v>#N/A</v>
      </c>
      <c r="CC907" s="10" t="b">
        <f>tbl_MTG_Set[[#This Row],[Collector Singles CardMarket Profit BotBox]]&gt;0</f>
        <v>0</v>
      </c>
      <c r="CD9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8" spans="1:86" hidden="1">
      <c r="A908">
        <v>940</v>
      </c>
      <c r="B908" t="s">
        <v>1081</v>
      </c>
      <c r="C908">
        <v>143</v>
      </c>
      <c r="D908" s="3">
        <v>36570</v>
      </c>
      <c r="F908" t="s">
        <v>174</v>
      </c>
      <c r="G908">
        <v>1826</v>
      </c>
      <c r="H908">
        <f ca="1">MONTH(NOW())+12*YEAR(NOW())-MONTH(tbl_MTG_Set[[#This Row],[Released On]])-12*YEAR(tbl_MTG_Set[[#This Row],[Released On]])</f>
        <v>313</v>
      </c>
      <c r="I908" t="str">
        <f>_xlfn.XLOOKUP(tbl_MTG_Set[[#This Row],[Type Name]], tbl_MTG_Set_Type[Set Type], tbl_MTG_Set_Type[Index], "(Set Type not found)")</f>
        <v>(Set Type not found)</v>
      </c>
      <c r="J908" t="str">
        <f>_xlfn.XLOOKUP(tbl_MTG_Set[[#This Row],[Type Name]], tbl_MTG_Set_Type[Set Type], tbl_MTG_Set_Type[Buy Window Month Start], "(Set Type not found)")</f>
        <v>(Set Type not found)</v>
      </c>
      <c r="K908" s="3" t="e">
        <f>tbl_MTG_Set[[#This Row],[Released On]]+tbl_MTG_Set[[#This Row],[Buy Window Month Start]]*365.25/12</f>
        <v>#VALUE!</v>
      </c>
      <c r="L908" t="str">
        <f>_xlfn.XLOOKUP(tbl_MTG_Set[[#This Row],[Type Name]], tbl_MTG_Set_Type[Set Type], tbl_MTG_Set_Type[Buy Window Month End], "(Set Type not found)", 0, 1)</f>
        <v>(Set Type not found)</v>
      </c>
      <c r="M908" s="3" t="e">
        <f>tbl_MTG_Set[[#This Row],[Released On]]+tbl_MTG_Set[[#This Row],[Buy Window Month End]]*365.25/12</f>
        <v>#VALUE!</v>
      </c>
      <c r="N908" s="3" t="e">
        <f ca="1">AND(NOW()&gt;=tbl_MTG_Set[[#This Row],[Buy Window Start]], NOW()&lt;=tbl_MTG_Set[[#This Row],[Buy Window End]])</f>
        <v>#VALUE!</v>
      </c>
      <c r="O908" t="str">
        <f>_xlfn.XLOOKUP(tbl_MTG_Set[[#This Row],[Type Name]], tbl_MTG_Set_Type[Set Type], tbl_MTG_Set_Type[Heavy Printing Window Month Start], "(Set Type not found)", 0, 1)</f>
        <v>(Set Type not found)</v>
      </c>
      <c r="P908" s="3" t="e">
        <f>tbl_MTG_Set[[#This Row],[Released On]]+tbl_MTG_Set[[#This Row],[Heavy Printing Window Month Start]]*365.25/12</f>
        <v>#VALUE!</v>
      </c>
      <c r="Q908" t="str">
        <f>_xlfn.XLOOKUP(tbl_MTG_Set[[#This Row],[Type Name]], tbl_MTG_Set_Type[Set Type], tbl_MTG_Set_Type[Heavy Printing Window Month End], "(Set Type not found)", 0, 1)</f>
        <v>(Set Type not found)</v>
      </c>
      <c r="R908" s="3" t="e">
        <f>tbl_MTG_Set[[#This Row],[Released On]]+tbl_MTG_Set[[#This Row],[Heavy Printing Window Month End]]*365.25/12</f>
        <v>#VALUE!</v>
      </c>
      <c r="S908" s="3" t="e">
        <f ca="1">AND(NOW()&gt;=tbl_MTG_Set[[#This Row],[Heavy Printing Window Start]], NOW()&lt;=tbl_MTG_Set[[#This Row],[Heavy Printing Window End]])</f>
        <v>#VALUE!</v>
      </c>
      <c r="T908" t="str">
        <f>_xlfn.XLOOKUP(tbl_MTG_Set[[#This Row],[Type Name]], tbl_MTG_Set_Type[Set Type], tbl_MTG_Set_Type[Sell Window Month Start], "(Set Type not found)", 0, 1)</f>
        <v>(Set Type not found)</v>
      </c>
      <c r="U908" s="3" t="e">
        <f>tbl_MTG_Set[[#This Row],[Released On]]+tbl_MTG_Set[[#This Row],[Sell Window Month Start]]*365.25/12</f>
        <v>#VALUE!</v>
      </c>
      <c r="V908" t="str">
        <f>_xlfn.XLOOKUP(tbl_MTG_Set[[#This Row],[Type Name]], tbl_MTG_Set_Type[Set Type], tbl_MTG_Set_Type[Sell Window Month End], "(Set Type not found)", 0, 1)</f>
        <v>(Set Type not found)</v>
      </c>
      <c r="W908" s="3" t="e">
        <f>tbl_MTG_Set[[#This Row],[Released On]]+tbl_MTG_Set[[#This Row],[Sell Window Month End]]*365.25/12</f>
        <v>#VALUE!</v>
      </c>
      <c r="X908" s="3" t="e">
        <f ca="1">AND(NOW()&gt;=tbl_MTG_Set[[#This Row],[Sell Window Start]], NOW()&lt;=tbl_MTG_Set[[#This Row],[Sell Window End]])</f>
        <v>#VALUE!</v>
      </c>
      <c r="AG908" s="10"/>
      <c r="AH908" s="10"/>
      <c r="AM908" s="10" t="str" cm="1">
        <f t="array" ref="AM9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8" s="10" t="str" cm="1">
        <f t="array" ref="AN9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8" s="4" t="e">
        <f>_xlfn.XLOOKUP(tbl_MTG_Set[[#This Row],[Play Booster Box Product Id]], tbl_Product[Product Id], tbl_Product[Pack Size])</f>
        <v>#N/A</v>
      </c>
      <c r="AP908" s="10" t="e">
        <f>(tbl_MTG_Set[[#This Row],[Play Booster Box Cost]]+v_Item_Shipping_Cost_In)/tbl_MTG_Set[[#This Row],[Play Booster Box Size]]</f>
        <v>#VALUE!</v>
      </c>
      <c r="AQ908" s="10" t="str" cm="1">
        <f t="array" ref="AQ9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8" s="10"/>
      <c r="AS908" s="10"/>
      <c r="AT908" s="17" t="e">
        <f>tbl_MTG_Set[[#This Row],[Play Booster CardMarket Profit]]/tbl_MTG_Set[[#This Row],[Play Booster Cost]]</f>
        <v>#VALUE!</v>
      </c>
      <c r="AU908" s="10" t="e">
        <f>_xlfn.XLOOKUP(tbl_MTG_Set[[#This Row],[Collector Booster Box Product Id]], tbl_Product[Product Id], tbl_Product[Min Cost])</f>
        <v>#N/A</v>
      </c>
      <c r="AV908" s="10" t="e">
        <f>_xlfn.XLOOKUP(tbl_MTG_Set[[#This Row],[Collector Booster Box Product Id]], tbl_Product[Product Id], tbl_Product[Best Source])</f>
        <v>#N/A</v>
      </c>
      <c r="AW908" s="4" t="e">
        <f>_xlfn.XLOOKUP(tbl_MTG_Set[[#This Row],[Collector Booster Box Product Id]], tbl_Product[Product Id], tbl_Product[Pack Size])</f>
        <v>#N/A</v>
      </c>
      <c r="AX908" s="10" t="e">
        <f>(tbl_MTG_Set[[#This Row],[Collector Booster Box Cost]] + v_Item_Shipping_Cost_In) / tbl_MTG_Set[[#This Row],[Collector Booster Box Size]]</f>
        <v>#N/A</v>
      </c>
      <c r="AY908" s="10" t="str" cm="1">
        <f t="array" ref="AY9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8" s="10"/>
      <c r="BA9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8" s="17" t="e">
        <f>tbl_MTG_Set[[#This Row],[Collector Booster CardMarket Profit]]/tbl_MTG_Set[[#This Row],[Collector Booster Cost]]</f>
        <v>#N/A</v>
      </c>
      <c r="BC908" s="10"/>
      <c r="BF90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8" s="11" t="e">
        <f>tbl_MTG_Set[[#This Row],[Play Singles CardMarket Profit MTG Stocks]]/tbl_MTG_Set[[#This Row],[Play Booster Cost]]</f>
        <v>#VALUE!</v>
      </c>
      <c r="BI908" s="11" t="b">
        <f>tbl_MTG_Set[[#This Row],[Play Singles CardMarket Profit MTG Stocks]]&gt;0</f>
        <v>0</v>
      </c>
      <c r="BM908" s="10" t="e">
        <f>tbl_MTG_Set[[#This Row],[Play Booster Sell Price CardMarket]]*tbl_MTG_Set[[#This Row],[Play Booster Expected Market Value BotBox]]/tbl_MTG_Set[[#This Row],[Play Booster Sealed Market Value BotBox]]</f>
        <v>#VALUE!</v>
      </c>
      <c r="BN9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8" s="10" t="e">
        <f>tbl_MTG_Set[[#This Row],[Play Singles CardMarket Profit BotBox]]/tbl_MTG_Set[[#This Row],[Play Booster Cost]]</f>
        <v>#VALUE!</v>
      </c>
      <c r="BP908" s="10" t="b">
        <f>tbl_MTG_Set[[#This Row],[Play Singles CardMarket Profit BotBox]]&gt;0</f>
        <v>0</v>
      </c>
      <c r="BQ908" s="10"/>
      <c r="BR908" s="10"/>
      <c r="BS908" s="10"/>
      <c r="BT90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8" s="19" t="e">
        <f>tbl_MTG_Set[[#This Row],[Collector Singles CardMarket Profit MTG Stocks]]/tbl_MTG_Set[[#This Row],[Collector Booster Cost]]</f>
        <v>#N/A</v>
      </c>
      <c r="BW908" s="10" t="b">
        <f>tbl_MTG_Set[[#This Row],[Collector Singles CardMarket Profit MTG Stocks]]&gt;0</f>
        <v>0</v>
      </c>
      <c r="BX908" s="10"/>
      <c r="BY908" s="10"/>
      <c r="BZ90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8" s="10" t="e">
        <f>tbl_MTG_Set[[#This Row],[Collector Singles CardMarket Profit BotBox]]/tbl_MTG_Set[[#This Row],[Collector Booster Cost]]</f>
        <v>#N/A</v>
      </c>
      <c r="CC908" s="10" t="b">
        <f>tbl_MTG_Set[[#This Row],[Collector Singles CardMarket Profit BotBox]]&gt;0</f>
        <v>0</v>
      </c>
      <c r="CD9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09" spans="1:86" hidden="1">
      <c r="A909">
        <v>941</v>
      </c>
      <c r="B909" t="s">
        <v>1082</v>
      </c>
      <c r="C909">
        <v>1</v>
      </c>
      <c r="D909" s="3">
        <v>36570</v>
      </c>
      <c r="F909" t="s">
        <v>174</v>
      </c>
      <c r="G909">
        <v>1828</v>
      </c>
      <c r="H909">
        <f ca="1">MONTH(NOW())+12*YEAR(NOW())-MONTH(tbl_MTG_Set[[#This Row],[Released On]])-12*YEAR(tbl_MTG_Set[[#This Row],[Released On]])</f>
        <v>313</v>
      </c>
      <c r="I909" t="str">
        <f>_xlfn.XLOOKUP(tbl_MTG_Set[[#This Row],[Type Name]], tbl_MTG_Set_Type[Set Type], tbl_MTG_Set_Type[Index], "(Set Type not found)")</f>
        <v>(Set Type not found)</v>
      </c>
      <c r="J909" t="str">
        <f>_xlfn.XLOOKUP(tbl_MTG_Set[[#This Row],[Type Name]], tbl_MTG_Set_Type[Set Type], tbl_MTG_Set_Type[Buy Window Month Start], "(Set Type not found)")</f>
        <v>(Set Type not found)</v>
      </c>
      <c r="K909" s="3" t="e">
        <f>tbl_MTG_Set[[#This Row],[Released On]]+tbl_MTG_Set[[#This Row],[Buy Window Month Start]]*365.25/12</f>
        <v>#VALUE!</v>
      </c>
      <c r="L909" t="str">
        <f>_xlfn.XLOOKUP(tbl_MTG_Set[[#This Row],[Type Name]], tbl_MTG_Set_Type[Set Type], tbl_MTG_Set_Type[Buy Window Month End], "(Set Type not found)", 0, 1)</f>
        <v>(Set Type not found)</v>
      </c>
      <c r="M909" s="3" t="e">
        <f>tbl_MTG_Set[[#This Row],[Released On]]+tbl_MTG_Set[[#This Row],[Buy Window Month End]]*365.25/12</f>
        <v>#VALUE!</v>
      </c>
      <c r="N909" s="3" t="e">
        <f ca="1">AND(NOW()&gt;=tbl_MTG_Set[[#This Row],[Buy Window Start]], NOW()&lt;=tbl_MTG_Set[[#This Row],[Buy Window End]])</f>
        <v>#VALUE!</v>
      </c>
      <c r="O909" t="str">
        <f>_xlfn.XLOOKUP(tbl_MTG_Set[[#This Row],[Type Name]], tbl_MTG_Set_Type[Set Type], tbl_MTG_Set_Type[Heavy Printing Window Month Start], "(Set Type not found)", 0, 1)</f>
        <v>(Set Type not found)</v>
      </c>
      <c r="P909" s="3" t="e">
        <f>tbl_MTG_Set[[#This Row],[Released On]]+tbl_MTG_Set[[#This Row],[Heavy Printing Window Month Start]]*365.25/12</f>
        <v>#VALUE!</v>
      </c>
      <c r="Q909" t="str">
        <f>_xlfn.XLOOKUP(tbl_MTG_Set[[#This Row],[Type Name]], tbl_MTG_Set_Type[Set Type], tbl_MTG_Set_Type[Heavy Printing Window Month End], "(Set Type not found)", 0, 1)</f>
        <v>(Set Type not found)</v>
      </c>
      <c r="R909" s="3" t="e">
        <f>tbl_MTG_Set[[#This Row],[Released On]]+tbl_MTG_Set[[#This Row],[Heavy Printing Window Month End]]*365.25/12</f>
        <v>#VALUE!</v>
      </c>
      <c r="S909" s="3" t="e">
        <f ca="1">AND(NOW()&gt;=tbl_MTG_Set[[#This Row],[Heavy Printing Window Start]], NOW()&lt;=tbl_MTG_Set[[#This Row],[Heavy Printing Window End]])</f>
        <v>#VALUE!</v>
      </c>
      <c r="T909" t="str">
        <f>_xlfn.XLOOKUP(tbl_MTG_Set[[#This Row],[Type Name]], tbl_MTG_Set_Type[Set Type], tbl_MTG_Set_Type[Sell Window Month Start], "(Set Type not found)", 0, 1)</f>
        <v>(Set Type not found)</v>
      </c>
      <c r="U909" s="3" t="e">
        <f>tbl_MTG_Set[[#This Row],[Released On]]+tbl_MTG_Set[[#This Row],[Sell Window Month Start]]*365.25/12</f>
        <v>#VALUE!</v>
      </c>
      <c r="V909" t="str">
        <f>_xlfn.XLOOKUP(tbl_MTG_Set[[#This Row],[Type Name]], tbl_MTG_Set_Type[Set Type], tbl_MTG_Set_Type[Sell Window Month End], "(Set Type not found)", 0, 1)</f>
        <v>(Set Type not found)</v>
      </c>
      <c r="W909" s="3" t="e">
        <f>tbl_MTG_Set[[#This Row],[Released On]]+tbl_MTG_Set[[#This Row],[Sell Window Month End]]*365.25/12</f>
        <v>#VALUE!</v>
      </c>
      <c r="X909" s="3" t="e">
        <f ca="1">AND(NOW()&gt;=tbl_MTG_Set[[#This Row],[Sell Window Start]], NOW()&lt;=tbl_MTG_Set[[#This Row],[Sell Window End]])</f>
        <v>#VALUE!</v>
      </c>
      <c r="AG909" s="10"/>
      <c r="AH909" s="10"/>
      <c r="AM909" s="10" t="str" cm="1">
        <f t="array" ref="AM9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09" s="10" t="str" cm="1">
        <f t="array" ref="AN9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09" s="4" t="e">
        <f>_xlfn.XLOOKUP(tbl_MTG_Set[[#This Row],[Play Booster Box Product Id]], tbl_Product[Product Id], tbl_Product[Pack Size])</f>
        <v>#N/A</v>
      </c>
      <c r="AP909" s="10" t="e">
        <f>(tbl_MTG_Set[[#This Row],[Play Booster Box Cost]]+v_Item_Shipping_Cost_In)/tbl_MTG_Set[[#This Row],[Play Booster Box Size]]</f>
        <v>#VALUE!</v>
      </c>
      <c r="AQ909" s="10" t="str" cm="1">
        <f t="array" ref="AQ9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09" s="10"/>
      <c r="AS909" s="10"/>
      <c r="AT909" s="17" t="e">
        <f>tbl_MTG_Set[[#This Row],[Play Booster CardMarket Profit]]/tbl_MTG_Set[[#This Row],[Play Booster Cost]]</f>
        <v>#VALUE!</v>
      </c>
      <c r="AU909" s="10" t="e">
        <f>_xlfn.XLOOKUP(tbl_MTG_Set[[#This Row],[Collector Booster Box Product Id]], tbl_Product[Product Id], tbl_Product[Min Cost])</f>
        <v>#N/A</v>
      </c>
      <c r="AV909" s="10" t="e">
        <f>_xlfn.XLOOKUP(tbl_MTG_Set[[#This Row],[Collector Booster Box Product Id]], tbl_Product[Product Id], tbl_Product[Best Source])</f>
        <v>#N/A</v>
      </c>
      <c r="AW909" s="4" t="e">
        <f>_xlfn.XLOOKUP(tbl_MTG_Set[[#This Row],[Collector Booster Box Product Id]], tbl_Product[Product Id], tbl_Product[Pack Size])</f>
        <v>#N/A</v>
      </c>
      <c r="AX909" s="10" t="e">
        <f>(tbl_MTG_Set[[#This Row],[Collector Booster Box Cost]] + v_Item_Shipping_Cost_In) / tbl_MTG_Set[[#This Row],[Collector Booster Box Size]]</f>
        <v>#N/A</v>
      </c>
      <c r="AY909" s="10" t="str" cm="1">
        <f t="array" ref="AY9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09" s="10"/>
      <c r="BA9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09" s="17" t="e">
        <f>tbl_MTG_Set[[#This Row],[Collector Booster CardMarket Profit]]/tbl_MTG_Set[[#This Row],[Collector Booster Cost]]</f>
        <v>#N/A</v>
      </c>
      <c r="BC909" s="10"/>
      <c r="BF90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09" s="11" t="e">
        <f>tbl_MTG_Set[[#This Row],[Play Singles CardMarket Profit MTG Stocks]]/tbl_MTG_Set[[#This Row],[Play Booster Cost]]</f>
        <v>#VALUE!</v>
      </c>
      <c r="BI909" s="11" t="b">
        <f>tbl_MTG_Set[[#This Row],[Play Singles CardMarket Profit MTG Stocks]]&gt;0</f>
        <v>0</v>
      </c>
      <c r="BM909" s="10" t="e">
        <f>tbl_MTG_Set[[#This Row],[Play Booster Sell Price CardMarket]]*tbl_MTG_Set[[#This Row],[Play Booster Expected Market Value BotBox]]/tbl_MTG_Set[[#This Row],[Play Booster Sealed Market Value BotBox]]</f>
        <v>#VALUE!</v>
      </c>
      <c r="BN9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09" s="10" t="e">
        <f>tbl_MTG_Set[[#This Row],[Play Singles CardMarket Profit BotBox]]/tbl_MTG_Set[[#This Row],[Play Booster Cost]]</f>
        <v>#VALUE!</v>
      </c>
      <c r="BP909" s="10" t="b">
        <f>tbl_MTG_Set[[#This Row],[Play Singles CardMarket Profit BotBox]]&gt;0</f>
        <v>0</v>
      </c>
      <c r="BQ909" s="10"/>
      <c r="BR909" s="10"/>
      <c r="BS909" s="10"/>
      <c r="BT90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09" s="19" t="e">
        <f>tbl_MTG_Set[[#This Row],[Collector Singles CardMarket Profit MTG Stocks]]/tbl_MTG_Set[[#This Row],[Collector Booster Cost]]</f>
        <v>#N/A</v>
      </c>
      <c r="BW909" s="10" t="b">
        <f>tbl_MTG_Set[[#This Row],[Collector Singles CardMarket Profit MTG Stocks]]&gt;0</f>
        <v>0</v>
      </c>
      <c r="BX909" s="10"/>
      <c r="BY909" s="10"/>
      <c r="BZ90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09" s="10" t="e">
        <f>tbl_MTG_Set[[#This Row],[Collector Singles CardMarket Profit BotBox]]/tbl_MTG_Set[[#This Row],[Collector Booster Cost]]</f>
        <v>#N/A</v>
      </c>
      <c r="CC909" s="10" t="b">
        <f>tbl_MTG_Set[[#This Row],[Collector Singles CardMarket Profit BotBox]]&gt;0</f>
        <v>0</v>
      </c>
      <c r="CD9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0" spans="1:86" hidden="1">
      <c r="A910">
        <v>942</v>
      </c>
      <c r="B910" t="s">
        <v>1083</v>
      </c>
      <c r="C910">
        <v>15</v>
      </c>
      <c r="D910" s="3">
        <v>36561</v>
      </c>
      <c r="F910" t="s">
        <v>174</v>
      </c>
      <c r="G910">
        <v>1830</v>
      </c>
      <c r="H910">
        <f ca="1">MONTH(NOW())+12*YEAR(NOW())-MONTH(tbl_MTG_Set[[#This Row],[Released On]])-12*YEAR(tbl_MTG_Set[[#This Row],[Released On]])</f>
        <v>313</v>
      </c>
      <c r="I910" t="str">
        <f>_xlfn.XLOOKUP(tbl_MTG_Set[[#This Row],[Type Name]], tbl_MTG_Set_Type[Set Type], tbl_MTG_Set_Type[Index], "(Set Type not found)")</f>
        <v>(Set Type not found)</v>
      </c>
      <c r="J910" t="str">
        <f>_xlfn.XLOOKUP(tbl_MTG_Set[[#This Row],[Type Name]], tbl_MTG_Set_Type[Set Type], tbl_MTG_Set_Type[Buy Window Month Start], "(Set Type not found)")</f>
        <v>(Set Type not found)</v>
      </c>
      <c r="K910" s="3" t="e">
        <f>tbl_MTG_Set[[#This Row],[Released On]]+tbl_MTG_Set[[#This Row],[Buy Window Month Start]]*365.25/12</f>
        <v>#VALUE!</v>
      </c>
      <c r="L910" t="str">
        <f>_xlfn.XLOOKUP(tbl_MTG_Set[[#This Row],[Type Name]], tbl_MTG_Set_Type[Set Type], tbl_MTG_Set_Type[Buy Window Month End], "(Set Type not found)", 0, 1)</f>
        <v>(Set Type not found)</v>
      </c>
      <c r="M910" s="3" t="e">
        <f>tbl_MTG_Set[[#This Row],[Released On]]+tbl_MTG_Set[[#This Row],[Buy Window Month End]]*365.25/12</f>
        <v>#VALUE!</v>
      </c>
      <c r="N910" s="3" t="e">
        <f ca="1">AND(NOW()&gt;=tbl_MTG_Set[[#This Row],[Buy Window Start]], NOW()&lt;=tbl_MTG_Set[[#This Row],[Buy Window End]])</f>
        <v>#VALUE!</v>
      </c>
      <c r="O910" t="str">
        <f>_xlfn.XLOOKUP(tbl_MTG_Set[[#This Row],[Type Name]], tbl_MTG_Set_Type[Set Type], tbl_MTG_Set_Type[Heavy Printing Window Month Start], "(Set Type not found)", 0, 1)</f>
        <v>(Set Type not found)</v>
      </c>
      <c r="P910" s="3" t="e">
        <f>tbl_MTG_Set[[#This Row],[Released On]]+tbl_MTG_Set[[#This Row],[Heavy Printing Window Month Start]]*365.25/12</f>
        <v>#VALUE!</v>
      </c>
      <c r="Q910" t="str">
        <f>_xlfn.XLOOKUP(tbl_MTG_Set[[#This Row],[Type Name]], tbl_MTG_Set_Type[Set Type], tbl_MTG_Set_Type[Heavy Printing Window Month End], "(Set Type not found)", 0, 1)</f>
        <v>(Set Type not found)</v>
      </c>
      <c r="R910" s="3" t="e">
        <f>tbl_MTG_Set[[#This Row],[Released On]]+tbl_MTG_Set[[#This Row],[Heavy Printing Window Month End]]*365.25/12</f>
        <v>#VALUE!</v>
      </c>
      <c r="S910" s="3" t="e">
        <f ca="1">AND(NOW()&gt;=tbl_MTG_Set[[#This Row],[Heavy Printing Window Start]], NOW()&lt;=tbl_MTG_Set[[#This Row],[Heavy Printing Window End]])</f>
        <v>#VALUE!</v>
      </c>
      <c r="T910" t="str">
        <f>_xlfn.XLOOKUP(tbl_MTG_Set[[#This Row],[Type Name]], tbl_MTG_Set_Type[Set Type], tbl_MTG_Set_Type[Sell Window Month Start], "(Set Type not found)", 0, 1)</f>
        <v>(Set Type not found)</v>
      </c>
      <c r="U910" s="3" t="e">
        <f>tbl_MTG_Set[[#This Row],[Released On]]+tbl_MTG_Set[[#This Row],[Sell Window Month Start]]*365.25/12</f>
        <v>#VALUE!</v>
      </c>
      <c r="V910" t="str">
        <f>_xlfn.XLOOKUP(tbl_MTG_Set[[#This Row],[Type Name]], tbl_MTG_Set_Type[Set Type], tbl_MTG_Set_Type[Sell Window Month End], "(Set Type not found)", 0, 1)</f>
        <v>(Set Type not found)</v>
      </c>
      <c r="W910" s="3" t="e">
        <f>tbl_MTG_Set[[#This Row],[Released On]]+tbl_MTG_Set[[#This Row],[Sell Window Month End]]*365.25/12</f>
        <v>#VALUE!</v>
      </c>
      <c r="X910" s="3" t="e">
        <f ca="1">AND(NOW()&gt;=tbl_MTG_Set[[#This Row],[Sell Window Start]], NOW()&lt;=tbl_MTG_Set[[#This Row],[Sell Window End]])</f>
        <v>#VALUE!</v>
      </c>
      <c r="AG910" s="10"/>
      <c r="AH910" s="10"/>
      <c r="AM910" s="10" t="str" cm="1">
        <f t="array" ref="AM9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0" s="10" t="str" cm="1">
        <f t="array" ref="AN9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0" s="4" t="e">
        <f>_xlfn.XLOOKUP(tbl_MTG_Set[[#This Row],[Play Booster Box Product Id]], tbl_Product[Product Id], tbl_Product[Pack Size])</f>
        <v>#N/A</v>
      </c>
      <c r="AP910" s="10" t="e">
        <f>(tbl_MTG_Set[[#This Row],[Play Booster Box Cost]]+v_Item_Shipping_Cost_In)/tbl_MTG_Set[[#This Row],[Play Booster Box Size]]</f>
        <v>#VALUE!</v>
      </c>
      <c r="AQ910" s="10" t="str" cm="1">
        <f t="array" ref="AQ9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0" s="10"/>
      <c r="AS910" s="10"/>
      <c r="AT910" s="17" t="e">
        <f>tbl_MTG_Set[[#This Row],[Play Booster CardMarket Profit]]/tbl_MTG_Set[[#This Row],[Play Booster Cost]]</f>
        <v>#VALUE!</v>
      </c>
      <c r="AU910" s="10" t="e">
        <f>_xlfn.XLOOKUP(tbl_MTG_Set[[#This Row],[Collector Booster Box Product Id]], tbl_Product[Product Id], tbl_Product[Min Cost])</f>
        <v>#N/A</v>
      </c>
      <c r="AV910" s="10" t="e">
        <f>_xlfn.XLOOKUP(tbl_MTG_Set[[#This Row],[Collector Booster Box Product Id]], tbl_Product[Product Id], tbl_Product[Best Source])</f>
        <v>#N/A</v>
      </c>
      <c r="AW910" s="4" t="e">
        <f>_xlfn.XLOOKUP(tbl_MTG_Set[[#This Row],[Collector Booster Box Product Id]], tbl_Product[Product Id], tbl_Product[Pack Size])</f>
        <v>#N/A</v>
      </c>
      <c r="AX910" s="10" t="e">
        <f>(tbl_MTG_Set[[#This Row],[Collector Booster Box Cost]] + v_Item_Shipping_Cost_In) / tbl_MTG_Set[[#This Row],[Collector Booster Box Size]]</f>
        <v>#N/A</v>
      </c>
      <c r="AY910" s="10" t="str" cm="1">
        <f t="array" ref="AY9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0" s="10"/>
      <c r="BA9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0" s="17" t="e">
        <f>tbl_MTG_Set[[#This Row],[Collector Booster CardMarket Profit]]/tbl_MTG_Set[[#This Row],[Collector Booster Cost]]</f>
        <v>#N/A</v>
      </c>
      <c r="BC910" s="10"/>
      <c r="BF91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0" s="11" t="e">
        <f>tbl_MTG_Set[[#This Row],[Play Singles CardMarket Profit MTG Stocks]]/tbl_MTG_Set[[#This Row],[Play Booster Cost]]</f>
        <v>#VALUE!</v>
      </c>
      <c r="BI910" s="11" t="b">
        <f>tbl_MTG_Set[[#This Row],[Play Singles CardMarket Profit MTG Stocks]]&gt;0</f>
        <v>0</v>
      </c>
      <c r="BM910" s="10" t="e">
        <f>tbl_MTG_Set[[#This Row],[Play Booster Sell Price CardMarket]]*tbl_MTG_Set[[#This Row],[Play Booster Expected Market Value BotBox]]/tbl_MTG_Set[[#This Row],[Play Booster Sealed Market Value BotBox]]</f>
        <v>#VALUE!</v>
      </c>
      <c r="BN9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0" s="10" t="e">
        <f>tbl_MTG_Set[[#This Row],[Play Singles CardMarket Profit BotBox]]/tbl_MTG_Set[[#This Row],[Play Booster Cost]]</f>
        <v>#VALUE!</v>
      </c>
      <c r="BP910" s="10" t="b">
        <f>tbl_MTG_Set[[#This Row],[Play Singles CardMarket Profit BotBox]]&gt;0</f>
        <v>0</v>
      </c>
      <c r="BQ910" s="10"/>
      <c r="BR910" s="10"/>
      <c r="BS910" s="10"/>
      <c r="BT91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0" s="19" t="e">
        <f>tbl_MTG_Set[[#This Row],[Collector Singles CardMarket Profit MTG Stocks]]/tbl_MTG_Set[[#This Row],[Collector Booster Cost]]</f>
        <v>#N/A</v>
      </c>
      <c r="BW910" s="10" t="b">
        <f>tbl_MTG_Set[[#This Row],[Collector Singles CardMarket Profit MTG Stocks]]&gt;0</f>
        <v>0</v>
      </c>
      <c r="BX910" s="10"/>
      <c r="BY910" s="10"/>
      <c r="BZ91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0" s="10" t="e">
        <f>tbl_MTG_Set[[#This Row],[Collector Singles CardMarket Profit BotBox]]/tbl_MTG_Set[[#This Row],[Collector Booster Cost]]</f>
        <v>#N/A</v>
      </c>
      <c r="CC910" s="10" t="b">
        <f>tbl_MTG_Set[[#This Row],[Collector Singles CardMarket Profit BotBox]]&gt;0</f>
        <v>0</v>
      </c>
      <c r="CD9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1" spans="1:86" hidden="1">
      <c r="A911">
        <v>943</v>
      </c>
      <c r="B911" t="s">
        <v>1084</v>
      </c>
      <c r="C911">
        <v>11</v>
      </c>
      <c r="D911" s="3">
        <v>36526</v>
      </c>
      <c r="F911" t="s">
        <v>174</v>
      </c>
      <c r="G911">
        <v>1832</v>
      </c>
      <c r="H911">
        <f ca="1">MONTH(NOW())+12*YEAR(NOW())-MONTH(tbl_MTG_Set[[#This Row],[Released On]])-12*YEAR(tbl_MTG_Set[[#This Row],[Released On]])</f>
        <v>314</v>
      </c>
      <c r="I911" t="str">
        <f>_xlfn.XLOOKUP(tbl_MTG_Set[[#This Row],[Type Name]], tbl_MTG_Set_Type[Set Type], tbl_MTG_Set_Type[Index], "(Set Type not found)")</f>
        <v>(Set Type not found)</v>
      </c>
      <c r="J911" t="str">
        <f>_xlfn.XLOOKUP(tbl_MTG_Set[[#This Row],[Type Name]], tbl_MTG_Set_Type[Set Type], tbl_MTG_Set_Type[Buy Window Month Start], "(Set Type not found)")</f>
        <v>(Set Type not found)</v>
      </c>
      <c r="K911" s="3" t="e">
        <f>tbl_MTG_Set[[#This Row],[Released On]]+tbl_MTG_Set[[#This Row],[Buy Window Month Start]]*365.25/12</f>
        <v>#VALUE!</v>
      </c>
      <c r="L911" t="str">
        <f>_xlfn.XLOOKUP(tbl_MTG_Set[[#This Row],[Type Name]], tbl_MTG_Set_Type[Set Type], tbl_MTG_Set_Type[Buy Window Month End], "(Set Type not found)", 0, 1)</f>
        <v>(Set Type not found)</v>
      </c>
      <c r="M911" s="3" t="e">
        <f>tbl_MTG_Set[[#This Row],[Released On]]+tbl_MTG_Set[[#This Row],[Buy Window Month End]]*365.25/12</f>
        <v>#VALUE!</v>
      </c>
      <c r="N911" s="3" t="e">
        <f ca="1">AND(NOW()&gt;=tbl_MTG_Set[[#This Row],[Buy Window Start]], NOW()&lt;=tbl_MTG_Set[[#This Row],[Buy Window End]])</f>
        <v>#VALUE!</v>
      </c>
      <c r="O911" t="str">
        <f>_xlfn.XLOOKUP(tbl_MTG_Set[[#This Row],[Type Name]], tbl_MTG_Set_Type[Set Type], tbl_MTG_Set_Type[Heavy Printing Window Month Start], "(Set Type not found)", 0, 1)</f>
        <v>(Set Type not found)</v>
      </c>
      <c r="P911" s="3" t="e">
        <f>tbl_MTG_Set[[#This Row],[Released On]]+tbl_MTG_Set[[#This Row],[Heavy Printing Window Month Start]]*365.25/12</f>
        <v>#VALUE!</v>
      </c>
      <c r="Q911" t="str">
        <f>_xlfn.XLOOKUP(tbl_MTG_Set[[#This Row],[Type Name]], tbl_MTG_Set_Type[Set Type], tbl_MTG_Set_Type[Heavy Printing Window Month End], "(Set Type not found)", 0, 1)</f>
        <v>(Set Type not found)</v>
      </c>
      <c r="R911" s="3" t="e">
        <f>tbl_MTG_Set[[#This Row],[Released On]]+tbl_MTG_Set[[#This Row],[Heavy Printing Window Month End]]*365.25/12</f>
        <v>#VALUE!</v>
      </c>
      <c r="S911" s="3" t="e">
        <f ca="1">AND(NOW()&gt;=tbl_MTG_Set[[#This Row],[Heavy Printing Window Start]], NOW()&lt;=tbl_MTG_Set[[#This Row],[Heavy Printing Window End]])</f>
        <v>#VALUE!</v>
      </c>
      <c r="T911" t="str">
        <f>_xlfn.XLOOKUP(tbl_MTG_Set[[#This Row],[Type Name]], tbl_MTG_Set_Type[Set Type], tbl_MTG_Set_Type[Sell Window Month Start], "(Set Type not found)", 0, 1)</f>
        <v>(Set Type not found)</v>
      </c>
      <c r="U911" s="3" t="e">
        <f>tbl_MTG_Set[[#This Row],[Released On]]+tbl_MTG_Set[[#This Row],[Sell Window Month Start]]*365.25/12</f>
        <v>#VALUE!</v>
      </c>
      <c r="V911" t="str">
        <f>_xlfn.XLOOKUP(tbl_MTG_Set[[#This Row],[Type Name]], tbl_MTG_Set_Type[Set Type], tbl_MTG_Set_Type[Sell Window Month End], "(Set Type not found)", 0, 1)</f>
        <v>(Set Type not found)</v>
      </c>
      <c r="W911" s="3" t="e">
        <f>tbl_MTG_Set[[#This Row],[Released On]]+tbl_MTG_Set[[#This Row],[Sell Window Month End]]*365.25/12</f>
        <v>#VALUE!</v>
      </c>
      <c r="X911" s="3" t="e">
        <f ca="1">AND(NOW()&gt;=tbl_MTG_Set[[#This Row],[Sell Window Start]], NOW()&lt;=tbl_MTG_Set[[#This Row],[Sell Window End]])</f>
        <v>#VALUE!</v>
      </c>
      <c r="AG911" s="10"/>
      <c r="AH911" s="10"/>
      <c r="AM911" s="10" t="str" cm="1">
        <f t="array" ref="AM9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1" s="10" t="str" cm="1">
        <f t="array" ref="AN9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1" s="4" t="e">
        <f>_xlfn.XLOOKUP(tbl_MTG_Set[[#This Row],[Play Booster Box Product Id]], tbl_Product[Product Id], tbl_Product[Pack Size])</f>
        <v>#N/A</v>
      </c>
      <c r="AP911" s="10" t="e">
        <f>(tbl_MTG_Set[[#This Row],[Play Booster Box Cost]]+v_Item_Shipping_Cost_In)/tbl_MTG_Set[[#This Row],[Play Booster Box Size]]</f>
        <v>#VALUE!</v>
      </c>
      <c r="AQ911" s="10" t="str" cm="1">
        <f t="array" ref="AQ9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1" s="10"/>
      <c r="AS911" s="10"/>
      <c r="AT911" s="17" t="e">
        <f>tbl_MTG_Set[[#This Row],[Play Booster CardMarket Profit]]/tbl_MTG_Set[[#This Row],[Play Booster Cost]]</f>
        <v>#VALUE!</v>
      </c>
      <c r="AU911" s="10" t="e">
        <f>_xlfn.XLOOKUP(tbl_MTG_Set[[#This Row],[Collector Booster Box Product Id]], tbl_Product[Product Id], tbl_Product[Min Cost])</f>
        <v>#N/A</v>
      </c>
      <c r="AV911" s="10" t="e">
        <f>_xlfn.XLOOKUP(tbl_MTG_Set[[#This Row],[Collector Booster Box Product Id]], tbl_Product[Product Id], tbl_Product[Best Source])</f>
        <v>#N/A</v>
      </c>
      <c r="AW911" s="4" t="e">
        <f>_xlfn.XLOOKUP(tbl_MTG_Set[[#This Row],[Collector Booster Box Product Id]], tbl_Product[Product Id], tbl_Product[Pack Size])</f>
        <v>#N/A</v>
      </c>
      <c r="AX911" s="10" t="e">
        <f>(tbl_MTG_Set[[#This Row],[Collector Booster Box Cost]] + v_Item_Shipping_Cost_In) / tbl_MTG_Set[[#This Row],[Collector Booster Box Size]]</f>
        <v>#N/A</v>
      </c>
      <c r="AY911" s="10" t="str" cm="1">
        <f t="array" ref="AY9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1" s="10"/>
      <c r="BA9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1" s="17" t="e">
        <f>tbl_MTG_Set[[#This Row],[Collector Booster CardMarket Profit]]/tbl_MTG_Set[[#This Row],[Collector Booster Cost]]</f>
        <v>#N/A</v>
      </c>
      <c r="BC911" s="10"/>
      <c r="BF9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1" s="11" t="e">
        <f>tbl_MTG_Set[[#This Row],[Play Singles CardMarket Profit MTG Stocks]]/tbl_MTG_Set[[#This Row],[Play Booster Cost]]</f>
        <v>#VALUE!</v>
      </c>
      <c r="BI911" s="11" t="b">
        <f>tbl_MTG_Set[[#This Row],[Play Singles CardMarket Profit MTG Stocks]]&gt;0</f>
        <v>0</v>
      </c>
      <c r="BM911" s="10" t="e">
        <f>tbl_MTG_Set[[#This Row],[Play Booster Sell Price CardMarket]]*tbl_MTG_Set[[#This Row],[Play Booster Expected Market Value BotBox]]/tbl_MTG_Set[[#This Row],[Play Booster Sealed Market Value BotBox]]</f>
        <v>#VALUE!</v>
      </c>
      <c r="BN9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1" s="10" t="e">
        <f>tbl_MTG_Set[[#This Row],[Play Singles CardMarket Profit BotBox]]/tbl_MTG_Set[[#This Row],[Play Booster Cost]]</f>
        <v>#VALUE!</v>
      </c>
      <c r="BP911" s="10" t="b">
        <f>tbl_MTG_Set[[#This Row],[Play Singles CardMarket Profit BotBox]]&gt;0</f>
        <v>0</v>
      </c>
      <c r="BQ911" s="10"/>
      <c r="BR911" s="10"/>
      <c r="BS911" s="10"/>
      <c r="BT91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1" s="19" t="e">
        <f>tbl_MTG_Set[[#This Row],[Collector Singles CardMarket Profit MTG Stocks]]/tbl_MTG_Set[[#This Row],[Collector Booster Cost]]</f>
        <v>#N/A</v>
      </c>
      <c r="BW911" s="10" t="b">
        <f>tbl_MTG_Set[[#This Row],[Collector Singles CardMarket Profit MTG Stocks]]&gt;0</f>
        <v>0</v>
      </c>
      <c r="BX911" s="10"/>
      <c r="BY911" s="10"/>
      <c r="BZ91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1" s="10" t="e">
        <f>tbl_MTG_Set[[#This Row],[Collector Singles CardMarket Profit BotBox]]/tbl_MTG_Set[[#This Row],[Collector Booster Cost]]</f>
        <v>#N/A</v>
      </c>
      <c r="CC911" s="10" t="b">
        <f>tbl_MTG_Set[[#This Row],[Collector Singles CardMarket Profit BotBox]]&gt;0</f>
        <v>0</v>
      </c>
      <c r="CD9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2" spans="1:86" hidden="1">
      <c r="A912">
        <v>944</v>
      </c>
      <c r="B912" t="s">
        <v>1085</v>
      </c>
      <c r="C912">
        <v>2</v>
      </c>
      <c r="D912" s="3">
        <v>36526</v>
      </c>
      <c r="F912" t="s">
        <v>174</v>
      </c>
      <c r="G912">
        <v>1834</v>
      </c>
      <c r="H912">
        <f ca="1">MONTH(NOW())+12*YEAR(NOW())-MONTH(tbl_MTG_Set[[#This Row],[Released On]])-12*YEAR(tbl_MTG_Set[[#This Row],[Released On]])</f>
        <v>314</v>
      </c>
      <c r="I912" t="str">
        <f>_xlfn.XLOOKUP(tbl_MTG_Set[[#This Row],[Type Name]], tbl_MTG_Set_Type[Set Type], tbl_MTG_Set_Type[Index], "(Set Type not found)")</f>
        <v>(Set Type not found)</v>
      </c>
      <c r="J912" t="str">
        <f>_xlfn.XLOOKUP(tbl_MTG_Set[[#This Row],[Type Name]], tbl_MTG_Set_Type[Set Type], tbl_MTG_Set_Type[Buy Window Month Start], "(Set Type not found)")</f>
        <v>(Set Type not found)</v>
      </c>
      <c r="K912" s="3" t="e">
        <f>tbl_MTG_Set[[#This Row],[Released On]]+tbl_MTG_Set[[#This Row],[Buy Window Month Start]]*365.25/12</f>
        <v>#VALUE!</v>
      </c>
      <c r="L912" t="str">
        <f>_xlfn.XLOOKUP(tbl_MTG_Set[[#This Row],[Type Name]], tbl_MTG_Set_Type[Set Type], tbl_MTG_Set_Type[Buy Window Month End], "(Set Type not found)", 0, 1)</f>
        <v>(Set Type not found)</v>
      </c>
      <c r="M912" s="3" t="e">
        <f>tbl_MTG_Set[[#This Row],[Released On]]+tbl_MTG_Set[[#This Row],[Buy Window Month End]]*365.25/12</f>
        <v>#VALUE!</v>
      </c>
      <c r="N912" s="3" t="e">
        <f ca="1">AND(NOW()&gt;=tbl_MTG_Set[[#This Row],[Buy Window Start]], NOW()&lt;=tbl_MTG_Set[[#This Row],[Buy Window End]])</f>
        <v>#VALUE!</v>
      </c>
      <c r="O912" t="str">
        <f>_xlfn.XLOOKUP(tbl_MTG_Set[[#This Row],[Type Name]], tbl_MTG_Set_Type[Set Type], tbl_MTG_Set_Type[Heavy Printing Window Month Start], "(Set Type not found)", 0, 1)</f>
        <v>(Set Type not found)</v>
      </c>
      <c r="P912" s="3" t="e">
        <f>tbl_MTG_Set[[#This Row],[Released On]]+tbl_MTG_Set[[#This Row],[Heavy Printing Window Month Start]]*365.25/12</f>
        <v>#VALUE!</v>
      </c>
      <c r="Q912" t="str">
        <f>_xlfn.XLOOKUP(tbl_MTG_Set[[#This Row],[Type Name]], tbl_MTG_Set_Type[Set Type], tbl_MTG_Set_Type[Heavy Printing Window Month End], "(Set Type not found)", 0, 1)</f>
        <v>(Set Type not found)</v>
      </c>
      <c r="R912" s="3" t="e">
        <f>tbl_MTG_Set[[#This Row],[Released On]]+tbl_MTG_Set[[#This Row],[Heavy Printing Window Month End]]*365.25/12</f>
        <v>#VALUE!</v>
      </c>
      <c r="S912" s="3" t="e">
        <f ca="1">AND(NOW()&gt;=tbl_MTG_Set[[#This Row],[Heavy Printing Window Start]], NOW()&lt;=tbl_MTG_Set[[#This Row],[Heavy Printing Window End]])</f>
        <v>#VALUE!</v>
      </c>
      <c r="T912" t="str">
        <f>_xlfn.XLOOKUP(tbl_MTG_Set[[#This Row],[Type Name]], tbl_MTG_Set_Type[Set Type], tbl_MTG_Set_Type[Sell Window Month Start], "(Set Type not found)", 0, 1)</f>
        <v>(Set Type not found)</v>
      </c>
      <c r="U912" s="3" t="e">
        <f>tbl_MTG_Set[[#This Row],[Released On]]+tbl_MTG_Set[[#This Row],[Sell Window Month Start]]*365.25/12</f>
        <v>#VALUE!</v>
      </c>
      <c r="V912" t="str">
        <f>_xlfn.XLOOKUP(tbl_MTG_Set[[#This Row],[Type Name]], tbl_MTG_Set_Type[Set Type], tbl_MTG_Set_Type[Sell Window Month End], "(Set Type not found)", 0, 1)</f>
        <v>(Set Type not found)</v>
      </c>
      <c r="W912" s="3" t="e">
        <f>tbl_MTG_Set[[#This Row],[Released On]]+tbl_MTG_Set[[#This Row],[Sell Window Month End]]*365.25/12</f>
        <v>#VALUE!</v>
      </c>
      <c r="X912" s="3" t="e">
        <f ca="1">AND(NOW()&gt;=tbl_MTG_Set[[#This Row],[Sell Window Start]], NOW()&lt;=tbl_MTG_Set[[#This Row],[Sell Window End]])</f>
        <v>#VALUE!</v>
      </c>
      <c r="AG912" s="10"/>
      <c r="AH912" s="10"/>
      <c r="AM912" s="10" t="str" cm="1">
        <f t="array" ref="AM9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2" s="10" t="str" cm="1">
        <f t="array" ref="AN9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2" s="4" t="e">
        <f>_xlfn.XLOOKUP(tbl_MTG_Set[[#This Row],[Play Booster Box Product Id]], tbl_Product[Product Id], tbl_Product[Pack Size])</f>
        <v>#N/A</v>
      </c>
      <c r="AP912" s="10" t="e">
        <f>(tbl_MTG_Set[[#This Row],[Play Booster Box Cost]]+v_Item_Shipping_Cost_In)/tbl_MTG_Set[[#This Row],[Play Booster Box Size]]</f>
        <v>#VALUE!</v>
      </c>
      <c r="AQ912" s="10" t="str" cm="1">
        <f t="array" ref="AQ9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2" s="10"/>
      <c r="AS912" s="10"/>
      <c r="AT912" s="17" t="e">
        <f>tbl_MTG_Set[[#This Row],[Play Booster CardMarket Profit]]/tbl_MTG_Set[[#This Row],[Play Booster Cost]]</f>
        <v>#VALUE!</v>
      </c>
      <c r="AU912" s="10" t="e">
        <f>_xlfn.XLOOKUP(tbl_MTG_Set[[#This Row],[Collector Booster Box Product Id]], tbl_Product[Product Id], tbl_Product[Min Cost])</f>
        <v>#N/A</v>
      </c>
      <c r="AV912" s="10" t="e">
        <f>_xlfn.XLOOKUP(tbl_MTG_Set[[#This Row],[Collector Booster Box Product Id]], tbl_Product[Product Id], tbl_Product[Best Source])</f>
        <v>#N/A</v>
      </c>
      <c r="AW912" s="4" t="e">
        <f>_xlfn.XLOOKUP(tbl_MTG_Set[[#This Row],[Collector Booster Box Product Id]], tbl_Product[Product Id], tbl_Product[Pack Size])</f>
        <v>#N/A</v>
      </c>
      <c r="AX912" s="10" t="e">
        <f>(tbl_MTG_Set[[#This Row],[Collector Booster Box Cost]] + v_Item_Shipping_Cost_In) / tbl_MTG_Set[[#This Row],[Collector Booster Box Size]]</f>
        <v>#N/A</v>
      </c>
      <c r="AY912" s="10" t="str" cm="1">
        <f t="array" ref="AY9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2" s="10"/>
      <c r="BA9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2" s="17" t="e">
        <f>tbl_MTG_Set[[#This Row],[Collector Booster CardMarket Profit]]/tbl_MTG_Set[[#This Row],[Collector Booster Cost]]</f>
        <v>#N/A</v>
      </c>
      <c r="BC912" s="10"/>
      <c r="BF91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2" s="11" t="e">
        <f>tbl_MTG_Set[[#This Row],[Play Singles CardMarket Profit MTG Stocks]]/tbl_MTG_Set[[#This Row],[Play Booster Cost]]</f>
        <v>#VALUE!</v>
      </c>
      <c r="BI912" s="11" t="b">
        <f>tbl_MTG_Set[[#This Row],[Play Singles CardMarket Profit MTG Stocks]]&gt;0</f>
        <v>0</v>
      </c>
      <c r="BM912" s="10" t="e">
        <f>tbl_MTG_Set[[#This Row],[Play Booster Sell Price CardMarket]]*tbl_MTG_Set[[#This Row],[Play Booster Expected Market Value BotBox]]/tbl_MTG_Set[[#This Row],[Play Booster Sealed Market Value BotBox]]</f>
        <v>#VALUE!</v>
      </c>
      <c r="BN9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2" s="10" t="e">
        <f>tbl_MTG_Set[[#This Row],[Play Singles CardMarket Profit BotBox]]/tbl_MTG_Set[[#This Row],[Play Booster Cost]]</f>
        <v>#VALUE!</v>
      </c>
      <c r="BP912" s="10" t="b">
        <f>tbl_MTG_Set[[#This Row],[Play Singles CardMarket Profit BotBox]]&gt;0</f>
        <v>0</v>
      </c>
      <c r="BQ912" s="10"/>
      <c r="BR912" s="10"/>
      <c r="BS912" s="10"/>
      <c r="BT91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2" s="19" t="e">
        <f>tbl_MTG_Set[[#This Row],[Collector Singles CardMarket Profit MTG Stocks]]/tbl_MTG_Set[[#This Row],[Collector Booster Cost]]</f>
        <v>#N/A</v>
      </c>
      <c r="BW912" s="10" t="b">
        <f>tbl_MTG_Set[[#This Row],[Collector Singles CardMarket Profit MTG Stocks]]&gt;0</f>
        <v>0</v>
      </c>
      <c r="BX912" s="10"/>
      <c r="BY912" s="10"/>
      <c r="BZ91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2" s="10" t="e">
        <f>tbl_MTG_Set[[#This Row],[Collector Singles CardMarket Profit BotBox]]/tbl_MTG_Set[[#This Row],[Collector Booster Cost]]</f>
        <v>#N/A</v>
      </c>
      <c r="CC912" s="10" t="b">
        <f>tbl_MTG_Set[[#This Row],[Collector Singles CardMarket Profit BotBox]]&gt;0</f>
        <v>0</v>
      </c>
      <c r="CD9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3" spans="1:86" hidden="1">
      <c r="A913">
        <v>945</v>
      </c>
      <c r="B913" t="s">
        <v>1086</v>
      </c>
      <c r="C913">
        <v>11</v>
      </c>
      <c r="D913" s="3">
        <v>36526</v>
      </c>
      <c r="F913" t="s">
        <v>174</v>
      </c>
      <c r="G913">
        <v>1836</v>
      </c>
      <c r="H913">
        <f ca="1">MONTH(NOW())+12*YEAR(NOW())-MONTH(tbl_MTG_Set[[#This Row],[Released On]])-12*YEAR(tbl_MTG_Set[[#This Row],[Released On]])</f>
        <v>314</v>
      </c>
      <c r="I913" t="str">
        <f>_xlfn.XLOOKUP(tbl_MTG_Set[[#This Row],[Type Name]], tbl_MTG_Set_Type[Set Type], tbl_MTG_Set_Type[Index], "(Set Type not found)")</f>
        <v>(Set Type not found)</v>
      </c>
      <c r="J913" t="str">
        <f>_xlfn.XLOOKUP(tbl_MTG_Set[[#This Row],[Type Name]], tbl_MTG_Set_Type[Set Type], tbl_MTG_Set_Type[Buy Window Month Start], "(Set Type not found)")</f>
        <v>(Set Type not found)</v>
      </c>
      <c r="K913" s="3" t="e">
        <f>tbl_MTG_Set[[#This Row],[Released On]]+tbl_MTG_Set[[#This Row],[Buy Window Month Start]]*365.25/12</f>
        <v>#VALUE!</v>
      </c>
      <c r="L913" t="str">
        <f>_xlfn.XLOOKUP(tbl_MTG_Set[[#This Row],[Type Name]], tbl_MTG_Set_Type[Set Type], tbl_MTG_Set_Type[Buy Window Month End], "(Set Type not found)", 0, 1)</f>
        <v>(Set Type not found)</v>
      </c>
      <c r="M913" s="3" t="e">
        <f>tbl_MTG_Set[[#This Row],[Released On]]+tbl_MTG_Set[[#This Row],[Buy Window Month End]]*365.25/12</f>
        <v>#VALUE!</v>
      </c>
      <c r="N913" s="3" t="e">
        <f ca="1">AND(NOW()&gt;=tbl_MTG_Set[[#This Row],[Buy Window Start]], NOW()&lt;=tbl_MTG_Set[[#This Row],[Buy Window End]])</f>
        <v>#VALUE!</v>
      </c>
      <c r="O913" t="str">
        <f>_xlfn.XLOOKUP(tbl_MTG_Set[[#This Row],[Type Name]], tbl_MTG_Set_Type[Set Type], tbl_MTG_Set_Type[Heavy Printing Window Month Start], "(Set Type not found)", 0, 1)</f>
        <v>(Set Type not found)</v>
      </c>
      <c r="P913" s="3" t="e">
        <f>tbl_MTG_Set[[#This Row],[Released On]]+tbl_MTG_Set[[#This Row],[Heavy Printing Window Month Start]]*365.25/12</f>
        <v>#VALUE!</v>
      </c>
      <c r="Q913" t="str">
        <f>_xlfn.XLOOKUP(tbl_MTG_Set[[#This Row],[Type Name]], tbl_MTG_Set_Type[Set Type], tbl_MTG_Set_Type[Heavy Printing Window Month End], "(Set Type not found)", 0, 1)</f>
        <v>(Set Type not found)</v>
      </c>
      <c r="R913" s="3" t="e">
        <f>tbl_MTG_Set[[#This Row],[Released On]]+tbl_MTG_Set[[#This Row],[Heavy Printing Window Month End]]*365.25/12</f>
        <v>#VALUE!</v>
      </c>
      <c r="S913" s="3" t="e">
        <f ca="1">AND(NOW()&gt;=tbl_MTG_Set[[#This Row],[Heavy Printing Window Start]], NOW()&lt;=tbl_MTG_Set[[#This Row],[Heavy Printing Window End]])</f>
        <v>#VALUE!</v>
      </c>
      <c r="T913" t="str">
        <f>_xlfn.XLOOKUP(tbl_MTG_Set[[#This Row],[Type Name]], tbl_MTG_Set_Type[Set Type], tbl_MTG_Set_Type[Sell Window Month Start], "(Set Type not found)", 0, 1)</f>
        <v>(Set Type not found)</v>
      </c>
      <c r="U913" s="3" t="e">
        <f>tbl_MTG_Set[[#This Row],[Released On]]+tbl_MTG_Set[[#This Row],[Sell Window Month Start]]*365.25/12</f>
        <v>#VALUE!</v>
      </c>
      <c r="V913" t="str">
        <f>_xlfn.XLOOKUP(tbl_MTG_Set[[#This Row],[Type Name]], tbl_MTG_Set_Type[Set Type], tbl_MTG_Set_Type[Sell Window Month End], "(Set Type not found)", 0, 1)</f>
        <v>(Set Type not found)</v>
      </c>
      <c r="W913" s="3" t="e">
        <f>tbl_MTG_Set[[#This Row],[Released On]]+tbl_MTG_Set[[#This Row],[Sell Window Month End]]*365.25/12</f>
        <v>#VALUE!</v>
      </c>
      <c r="X913" s="3" t="e">
        <f ca="1">AND(NOW()&gt;=tbl_MTG_Set[[#This Row],[Sell Window Start]], NOW()&lt;=tbl_MTG_Set[[#This Row],[Sell Window End]])</f>
        <v>#VALUE!</v>
      </c>
      <c r="AG913" s="10"/>
      <c r="AH913" s="10"/>
      <c r="AM913" s="10" t="str" cm="1">
        <f t="array" ref="AM9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3" s="10" t="str" cm="1">
        <f t="array" ref="AN9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3" s="4" t="e">
        <f>_xlfn.XLOOKUP(tbl_MTG_Set[[#This Row],[Play Booster Box Product Id]], tbl_Product[Product Id], tbl_Product[Pack Size])</f>
        <v>#N/A</v>
      </c>
      <c r="AP913" s="10" t="e">
        <f>(tbl_MTG_Set[[#This Row],[Play Booster Box Cost]]+v_Item_Shipping_Cost_In)/tbl_MTG_Set[[#This Row],[Play Booster Box Size]]</f>
        <v>#VALUE!</v>
      </c>
      <c r="AQ913" s="10" t="str" cm="1">
        <f t="array" ref="AQ9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3" s="10"/>
      <c r="AS913" s="10"/>
      <c r="AT913" s="17" t="e">
        <f>tbl_MTG_Set[[#This Row],[Play Booster CardMarket Profit]]/tbl_MTG_Set[[#This Row],[Play Booster Cost]]</f>
        <v>#VALUE!</v>
      </c>
      <c r="AU913" s="10" t="e">
        <f>_xlfn.XLOOKUP(tbl_MTG_Set[[#This Row],[Collector Booster Box Product Id]], tbl_Product[Product Id], tbl_Product[Min Cost])</f>
        <v>#N/A</v>
      </c>
      <c r="AV913" s="10" t="e">
        <f>_xlfn.XLOOKUP(tbl_MTG_Set[[#This Row],[Collector Booster Box Product Id]], tbl_Product[Product Id], tbl_Product[Best Source])</f>
        <v>#N/A</v>
      </c>
      <c r="AW913" s="4" t="e">
        <f>_xlfn.XLOOKUP(tbl_MTG_Set[[#This Row],[Collector Booster Box Product Id]], tbl_Product[Product Id], tbl_Product[Pack Size])</f>
        <v>#N/A</v>
      </c>
      <c r="AX913" s="10" t="e">
        <f>(tbl_MTG_Set[[#This Row],[Collector Booster Box Cost]] + v_Item_Shipping_Cost_In) / tbl_MTG_Set[[#This Row],[Collector Booster Box Size]]</f>
        <v>#N/A</v>
      </c>
      <c r="AY913" s="10" t="str" cm="1">
        <f t="array" ref="AY9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3" s="10"/>
      <c r="BA9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3" s="17" t="e">
        <f>tbl_MTG_Set[[#This Row],[Collector Booster CardMarket Profit]]/tbl_MTG_Set[[#This Row],[Collector Booster Cost]]</f>
        <v>#N/A</v>
      </c>
      <c r="BC913" s="10"/>
      <c r="BF91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3" s="11" t="e">
        <f>tbl_MTG_Set[[#This Row],[Play Singles CardMarket Profit MTG Stocks]]/tbl_MTG_Set[[#This Row],[Play Booster Cost]]</f>
        <v>#VALUE!</v>
      </c>
      <c r="BI913" s="11" t="b">
        <f>tbl_MTG_Set[[#This Row],[Play Singles CardMarket Profit MTG Stocks]]&gt;0</f>
        <v>0</v>
      </c>
      <c r="BM913" s="10" t="e">
        <f>tbl_MTG_Set[[#This Row],[Play Booster Sell Price CardMarket]]*tbl_MTG_Set[[#This Row],[Play Booster Expected Market Value BotBox]]/tbl_MTG_Set[[#This Row],[Play Booster Sealed Market Value BotBox]]</f>
        <v>#VALUE!</v>
      </c>
      <c r="BN9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3" s="10" t="e">
        <f>tbl_MTG_Set[[#This Row],[Play Singles CardMarket Profit BotBox]]/tbl_MTG_Set[[#This Row],[Play Booster Cost]]</f>
        <v>#VALUE!</v>
      </c>
      <c r="BP913" s="10" t="b">
        <f>tbl_MTG_Set[[#This Row],[Play Singles CardMarket Profit BotBox]]&gt;0</f>
        <v>0</v>
      </c>
      <c r="BQ913" s="10"/>
      <c r="BR913" s="10"/>
      <c r="BS913" s="10"/>
      <c r="BT91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3" s="19" t="e">
        <f>tbl_MTG_Set[[#This Row],[Collector Singles CardMarket Profit MTG Stocks]]/tbl_MTG_Set[[#This Row],[Collector Booster Cost]]</f>
        <v>#N/A</v>
      </c>
      <c r="BW913" s="10" t="b">
        <f>tbl_MTG_Set[[#This Row],[Collector Singles CardMarket Profit MTG Stocks]]&gt;0</f>
        <v>0</v>
      </c>
      <c r="BX913" s="10"/>
      <c r="BY913" s="10"/>
      <c r="BZ91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3" s="10" t="e">
        <f>tbl_MTG_Set[[#This Row],[Collector Singles CardMarket Profit BotBox]]/tbl_MTG_Set[[#This Row],[Collector Booster Cost]]</f>
        <v>#N/A</v>
      </c>
      <c r="CC913" s="10" t="b">
        <f>tbl_MTG_Set[[#This Row],[Collector Singles CardMarket Profit BotBox]]&gt;0</f>
        <v>0</v>
      </c>
      <c r="CD9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4" spans="1:86" hidden="1">
      <c r="A914">
        <v>946</v>
      </c>
      <c r="B914" t="s">
        <v>1087</v>
      </c>
      <c r="C914">
        <v>18</v>
      </c>
      <c r="D914" s="3">
        <v>36495</v>
      </c>
      <c r="F914" t="s">
        <v>174</v>
      </c>
      <c r="G914">
        <v>1838</v>
      </c>
      <c r="H914">
        <f ca="1">MONTH(NOW())+12*YEAR(NOW())-MONTH(tbl_MTG_Set[[#This Row],[Released On]])-12*YEAR(tbl_MTG_Set[[#This Row],[Released On]])</f>
        <v>315</v>
      </c>
      <c r="I914" t="str">
        <f>_xlfn.XLOOKUP(tbl_MTG_Set[[#This Row],[Type Name]], tbl_MTG_Set_Type[Set Type], tbl_MTG_Set_Type[Index], "(Set Type not found)")</f>
        <v>(Set Type not found)</v>
      </c>
      <c r="J914" t="str">
        <f>_xlfn.XLOOKUP(tbl_MTG_Set[[#This Row],[Type Name]], tbl_MTG_Set_Type[Set Type], tbl_MTG_Set_Type[Buy Window Month Start], "(Set Type not found)")</f>
        <v>(Set Type not found)</v>
      </c>
      <c r="K914" s="3" t="e">
        <f>tbl_MTG_Set[[#This Row],[Released On]]+tbl_MTG_Set[[#This Row],[Buy Window Month Start]]*365.25/12</f>
        <v>#VALUE!</v>
      </c>
      <c r="L914" t="str">
        <f>_xlfn.XLOOKUP(tbl_MTG_Set[[#This Row],[Type Name]], tbl_MTG_Set_Type[Set Type], tbl_MTG_Set_Type[Buy Window Month End], "(Set Type not found)", 0, 1)</f>
        <v>(Set Type not found)</v>
      </c>
      <c r="M914" s="3" t="e">
        <f>tbl_MTG_Set[[#This Row],[Released On]]+tbl_MTG_Set[[#This Row],[Buy Window Month End]]*365.25/12</f>
        <v>#VALUE!</v>
      </c>
      <c r="N914" s="3" t="e">
        <f ca="1">AND(NOW()&gt;=tbl_MTG_Set[[#This Row],[Buy Window Start]], NOW()&lt;=tbl_MTG_Set[[#This Row],[Buy Window End]])</f>
        <v>#VALUE!</v>
      </c>
      <c r="O914" t="str">
        <f>_xlfn.XLOOKUP(tbl_MTG_Set[[#This Row],[Type Name]], tbl_MTG_Set_Type[Set Type], tbl_MTG_Set_Type[Heavy Printing Window Month Start], "(Set Type not found)", 0, 1)</f>
        <v>(Set Type not found)</v>
      </c>
      <c r="P914" s="3" t="e">
        <f>tbl_MTG_Set[[#This Row],[Released On]]+tbl_MTG_Set[[#This Row],[Heavy Printing Window Month Start]]*365.25/12</f>
        <v>#VALUE!</v>
      </c>
      <c r="Q914" t="str">
        <f>_xlfn.XLOOKUP(tbl_MTG_Set[[#This Row],[Type Name]], tbl_MTG_Set_Type[Set Type], tbl_MTG_Set_Type[Heavy Printing Window Month End], "(Set Type not found)", 0, 1)</f>
        <v>(Set Type not found)</v>
      </c>
      <c r="R914" s="3" t="e">
        <f>tbl_MTG_Set[[#This Row],[Released On]]+tbl_MTG_Set[[#This Row],[Heavy Printing Window Month End]]*365.25/12</f>
        <v>#VALUE!</v>
      </c>
      <c r="S914" s="3" t="e">
        <f ca="1">AND(NOW()&gt;=tbl_MTG_Set[[#This Row],[Heavy Printing Window Start]], NOW()&lt;=tbl_MTG_Set[[#This Row],[Heavy Printing Window End]])</f>
        <v>#VALUE!</v>
      </c>
      <c r="T914" t="str">
        <f>_xlfn.XLOOKUP(tbl_MTG_Set[[#This Row],[Type Name]], tbl_MTG_Set_Type[Set Type], tbl_MTG_Set_Type[Sell Window Month Start], "(Set Type not found)", 0, 1)</f>
        <v>(Set Type not found)</v>
      </c>
      <c r="U914" s="3" t="e">
        <f>tbl_MTG_Set[[#This Row],[Released On]]+tbl_MTG_Set[[#This Row],[Sell Window Month Start]]*365.25/12</f>
        <v>#VALUE!</v>
      </c>
      <c r="V914" t="str">
        <f>_xlfn.XLOOKUP(tbl_MTG_Set[[#This Row],[Type Name]], tbl_MTG_Set_Type[Set Type], tbl_MTG_Set_Type[Sell Window Month End], "(Set Type not found)", 0, 1)</f>
        <v>(Set Type not found)</v>
      </c>
      <c r="W914" s="3" t="e">
        <f>tbl_MTG_Set[[#This Row],[Released On]]+tbl_MTG_Set[[#This Row],[Sell Window Month End]]*365.25/12</f>
        <v>#VALUE!</v>
      </c>
      <c r="X914" s="3" t="e">
        <f ca="1">AND(NOW()&gt;=tbl_MTG_Set[[#This Row],[Sell Window Start]], NOW()&lt;=tbl_MTG_Set[[#This Row],[Sell Window End]])</f>
        <v>#VALUE!</v>
      </c>
      <c r="AG914" s="10"/>
      <c r="AH914" s="10"/>
      <c r="AM914" s="10" t="str" cm="1">
        <f t="array" ref="AM9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4" s="10" t="str" cm="1">
        <f t="array" ref="AN9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4" s="4" t="e">
        <f>_xlfn.XLOOKUP(tbl_MTG_Set[[#This Row],[Play Booster Box Product Id]], tbl_Product[Product Id], tbl_Product[Pack Size])</f>
        <v>#N/A</v>
      </c>
      <c r="AP914" s="10" t="e">
        <f>(tbl_MTG_Set[[#This Row],[Play Booster Box Cost]]+v_Item_Shipping_Cost_In)/tbl_MTG_Set[[#This Row],[Play Booster Box Size]]</f>
        <v>#VALUE!</v>
      </c>
      <c r="AQ914" s="10" t="str" cm="1">
        <f t="array" ref="AQ9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4" s="10"/>
      <c r="AS914" s="10"/>
      <c r="AT914" s="17" t="e">
        <f>tbl_MTG_Set[[#This Row],[Play Booster CardMarket Profit]]/tbl_MTG_Set[[#This Row],[Play Booster Cost]]</f>
        <v>#VALUE!</v>
      </c>
      <c r="AU914" s="10" t="e">
        <f>_xlfn.XLOOKUP(tbl_MTG_Set[[#This Row],[Collector Booster Box Product Id]], tbl_Product[Product Id], tbl_Product[Min Cost])</f>
        <v>#N/A</v>
      </c>
      <c r="AV914" s="10" t="e">
        <f>_xlfn.XLOOKUP(tbl_MTG_Set[[#This Row],[Collector Booster Box Product Id]], tbl_Product[Product Id], tbl_Product[Best Source])</f>
        <v>#N/A</v>
      </c>
      <c r="AW914" s="4" t="e">
        <f>_xlfn.XLOOKUP(tbl_MTG_Set[[#This Row],[Collector Booster Box Product Id]], tbl_Product[Product Id], tbl_Product[Pack Size])</f>
        <v>#N/A</v>
      </c>
      <c r="AX914" s="10" t="e">
        <f>(tbl_MTG_Set[[#This Row],[Collector Booster Box Cost]] + v_Item_Shipping_Cost_In) / tbl_MTG_Set[[#This Row],[Collector Booster Box Size]]</f>
        <v>#N/A</v>
      </c>
      <c r="AY914" s="10" t="str" cm="1">
        <f t="array" ref="AY9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4" s="10"/>
      <c r="BA9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4" s="17" t="e">
        <f>tbl_MTG_Set[[#This Row],[Collector Booster CardMarket Profit]]/tbl_MTG_Set[[#This Row],[Collector Booster Cost]]</f>
        <v>#N/A</v>
      </c>
      <c r="BC914" s="10"/>
      <c r="BF91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4" s="11" t="e">
        <f>tbl_MTG_Set[[#This Row],[Play Singles CardMarket Profit MTG Stocks]]/tbl_MTG_Set[[#This Row],[Play Booster Cost]]</f>
        <v>#VALUE!</v>
      </c>
      <c r="BI914" s="11" t="b">
        <f>tbl_MTG_Set[[#This Row],[Play Singles CardMarket Profit MTG Stocks]]&gt;0</f>
        <v>0</v>
      </c>
      <c r="BM914" s="10" t="e">
        <f>tbl_MTG_Set[[#This Row],[Play Booster Sell Price CardMarket]]*tbl_MTG_Set[[#This Row],[Play Booster Expected Market Value BotBox]]/tbl_MTG_Set[[#This Row],[Play Booster Sealed Market Value BotBox]]</f>
        <v>#VALUE!</v>
      </c>
      <c r="BN9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4" s="10" t="e">
        <f>tbl_MTG_Set[[#This Row],[Play Singles CardMarket Profit BotBox]]/tbl_MTG_Set[[#This Row],[Play Booster Cost]]</f>
        <v>#VALUE!</v>
      </c>
      <c r="BP914" s="10" t="b">
        <f>tbl_MTG_Set[[#This Row],[Play Singles CardMarket Profit BotBox]]&gt;0</f>
        <v>0</v>
      </c>
      <c r="BQ914" s="10"/>
      <c r="BR914" s="10"/>
      <c r="BS914" s="10"/>
      <c r="BT91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4" s="19" t="e">
        <f>tbl_MTG_Set[[#This Row],[Collector Singles CardMarket Profit MTG Stocks]]/tbl_MTG_Set[[#This Row],[Collector Booster Cost]]</f>
        <v>#N/A</v>
      </c>
      <c r="BW914" s="10" t="b">
        <f>tbl_MTG_Set[[#This Row],[Collector Singles CardMarket Profit MTG Stocks]]&gt;0</f>
        <v>0</v>
      </c>
      <c r="BX914" s="10"/>
      <c r="BY914" s="10"/>
      <c r="BZ91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4" s="10" t="e">
        <f>tbl_MTG_Set[[#This Row],[Collector Singles CardMarket Profit BotBox]]/tbl_MTG_Set[[#This Row],[Collector Booster Cost]]</f>
        <v>#N/A</v>
      </c>
      <c r="CC914" s="10" t="b">
        <f>tbl_MTG_Set[[#This Row],[Collector Singles CardMarket Profit BotBox]]&gt;0</f>
        <v>0</v>
      </c>
      <c r="CD9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5" spans="1:86" hidden="1">
      <c r="A915">
        <v>947</v>
      </c>
      <c r="B915" t="s">
        <v>1088</v>
      </c>
      <c r="C915">
        <v>136</v>
      </c>
      <c r="D915" s="3">
        <v>36476</v>
      </c>
      <c r="F915" t="s">
        <v>174</v>
      </c>
      <c r="G915">
        <v>1840</v>
      </c>
      <c r="H915">
        <f ca="1">MONTH(NOW())+12*YEAR(NOW())-MONTH(tbl_MTG_Set[[#This Row],[Released On]])-12*YEAR(tbl_MTG_Set[[#This Row],[Released On]])</f>
        <v>316</v>
      </c>
      <c r="I915" t="str">
        <f>_xlfn.XLOOKUP(tbl_MTG_Set[[#This Row],[Type Name]], tbl_MTG_Set_Type[Set Type], tbl_MTG_Set_Type[Index], "(Set Type not found)")</f>
        <v>(Set Type not found)</v>
      </c>
      <c r="J915" t="str">
        <f>_xlfn.XLOOKUP(tbl_MTG_Set[[#This Row],[Type Name]], tbl_MTG_Set_Type[Set Type], tbl_MTG_Set_Type[Buy Window Month Start], "(Set Type not found)")</f>
        <v>(Set Type not found)</v>
      </c>
      <c r="K915" s="3" t="e">
        <f>tbl_MTG_Set[[#This Row],[Released On]]+tbl_MTG_Set[[#This Row],[Buy Window Month Start]]*365.25/12</f>
        <v>#VALUE!</v>
      </c>
      <c r="L915" t="str">
        <f>_xlfn.XLOOKUP(tbl_MTG_Set[[#This Row],[Type Name]], tbl_MTG_Set_Type[Set Type], tbl_MTG_Set_Type[Buy Window Month End], "(Set Type not found)", 0, 1)</f>
        <v>(Set Type not found)</v>
      </c>
      <c r="M915" s="3" t="e">
        <f>tbl_MTG_Set[[#This Row],[Released On]]+tbl_MTG_Set[[#This Row],[Buy Window Month End]]*365.25/12</f>
        <v>#VALUE!</v>
      </c>
      <c r="N915" s="3" t="e">
        <f ca="1">AND(NOW()&gt;=tbl_MTG_Set[[#This Row],[Buy Window Start]], NOW()&lt;=tbl_MTG_Set[[#This Row],[Buy Window End]])</f>
        <v>#VALUE!</v>
      </c>
      <c r="O915" t="str">
        <f>_xlfn.XLOOKUP(tbl_MTG_Set[[#This Row],[Type Name]], tbl_MTG_Set_Type[Set Type], tbl_MTG_Set_Type[Heavy Printing Window Month Start], "(Set Type not found)", 0, 1)</f>
        <v>(Set Type not found)</v>
      </c>
      <c r="P915" s="3" t="e">
        <f>tbl_MTG_Set[[#This Row],[Released On]]+tbl_MTG_Set[[#This Row],[Heavy Printing Window Month Start]]*365.25/12</f>
        <v>#VALUE!</v>
      </c>
      <c r="Q915" t="str">
        <f>_xlfn.XLOOKUP(tbl_MTG_Set[[#This Row],[Type Name]], tbl_MTG_Set_Type[Set Type], tbl_MTG_Set_Type[Heavy Printing Window Month End], "(Set Type not found)", 0, 1)</f>
        <v>(Set Type not found)</v>
      </c>
      <c r="R915" s="3" t="e">
        <f>tbl_MTG_Set[[#This Row],[Released On]]+tbl_MTG_Set[[#This Row],[Heavy Printing Window Month End]]*365.25/12</f>
        <v>#VALUE!</v>
      </c>
      <c r="S915" s="3" t="e">
        <f ca="1">AND(NOW()&gt;=tbl_MTG_Set[[#This Row],[Heavy Printing Window Start]], NOW()&lt;=tbl_MTG_Set[[#This Row],[Heavy Printing Window End]])</f>
        <v>#VALUE!</v>
      </c>
      <c r="T915" t="str">
        <f>_xlfn.XLOOKUP(tbl_MTG_Set[[#This Row],[Type Name]], tbl_MTG_Set_Type[Set Type], tbl_MTG_Set_Type[Sell Window Month Start], "(Set Type not found)", 0, 1)</f>
        <v>(Set Type not found)</v>
      </c>
      <c r="U915" s="3" t="e">
        <f>tbl_MTG_Set[[#This Row],[Released On]]+tbl_MTG_Set[[#This Row],[Sell Window Month Start]]*365.25/12</f>
        <v>#VALUE!</v>
      </c>
      <c r="V915" t="str">
        <f>_xlfn.XLOOKUP(tbl_MTG_Set[[#This Row],[Type Name]], tbl_MTG_Set_Type[Set Type], tbl_MTG_Set_Type[Sell Window Month End], "(Set Type not found)", 0, 1)</f>
        <v>(Set Type not found)</v>
      </c>
      <c r="W915" s="3" t="e">
        <f>tbl_MTG_Set[[#This Row],[Released On]]+tbl_MTG_Set[[#This Row],[Sell Window Month End]]*365.25/12</f>
        <v>#VALUE!</v>
      </c>
      <c r="X915" s="3" t="e">
        <f ca="1">AND(NOW()&gt;=tbl_MTG_Set[[#This Row],[Sell Window Start]], NOW()&lt;=tbl_MTG_Set[[#This Row],[Sell Window End]])</f>
        <v>#VALUE!</v>
      </c>
      <c r="AG915" s="10"/>
      <c r="AH915" s="10"/>
      <c r="AM915" s="10" t="str" cm="1">
        <f t="array" ref="AM9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5" s="10" t="str" cm="1">
        <f t="array" ref="AN9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5" s="4" t="e">
        <f>_xlfn.XLOOKUP(tbl_MTG_Set[[#This Row],[Play Booster Box Product Id]], tbl_Product[Product Id], tbl_Product[Pack Size])</f>
        <v>#N/A</v>
      </c>
      <c r="AP915" s="10" t="e">
        <f>(tbl_MTG_Set[[#This Row],[Play Booster Box Cost]]+v_Item_Shipping_Cost_In)/tbl_MTG_Set[[#This Row],[Play Booster Box Size]]</f>
        <v>#VALUE!</v>
      </c>
      <c r="AQ915" s="10" t="str" cm="1">
        <f t="array" ref="AQ9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5" s="10"/>
      <c r="AS915" s="10"/>
      <c r="AT915" s="17" t="e">
        <f>tbl_MTG_Set[[#This Row],[Play Booster CardMarket Profit]]/tbl_MTG_Set[[#This Row],[Play Booster Cost]]</f>
        <v>#VALUE!</v>
      </c>
      <c r="AU915" s="10" t="e">
        <f>_xlfn.XLOOKUP(tbl_MTG_Set[[#This Row],[Collector Booster Box Product Id]], tbl_Product[Product Id], tbl_Product[Min Cost])</f>
        <v>#N/A</v>
      </c>
      <c r="AV915" s="10" t="e">
        <f>_xlfn.XLOOKUP(tbl_MTG_Set[[#This Row],[Collector Booster Box Product Id]], tbl_Product[Product Id], tbl_Product[Best Source])</f>
        <v>#N/A</v>
      </c>
      <c r="AW915" s="4" t="e">
        <f>_xlfn.XLOOKUP(tbl_MTG_Set[[#This Row],[Collector Booster Box Product Id]], tbl_Product[Product Id], tbl_Product[Pack Size])</f>
        <v>#N/A</v>
      </c>
      <c r="AX915" s="10" t="e">
        <f>(tbl_MTG_Set[[#This Row],[Collector Booster Box Cost]] + v_Item_Shipping_Cost_In) / tbl_MTG_Set[[#This Row],[Collector Booster Box Size]]</f>
        <v>#N/A</v>
      </c>
      <c r="AY915" s="10" t="str" cm="1">
        <f t="array" ref="AY9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5" s="10"/>
      <c r="BA9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5" s="17" t="e">
        <f>tbl_MTG_Set[[#This Row],[Collector Booster CardMarket Profit]]/tbl_MTG_Set[[#This Row],[Collector Booster Cost]]</f>
        <v>#N/A</v>
      </c>
      <c r="BC915" s="10"/>
      <c r="BF91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5" s="11" t="e">
        <f>tbl_MTG_Set[[#This Row],[Play Singles CardMarket Profit MTG Stocks]]/tbl_MTG_Set[[#This Row],[Play Booster Cost]]</f>
        <v>#VALUE!</v>
      </c>
      <c r="BI915" s="11" t="b">
        <f>tbl_MTG_Set[[#This Row],[Play Singles CardMarket Profit MTG Stocks]]&gt;0</f>
        <v>0</v>
      </c>
      <c r="BM915" s="10" t="e">
        <f>tbl_MTG_Set[[#This Row],[Play Booster Sell Price CardMarket]]*tbl_MTG_Set[[#This Row],[Play Booster Expected Market Value BotBox]]/tbl_MTG_Set[[#This Row],[Play Booster Sealed Market Value BotBox]]</f>
        <v>#VALUE!</v>
      </c>
      <c r="BN9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5" s="10" t="e">
        <f>tbl_MTG_Set[[#This Row],[Play Singles CardMarket Profit BotBox]]/tbl_MTG_Set[[#This Row],[Play Booster Cost]]</f>
        <v>#VALUE!</v>
      </c>
      <c r="BP915" s="10" t="b">
        <f>tbl_MTG_Set[[#This Row],[Play Singles CardMarket Profit BotBox]]&gt;0</f>
        <v>0</v>
      </c>
      <c r="BQ915" s="10"/>
      <c r="BR915" s="10"/>
      <c r="BS915" s="10"/>
      <c r="BT91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5" s="19" t="e">
        <f>tbl_MTG_Set[[#This Row],[Collector Singles CardMarket Profit MTG Stocks]]/tbl_MTG_Set[[#This Row],[Collector Booster Cost]]</f>
        <v>#N/A</v>
      </c>
      <c r="BW915" s="10" t="b">
        <f>tbl_MTG_Set[[#This Row],[Collector Singles CardMarket Profit MTG Stocks]]&gt;0</f>
        <v>0</v>
      </c>
      <c r="BX915" s="10"/>
      <c r="BY915" s="10"/>
      <c r="BZ91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5" s="10" t="e">
        <f>tbl_MTG_Set[[#This Row],[Collector Singles CardMarket Profit BotBox]]/tbl_MTG_Set[[#This Row],[Collector Booster Cost]]</f>
        <v>#N/A</v>
      </c>
      <c r="CC915" s="10" t="b">
        <f>tbl_MTG_Set[[#This Row],[Collector Singles CardMarket Profit BotBox]]&gt;0</f>
        <v>0</v>
      </c>
      <c r="CD9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6" spans="1:86" hidden="1">
      <c r="A916">
        <v>948</v>
      </c>
      <c r="B916" t="s">
        <v>1089</v>
      </c>
      <c r="C916">
        <v>350</v>
      </c>
      <c r="D916" s="3">
        <v>36437</v>
      </c>
      <c r="F916" t="s">
        <v>174</v>
      </c>
      <c r="G916">
        <v>1842</v>
      </c>
      <c r="H916">
        <f ca="1">MONTH(NOW())+12*YEAR(NOW())-MONTH(tbl_MTG_Set[[#This Row],[Released On]])-12*YEAR(tbl_MTG_Set[[#This Row],[Released On]])</f>
        <v>317</v>
      </c>
      <c r="I916" t="str">
        <f>_xlfn.XLOOKUP(tbl_MTG_Set[[#This Row],[Type Name]], tbl_MTG_Set_Type[Set Type], tbl_MTG_Set_Type[Index], "(Set Type not found)")</f>
        <v>(Set Type not found)</v>
      </c>
      <c r="J916" t="str">
        <f>_xlfn.XLOOKUP(tbl_MTG_Set[[#This Row],[Type Name]], tbl_MTG_Set_Type[Set Type], tbl_MTG_Set_Type[Buy Window Month Start], "(Set Type not found)")</f>
        <v>(Set Type not found)</v>
      </c>
      <c r="K916" s="3" t="e">
        <f>tbl_MTG_Set[[#This Row],[Released On]]+tbl_MTG_Set[[#This Row],[Buy Window Month Start]]*365.25/12</f>
        <v>#VALUE!</v>
      </c>
      <c r="L916" t="str">
        <f>_xlfn.XLOOKUP(tbl_MTG_Set[[#This Row],[Type Name]], tbl_MTG_Set_Type[Set Type], tbl_MTG_Set_Type[Buy Window Month End], "(Set Type not found)", 0, 1)</f>
        <v>(Set Type not found)</v>
      </c>
      <c r="M916" s="3" t="e">
        <f>tbl_MTG_Set[[#This Row],[Released On]]+tbl_MTG_Set[[#This Row],[Buy Window Month End]]*365.25/12</f>
        <v>#VALUE!</v>
      </c>
      <c r="N916" s="3" t="e">
        <f ca="1">AND(NOW()&gt;=tbl_MTG_Set[[#This Row],[Buy Window Start]], NOW()&lt;=tbl_MTG_Set[[#This Row],[Buy Window End]])</f>
        <v>#VALUE!</v>
      </c>
      <c r="O916" t="str">
        <f>_xlfn.XLOOKUP(tbl_MTG_Set[[#This Row],[Type Name]], tbl_MTG_Set_Type[Set Type], tbl_MTG_Set_Type[Heavy Printing Window Month Start], "(Set Type not found)", 0, 1)</f>
        <v>(Set Type not found)</v>
      </c>
      <c r="P916" s="3" t="e">
        <f>tbl_MTG_Set[[#This Row],[Released On]]+tbl_MTG_Set[[#This Row],[Heavy Printing Window Month Start]]*365.25/12</f>
        <v>#VALUE!</v>
      </c>
      <c r="Q916" t="str">
        <f>_xlfn.XLOOKUP(tbl_MTG_Set[[#This Row],[Type Name]], tbl_MTG_Set_Type[Set Type], tbl_MTG_Set_Type[Heavy Printing Window Month End], "(Set Type not found)", 0, 1)</f>
        <v>(Set Type not found)</v>
      </c>
      <c r="R916" s="3" t="e">
        <f>tbl_MTG_Set[[#This Row],[Released On]]+tbl_MTG_Set[[#This Row],[Heavy Printing Window Month End]]*365.25/12</f>
        <v>#VALUE!</v>
      </c>
      <c r="S916" s="3" t="e">
        <f ca="1">AND(NOW()&gt;=tbl_MTG_Set[[#This Row],[Heavy Printing Window Start]], NOW()&lt;=tbl_MTG_Set[[#This Row],[Heavy Printing Window End]])</f>
        <v>#VALUE!</v>
      </c>
      <c r="T916" t="str">
        <f>_xlfn.XLOOKUP(tbl_MTG_Set[[#This Row],[Type Name]], tbl_MTG_Set_Type[Set Type], tbl_MTG_Set_Type[Sell Window Month Start], "(Set Type not found)", 0, 1)</f>
        <v>(Set Type not found)</v>
      </c>
      <c r="U916" s="3" t="e">
        <f>tbl_MTG_Set[[#This Row],[Released On]]+tbl_MTG_Set[[#This Row],[Sell Window Month Start]]*365.25/12</f>
        <v>#VALUE!</v>
      </c>
      <c r="V916" t="str">
        <f>_xlfn.XLOOKUP(tbl_MTG_Set[[#This Row],[Type Name]], tbl_MTG_Set_Type[Set Type], tbl_MTG_Set_Type[Sell Window Month End], "(Set Type not found)", 0, 1)</f>
        <v>(Set Type not found)</v>
      </c>
      <c r="W916" s="3" t="e">
        <f>tbl_MTG_Set[[#This Row],[Released On]]+tbl_MTG_Set[[#This Row],[Sell Window Month End]]*365.25/12</f>
        <v>#VALUE!</v>
      </c>
      <c r="X916" s="3" t="e">
        <f ca="1">AND(NOW()&gt;=tbl_MTG_Set[[#This Row],[Sell Window Start]], NOW()&lt;=tbl_MTG_Set[[#This Row],[Sell Window End]])</f>
        <v>#VALUE!</v>
      </c>
      <c r="AG916" s="10"/>
      <c r="AH916" s="10"/>
      <c r="AM916" s="10" t="str" cm="1">
        <f t="array" ref="AM9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6" s="10" t="str" cm="1">
        <f t="array" ref="AN9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6" s="4" t="e">
        <f>_xlfn.XLOOKUP(tbl_MTG_Set[[#This Row],[Play Booster Box Product Id]], tbl_Product[Product Id], tbl_Product[Pack Size])</f>
        <v>#N/A</v>
      </c>
      <c r="AP916" s="10" t="e">
        <f>(tbl_MTG_Set[[#This Row],[Play Booster Box Cost]]+v_Item_Shipping_Cost_In)/tbl_MTG_Set[[#This Row],[Play Booster Box Size]]</f>
        <v>#VALUE!</v>
      </c>
      <c r="AQ916" s="10" t="str" cm="1">
        <f t="array" ref="AQ9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6" s="10"/>
      <c r="AS916" s="10"/>
      <c r="AT916" s="17" t="e">
        <f>tbl_MTG_Set[[#This Row],[Play Booster CardMarket Profit]]/tbl_MTG_Set[[#This Row],[Play Booster Cost]]</f>
        <v>#VALUE!</v>
      </c>
      <c r="AU916" s="10" t="e">
        <f>_xlfn.XLOOKUP(tbl_MTG_Set[[#This Row],[Collector Booster Box Product Id]], tbl_Product[Product Id], tbl_Product[Min Cost])</f>
        <v>#N/A</v>
      </c>
      <c r="AV916" s="10" t="e">
        <f>_xlfn.XLOOKUP(tbl_MTG_Set[[#This Row],[Collector Booster Box Product Id]], tbl_Product[Product Id], tbl_Product[Best Source])</f>
        <v>#N/A</v>
      </c>
      <c r="AW916" s="4" t="e">
        <f>_xlfn.XLOOKUP(tbl_MTG_Set[[#This Row],[Collector Booster Box Product Id]], tbl_Product[Product Id], tbl_Product[Pack Size])</f>
        <v>#N/A</v>
      </c>
      <c r="AX916" s="10" t="e">
        <f>(tbl_MTG_Set[[#This Row],[Collector Booster Box Cost]] + v_Item_Shipping_Cost_In) / tbl_MTG_Set[[#This Row],[Collector Booster Box Size]]</f>
        <v>#N/A</v>
      </c>
      <c r="AY916" s="10" t="str" cm="1">
        <f t="array" ref="AY9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6" s="10"/>
      <c r="BA9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6" s="17" t="e">
        <f>tbl_MTG_Set[[#This Row],[Collector Booster CardMarket Profit]]/tbl_MTG_Set[[#This Row],[Collector Booster Cost]]</f>
        <v>#N/A</v>
      </c>
      <c r="BC916" s="10"/>
      <c r="BF91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6" s="11" t="e">
        <f>tbl_MTG_Set[[#This Row],[Play Singles CardMarket Profit MTG Stocks]]/tbl_MTG_Set[[#This Row],[Play Booster Cost]]</f>
        <v>#VALUE!</v>
      </c>
      <c r="BI916" s="11" t="b">
        <f>tbl_MTG_Set[[#This Row],[Play Singles CardMarket Profit MTG Stocks]]&gt;0</f>
        <v>0</v>
      </c>
      <c r="BM916" s="10" t="e">
        <f>tbl_MTG_Set[[#This Row],[Play Booster Sell Price CardMarket]]*tbl_MTG_Set[[#This Row],[Play Booster Expected Market Value BotBox]]/tbl_MTG_Set[[#This Row],[Play Booster Sealed Market Value BotBox]]</f>
        <v>#VALUE!</v>
      </c>
      <c r="BN9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6" s="10" t="e">
        <f>tbl_MTG_Set[[#This Row],[Play Singles CardMarket Profit BotBox]]/tbl_MTG_Set[[#This Row],[Play Booster Cost]]</f>
        <v>#VALUE!</v>
      </c>
      <c r="BP916" s="10" t="b">
        <f>tbl_MTG_Set[[#This Row],[Play Singles CardMarket Profit BotBox]]&gt;0</f>
        <v>0</v>
      </c>
      <c r="BQ916" s="10"/>
      <c r="BR916" s="10"/>
      <c r="BS916" s="10"/>
      <c r="BT91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6" s="19" t="e">
        <f>tbl_MTG_Set[[#This Row],[Collector Singles CardMarket Profit MTG Stocks]]/tbl_MTG_Set[[#This Row],[Collector Booster Cost]]</f>
        <v>#N/A</v>
      </c>
      <c r="BW916" s="10" t="b">
        <f>tbl_MTG_Set[[#This Row],[Collector Singles CardMarket Profit MTG Stocks]]&gt;0</f>
        <v>0</v>
      </c>
      <c r="BX916" s="10"/>
      <c r="BY916" s="10"/>
      <c r="BZ91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6" s="10" t="e">
        <f>tbl_MTG_Set[[#This Row],[Collector Singles CardMarket Profit BotBox]]/tbl_MTG_Set[[#This Row],[Collector Booster Cost]]</f>
        <v>#N/A</v>
      </c>
      <c r="CC916" s="10" t="b">
        <f>tbl_MTG_Set[[#This Row],[Collector Singles CardMarket Profit BotBox]]&gt;0</f>
        <v>0</v>
      </c>
      <c r="CD9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7" spans="1:86" hidden="1">
      <c r="A917">
        <v>949</v>
      </c>
      <c r="B917" t="s">
        <v>1090</v>
      </c>
      <c r="C917">
        <v>1</v>
      </c>
      <c r="D917" s="3">
        <v>36437</v>
      </c>
      <c r="F917" t="s">
        <v>174</v>
      </c>
      <c r="G917">
        <v>1844</v>
      </c>
      <c r="H917">
        <f ca="1">MONTH(NOW())+12*YEAR(NOW())-MONTH(tbl_MTG_Set[[#This Row],[Released On]])-12*YEAR(tbl_MTG_Set[[#This Row],[Released On]])</f>
        <v>317</v>
      </c>
      <c r="I917" t="str">
        <f>_xlfn.XLOOKUP(tbl_MTG_Set[[#This Row],[Type Name]], tbl_MTG_Set_Type[Set Type], tbl_MTG_Set_Type[Index], "(Set Type not found)")</f>
        <v>(Set Type not found)</v>
      </c>
      <c r="J917" t="str">
        <f>_xlfn.XLOOKUP(tbl_MTG_Set[[#This Row],[Type Name]], tbl_MTG_Set_Type[Set Type], tbl_MTG_Set_Type[Buy Window Month Start], "(Set Type not found)")</f>
        <v>(Set Type not found)</v>
      </c>
      <c r="K917" s="3" t="e">
        <f>tbl_MTG_Set[[#This Row],[Released On]]+tbl_MTG_Set[[#This Row],[Buy Window Month Start]]*365.25/12</f>
        <v>#VALUE!</v>
      </c>
      <c r="L917" t="str">
        <f>_xlfn.XLOOKUP(tbl_MTG_Set[[#This Row],[Type Name]], tbl_MTG_Set_Type[Set Type], tbl_MTG_Set_Type[Buy Window Month End], "(Set Type not found)", 0, 1)</f>
        <v>(Set Type not found)</v>
      </c>
      <c r="M917" s="3" t="e">
        <f>tbl_MTG_Set[[#This Row],[Released On]]+tbl_MTG_Set[[#This Row],[Buy Window Month End]]*365.25/12</f>
        <v>#VALUE!</v>
      </c>
      <c r="N917" s="3" t="e">
        <f ca="1">AND(NOW()&gt;=tbl_MTG_Set[[#This Row],[Buy Window Start]], NOW()&lt;=tbl_MTG_Set[[#This Row],[Buy Window End]])</f>
        <v>#VALUE!</v>
      </c>
      <c r="O917" t="str">
        <f>_xlfn.XLOOKUP(tbl_MTG_Set[[#This Row],[Type Name]], tbl_MTG_Set_Type[Set Type], tbl_MTG_Set_Type[Heavy Printing Window Month Start], "(Set Type not found)", 0, 1)</f>
        <v>(Set Type not found)</v>
      </c>
      <c r="P917" s="3" t="e">
        <f>tbl_MTG_Set[[#This Row],[Released On]]+tbl_MTG_Set[[#This Row],[Heavy Printing Window Month Start]]*365.25/12</f>
        <v>#VALUE!</v>
      </c>
      <c r="Q917" t="str">
        <f>_xlfn.XLOOKUP(tbl_MTG_Set[[#This Row],[Type Name]], tbl_MTG_Set_Type[Set Type], tbl_MTG_Set_Type[Heavy Printing Window Month End], "(Set Type not found)", 0, 1)</f>
        <v>(Set Type not found)</v>
      </c>
      <c r="R917" s="3" t="e">
        <f>tbl_MTG_Set[[#This Row],[Released On]]+tbl_MTG_Set[[#This Row],[Heavy Printing Window Month End]]*365.25/12</f>
        <v>#VALUE!</v>
      </c>
      <c r="S917" s="3" t="e">
        <f ca="1">AND(NOW()&gt;=tbl_MTG_Set[[#This Row],[Heavy Printing Window Start]], NOW()&lt;=tbl_MTG_Set[[#This Row],[Heavy Printing Window End]])</f>
        <v>#VALUE!</v>
      </c>
      <c r="T917" t="str">
        <f>_xlfn.XLOOKUP(tbl_MTG_Set[[#This Row],[Type Name]], tbl_MTG_Set_Type[Set Type], tbl_MTG_Set_Type[Sell Window Month Start], "(Set Type not found)", 0, 1)</f>
        <v>(Set Type not found)</v>
      </c>
      <c r="U917" s="3" t="e">
        <f>tbl_MTG_Set[[#This Row],[Released On]]+tbl_MTG_Set[[#This Row],[Sell Window Month Start]]*365.25/12</f>
        <v>#VALUE!</v>
      </c>
      <c r="V917" t="str">
        <f>_xlfn.XLOOKUP(tbl_MTG_Set[[#This Row],[Type Name]], tbl_MTG_Set_Type[Set Type], tbl_MTG_Set_Type[Sell Window Month End], "(Set Type not found)", 0, 1)</f>
        <v>(Set Type not found)</v>
      </c>
      <c r="W917" s="3" t="e">
        <f>tbl_MTG_Set[[#This Row],[Released On]]+tbl_MTG_Set[[#This Row],[Sell Window Month End]]*365.25/12</f>
        <v>#VALUE!</v>
      </c>
      <c r="X917" s="3" t="e">
        <f ca="1">AND(NOW()&gt;=tbl_MTG_Set[[#This Row],[Sell Window Start]], NOW()&lt;=tbl_MTG_Set[[#This Row],[Sell Window End]])</f>
        <v>#VALUE!</v>
      </c>
      <c r="AG917" s="10"/>
      <c r="AH917" s="10"/>
      <c r="AM917" s="10" t="str" cm="1">
        <f t="array" ref="AM9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7" s="10" t="str" cm="1">
        <f t="array" ref="AN9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7" s="4" t="e">
        <f>_xlfn.XLOOKUP(tbl_MTG_Set[[#This Row],[Play Booster Box Product Id]], tbl_Product[Product Id], tbl_Product[Pack Size])</f>
        <v>#N/A</v>
      </c>
      <c r="AP917" s="10" t="e">
        <f>(tbl_MTG_Set[[#This Row],[Play Booster Box Cost]]+v_Item_Shipping_Cost_In)/tbl_MTG_Set[[#This Row],[Play Booster Box Size]]</f>
        <v>#VALUE!</v>
      </c>
      <c r="AQ917" s="10" t="str" cm="1">
        <f t="array" ref="AQ9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7" s="10"/>
      <c r="AS917" s="10"/>
      <c r="AT917" s="17" t="e">
        <f>tbl_MTG_Set[[#This Row],[Play Booster CardMarket Profit]]/tbl_MTG_Set[[#This Row],[Play Booster Cost]]</f>
        <v>#VALUE!</v>
      </c>
      <c r="AU917" s="10" t="e">
        <f>_xlfn.XLOOKUP(tbl_MTG_Set[[#This Row],[Collector Booster Box Product Id]], tbl_Product[Product Id], tbl_Product[Min Cost])</f>
        <v>#N/A</v>
      </c>
      <c r="AV917" s="10" t="e">
        <f>_xlfn.XLOOKUP(tbl_MTG_Set[[#This Row],[Collector Booster Box Product Id]], tbl_Product[Product Id], tbl_Product[Best Source])</f>
        <v>#N/A</v>
      </c>
      <c r="AW917" s="4" t="e">
        <f>_xlfn.XLOOKUP(tbl_MTG_Set[[#This Row],[Collector Booster Box Product Id]], tbl_Product[Product Id], tbl_Product[Pack Size])</f>
        <v>#N/A</v>
      </c>
      <c r="AX917" s="10" t="e">
        <f>(tbl_MTG_Set[[#This Row],[Collector Booster Box Cost]] + v_Item_Shipping_Cost_In) / tbl_MTG_Set[[#This Row],[Collector Booster Box Size]]</f>
        <v>#N/A</v>
      </c>
      <c r="AY917" s="10" t="str" cm="1">
        <f t="array" ref="AY9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7" s="10"/>
      <c r="BA9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7" s="17" t="e">
        <f>tbl_MTG_Set[[#This Row],[Collector Booster CardMarket Profit]]/tbl_MTG_Set[[#This Row],[Collector Booster Cost]]</f>
        <v>#N/A</v>
      </c>
      <c r="BC917" s="10"/>
      <c r="BF91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7" s="11" t="e">
        <f>tbl_MTG_Set[[#This Row],[Play Singles CardMarket Profit MTG Stocks]]/tbl_MTG_Set[[#This Row],[Play Booster Cost]]</f>
        <v>#VALUE!</v>
      </c>
      <c r="BI917" s="11" t="b">
        <f>tbl_MTG_Set[[#This Row],[Play Singles CardMarket Profit MTG Stocks]]&gt;0</f>
        <v>0</v>
      </c>
      <c r="BM917" s="10" t="e">
        <f>tbl_MTG_Set[[#This Row],[Play Booster Sell Price CardMarket]]*tbl_MTG_Set[[#This Row],[Play Booster Expected Market Value BotBox]]/tbl_MTG_Set[[#This Row],[Play Booster Sealed Market Value BotBox]]</f>
        <v>#VALUE!</v>
      </c>
      <c r="BN9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7" s="10" t="e">
        <f>tbl_MTG_Set[[#This Row],[Play Singles CardMarket Profit BotBox]]/tbl_MTG_Set[[#This Row],[Play Booster Cost]]</f>
        <v>#VALUE!</v>
      </c>
      <c r="BP917" s="10" t="b">
        <f>tbl_MTG_Set[[#This Row],[Play Singles CardMarket Profit BotBox]]&gt;0</f>
        <v>0</v>
      </c>
      <c r="BQ917" s="10"/>
      <c r="BR917" s="10"/>
      <c r="BS917" s="10"/>
      <c r="BT91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7" s="19" t="e">
        <f>tbl_MTG_Set[[#This Row],[Collector Singles CardMarket Profit MTG Stocks]]/tbl_MTG_Set[[#This Row],[Collector Booster Cost]]</f>
        <v>#N/A</v>
      </c>
      <c r="BW917" s="10" t="b">
        <f>tbl_MTG_Set[[#This Row],[Collector Singles CardMarket Profit MTG Stocks]]&gt;0</f>
        <v>0</v>
      </c>
      <c r="BX917" s="10"/>
      <c r="BY917" s="10"/>
      <c r="BZ91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7" s="10" t="e">
        <f>tbl_MTG_Set[[#This Row],[Collector Singles CardMarket Profit BotBox]]/tbl_MTG_Set[[#This Row],[Collector Booster Cost]]</f>
        <v>#N/A</v>
      </c>
      <c r="CC917" s="10" t="b">
        <f>tbl_MTG_Set[[#This Row],[Collector Singles CardMarket Profit BotBox]]&gt;0</f>
        <v>0</v>
      </c>
      <c r="CD9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8" spans="1:86" hidden="1">
      <c r="A918">
        <v>950</v>
      </c>
      <c r="B918" t="s">
        <v>1091</v>
      </c>
      <c r="C918">
        <v>1</v>
      </c>
      <c r="D918" s="3">
        <v>36407</v>
      </c>
      <c r="F918" t="s">
        <v>174</v>
      </c>
      <c r="G918">
        <v>1846</v>
      </c>
      <c r="H918">
        <f ca="1">MONTH(NOW())+12*YEAR(NOW())-MONTH(tbl_MTG_Set[[#This Row],[Released On]])-12*YEAR(tbl_MTG_Set[[#This Row],[Released On]])</f>
        <v>318</v>
      </c>
      <c r="I918" t="str">
        <f>_xlfn.XLOOKUP(tbl_MTG_Set[[#This Row],[Type Name]], tbl_MTG_Set_Type[Set Type], tbl_MTG_Set_Type[Index], "(Set Type not found)")</f>
        <v>(Set Type not found)</v>
      </c>
      <c r="J918" t="str">
        <f>_xlfn.XLOOKUP(tbl_MTG_Set[[#This Row],[Type Name]], tbl_MTG_Set_Type[Set Type], tbl_MTG_Set_Type[Buy Window Month Start], "(Set Type not found)")</f>
        <v>(Set Type not found)</v>
      </c>
      <c r="K918" s="3" t="e">
        <f>tbl_MTG_Set[[#This Row],[Released On]]+tbl_MTG_Set[[#This Row],[Buy Window Month Start]]*365.25/12</f>
        <v>#VALUE!</v>
      </c>
      <c r="L918" t="str">
        <f>_xlfn.XLOOKUP(tbl_MTG_Set[[#This Row],[Type Name]], tbl_MTG_Set_Type[Set Type], tbl_MTG_Set_Type[Buy Window Month End], "(Set Type not found)", 0, 1)</f>
        <v>(Set Type not found)</v>
      </c>
      <c r="M918" s="3" t="e">
        <f>tbl_MTG_Set[[#This Row],[Released On]]+tbl_MTG_Set[[#This Row],[Buy Window Month End]]*365.25/12</f>
        <v>#VALUE!</v>
      </c>
      <c r="N918" s="3" t="e">
        <f ca="1">AND(NOW()&gt;=tbl_MTG_Set[[#This Row],[Buy Window Start]], NOW()&lt;=tbl_MTG_Set[[#This Row],[Buy Window End]])</f>
        <v>#VALUE!</v>
      </c>
      <c r="O918" t="str">
        <f>_xlfn.XLOOKUP(tbl_MTG_Set[[#This Row],[Type Name]], tbl_MTG_Set_Type[Set Type], tbl_MTG_Set_Type[Heavy Printing Window Month Start], "(Set Type not found)", 0, 1)</f>
        <v>(Set Type not found)</v>
      </c>
      <c r="P918" s="3" t="e">
        <f>tbl_MTG_Set[[#This Row],[Released On]]+tbl_MTG_Set[[#This Row],[Heavy Printing Window Month Start]]*365.25/12</f>
        <v>#VALUE!</v>
      </c>
      <c r="Q918" t="str">
        <f>_xlfn.XLOOKUP(tbl_MTG_Set[[#This Row],[Type Name]], tbl_MTG_Set_Type[Set Type], tbl_MTG_Set_Type[Heavy Printing Window Month End], "(Set Type not found)", 0, 1)</f>
        <v>(Set Type not found)</v>
      </c>
      <c r="R918" s="3" t="e">
        <f>tbl_MTG_Set[[#This Row],[Released On]]+tbl_MTG_Set[[#This Row],[Heavy Printing Window Month End]]*365.25/12</f>
        <v>#VALUE!</v>
      </c>
      <c r="S918" s="3" t="e">
        <f ca="1">AND(NOW()&gt;=tbl_MTG_Set[[#This Row],[Heavy Printing Window Start]], NOW()&lt;=tbl_MTG_Set[[#This Row],[Heavy Printing Window End]])</f>
        <v>#VALUE!</v>
      </c>
      <c r="T918" t="str">
        <f>_xlfn.XLOOKUP(tbl_MTG_Set[[#This Row],[Type Name]], tbl_MTG_Set_Type[Set Type], tbl_MTG_Set_Type[Sell Window Month Start], "(Set Type not found)", 0, 1)</f>
        <v>(Set Type not found)</v>
      </c>
      <c r="U918" s="3" t="e">
        <f>tbl_MTG_Set[[#This Row],[Released On]]+tbl_MTG_Set[[#This Row],[Sell Window Month Start]]*365.25/12</f>
        <v>#VALUE!</v>
      </c>
      <c r="V918" t="str">
        <f>_xlfn.XLOOKUP(tbl_MTG_Set[[#This Row],[Type Name]], tbl_MTG_Set_Type[Set Type], tbl_MTG_Set_Type[Sell Window Month End], "(Set Type not found)", 0, 1)</f>
        <v>(Set Type not found)</v>
      </c>
      <c r="W918" s="3" t="e">
        <f>tbl_MTG_Set[[#This Row],[Released On]]+tbl_MTG_Set[[#This Row],[Sell Window Month End]]*365.25/12</f>
        <v>#VALUE!</v>
      </c>
      <c r="X918" s="3" t="e">
        <f ca="1">AND(NOW()&gt;=tbl_MTG_Set[[#This Row],[Sell Window Start]], NOW()&lt;=tbl_MTG_Set[[#This Row],[Sell Window End]])</f>
        <v>#VALUE!</v>
      </c>
      <c r="AG918" s="10"/>
      <c r="AH918" s="10"/>
      <c r="AM918" s="10" t="str" cm="1">
        <f t="array" ref="AM9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8" s="10" t="str" cm="1">
        <f t="array" ref="AN9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8" s="4" t="e">
        <f>_xlfn.XLOOKUP(tbl_MTG_Set[[#This Row],[Play Booster Box Product Id]], tbl_Product[Product Id], tbl_Product[Pack Size])</f>
        <v>#N/A</v>
      </c>
      <c r="AP918" s="10" t="e">
        <f>(tbl_MTG_Set[[#This Row],[Play Booster Box Cost]]+v_Item_Shipping_Cost_In)/tbl_MTG_Set[[#This Row],[Play Booster Box Size]]</f>
        <v>#VALUE!</v>
      </c>
      <c r="AQ918" s="10" t="str" cm="1">
        <f t="array" ref="AQ9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8" s="10"/>
      <c r="AS918" s="10"/>
      <c r="AT918" s="17" t="e">
        <f>tbl_MTG_Set[[#This Row],[Play Booster CardMarket Profit]]/tbl_MTG_Set[[#This Row],[Play Booster Cost]]</f>
        <v>#VALUE!</v>
      </c>
      <c r="AU918" s="10" t="e">
        <f>_xlfn.XLOOKUP(tbl_MTG_Set[[#This Row],[Collector Booster Box Product Id]], tbl_Product[Product Id], tbl_Product[Min Cost])</f>
        <v>#N/A</v>
      </c>
      <c r="AV918" s="10" t="e">
        <f>_xlfn.XLOOKUP(tbl_MTG_Set[[#This Row],[Collector Booster Box Product Id]], tbl_Product[Product Id], tbl_Product[Best Source])</f>
        <v>#N/A</v>
      </c>
      <c r="AW918" s="4" t="e">
        <f>_xlfn.XLOOKUP(tbl_MTG_Set[[#This Row],[Collector Booster Box Product Id]], tbl_Product[Product Id], tbl_Product[Pack Size])</f>
        <v>#N/A</v>
      </c>
      <c r="AX918" s="10" t="e">
        <f>(tbl_MTG_Set[[#This Row],[Collector Booster Box Cost]] + v_Item_Shipping_Cost_In) / tbl_MTG_Set[[#This Row],[Collector Booster Box Size]]</f>
        <v>#N/A</v>
      </c>
      <c r="AY918" s="10" t="str" cm="1">
        <f t="array" ref="AY9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8" s="10"/>
      <c r="BA9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8" s="17" t="e">
        <f>tbl_MTG_Set[[#This Row],[Collector Booster CardMarket Profit]]/tbl_MTG_Set[[#This Row],[Collector Booster Cost]]</f>
        <v>#N/A</v>
      </c>
      <c r="BC918" s="10"/>
      <c r="BF91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8" s="11" t="e">
        <f>tbl_MTG_Set[[#This Row],[Play Singles CardMarket Profit MTG Stocks]]/tbl_MTG_Set[[#This Row],[Play Booster Cost]]</f>
        <v>#VALUE!</v>
      </c>
      <c r="BI918" s="11" t="b">
        <f>tbl_MTG_Set[[#This Row],[Play Singles CardMarket Profit MTG Stocks]]&gt;0</f>
        <v>0</v>
      </c>
      <c r="BM918" s="10" t="e">
        <f>tbl_MTG_Set[[#This Row],[Play Booster Sell Price CardMarket]]*tbl_MTG_Set[[#This Row],[Play Booster Expected Market Value BotBox]]/tbl_MTG_Set[[#This Row],[Play Booster Sealed Market Value BotBox]]</f>
        <v>#VALUE!</v>
      </c>
      <c r="BN9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8" s="10" t="e">
        <f>tbl_MTG_Set[[#This Row],[Play Singles CardMarket Profit BotBox]]/tbl_MTG_Set[[#This Row],[Play Booster Cost]]</f>
        <v>#VALUE!</v>
      </c>
      <c r="BP918" s="10" t="b">
        <f>tbl_MTG_Set[[#This Row],[Play Singles CardMarket Profit BotBox]]&gt;0</f>
        <v>0</v>
      </c>
      <c r="BQ918" s="10"/>
      <c r="BR918" s="10"/>
      <c r="BS918" s="10"/>
      <c r="BT91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8" s="19" t="e">
        <f>tbl_MTG_Set[[#This Row],[Collector Singles CardMarket Profit MTG Stocks]]/tbl_MTG_Set[[#This Row],[Collector Booster Cost]]</f>
        <v>#N/A</v>
      </c>
      <c r="BW918" s="10" t="b">
        <f>tbl_MTG_Set[[#This Row],[Collector Singles CardMarket Profit MTG Stocks]]&gt;0</f>
        <v>0</v>
      </c>
      <c r="BX918" s="10"/>
      <c r="BY918" s="10"/>
      <c r="BZ91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8" s="10" t="e">
        <f>tbl_MTG_Set[[#This Row],[Collector Singles CardMarket Profit BotBox]]/tbl_MTG_Set[[#This Row],[Collector Booster Cost]]</f>
        <v>#N/A</v>
      </c>
      <c r="CC918" s="10" t="b">
        <f>tbl_MTG_Set[[#This Row],[Collector Singles CardMarket Profit BotBox]]&gt;0</f>
        <v>0</v>
      </c>
      <c r="CD9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19" spans="1:86" hidden="1">
      <c r="A919">
        <v>951</v>
      </c>
      <c r="B919" t="s">
        <v>1092</v>
      </c>
      <c r="C919">
        <v>111</v>
      </c>
      <c r="D919" s="3">
        <v>36376</v>
      </c>
      <c r="F919" t="s">
        <v>174</v>
      </c>
      <c r="G919">
        <v>1848</v>
      </c>
      <c r="H919">
        <f ca="1">MONTH(NOW())+12*YEAR(NOW())-MONTH(tbl_MTG_Set[[#This Row],[Released On]])-12*YEAR(tbl_MTG_Set[[#This Row],[Released On]])</f>
        <v>319</v>
      </c>
      <c r="I919" t="str">
        <f>_xlfn.XLOOKUP(tbl_MTG_Set[[#This Row],[Type Name]], tbl_MTG_Set_Type[Set Type], tbl_MTG_Set_Type[Index], "(Set Type not found)")</f>
        <v>(Set Type not found)</v>
      </c>
      <c r="J919" t="str">
        <f>_xlfn.XLOOKUP(tbl_MTG_Set[[#This Row],[Type Name]], tbl_MTG_Set_Type[Set Type], tbl_MTG_Set_Type[Buy Window Month Start], "(Set Type not found)")</f>
        <v>(Set Type not found)</v>
      </c>
      <c r="K919" s="3" t="e">
        <f>tbl_MTG_Set[[#This Row],[Released On]]+tbl_MTG_Set[[#This Row],[Buy Window Month Start]]*365.25/12</f>
        <v>#VALUE!</v>
      </c>
      <c r="L919" t="str">
        <f>_xlfn.XLOOKUP(tbl_MTG_Set[[#This Row],[Type Name]], tbl_MTG_Set_Type[Set Type], tbl_MTG_Set_Type[Buy Window Month End], "(Set Type not found)", 0, 1)</f>
        <v>(Set Type not found)</v>
      </c>
      <c r="M919" s="3" t="e">
        <f>tbl_MTG_Set[[#This Row],[Released On]]+tbl_MTG_Set[[#This Row],[Buy Window Month End]]*365.25/12</f>
        <v>#VALUE!</v>
      </c>
      <c r="N919" s="3" t="e">
        <f ca="1">AND(NOW()&gt;=tbl_MTG_Set[[#This Row],[Buy Window Start]], NOW()&lt;=tbl_MTG_Set[[#This Row],[Buy Window End]])</f>
        <v>#VALUE!</v>
      </c>
      <c r="O919" t="str">
        <f>_xlfn.XLOOKUP(tbl_MTG_Set[[#This Row],[Type Name]], tbl_MTG_Set_Type[Set Type], tbl_MTG_Set_Type[Heavy Printing Window Month Start], "(Set Type not found)", 0, 1)</f>
        <v>(Set Type not found)</v>
      </c>
      <c r="P919" s="3" t="e">
        <f>tbl_MTG_Set[[#This Row],[Released On]]+tbl_MTG_Set[[#This Row],[Heavy Printing Window Month Start]]*365.25/12</f>
        <v>#VALUE!</v>
      </c>
      <c r="Q919" t="str">
        <f>_xlfn.XLOOKUP(tbl_MTG_Set[[#This Row],[Type Name]], tbl_MTG_Set_Type[Set Type], tbl_MTG_Set_Type[Heavy Printing Window Month End], "(Set Type not found)", 0, 1)</f>
        <v>(Set Type not found)</v>
      </c>
      <c r="R919" s="3" t="e">
        <f>tbl_MTG_Set[[#This Row],[Released On]]+tbl_MTG_Set[[#This Row],[Heavy Printing Window Month End]]*365.25/12</f>
        <v>#VALUE!</v>
      </c>
      <c r="S919" s="3" t="e">
        <f ca="1">AND(NOW()&gt;=tbl_MTG_Set[[#This Row],[Heavy Printing Window Start]], NOW()&lt;=tbl_MTG_Set[[#This Row],[Heavy Printing Window End]])</f>
        <v>#VALUE!</v>
      </c>
      <c r="T919" t="str">
        <f>_xlfn.XLOOKUP(tbl_MTG_Set[[#This Row],[Type Name]], tbl_MTG_Set_Type[Set Type], tbl_MTG_Set_Type[Sell Window Month Start], "(Set Type not found)", 0, 1)</f>
        <v>(Set Type not found)</v>
      </c>
      <c r="U919" s="3" t="e">
        <f>tbl_MTG_Set[[#This Row],[Released On]]+tbl_MTG_Set[[#This Row],[Sell Window Month Start]]*365.25/12</f>
        <v>#VALUE!</v>
      </c>
      <c r="V919" t="str">
        <f>_xlfn.XLOOKUP(tbl_MTG_Set[[#This Row],[Type Name]], tbl_MTG_Set_Type[Set Type], tbl_MTG_Set_Type[Sell Window Month End], "(Set Type not found)", 0, 1)</f>
        <v>(Set Type not found)</v>
      </c>
      <c r="W919" s="3" t="e">
        <f>tbl_MTG_Set[[#This Row],[Released On]]+tbl_MTG_Set[[#This Row],[Sell Window Month End]]*365.25/12</f>
        <v>#VALUE!</v>
      </c>
      <c r="X919" s="3" t="e">
        <f ca="1">AND(NOW()&gt;=tbl_MTG_Set[[#This Row],[Sell Window Start]], NOW()&lt;=tbl_MTG_Set[[#This Row],[Sell Window End]])</f>
        <v>#VALUE!</v>
      </c>
      <c r="AG919" s="10"/>
      <c r="AH919" s="10"/>
      <c r="AM919" s="10" t="str" cm="1">
        <f t="array" ref="AM9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19" s="10" t="str" cm="1">
        <f t="array" ref="AN9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19" s="4" t="e">
        <f>_xlfn.XLOOKUP(tbl_MTG_Set[[#This Row],[Play Booster Box Product Id]], tbl_Product[Product Id], tbl_Product[Pack Size])</f>
        <v>#N/A</v>
      </c>
      <c r="AP919" s="10" t="e">
        <f>(tbl_MTG_Set[[#This Row],[Play Booster Box Cost]]+v_Item_Shipping_Cost_In)/tbl_MTG_Set[[#This Row],[Play Booster Box Size]]</f>
        <v>#VALUE!</v>
      </c>
      <c r="AQ919" s="10" t="str" cm="1">
        <f t="array" ref="AQ9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19" s="10"/>
      <c r="AS919" s="10"/>
      <c r="AT919" s="17" t="e">
        <f>tbl_MTG_Set[[#This Row],[Play Booster CardMarket Profit]]/tbl_MTG_Set[[#This Row],[Play Booster Cost]]</f>
        <v>#VALUE!</v>
      </c>
      <c r="AU919" s="10" t="e">
        <f>_xlfn.XLOOKUP(tbl_MTG_Set[[#This Row],[Collector Booster Box Product Id]], tbl_Product[Product Id], tbl_Product[Min Cost])</f>
        <v>#N/A</v>
      </c>
      <c r="AV919" s="10" t="e">
        <f>_xlfn.XLOOKUP(tbl_MTG_Set[[#This Row],[Collector Booster Box Product Id]], tbl_Product[Product Id], tbl_Product[Best Source])</f>
        <v>#N/A</v>
      </c>
      <c r="AW919" s="4" t="e">
        <f>_xlfn.XLOOKUP(tbl_MTG_Set[[#This Row],[Collector Booster Box Product Id]], tbl_Product[Product Id], tbl_Product[Pack Size])</f>
        <v>#N/A</v>
      </c>
      <c r="AX919" s="10" t="e">
        <f>(tbl_MTG_Set[[#This Row],[Collector Booster Box Cost]] + v_Item_Shipping_Cost_In) / tbl_MTG_Set[[#This Row],[Collector Booster Box Size]]</f>
        <v>#N/A</v>
      </c>
      <c r="AY919" s="10" t="str" cm="1">
        <f t="array" ref="AY9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19" s="10"/>
      <c r="BA9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19" s="17" t="e">
        <f>tbl_MTG_Set[[#This Row],[Collector Booster CardMarket Profit]]/tbl_MTG_Set[[#This Row],[Collector Booster Cost]]</f>
        <v>#N/A</v>
      </c>
      <c r="BC919" s="10"/>
      <c r="BF91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19" s="11" t="e">
        <f>tbl_MTG_Set[[#This Row],[Play Singles CardMarket Profit MTG Stocks]]/tbl_MTG_Set[[#This Row],[Play Booster Cost]]</f>
        <v>#VALUE!</v>
      </c>
      <c r="BI919" s="11" t="b">
        <f>tbl_MTG_Set[[#This Row],[Play Singles CardMarket Profit MTG Stocks]]&gt;0</f>
        <v>0</v>
      </c>
      <c r="BM919" s="10" t="e">
        <f>tbl_MTG_Set[[#This Row],[Play Booster Sell Price CardMarket]]*tbl_MTG_Set[[#This Row],[Play Booster Expected Market Value BotBox]]/tbl_MTG_Set[[#This Row],[Play Booster Sealed Market Value BotBox]]</f>
        <v>#VALUE!</v>
      </c>
      <c r="BN9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19" s="10" t="e">
        <f>tbl_MTG_Set[[#This Row],[Play Singles CardMarket Profit BotBox]]/tbl_MTG_Set[[#This Row],[Play Booster Cost]]</f>
        <v>#VALUE!</v>
      </c>
      <c r="BP919" s="10" t="b">
        <f>tbl_MTG_Set[[#This Row],[Play Singles CardMarket Profit BotBox]]&gt;0</f>
        <v>0</v>
      </c>
      <c r="BQ919" s="10"/>
      <c r="BR919" s="10"/>
      <c r="BS919" s="10"/>
      <c r="BT91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19" s="19" t="e">
        <f>tbl_MTG_Set[[#This Row],[Collector Singles CardMarket Profit MTG Stocks]]/tbl_MTG_Set[[#This Row],[Collector Booster Cost]]</f>
        <v>#N/A</v>
      </c>
      <c r="BW919" s="10" t="b">
        <f>tbl_MTG_Set[[#This Row],[Collector Singles CardMarket Profit MTG Stocks]]&gt;0</f>
        <v>0</v>
      </c>
      <c r="BX919" s="10"/>
      <c r="BY919" s="10"/>
      <c r="BZ91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19" s="10" t="e">
        <f>tbl_MTG_Set[[#This Row],[Collector Singles CardMarket Profit BotBox]]/tbl_MTG_Set[[#This Row],[Collector Booster Cost]]</f>
        <v>#N/A</v>
      </c>
      <c r="CC919" s="10" t="b">
        <f>tbl_MTG_Set[[#This Row],[Collector Singles CardMarket Profit BotBox]]&gt;0</f>
        <v>0</v>
      </c>
      <c r="CD9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0" spans="1:86" hidden="1">
      <c r="A920">
        <v>952</v>
      </c>
      <c r="B920" t="s">
        <v>1093</v>
      </c>
      <c r="C920">
        <v>2</v>
      </c>
      <c r="D920" s="3">
        <v>36376</v>
      </c>
      <c r="F920" t="s">
        <v>174</v>
      </c>
      <c r="G920">
        <v>1850</v>
      </c>
      <c r="H920">
        <f ca="1">MONTH(NOW())+12*YEAR(NOW())-MONTH(tbl_MTG_Set[[#This Row],[Released On]])-12*YEAR(tbl_MTG_Set[[#This Row],[Released On]])</f>
        <v>319</v>
      </c>
      <c r="I920" t="str">
        <f>_xlfn.XLOOKUP(tbl_MTG_Set[[#This Row],[Type Name]], tbl_MTG_Set_Type[Set Type], tbl_MTG_Set_Type[Index], "(Set Type not found)")</f>
        <v>(Set Type not found)</v>
      </c>
      <c r="J920" t="str">
        <f>_xlfn.XLOOKUP(tbl_MTG_Set[[#This Row],[Type Name]], tbl_MTG_Set_Type[Set Type], tbl_MTG_Set_Type[Buy Window Month Start], "(Set Type not found)")</f>
        <v>(Set Type not found)</v>
      </c>
      <c r="K920" s="3" t="e">
        <f>tbl_MTG_Set[[#This Row],[Released On]]+tbl_MTG_Set[[#This Row],[Buy Window Month Start]]*365.25/12</f>
        <v>#VALUE!</v>
      </c>
      <c r="L920" t="str">
        <f>_xlfn.XLOOKUP(tbl_MTG_Set[[#This Row],[Type Name]], tbl_MTG_Set_Type[Set Type], tbl_MTG_Set_Type[Buy Window Month End], "(Set Type not found)", 0, 1)</f>
        <v>(Set Type not found)</v>
      </c>
      <c r="M920" s="3" t="e">
        <f>tbl_MTG_Set[[#This Row],[Released On]]+tbl_MTG_Set[[#This Row],[Buy Window Month End]]*365.25/12</f>
        <v>#VALUE!</v>
      </c>
      <c r="N920" s="3" t="e">
        <f ca="1">AND(NOW()&gt;=tbl_MTG_Set[[#This Row],[Buy Window Start]], NOW()&lt;=tbl_MTG_Set[[#This Row],[Buy Window End]])</f>
        <v>#VALUE!</v>
      </c>
      <c r="O920" t="str">
        <f>_xlfn.XLOOKUP(tbl_MTG_Set[[#This Row],[Type Name]], tbl_MTG_Set_Type[Set Type], tbl_MTG_Set_Type[Heavy Printing Window Month Start], "(Set Type not found)", 0, 1)</f>
        <v>(Set Type not found)</v>
      </c>
      <c r="P920" s="3" t="e">
        <f>tbl_MTG_Set[[#This Row],[Released On]]+tbl_MTG_Set[[#This Row],[Heavy Printing Window Month Start]]*365.25/12</f>
        <v>#VALUE!</v>
      </c>
      <c r="Q920" t="str">
        <f>_xlfn.XLOOKUP(tbl_MTG_Set[[#This Row],[Type Name]], tbl_MTG_Set_Type[Set Type], tbl_MTG_Set_Type[Heavy Printing Window Month End], "(Set Type not found)", 0, 1)</f>
        <v>(Set Type not found)</v>
      </c>
      <c r="R920" s="3" t="e">
        <f>tbl_MTG_Set[[#This Row],[Released On]]+tbl_MTG_Set[[#This Row],[Heavy Printing Window Month End]]*365.25/12</f>
        <v>#VALUE!</v>
      </c>
      <c r="S920" s="3" t="e">
        <f ca="1">AND(NOW()&gt;=tbl_MTG_Set[[#This Row],[Heavy Printing Window Start]], NOW()&lt;=tbl_MTG_Set[[#This Row],[Heavy Printing Window End]])</f>
        <v>#VALUE!</v>
      </c>
      <c r="T920" t="str">
        <f>_xlfn.XLOOKUP(tbl_MTG_Set[[#This Row],[Type Name]], tbl_MTG_Set_Type[Set Type], tbl_MTG_Set_Type[Sell Window Month Start], "(Set Type not found)", 0, 1)</f>
        <v>(Set Type not found)</v>
      </c>
      <c r="U920" s="3" t="e">
        <f>tbl_MTG_Set[[#This Row],[Released On]]+tbl_MTG_Set[[#This Row],[Sell Window Month Start]]*365.25/12</f>
        <v>#VALUE!</v>
      </c>
      <c r="V920" t="str">
        <f>_xlfn.XLOOKUP(tbl_MTG_Set[[#This Row],[Type Name]], tbl_MTG_Set_Type[Set Type], tbl_MTG_Set_Type[Sell Window Month End], "(Set Type not found)", 0, 1)</f>
        <v>(Set Type not found)</v>
      </c>
      <c r="W920" s="3" t="e">
        <f>tbl_MTG_Set[[#This Row],[Released On]]+tbl_MTG_Set[[#This Row],[Sell Window Month End]]*365.25/12</f>
        <v>#VALUE!</v>
      </c>
      <c r="X920" s="3" t="e">
        <f ca="1">AND(NOW()&gt;=tbl_MTG_Set[[#This Row],[Sell Window Start]], NOW()&lt;=tbl_MTG_Set[[#This Row],[Sell Window End]])</f>
        <v>#VALUE!</v>
      </c>
      <c r="AG920" s="10"/>
      <c r="AH920" s="10"/>
      <c r="AM920" s="10" t="str" cm="1">
        <f t="array" ref="AM9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0" s="10" t="str" cm="1">
        <f t="array" ref="AN9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0" s="4" t="e">
        <f>_xlfn.XLOOKUP(tbl_MTG_Set[[#This Row],[Play Booster Box Product Id]], tbl_Product[Product Id], tbl_Product[Pack Size])</f>
        <v>#N/A</v>
      </c>
      <c r="AP920" s="10" t="e">
        <f>(tbl_MTG_Set[[#This Row],[Play Booster Box Cost]]+v_Item_Shipping_Cost_In)/tbl_MTG_Set[[#This Row],[Play Booster Box Size]]</f>
        <v>#VALUE!</v>
      </c>
      <c r="AQ920" s="10" t="str" cm="1">
        <f t="array" ref="AQ9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0" s="10"/>
      <c r="AS920" s="10"/>
      <c r="AT920" s="17" t="e">
        <f>tbl_MTG_Set[[#This Row],[Play Booster CardMarket Profit]]/tbl_MTG_Set[[#This Row],[Play Booster Cost]]</f>
        <v>#VALUE!</v>
      </c>
      <c r="AU920" s="10" t="e">
        <f>_xlfn.XLOOKUP(tbl_MTG_Set[[#This Row],[Collector Booster Box Product Id]], tbl_Product[Product Id], tbl_Product[Min Cost])</f>
        <v>#N/A</v>
      </c>
      <c r="AV920" s="10" t="e">
        <f>_xlfn.XLOOKUP(tbl_MTG_Set[[#This Row],[Collector Booster Box Product Id]], tbl_Product[Product Id], tbl_Product[Best Source])</f>
        <v>#N/A</v>
      </c>
      <c r="AW920" s="4" t="e">
        <f>_xlfn.XLOOKUP(tbl_MTG_Set[[#This Row],[Collector Booster Box Product Id]], tbl_Product[Product Id], tbl_Product[Pack Size])</f>
        <v>#N/A</v>
      </c>
      <c r="AX920" s="10" t="e">
        <f>(tbl_MTG_Set[[#This Row],[Collector Booster Box Cost]] + v_Item_Shipping_Cost_In) / tbl_MTG_Set[[#This Row],[Collector Booster Box Size]]</f>
        <v>#N/A</v>
      </c>
      <c r="AY920" s="10" t="str" cm="1">
        <f t="array" ref="AY9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0" s="10"/>
      <c r="BA9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0" s="17" t="e">
        <f>tbl_MTG_Set[[#This Row],[Collector Booster CardMarket Profit]]/tbl_MTG_Set[[#This Row],[Collector Booster Cost]]</f>
        <v>#N/A</v>
      </c>
      <c r="BC920" s="10"/>
      <c r="BF92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0" s="11" t="e">
        <f>tbl_MTG_Set[[#This Row],[Play Singles CardMarket Profit MTG Stocks]]/tbl_MTG_Set[[#This Row],[Play Booster Cost]]</f>
        <v>#VALUE!</v>
      </c>
      <c r="BI920" s="11" t="b">
        <f>tbl_MTG_Set[[#This Row],[Play Singles CardMarket Profit MTG Stocks]]&gt;0</f>
        <v>0</v>
      </c>
      <c r="BM920" s="10" t="e">
        <f>tbl_MTG_Set[[#This Row],[Play Booster Sell Price CardMarket]]*tbl_MTG_Set[[#This Row],[Play Booster Expected Market Value BotBox]]/tbl_MTG_Set[[#This Row],[Play Booster Sealed Market Value BotBox]]</f>
        <v>#VALUE!</v>
      </c>
      <c r="BN9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0" s="10" t="e">
        <f>tbl_MTG_Set[[#This Row],[Play Singles CardMarket Profit BotBox]]/tbl_MTG_Set[[#This Row],[Play Booster Cost]]</f>
        <v>#VALUE!</v>
      </c>
      <c r="BP920" s="10" t="b">
        <f>tbl_MTG_Set[[#This Row],[Play Singles CardMarket Profit BotBox]]&gt;0</f>
        <v>0</v>
      </c>
      <c r="BQ920" s="10"/>
      <c r="BR920" s="10"/>
      <c r="BS920" s="10"/>
      <c r="BT92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0" s="19" t="e">
        <f>tbl_MTG_Set[[#This Row],[Collector Singles CardMarket Profit MTG Stocks]]/tbl_MTG_Set[[#This Row],[Collector Booster Cost]]</f>
        <v>#N/A</v>
      </c>
      <c r="BW920" s="10" t="b">
        <f>tbl_MTG_Set[[#This Row],[Collector Singles CardMarket Profit MTG Stocks]]&gt;0</f>
        <v>0</v>
      </c>
      <c r="BX920" s="10"/>
      <c r="BY920" s="10"/>
      <c r="BZ92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0" s="10" t="e">
        <f>tbl_MTG_Set[[#This Row],[Collector Singles CardMarket Profit BotBox]]/tbl_MTG_Set[[#This Row],[Collector Booster Cost]]</f>
        <v>#N/A</v>
      </c>
      <c r="CC920" s="10" t="b">
        <f>tbl_MTG_Set[[#This Row],[Collector Singles CardMarket Profit BotBox]]&gt;0</f>
        <v>0</v>
      </c>
      <c r="CD9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1" spans="1:86" hidden="1">
      <c r="A921">
        <v>953</v>
      </c>
      <c r="B921" t="s">
        <v>1094</v>
      </c>
      <c r="C921">
        <v>5</v>
      </c>
      <c r="D921" s="3">
        <v>36353</v>
      </c>
      <c r="F921" t="s">
        <v>174</v>
      </c>
      <c r="G921">
        <v>1852</v>
      </c>
      <c r="H921">
        <f ca="1">MONTH(NOW())+12*YEAR(NOW())-MONTH(tbl_MTG_Set[[#This Row],[Released On]])-12*YEAR(tbl_MTG_Set[[#This Row],[Released On]])</f>
        <v>320</v>
      </c>
      <c r="I921" t="str">
        <f>_xlfn.XLOOKUP(tbl_MTG_Set[[#This Row],[Type Name]], tbl_MTG_Set_Type[Set Type], tbl_MTG_Set_Type[Index], "(Set Type not found)")</f>
        <v>(Set Type not found)</v>
      </c>
      <c r="J921" t="str">
        <f>_xlfn.XLOOKUP(tbl_MTG_Set[[#This Row],[Type Name]], tbl_MTG_Set_Type[Set Type], tbl_MTG_Set_Type[Buy Window Month Start], "(Set Type not found)")</f>
        <v>(Set Type not found)</v>
      </c>
      <c r="K921" s="3" t="e">
        <f>tbl_MTG_Set[[#This Row],[Released On]]+tbl_MTG_Set[[#This Row],[Buy Window Month Start]]*365.25/12</f>
        <v>#VALUE!</v>
      </c>
      <c r="L921" t="str">
        <f>_xlfn.XLOOKUP(tbl_MTG_Set[[#This Row],[Type Name]], tbl_MTG_Set_Type[Set Type], tbl_MTG_Set_Type[Buy Window Month End], "(Set Type not found)", 0, 1)</f>
        <v>(Set Type not found)</v>
      </c>
      <c r="M921" s="3" t="e">
        <f>tbl_MTG_Set[[#This Row],[Released On]]+tbl_MTG_Set[[#This Row],[Buy Window Month End]]*365.25/12</f>
        <v>#VALUE!</v>
      </c>
      <c r="N921" s="3" t="e">
        <f ca="1">AND(NOW()&gt;=tbl_MTG_Set[[#This Row],[Buy Window Start]], NOW()&lt;=tbl_MTG_Set[[#This Row],[Buy Window End]])</f>
        <v>#VALUE!</v>
      </c>
      <c r="O921" t="str">
        <f>_xlfn.XLOOKUP(tbl_MTG_Set[[#This Row],[Type Name]], tbl_MTG_Set_Type[Set Type], tbl_MTG_Set_Type[Heavy Printing Window Month Start], "(Set Type not found)", 0, 1)</f>
        <v>(Set Type not found)</v>
      </c>
      <c r="P921" s="3" t="e">
        <f>tbl_MTG_Set[[#This Row],[Released On]]+tbl_MTG_Set[[#This Row],[Heavy Printing Window Month Start]]*365.25/12</f>
        <v>#VALUE!</v>
      </c>
      <c r="Q921" t="str">
        <f>_xlfn.XLOOKUP(tbl_MTG_Set[[#This Row],[Type Name]], tbl_MTG_Set_Type[Set Type], tbl_MTG_Set_Type[Heavy Printing Window Month End], "(Set Type not found)", 0, 1)</f>
        <v>(Set Type not found)</v>
      </c>
      <c r="R921" s="3" t="e">
        <f>tbl_MTG_Set[[#This Row],[Released On]]+tbl_MTG_Set[[#This Row],[Heavy Printing Window Month End]]*365.25/12</f>
        <v>#VALUE!</v>
      </c>
      <c r="S921" s="3" t="e">
        <f ca="1">AND(NOW()&gt;=tbl_MTG_Set[[#This Row],[Heavy Printing Window Start]], NOW()&lt;=tbl_MTG_Set[[#This Row],[Heavy Printing Window End]])</f>
        <v>#VALUE!</v>
      </c>
      <c r="T921" t="str">
        <f>_xlfn.XLOOKUP(tbl_MTG_Set[[#This Row],[Type Name]], tbl_MTG_Set_Type[Set Type], tbl_MTG_Set_Type[Sell Window Month Start], "(Set Type not found)", 0, 1)</f>
        <v>(Set Type not found)</v>
      </c>
      <c r="U921" s="3" t="e">
        <f>tbl_MTG_Set[[#This Row],[Released On]]+tbl_MTG_Set[[#This Row],[Sell Window Month Start]]*365.25/12</f>
        <v>#VALUE!</v>
      </c>
      <c r="V921" t="str">
        <f>_xlfn.XLOOKUP(tbl_MTG_Set[[#This Row],[Type Name]], tbl_MTG_Set_Type[Set Type], tbl_MTG_Set_Type[Sell Window Month End], "(Set Type not found)", 0, 1)</f>
        <v>(Set Type not found)</v>
      </c>
      <c r="W921" s="3" t="e">
        <f>tbl_MTG_Set[[#This Row],[Released On]]+tbl_MTG_Set[[#This Row],[Sell Window Month End]]*365.25/12</f>
        <v>#VALUE!</v>
      </c>
      <c r="X921" s="3" t="e">
        <f ca="1">AND(NOW()&gt;=tbl_MTG_Set[[#This Row],[Sell Window Start]], NOW()&lt;=tbl_MTG_Set[[#This Row],[Sell Window End]])</f>
        <v>#VALUE!</v>
      </c>
      <c r="AG921" s="10"/>
      <c r="AH921" s="10"/>
      <c r="AM921" s="10" t="str" cm="1">
        <f t="array" ref="AM9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1" s="10" t="str" cm="1">
        <f t="array" ref="AN9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1" s="4" t="e">
        <f>_xlfn.XLOOKUP(tbl_MTG_Set[[#This Row],[Play Booster Box Product Id]], tbl_Product[Product Id], tbl_Product[Pack Size])</f>
        <v>#N/A</v>
      </c>
      <c r="AP921" s="10" t="e">
        <f>(tbl_MTG_Set[[#This Row],[Play Booster Box Cost]]+v_Item_Shipping_Cost_In)/tbl_MTG_Set[[#This Row],[Play Booster Box Size]]</f>
        <v>#VALUE!</v>
      </c>
      <c r="AQ921" s="10" t="str" cm="1">
        <f t="array" ref="AQ9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1" s="10"/>
      <c r="AS921" s="10"/>
      <c r="AT921" s="17" t="e">
        <f>tbl_MTG_Set[[#This Row],[Play Booster CardMarket Profit]]/tbl_MTG_Set[[#This Row],[Play Booster Cost]]</f>
        <v>#VALUE!</v>
      </c>
      <c r="AU921" s="10" t="e">
        <f>_xlfn.XLOOKUP(tbl_MTG_Set[[#This Row],[Collector Booster Box Product Id]], tbl_Product[Product Id], tbl_Product[Min Cost])</f>
        <v>#N/A</v>
      </c>
      <c r="AV921" s="10" t="e">
        <f>_xlfn.XLOOKUP(tbl_MTG_Set[[#This Row],[Collector Booster Box Product Id]], tbl_Product[Product Id], tbl_Product[Best Source])</f>
        <v>#N/A</v>
      </c>
      <c r="AW921" s="4" t="e">
        <f>_xlfn.XLOOKUP(tbl_MTG_Set[[#This Row],[Collector Booster Box Product Id]], tbl_Product[Product Id], tbl_Product[Pack Size])</f>
        <v>#N/A</v>
      </c>
      <c r="AX921" s="10" t="e">
        <f>(tbl_MTG_Set[[#This Row],[Collector Booster Box Cost]] + v_Item_Shipping_Cost_In) / tbl_MTG_Set[[#This Row],[Collector Booster Box Size]]</f>
        <v>#N/A</v>
      </c>
      <c r="AY921" s="10" t="str" cm="1">
        <f t="array" ref="AY9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1" s="10"/>
      <c r="BA9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1" s="17" t="e">
        <f>tbl_MTG_Set[[#This Row],[Collector Booster CardMarket Profit]]/tbl_MTG_Set[[#This Row],[Collector Booster Cost]]</f>
        <v>#N/A</v>
      </c>
      <c r="BC921" s="10"/>
      <c r="BF92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1" s="11" t="e">
        <f>tbl_MTG_Set[[#This Row],[Play Singles CardMarket Profit MTG Stocks]]/tbl_MTG_Set[[#This Row],[Play Booster Cost]]</f>
        <v>#VALUE!</v>
      </c>
      <c r="BI921" s="11" t="b">
        <f>tbl_MTG_Set[[#This Row],[Play Singles CardMarket Profit MTG Stocks]]&gt;0</f>
        <v>0</v>
      </c>
      <c r="BM921" s="10" t="e">
        <f>tbl_MTG_Set[[#This Row],[Play Booster Sell Price CardMarket]]*tbl_MTG_Set[[#This Row],[Play Booster Expected Market Value BotBox]]/tbl_MTG_Set[[#This Row],[Play Booster Sealed Market Value BotBox]]</f>
        <v>#VALUE!</v>
      </c>
      <c r="BN9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1" s="10" t="e">
        <f>tbl_MTG_Set[[#This Row],[Play Singles CardMarket Profit BotBox]]/tbl_MTG_Set[[#This Row],[Play Booster Cost]]</f>
        <v>#VALUE!</v>
      </c>
      <c r="BP921" s="10" t="b">
        <f>tbl_MTG_Set[[#This Row],[Play Singles CardMarket Profit BotBox]]&gt;0</f>
        <v>0</v>
      </c>
      <c r="BQ921" s="10"/>
      <c r="BR921" s="10"/>
      <c r="BS921" s="10"/>
      <c r="BT92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1" s="19" t="e">
        <f>tbl_MTG_Set[[#This Row],[Collector Singles CardMarket Profit MTG Stocks]]/tbl_MTG_Set[[#This Row],[Collector Booster Cost]]</f>
        <v>#N/A</v>
      </c>
      <c r="BW921" s="10" t="b">
        <f>tbl_MTG_Set[[#This Row],[Collector Singles CardMarket Profit MTG Stocks]]&gt;0</f>
        <v>0</v>
      </c>
      <c r="BX921" s="10"/>
      <c r="BY921" s="10"/>
      <c r="BZ92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1" s="10" t="e">
        <f>tbl_MTG_Set[[#This Row],[Collector Singles CardMarket Profit BotBox]]/tbl_MTG_Set[[#This Row],[Collector Booster Cost]]</f>
        <v>#N/A</v>
      </c>
      <c r="CC921" s="10" t="b">
        <f>tbl_MTG_Set[[#This Row],[Collector Singles CardMarket Profit BotBox]]&gt;0</f>
        <v>0</v>
      </c>
      <c r="CD9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2" spans="1:86" hidden="1">
      <c r="A922">
        <v>954</v>
      </c>
      <c r="B922" t="s">
        <v>1095</v>
      </c>
      <c r="C922">
        <v>173</v>
      </c>
      <c r="D922" s="3">
        <v>36342</v>
      </c>
      <c r="F922" t="s">
        <v>174</v>
      </c>
      <c r="G922">
        <v>1854</v>
      </c>
      <c r="H922">
        <f ca="1">MONTH(NOW())+12*YEAR(NOW())-MONTH(tbl_MTG_Set[[#This Row],[Released On]])-12*YEAR(tbl_MTG_Set[[#This Row],[Released On]])</f>
        <v>320</v>
      </c>
      <c r="I922" t="str">
        <f>_xlfn.XLOOKUP(tbl_MTG_Set[[#This Row],[Type Name]], tbl_MTG_Set_Type[Set Type], tbl_MTG_Set_Type[Index], "(Set Type not found)")</f>
        <v>(Set Type not found)</v>
      </c>
      <c r="J922" t="str">
        <f>_xlfn.XLOOKUP(tbl_MTG_Set[[#This Row],[Type Name]], tbl_MTG_Set_Type[Set Type], tbl_MTG_Set_Type[Buy Window Month Start], "(Set Type not found)")</f>
        <v>(Set Type not found)</v>
      </c>
      <c r="K922" s="3" t="e">
        <f>tbl_MTG_Set[[#This Row],[Released On]]+tbl_MTG_Set[[#This Row],[Buy Window Month Start]]*365.25/12</f>
        <v>#VALUE!</v>
      </c>
      <c r="L922" t="str">
        <f>_xlfn.XLOOKUP(tbl_MTG_Set[[#This Row],[Type Name]], tbl_MTG_Set_Type[Set Type], tbl_MTG_Set_Type[Buy Window Month End], "(Set Type not found)", 0, 1)</f>
        <v>(Set Type not found)</v>
      </c>
      <c r="M922" s="3" t="e">
        <f>tbl_MTG_Set[[#This Row],[Released On]]+tbl_MTG_Set[[#This Row],[Buy Window Month End]]*365.25/12</f>
        <v>#VALUE!</v>
      </c>
      <c r="N922" s="3" t="e">
        <f ca="1">AND(NOW()&gt;=tbl_MTG_Set[[#This Row],[Buy Window Start]], NOW()&lt;=tbl_MTG_Set[[#This Row],[Buy Window End]])</f>
        <v>#VALUE!</v>
      </c>
      <c r="O922" t="str">
        <f>_xlfn.XLOOKUP(tbl_MTG_Set[[#This Row],[Type Name]], tbl_MTG_Set_Type[Set Type], tbl_MTG_Set_Type[Heavy Printing Window Month Start], "(Set Type not found)", 0, 1)</f>
        <v>(Set Type not found)</v>
      </c>
      <c r="P922" s="3" t="e">
        <f>tbl_MTG_Set[[#This Row],[Released On]]+tbl_MTG_Set[[#This Row],[Heavy Printing Window Month Start]]*365.25/12</f>
        <v>#VALUE!</v>
      </c>
      <c r="Q922" t="str">
        <f>_xlfn.XLOOKUP(tbl_MTG_Set[[#This Row],[Type Name]], tbl_MTG_Set_Type[Set Type], tbl_MTG_Set_Type[Heavy Printing Window Month End], "(Set Type not found)", 0, 1)</f>
        <v>(Set Type not found)</v>
      </c>
      <c r="R922" s="3" t="e">
        <f>tbl_MTG_Set[[#This Row],[Released On]]+tbl_MTG_Set[[#This Row],[Heavy Printing Window Month End]]*365.25/12</f>
        <v>#VALUE!</v>
      </c>
      <c r="S922" s="3" t="e">
        <f ca="1">AND(NOW()&gt;=tbl_MTG_Set[[#This Row],[Heavy Printing Window Start]], NOW()&lt;=tbl_MTG_Set[[#This Row],[Heavy Printing Window End]])</f>
        <v>#VALUE!</v>
      </c>
      <c r="T922" t="str">
        <f>_xlfn.XLOOKUP(tbl_MTG_Set[[#This Row],[Type Name]], tbl_MTG_Set_Type[Set Type], tbl_MTG_Set_Type[Sell Window Month Start], "(Set Type not found)", 0, 1)</f>
        <v>(Set Type not found)</v>
      </c>
      <c r="U922" s="3" t="e">
        <f>tbl_MTG_Set[[#This Row],[Released On]]+tbl_MTG_Set[[#This Row],[Sell Window Month Start]]*365.25/12</f>
        <v>#VALUE!</v>
      </c>
      <c r="V922" t="str">
        <f>_xlfn.XLOOKUP(tbl_MTG_Set[[#This Row],[Type Name]], tbl_MTG_Set_Type[Set Type], tbl_MTG_Set_Type[Sell Window Month End], "(Set Type not found)", 0, 1)</f>
        <v>(Set Type not found)</v>
      </c>
      <c r="W922" s="3" t="e">
        <f>tbl_MTG_Set[[#This Row],[Released On]]+tbl_MTG_Set[[#This Row],[Sell Window Month End]]*365.25/12</f>
        <v>#VALUE!</v>
      </c>
      <c r="X922" s="3" t="e">
        <f ca="1">AND(NOW()&gt;=tbl_MTG_Set[[#This Row],[Sell Window Start]], NOW()&lt;=tbl_MTG_Set[[#This Row],[Sell Window End]])</f>
        <v>#VALUE!</v>
      </c>
      <c r="AG922" s="10"/>
      <c r="AH922" s="10"/>
      <c r="AM922" s="10" t="str" cm="1">
        <f t="array" ref="AM9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2" s="10" t="str" cm="1">
        <f t="array" ref="AN9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2" s="4" t="e">
        <f>_xlfn.XLOOKUP(tbl_MTG_Set[[#This Row],[Play Booster Box Product Id]], tbl_Product[Product Id], tbl_Product[Pack Size])</f>
        <v>#N/A</v>
      </c>
      <c r="AP922" s="10" t="e">
        <f>(tbl_MTG_Set[[#This Row],[Play Booster Box Cost]]+v_Item_Shipping_Cost_In)/tbl_MTG_Set[[#This Row],[Play Booster Box Size]]</f>
        <v>#VALUE!</v>
      </c>
      <c r="AQ922" s="10" t="str" cm="1">
        <f t="array" ref="AQ9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2" s="10"/>
      <c r="AS922" s="10"/>
      <c r="AT922" s="17" t="e">
        <f>tbl_MTG_Set[[#This Row],[Play Booster CardMarket Profit]]/tbl_MTG_Set[[#This Row],[Play Booster Cost]]</f>
        <v>#VALUE!</v>
      </c>
      <c r="AU922" s="10" t="e">
        <f>_xlfn.XLOOKUP(tbl_MTG_Set[[#This Row],[Collector Booster Box Product Id]], tbl_Product[Product Id], tbl_Product[Min Cost])</f>
        <v>#N/A</v>
      </c>
      <c r="AV922" s="10" t="e">
        <f>_xlfn.XLOOKUP(tbl_MTG_Set[[#This Row],[Collector Booster Box Product Id]], tbl_Product[Product Id], tbl_Product[Best Source])</f>
        <v>#N/A</v>
      </c>
      <c r="AW922" s="4" t="e">
        <f>_xlfn.XLOOKUP(tbl_MTG_Set[[#This Row],[Collector Booster Box Product Id]], tbl_Product[Product Id], tbl_Product[Pack Size])</f>
        <v>#N/A</v>
      </c>
      <c r="AX922" s="10" t="e">
        <f>(tbl_MTG_Set[[#This Row],[Collector Booster Box Cost]] + v_Item_Shipping_Cost_In) / tbl_MTG_Set[[#This Row],[Collector Booster Box Size]]</f>
        <v>#N/A</v>
      </c>
      <c r="AY922" s="10" t="str" cm="1">
        <f t="array" ref="AY9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2" s="10"/>
      <c r="BA9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2" s="17" t="e">
        <f>tbl_MTG_Set[[#This Row],[Collector Booster CardMarket Profit]]/tbl_MTG_Set[[#This Row],[Collector Booster Cost]]</f>
        <v>#N/A</v>
      </c>
      <c r="BC922" s="10"/>
      <c r="BF92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2" s="11" t="e">
        <f>tbl_MTG_Set[[#This Row],[Play Singles CardMarket Profit MTG Stocks]]/tbl_MTG_Set[[#This Row],[Play Booster Cost]]</f>
        <v>#VALUE!</v>
      </c>
      <c r="BI922" s="11" t="b">
        <f>tbl_MTG_Set[[#This Row],[Play Singles CardMarket Profit MTG Stocks]]&gt;0</f>
        <v>0</v>
      </c>
      <c r="BM922" s="10" t="e">
        <f>tbl_MTG_Set[[#This Row],[Play Booster Sell Price CardMarket]]*tbl_MTG_Set[[#This Row],[Play Booster Expected Market Value BotBox]]/tbl_MTG_Set[[#This Row],[Play Booster Sealed Market Value BotBox]]</f>
        <v>#VALUE!</v>
      </c>
      <c r="BN9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2" s="10" t="e">
        <f>tbl_MTG_Set[[#This Row],[Play Singles CardMarket Profit BotBox]]/tbl_MTG_Set[[#This Row],[Play Booster Cost]]</f>
        <v>#VALUE!</v>
      </c>
      <c r="BP922" s="10" t="b">
        <f>tbl_MTG_Set[[#This Row],[Play Singles CardMarket Profit BotBox]]&gt;0</f>
        <v>0</v>
      </c>
      <c r="BQ922" s="10"/>
      <c r="BR922" s="10"/>
      <c r="BS922" s="10"/>
      <c r="BT92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2" s="19" t="e">
        <f>tbl_MTG_Set[[#This Row],[Collector Singles CardMarket Profit MTG Stocks]]/tbl_MTG_Set[[#This Row],[Collector Booster Cost]]</f>
        <v>#N/A</v>
      </c>
      <c r="BW922" s="10" t="b">
        <f>tbl_MTG_Set[[#This Row],[Collector Singles CardMarket Profit MTG Stocks]]&gt;0</f>
        <v>0</v>
      </c>
      <c r="BX922" s="10"/>
      <c r="BY922" s="10"/>
      <c r="BZ92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2" s="10" t="e">
        <f>tbl_MTG_Set[[#This Row],[Collector Singles CardMarket Profit BotBox]]/tbl_MTG_Set[[#This Row],[Collector Booster Cost]]</f>
        <v>#N/A</v>
      </c>
      <c r="CC922" s="10" t="b">
        <f>tbl_MTG_Set[[#This Row],[Collector Singles CardMarket Profit BotBox]]&gt;0</f>
        <v>0</v>
      </c>
      <c r="CD9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3" spans="1:86" hidden="1">
      <c r="A923">
        <v>955</v>
      </c>
      <c r="B923" t="s">
        <v>1096</v>
      </c>
      <c r="C923">
        <v>143</v>
      </c>
      <c r="D923" s="3">
        <v>36318</v>
      </c>
      <c r="F923" t="s">
        <v>174</v>
      </c>
      <c r="G923">
        <v>1856</v>
      </c>
      <c r="H923">
        <f ca="1">MONTH(NOW())+12*YEAR(NOW())-MONTH(tbl_MTG_Set[[#This Row],[Released On]])-12*YEAR(tbl_MTG_Set[[#This Row],[Released On]])</f>
        <v>321</v>
      </c>
      <c r="I923" t="str">
        <f>_xlfn.XLOOKUP(tbl_MTG_Set[[#This Row],[Type Name]], tbl_MTG_Set_Type[Set Type], tbl_MTG_Set_Type[Index], "(Set Type not found)")</f>
        <v>(Set Type not found)</v>
      </c>
      <c r="J923" t="str">
        <f>_xlfn.XLOOKUP(tbl_MTG_Set[[#This Row],[Type Name]], tbl_MTG_Set_Type[Set Type], tbl_MTG_Set_Type[Buy Window Month Start], "(Set Type not found)")</f>
        <v>(Set Type not found)</v>
      </c>
      <c r="K923" s="3" t="e">
        <f>tbl_MTG_Set[[#This Row],[Released On]]+tbl_MTG_Set[[#This Row],[Buy Window Month Start]]*365.25/12</f>
        <v>#VALUE!</v>
      </c>
      <c r="L923" t="str">
        <f>_xlfn.XLOOKUP(tbl_MTG_Set[[#This Row],[Type Name]], tbl_MTG_Set_Type[Set Type], tbl_MTG_Set_Type[Buy Window Month End], "(Set Type not found)", 0, 1)</f>
        <v>(Set Type not found)</v>
      </c>
      <c r="M923" s="3" t="e">
        <f>tbl_MTG_Set[[#This Row],[Released On]]+tbl_MTG_Set[[#This Row],[Buy Window Month End]]*365.25/12</f>
        <v>#VALUE!</v>
      </c>
      <c r="N923" s="3" t="e">
        <f ca="1">AND(NOW()&gt;=tbl_MTG_Set[[#This Row],[Buy Window Start]], NOW()&lt;=tbl_MTG_Set[[#This Row],[Buy Window End]])</f>
        <v>#VALUE!</v>
      </c>
      <c r="O923" t="str">
        <f>_xlfn.XLOOKUP(tbl_MTG_Set[[#This Row],[Type Name]], tbl_MTG_Set_Type[Set Type], tbl_MTG_Set_Type[Heavy Printing Window Month Start], "(Set Type not found)", 0, 1)</f>
        <v>(Set Type not found)</v>
      </c>
      <c r="P923" s="3" t="e">
        <f>tbl_MTG_Set[[#This Row],[Released On]]+tbl_MTG_Set[[#This Row],[Heavy Printing Window Month Start]]*365.25/12</f>
        <v>#VALUE!</v>
      </c>
      <c r="Q923" t="str">
        <f>_xlfn.XLOOKUP(tbl_MTG_Set[[#This Row],[Type Name]], tbl_MTG_Set_Type[Set Type], tbl_MTG_Set_Type[Heavy Printing Window Month End], "(Set Type not found)", 0, 1)</f>
        <v>(Set Type not found)</v>
      </c>
      <c r="R923" s="3" t="e">
        <f>tbl_MTG_Set[[#This Row],[Released On]]+tbl_MTG_Set[[#This Row],[Heavy Printing Window Month End]]*365.25/12</f>
        <v>#VALUE!</v>
      </c>
      <c r="S923" s="3" t="e">
        <f ca="1">AND(NOW()&gt;=tbl_MTG_Set[[#This Row],[Heavy Printing Window Start]], NOW()&lt;=tbl_MTG_Set[[#This Row],[Heavy Printing Window End]])</f>
        <v>#VALUE!</v>
      </c>
      <c r="T923" t="str">
        <f>_xlfn.XLOOKUP(tbl_MTG_Set[[#This Row],[Type Name]], tbl_MTG_Set_Type[Set Type], tbl_MTG_Set_Type[Sell Window Month Start], "(Set Type not found)", 0, 1)</f>
        <v>(Set Type not found)</v>
      </c>
      <c r="U923" s="3" t="e">
        <f>tbl_MTG_Set[[#This Row],[Released On]]+tbl_MTG_Set[[#This Row],[Sell Window Month Start]]*365.25/12</f>
        <v>#VALUE!</v>
      </c>
      <c r="V923" t="str">
        <f>_xlfn.XLOOKUP(tbl_MTG_Set[[#This Row],[Type Name]], tbl_MTG_Set_Type[Set Type], tbl_MTG_Set_Type[Sell Window Month End], "(Set Type not found)", 0, 1)</f>
        <v>(Set Type not found)</v>
      </c>
      <c r="W923" s="3" t="e">
        <f>tbl_MTG_Set[[#This Row],[Released On]]+tbl_MTG_Set[[#This Row],[Sell Window Month End]]*365.25/12</f>
        <v>#VALUE!</v>
      </c>
      <c r="X923" s="3" t="e">
        <f ca="1">AND(NOW()&gt;=tbl_MTG_Set[[#This Row],[Sell Window Start]], NOW()&lt;=tbl_MTG_Set[[#This Row],[Sell Window End]])</f>
        <v>#VALUE!</v>
      </c>
      <c r="AG923" s="10"/>
      <c r="AH923" s="10"/>
      <c r="AM923" s="10" t="str" cm="1">
        <f t="array" ref="AM9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3" s="10" t="str" cm="1">
        <f t="array" ref="AN9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3" s="4" t="e">
        <f>_xlfn.XLOOKUP(tbl_MTG_Set[[#This Row],[Play Booster Box Product Id]], tbl_Product[Product Id], tbl_Product[Pack Size])</f>
        <v>#N/A</v>
      </c>
      <c r="AP923" s="10" t="e">
        <f>(tbl_MTG_Set[[#This Row],[Play Booster Box Cost]]+v_Item_Shipping_Cost_In)/tbl_MTG_Set[[#This Row],[Play Booster Box Size]]</f>
        <v>#VALUE!</v>
      </c>
      <c r="AQ923" s="10" t="str" cm="1">
        <f t="array" ref="AQ9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3" s="10"/>
      <c r="AS923" s="10"/>
      <c r="AT923" s="17" t="e">
        <f>tbl_MTG_Set[[#This Row],[Play Booster CardMarket Profit]]/tbl_MTG_Set[[#This Row],[Play Booster Cost]]</f>
        <v>#VALUE!</v>
      </c>
      <c r="AU923" s="10" t="e">
        <f>_xlfn.XLOOKUP(tbl_MTG_Set[[#This Row],[Collector Booster Box Product Id]], tbl_Product[Product Id], tbl_Product[Min Cost])</f>
        <v>#N/A</v>
      </c>
      <c r="AV923" s="10" t="e">
        <f>_xlfn.XLOOKUP(tbl_MTG_Set[[#This Row],[Collector Booster Box Product Id]], tbl_Product[Product Id], tbl_Product[Best Source])</f>
        <v>#N/A</v>
      </c>
      <c r="AW923" s="4" t="e">
        <f>_xlfn.XLOOKUP(tbl_MTG_Set[[#This Row],[Collector Booster Box Product Id]], tbl_Product[Product Id], tbl_Product[Pack Size])</f>
        <v>#N/A</v>
      </c>
      <c r="AX923" s="10" t="e">
        <f>(tbl_MTG_Set[[#This Row],[Collector Booster Box Cost]] + v_Item_Shipping_Cost_In) / tbl_MTG_Set[[#This Row],[Collector Booster Box Size]]</f>
        <v>#N/A</v>
      </c>
      <c r="AY923" s="10" t="str" cm="1">
        <f t="array" ref="AY9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3" s="10"/>
      <c r="BA9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3" s="17" t="e">
        <f>tbl_MTG_Set[[#This Row],[Collector Booster CardMarket Profit]]/tbl_MTG_Set[[#This Row],[Collector Booster Cost]]</f>
        <v>#N/A</v>
      </c>
      <c r="BC923" s="10"/>
      <c r="BF92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3" s="11" t="e">
        <f>tbl_MTG_Set[[#This Row],[Play Singles CardMarket Profit MTG Stocks]]/tbl_MTG_Set[[#This Row],[Play Booster Cost]]</f>
        <v>#VALUE!</v>
      </c>
      <c r="BI923" s="11" t="b">
        <f>tbl_MTG_Set[[#This Row],[Play Singles CardMarket Profit MTG Stocks]]&gt;0</f>
        <v>0</v>
      </c>
      <c r="BM923" s="10" t="e">
        <f>tbl_MTG_Set[[#This Row],[Play Booster Sell Price CardMarket]]*tbl_MTG_Set[[#This Row],[Play Booster Expected Market Value BotBox]]/tbl_MTG_Set[[#This Row],[Play Booster Sealed Market Value BotBox]]</f>
        <v>#VALUE!</v>
      </c>
      <c r="BN9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3" s="10" t="e">
        <f>tbl_MTG_Set[[#This Row],[Play Singles CardMarket Profit BotBox]]/tbl_MTG_Set[[#This Row],[Play Booster Cost]]</f>
        <v>#VALUE!</v>
      </c>
      <c r="BP923" s="10" t="b">
        <f>tbl_MTG_Set[[#This Row],[Play Singles CardMarket Profit BotBox]]&gt;0</f>
        <v>0</v>
      </c>
      <c r="BQ923" s="10"/>
      <c r="BR923" s="10"/>
      <c r="BS923" s="10"/>
      <c r="BT92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3" s="19" t="e">
        <f>tbl_MTG_Set[[#This Row],[Collector Singles CardMarket Profit MTG Stocks]]/tbl_MTG_Set[[#This Row],[Collector Booster Cost]]</f>
        <v>#N/A</v>
      </c>
      <c r="BW923" s="10" t="b">
        <f>tbl_MTG_Set[[#This Row],[Collector Singles CardMarket Profit MTG Stocks]]&gt;0</f>
        <v>0</v>
      </c>
      <c r="BX923" s="10"/>
      <c r="BY923" s="10"/>
      <c r="BZ92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3" s="10" t="e">
        <f>tbl_MTG_Set[[#This Row],[Collector Singles CardMarket Profit BotBox]]/tbl_MTG_Set[[#This Row],[Collector Booster Cost]]</f>
        <v>#N/A</v>
      </c>
      <c r="CC923" s="10" t="b">
        <f>tbl_MTG_Set[[#This Row],[Collector Singles CardMarket Profit BotBox]]&gt;0</f>
        <v>0</v>
      </c>
      <c r="CD9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4" spans="1:86" hidden="1">
      <c r="A924">
        <v>956</v>
      </c>
      <c r="B924" t="s">
        <v>1097</v>
      </c>
      <c r="C924">
        <v>1</v>
      </c>
      <c r="D924" s="3">
        <v>36318</v>
      </c>
      <c r="F924" t="s">
        <v>174</v>
      </c>
      <c r="G924">
        <v>1858</v>
      </c>
      <c r="H924">
        <f ca="1">MONTH(NOW())+12*YEAR(NOW())-MONTH(tbl_MTG_Set[[#This Row],[Released On]])-12*YEAR(tbl_MTG_Set[[#This Row],[Released On]])</f>
        <v>321</v>
      </c>
      <c r="I924" t="str">
        <f>_xlfn.XLOOKUP(tbl_MTG_Set[[#This Row],[Type Name]], tbl_MTG_Set_Type[Set Type], tbl_MTG_Set_Type[Index], "(Set Type not found)")</f>
        <v>(Set Type not found)</v>
      </c>
      <c r="J924" t="str">
        <f>_xlfn.XLOOKUP(tbl_MTG_Set[[#This Row],[Type Name]], tbl_MTG_Set_Type[Set Type], tbl_MTG_Set_Type[Buy Window Month Start], "(Set Type not found)")</f>
        <v>(Set Type not found)</v>
      </c>
      <c r="K924" s="3" t="e">
        <f>tbl_MTG_Set[[#This Row],[Released On]]+tbl_MTG_Set[[#This Row],[Buy Window Month Start]]*365.25/12</f>
        <v>#VALUE!</v>
      </c>
      <c r="L924" t="str">
        <f>_xlfn.XLOOKUP(tbl_MTG_Set[[#This Row],[Type Name]], tbl_MTG_Set_Type[Set Type], tbl_MTG_Set_Type[Buy Window Month End], "(Set Type not found)", 0, 1)</f>
        <v>(Set Type not found)</v>
      </c>
      <c r="M924" s="3" t="e">
        <f>tbl_MTG_Set[[#This Row],[Released On]]+tbl_MTG_Set[[#This Row],[Buy Window Month End]]*365.25/12</f>
        <v>#VALUE!</v>
      </c>
      <c r="N924" s="3" t="e">
        <f ca="1">AND(NOW()&gt;=tbl_MTG_Set[[#This Row],[Buy Window Start]], NOW()&lt;=tbl_MTG_Set[[#This Row],[Buy Window End]])</f>
        <v>#VALUE!</v>
      </c>
      <c r="O924" t="str">
        <f>_xlfn.XLOOKUP(tbl_MTG_Set[[#This Row],[Type Name]], tbl_MTG_Set_Type[Set Type], tbl_MTG_Set_Type[Heavy Printing Window Month Start], "(Set Type not found)", 0, 1)</f>
        <v>(Set Type not found)</v>
      </c>
      <c r="P924" s="3" t="e">
        <f>tbl_MTG_Set[[#This Row],[Released On]]+tbl_MTG_Set[[#This Row],[Heavy Printing Window Month Start]]*365.25/12</f>
        <v>#VALUE!</v>
      </c>
      <c r="Q924" t="str">
        <f>_xlfn.XLOOKUP(tbl_MTG_Set[[#This Row],[Type Name]], tbl_MTG_Set_Type[Set Type], tbl_MTG_Set_Type[Heavy Printing Window Month End], "(Set Type not found)", 0, 1)</f>
        <v>(Set Type not found)</v>
      </c>
      <c r="R924" s="3" t="e">
        <f>tbl_MTG_Set[[#This Row],[Released On]]+tbl_MTG_Set[[#This Row],[Heavy Printing Window Month End]]*365.25/12</f>
        <v>#VALUE!</v>
      </c>
      <c r="S924" s="3" t="e">
        <f ca="1">AND(NOW()&gt;=tbl_MTG_Set[[#This Row],[Heavy Printing Window Start]], NOW()&lt;=tbl_MTG_Set[[#This Row],[Heavy Printing Window End]])</f>
        <v>#VALUE!</v>
      </c>
      <c r="T924" t="str">
        <f>_xlfn.XLOOKUP(tbl_MTG_Set[[#This Row],[Type Name]], tbl_MTG_Set_Type[Set Type], tbl_MTG_Set_Type[Sell Window Month Start], "(Set Type not found)", 0, 1)</f>
        <v>(Set Type not found)</v>
      </c>
      <c r="U924" s="3" t="e">
        <f>tbl_MTG_Set[[#This Row],[Released On]]+tbl_MTG_Set[[#This Row],[Sell Window Month Start]]*365.25/12</f>
        <v>#VALUE!</v>
      </c>
      <c r="V924" t="str">
        <f>_xlfn.XLOOKUP(tbl_MTG_Set[[#This Row],[Type Name]], tbl_MTG_Set_Type[Set Type], tbl_MTG_Set_Type[Sell Window Month End], "(Set Type not found)", 0, 1)</f>
        <v>(Set Type not found)</v>
      </c>
      <c r="W924" s="3" t="e">
        <f>tbl_MTG_Set[[#This Row],[Released On]]+tbl_MTG_Set[[#This Row],[Sell Window Month End]]*365.25/12</f>
        <v>#VALUE!</v>
      </c>
      <c r="X924" s="3" t="e">
        <f ca="1">AND(NOW()&gt;=tbl_MTG_Set[[#This Row],[Sell Window Start]], NOW()&lt;=tbl_MTG_Set[[#This Row],[Sell Window End]])</f>
        <v>#VALUE!</v>
      </c>
      <c r="AG924" s="10"/>
      <c r="AH924" s="10"/>
      <c r="AM924" s="10" t="str" cm="1">
        <f t="array" ref="AM9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4" s="10" t="str" cm="1">
        <f t="array" ref="AN9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4" s="4" t="e">
        <f>_xlfn.XLOOKUP(tbl_MTG_Set[[#This Row],[Play Booster Box Product Id]], tbl_Product[Product Id], tbl_Product[Pack Size])</f>
        <v>#N/A</v>
      </c>
      <c r="AP924" s="10" t="e">
        <f>(tbl_MTG_Set[[#This Row],[Play Booster Box Cost]]+v_Item_Shipping_Cost_In)/tbl_MTG_Set[[#This Row],[Play Booster Box Size]]</f>
        <v>#VALUE!</v>
      </c>
      <c r="AQ924" s="10" t="str" cm="1">
        <f t="array" ref="AQ9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4" s="10"/>
      <c r="AS924" s="10"/>
      <c r="AT924" s="17" t="e">
        <f>tbl_MTG_Set[[#This Row],[Play Booster CardMarket Profit]]/tbl_MTG_Set[[#This Row],[Play Booster Cost]]</f>
        <v>#VALUE!</v>
      </c>
      <c r="AU924" s="10" t="e">
        <f>_xlfn.XLOOKUP(tbl_MTG_Set[[#This Row],[Collector Booster Box Product Id]], tbl_Product[Product Id], tbl_Product[Min Cost])</f>
        <v>#N/A</v>
      </c>
      <c r="AV924" s="10" t="e">
        <f>_xlfn.XLOOKUP(tbl_MTG_Set[[#This Row],[Collector Booster Box Product Id]], tbl_Product[Product Id], tbl_Product[Best Source])</f>
        <v>#N/A</v>
      </c>
      <c r="AW924" s="4" t="e">
        <f>_xlfn.XLOOKUP(tbl_MTG_Set[[#This Row],[Collector Booster Box Product Id]], tbl_Product[Product Id], tbl_Product[Pack Size])</f>
        <v>#N/A</v>
      </c>
      <c r="AX924" s="10" t="e">
        <f>(tbl_MTG_Set[[#This Row],[Collector Booster Box Cost]] + v_Item_Shipping_Cost_In) / tbl_MTG_Set[[#This Row],[Collector Booster Box Size]]</f>
        <v>#N/A</v>
      </c>
      <c r="AY924" s="10" t="str" cm="1">
        <f t="array" ref="AY9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4" s="10"/>
      <c r="BA9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4" s="17" t="e">
        <f>tbl_MTG_Set[[#This Row],[Collector Booster CardMarket Profit]]/tbl_MTG_Set[[#This Row],[Collector Booster Cost]]</f>
        <v>#N/A</v>
      </c>
      <c r="BC924" s="10"/>
      <c r="BF92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4" s="11" t="e">
        <f>tbl_MTG_Set[[#This Row],[Play Singles CardMarket Profit MTG Stocks]]/tbl_MTG_Set[[#This Row],[Play Booster Cost]]</f>
        <v>#VALUE!</v>
      </c>
      <c r="BI924" s="11" t="b">
        <f>tbl_MTG_Set[[#This Row],[Play Singles CardMarket Profit MTG Stocks]]&gt;0</f>
        <v>0</v>
      </c>
      <c r="BM924" s="10" t="e">
        <f>tbl_MTG_Set[[#This Row],[Play Booster Sell Price CardMarket]]*tbl_MTG_Set[[#This Row],[Play Booster Expected Market Value BotBox]]/tbl_MTG_Set[[#This Row],[Play Booster Sealed Market Value BotBox]]</f>
        <v>#VALUE!</v>
      </c>
      <c r="BN9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4" s="10" t="e">
        <f>tbl_MTG_Set[[#This Row],[Play Singles CardMarket Profit BotBox]]/tbl_MTG_Set[[#This Row],[Play Booster Cost]]</f>
        <v>#VALUE!</v>
      </c>
      <c r="BP924" s="10" t="b">
        <f>tbl_MTG_Set[[#This Row],[Play Singles CardMarket Profit BotBox]]&gt;0</f>
        <v>0</v>
      </c>
      <c r="BQ924" s="10"/>
      <c r="BR924" s="10"/>
      <c r="BS924" s="10"/>
      <c r="BT92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4" s="19" t="e">
        <f>tbl_MTG_Set[[#This Row],[Collector Singles CardMarket Profit MTG Stocks]]/tbl_MTG_Set[[#This Row],[Collector Booster Cost]]</f>
        <v>#N/A</v>
      </c>
      <c r="BW924" s="10" t="b">
        <f>tbl_MTG_Set[[#This Row],[Collector Singles CardMarket Profit MTG Stocks]]&gt;0</f>
        <v>0</v>
      </c>
      <c r="BX924" s="10"/>
      <c r="BY924" s="10"/>
      <c r="BZ92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4" s="10" t="e">
        <f>tbl_MTG_Set[[#This Row],[Collector Singles CardMarket Profit BotBox]]/tbl_MTG_Set[[#This Row],[Collector Booster Cost]]</f>
        <v>#N/A</v>
      </c>
      <c r="CC924" s="10" t="b">
        <f>tbl_MTG_Set[[#This Row],[Collector Singles CardMarket Profit BotBox]]&gt;0</f>
        <v>0</v>
      </c>
      <c r="CD9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5" spans="1:86" hidden="1">
      <c r="A925">
        <v>957</v>
      </c>
      <c r="B925" t="s">
        <v>1098</v>
      </c>
      <c r="C925">
        <v>180</v>
      </c>
      <c r="D925" s="3">
        <v>36281</v>
      </c>
      <c r="F925" t="s">
        <v>174</v>
      </c>
      <c r="G925">
        <v>1860</v>
      </c>
      <c r="H925">
        <f ca="1">MONTH(NOW())+12*YEAR(NOW())-MONTH(tbl_MTG_Set[[#This Row],[Released On]])-12*YEAR(tbl_MTG_Set[[#This Row],[Released On]])</f>
        <v>322</v>
      </c>
      <c r="I925" t="str">
        <f>_xlfn.XLOOKUP(tbl_MTG_Set[[#This Row],[Type Name]], tbl_MTG_Set_Type[Set Type], tbl_MTG_Set_Type[Index], "(Set Type not found)")</f>
        <v>(Set Type not found)</v>
      </c>
      <c r="J925" t="str">
        <f>_xlfn.XLOOKUP(tbl_MTG_Set[[#This Row],[Type Name]], tbl_MTG_Set_Type[Set Type], tbl_MTG_Set_Type[Buy Window Month Start], "(Set Type not found)")</f>
        <v>(Set Type not found)</v>
      </c>
      <c r="K925" s="3" t="e">
        <f>tbl_MTG_Set[[#This Row],[Released On]]+tbl_MTG_Set[[#This Row],[Buy Window Month Start]]*365.25/12</f>
        <v>#VALUE!</v>
      </c>
      <c r="L925" t="str">
        <f>_xlfn.XLOOKUP(tbl_MTG_Set[[#This Row],[Type Name]], tbl_MTG_Set_Type[Set Type], tbl_MTG_Set_Type[Buy Window Month End], "(Set Type not found)", 0, 1)</f>
        <v>(Set Type not found)</v>
      </c>
      <c r="M925" s="3" t="e">
        <f>tbl_MTG_Set[[#This Row],[Released On]]+tbl_MTG_Set[[#This Row],[Buy Window Month End]]*365.25/12</f>
        <v>#VALUE!</v>
      </c>
      <c r="N925" s="3" t="e">
        <f ca="1">AND(NOW()&gt;=tbl_MTG_Set[[#This Row],[Buy Window Start]], NOW()&lt;=tbl_MTG_Set[[#This Row],[Buy Window End]])</f>
        <v>#VALUE!</v>
      </c>
      <c r="O925" t="str">
        <f>_xlfn.XLOOKUP(tbl_MTG_Set[[#This Row],[Type Name]], tbl_MTG_Set_Type[Set Type], tbl_MTG_Set_Type[Heavy Printing Window Month Start], "(Set Type not found)", 0, 1)</f>
        <v>(Set Type not found)</v>
      </c>
      <c r="P925" s="3" t="e">
        <f>tbl_MTG_Set[[#This Row],[Released On]]+tbl_MTG_Set[[#This Row],[Heavy Printing Window Month Start]]*365.25/12</f>
        <v>#VALUE!</v>
      </c>
      <c r="Q925" t="str">
        <f>_xlfn.XLOOKUP(tbl_MTG_Set[[#This Row],[Type Name]], tbl_MTG_Set_Type[Set Type], tbl_MTG_Set_Type[Heavy Printing Window Month End], "(Set Type not found)", 0, 1)</f>
        <v>(Set Type not found)</v>
      </c>
      <c r="R925" s="3" t="e">
        <f>tbl_MTG_Set[[#This Row],[Released On]]+tbl_MTG_Set[[#This Row],[Heavy Printing Window Month End]]*365.25/12</f>
        <v>#VALUE!</v>
      </c>
      <c r="S925" s="3" t="e">
        <f ca="1">AND(NOW()&gt;=tbl_MTG_Set[[#This Row],[Heavy Printing Window Start]], NOW()&lt;=tbl_MTG_Set[[#This Row],[Heavy Printing Window End]])</f>
        <v>#VALUE!</v>
      </c>
      <c r="T925" t="str">
        <f>_xlfn.XLOOKUP(tbl_MTG_Set[[#This Row],[Type Name]], tbl_MTG_Set_Type[Set Type], tbl_MTG_Set_Type[Sell Window Month Start], "(Set Type not found)", 0, 1)</f>
        <v>(Set Type not found)</v>
      </c>
      <c r="U925" s="3" t="e">
        <f>tbl_MTG_Set[[#This Row],[Released On]]+tbl_MTG_Set[[#This Row],[Sell Window Month Start]]*365.25/12</f>
        <v>#VALUE!</v>
      </c>
      <c r="V925" t="str">
        <f>_xlfn.XLOOKUP(tbl_MTG_Set[[#This Row],[Type Name]], tbl_MTG_Set_Type[Set Type], tbl_MTG_Set_Type[Sell Window Month End], "(Set Type not found)", 0, 1)</f>
        <v>(Set Type not found)</v>
      </c>
      <c r="W925" s="3" t="e">
        <f>tbl_MTG_Set[[#This Row],[Released On]]+tbl_MTG_Set[[#This Row],[Sell Window Month End]]*365.25/12</f>
        <v>#VALUE!</v>
      </c>
      <c r="X925" s="3" t="e">
        <f ca="1">AND(NOW()&gt;=tbl_MTG_Set[[#This Row],[Sell Window Start]], NOW()&lt;=tbl_MTG_Set[[#This Row],[Sell Window End]])</f>
        <v>#VALUE!</v>
      </c>
      <c r="AG925" s="10"/>
      <c r="AH925" s="10"/>
      <c r="AM925" s="10" t="str" cm="1">
        <f t="array" ref="AM92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5" s="10" t="str" cm="1">
        <f t="array" ref="AN92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5" s="4" t="e">
        <f>_xlfn.XLOOKUP(tbl_MTG_Set[[#This Row],[Play Booster Box Product Id]], tbl_Product[Product Id], tbl_Product[Pack Size])</f>
        <v>#N/A</v>
      </c>
      <c r="AP925" s="10" t="e">
        <f>(tbl_MTG_Set[[#This Row],[Play Booster Box Cost]]+v_Item_Shipping_Cost_In)/tbl_MTG_Set[[#This Row],[Play Booster Box Size]]</f>
        <v>#VALUE!</v>
      </c>
      <c r="AQ925" s="10" t="str" cm="1">
        <f t="array" ref="AQ92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5" s="10"/>
      <c r="AS925" s="10"/>
      <c r="AT925" s="17" t="e">
        <f>tbl_MTG_Set[[#This Row],[Play Booster CardMarket Profit]]/tbl_MTG_Set[[#This Row],[Play Booster Cost]]</f>
        <v>#VALUE!</v>
      </c>
      <c r="AU925" s="10" t="e">
        <f>_xlfn.XLOOKUP(tbl_MTG_Set[[#This Row],[Collector Booster Box Product Id]], tbl_Product[Product Id], tbl_Product[Min Cost])</f>
        <v>#N/A</v>
      </c>
      <c r="AV925" s="10" t="e">
        <f>_xlfn.XLOOKUP(tbl_MTG_Set[[#This Row],[Collector Booster Box Product Id]], tbl_Product[Product Id], tbl_Product[Best Source])</f>
        <v>#N/A</v>
      </c>
      <c r="AW925" s="4" t="e">
        <f>_xlfn.XLOOKUP(tbl_MTG_Set[[#This Row],[Collector Booster Box Product Id]], tbl_Product[Product Id], tbl_Product[Pack Size])</f>
        <v>#N/A</v>
      </c>
      <c r="AX925" s="10" t="e">
        <f>(tbl_MTG_Set[[#This Row],[Collector Booster Box Cost]] + v_Item_Shipping_Cost_In) / tbl_MTG_Set[[#This Row],[Collector Booster Box Size]]</f>
        <v>#N/A</v>
      </c>
      <c r="AY925" s="10" t="str" cm="1">
        <f t="array" ref="AY92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5" s="10"/>
      <c r="BA92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5" s="17" t="e">
        <f>tbl_MTG_Set[[#This Row],[Collector Booster CardMarket Profit]]/tbl_MTG_Set[[#This Row],[Collector Booster Cost]]</f>
        <v>#N/A</v>
      </c>
      <c r="BC925" s="10"/>
      <c r="BF92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5" s="11" t="e">
        <f>tbl_MTG_Set[[#This Row],[Play Singles CardMarket Profit MTG Stocks]]/tbl_MTG_Set[[#This Row],[Play Booster Cost]]</f>
        <v>#VALUE!</v>
      </c>
      <c r="BI925" s="11" t="b">
        <f>tbl_MTG_Set[[#This Row],[Play Singles CardMarket Profit MTG Stocks]]&gt;0</f>
        <v>0</v>
      </c>
      <c r="BM925" s="10" t="e">
        <f>tbl_MTG_Set[[#This Row],[Play Booster Sell Price CardMarket]]*tbl_MTG_Set[[#This Row],[Play Booster Expected Market Value BotBox]]/tbl_MTG_Set[[#This Row],[Play Booster Sealed Market Value BotBox]]</f>
        <v>#VALUE!</v>
      </c>
      <c r="BN92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5" s="10" t="e">
        <f>tbl_MTG_Set[[#This Row],[Play Singles CardMarket Profit BotBox]]/tbl_MTG_Set[[#This Row],[Play Booster Cost]]</f>
        <v>#VALUE!</v>
      </c>
      <c r="BP925" s="10" t="b">
        <f>tbl_MTG_Set[[#This Row],[Play Singles CardMarket Profit BotBox]]&gt;0</f>
        <v>0</v>
      </c>
      <c r="BQ925" s="10"/>
      <c r="BR925" s="10"/>
      <c r="BS925" s="10"/>
      <c r="BT92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5" s="19" t="e">
        <f>tbl_MTG_Set[[#This Row],[Collector Singles CardMarket Profit MTG Stocks]]/tbl_MTG_Set[[#This Row],[Collector Booster Cost]]</f>
        <v>#N/A</v>
      </c>
      <c r="BW925" s="10" t="b">
        <f>tbl_MTG_Set[[#This Row],[Collector Singles CardMarket Profit MTG Stocks]]&gt;0</f>
        <v>0</v>
      </c>
      <c r="BX925" s="10"/>
      <c r="BY925" s="10"/>
      <c r="BZ92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5" s="10" t="e">
        <f>tbl_MTG_Set[[#This Row],[Collector Singles CardMarket Profit BotBox]]/tbl_MTG_Set[[#This Row],[Collector Booster Cost]]</f>
        <v>#N/A</v>
      </c>
      <c r="CC925" s="10" t="b">
        <f>tbl_MTG_Set[[#This Row],[Collector Singles CardMarket Profit BotBox]]&gt;0</f>
        <v>0</v>
      </c>
      <c r="CD92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6" spans="1:86" hidden="1">
      <c r="A926">
        <v>958</v>
      </c>
      <c r="B926" t="s">
        <v>1099</v>
      </c>
      <c r="C926">
        <v>2</v>
      </c>
      <c r="D926" s="3">
        <v>36281</v>
      </c>
      <c r="F926" t="s">
        <v>174</v>
      </c>
      <c r="G926">
        <v>1862</v>
      </c>
      <c r="H926">
        <f ca="1">MONTH(NOW())+12*YEAR(NOW())-MONTH(tbl_MTG_Set[[#This Row],[Released On]])-12*YEAR(tbl_MTG_Set[[#This Row],[Released On]])</f>
        <v>322</v>
      </c>
      <c r="I926" t="str">
        <f>_xlfn.XLOOKUP(tbl_MTG_Set[[#This Row],[Type Name]], tbl_MTG_Set_Type[Set Type], tbl_MTG_Set_Type[Index], "(Set Type not found)")</f>
        <v>(Set Type not found)</v>
      </c>
      <c r="J926" t="str">
        <f>_xlfn.XLOOKUP(tbl_MTG_Set[[#This Row],[Type Name]], tbl_MTG_Set_Type[Set Type], tbl_MTG_Set_Type[Buy Window Month Start], "(Set Type not found)")</f>
        <v>(Set Type not found)</v>
      </c>
      <c r="K926" s="3" t="e">
        <f>tbl_MTG_Set[[#This Row],[Released On]]+tbl_MTG_Set[[#This Row],[Buy Window Month Start]]*365.25/12</f>
        <v>#VALUE!</v>
      </c>
      <c r="L926" t="str">
        <f>_xlfn.XLOOKUP(tbl_MTG_Set[[#This Row],[Type Name]], tbl_MTG_Set_Type[Set Type], tbl_MTG_Set_Type[Buy Window Month End], "(Set Type not found)", 0, 1)</f>
        <v>(Set Type not found)</v>
      </c>
      <c r="M926" s="3" t="e">
        <f>tbl_MTG_Set[[#This Row],[Released On]]+tbl_MTG_Set[[#This Row],[Buy Window Month End]]*365.25/12</f>
        <v>#VALUE!</v>
      </c>
      <c r="N926" s="3" t="e">
        <f ca="1">AND(NOW()&gt;=tbl_MTG_Set[[#This Row],[Buy Window Start]], NOW()&lt;=tbl_MTG_Set[[#This Row],[Buy Window End]])</f>
        <v>#VALUE!</v>
      </c>
      <c r="O926" t="str">
        <f>_xlfn.XLOOKUP(tbl_MTG_Set[[#This Row],[Type Name]], tbl_MTG_Set_Type[Set Type], tbl_MTG_Set_Type[Heavy Printing Window Month Start], "(Set Type not found)", 0, 1)</f>
        <v>(Set Type not found)</v>
      </c>
      <c r="P926" s="3" t="e">
        <f>tbl_MTG_Set[[#This Row],[Released On]]+tbl_MTG_Set[[#This Row],[Heavy Printing Window Month Start]]*365.25/12</f>
        <v>#VALUE!</v>
      </c>
      <c r="Q926" t="str">
        <f>_xlfn.XLOOKUP(tbl_MTG_Set[[#This Row],[Type Name]], tbl_MTG_Set_Type[Set Type], tbl_MTG_Set_Type[Heavy Printing Window Month End], "(Set Type not found)", 0, 1)</f>
        <v>(Set Type not found)</v>
      </c>
      <c r="R926" s="3" t="e">
        <f>tbl_MTG_Set[[#This Row],[Released On]]+tbl_MTG_Set[[#This Row],[Heavy Printing Window Month End]]*365.25/12</f>
        <v>#VALUE!</v>
      </c>
      <c r="S926" s="3" t="e">
        <f ca="1">AND(NOW()&gt;=tbl_MTG_Set[[#This Row],[Heavy Printing Window Start]], NOW()&lt;=tbl_MTG_Set[[#This Row],[Heavy Printing Window End]])</f>
        <v>#VALUE!</v>
      </c>
      <c r="T926" t="str">
        <f>_xlfn.XLOOKUP(tbl_MTG_Set[[#This Row],[Type Name]], tbl_MTG_Set_Type[Set Type], tbl_MTG_Set_Type[Sell Window Month Start], "(Set Type not found)", 0, 1)</f>
        <v>(Set Type not found)</v>
      </c>
      <c r="U926" s="3" t="e">
        <f>tbl_MTG_Set[[#This Row],[Released On]]+tbl_MTG_Set[[#This Row],[Sell Window Month Start]]*365.25/12</f>
        <v>#VALUE!</v>
      </c>
      <c r="V926" t="str">
        <f>_xlfn.XLOOKUP(tbl_MTG_Set[[#This Row],[Type Name]], tbl_MTG_Set_Type[Set Type], tbl_MTG_Set_Type[Sell Window Month End], "(Set Type not found)", 0, 1)</f>
        <v>(Set Type not found)</v>
      </c>
      <c r="W926" s="3" t="e">
        <f>tbl_MTG_Set[[#This Row],[Released On]]+tbl_MTG_Set[[#This Row],[Sell Window Month End]]*365.25/12</f>
        <v>#VALUE!</v>
      </c>
      <c r="X926" s="3" t="e">
        <f ca="1">AND(NOW()&gt;=tbl_MTG_Set[[#This Row],[Sell Window Start]], NOW()&lt;=tbl_MTG_Set[[#This Row],[Sell Window End]])</f>
        <v>#VALUE!</v>
      </c>
      <c r="AG926" s="10"/>
      <c r="AH926" s="10"/>
      <c r="AM926" s="10" t="str" cm="1">
        <f t="array" ref="AM92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6" s="10" t="str" cm="1">
        <f t="array" ref="AN92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6" s="4" t="e">
        <f>_xlfn.XLOOKUP(tbl_MTG_Set[[#This Row],[Play Booster Box Product Id]], tbl_Product[Product Id], tbl_Product[Pack Size])</f>
        <v>#N/A</v>
      </c>
      <c r="AP926" s="10" t="e">
        <f>(tbl_MTG_Set[[#This Row],[Play Booster Box Cost]]+v_Item_Shipping_Cost_In)/tbl_MTG_Set[[#This Row],[Play Booster Box Size]]</f>
        <v>#VALUE!</v>
      </c>
      <c r="AQ926" s="10" t="str" cm="1">
        <f t="array" ref="AQ92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6" s="10"/>
      <c r="AS926" s="10"/>
      <c r="AT926" s="17" t="e">
        <f>tbl_MTG_Set[[#This Row],[Play Booster CardMarket Profit]]/tbl_MTG_Set[[#This Row],[Play Booster Cost]]</f>
        <v>#VALUE!</v>
      </c>
      <c r="AU926" s="10" t="e">
        <f>_xlfn.XLOOKUP(tbl_MTG_Set[[#This Row],[Collector Booster Box Product Id]], tbl_Product[Product Id], tbl_Product[Min Cost])</f>
        <v>#N/A</v>
      </c>
      <c r="AV926" s="10" t="e">
        <f>_xlfn.XLOOKUP(tbl_MTG_Set[[#This Row],[Collector Booster Box Product Id]], tbl_Product[Product Id], tbl_Product[Best Source])</f>
        <v>#N/A</v>
      </c>
      <c r="AW926" s="4" t="e">
        <f>_xlfn.XLOOKUP(tbl_MTG_Set[[#This Row],[Collector Booster Box Product Id]], tbl_Product[Product Id], tbl_Product[Pack Size])</f>
        <v>#N/A</v>
      </c>
      <c r="AX926" s="10" t="e">
        <f>(tbl_MTG_Set[[#This Row],[Collector Booster Box Cost]] + v_Item_Shipping_Cost_In) / tbl_MTG_Set[[#This Row],[Collector Booster Box Size]]</f>
        <v>#N/A</v>
      </c>
      <c r="AY926" s="10" t="str" cm="1">
        <f t="array" ref="AY92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6" s="10"/>
      <c r="BA92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6" s="17" t="e">
        <f>tbl_MTG_Set[[#This Row],[Collector Booster CardMarket Profit]]/tbl_MTG_Set[[#This Row],[Collector Booster Cost]]</f>
        <v>#N/A</v>
      </c>
      <c r="BC926" s="10"/>
      <c r="BF92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6" s="11" t="e">
        <f>tbl_MTG_Set[[#This Row],[Play Singles CardMarket Profit MTG Stocks]]/tbl_MTG_Set[[#This Row],[Play Booster Cost]]</f>
        <v>#VALUE!</v>
      </c>
      <c r="BI926" s="11" t="b">
        <f>tbl_MTG_Set[[#This Row],[Play Singles CardMarket Profit MTG Stocks]]&gt;0</f>
        <v>0</v>
      </c>
      <c r="BM926" s="10" t="e">
        <f>tbl_MTG_Set[[#This Row],[Play Booster Sell Price CardMarket]]*tbl_MTG_Set[[#This Row],[Play Booster Expected Market Value BotBox]]/tbl_MTG_Set[[#This Row],[Play Booster Sealed Market Value BotBox]]</f>
        <v>#VALUE!</v>
      </c>
      <c r="BN92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6" s="10" t="e">
        <f>tbl_MTG_Set[[#This Row],[Play Singles CardMarket Profit BotBox]]/tbl_MTG_Set[[#This Row],[Play Booster Cost]]</f>
        <v>#VALUE!</v>
      </c>
      <c r="BP926" s="10" t="b">
        <f>tbl_MTG_Set[[#This Row],[Play Singles CardMarket Profit BotBox]]&gt;0</f>
        <v>0</v>
      </c>
      <c r="BQ926" s="10"/>
      <c r="BR926" s="10"/>
      <c r="BS926" s="10"/>
      <c r="BT92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6" s="19" t="e">
        <f>tbl_MTG_Set[[#This Row],[Collector Singles CardMarket Profit MTG Stocks]]/tbl_MTG_Set[[#This Row],[Collector Booster Cost]]</f>
        <v>#N/A</v>
      </c>
      <c r="BW926" s="10" t="b">
        <f>tbl_MTG_Set[[#This Row],[Collector Singles CardMarket Profit MTG Stocks]]&gt;0</f>
        <v>0</v>
      </c>
      <c r="BX926" s="10"/>
      <c r="BY926" s="10"/>
      <c r="BZ92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6" s="10" t="e">
        <f>tbl_MTG_Set[[#This Row],[Collector Singles CardMarket Profit BotBox]]/tbl_MTG_Set[[#This Row],[Collector Booster Cost]]</f>
        <v>#N/A</v>
      </c>
      <c r="CC926" s="10" t="b">
        <f>tbl_MTG_Set[[#This Row],[Collector Singles CardMarket Profit BotBox]]&gt;0</f>
        <v>0</v>
      </c>
      <c r="CD92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7" spans="1:86" hidden="1">
      <c r="A927">
        <v>959</v>
      </c>
      <c r="B927" t="s">
        <v>1100</v>
      </c>
      <c r="C927">
        <v>351</v>
      </c>
      <c r="D927" s="3">
        <v>36271</v>
      </c>
      <c r="F927" t="s">
        <v>174</v>
      </c>
      <c r="G927">
        <v>1864</v>
      </c>
      <c r="H927">
        <f ca="1">MONTH(NOW())+12*YEAR(NOW())-MONTH(tbl_MTG_Set[[#This Row],[Released On]])-12*YEAR(tbl_MTG_Set[[#This Row],[Released On]])</f>
        <v>323</v>
      </c>
      <c r="I927" t="str">
        <f>_xlfn.XLOOKUP(tbl_MTG_Set[[#This Row],[Type Name]], tbl_MTG_Set_Type[Set Type], tbl_MTG_Set_Type[Index], "(Set Type not found)")</f>
        <v>(Set Type not found)</v>
      </c>
      <c r="J927" t="str">
        <f>_xlfn.XLOOKUP(tbl_MTG_Set[[#This Row],[Type Name]], tbl_MTG_Set_Type[Set Type], tbl_MTG_Set_Type[Buy Window Month Start], "(Set Type not found)")</f>
        <v>(Set Type not found)</v>
      </c>
      <c r="K927" s="3" t="e">
        <f>tbl_MTG_Set[[#This Row],[Released On]]+tbl_MTG_Set[[#This Row],[Buy Window Month Start]]*365.25/12</f>
        <v>#VALUE!</v>
      </c>
      <c r="L927" t="str">
        <f>_xlfn.XLOOKUP(tbl_MTG_Set[[#This Row],[Type Name]], tbl_MTG_Set_Type[Set Type], tbl_MTG_Set_Type[Buy Window Month End], "(Set Type not found)", 0, 1)</f>
        <v>(Set Type not found)</v>
      </c>
      <c r="M927" s="3" t="e">
        <f>tbl_MTG_Set[[#This Row],[Released On]]+tbl_MTG_Set[[#This Row],[Buy Window Month End]]*365.25/12</f>
        <v>#VALUE!</v>
      </c>
      <c r="N927" s="3" t="e">
        <f ca="1">AND(NOW()&gt;=tbl_MTG_Set[[#This Row],[Buy Window Start]], NOW()&lt;=tbl_MTG_Set[[#This Row],[Buy Window End]])</f>
        <v>#VALUE!</v>
      </c>
      <c r="O927" t="str">
        <f>_xlfn.XLOOKUP(tbl_MTG_Set[[#This Row],[Type Name]], tbl_MTG_Set_Type[Set Type], tbl_MTG_Set_Type[Heavy Printing Window Month Start], "(Set Type not found)", 0, 1)</f>
        <v>(Set Type not found)</v>
      </c>
      <c r="P927" s="3" t="e">
        <f>tbl_MTG_Set[[#This Row],[Released On]]+tbl_MTG_Set[[#This Row],[Heavy Printing Window Month Start]]*365.25/12</f>
        <v>#VALUE!</v>
      </c>
      <c r="Q927" t="str">
        <f>_xlfn.XLOOKUP(tbl_MTG_Set[[#This Row],[Type Name]], tbl_MTG_Set_Type[Set Type], tbl_MTG_Set_Type[Heavy Printing Window Month End], "(Set Type not found)", 0, 1)</f>
        <v>(Set Type not found)</v>
      </c>
      <c r="R927" s="3" t="e">
        <f>tbl_MTG_Set[[#This Row],[Released On]]+tbl_MTG_Set[[#This Row],[Heavy Printing Window Month End]]*365.25/12</f>
        <v>#VALUE!</v>
      </c>
      <c r="S927" s="3" t="e">
        <f ca="1">AND(NOW()&gt;=tbl_MTG_Set[[#This Row],[Heavy Printing Window Start]], NOW()&lt;=tbl_MTG_Set[[#This Row],[Heavy Printing Window End]])</f>
        <v>#VALUE!</v>
      </c>
      <c r="T927" t="str">
        <f>_xlfn.XLOOKUP(tbl_MTG_Set[[#This Row],[Type Name]], tbl_MTG_Set_Type[Set Type], tbl_MTG_Set_Type[Sell Window Month Start], "(Set Type not found)", 0, 1)</f>
        <v>(Set Type not found)</v>
      </c>
      <c r="U927" s="3" t="e">
        <f>tbl_MTG_Set[[#This Row],[Released On]]+tbl_MTG_Set[[#This Row],[Sell Window Month Start]]*365.25/12</f>
        <v>#VALUE!</v>
      </c>
      <c r="V927" t="str">
        <f>_xlfn.XLOOKUP(tbl_MTG_Set[[#This Row],[Type Name]], tbl_MTG_Set_Type[Set Type], tbl_MTG_Set_Type[Sell Window Month End], "(Set Type not found)", 0, 1)</f>
        <v>(Set Type not found)</v>
      </c>
      <c r="W927" s="3" t="e">
        <f>tbl_MTG_Set[[#This Row],[Released On]]+tbl_MTG_Set[[#This Row],[Sell Window Month End]]*365.25/12</f>
        <v>#VALUE!</v>
      </c>
      <c r="X927" s="3" t="e">
        <f ca="1">AND(NOW()&gt;=tbl_MTG_Set[[#This Row],[Sell Window Start]], NOW()&lt;=tbl_MTG_Set[[#This Row],[Sell Window End]])</f>
        <v>#VALUE!</v>
      </c>
      <c r="AG927" s="10"/>
      <c r="AH927" s="10"/>
      <c r="AM927" s="10" t="str" cm="1">
        <f t="array" ref="AM92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7" s="10" t="str" cm="1">
        <f t="array" ref="AN92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7" s="4" t="e">
        <f>_xlfn.XLOOKUP(tbl_MTG_Set[[#This Row],[Play Booster Box Product Id]], tbl_Product[Product Id], tbl_Product[Pack Size])</f>
        <v>#N/A</v>
      </c>
      <c r="AP927" s="10" t="e">
        <f>(tbl_MTG_Set[[#This Row],[Play Booster Box Cost]]+v_Item_Shipping_Cost_In)/tbl_MTG_Set[[#This Row],[Play Booster Box Size]]</f>
        <v>#VALUE!</v>
      </c>
      <c r="AQ927" s="10" t="str" cm="1">
        <f t="array" ref="AQ92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7" s="10"/>
      <c r="AS927" s="10"/>
      <c r="AT927" s="17" t="e">
        <f>tbl_MTG_Set[[#This Row],[Play Booster CardMarket Profit]]/tbl_MTG_Set[[#This Row],[Play Booster Cost]]</f>
        <v>#VALUE!</v>
      </c>
      <c r="AU927" s="10" t="e">
        <f>_xlfn.XLOOKUP(tbl_MTG_Set[[#This Row],[Collector Booster Box Product Id]], tbl_Product[Product Id], tbl_Product[Min Cost])</f>
        <v>#N/A</v>
      </c>
      <c r="AV927" s="10" t="e">
        <f>_xlfn.XLOOKUP(tbl_MTG_Set[[#This Row],[Collector Booster Box Product Id]], tbl_Product[Product Id], tbl_Product[Best Source])</f>
        <v>#N/A</v>
      </c>
      <c r="AW927" s="4" t="e">
        <f>_xlfn.XLOOKUP(tbl_MTG_Set[[#This Row],[Collector Booster Box Product Id]], tbl_Product[Product Id], tbl_Product[Pack Size])</f>
        <v>#N/A</v>
      </c>
      <c r="AX927" s="10" t="e">
        <f>(tbl_MTG_Set[[#This Row],[Collector Booster Box Cost]] + v_Item_Shipping_Cost_In) / tbl_MTG_Set[[#This Row],[Collector Booster Box Size]]</f>
        <v>#N/A</v>
      </c>
      <c r="AY927" s="10" t="str" cm="1">
        <f t="array" ref="AY92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7" s="10"/>
      <c r="BA92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7" s="17" t="e">
        <f>tbl_MTG_Set[[#This Row],[Collector Booster CardMarket Profit]]/tbl_MTG_Set[[#This Row],[Collector Booster Cost]]</f>
        <v>#N/A</v>
      </c>
      <c r="BC927" s="10"/>
      <c r="BF92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7" s="11" t="e">
        <f>tbl_MTG_Set[[#This Row],[Play Singles CardMarket Profit MTG Stocks]]/tbl_MTG_Set[[#This Row],[Play Booster Cost]]</f>
        <v>#VALUE!</v>
      </c>
      <c r="BI927" s="11" t="b">
        <f>tbl_MTG_Set[[#This Row],[Play Singles CardMarket Profit MTG Stocks]]&gt;0</f>
        <v>0</v>
      </c>
      <c r="BM927" s="10" t="e">
        <f>tbl_MTG_Set[[#This Row],[Play Booster Sell Price CardMarket]]*tbl_MTG_Set[[#This Row],[Play Booster Expected Market Value BotBox]]/tbl_MTG_Set[[#This Row],[Play Booster Sealed Market Value BotBox]]</f>
        <v>#VALUE!</v>
      </c>
      <c r="BN92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7" s="10" t="e">
        <f>tbl_MTG_Set[[#This Row],[Play Singles CardMarket Profit BotBox]]/tbl_MTG_Set[[#This Row],[Play Booster Cost]]</f>
        <v>#VALUE!</v>
      </c>
      <c r="BP927" s="10" t="b">
        <f>tbl_MTG_Set[[#This Row],[Play Singles CardMarket Profit BotBox]]&gt;0</f>
        <v>0</v>
      </c>
      <c r="BQ927" s="10"/>
      <c r="BR927" s="10"/>
      <c r="BS927" s="10"/>
      <c r="BT92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7" s="19" t="e">
        <f>tbl_MTG_Set[[#This Row],[Collector Singles CardMarket Profit MTG Stocks]]/tbl_MTG_Set[[#This Row],[Collector Booster Cost]]</f>
        <v>#N/A</v>
      </c>
      <c r="BW927" s="10" t="b">
        <f>tbl_MTG_Set[[#This Row],[Collector Singles CardMarket Profit MTG Stocks]]&gt;0</f>
        <v>0</v>
      </c>
      <c r="BX927" s="10"/>
      <c r="BY927" s="10"/>
      <c r="BZ92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7" s="10" t="e">
        <f>tbl_MTG_Set[[#This Row],[Collector Singles CardMarket Profit BotBox]]/tbl_MTG_Set[[#This Row],[Collector Booster Cost]]</f>
        <v>#N/A</v>
      </c>
      <c r="CC927" s="10" t="b">
        <f>tbl_MTG_Set[[#This Row],[Collector Singles CardMarket Profit BotBox]]&gt;0</f>
        <v>0</v>
      </c>
      <c r="CD92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8" spans="1:86" hidden="1">
      <c r="A928">
        <v>960</v>
      </c>
      <c r="B928" t="s">
        <v>1101</v>
      </c>
      <c r="C928">
        <v>143</v>
      </c>
      <c r="D928" s="3">
        <v>36206</v>
      </c>
      <c r="F928" t="s">
        <v>174</v>
      </c>
      <c r="G928">
        <v>1866</v>
      </c>
      <c r="H928">
        <f ca="1">MONTH(NOW())+12*YEAR(NOW())-MONTH(tbl_MTG_Set[[#This Row],[Released On]])-12*YEAR(tbl_MTG_Set[[#This Row],[Released On]])</f>
        <v>325</v>
      </c>
      <c r="I928" t="str">
        <f>_xlfn.XLOOKUP(tbl_MTG_Set[[#This Row],[Type Name]], tbl_MTG_Set_Type[Set Type], tbl_MTG_Set_Type[Index], "(Set Type not found)")</f>
        <v>(Set Type not found)</v>
      </c>
      <c r="J928" t="str">
        <f>_xlfn.XLOOKUP(tbl_MTG_Set[[#This Row],[Type Name]], tbl_MTG_Set_Type[Set Type], tbl_MTG_Set_Type[Buy Window Month Start], "(Set Type not found)")</f>
        <v>(Set Type not found)</v>
      </c>
      <c r="K928" s="3" t="e">
        <f>tbl_MTG_Set[[#This Row],[Released On]]+tbl_MTG_Set[[#This Row],[Buy Window Month Start]]*365.25/12</f>
        <v>#VALUE!</v>
      </c>
      <c r="L928" t="str">
        <f>_xlfn.XLOOKUP(tbl_MTG_Set[[#This Row],[Type Name]], tbl_MTG_Set_Type[Set Type], tbl_MTG_Set_Type[Buy Window Month End], "(Set Type not found)", 0, 1)</f>
        <v>(Set Type not found)</v>
      </c>
      <c r="M928" s="3" t="e">
        <f>tbl_MTG_Set[[#This Row],[Released On]]+tbl_MTG_Set[[#This Row],[Buy Window Month End]]*365.25/12</f>
        <v>#VALUE!</v>
      </c>
      <c r="N928" s="3" t="e">
        <f ca="1">AND(NOW()&gt;=tbl_MTG_Set[[#This Row],[Buy Window Start]], NOW()&lt;=tbl_MTG_Set[[#This Row],[Buy Window End]])</f>
        <v>#VALUE!</v>
      </c>
      <c r="O928" t="str">
        <f>_xlfn.XLOOKUP(tbl_MTG_Set[[#This Row],[Type Name]], tbl_MTG_Set_Type[Set Type], tbl_MTG_Set_Type[Heavy Printing Window Month Start], "(Set Type not found)", 0, 1)</f>
        <v>(Set Type not found)</v>
      </c>
      <c r="P928" s="3" t="e">
        <f>tbl_MTG_Set[[#This Row],[Released On]]+tbl_MTG_Set[[#This Row],[Heavy Printing Window Month Start]]*365.25/12</f>
        <v>#VALUE!</v>
      </c>
      <c r="Q928" t="str">
        <f>_xlfn.XLOOKUP(tbl_MTG_Set[[#This Row],[Type Name]], tbl_MTG_Set_Type[Set Type], tbl_MTG_Set_Type[Heavy Printing Window Month End], "(Set Type not found)", 0, 1)</f>
        <v>(Set Type not found)</v>
      </c>
      <c r="R928" s="3" t="e">
        <f>tbl_MTG_Set[[#This Row],[Released On]]+tbl_MTG_Set[[#This Row],[Heavy Printing Window Month End]]*365.25/12</f>
        <v>#VALUE!</v>
      </c>
      <c r="S928" s="3" t="e">
        <f ca="1">AND(NOW()&gt;=tbl_MTG_Set[[#This Row],[Heavy Printing Window Start]], NOW()&lt;=tbl_MTG_Set[[#This Row],[Heavy Printing Window End]])</f>
        <v>#VALUE!</v>
      </c>
      <c r="T928" t="str">
        <f>_xlfn.XLOOKUP(tbl_MTG_Set[[#This Row],[Type Name]], tbl_MTG_Set_Type[Set Type], tbl_MTG_Set_Type[Sell Window Month Start], "(Set Type not found)", 0, 1)</f>
        <v>(Set Type not found)</v>
      </c>
      <c r="U928" s="3" t="e">
        <f>tbl_MTG_Set[[#This Row],[Released On]]+tbl_MTG_Set[[#This Row],[Sell Window Month Start]]*365.25/12</f>
        <v>#VALUE!</v>
      </c>
      <c r="V928" t="str">
        <f>_xlfn.XLOOKUP(tbl_MTG_Set[[#This Row],[Type Name]], tbl_MTG_Set_Type[Set Type], tbl_MTG_Set_Type[Sell Window Month End], "(Set Type not found)", 0, 1)</f>
        <v>(Set Type not found)</v>
      </c>
      <c r="W928" s="3" t="e">
        <f>tbl_MTG_Set[[#This Row],[Released On]]+tbl_MTG_Set[[#This Row],[Sell Window Month End]]*365.25/12</f>
        <v>#VALUE!</v>
      </c>
      <c r="X928" s="3" t="e">
        <f ca="1">AND(NOW()&gt;=tbl_MTG_Set[[#This Row],[Sell Window Start]], NOW()&lt;=tbl_MTG_Set[[#This Row],[Sell Window End]])</f>
        <v>#VALUE!</v>
      </c>
      <c r="AG928" s="10"/>
      <c r="AH928" s="10"/>
      <c r="AM928" s="10" t="str" cm="1">
        <f t="array" ref="AM92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8" s="10" t="str" cm="1">
        <f t="array" ref="AN92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8" s="4" t="e">
        <f>_xlfn.XLOOKUP(tbl_MTG_Set[[#This Row],[Play Booster Box Product Id]], tbl_Product[Product Id], tbl_Product[Pack Size])</f>
        <v>#N/A</v>
      </c>
      <c r="AP928" s="10" t="e">
        <f>(tbl_MTG_Set[[#This Row],[Play Booster Box Cost]]+v_Item_Shipping_Cost_In)/tbl_MTG_Set[[#This Row],[Play Booster Box Size]]</f>
        <v>#VALUE!</v>
      </c>
      <c r="AQ928" s="10" t="str" cm="1">
        <f t="array" ref="AQ92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8" s="10"/>
      <c r="AS928" s="10"/>
      <c r="AT928" s="17" t="e">
        <f>tbl_MTG_Set[[#This Row],[Play Booster CardMarket Profit]]/tbl_MTG_Set[[#This Row],[Play Booster Cost]]</f>
        <v>#VALUE!</v>
      </c>
      <c r="AU928" s="10" t="e">
        <f>_xlfn.XLOOKUP(tbl_MTG_Set[[#This Row],[Collector Booster Box Product Id]], tbl_Product[Product Id], tbl_Product[Min Cost])</f>
        <v>#N/A</v>
      </c>
      <c r="AV928" s="10" t="e">
        <f>_xlfn.XLOOKUP(tbl_MTG_Set[[#This Row],[Collector Booster Box Product Id]], tbl_Product[Product Id], tbl_Product[Best Source])</f>
        <v>#N/A</v>
      </c>
      <c r="AW928" s="4" t="e">
        <f>_xlfn.XLOOKUP(tbl_MTG_Set[[#This Row],[Collector Booster Box Product Id]], tbl_Product[Product Id], tbl_Product[Pack Size])</f>
        <v>#N/A</v>
      </c>
      <c r="AX928" s="10" t="e">
        <f>(tbl_MTG_Set[[#This Row],[Collector Booster Box Cost]] + v_Item_Shipping_Cost_In) / tbl_MTG_Set[[#This Row],[Collector Booster Box Size]]</f>
        <v>#N/A</v>
      </c>
      <c r="AY928" s="10" t="str" cm="1">
        <f t="array" ref="AY92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8" s="10"/>
      <c r="BA92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8" s="17" t="e">
        <f>tbl_MTG_Set[[#This Row],[Collector Booster CardMarket Profit]]/tbl_MTG_Set[[#This Row],[Collector Booster Cost]]</f>
        <v>#N/A</v>
      </c>
      <c r="BC928" s="10"/>
      <c r="BF92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8" s="11" t="e">
        <f>tbl_MTG_Set[[#This Row],[Play Singles CardMarket Profit MTG Stocks]]/tbl_MTG_Set[[#This Row],[Play Booster Cost]]</f>
        <v>#VALUE!</v>
      </c>
      <c r="BI928" s="11" t="b">
        <f>tbl_MTG_Set[[#This Row],[Play Singles CardMarket Profit MTG Stocks]]&gt;0</f>
        <v>0</v>
      </c>
      <c r="BM928" s="10" t="e">
        <f>tbl_MTG_Set[[#This Row],[Play Booster Sell Price CardMarket]]*tbl_MTG_Set[[#This Row],[Play Booster Expected Market Value BotBox]]/tbl_MTG_Set[[#This Row],[Play Booster Sealed Market Value BotBox]]</f>
        <v>#VALUE!</v>
      </c>
      <c r="BN92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8" s="10" t="e">
        <f>tbl_MTG_Set[[#This Row],[Play Singles CardMarket Profit BotBox]]/tbl_MTG_Set[[#This Row],[Play Booster Cost]]</f>
        <v>#VALUE!</v>
      </c>
      <c r="BP928" s="10" t="b">
        <f>tbl_MTG_Set[[#This Row],[Play Singles CardMarket Profit BotBox]]&gt;0</f>
        <v>0</v>
      </c>
      <c r="BQ928" s="10"/>
      <c r="BR928" s="10"/>
      <c r="BS928" s="10"/>
      <c r="BT92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8" s="19" t="e">
        <f>tbl_MTG_Set[[#This Row],[Collector Singles CardMarket Profit MTG Stocks]]/tbl_MTG_Set[[#This Row],[Collector Booster Cost]]</f>
        <v>#N/A</v>
      </c>
      <c r="BW928" s="10" t="b">
        <f>tbl_MTG_Set[[#This Row],[Collector Singles CardMarket Profit MTG Stocks]]&gt;0</f>
        <v>0</v>
      </c>
      <c r="BX928" s="10"/>
      <c r="BY928" s="10"/>
      <c r="BZ92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8" s="10" t="e">
        <f>tbl_MTG_Set[[#This Row],[Collector Singles CardMarket Profit BotBox]]/tbl_MTG_Set[[#This Row],[Collector Booster Cost]]</f>
        <v>#N/A</v>
      </c>
      <c r="CC928" s="10" t="b">
        <f>tbl_MTG_Set[[#This Row],[Collector Singles CardMarket Profit BotBox]]&gt;0</f>
        <v>0</v>
      </c>
      <c r="CD92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29" spans="1:86" hidden="1">
      <c r="A929">
        <v>961</v>
      </c>
      <c r="B929" t="s">
        <v>1102</v>
      </c>
      <c r="C929">
        <v>2</v>
      </c>
      <c r="D929" s="3">
        <v>36206</v>
      </c>
      <c r="F929" t="s">
        <v>174</v>
      </c>
      <c r="G929">
        <v>1868</v>
      </c>
      <c r="H929">
        <f ca="1">MONTH(NOW())+12*YEAR(NOW())-MONTH(tbl_MTG_Set[[#This Row],[Released On]])-12*YEAR(tbl_MTG_Set[[#This Row],[Released On]])</f>
        <v>325</v>
      </c>
      <c r="I929" t="str">
        <f>_xlfn.XLOOKUP(tbl_MTG_Set[[#This Row],[Type Name]], tbl_MTG_Set_Type[Set Type], tbl_MTG_Set_Type[Index], "(Set Type not found)")</f>
        <v>(Set Type not found)</v>
      </c>
      <c r="J929" t="str">
        <f>_xlfn.XLOOKUP(tbl_MTG_Set[[#This Row],[Type Name]], tbl_MTG_Set_Type[Set Type], tbl_MTG_Set_Type[Buy Window Month Start], "(Set Type not found)")</f>
        <v>(Set Type not found)</v>
      </c>
      <c r="K929" s="3" t="e">
        <f>tbl_MTG_Set[[#This Row],[Released On]]+tbl_MTG_Set[[#This Row],[Buy Window Month Start]]*365.25/12</f>
        <v>#VALUE!</v>
      </c>
      <c r="L929" t="str">
        <f>_xlfn.XLOOKUP(tbl_MTG_Set[[#This Row],[Type Name]], tbl_MTG_Set_Type[Set Type], tbl_MTG_Set_Type[Buy Window Month End], "(Set Type not found)", 0, 1)</f>
        <v>(Set Type not found)</v>
      </c>
      <c r="M929" s="3" t="e">
        <f>tbl_MTG_Set[[#This Row],[Released On]]+tbl_MTG_Set[[#This Row],[Buy Window Month End]]*365.25/12</f>
        <v>#VALUE!</v>
      </c>
      <c r="N929" s="3" t="e">
        <f ca="1">AND(NOW()&gt;=tbl_MTG_Set[[#This Row],[Buy Window Start]], NOW()&lt;=tbl_MTG_Set[[#This Row],[Buy Window End]])</f>
        <v>#VALUE!</v>
      </c>
      <c r="O929" t="str">
        <f>_xlfn.XLOOKUP(tbl_MTG_Set[[#This Row],[Type Name]], tbl_MTG_Set_Type[Set Type], tbl_MTG_Set_Type[Heavy Printing Window Month Start], "(Set Type not found)", 0, 1)</f>
        <v>(Set Type not found)</v>
      </c>
      <c r="P929" s="3" t="e">
        <f>tbl_MTG_Set[[#This Row],[Released On]]+tbl_MTG_Set[[#This Row],[Heavy Printing Window Month Start]]*365.25/12</f>
        <v>#VALUE!</v>
      </c>
      <c r="Q929" t="str">
        <f>_xlfn.XLOOKUP(tbl_MTG_Set[[#This Row],[Type Name]], tbl_MTG_Set_Type[Set Type], tbl_MTG_Set_Type[Heavy Printing Window Month End], "(Set Type not found)", 0, 1)</f>
        <v>(Set Type not found)</v>
      </c>
      <c r="R929" s="3" t="e">
        <f>tbl_MTG_Set[[#This Row],[Released On]]+tbl_MTG_Set[[#This Row],[Heavy Printing Window Month End]]*365.25/12</f>
        <v>#VALUE!</v>
      </c>
      <c r="S929" s="3" t="e">
        <f ca="1">AND(NOW()&gt;=tbl_MTG_Set[[#This Row],[Heavy Printing Window Start]], NOW()&lt;=tbl_MTG_Set[[#This Row],[Heavy Printing Window End]])</f>
        <v>#VALUE!</v>
      </c>
      <c r="T929" t="str">
        <f>_xlfn.XLOOKUP(tbl_MTG_Set[[#This Row],[Type Name]], tbl_MTG_Set_Type[Set Type], tbl_MTG_Set_Type[Sell Window Month Start], "(Set Type not found)", 0, 1)</f>
        <v>(Set Type not found)</v>
      </c>
      <c r="U929" s="3" t="e">
        <f>tbl_MTG_Set[[#This Row],[Released On]]+tbl_MTG_Set[[#This Row],[Sell Window Month Start]]*365.25/12</f>
        <v>#VALUE!</v>
      </c>
      <c r="V929" t="str">
        <f>_xlfn.XLOOKUP(tbl_MTG_Set[[#This Row],[Type Name]], tbl_MTG_Set_Type[Set Type], tbl_MTG_Set_Type[Sell Window Month End], "(Set Type not found)", 0, 1)</f>
        <v>(Set Type not found)</v>
      </c>
      <c r="W929" s="3" t="e">
        <f>tbl_MTG_Set[[#This Row],[Released On]]+tbl_MTG_Set[[#This Row],[Sell Window Month End]]*365.25/12</f>
        <v>#VALUE!</v>
      </c>
      <c r="X929" s="3" t="e">
        <f ca="1">AND(NOW()&gt;=tbl_MTG_Set[[#This Row],[Sell Window Start]], NOW()&lt;=tbl_MTG_Set[[#This Row],[Sell Window End]])</f>
        <v>#VALUE!</v>
      </c>
      <c r="AG929" s="10"/>
      <c r="AH929" s="10"/>
      <c r="AM929" s="10" t="str" cm="1">
        <f t="array" ref="AM92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29" s="10" t="str" cm="1">
        <f t="array" ref="AN92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29" s="4" t="e">
        <f>_xlfn.XLOOKUP(tbl_MTG_Set[[#This Row],[Play Booster Box Product Id]], tbl_Product[Product Id], tbl_Product[Pack Size])</f>
        <v>#N/A</v>
      </c>
      <c r="AP929" s="10" t="e">
        <f>(tbl_MTG_Set[[#This Row],[Play Booster Box Cost]]+v_Item_Shipping_Cost_In)/tbl_MTG_Set[[#This Row],[Play Booster Box Size]]</f>
        <v>#VALUE!</v>
      </c>
      <c r="AQ929" s="10" t="str" cm="1">
        <f t="array" ref="AQ92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29" s="10"/>
      <c r="AS929" s="10"/>
      <c r="AT929" s="17" t="e">
        <f>tbl_MTG_Set[[#This Row],[Play Booster CardMarket Profit]]/tbl_MTG_Set[[#This Row],[Play Booster Cost]]</f>
        <v>#VALUE!</v>
      </c>
      <c r="AU929" s="10" t="e">
        <f>_xlfn.XLOOKUP(tbl_MTG_Set[[#This Row],[Collector Booster Box Product Id]], tbl_Product[Product Id], tbl_Product[Min Cost])</f>
        <v>#N/A</v>
      </c>
      <c r="AV929" s="10" t="e">
        <f>_xlfn.XLOOKUP(tbl_MTG_Set[[#This Row],[Collector Booster Box Product Id]], tbl_Product[Product Id], tbl_Product[Best Source])</f>
        <v>#N/A</v>
      </c>
      <c r="AW929" s="4" t="e">
        <f>_xlfn.XLOOKUP(tbl_MTG_Set[[#This Row],[Collector Booster Box Product Id]], tbl_Product[Product Id], tbl_Product[Pack Size])</f>
        <v>#N/A</v>
      </c>
      <c r="AX929" s="10" t="e">
        <f>(tbl_MTG_Set[[#This Row],[Collector Booster Box Cost]] + v_Item_Shipping_Cost_In) / tbl_MTG_Set[[#This Row],[Collector Booster Box Size]]</f>
        <v>#N/A</v>
      </c>
      <c r="AY929" s="10" t="str" cm="1">
        <f t="array" ref="AY92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29" s="10"/>
      <c r="BA92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29" s="17" t="e">
        <f>tbl_MTG_Set[[#This Row],[Collector Booster CardMarket Profit]]/tbl_MTG_Set[[#This Row],[Collector Booster Cost]]</f>
        <v>#N/A</v>
      </c>
      <c r="BC929" s="10"/>
      <c r="BF92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2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29" s="11" t="e">
        <f>tbl_MTG_Set[[#This Row],[Play Singles CardMarket Profit MTG Stocks]]/tbl_MTG_Set[[#This Row],[Play Booster Cost]]</f>
        <v>#VALUE!</v>
      </c>
      <c r="BI929" s="11" t="b">
        <f>tbl_MTG_Set[[#This Row],[Play Singles CardMarket Profit MTG Stocks]]&gt;0</f>
        <v>0</v>
      </c>
      <c r="BM929" s="10" t="e">
        <f>tbl_MTG_Set[[#This Row],[Play Booster Sell Price CardMarket]]*tbl_MTG_Set[[#This Row],[Play Booster Expected Market Value BotBox]]/tbl_MTG_Set[[#This Row],[Play Booster Sealed Market Value BotBox]]</f>
        <v>#VALUE!</v>
      </c>
      <c r="BN92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29" s="10" t="e">
        <f>tbl_MTG_Set[[#This Row],[Play Singles CardMarket Profit BotBox]]/tbl_MTG_Set[[#This Row],[Play Booster Cost]]</f>
        <v>#VALUE!</v>
      </c>
      <c r="BP929" s="10" t="b">
        <f>tbl_MTG_Set[[#This Row],[Play Singles CardMarket Profit BotBox]]&gt;0</f>
        <v>0</v>
      </c>
      <c r="BQ929" s="10"/>
      <c r="BR929" s="10"/>
      <c r="BS929" s="10"/>
      <c r="BT92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2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29" s="19" t="e">
        <f>tbl_MTG_Set[[#This Row],[Collector Singles CardMarket Profit MTG Stocks]]/tbl_MTG_Set[[#This Row],[Collector Booster Cost]]</f>
        <v>#N/A</v>
      </c>
      <c r="BW929" s="10" t="b">
        <f>tbl_MTG_Set[[#This Row],[Collector Singles CardMarket Profit MTG Stocks]]&gt;0</f>
        <v>0</v>
      </c>
      <c r="BX929" s="10"/>
      <c r="BY929" s="10"/>
      <c r="BZ92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2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29" s="10" t="e">
        <f>tbl_MTG_Set[[#This Row],[Collector Singles CardMarket Profit BotBox]]/tbl_MTG_Set[[#This Row],[Collector Booster Cost]]</f>
        <v>#N/A</v>
      </c>
      <c r="CC929" s="10" t="b">
        <f>tbl_MTG_Set[[#This Row],[Collector Singles CardMarket Profit BotBox]]&gt;0</f>
        <v>0</v>
      </c>
      <c r="CD92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2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2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2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2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0" spans="1:86" hidden="1">
      <c r="A930">
        <v>962</v>
      </c>
      <c r="B930" t="s">
        <v>1103</v>
      </c>
      <c r="C930">
        <v>10</v>
      </c>
      <c r="D930" s="3">
        <v>36161</v>
      </c>
      <c r="F930" t="s">
        <v>174</v>
      </c>
      <c r="G930">
        <v>1870</v>
      </c>
      <c r="H930">
        <f ca="1">MONTH(NOW())+12*YEAR(NOW())-MONTH(tbl_MTG_Set[[#This Row],[Released On]])-12*YEAR(tbl_MTG_Set[[#This Row],[Released On]])</f>
        <v>326</v>
      </c>
      <c r="I930" t="str">
        <f>_xlfn.XLOOKUP(tbl_MTG_Set[[#This Row],[Type Name]], tbl_MTG_Set_Type[Set Type], tbl_MTG_Set_Type[Index], "(Set Type not found)")</f>
        <v>(Set Type not found)</v>
      </c>
      <c r="J930" t="str">
        <f>_xlfn.XLOOKUP(tbl_MTG_Set[[#This Row],[Type Name]], tbl_MTG_Set_Type[Set Type], tbl_MTG_Set_Type[Buy Window Month Start], "(Set Type not found)")</f>
        <v>(Set Type not found)</v>
      </c>
      <c r="K930" s="3" t="e">
        <f>tbl_MTG_Set[[#This Row],[Released On]]+tbl_MTG_Set[[#This Row],[Buy Window Month Start]]*365.25/12</f>
        <v>#VALUE!</v>
      </c>
      <c r="L930" t="str">
        <f>_xlfn.XLOOKUP(tbl_MTG_Set[[#This Row],[Type Name]], tbl_MTG_Set_Type[Set Type], tbl_MTG_Set_Type[Buy Window Month End], "(Set Type not found)", 0, 1)</f>
        <v>(Set Type not found)</v>
      </c>
      <c r="M930" s="3" t="e">
        <f>tbl_MTG_Set[[#This Row],[Released On]]+tbl_MTG_Set[[#This Row],[Buy Window Month End]]*365.25/12</f>
        <v>#VALUE!</v>
      </c>
      <c r="N930" s="3" t="e">
        <f ca="1">AND(NOW()&gt;=tbl_MTG_Set[[#This Row],[Buy Window Start]], NOW()&lt;=tbl_MTG_Set[[#This Row],[Buy Window End]])</f>
        <v>#VALUE!</v>
      </c>
      <c r="O930" t="str">
        <f>_xlfn.XLOOKUP(tbl_MTG_Set[[#This Row],[Type Name]], tbl_MTG_Set_Type[Set Type], tbl_MTG_Set_Type[Heavy Printing Window Month Start], "(Set Type not found)", 0, 1)</f>
        <v>(Set Type not found)</v>
      </c>
      <c r="P930" s="3" t="e">
        <f>tbl_MTG_Set[[#This Row],[Released On]]+tbl_MTG_Set[[#This Row],[Heavy Printing Window Month Start]]*365.25/12</f>
        <v>#VALUE!</v>
      </c>
      <c r="Q930" t="str">
        <f>_xlfn.XLOOKUP(tbl_MTG_Set[[#This Row],[Type Name]], tbl_MTG_Set_Type[Set Type], tbl_MTG_Set_Type[Heavy Printing Window Month End], "(Set Type not found)", 0, 1)</f>
        <v>(Set Type not found)</v>
      </c>
      <c r="R930" s="3" t="e">
        <f>tbl_MTG_Set[[#This Row],[Released On]]+tbl_MTG_Set[[#This Row],[Heavy Printing Window Month End]]*365.25/12</f>
        <v>#VALUE!</v>
      </c>
      <c r="S930" s="3" t="e">
        <f ca="1">AND(NOW()&gt;=tbl_MTG_Set[[#This Row],[Heavy Printing Window Start]], NOW()&lt;=tbl_MTG_Set[[#This Row],[Heavy Printing Window End]])</f>
        <v>#VALUE!</v>
      </c>
      <c r="T930" t="str">
        <f>_xlfn.XLOOKUP(tbl_MTG_Set[[#This Row],[Type Name]], tbl_MTG_Set_Type[Set Type], tbl_MTG_Set_Type[Sell Window Month Start], "(Set Type not found)", 0, 1)</f>
        <v>(Set Type not found)</v>
      </c>
      <c r="U930" s="3" t="e">
        <f>tbl_MTG_Set[[#This Row],[Released On]]+tbl_MTG_Set[[#This Row],[Sell Window Month Start]]*365.25/12</f>
        <v>#VALUE!</v>
      </c>
      <c r="V930" t="str">
        <f>_xlfn.XLOOKUP(tbl_MTG_Set[[#This Row],[Type Name]], tbl_MTG_Set_Type[Set Type], tbl_MTG_Set_Type[Sell Window Month End], "(Set Type not found)", 0, 1)</f>
        <v>(Set Type not found)</v>
      </c>
      <c r="W930" s="3" t="e">
        <f>tbl_MTG_Set[[#This Row],[Released On]]+tbl_MTG_Set[[#This Row],[Sell Window Month End]]*365.25/12</f>
        <v>#VALUE!</v>
      </c>
      <c r="X930" s="3" t="e">
        <f ca="1">AND(NOW()&gt;=tbl_MTG_Set[[#This Row],[Sell Window Start]], NOW()&lt;=tbl_MTG_Set[[#This Row],[Sell Window End]])</f>
        <v>#VALUE!</v>
      </c>
      <c r="AG930" s="10"/>
      <c r="AH930" s="10"/>
      <c r="AM930" s="10" t="str" cm="1">
        <f t="array" ref="AM93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0" s="10" t="str" cm="1">
        <f t="array" ref="AN93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0" s="4" t="e">
        <f>_xlfn.XLOOKUP(tbl_MTG_Set[[#This Row],[Play Booster Box Product Id]], tbl_Product[Product Id], tbl_Product[Pack Size])</f>
        <v>#N/A</v>
      </c>
      <c r="AP930" s="10" t="e">
        <f>(tbl_MTG_Set[[#This Row],[Play Booster Box Cost]]+v_Item_Shipping_Cost_In)/tbl_MTG_Set[[#This Row],[Play Booster Box Size]]</f>
        <v>#VALUE!</v>
      </c>
      <c r="AQ930" s="10" t="str" cm="1">
        <f t="array" ref="AQ93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0" s="10"/>
      <c r="AS930" s="10"/>
      <c r="AT930" s="17" t="e">
        <f>tbl_MTG_Set[[#This Row],[Play Booster CardMarket Profit]]/tbl_MTG_Set[[#This Row],[Play Booster Cost]]</f>
        <v>#VALUE!</v>
      </c>
      <c r="AU930" s="10" t="e">
        <f>_xlfn.XLOOKUP(tbl_MTG_Set[[#This Row],[Collector Booster Box Product Id]], tbl_Product[Product Id], tbl_Product[Min Cost])</f>
        <v>#N/A</v>
      </c>
      <c r="AV930" s="10" t="e">
        <f>_xlfn.XLOOKUP(tbl_MTG_Set[[#This Row],[Collector Booster Box Product Id]], tbl_Product[Product Id], tbl_Product[Best Source])</f>
        <v>#N/A</v>
      </c>
      <c r="AW930" s="4" t="e">
        <f>_xlfn.XLOOKUP(tbl_MTG_Set[[#This Row],[Collector Booster Box Product Id]], tbl_Product[Product Id], tbl_Product[Pack Size])</f>
        <v>#N/A</v>
      </c>
      <c r="AX930" s="10" t="e">
        <f>(tbl_MTG_Set[[#This Row],[Collector Booster Box Cost]] + v_Item_Shipping_Cost_In) / tbl_MTG_Set[[#This Row],[Collector Booster Box Size]]</f>
        <v>#N/A</v>
      </c>
      <c r="AY930" s="10" t="str" cm="1">
        <f t="array" ref="AY93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0" s="10"/>
      <c r="BA93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0" s="17" t="e">
        <f>tbl_MTG_Set[[#This Row],[Collector Booster CardMarket Profit]]/tbl_MTG_Set[[#This Row],[Collector Booster Cost]]</f>
        <v>#N/A</v>
      </c>
      <c r="BC930" s="10"/>
      <c r="BF93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0" s="11" t="e">
        <f>tbl_MTG_Set[[#This Row],[Play Singles CardMarket Profit MTG Stocks]]/tbl_MTG_Set[[#This Row],[Play Booster Cost]]</f>
        <v>#VALUE!</v>
      </c>
      <c r="BI930" s="11" t="b">
        <f>tbl_MTG_Set[[#This Row],[Play Singles CardMarket Profit MTG Stocks]]&gt;0</f>
        <v>0</v>
      </c>
      <c r="BM930" s="10" t="e">
        <f>tbl_MTG_Set[[#This Row],[Play Booster Sell Price CardMarket]]*tbl_MTG_Set[[#This Row],[Play Booster Expected Market Value BotBox]]/tbl_MTG_Set[[#This Row],[Play Booster Sealed Market Value BotBox]]</f>
        <v>#VALUE!</v>
      </c>
      <c r="BN93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0" s="10" t="e">
        <f>tbl_MTG_Set[[#This Row],[Play Singles CardMarket Profit BotBox]]/tbl_MTG_Set[[#This Row],[Play Booster Cost]]</f>
        <v>#VALUE!</v>
      </c>
      <c r="BP930" s="10" t="b">
        <f>tbl_MTG_Set[[#This Row],[Play Singles CardMarket Profit BotBox]]&gt;0</f>
        <v>0</v>
      </c>
      <c r="BQ930" s="10"/>
      <c r="BR930" s="10"/>
      <c r="BS930" s="10"/>
      <c r="BT93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0" s="19" t="e">
        <f>tbl_MTG_Set[[#This Row],[Collector Singles CardMarket Profit MTG Stocks]]/tbl_MTG_Set[[#This Row],[Collector Booster Cost]]</f>
        <v>#N/A</v>
      </c>
      <c r="BW930" s="10" t="b">
        <f>tbl_MTG_Set[[#This Row],[Collector Singles CardMarket Profit MTG Stocks]]&gt;0</f>
        <v>0</v>
      </c>
      <c r="BX930" s="10"/>
      <c r="BY930" s="10"/>
      <c r="BZ93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0" s="10" t="e">
        <f>tbl_MTG_Set[[#This Row],[Collector Singles CardMarket Profit BotBox]]/tbl_MTG_Set[[#This Row],[Collector Booster Cost]]</f>
        <v>#N/A</v>
      </c>
      <c r="CC930" s="10" t="b">
        <f>tbl_MTG_Set[[#This Row],[Collector Singles CardMarket Profit BotBox]]&gt;0</f>
        <v>0</v>
      </c>
      <c r="CD93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1" spans="1:86" hidden="1">
      <c r="A931">
        <v>963</v>
      </c>
      <c r="B931" t="s">
        <v>1104</v>
      </c>
      <c r="C931">
        <v>1</v>
      </c>
      <c r="D931" s="3">
        <v>36161</v>
      </c>
      <c r="F931" t="s">
        <v>174</v>
      </c>
      <c r="G931">
        <v>1872</v>
      </c>
      <c r="H931">
        <f ca="1">MONTH(NOW())+12*YEAR(NOW())-MONTH(tbl_MTG_Set[[#This Row],[Released On]])-12*YEAR(tbl_MTG_Set[[#This Row],[Released On]])</f>
        <v>326</v>
      </c>
      <c r="I931" t="str">
        <f>_xlfn.XLOOKUP(tbl_MTG_Set[[#This Row],[Type Name]], tbl_MTG_Set_Type[Set Type], tbl_MTG_Set_Type[Index], "(Set Type not found)")</f>
        <v>(Set Type not found)</v>
      </c>
      <c r="J931" t="str">
        <f>_xlfn.XLOOKUP(tbl_MTG_Set[[#This Row],[Type Name]], tbl_MTG_Set_Type[Set Type], tbl_MTG_Set_Type[Buy Window Month Start], "(Set Type not found)")</f>
        <v>(Set Type not found)</v>
      </c>
      <c r="K931" s="3" t="e">
        <f>tbl_MTG_Set[[#This Row],[Released On]]+tbl_MTG_Set[[#This Row],[Buy Window Month Start]]*365.25/12</f>
        <v>#VALUE!</v>
      </c>
      <c r="L931" t="str">
        <f>_xlfn.XLOOKUP(tbl_MTG_Set[[#This Row],[Type Name]], tbl_MTG_Set_Type[Set Type], tbl_MTG_Set_Type[Buy Window Month End], "(Set Type not found)", 0, 1)</f>
        <v>(Set Type not found)</v>
      </c>
      <c r="M931" s="3" t="e">
        <f>tbl_MTG_Set[[#This Row],[Released On]]+tbl_MTG_Set[[#This Row],[Buy Window Month End]]*365.25/12</f>
        <v>#VALUE!</v>
      </c>
      <c r="N931" s="3" t="e">
        <f ca="1">AND(NOW()&gt;=tbl_MTG_Set[[#This Row],[Buy Window Start]], NOW()&lt;=tbl_MTG_Set[[#This Row],[Buy Window End]])</f>
        <v>#VALUE!</v>
      </c>
      <c r="O931" t="str">
        <f>_xlfn.XLOOKUP(tbl_MTG_Set[[#This Row],[Type Name]], tbl_MTG_Set_Type[Set Type], tbl_MTG_Set_Type[Heavy Printing Window Month Start], "(Set Type not found)", 0, 1)</f>
        <v>(Set Type not found)</v>
      </c>
      <c r="P931" s="3" t="e">
        <f>tbl_MTG_Set[[#This Row],[Released On]]+tbl_MTG_Set[[#This Row],[Heavy Printing Window Month Start]]*365.25/12</f>
        <v>#VALUE!</v>
      </c>
      <c r="Q931" t="str">
        <f>_xlfn.XLOOKUP(tbl_MTG_Set[[#This Row],[Type Name]], tbl_MTG_Set_Type[Set Type], tbl_MTG_Set_Type[Heavy Printing Window Month End], "(Set Type not found)", 0, 1)</f>
        <v>(Set Type not found)</v>
      </c>
      <c r="R931" s="3" t="e">
        <f>tbl_MTG_Set[[#This Row],[Released On]]+tbl_MTG_Set[[#This Row],[Heavy Printing Window Month End]]*365.25/12</f>
        <v>#VALUE!</v>
      </c>
      <c r="S931" s="3" t="e">
        <f ca="1">AND(NOW()&gt;=tbl_MTG_Set[[#This Row],[Heavy Printing Window Start]], NOW()&lt;=tbl_MTG_Set[[#This Row],[Heavy Printing Window End]])</f>
        <v>#VALUE!</v>
      </c>
      <c r="T931" t="str">
        <f>_xlfn.XLOOKUP(tbl_MTG_Set[[#This Row],[Type Name]], tbl_MTG_Set_Type[Set Type], tbl_MTG_Set_Type[Sell Window Month Start], "(Set Type not found)", 0, 1)</f>
        <v>(Set Type not found)</v>
      </c>
      <c r="U931" s="3" t="e">
        <f>tbl_MTG_Set[[#This Row],[Released On]]+tbl_MTG_Set[[#This Row],[Sell Window Month Start]]*365.25/12</f>
        <v>#VALUE!</v>
      </c>
      <c r="V931" t="str">
        <f>_xlfn.XLOOKUP(tbl_MTG_Set[[#This Row],[Type Name]], tbl_MTG_Set_Type[Set Type], tbl_MTG_Set_Type[Sell Window Month End], "(Set Type not found)", 0, 1)</f>
        <v>(Set Type not found)</v>
      </c>
      <c r="W931" s="3" t="e">
        <f>tbl_MTG_Set[[#This Row],[Released On]]+tbl_MTG_Set[[#This Row],[Sell Window Month End]]*365.25/12</f>
        <v>#VALUE!</v>
      </c>
      <c r="X931" s="3" t="e">
        <f ca="1">AND(NOW()&gt;=tbl_MTG_Set[[#This Row],[Sell Window Start]], NOW()&lt;=tbl_MTG_Set[[#This Row],[Sell Window End]])</f>
        <v>#VALUE!</v>
      </c>
      <c r="AG931" s="10"/>
      <c r="AH931" s="10"/>
      <c r="AM931" s="10" t="str" cm="1">
        <f t="array" ref="AM93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1" s="10" t="str" cm="1">
        <f t="array" ref="AN93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1" s="4" t="e">
        <f>_xlfn.XLOOKUP(tbl_MTG_Set[[#This Row],[Play Booster Box Product Id]], tbl_Product[Product Id], tbl_Product[Pack Size])</f>
        <v>#N/A</v>
      </c>
      <c r="AP931" s="10" t="e">
        <f>(tbl_MTG_Set[[#This Row],[Play Booster Box Cost]]+v_Item_Shipping_Cost_In)/tbl_MTG_Set[[#This Row],[Play Booster Box Size]]</f>
        <v>#VALUE!</v>
      </c>
      <c r="AQ931" s="10" t="str" cm="1">
        <f t="array" ref="AQ93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1" s="10"/>
      <c r="AS931" s="10"/>
      <c r="AT931" s="17" t="e">
        <f>tbl_MTG_Set[[#This Row],[Play Booster CardMarket Profit]]/tbl_MTG_Set[[#This Row],[Play Booster Cost]]</f>
        <v>#VALUE!</v>
      </c>
      <c r="AU931" s="10" t="e">
        <f>_xlfn.XLOOKUP(tbl_MTG_Set[[#This Row],[Collector Booster Box Product Id]], tbl_Product[Product Id], tbl_Product[Min Cost])</f>
        <v>#N/A</v>
      </c>
      <c r="AV931" s="10" t="e">
        <f>_xlfn.XLOOKUP(tbl_MTG_Set[[#This Row],[Collector Booster Box Product Id]], tbl_Product[Product Id], tbl_Product[Best Source])</f>
        <v>#N/A</v>
      </c>
      <c r="AW931" s="4" t="e">
        <f>_xlfn.XLOOKUP(tbl_MTG_Set[[#This Row],[Collector Booster Box Product Id]], tbl_Product[Product Id], tbl_Product[Pack Size])</f>
        <v>#N/A</v>
      </c>
      <c r="AX931" s="10" t="e">
        <f>(tbl_MTG_Set[[#This Row],[Collector Booster Box Cost]] + v_Item_Shipping_Cost_In) / tbl_MTG_Set[[#This Row],[Collector Booster Box Size]]</f>
        <v>#N/A</v>
      </c>
      <c r="AY931" s="10" t="str" cm="1">
        <f t="array" ref="AY93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1" s="10"/>
      <c r="BA93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1" s="17" t="e">
        <f>tbl_MTG_Set[[#This Row],[Collector Booster CardMarket Profit]]/tbl_MTG_Set[[#This Row],[Collector Booster Cost]]</f>
        <v>#N/A</v>
      </c>
      <c r="BC931" s="10"/>
      <c r="BF93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1" s="11" t="e">
        <f>tbl_MTG_Set[[#This Row],[Play Singles CardMarket Profit MTG Stocks]]/tbl_MTG_Set[[#This Row],[Play Booster Cost]]</f>
        <v>#VALUE!</v>
      </c>
      <c r="BI931" s="11" t="b">
        <f>tbl_MTG_Set[[#This Row],[Play Singles CardMarket Profit MTG Stocks]]&gt;0</f>
        <v>0</v>
      </c>
      <c r="BM931" s="10" t="e">
        <f>tbl_MTG_Set[[#This Row],[Play Booster Sell Price CardMarket]]*tbl_MTG_Set[[#This Row],[Play Booster Expected Market Value BotBox]]/tbl_MTG_Set[[#This Row],[Play Booster Sealed Market Value BotBox]]</f>
        <v>#VALUE!</v>
      </c>
      <c r="BN93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1" s="10" t="e">
        <f>tbl_MTG_Set[[#This Row],[Play Singles CardMarket Profit BotBox]]/tbl_MTG_Set[[#This Row],[Play Booster Cost]]</f>
        <v>#VALUE!</v>
      </c>
      <c r="BP931" s="10" t="b">
        <f>tbl_MTG_Set[[#This Row],[Play Singles CardMarket Profit BotBox]]&gt;0</f>
        <v>0</v>
      </c>
      <c r="BQ931" s="10"/>
      <c r="BR931" s="10"/>
      <c r="BS931" s="10"/>
      <c r="BT93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1" s="19" t="e">
        <f>tbl_MTG_Set[[#This Row],[Collector Singles CardMarket Profit MTG Stocks]]/tbl_MTG_Set[[#This Row],[Collector Booster Cost]]</f>
        <v>#N/A</v>
      </c>
      <c r="BW931" s="10" t="b">
        <f>tbl_MTG_Set[[#This Row],[Collector Singles CardMarket Profit MTG Stocks]]&gt;0</f>
        <v>0</v>
      </c>
      <c r="BX931" s="10"/>
      <c r="BY931" s="10"/>
      <c r="BZ93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1" s="10" t="e">
        <f>tbl_MTG_Set[[#This Row],[Collector Singles CardMarket Profit BotBox]]/tbl_MTG_Set[[#This Row],[Collector Booster Cost]]</f>
        <v>#N/A</v>
      </c>
      <c r="CC931" s="10" t="b">
        <f>tbl_MTG_Set[[#This Row],[Collector Singles CardMarket Profit BotBox]]&gt;0</f>
        <v>0</v>
      </c>
      <c r="CD93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2" spans="1:86" hidden="1">
      <c r="A932">
        <v>964</v>
      </c>
      <c r="B932" t="s">
        <v>1105</v>
      </c>
      <c r="C932">
        <v>85</v>
      </c>
      <c r="D932" s="3">
        <v>36100</v>
      </c>
      <c r="F932" t="s">
        <v>174</v>
      </c>
      <c r="G932">
        <v>1874</v>
      </c>
      <c r="H932">
        <f ca="1">MONTH(NOW())+12*YEAR(NOW())-MONTH(tbl_MTG_Set[[#This Row],[Released On]])-12*YEAR(tbl_MTG_Set[[#This Row],[Released On]])</f>
        <v>328</v>
      </c>
      <c r="I932" t="str">
        <f>_xlfn.XLOOKUP(tbl_MTG_Set[[#This Row],[Type Name]], tbl_MTG_Set_Type[Set Type], tbl_MTG_Set_Type[Index], "(Set Type not found)")</f>
        <v>(Set Type not found)</v>
      </c>
      <c r="J932" t="str">
        <f>_xlfn.XLOOKUP(tbl_MTG_Set[[#This Row],[Type Name]], tbl_MTG_Set_Type[Set Type], tbl_MTG_Set_Type[Buy Window Month Start], "(Set Type not found)")</f>
        <v>(Set Type not found)</v>
      </c>
      <c r="K932" s="3" t="e">
        <f>tbl_MTG_Set[[#This Row],[Released On]]+tbl_MTG_Set[[#This Row],[Buy Window Month Start]]*365.25/12</f>
        <v>#VALUE!</v>
      </c>
      <c r="L932" t="str">
        <f>_xlfn.XLOOKUP(tbl_MTG_Set[[#This Row],[Type Name]], tbl_MTG_Set_Type[Set Type], tbl_MTG_Set_Type[Buy Window Month End], "(Set Type not found)", 0, 1)</f>
        <v>(Set Type not found)</v>
      </c>
      <c r="M932" s="3" t="e">
        <f>tbl_MTG_Set[[#This Row],[Released On]]+tbl_MTG_Set[[#This Row],[Buy Window Month End]]*365.25/12</f>
        <v>#VALUE!</v>
      </c>
      <c r="N932" s="3" t="e">
        <f ca="1">AND(NOW()&gt;=tbl_MTG_Set[[#This Row],[Buy Window Start]], NOW()&lt;=tbl_MTG_Set[[#This Row],[Buy Window End]])</f>
        <v>#VALUE!</v>
      </c>
      <c r="O932" t="str">
        <f>_xlfn.XLOOKUP(tbl_MTG_Set[[#This Row],[Type Name]], tbl_MTG_Set_Type[Set Type], tbl_MTG_Set_Type[Heavy Printing Window Month Start], "(Set Type not found)", 0, 1)</f>
        <v>(Set Type not found)</v>
      </c>
      <c r="P932" s="3" t="e">
        <f>tbl_MTG_Set[[#This Row],[Released On]]+tbl_MTG_Set[[#This Row],[Heavy Printing Window Month Start]]*365.25/12</f>
        <v>#VALUE!</v>
      </c>
      <c r="Q932" t="str">
        <f>_xlfn.XLOOKUP(tbl_MTG_Set[[#This Row],[Type Name]], tbl_MTG_Set_Type[Set Type], tbl_MTG_Set_Type[Heavy Printing Window Month End], "(Set Type not found)", 0, 1)</f>
        <v>(Set Type not found)</v>
      </c>
      <c r="R932" s="3" t="e">
        <f>tbl_MTG_Set[[#This Row],[Released On]]+tbl_MTG_Set[[#This Row],[Heavy Printing Window Month End]]*365.25/12</f>
        <v>#VALUE!</v>
      </c>
      <c r="S932" s="3" t="e">
        <f ca="1">AND(NOW()&gt;=tbl_MTG_Set[[#This Row],[Heavy Printing Window Start]], NOW()&lt;=tbl_MTG_Set[[#This Row],[Heavy Printing Window End]])</f>
        <v>#VALUE!</v>
      </c>
      <c r="T932" t="str">
        <f>_xlfn.XLOOKUP(tbl_MTG_Set[[#This Row],[Type Name]], tbl_MTG_Set_Type[Set Type], tbl_MTG_Set_Type[Sell Window Month Start], "(Set Type not found)", 0, 1)</f>
        <v>(Set Type not found)</v>
      </c>
      <c r="U932" s="3" t="e">
        <f>tbl_MTG_Set[[#This Row],[Released On]]+tbl_MTG_Set[[#This Row],[Sell Window Month Start]]*365.25/12</f>
        <v>#VALUE!</v>
      </c>
      <c r="V932" t="str">
        <f>_xlfn.XLOOKUP(tbl_MTG_Set[[#This Row],[Type Name]], tbl_MTG_Set_Type[Set Type], tbl_MTG_Set_Type[Sell Window Month End], "(Set Type not found)", 0, 1)</f>
        <v>(Set Type not found)</v>
      </c>
      <c r="W932" s="3" t="e">
        <f>tbl_MTG_Set[[#This Row],[Released On]]+tbl_MTG_Set[[#This Row],[Sell Window Month End]]*365.25/12</f>
        <v>#VALUE!</v>
      </c>
      <c r="X932" s="3" t="e">
        <f ca="1">AND(NOW()&gt;=tbl_MTG_Set[[#This Row],[Sell Window Start]], NOW()&lt;=tbl_MTG_Set[[#This Row],[Sell Window End]])</f>
        <v>#VALUE!</v>
      </c>
      <c r="AG932" s="10"/>
      <c r="AH932" s="10"/>
      <c r="AM932" s="10" t="str" cm="1">
        <f t="array" ref="AM93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2" s="10" t="str" cm="1">
        <f t="array" ref="AN93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2" s="4" t="e">
        <f>_xlfn.XLOOKUP(tbl_MTG_Set[[#This Row],[Play Booster Box Product Id]], tbl_Product[Product Id], tbl_Product[Pack Size])</f>
        <v>#N/A</v>
      </c>
      <c r="AP932" s="10" t="e">
        <f>(tbl_MTG_Set[[#This Row],[Play Booster Box Cost]]+v_Item_Shipping_Cost_In)/tbl_MTG_Set[[#This Row],[Play Booster Box Size]]</f>
        <v>#VALUE!</v>
      </c>
      <c r="AQ932" s="10" t="str" cm="1">
        <f t="array" ref="AQ93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2" s="10"/>
      <c r="AS932" s="10"/>
      <c r="AT932" s="17" t="e">
        <f>tbl_MTG_Set[[#This Row],[Play Booster CardMarket Profit]]/tbl_MTG_Set[[#This Row],[Play Booster Cost]]</f>
        <v>#VALUE!</v>
      </c>
      <c r="AU932" s="10" t="e">
        <f>_xlfn.XLOOKUP(tbl_MTG_Set[[#This Row],[Collector Booster Box Product Id]], tbl_Product[Product Id], tbl_Product[Min Cost])</f>
        <v>#N/A</v>
      </c>
      <c r="AV932" s="10" t="e">
        <f>_xlfn.XLOOKUP(tbl_MTG_Set[[#This Row],[Collector Booster Box Product Id]], tbl_Product[Product Id], tbl_Product[Best Source])</f>
        <v>#N/A</v>
      </c>
      <c r="AW932" s="4" t="e">
        <f>_xlfn.XLOOKUP(tbl_MTG_Set[[#This Row],[Collector Booster Box Product Id]], tbl_Product[Product Id], tbl_Product[Pack Size])</f>
        <v>#N/A</v>
      </c>
      <c r="AX932" s="10" t="e">
        <f>(tbl_MTG_Set[[#This Row],[Collector Booster Box Cost]] + v_Item_Shipping_Cost_In) / tbl_MTG_Set[[#This Row],[Collector Booster Box Size]]</f>
        <v>#N/A</v>
      </c>
      <c r="AY932" s="10" t="str" cm="1">
        <f t="array" ref="AY93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2" s="10"/>
      <c r="BA93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2" s="17" t="e">
        <f>tbl_MTG_Set[[#This Row],[Collector Booster CardMarket Profit]]/tbl_MTG_Set[[#This Row],[Collector Booster Cost]]</f>
        <v>#N/A</v>
      </c>
      <c r="BC932" s="10"/>
      <c r="BF93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2" s="11" t="e">
        <f>tbl_MTG_Set[[#This Row],[Play Singles CardMarket Profit MTG Stocks]]/tbl_MTG_Set[[#This Row],[Play Booster Cost]]</f>
        <v>#VALUE!</v>
      </c>
      <c r="BI932" s="11" t="b">
        <f>tbl_MTG_Set[[#This Row],[Play Singles CardMarket Profit MTG Stocks]]&gt;0</f>
        <v>0</v>
      </c>
      <c r="BM932" s="10" t="e">
        <f>tbl_MTG_Set[[#This Row],[Play Booster Sell Price CardMarket]]*tbl_MTG_Set[[#This Row],[Play Booster Expected Market Value BotBox]]/tbl_MTG_Set[[#This Row],[Play Booster Sealed Market Value BotBox]]</f>
        <v>#VALUE!</v>
      </c>
      <c r="BN93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2" s="10" t="e">
        <f>tbl_MTG_Set[[#This Row],[Play Singles CardMarket Profit BotBox]]/tbl_MTG_Set[[#This Row],[Play Booster Cost]]</f>
        <v>#VALUE!</v>
      </c>
      <c r="BP932" s="10" t="b">
        <f>tbl_MTG_Set[[#This Row],[Play Singles CardMarket Profit BotBox]]&gt;0</f>
        <v>0</v>
      </c>
      <c r="BQ932" s="10"/>
      <c r="BR932" s="10"/>
      <c r="BS932" s="10"/>
      <c r="BT93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2" s="19" t="e">
        <f>tbl_MTG_Set[[#This Row],[Collector Singles CardMarket Profit MTG Stocks]]/tbl_MTG_Set[[#This Row],[Collector Booster Cost]]</f>
        <v>#N/A</v>
      </c>
      <c r="BW932" s="10" t="b">
        <f>tbl_MTG_Set[[#This Row],[Collector Singles CardMarket Profit MTG Stocks]]&gt;0</f>
        <v>0</v>
      </c>
      <c r="BX932" s="10"/>
      <c r="BY932" s="10"/>
      <c r="BZ93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2" s="10" t="e">
        <f>tbl_MTG_Set[[#This Row],[Collector Singles CardMarket Profit BotBox]]/tbl_MTG_Set[[#This Row],[Collector Booster Cost]]</f>
        <v>#N/A</v>
      </c>
      <c r="CC932" s="10" t="b">
        <f>tbl_MTG_Set[[#This Row],[Collector Singles CardMarket Profit BotBox]]&gt;0</f>
        <v>0</v>
      </c>
      <c r="CD93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3" spans="1:86" hidden="1">
      <c r="A933">
        <v>965</v>
      </c>
      <c r="B933" t="s">
        <v>1106</v>
      </c>
      <c r="C933">
        <v>357</v>
      </c>
      <c r="D933" s="3">
        <v>36080</v>
      </c>
      <c r="F933" t="s">
        <v>174</v>
      </c>
      <c r="G933">
        <v>1876</v>
      </c>
      <c r="H933">
        <f ca="1">MONTH(NOW())+12*YEAR(NOW())-MONTH(tbl_MTG_Set[[#This Row],[Released On]])-12*YEAR(tbl_MTG_Set[[#This Row],[Released On]])</f>
        <v>329</v>
      </c>
      <c r="I933" t="str">
        <f>_xlfn.XLOOKUP(tbl_MTG_Set[[#This Row],[Type Name]], tbl_MTG_Set_Type[Set Type], tbl_MTG_Set_Type[Index], "(Set Type not found)")</f>
        <v>(Set Type not found)</v>
      </c>
      <c r="J933" t="str">
        <f>_xlfn.XLOOKUP(tbl_MTG_Set[[#This Row],[Type Name]], tbl_MTG_Set_Type[Set Type], tbl_MTG_Set_Type[Buy Window Month Start], "(Set Type not found)")</f>
        <v>(Set Type not found)</v>
      </c>
      <c r="K933" s="3" t="e">
        <f>tbl_MTG_Set[[#This Row],[Released On]]+tbl_MTG_Set[[#This Row],[Buy Window Month Start]]*365.25/12</f>
        <v>#VALUE!</v>
      </c>
      <c r="L933" t="str">
        <f>_xlfn.XLOOKUP(tbl_MTG_Set[[#This Row],[Type Name]], tbl_MTG_Set_Type[Set Type], tbl_MTG_Set_Type[Buy Window Month End], "(Set Type not found)", 0, 1)</f>
        <v>(Set Type not found)</v>
      </c>
      <c r="M933" s="3" t="e">
        <f>tbl_MTG_Set[[#This Row],[Released On]]+tbl_MTG_Set[[#This Row],[Buy Window Month End]]*365.25/12</f>
        <v>#VALUE!</v>
      </c>
      <c r="N933" s="3" t="e">
        <f ca="1">AND(NOW()&gt;=tbl_MTG_Set[[#This Row],[Buy Window Start]], NOW()&lt;=tbl_MTG_Set[[#This Row],[Buy Window End]])</f>
        <v>#VALUE!</v>
      </c>
      <c r="O933" t="str">
        <f>_xlfn.XLOOKUP(tbl_MTG_Set[[#This Row],[Type Name]], tbl_MTG_Set_Type[Set Type], tbl_MTG_Set_Type[Heavy Printing Window Month Start], "(Set Type not found)", 0, 1)</f>
        <v>(Set Type not found)</v>
      </c>
      <c r="P933" s="3" t="e">
        <f>tbl_MTG_Set[[#This Row],[Released On]]+tbl_MTG_Set[[#This Row],[Heavy Printing Window Month Start]]*365.25/12</f>
        <v>#VALUE!</v>
      </c>
      <c r="Q933" t="str">
        <f>_xlfn.XLOOKUP(tbl_MTG_Set[[#This Row],[Type Name]], tbl_MTG_Set_Type[Set Type], tbl_MTG_Set_Type[Heavy Printing Window Month End], "(Set Type not found)", 0, 1)</f>
        <v>(Set Type not found)</v>
      </c>
      <c r="R933" s="3" t="e">
        <f>tbl_MTG_Set[[#This Row],[Released On]]+tbl_MTG_Set[[#This Row],[Heavy Printing Window Month End]]*365.25/12</f>
        <v>#VALUE!</v>
      </c>
      <c r="S933" s="3" t="e">
        <f ca="1">AND(NOW()&gt;=tbl_MTG_Set[[#This Row],[Heavy Printing Window Start]], NOW()&lt;=tbl_MTG_Set[[#This Row],[Heavy Printing Window End]])</f>
        <v>#VALUE!</v>
      </c>
      <c r="T933" t="str">
        <f>_xlfn.XLOOKUP(tbl_MTG_Set[[#This Row],[Type Name]], tbl_MTG_Set_Type[Set Type], tbl_MTG_Set_Type[Sell Window Month Start], "(Set Type not found)", 0, 1)</f>
        <v>(Set Type not found)</v>
      </c>
      <c r="U933" s="3" t="e">
        <f>tbl_MTG_Set[[#This Row],[Released On]]+tbl_MTG_Set[[#This Row],[Sell Window Month Start]]*365.25/12</f>
        <v>#VALUE!</v>
      </c>
      <c r="V933" t="str">
        <f>_xlfn.XLOOKUP(tbl_MTG_Set[[#This Row],[Type Name]], tbl_MTG_Set_Type[Set Type], tbl_MTG_Set_Type[Sell Window Month End], "(Set Type not found)", 0, 1)</f>
        <v>(Set Type not found)</v>
      </c>
      <c r="W933" s="3" t="e">
        <f>tbl_MTG_Set[[#This Row],[Released On]]+tbl_MTG_Set[[#This Row],[Sell Window Month End]]*365.25/12</f>
        <v>#VALUE!</v>
      </c>
      <c r="X933" s="3" t="e">
        <f ca="1">AND(NOW()&gt;=tbl_MTG_Set[[#This Row],[Sell Window Start]], NOW()&lt;=tbl_MTG_Set[[#This Row],[Sell Window End]])</f>
        <v>#VALUE!</v>
      </c>
      <c r="AG933" s="10"/>
      <c r="AH933" s="10"/>
      <c r="AM933" s="10" t="str" cm="1">
        <f t="array" ref="AM93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3" s="10" t="str" cm="1">
        <f t="array" ref="AN93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3" s="4" t="e">
        <f>_xlfn.XLOOKUP(tbl_MTG_Set[[#This Row],[Play Booster Box Product Id]], tbl_Product[Product Id], tbl_Product[Pack Size])</f>
        <v>#N/A</v>
      </c>
      <c r="AP933" s="10" t="e">
        <f>(tbl_MTG_Set[[#This Row],[Play Booster Box Cost]]+v_Item_Shipping_Cost_In)/tbl_MTG_Set[[#This Row],[Play Booster Box Size]]</f>
        <v>#VALUE!</v>
      </c>
      <c r="AQ933" s="10" t="str" cm="1">
        <f t="array" ref="AQ93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3" s="10"/>
      <c r="AS933" s="10"/>
      <c r="AT933" s="17" t="e">
        <f>tbl_MTG_Set[[#This Row],[Play Booster CardMarket Profit]]/tbl_MTG_Set[[#This Row],[Play Booster Cost]]</f>
        <v>#VALUE!</v>
      </c>
      <c r="AU933" s="10" t="e">
        <f>_xlfn.XLOOKUP(tbl_MTG_Set[[#This Row],[Collector Booster Box Product Id]], tbl_Product[Product Id], tbl_Product[Min Cost])</f>
        <v>#N/A</v>
      </c>
      <c r="AV933" s="10" t="e">
        <f>_xlfn.XLOOKUP(tbl_MTG_Set[[#This Row],[Collector Booster Box Product Id]], tbl_Product[Product Id], tbl_Product[Best Source])</f>
        <v>#N/A</v>
      </c>
      <c r="AW933" s="4" t="e">
        <f>_xlfn.XLOOKUP(tbl_MTG_Set[[#This Row],[Collector Booster Box Product Id]], tbl_Product[Product Id], tbl_Product[Pack Size])</f>
        <v>#N/A</v>
      </c>
      <c r="AX933" s="10" t="e">
        <f>(tbl_MTG_Set[[#This Row],[Collector Booster Box Cost]] + v_Item_Shipping_Cost_In) / tbl_MTG_Set[[#This Row],[Collector Booster Box Size]]</f>
        <v>#N/A</v>
      </c>
      <c r="AY933" s="10" t="str" cm="1">
        <f t="array" ref="AY93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3" s="10"/>
      <c r="BA93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3" s="17" t="e">
        <f>tbl_MTG_Set[[#This Row],[Collector Booster CardMarket Profit]]/tbl_MTG_Set[[#This Row],[Collector Booster Cost]]</f>
        <v>#N/A</v>
      </c>
      <c r="BC933" s="10"/>
      <c r="BF93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3" s="11" t="e">
        <f>tbl_MTG_Set[[#This Row],[Play Singles CardMarket Profit MTG Stocks]]/tbl_MTG_Set[[#This Row],[Play Booster Cost]]</f>
        <v>#VALUE!</v>
      </c>
      <c r="BI933" s="11" t="b">
        <f>tbl_MTG_Set[[#This Row],[Play Singles CardMarket Profit MTG Stocks]]&gt;0</f>
        <v>0</v>
      </c>
      <c r="BM933" s="10" t="e">
        <f>tbl_MTG_Set[[#This Row],[Play Booster Sell Price CardMarket]]*tbl_MTG_Set[[#This Row],[Play Booster Expected Market Value BotBox]]/tbl_MTG_Set[[#This Row],[Play Booster Sealed Market Value BotBox]]</f>
        <v>#VALUE!</v>
      </c>
      <c r="BN93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3" s="10" t="e">
        <f>tbl_MTG_Set[[#This Row],[Play Singles CardMarket Profit BotBox]]/tbl_MTG_Set[[#This Row],[Play Booster Cost]]</f>
        <v>#VALUE!</v>
      </c>
      <c r="BP933" s="10" t="b">
        <f>tbl_MTG_Set[[#This Row],[Play Singles CardMarket Profit BotBox]]&gt;0</f>
        <v>0</v>
      </c>
      <c r="BQ933" s="10"/>
      <c r="BR933" s="10"/>
      <c r="BS933" s="10"/>
      <c r="BT93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3" s="19" t="e">
        <f>tbl_MTG_Set[[#This Row],[Collector Singles CardMarket Profit MTG Stocks]]/tbl_MTG_Set[[#This Row],[Collector Booster Cost]]</f>
        <v>#N/A</v>
      </c>
      <c r="BW933" s="10" t="b">
        <f>tbl_MTG_Set[[#This Row],[Collector Singles CardMarket Profit MTG Stocks]]&gt;0</f>
        <v>0</v>
      </c>
      <c r="BX933" s="10"/>
      <c r="BY933" s="10"/>
      <c r="BZ93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3" s="10" t="e">
        <f>tbl_MTG_Set[[#This Row],[Collector Singles CardMarket Profit BotBox]]/tbl_MTG_Set[[#This Row],[Collector Booster Cost]]</f>
        <v>#N/A</v>
      </c>
      <c r="CC933" s="10" t="b">
        <f>tbl_MTG_Set[[#This Row],[Collector Singles CardMarket Profit BotBox]]&gt;0</f>
        <v>0</v>
      </c>
      <c r="CD93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4" spans="1:86" hidden="1">
      <c r="A934">
        <v>966</v>
      </c>
      <c r="B934" t="s">
        <v>1107</v>
      </c>
      <c r="C934">
        <v>1</v>
      </c>
      <c r="D934" s="3">
        <v>36080</v>
      </c>
      <c r="F934" t="s">
        <v>174</v>
      </c>
      <c r="G934">
        <v>1878</v>
      </c>
      <c r="H934">
        <f ca="1">MONTH(NOW())+12*YEAR(NOW())-MONTH(tbl_MTG_Set[[#This Row],[Released On]])-12*YEAR(tbl_MTG_Set[[#This Row],[Released On]])</f>
        <v>329</v>
      </c>
      <c r="I934" t="str">
        <f>_xlfn.XLOOKUP(tbl_MTG_Set[[#This Row],[Type Name]], tbl_MTG_Set_Type[Set Type], tbl_MTG_Set_Type[Index], "(Set Type not found)")</f>
        <v>(Set Type not found)</v>
      </c>
      <c r="J934" t="str">
        <f>_xlfn.XLOOKUP(tbl_MTG_Set[[#This Row],[Type Name]], tbl_MTG_Set_Type[Set Type], tbl_MTG_Set_Type[Buy Window Month Start], "(Set Type not found)")</f>
        <v>(Set Type not found)</v>
      </c>
      <c r="K934" s="3" t="e">
        <f>tbl_MTG_Set[[#This Row],[Released On]]+tbl_MTG_Set[[#This Row],[Buy Window Month Start]]*365.25/12</f>
        <v>#VALUE!</v>
      </c>
      <c r="L934" t="str">
        <f>_xlfn.XLOOKUP(tbl_MTG_Set[[#This Row],[Type Name]], tbl_MTG_Set_Type[Set Type], tbl_MTG_Set_Type[Buy Window Month End], "(Set Type not found)", 0, 1)</f>
        <v>(Set Type not found)</v>
      </c>
      <c r="M934" s="3" t="e">
        <f>tbl_MTG_Set[[#This Row],[Released On]]+tbl_MTG_Set[[#This Row],[Buy Window Month End]]*365.25/12</f>
        <v>#VALUE!</v>
      </c>
      <c r="N934" s="3" t="e">
        <f ca="1">AND(NOW()&gt;=tbl_MTG_Set[[#This Row],[Buy Window Start]], NOW()&lt;=tbl_MTG_Set[[#This Row],[Buy Window End]])</f>
        <v>#VALUE!</v>
      </c>
      <c r="O934" t="str">
        <f>_xlfn.XLOOKUP(tbl_MTG_Set[[#This Row],[Type Name]], tbl_MTG_Set_Type[Set Type], tbl_MTG_Set_Type[Heavy Printing Window Month Start], "(Set Type not found)", 0, 1)</f>
        <v>(Set Type not found)</v>
      </c>
      <c r="P934" s="3" t="e">
        <f>tbl_MTG_Set[[#This Row],[Released On]]+tbl_MTG_Set[[#This Row],[Heavy Printing Window Month Start]]*365.25/12</f>
        <v>#VALUE!</v>
      </c>
      <c r="Q934" t="str">
        <f>_xlfn.XLOOKUP(tbl_MTG_Set[[#This Row],[Type Name]], tbl_MTG_Set_Type[Set Type], tbl_MTG_Set_Type[Heavy Printing Window Month End], "(Set Type not found)", 0, 1)</f>
        <v>(Set Type not found)</v>
      </c>
      <c r="R934" s="3" t="e">
        <f>tbl_MTG_Set[[#This Row],[Released On]]+tbl_MTG_Set[[#This Row],[Heavy Printing Window Month End]]*365.25/12</f>
        <v>#VALUE!</v>
      </c>
      <c r="S934" s="3" t="e">
        <f ca="1">AND(NOW()&gt;=tbl_MTG_Set[[#This Row],[Heavy Printing Window Start]], NOW()&lt;=tbl_MTG_Set[[#This Row],[Heavy Printing Window End]])</f>
        <v>#VALUE!</v>
      </c>
      <c r="T934" t="str">
        <f>_xlfn.XLOOKUP(tbl_MTG_Set[[#This Row],[Type Name]], tbl_MTG_Set_Type[Set Type], tbl_MTG_Set_Type[Sell Window Month Start], "(Set Type not found)", 0, 1)</f>
        <v>(Set Type not found)</v>
      </c>
      <c r="U934" s="3" t="e">
        <f>tbl_MTG_Set[[#This Row],[Released On]]+tbl_MTG_Set[[#This Row],[Sell Window Month Start]]*365.25/12</f>
        <v>#VALUE!</v>
      </c>
      <c r="V934" t="str">
        <f>_xlfn.XLOOKUP(tbl_MTG_Set[[#This Row],[Type Name]], tbl_MTG_Set_Type[Set Type], tbl_MTG_Set_Type[Sell Window Month End], "(Set Type not found)", 0, 1)</f>
        <v>(Set Type not found)</v>
      </c>
      <c r="W934" s="3" t="e">
        <f>tbl_MTG_Set[[#This Row],[Released On]]+tbl_MTG_Set[[#This Row],[Sell Window Month End]]*365.25/12</f>
        <v>#VALUE!</v>
      </c>
      <c r="X934" s="3" t="e">
        <f ca="1">AND(NOW()&gt;=tbl_MTG_Set[[#This Row],[Sell Window Start]], NOW()&lt;=tbl_MTG_Set[[#This Row],[Sell Window End]])</f>
        <v>#VALUE!</v>
      </c>
      <c r="AG934" s="10"/>
      <c r="AH934" s="10"/>
      <c r="AM934" s="10" t="str" cm="1">
        <f t="array" ref="AM93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4" s="10" t="str" cm="1">
        <f t="array" ref="AN93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4" s="4" t="e">
        <f>_xlfn.XLOOKUP(tbl_MTG_Set[[#This Row],[Play Booster Box Product Id]], tbl_Product[Product Id], tbl_Product[Pack Size])</f>
        <v>#N/A</v>
      </c>
      <c r="AP934" s="10" t="e">
        <f>(tbl_MTG_Set[[#This Row],[Play Booster Box Cost]]+v_Item_Shipping_Cost_In)/tbl_MTG_Set[[#This Row],[Play Booster Box Size]]</f>
        <v>#VALUE!</v>
      </c>
      <c r="AQ934" s="10" t="str" cm="1">
        <f t="array" ref="AQ93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4" s="10"/>
      <c r="AS934" s="10"/>
      <c r="AT934" s="17" t="e">
        <f>tbl_MTG_Set[[#This Row],[Play Booster CardMarket Profit]]/tbl_MTG_Set[[#This Row],[Play Booster Cost]]</f>
        <v>#VALUE!</v>
      </c>
      <c r="AU934" s="10" t="e">
        <f>_xlfn.XLOOKUP(tbl_MTG_Set[[#This Row],[Collector Booster Box Product Id]], tbl_Product[Product Id], tbl_Product[Min Cost])</f>
        <v>#N/A</v>
      </c>
      <c r="AV934" s="10" t="e">
        <f>_xlfn.XLOOKUP(tbl_MTG_Set[[#This Row],[Collector Booster Box Product Id]], tbl_Product[Product Id], tbl_Product[Best Source])</f>
        <v>#N/A</v>
      </c>
      <c r="AW934" s="4" t="e">
        <f>_xlfn.XLOOKUP(tbl_MTG_Set[[#This Row],[Collector Booster Box Product Id]], tbl_Product[Product Id], tbl_Product[Pack Size])</f>
        <v>#N/A</v>
      </c>
      <c r="AX934" s="10" t="e">
        <f>(tbl_MTG_Set[[#This Row],[Collector Booster Box Cost]] + v_Item_Shipping_Cost_In) / tbl_MTG_Set[[#This Row],[Collector Booster Box Size]]</f>
        <v>#N/A</v>
      </c>
      <c r="AY934" s="10" t="str" cm="1">
        <f t="array" ref="AY93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4" s="10"/>
      <c r="BA93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4" s="17" t="e">
        <f>tbl_MTG_Set[[#This Row],[Collector Booster CardMarket Profit]]/tbl_MTG_Set[[#This Row],[Collector Booster Cost]]</f>
        <v>#N/A</v>
      </c>
      <c r="BC934" s="10"/>
      <c r="BF93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4" s="11" t="e">
        <f>tbl_MTG_Set[[#This Row],[Play Singles CardMarket Profit MTG Stocks]]/tbl_MTG_Set[[#This Row],[Play Booster Cost]]</f>
        <v>#VALUE!</v>
      </c>
      <c r="BI934" s="11" t="b">
        <f>tbl_MTG_Set[[#This Row],[Play Singles CardMarket Profit MTG Stocks]]&gt;0</f>
        <v>0</v>
      </c>
      <c r="BM934" s="10" t="e">
        <f>tbl_MTG_Set[[#This Row],[Play Booster Sell Price CardMarket]]*tbl_MTG_Set[[#This Row],[Play Booster Expected Market Value BotBox]]/tbl_MTG_Set[[#This Row],[Play Booster Sealed Market Value BotBox]]</f>
        <v>#VALUE!</v>
      </c>
      <c r="BN93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4" s="10" t="e">
        <f>tbl_MTG_Set[[#This Row],[Play Singles CardMarket Profit BotBox]]/tbl_MTG_Set[[#This Row],[Play Booster Cost]]</f>
        <v>#VALUE!</v>
      </c>
      <c r="BP934" s="10" t="b">
        <f>tbl_MTG_Set[[#This Row],[Play Singles CardMarket Profit BotBox]]&gt;0</f>
        <v>0</v>
      </c>
      <c r="BQ934" s="10"/>
      <c r="BR934" s="10"/>
      <c r="BS934" s="10"/>
      <c r="BT93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4" s="19" t="e">
        <f>tbl_MTG_Set[[#This Row],[Collector Singles CardMarket Profit MTG Stocks]]/tbl_MTG_Set[[#This Row],[Collector Booster Cost]]</f>
        <v>#N/A</v>
      </c>
      <c r="BW934" s="10" t="b">
        <f>tbl_MTG_Set[[#This Row],[Collector Singles CardMarket Profit MTG Stocks]]&gt;0</f>
        <v>0</v>
      </c>
      <c r="BX934" s="10"/>
      <c r="BY934" s="10"/>
      <c r="BZ93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4" s="10" t="e">
        <f>tbl_MTG_Set[[#This Row],[Collector Singles CardMarket Profit BotBox]]/tbl_MTG_Set[[#This Row],[Collector Booster Cost]]</f>
        <v>#N/A</v>
      </c>
      <c r="CC934" s="10" t="b">
        <f>tbl_MTG_Set[[#This Row],[Collector Singles CardMarket Profit BotBox]]&gt;0</f>
        <v>0</v>
      </c>
      <c r="CD93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5" spans="1:86" hidden="1">
      <c r="A935">
        <v>967</v>
      </c>
      <c r="B935" t="s">
        <v>1108</v>
      </c>
      <c r="C935">
        <v>15</v>
      </c>
      <c r="D935" s="3">
        <v>36039</v>
      </c>
      <c r="F935" t="s">
        <v>174</v>
      </c>
      <c r="G935">
        <v>1880</v>
      </c>
      <c r="H935">
        <f ca="1">MONTH(NOW())+12*YEAR(NOW())-MONTH(tbl_MTG_Set[[#This Row],[Released On]])-12*YEAR(tbl_MTG_Set[[#This Row],[Released On]])</f>
        <v>330</v>
      </c>
      <c r="I935" t="str">
        <f>_xlfn.XLOOKUP(tbl_MTG_Set[[#This Row],[Type Name]], tbl_MTG_Set_Type[Set Type], tbl_MTG_Set_Type[Index], "(Set Type not found)")</f>
        <v>(Set Type not found)</v>
      </c>
      <c r="J935" t="str">
        <f>_xlfn.XLOOKUP(tbl_MTG_Set[[#This Row],[Type Name]], tbl_MTG_Set_Type[Set Type], tbl_MTG_Set_Type[Buy Window Month Start], "(Set Type not found)")</f>
        <v>(Set Type not found)</v>
      </c>
      <c r="K935" s="3" t="e">
        <f>tbl_MTG_Set[[#This Row],[Released On]]+tbl_MTG_Set[[#This Row],[Buy Window Month Start]]*365.25/12</f>
        <v>#VALUE!</v>
      </c>
      <c r="L935" t="str">
        <f>_xlfn.XLOOKUP(tbl_MTG_Set[[#This Row],[Type Name]], tbl_MTG_Set_Type[Set Type], tbl_MTG_Set_Type[Buy Window Month End], "(Set Type not found)", 0, 1)</f>
        <v>(Set Type not found)</v>
      </c>
      <c r="M935" s="3" t="e">
        <f>tbl_MTG_Set[[#This Row],[Released On]]+tbl_MTG_Set[[#This Row],[Buy Window Month End]]*365.25/12</f>
        <v>#VALUE!</v>
      </c>
      <c r="N935" s="3" t="e">
        <f ca="1">AND(NOW()&gt;=tbl_MTG_Set[[#This Row],[Buy Window Start]], NOW()&lt;=tbl_MTG_Set[[#This Row],[Buy Window End]])</f>
        <v>#VALUE!</v>
      </c>
      <c r="O935" t="str">
        <f>_xlfn.XLOOKUP(tbl_MTG_Set[[#This Row],[Type Name]], tbl_MTG_Set_Type[Set Type], tbl_MTG_Set_Type[Heavy Printing Window Month Start], "(Set Type not found)", 0, 1)</f>
        <v>(Set Type not found)</v>
      </c>
      <c r="P935" s="3" t="e">
        <f>tbl_MTG_Set[[#This Row],[Released On]]+tbl_MTG_Set[[#This Row],[Heavy Printing Window Month Start]]*365.25/12</f>
        <v>#VALUE!</v>
      </c>
      <c r="Q935" t="str">
        <f>_xlfn.XLOOKUP(tbl_MTG_Set[[#This Row],[Type Name]], tbl_MTG_Set_Type[Set Type], tbl_MTG_Set_Type[Heavy Printing Window Month End], "(Set Type not found)", 0, 1)</f>
        <v>(Set Type not found)</v>
      </c>
      <c r="R935" s="3" t="e">
        <f>tbl_MTG_Set[[#This Row],[Released On]]+tbl_MTG_Set[[#This Row],[Heavy Printing Window Month End]]*365.25/12</f>
        <v>#VALUE!</v>
      </c>
      <c r="S935" s="3" t="e">
        <f ca="1">AND(NOW()&gt;=tbl_MTG_Set[[#This Row],[Heavy Printing Window Start]], NOW()&lt;=tbl_MTG_Set[[#This Row],[Heavy Printing Window End]])</f>
        <v>#VALUE!</v>
      </c>
      <c r="T935" t="str">
        <f>_xlfn.XLOOKUP(tbl_MTG_Set[[#This Row],[Type Name]], tbl_MTG_Set_Type[Set Type], tbl_MTG_Set_Type[Sell Window Month Start], "(Set Type not found)", 0, 1)</f>
        <v>(Set Type not found)</v>
      </c>
      <c r="U935" s="3" t="e">
        <f>tbl_MTG_Set[[#This Row],[Released On]]+tbl_MTG_Set[[#This Row],[Sell Window Month Start]]*365.25/12</f>
        <v>#VALUE!</v>
      </c>
      <c r="V935" t="str">
        <f>_xlfn.XLOOKUP(tbl_MTG_Set[[#This Row],[Type Name]], tbl_MTG_Set_Type[Set Type], tbl_MTG_Set_Type[Sell Window Month End], "(Set Type not found)", 0, 1)</f>
        <v>(Set Type not found)</v>
      </c>
      <c r="W935" s="3" t="e">
        <f>tbl_MTG_Set[[#This Row],[Released On]]+tbl_MTG_Set[[#This Row],[Sell Window Month End]]*365.25/12</f>
        <v>#VALUE!</v>
      </c>
      <c r="X935" s="3" t="e">
        <f ca="1">AND(NOW()&gt;=tbl_MTG_Set[[#This Row],[Sell Window Start]], NOW()&lt;=tbl_MTG_Set[[#This Row],[Sell Window End]])</f>
        <v>#VALUE!</v>
      </c>
      <c r="AG935" s="10"/>
      <c r="AH935" s="10"/>
      <c r="AM935" s="10" t="str" cm="1">
        <f t="array" ref="AM93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5" s="10" t="str" cm="1">
        <f t="array" ref="AN93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5" s="4" t="e">
        <f>_xlfn.XLOOKUP(tbl_MTG_Set[[#This Row],[Play Booster Box Product Id]], tbl_Product[Product Id], tbl_Product[Pack Size])</f>
        <v>#N/A</v>
      </c>
      <c r="AP935" s="10" t="e">
        <f>(tbl_MTG_Set[[#This Row],[Play Booster Box Cost]]+v_Item_Shipping_Cost_In)/tbl_MTG_Set[[#This Row],[Play Booster Box Size]]</f>
        <v>#VALUE!</v>
      </c>
      <c r="AQ935" s="10" t="str" cm="1">
        <f t="array" ref="AQ93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5" s="10"/>
      <c r="AS935" s="10"/>
      <c r="AT935" s="17" t="e">
        <f>tbl_MTG_Set[[#This Row],[Play Booster CardMarket Profit]]/tbl_MTG_Set[[#This Row],[Play Booster Cost]]</f>
        <v>#VALUE!</v>
      </c>
      <c r="AU935" s="10" t="e">
        <f>_xlfn.XLOOKUP(tbl_MTG_Set[[#This Row],[Collector Booster Box Product Id]], tbl_Product[Product Id], tbl_Product[Min Cost])</f>
        <v>#N/A</v>
      </c>
      <c r="AV935" s="10" t="e">
        <f>_xlfn.XLOOKUP(tbl_MTG_Set[[#This Row],[Collector Booster Box Product Id]], tbl_Product[Product Id], tbl_Product[Best Source])</f>
        <v>#N/A</v>
      </c>
      <c r="AW935" s="4" t="e">
        <f>_xlfn.XLOOKUP(tbl_MTG_Set[[#This Row],[Collector Booster Box Product Id]], tbl_Product[Product Id], tbl_Product[Pack Size])</f>
        <v>#N/A</v>
      </c>
      <c r="AX935" s="10" t="e">
        <f>(tbl_MTG_Set[[#This Row],[Collector Booster Box Cost]] + v_Item_Shipping_Cost_In) / tbl_MTG_Set[[#This Row],[Collector Booster Box Size]]</f>
        <v>#N/A</v>
      </c>
      <c r="AY935" s="10" t="str" cm="1">
        <f t="array" ref="AY93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5" s="10"/>
      <c r="BA93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5" s="17" t="e">
        <f>tbl_MTG_Set[[#This Row],[Collector Booster CardMarket Profit]]/tbl_MTG_Set[[#This Row],[Collector Booster Cost]]</f>
        <v>#N/A</v>
      </c>
      <c r="BC935" s="10"/>
      <c r="BF93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5" s="11" t="e">
        <f>tbl_MTG_Set[[#This Row],[Play Singles CardMarket Profit MTG Stocks]]/tbl_MTG_Set[[#This Row],[Play Booster Cost]]</f>
        <v>#VALUE!</v>
      </c>
      <c r="BI935" s="11" t="b">
        <f>tbl_MTG_Set[[#This Row],[Play Singles CardMarket Profit MTG Stocks]]&gt;0</f>
        <v>0</v>
      </c>
      <c r="BM935" s="10" t="e">
        <f>tbl_MTG_Set[[#This Row],[Play Booster Sell Price CardMarket]]*tbl_MTG_Set[[#This Row],[Play Booster Expected Market Value BotBox]]/tbl_MTG_Set[[#This Row],[Play Booster Sealed Market Value BotBox]]</f>
        <v>#VALUE!</v>
      </c>
      <c r="BN93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5" s="10" t="e">
        <f>tbl_MTG_Set[[#This Row],[Play Singles CardMarket Profit BotBox]]/tbl_MTG_Set[[#This Row],[Play Booster Cost]]</f>
        <v>#VALUE!</v>
      </c>
      <c r="BP935" s="10" t="b">
        <f>tbl_MTG_Set[[#This Row],[Play Singles CardMarket Profit BotBox]]&gt;0</f>
        <v>0</v>
      </c>
      <c r="BQ935" s="10"/>
      <c r="BR935" s="10"/>
      <c r="BS935" s="10"/>
      <c r="BT93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5" s="19" t="e">
        <f>tbl_MTG_Set[[#This Row],[Collector Singles CardMarket Profit MTG Stocks]]/tbl_MTG_Set[[#This Row],[Collector Booster Cost]]</f>
        <v>#N/A</v>
      </c>
      <c r="BW935" s="10" t="b">
        <f>tbl_MTG_Set[[#This Row],[Collector Singles CardMarket Profit MTG Stocks]]&gt;0</f>
        <v>0</v>
      </c>
      <c r="BX935" s="10"/>
      <c r="BY935" s="10"/>
      <c r="BZ93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5" s="10" t="e">
        <f>tbl_MTG_Set[[#This Row],[Collector Singles CardMarket Profit BotBox]]/tbl_MTG_Set[[#This Row],[Collector Booster Cost]]</f>
        <v>#N/A</v>
      </c>
      <c r="CC935" s="10" t="b">
        <f>tbl_MTG_Set[[#This Row],[Collector Singles CardMarket Profit BotBox]]&gt;0</f>
        <v>0</v>
      </c>
      <c r="CD93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6" spans="1:86" hidden="1">
      <c r="A936">
        <v>968</v>
      </c>
      <c r="B936" t="s">
        <v>1109</v>
      </c>
      <c r="C936">
        <v>117</v>
      </c>
      <c r="D936" s="3">
        <v>36019</v>
      </c>
      <c r="F936" t="s">
        <v>174</v>
      </c>
      <c r="G936">
        <v>1882</v>
      </c>
      <c r="H936">
        <f ca="1">MONTH(NOW())+12*YEAR(NOW())-MONTH(tbl_MTG_Set[[#This Row],[Released On]])-12*YEAR(tbl_MTG_Set[[#This Row],[Released On]])</f>
        <v>331</v>
      </c>
      <c r="I936" t="str">
        <f>_xlfn.XLOOKUP(tbl_MTG_Set[[#This Row],[Type Name]], tbl_MTG_Set_Type[Set Type], tbl_MTG_Set_Type[Index], "(Set Type not found)")</f>
        <v>(Set Type not found)</v>
      </c>
      <c r="J936" t="str">
        <f>_xlfn.XLOOKUP(tbl_MTG_Set[[#This Row],[Type Name]], tbl_MTG_Set_Type[Set Type], tbl_MTG_Set_Type[Buy Window Month Start], "(Set Type not found)")</f>
        <v>(Set Type not found)</v>
      </c>
      <c r="K936" s="3" t="e">
        <f>tbl_MTG_Set[[#This Row],[Released On]]+tbl_MTG_Set[[#This Row],[Buy Window Month Start]]*365.25/12</f>
        <v>#VALUE!</v>
      </c>
      <c r="L936" t="str">
        <f>_xlfn.XLOOKUP(tbl_MTG_Set[[#This Row],[Type Name]], tbl_MTG_Set_Type[Set Type], tbl_MTG_Set_Type[Buy Window Month End], "(Set Type not found)", 0, 1)</f>
        <v>(Set Type not found)</v>
      </c>
      <c r="M936" s="3" t="e">
        <f>tbl_MTG_Set[[#This Row],[Released On]]+tbl_MTG_Set[[#This Row],[Buy Window Month End]]*365.25/12</f>
        <v>#VALUE!</v>
      </c>
      <c r="N936" s="3" t="e">
        <f ca="1">AND(NOW()&gt;=tbl_MTG_Set[[#This Row],[Buy Window Start]], NOW()&lt;=tbl_MTG_Set[[#This Row],[Buy Window End]])</f>
        <v>#VALUE!</v>
      </c>
      <c r="O936" t="str">
        <f>_xlfn.XLOOKUP(tbl_MTG_Set[[#This Row],[Type Name]], tbl_MTG_Set_Type[Set Type], tbl_MTG_Set_Type[Heavy Printing Window Month Start], "(Set Type not found)", 0, 1)</f>
        <v>(Set Type not found)</v>
      </c>
      <c r="P936" s="3" t="e">
        <f>tbl_MTG_Set[[#This Row],[Released On]]+tbl_MTG_Set[[#This Row],[Heavy Printing Window Month Start]]*365.25/12</f>
        <v>#VALUE!</v>
      </c>
      <c r="Q936" t="str">
        <f>_xlfn.XLOOKUP(tbl_MTG_Set[[#This Row],[Type Name]], tbl_MTG_Set_Type[Set Type], tbl_MTG_Set_Type[Heavy Printing Window Month End], "(Set Type not found)", 0, 1)</f>
        <v>(Set Type not found)</v>
      </c>
      <c r="R936" s="3" t="e">
        <f>tbl_MTG_Set[[#This Row],[Released On]]+tbl_MTG_Set[[#This Row],[Heavy Printing Window Month End]]*365.25/12</f>
        <v>#VALUE!</v>
      </c>
      <c r="S936" s="3" t="e">
        <f ca="1">AND(NOW()&gt;=tbl_MTG_Set[[#This Row],[Heavy Printing Window Start]], NOW()&lt;=tbl_MTG_Set[[#This Row],[Heavy Printing Window End]])</f>
        <v>#VALUE!</v>
      </c>
      <c r="T936" t="str">
        <f>_xlfn.XLOOKUP(tbl_MTG_Set[[#This Row],[Type Name]], tbl_MTG_Set_Type[Set Type], tbl_MTG_Set_Type[Sell Window Month Start], "(Set Type not found)", 0, 1)</f>
        <v>(Set Type not found)</v>
      </c>
      <c r="U936" s="3" t="e">
        <f>tbl_MTG_Set[[#This Row],[Released On]]+tbl_MTG_Set[[#This Row],[Sell Window Month Start]]*365.25/12</f>
        <v>#VALUE!</v>
      </c>
      <c r="V936" t="str">
        <f>_xlfn.XLOOKUP(tbl_MTG_Set[[#This Row],[Type Name]], tbl_MTG_Set_Type[Set Type], tbl_MTG_Set_Type[Sell Window Month End], "(Set Type not found)", 0, 1)</f>
        <v>(Set Type not found)</v>
      </c>
      <c r="W936" s="3" t="e">
        <f>tbl_MTG_Set[[#This Row],[Released On]]+tbl_MTG_Set[[#This Row],[Sell Window Month End]]*365.25/12</f>
        <v>#VALUE!</v>
      </c>
      <c r="X936" s="3" t="e">
        <f ca="1">AND(NOW()&gt;=tbl_MTG_Set[[#This Row],[Sell Window Start]], NOW()&lt;=tbl_MTG_Set[[#This Row],[Sell Window End]])</f>
        <v>#VALUE!</v>
      </c>
      <c r="AG936" s="10"/>
      <c r="AH936" s="10"/>
      <c r="AM936" s="10" t="str" cm="1">
        <f t="array" ref="AM93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6" s="10" t="str" cm="1">
        <f t="array" ref="AN93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6" s="4" t="e">
        <f>_xlfn.XLOOKUP(tbl_MTG_Set[[#This Row],[Play Booster Box Product Id]], tbl_Product[Product Id], tbl_Product[Pack Size])</f>
        <v>#N/A</v>
      </c>
      <c r="AP936" s="10" t="e">
        <f>(tbl_MTG_Set[[#This Row],[Play Booster Box Cost]]+v_Item_Shipping_Cost_In)/tbl_MTG_Set[[#This Row],[Play Booster Box Size]]</f>
        <v>#VALUE!</v>
      </c>
      <c r="AQ936" s="10" t="str" cm="1">
        <f t="array" ref="AQ93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6" s="10"/>
      <c r="AS936" s="10"/>
      <c r="AT936" s="17" t="e">
        <f>tbl_MTG_Set[[#This Row],[Play Booster CardMarket Profit]]/tbl_MTG_Set[[#This Row],[Play Booster Cost]]</f>
        <v>#VALUE!</v>
      </c>
      <c r="AU936" s="10" t="e">
        <f>_xlfn.XLOOKUP(tbl_MTG_Set[[#This Row],[Collector Booster Box Product Id]], tbl_Product[Product Id], tbl_Product[Min Cost])</f>
        <v>#N/A</v>
      </c>
      <c r="AV936" s="10" t="e">
        <f>_xlfn.XLOOKUP(tbl_MTG_Set[[#This Row],[Collector Booster Box Product Id]], tbl_Product[Product Id], tbl_Product[Best Source])</f>
        <v>#N/A</v>
      </c>
      <c r="AW936" s="4" t="e">
        <f>_xlfn.XLOOKUP(tbl_MTG_Set[[#This Row],[Collector Booster Box Product Id]], tbl_Product[Product Id], tbl_Product[Pack Size])</f>
        <v>#N/A</v>
      </c>
      <c r="AX936" s="10" t="e">
        <f>(tbl_MTG_Set[[#This Row],[Collector Booster Box Cost]] + v_Item_Shipping_Cost_In) / tbl_MTG_Set[[#This Row],[Collector Booster Box Size]]</f>
        <v>#N/A</v>
      </c>
      <c r="AY936" s="10" t="str" cm="1">
        <f t="array" ref="AY93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6" s="10"/>
      <c r="BA93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6" s="17" t="e">
        <f>tbl_MTG_Set[[#This Row],[Collector Booster CardMarket Profit]]/tbl_MTG_Set[[#This Row],[Collector Booster Cost]]</f>
        <v>#N/A</v>
      </c>
      <c r="BC936" s="10"/>
      <c r="BF93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6" s="11" t="e">
        <f>tbl_MTG_Set[[#This Row],[Play Singles CardMarket Profit MTG Stocks]]/tbl_MTG_Set[[#This Row],[Play Booster Cost]]</f>
        <v>#VALUE!</v>
      </c>
      <c r="BI936" s="11" t="b">
        <f>tbl_MTG_Set[[#This Row],[Play Singles CardMarket Profit MTG Stocks]]&gt;0</f>
        <v>0</v>
      </c>
      <c r="BM936" s="10" t="e">
        <f>tbl_MTG_Set[[#This Row],[Play Booster Sell Price CardMarket]]*tbl_MTG_Set[[#This Row],[Play Booster Expected Market Value BotBox]]/tbl_MTG_Set[[#This Row],[Play Booster Sealed Market Value BotBox]]</f>
        <v>#VALUE!</v>
      </c>
      <c r="BN93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6" s="10" t="e">
        <f>tbl_MTG_Set[[#This Row],[Play Singles CardMarket Profit BotBox]]/tbl_MTG_Set[[#This Row],[Play Booster Cost]]</f>
        <v>#VALUE!</v>
      </c>
      <c r="BP936" s="10" t="b">
        <f>tbl_MTG_Set[[#This Row],[Play Singles CardMarket Profit BotBox]]&gt;0</f>
        <v>0</v>
      </c>
      <c r="BQ936" s="10"/>
      <c r="BR936" s="10"/>
      <c r="BS936" s="10"/>
      <c r="BT93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6" s="19" t="e">
        <f>tbl_MTG_Set[[#This Row],[Collector Singles CardMarket Profit MTG Stocks]]/tbl_MTG_Set[[#This Row],[Collector Booster Cost]]</f>
        <v>#N/A</v>
      </c>
      <c r="BW936" s="10" t="b">
        <f>tbl_MTG_Set[[#This Row],[Collector Singles CardMarket Profit MTG Stocks]]&gt;0</f>
        <v>0</v>
      </c>
      <c r="BX936" s="10"/>
      <c r="BY936" s="10"/>
      <c r="BZ93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6" s="10" t="e">
        <f>tbl_MTG_Set[[#This Row],[Collector Singles CardMarket Profit BotBox]]/tbl_MTG_Set[[#This Row],[Collector Booster Cost]]</f>
        <v>#N/A</v>
      </c>
      <c r="CC936" s="10" t="b">
        <f>tbl_MTG_Set[[#This Row],[Collector Singles CardMarket Profit BotBox]]&gt;0</f>
        <v>0</v>
      </c>
      <c r="CD93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7" spans="1:86" hidden="1">
      <c r="A937">
        <v>969</v>
      </c>
      <c r="B937" t="s">
        <v>1110</v>
      </c>
      <c r="C937">
        <v>88</v>
      </c>
      <c r="D937" s="3">
        <v>36018</v>
      </c>
      <c r="F937" t="s">
        <v>174</v>
      </c>
      <c r="G937">
        <v>1884</v>
      </c>
      <c r="H937">
        <f ca="1">MONTH(NOW())+12*YEAR(NOW())-MONTH(tbl_MTG_Set[[#This Row],[Released On]])-12*YEAR(tbl_MTG_Set[[#This Row],[Released On]])</f>
        <v>331</v>
      </c>
      <c r="I937" t="str">
        <f>_xlfn.XLOOKUP(tbl_MTG_Set[[#This Row],[Type Name]], tbl_MTG_Set_Type[Set Type], tbl_MTG_Set_Type[Index], "(Set Type not found)")</f>
        <v>(Set Type not found)</v>
      </c>
      <c r="J937" t="str">
        <f>_xlfn.XLOOKUP(tbl_MTG_Set[[#This Row],[Type Name]], tbl_MTG_Set_Type[Set Type], tbl_MTG_Set_Type[Buy Window Month Start], "(Set Type not found)")</f>
        <v>(Set Type not found)</v>
      </c>
      <c r="K937" s="3" t="e">
        <f>tbl_MTG_Set[[#This Row],[Released On]]+tbl_MTG_Set[[#This Row],[Buy Window Month Start]]*365.25/12</f>
        <v>#VALUE!</v>
      </c>
      <c r="L937" t="str">
        <f>_xlfn.XLOOKUP(tbl_MTG_Set[[#This Row],[Type Name]], tbl_MTG_Set_Type[Set Type], tbl_MTG_Set_Type[Buy Window Month End], "(Set Type not found)", 0, 1)</f>
        <v>(Set Type not found)</v>
      </c>
      <c r="M937" s="3" t="e">
        <f>tbl_MTG_Set[[#This Row],[Released On]]+tbl_MTG_Set[[#This Row],[Buy Window Month End]]*365.25/12</f>
        <v>#VALUE!</v>
      </c>
      <c r="N937" s="3" t="e">
        <f ca="1">AND(NOW()&gt;=tbl_MTG_Set[[#This Row],[Buy Window Start]], NOW()&lt;=tbl_MTG_Set[[#This Row],[Buy Window End]])</f>
        <v>#VALUE!</v>
      </c>
      <c r="O937" t="str">
        <f>_xlfn.XLOOKUP(tbl_MTG_Set[[#This Row],[Type Name]], tbl_MTG_Set_Type[Set Type], tbl_MTG_Set_Type[Heavy Printing Window Month Start], "(Set Type not found)", 0, 1)</f>
        <v>(Set Type not found)</v>
      </c>
      <c r="P937" s="3" t="e">
        <f>tbl_MTG_Set[[#This Row],[Released On]]+tbl_MTG_Set[[#This Row],[Heavy Printing Window Month Start]]*365.25/12</f>
        <v>#VALUE!</v>
      </c>
      <c r="Q937" t="str">
        <f>_xlfn.XLOOKUP(tbl_MTG_Set[[#This Row],[Type Name]], tbl_MTG_Set_Type[Set Type], tbl_MTG_Set_Type[Heavy Printing Window Month End], "(Set Type not found)", 0, 1)</f>
        <v>(Set Type not found)</v>
      </c>
      <c r="R937" s="3" t="e">
        <f>tbl_MTG_Set[[#This Row],[Released On]]+tbl_MTG_Set[[#This Row],[Heavy Printing Window Month End]]*365.25/12</f>
        <v>#VALUE!</v>
      </c>
      <c r="S937" s="3" t="e">
        <f ca="1">AND(NOW()&gt;=tbl_MTG_Set[[#This Row],[Heavy Printing Window Start]], NOW()&lt;=tbl_MTG_Set[[#This Row],[Heavy Printing Window End]])</f>
        <v>#VALUE!</v>
      </c>
      <c r="T937" t="str">
        <f>_xlfn.XLOOKUP(tbl_MTG_Set[[#This Row],[Type Name]], tbl_MTG_Set_Type[Set Type], tbl_MTG_Set_Type[Sell Window Month Start], "(Set Type not found)", 0, 1)</f>
        <v>(Set Type not found)</v>
      </c>
      <c r="U937" s="3" t="e">
        <f>tbl_MTG_Set[[#This Row],[Released On]]+tbl_MTG_Set[[#This Row],[Sell Window Month Start]]*365.25/12</f>
        <v>#VALUE!</v>
      </c>
      <c r="V937" t="str">
        <f>_xlfn.XLOOKUP(tbl_MTG_Set[[#This Row],[Type Name]], tbl_MTG_Set_Type[Set Type], tbl_MTG_Set_Type[Sell Window Month End], "(Set Type not found)", 0, 1)</f>
        <v>(Set Type not found)</v>
      </c>
      <c r="W937" s="3" t="e">
        <f>tbl_MTG_Set[[#This Row],[Released On]]+tbl_MTG_Set[[#This Row],[Sell Window Month End]]*365.25/12</f>
        <v>#VALUE!</v>
      </c>
      <c r="X937" s="3" t="e">
        <f ca="1">AND(NOW()&gt;=tbl_MTG_Set[[#This Row],[Sell Window Start]], NOW()&lt;=tbl_MTG_Set[[#This Row],[Sell Window End]])</f>
        <v>#VALUE!</v>
      </c>
      <c r="AG937" s="10"/>
      <c r="AH937" s="10"/>
      <c r="AM937" s="10" t="str" cm="1">
        <f t="array" ref="AM93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7" s="10" t="str" cm="1">
        <f t="array" ref="AN93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7" s="4" t="e">
        <f>_xlfn.XLOOKUP(tbl_MTG_Set[[#This Row],[Play Booster Box Product Id]], tbl_Product[Product Id], tbl_Product[Pack Size])</f>
        <v>#N/A</v>
      </c>
      <c r="AP937" s="10" t="e">
        <f>(tbl_MTG_Set[[#This Row],[Play Booster Box Cost]]+v_Item_Shipping_Cost_In)/tbl_MTG_Set[[#This Row],[Play Booster Box Size]]</f>
        <v>#VALUE!</v>
      </c>
      <c r="AQ937" s="10" t="str" cm="1">
        <f t="array" ref="AQ93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7" s="10"/>
      <c r="AS937" s="10"/>
      <c r="AT937" s="17" t="e">
        <f>tbl_MTG_Set[[#This Row],[Play Booster CardMarket Profit]]/tbl_MTG_Set[[#This Row],[Play Booster Cost]]</f>
        <v>#VALUE!</v>
      </c>
      <c r="AU937" s="10" t="e">
        <f>_xlfn.XLOOKUP(tbl_MTG_Set[[#This Row],[Collector Booster Box Product Id]], tbl_Product[Product Id], tbl_Product[Min Cost])</f>
        <v>#N/A</v>
      </c>
      <c r="AV937" s="10" t="e">
        <f>_xlfn.XLOOKUP(tbl_MTG_Set[[#This Row],[Collector Booster Box Product Id]], tbl_Product[Product Id], tbl_Product[Best Source])</f>
        <v>#N/A</v>
      </c>
      <c r="AW937" s="4" t="e">
        <f>_xlfn.XLOOKUP(tbl_MTG_Set[[#This Row],[Collector Booster Box Product Id]], tbl_Product[Product Id], tbl_Product[Pack Size])</f>
        <v>#N/A</v>
      </c>
      <c r="AX937" s="10" t="e">
        <f>(tbl_MTG_Set[[#This Row],[Collector Booster Box Cost]] + v_Item_Shipping_Cost_In) / tbl_MTG_Set[[#This Row],[Collector Booster Box Size]]</f>
        <v>#N/A</v>
      </c>
      <c r="AY937" s="10" t="str" cm="1">
        <f t="array" ref="AY93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7" s="10"/>
      <c r="BA93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7" s="17" t="e">
        <f>tbl_MTG_Set[[#This Row],[Collector Booster CardMarket Profit]]/tbl_MTG_Set[[#This Row],[Collector Booster Cost]]</f>
        <v>#N/A</v>
      </c>
      <c r="BC937" s="10"/>
      <c r="BF93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7" s="11" t="e">
        <f>tbl_MTG_Set[[#This Row],[Play Singles CardMarket Profit MTG Stocks]]/tbl_MTG_Set[[#This Row],[Play Booster Cost]]</f>
        <v>#VALUE!</v>
      </c>
      <c r="BI937" s="11" t="b">
        <f>tbl_MTG_Set[[#This Row],[Play Singles CardMarket Profit MTG Stocks]]&gt;0</f>
        <v>0</v>
      </c>
      <c r="BM937" s="10" t="e">
        <f>tbl_MTG_Set[[#This Row],[Play Booster Sell Price CardMarket]]*tbl_MTG_Set[[#This Row],[Play Booster Expected Market Value BotBox]]/tbl_MTG_Set[[#This Row],[Play Booster Sealed Market Value BotBox]]</f>
        <v>#VALUE!</v>
      </c>
      <c r="BN93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7" s="10" t="e">
        <f>tbl_MTG_Set[[#This Row],[Play Singles CardMarket Profit BotBox]]/tbl_MTG_Set[[#This Row],[Play Booster Cost]]</f>
        <v>#VALUE!</v>
      </c>
      <c r="BP937" s="10" t="b">
        <f>tbl_MTG_Set[[#This Row],[Play Singles CardMarket Profit BotBox]]&gt;0</f>
        <v>0</v>
      </c>
      <c r="BQ937" s="10"/>
      <c r="BR937" s="10"/>
      <c r="BS937" s="10"/>
      <c r="BT93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7" s="19" t="e">
        <f>tbl_MTG_Set[[#This Row],[Collector Singles CardMarket Profit MTG Stocks]]/tbl_MTG_Set[[#This Row],[Collector Booster Cost]]</f>
        <v>#N/A</v>
      </c>
      <c r="BW937" s="10" t="b">
        <f>tbl_MTG_Set[[#This Row],[Collector Singles CardMarket Profit MTG Stocks]]&gt;0</f>
        <v>0</v>
      </c>
      <c r="BX937" s="10"/>
      <c r="BY937" s="10"/>
      <c r="BZ93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7" s="10" t="e">
        <f>tbl_MTG_Set[[#This Row],[Collector Singles CardMarket Profit BotBox]]/tbl_MTG_Set[[#This Row],[Collector Booster Cost]]</f>
        <v>#N/A</v>
      </c>
      <c r="CC937" s="10" t="b">
        <f>tbl_MTG_Set[[#This Row],[Collector Singles CardMarket Profit BotBox]]&gt;0</f>
        <v>0</v>
      </c>
      <c r="CD93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8" spans="1:86" hidden="1">
      <c r="A938">
        <v>970</v>
      </c>
      <c r="B938" t="s">
        <v>1111</v>
      </c>
      <c r="C938">
        <v>6</v>
      </c>
      <c r="D938" s="3">
        <v>36018</v>
      </c>
      <c r="F938" t="s">
        <v>174</v>
      </c>
      <c r="G938">
        <v>1886</v>
      </c>
      <c r="H938">
        <f ca="1">MONTH(NOW())+12*YEAR(NOW())-MONTH(tbl_MTG_Set[[#This Row],[Released On]])-12*YEAR(tbl_MTG_Set[[#This Row],[Released On]])</f>
        <v>331</v>
      </c>
      <c r="I938" t="str">
        <f>_xlfn.XLOOKUP(tbl_MTG_Set[[#This Row],[Type Name]], tbl_MTG_Set_Type[Set Type], tbl_MTG_Set_Type[Index], "(Set Type not found)")</f>
        <v>(Set Type not found)</v>
      </c>
      <c r="J938" t="str">
        <f>_xlfn.XLOOKUP(tbl_MTG_Set[[#This Row],[Type Name]], tbl_MTG_Set_Type[Set Type], tbl_MTG_Set_Type[Buy Window Month Start], "(Set Type not found)")</f>
        <v>(Set Type not found)</v>
      </c>
      <c r="K938" s="3" t="e">
        <f>tbl_MTG_Set[[#This Row],[Released On]]+tbl_MTG_Set[[#This Row],[Buy Window Month Start]]*365.25/12</f>
        <v>#VALUE!</v>
      </c>
      <c r="L938" t="str">
        <f>_xlfn.XLOOKUP(tbl_MTG_Set[[#This Row],[Type Name]], tbl_MTG_Set_Type[Set Type], tbl_MTG_Set_Type[Buy Window Month End], "(Set Type not found)", 0, 1)</f>
        <v>(Set Type not found)</v>
      </c>
      <c r="M938" s="3" t="e">
        <f>tbl_MTG_Set[[#This Row],[Released On]]+tbl_MTG_Set[[#This Row],[Buy Window Month End]]*365.25/12</f>
        <v>#VALUE!</v>
      </c>
      <c r="N938" s="3" t="e">
        <f ca="1">AND(NOW()&gt;=tbl_MTG_Set[[#This Row],[Buy Window Start]], NOW()&lt;=tbl_MTG_Set[[#This Row],[Buy Window End]])</f>
        <v>#VALUE!</v>
      </c>
      <c r="O938" t="str">
        <f>_xlfn.XLOOKUP(tbl_MTG_Set[[#This Row],[Type Name]], tbl_MTG_Set_Type[Set Type], tbl_MTG_Set_Type[Heavy Printing Window Month Start], "(Set Type not found)", 0, 1)</f>
        <v>(Set Type not found)</v>
      </c>
      <c r="P938" s="3" t="e">
        <f>tbl_MTG_Set[[#This Row],[Released On]]+tbl_MTG_Set[[#This Row],[Heavy Printing Window Month Start]]*365.25/12</f>
        <v>#VALUE!</v>
      </c>
      <c r="Q938" t="str">
        <f>_xlfn.XLOOKUP(tbl_MTG_Set[[#This Row],[Type Name]], tbl_MTG_Set_Type[Set Type], tbl_MTG_Set_Type[Heavy Printing Window Month End], "(Set Type not found)", 0, 1)</f>
        <v>(Set Type not found)</v>
      </c>
      <c r="R938" s="3" t="e">
        <f>tbl_MTG_Set[[#This Row],[Released On]]+tbl_MTG_Set[[#This Row],[Heavy Printing Window Month End]]*365.25/12</f>
        <v>#VALUE!</v>
      </c>
      <c r="S938" s="3" t="e">
        <f ca="1">AND(NOW()&gt;=tbl_MTG_Set[[#This Row],[Heavy Printing Window Start]], NOW()&lt;=tbl_MTG_Set[[#This Row],[Heavy Printing Window End]])</f>
        <v>#VALUE!</v>
      </c>
      <c r="T938" t="str">
        <f>_xlfn.XLOOKUP(tbl_MTG_Set[[#This Row],[Type Name]], tbl_MTG_Set_Type[Set Type], tbl_MTG_Set_Type[Sell Window Month Start], "(Set Type not found)", 0, 1)</f>
        <v>(Set Type not found)</v>
      </c>
      <c r="U938" s="3" t="e">
        <f>tbl_MTG_Set[[#This Row],[Released On]]+tbl_MTG_Set[[#This Row],[Sell Window Month Start]]*365.25/12</f>
        <v>#VALUE!</v>
      </c>
      <c r="V938" t="str">
        <f>_xlfn.XLOOKUP(tbl_MTG_Set[[#This Row],[Type Name]], tbl_MTG_Set_Type[Set Type], tbl_MTG_Set_Type[Sell Window Month End], "(Set Type not found)", 0, 1)</f>
        <v>(Set Type not found)</v>
      </c>
      <c r="W938" s="3" t="e">
        <f>tbl_MTG_Set[[#This Row],[Released On]]+tbl_MTG_Set[[#This Row],[Sell Window Month End]]*365.25/12</f>
        <v>#VALUE!</v>
      </c>
      <c r="X938" s="3" t="e">
        <f ca="1">AND(NOW()&gt;=tbl_MTG_Set[[#This Row],[Sell Window Start]], NOW()&lt;=tbl_MTG_Set[[#This Row],[Sell Window End]])</f>
        <v>#VALUE!</v>
      </c>
      <c r="AG938" s="10"/>
      <c r="AH938" s="10"/>
      <c r="AM938" s="10" t="str" cm="1">
        <f t="array" ref="AM93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8" s="10" t="str" cm="1">
        <f t="array" ref="AN93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8" s="4" t="e">
        <f>_xlfn.XLOOKUP(tbl_MTG_Set[[#This Row],[Play Booster Box Product Id]], tbl_Product[Product Id], tbl_Product[Pack Size])</f>
        <v>#N/A</v>
      </c>
      <c r="AP938" s="10" t="e">
        <f>(tbl_MTG_Set[[#This Row],[Play Booster Box Cost]]+v_Item_Shipping_Cost_In)/tbl_MTG_Set[[#This Row],[Play Booster Box Size]]</f>
        <v>#VALUE!</v>
      </c>
      <c r="AQ938" s="10" t="str" cm="1">
        <f t="array" ref="AQ93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8" s="10"/>
      <c r="AS938" s="10"/>
      <c r="AT938" s="17" t="e">
        <f>tbl_MTG_Set[[#This Row],[Play Booster CardMarket Profit]]/tbl_MTG_Set[[#This Row],[Play Booster Cost]]</f>
        <v>#VALUE!</v>
      </c>
      <c r="AU938" s="10" t="e">
        <f>_xlfn.XLOOKUP(tbl_MTG_Set[[#This Row],[Collector Booster Box Product Id]], tbl_Product[Product Id], tbl_Product[Min Cost])</f>
        <v>#N/A</v>
      </c>
      <c r="AV938" s="10" t="e">
        <f>_xlfn.XLOOKUP(tbl_MTG_Set[[#This Row],[Collector Booster Box Product Id]], tbl_Product[Product Id], tbl_Product[Best Source])</f>
        <v>#N/A</v>
      </c>
      <c r="AW938" s="4" t="e">
        <f>_xlfn.XLOOKUP(tbl_MTG_Set[[#This Row],[Collector Booster Box Product Id]], tbl_Product[Product Id], tbl_Product[Pack Size])</f>
        <v>#N/A</v>
      </c>
      <c r="AX938" s="10" t="e">
        <f>(tbl_MTG_Set[[#This Row],[Collector Booster Box Cost]] + v_Item_Shipping_Cost_In) / tbl_MTG_Set[[#This Row],[Collector Booster Box Size]]</f>
        <v>#N/A</v>
      </c>
      <c r="AY938" s="10" t="str" cm="1">
        <f t="array" ref="AY93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8" s="10"/>
      <c r="BA93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8" s="17" t="e">
        <f>tbl_MTG_Set[[#This Row],[Collector Booster CardMarket Profit]]/tbl_MTG_Set[[#This Row],[Collector Booster Cost]]</f>
        <v>#N/A</v>
      </c>
      <c r="BC938" s="10"/>
      <c r="BF93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8" s="11" t="e">
        <f>tbl_MTG_Set[[#This Row],[Play Singles CardMarket Profit MTG Stocks]]/tbl_MTG_Set[[#This Row],[Play Booster Cost]]</f>
        <v>#VALUE!</v>
      </c>
      <c r="BI938" s="11" t="b">
        <f>tbl_MTG_Set[[#This Row],[Play Singles CardMarket Profit MTG Stocks]]&gt;0</f>
        <v>0</v>
      </c>
      <c r="BM938" s="10" t="e">
        <f>tbl_MTG_Set[[#This Row],[Play Booster Sell Price CardMarket]]*tbl_MTG_Set[[#This Row],[Play Booster Expected Market Value BotBox]]/tbl_MTG_Set[[#This Row],[Play Booster Sealed Market Value BotBox]]</f>
        <v>#VALUE!</v>
      </c>
      <c r="BN93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8" s="10" t="e">
        <f>tbl_MTG_Set[[#This Row],[Play Singles CardMarket Profit BotBox]]/tbl_MTG_Set[[#This Row],[Play Booster Cost]]</f>
        <v>#VALUE!</v>
      </c>
      <c r="BP938" s="10" t="b">
        <f>tbl_MTG_Set[[#This Row],[Play Singles CardMarket Profit BotBox]]&gt;0</f>
        <v>0</v>
      </c>
      <c r="BQ938" s="10"/>
      <c r="BR938" s="10"/>
      <c r="BS938" s="10"/>
      <c r="BT93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8" s="19" t="e">
        <f>tbl_MTG_Set[[#This Row],[Collector Singles CardMarket Profit MTG Stocks]]/tbl_MTG_Set[[#This Row],[Collector Booster Cost]]</f>
        <v>#N/A</v>
      </c>
      <c r="BW938" s="10" t="b">
        <f>tbl_MTG_Set[[#This Row],[Collector Singles CardMarket Profit MTG Stocks]]&gt;0</f>
        <v>0</v>
      </c>
      <c r="BX938" s="10"/>
      <c r="BY938" s="10"/>
      <c r="BZ93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8" s="10" t="e">
        <f>tbl_MTG_Set[[#This Row],[Collector Singles CardMarket Profit BotBox]]/tbl_MTG_Set[[#This Row],[Collector Booster Cost]]</f>
        <v>#N/A</v>
      </c>
      <c r="CC938" s="10" t="b">
        <f>tbl_MTG_Set[[#This Row],[Collector Singles CardMarket Profit BotBox]]&gt;0</f>
        <v>0</v>
      </c>
      <c r="CD93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39" spans="1:86" hidden="1">
      <c r="A939">
        <v>971</v>
      </c>
      <c r="B939" t="s">
        <v>1112</v>
      </c>
      <c r="C939">
        <v>165</v>
      </c>
      <c r="D939" s="3">
        <v>35970</v>
      </c>
      <c r="F939" t="s">
        <v>174</v>
      </c>
      <c r="G939">
        <v>1888</v>
      </c>
      <c r="H939">
        <f ca="1">MONTH(NOW())+12*YEAR(NOW())-MONTH(tbl_MTG_Set[[#This Row],[Released On]])-12*YEAR(tbl_MTG_Set[[#This Row],[Released On]])</f>
        <v>333</v>
      </c>
      <c r="I939" t="str">
        <f>_xlfn.XLOOKUP(tbl_MTG_Set[[#This Row],[Type Name]], tbl_MTG_Set_Type[Set Type], tbl_MTG_Set_Type[Index], "(Set Type not found)")</f>
        <v>(Set Type not found)</v>
      </c>
      <c r="J939" t="str">
        <f>_xlfn.XLOOKUP(tbl_MTG_Set[[#This Row],[Type Name]], tbl_MTG_Set_Type[Set Type], tbl_MTG_Set_Type[Buy Window Month Start], "(Set Type not found)")</f>
        <v>(Set Type not found)</v>
      </c>
      <c r="K939" s="3" t="e">
        <f>tbl_MTG_Set[[#This Row],[Released On]]+tbl_MTG_Set[[#This Row],[Buy Window Month Start]]*365.25/12</f>
        <v>#VALUE!</v>
      </c>
      <c r="L939" t="str">
        <f>_xlfn.XLOOKUP(tbl_MTG_Set[[#This Row],[Type Name]], tbl_MTG_Set_Type[Set Type], tbl_MTG_Set_Type[Buy Window Month End], "(Set Type not found)", 0, 1)</f>
        <v>(Set Type not found)</v>
      </c>
      <c r="M939" s="3" t="e">
        <f>tbl_MTG_Set[[#This Row],[Released On]]+tbl_MTG_Set[[#This Row],[Buy Window Month End]]*365.25/12</f>
        <v>#VALUE!</v>
      </c>
      <c r="N939" s="3" t="e">
        <f ca="1">AND(NOW()&gt;=tbl_MTG_Set[[#This Row],[Buy Window Start]], NOW()&lt;=tbl_MTG_Set[[#This Row],[Buy Window End]])</f>
        <v>#VALUE!</v>
      </c>
      <c r="O939" t="str">
        <f>_xlfn.XLOOKUP(tbl_MTG_Set[[#This Row],[Type Name]], tbl_MTG_Set_Type[Set Type], tbl_MTG_Set_Type[Heavy Printing Window Month Start], "(Set Type not found)", 0, 1)</f>
        <v>(Set Type not found)</v>
      </c>
      <c r="P939" s="3" t="e">
        <f>tbl_MTG_Set[[#This Row],[Released On]]+tbl_MTG_Set[[#This Row],[Heavy Printing Window Month Start]]*365.25/12</f>
        <v>#VALUE!</v>
      </c>
      <c r="Q939" t="str">
        <f>_xlfn.XLOOKUP(tbl_MTG_Set[[#This Row],[Type Name]], tbl_MTG_Set_Type[Set Type], tbl_MTG_Set_Type[Heavy Printing Window Month End], "(Set Type not found)", 0, 1)</f>
        <v>(Set Type not found)</v>
      </c>
      <c r="R939" s="3" t="e">
        <f>tbl_MTG_Set[[#This Row],[Released On]]+tbl_MTG_Set[[#This Row],[Heavy Printing Window Month End]]*365.25/12</f>
        <v>#VALUE!</v>
      </c>
      <c r="S939" s="3" t="e">
        <f ca="1">AND(NOW()&gt;=tbl_MTG_Set[[#This Row],[Heavy Printing Window Start]], NOW()&lt;=tbl_MTG_Set[[#This Row],[Heavy Printing Window End]])</f>
        <v>#VALUE!</v>
      </c>
      <c r="T939" t="str">
        <f>_xlfn.XLOOKUP(tbl_MTG_Set[[#This Row],[Type Name]], tbl_MTG_Set_Type[Set Type], tbl_MTG_Set_Type[Sell Window Month Start], "(Set Type not found)", 0, 1)</f>
        <v>(Set Type not found)</v>
      </c>
      <c r="U939" s="3" t="e">
        <f>tbl_MTG_Set[[#This Row],[Released On]]+tbl_MTG_Set[[#This Row],[Sell Window Month Start]]*365.25/12</f>
        <v>#VALUE!</v>
      </c>
      <c r="V939" t="str">
        <f>_xlfn.XLOOKUP(tbl_MTG_Set[[#This Row],[Type Name]], tbl_MTG_Set_Type[Set Type], tbl_MTG_Set_Type[Sell Window Month End], "(Set Type not found)", 0, 1)</f>
        <v>(Set Type not found)</v>
      </c>
      <c r="W939" s="3" t="e">
        <f>tbl_MTG_Set[[#This Row],[Released On]]+tbl_MTG_Set[[#This Row],[Sell Window Month End]]*365.25/12</f>
        <v>#VALUE!</v>
      </c>
      <c r="X939" s="3" t="e">
        <f ca="1">AND(NOW()&gt;=tbl_MTG_Set[[#This Row],[Sell Window Start]], NOW()&lt;=tbl_MTG_Set[[#This Row],[Sell Window End]])</f>
        <v>#VALUE!</v>
      </c>
      <c r="AG939" s="10"/>
      <c r="AH939" s="10"/>
      <c r="AM939" s="10" t="str" cm="1">
        <f t="array" ref="AM93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39" s="10" t="str" cm="1">
        <f t="array" ref="AN93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39" s="4" t="e">
        <f>_xlfn.XLOOKUP(tbl_MTG_Set[[#This Row],[Play Booster Box Product Id]], tbl_Product[Product Id], tbl_Product[Pack Size])</f>
        <v>#N/A</v>
      </c>
      <c r="AP939" s="10" t="e">
        <f>(tbl_MTG_Set[[#This Row],[Play Booster Box Cost]]+v_Item_Shipping_Cost_In)/tbl_MTG_Set[[#This Row],[Play Booster Box Size]]</f>
        <v>#VALUE!</v>
      </c>
      <c r="AQ939" s="10" t="str" cm="1">
        <f t="array" ref="AQ93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39" s="10"/>
      <c r="AS939" s="10"/>
      <c r="AT939" s="17" t="e">
        <f>tbl_MTG_Set[[#This Row],[Play Booster CardMarket Profit]]/tbl_MTG_Set[[#This Row],[Play Booster Cost]]</f>
        <v>#VALUE!</v>
      </c>
      <c r="AU939" s="10" t="e">
        <f>_xlfn.XLOOKUP(tbl_MTG_Set[[#This Row],[Collector Booster Box Product Id]], tbl_Product[Product Id], tbl_Product[Min Cost])</f>
        <v>#N/A</v>
      </c>
      <c r="AV939" s="10" t="e">
        <f>_xlfn.XLOOKUP(tbl_MTG_Set[[#This Row],[Collector Booster Box Product Id]], tbl_Product[Product Id], tbl_Product[Best Source])</f>
        <v>#N/A</v>
      </c>
      <c r="AW939" s="4" t="e">
        <f>_xlfn.XLOOKUP(tbl_MTG_Set[[#This Row],[Collector Booster Box Product Id]], tbl_Product[Product Id], tbl_Product[Pack Size])</f>
        <v>#N/A</v>
      </c>
      <c r="AX939" s="10" t="e">
        <f>(tbl_MTG_Set[[#This Row],[Collector Booster Box Cost]] + v_Item_Shipping_Cost_In) / tbl_MTG_Set[[#This Row],[Collector Booster Box Size]]</f>
        <v>#N/A</v>
      </c>
      <c r="AY939" s="10" t="str" cm="1">
        <f t="array" ref="AY93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39" s="10"/>
      <c r="BA93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39" s="17" t="e">
        <f>tbl_MTG_Set[[#This Row],[Collector Booster CardMarket Profit]]/tbl_MTG_Set[[#This Row],[Collector Booster Cost]]</f>
        <v>#N/A</v>
      </c>
      <c r="BC939" s="10"/>
      <c r="BF93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3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39" s="11" t="e">
        <f>tbl_MTG_Set[[#This Row],[Play Singles CardMarket Profit MTG Stocks]]/tbl_MTG_Set[[#This Row],[Play Booster Cost]]</f>
        <v>#VALUE!</v>
      </c>
      <c r="BI939" s="11" t="b">
        <f>tbl_MTG_Set[[#This Row],[Play Singles CardMarket Profit MTG Stocks]]&gt;0</f>
        <v>0</v>
      </c>
      <c r="BM939" s="10" t="e">
        <f>tbl_MTG_Set[[#This Row],[Play Booster Sell Price CardMarket]]*tbl_MTG_Set[[#This Row],[Play Booster Expected Market Value BotBox]]/tbl_MTG_Set[[#This Row],[Play Booster Sealed Market Value BotBox]]</f>
        <v>#VALUE!</v>
      </c>
      <c r="BN93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39" s="10" t="e">
        <f>tbl_MTG_Set[[#This Row],[Play Singles CardMarket Profit BotBox]]/tbl_MTG_Set[[#This Row],[Play Booster Cost]]</f>
        <v>#VALUE!</v>
      </c>
      <c r="BP939" s="10" t="b">
        <f>tbl_MTG_Set[[#This Row],[Play Singles CardMarket Profit BotBox]]&gt;0</f>
        <v>0</v>
      </c>
      <c r="BQ939" s="10"/>
      <c r="BR939" s="10"/>
      <c r="BS939" s="10"/>
      <c r="BT93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3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39" s="19" t="e">
        <f>tbl_MTG_Set[[#This Row],[Collector Singles CardMarket Profit MTG Stocks]]/tbl_MTG_Set[[#This Row],[Collector Booster Cost]]</f>
        <v>#N/A</v>
      </c>
      <c r="BW939" s="10" t="b">
        <f>tbl_MTG_Set[[#This Row],[Collector Singles CardMarket Profit MTG Stocks]]&gt;0</f>
        <v>0</v>
      </c>
      <c r="BX939" s="10"/>
      <c r="BY939" s="10"/>
      <c r="BZ93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3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39" s="10" t="e">
        <f>tbl_MTG_Set[[#This Row],[Collector Singles CardMarket Profit BotBox]]/tbl_MTG_Set[[#This Row],[Collector Booster Cost]]</f>
        <v>#N/A</v>
      </c>
      <c r="CC939" s="10" t="b">
        <f>tbl_MTG_Set[[#This Row],[Collector Singles CardMarket Profit BotBox]]&gt;0</f>
        <v>0</v>
      </c>
      <c r="CD93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3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3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3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3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0" spans="1:86" hidden="1">
      <c r="A940">
        <v>972</v>
      </c>
      <c r="B940" t="s">
        <v>1113</v>
      </c>
      <c r="C940">
        <v>143</v>
      </c>
      <c r="D940" s="3">
        <v>35961</v>
      </c>
      <c r="F940" t="s">
        <v>174</v>
      </c>
      <c r="G940">
        <v>1890</v>
      </c>
      <c r="H940">
        <f ca="1">MONTH(NOW())+12*YEAR(NOW())-MONTH(tbl_MTG_Set[[#This Row],[Released On]])-12*YEAR(tbl_MTG_Set[[#This Row],[Released On]])</f>
        <v>333</v>
      </c>
      <c r="I940" t="str">
        <f>_xlfn.XLOOKUP(tbl_MTG_Set[[#This Row],[Type Name]], tbl_MTG_Set_Type[Set Type], tbl_MTG_Set_Type[Index], "(Set Type not found)")</f>
        <v>(Set Type not found)</v>
      </c>
      <c r="J940" t="str">
        <f>_xlfn.XLOOKUP(tbl_MTG_Set[[#This Row],[Type Name]], tbl_MTG_Set_Type[Set Type], tbl_MTG_Set_Type[Buy Window Month Start], "(Set Type not found)")</f>
        <v>(Set Type not found)</v>
      </c>
      <c r="K940" s="3" t="e">
        <f>tbl_MTG_Set[[#This Row],[Released On]]+tbl_MTG_Set[[#This Row],[Buy Window Month Start]]*365.25/12</f>
        <v>#VALUE!</v>
      </c>
      <c r="L940" t="str">
        <f>_xlfn.XLOOKUP(tbl_MTG_Set[[#This Row],[Type Name]], tbl_MTG_Set_Type[Set Type], tbl_MTG_Set_Type[Buy Window Month End], "(Set Type not found)", 0, 1)</f>
        <v>(Set Type not found)</v>
      </c>
      <c r="M940" s="3" t="e">
        <f>tbl_MTG_Set[[#This Row],[Released On]]+tbl_MTG_Set[[#This Row],[Buy Window Month End]]*365.25/12</f>
        <v>#VALUE!</v>
      </c>
      <c r="N940" s="3" t="e">
        <f ca="1">AND(NOW()&gt;=tbl_MTG_Set[[#This Row],[Buy Window Start]], NOW()&lt;=tbl_MTG_Set[[#This Row],[Buy Window End]])</f>
        <v>#VALUE!</v>
      </c>
      <c r="O940" t="str">
        <f>_xlfn.XLOOKUP(tbl_MTG_Set[[#This Row],[Type Name]], tbl_MTG_Set_Type[Set Type], tbl_MTG_Set_Type[Heavy Printing Window Month Start], "(Set Type not found)", 0, 1)</f>
        <v>(Set Type not found)</v>
      </c>
      <c r="P940" s="3" t="e">
        <f>tbl_MTG_Set[[#This Row],[Released On]]+tbl_MTG_Set[[#This Row],[Heavy Printing Window Month Start]]*365.25/12</f>
        <v>#VALUE!</v>
      </c>
      <c r="Q940" t="str">
        <f>_xlfn.XLOOKUP(tbl_MTG_Set[[#This Row],[Type Name]], tbl_MTG_Set_Type[Set Type], tbl_MTG_Set_Type[Heavy Printing Window Month End], "(Set Type not found)", 0, 1)</f>
        <v>(Set Type not found)</v>
      </c>
      <c r="R940" s="3" t="e">
        <f>tbl_MTG_Set[[#This Row],[Released On]]+tbl_MTG_Set[[#This Row],[Heavy Printing Window Month End]]*365.25/12</f>
        <v>#VALUE!</v>
      </c>
      <c r="S940" s="3" t="e">
        <f ca="1">AND(NOW()&gt;=tbl_MTG_Set[[#This Row],[Heavy Printing Window Start]], NOW()&lt;=tbl_MTG_Set[[#This Row],[Heavy Printing Window End]])</f>
        <v>#VALUE!</v>
      </c>
      <c r="T940" t="str">
        <f>_xlfn.XLOOKUP(tbl_MTG_Set[[#This Row],[Type Name]], tbl_MTG_Set_Type[Set Type], tbl_MTG_Set_Type[Sell Window Month Start], "(Set Type not found)", 0, 1)</f>
        <v>(Set Type not found)</v>
      </c>
      <c r="U940" s="3" t="e">
        <f>tbl_MTG_Set[[#This Row],[Released On]]+tbl_MTG_Set[[#This Row],[Sell Window Month Start]]*365.25/12</f>
        <v>#VALUE!</v>
      </c>
      <c r="V940" t="str">
        <f>_xlfn.XLOOKUP(tbl_MTG_Set[[#This Row],[Type Name]], tbl_MTG_Set_Type[Set Type], tbl_MTG_Set_Type[Sell Window Month End], "(Set Type not found)", 0, 1)</f>
        <v>(Set Type not found)</v>
      </c>
      <c r="W940" s="3" t="e">
        <f>tbl_MTG_Set[[#This Row],[Released On]]+tbl_MTG_Set[[#This Row],[Sell Window Month End]]*365.25/12</f>
        <v>#VALUE!</v>
      </c>
      <c r="X940" s="3" t="e">
        <f ca="1">AND(NOW()&gt;=tbl_MTG_Set[[#This Row],[Sell Window Start]], NOW()&lt;=tbl_MTG_Set[[#This Row],[Sell Window End]])</f>
        <v>#VALUE!</v>
      </c>
      <c r="AG940" s="10"/>
      <c r="AH940" s="10"/>
      <c r="AM940" s="10" t="str" cm="1">
        <f t="array" ref="AM94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0" s="10" t="str" cm="1">
        <f t="array" ref="AN94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0" s="4" t="e">
        <f>_xlfn.XLOOKUP(tbl_MTG_Set[[#This Row],[Play Booster Box Product Id]], tbl_Product[Product Id], tbl_Product[Pack Size])</f>
        <v>#N/A</v>
      </c>
      <c r="AP940" s="10" t="e">
        <f>(tbl_MTG_Set[[#This Row],[Play Booster Box Cost]]+v_Item_Shipping_Cost_In)/tbl_MTG_Set[[#This Row],[Play Booster Box Size]]</f>
        <v>#VALUE!</v>
      </c>
      <c r="AQ940" s="10" t="str" cm="1">
        <f t="array" ref="AQ94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0" s="10"/>
      <c r="AS940" s="10"/>
      <c r="AT940" s="17" t="e">
        <f>tbl_MTG_Set[[#This Row],[Play Booster CardMarket Profit]]/tbl_MTG_Set[[#This Row],[Play Booster Cost]]</f>
        <v>#VALUE!</v>
      </c>
      <c r="AU940" s="10" t="e">
        <f>_xlfn.XLOOKUP(tbl_MTG_Set[[#This Row],[Collector Booster Box Product Id]], tbl_Product[Product Id], tbl_Product[Min Cost])</f>
        <v>#N/A</v>
      </c>
      <c r="AV940" s="10" t="e">
        <f>_xlfn.XLOOKUP(tbl_MTG_Set[[#This Row],[Collector Booster Box Product Id]], tbl_Product[Product Id], tbl_Product[Best Source])</f>
        <v>#N/A</v>
      </c>
      <c r="AW940" s="4" t="e">
        <f>_xlfn.XLOOKUP(tbl_MTG_Set[[#This Row],[Collector Booster Box Product Id]], tbl_Product[Product Id], tbl_Product[Pack Size])</f>
        <v>#N/A</v>
      </c>
      <c r="AX940" s="10" t="e">
        <f>(tbl_MTG_Set[[#This Row],[Collector Booster Box Cost]] + v_Item_Shipping_Cost_In) / tbl_MTG_Set[[#This Row],[Collector Booster Box Size]]</f>
        <v>#N/A</v>
      </c>
      <c r="AY940" s="10" t="str" cm="1">
        <f t="array" ref="AY94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0" s="10"/>
      <c r="BA94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0" s="17" t="e">
        <f>tbl_MTG_Set[[#This Row],[Collector Booster CardMarket Profit]]/tbl_MTG_Set[[#This Row],[Collector Booster Cost]]</f>
        <v>#N/A</v>
      </c>
      <c r="BC940" s="10"/>
      <c r="BF94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0" s="11" t="e">
        <f>tbl_MTG_Set[[#This Row],[Play Singles CardMarket Profit MTG Stocks]]/tbl_MTG_Set[[#This Row],[Play Booster Cost]]</f>
        <v>#VALUE!</v>
      </c>
      <c r="BI940" s="11" t="b">
        <f>tbl_MTG_Set[[#This Row],[Play Singles CardMarket Profit MTG Stocks]]&gt;0</f>
        <v>0</v>
      </c>
      <c r="BM940" s="10" t="e">
        <f>tbl_MTG_Set[[#This Row],[Play Booster Sell Price CardMarket]]*tbl_MTG_Set[[#This Row],[Play Booster Expected Market Value BotBox]]/tbl_MTG_Set[[#This Row],[Play Booster Sealed Market Value BotBox]]</f>
        <v>#VALUE!</v>
      </c>
      <c r="BN94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0" s="10" t="e">
        <f>tbl_MTG_Set[[#This Row],[Play Singles CardMarket Profit BotBox]]/tbl_MTG_Set[[#This Row],[Play Booster Cost]]</f>
        <v>#VALUE!</v>
      </c>
      <c r="BP940" s="10" t="b">
        <f>tbl_MTG_Set[[#This Row],[Play Singles CardMarket Profit BotBox]]&gt;0</f>
        <v>0</v>
      </c>
      <c r="BQ940" s="10"/>
      <c r="BR940" s="10"/>
      <c r="BS940" s="10"/>
      <c r="BT94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0" s="19" t="e">
        <f>tbl_MTG_Set[[#This Row],[Collector Singles CardMarket Profit MTG Stocks]]/tbl_MTG_Set[[#This Row],[Collector Booster Cost]]</f>
        <v>#N/A</v>
      </c>
      <c r="BW940" s="10" t="b">
        <f>tbl_MTG_Set[[#This Row],[Collector Singles CardMarket Profit MTG Stocks]]&gt;0</f>
        <v>0</v>
      </c>
      <c r="BX940" s="10"/>
      <c r="BY940" s="10"/>
      <c r="BZ94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0" s="10" t="e">
        <f>tbl_MTG_Set[[#This Row],[Collector Singles CardMarket Profit BotBox]]/tbl_MTG_Set[[#This Row],[Collector Booster Cost]]</f>
        <v>#N/A</v>
      </c>
      <c r="CC940" s="10" t="b">
        <f>tbl_MTG_Set[[#This Row],[Collector Singles CardMarket Profit BotBox]]&gt;0</f>
        <v>0</v>
      </c>
      <c r="CD94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1" spans="1:86" hidden="1">
      <c r="A941">
        <v>973</v>
      </c>
      <c r="B941" t="s">
        <v>1114</v>
      </c>
      <c r="C941">
        <v>1</v>
      </c>
      <c r="D941" s="3">
        <v>35961</v>
      </c>
      <c r="F941" t="s">
        <v>174</v>
      </c>
      <c r="G941">
        <v>1892</v>
      </c>
      <c r="H941">
        <f ca="1">MONTH(NOW())+12*YEAR(NOW())-MONTH(tbl_MTG_Set[[#This Row],[Released On]])-12*YEAR(tbl_MTG_Set[[#This Row],[Released On]])</f>
        <v>333</v>
      </c>
      <c r="I941" t="str">
        <f>_xlfn.XLOOKUP(tbl_MTG_Set[[#This Row],[Type Name]], tbl_MTG_Set_Type[Set Type], tbl_MTG_Set_Type[Index], "(Set Type not found)")</f>
        <v>(Set Type not found)</v>
      </c>
      <c r="J941" t="str">
        <f>_xlfn.XLOOKUP(tbl_MTG_Set[[#This Row],[Type Name]], tbl_MTG_Set_Type[Set Type], tbl_MTG_Set_Type[Buy Window Month Start], "(Set Type not found)")</f>
        <v>(Set Type not found)</v>
      </c>
      <c r="K941" s="3" t="e">
        <f>tbl_MTG_Set[[#This Row],[Released On]]+tbl_MTG_Set[[#This Row],[Buy Window Month Start]]*365.25/12</f>
        <v>#VALUE!</v>
      </c>
      <c r="L941" t="str">
        <f>_xlfn.XLOOKUP(tbl_MTG_Set[[#This Row],[Type Name]], tbl_MTG_Set_Type[Set Type], tbl_MTG_Set_Type[Buy Window Month End], "(Set Type not found)", 0, 1)</f>
        <v>(Set Type not found)</v>
      </c>
      <c r="M941" s="3" t="e">
        <f>tbl_MTG_Set[[#This Row],[Released On]]+tbl_MTG_Set[[#This Row],[Buy Window Month End]]*365.25/12</f>
        <v>#VALUE!</v>
      </c>
      <c r="N941" s="3" t="e">
        <f ca="1">AND(NOW()&gt;=tbl_MTG_Set[[#This Row],[Buy Window Start]], NOW()&lt;=tbl_MTG_Set[[#This Row],[Buy Window End]])</f>
        <v>#VALUE!</v>
      </c>
      <c r="O941" t="str">
        <f>_xlfn.XLOOKUP(tbl_MTG_Set[[#This Row],[Type Name]], tbl_MTG_Set_Type[Set Type], tbl_MTG_Set_Type[Heavy Printing Window Month Start], "(Set Type not found)", 0, 1)</f>
        <v>(Set Type not found)</v>
      </c>
      <c r="P941" s="3" t="e">
        <f>tbl_MTG_Set[[#This Row],[Released On]]+tbl_MTG_Set[[#This Row],[Heavy Printing Window Month Start]]*365.25/12</f>
        <v>#VALUE!</v>
      </c>
      <c r="Q941" t="str">
        <f>_xlfn.XLOOKUP(tbl_MTG_Set[[#This Row],[Type Name]], tbl_MTG_Set_Type[Set Type], tbl_MTG_Set_Type[Heavy Printing Window Month End], "(Set Type not found)", 0, 1)</f>
        <v>(Set Type not found)</v>
      </c>
      <c r="R941" s="3" t="e">
        <f>tbl_MTG_Set[[#This Row],[Released On]]+tbl_MTG_Set[[#This Row],[Heavy Printing Window Month End]]*365.25/12</f>
        <v>#VALUE!</v>
      </c>
      <c r="S941" s="3" t="e">
        <f ca="1">AND(NOW()&gt;=tbl_MTG_Set[[#This Row],[Heavy Printing Window Start]], NOW()&lt;=tbl_MTG_Set[[#This Row],[Heavy Printing Window End]])</f>
        <v>#VALUE!</v>
      </c>
      <c r="T941" t="str">
        <f>_xlfn.XLOOKUP(tbl_MTG_Set[[#This Row],[Type Name]], tbl_MTG_Set_Type[Set Type], tbl_MTG_Set_Type[Sell Window Month Start], "(Set Type not found)", 0, 1)</f>
        <v>(Set Type not found)</v>
      </c>
      <c r="U941" s="3" t="e">
        <f>tbl_MTG_Set[[#This Row],[Released On]]+tbl_MTG_Set[[#This Row],[Sell Window Month Start]]*365.25/12</f>
        <v>#VALUE!</v>
      </c>
      <c r="V941" t="str">
        <f>_xlfn.XLOOKUP(tbl_MTG_Set[[#This Row],[Type Name]], tbl_MTG_Set_Type[Set Type], tbl_MTG_Set_Type[Sell Window Month End], "(Set Type not found)", 0, 1)</f>
        <v>(Set Type not found)</v>
      </c>
      <c r="W941" s="3" t="e">
        <f>tbl_MTG_Set[[#This Row],[Released On]]+tbl_MTG_Set[[#This Row],[Sell Window Month End]]*365.25/12</f>
        <v>#VALUE!</v>
      </c>
      <c r="X941" s="3" t="e">
        <f ca="1">AND(NOW()&gt;=tbl_MTG_Set[[#This Row],[Sell Window Start]], NOW()&lt;=tbl_MTG_Set[[#This Row],[Sell Window End]])</f>
        <v>#VALUE!</v>
      </c>
      <c r="AG941" s="10"/>
      <c r="AH941" s="10"/>
      <c r="AM941" s="10" t="str" cm="1">
        <f t="array" ref="AM94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1" s="10" t="str" cm="1">
        <f t="array" ref="AN94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1" s="4" t="e">
        <f>_xlfn.XLOOKUP(tbl_MTG_Set[[#This Row],[Play Booster Box Product Id]], tbl_Product[Product Id], tbl_Product[Pack Size])</f>
        <v>#N/A</v>
      </c>
      <c r="AP941" s="10" t="e">
        <f>(tbl_MTG_Set[[#This Row],[Play Booster Box Cost]]+v_Item_Shipping_Cost_In)/tbl_MTG_Set[[#This Row],[Play Booster Box Size]]</f>
        <v>#VALUE!</v>
      </c>
      <c r="AQ941" s="10" t="str" cm="1">
        <f t="array" ref="AQ94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1" s="10"/>
      <c r="AS941" s="10"/>
      <c r="AT941" s="17" t="e">
        <f>tbl_MTG_Set[[#This Row],[Play Booster CardMarket Profit]]/tbl_MTG_Set[[#This Row],[Play Booster Cost]]</f>
        <v>#VALUE!</v>
      </c>
      <c r="AU941" s="10" t="e">
        <f>_xlfn.XLOOKUP(tbl_MTG_Set[[#This Row],[Collector Booster Box Product Id]], tbl_Product[Product Id], tbl_Product[Min Cost])</f>
        <v>#N/A</v>
      </c>
      <c r="AV941" s="10" t="e">
        <f>_xlfn.XLOOKUP(tbl_MTG_Set[[#This Row],[Collector Booster Box Product Id]], tbl_Product[Product Id], tbl_Product[Best Source])</f>
        <v>#N/A</v>
      </c>
      <c r="AW941" s="4" t="e">
        <f>_xlfn.XLOOKUP(tbl_MTG_Set[[#This Row],[Collector Booster Box Product Id]], tbl_Product[Product Id], tbl_Product[Pack Size])</f>
        <v>#N/A</v>
      </c>
      <c r="AX941" s="10" t="e">
        <f>(tbl_MTG_Set[[#This Row],[Collector Booster Box Cost]] + v_Item_Shipping_Cost_In) / tbl_MTG_Set[[#This Row],[Collector Booster Box Size]]</f>
        <v>#N/A</v>
      </c>
      <c r="AY941" s="10" t="str" cm="1">
        <f t="array" ref="AY94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1" s="10"/>
      <c r="BA94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1" s="17" t="e">
        <f>tbl_MTG_Set[[#This Row],[Collector Booster CardMarket Profit]]/tbl_MTG_Set[[#This Row],[Collector Booster Cost]]</f>
        <v>#N/A</v>
      </c>
      <c r="BC941" s="10"/>
      <c r="BF94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1" s="11" t="e">
        <f>tbl_MTG_Set[[#This Row],[Play Singles CardMarket Profit MTG Stocks]]/tbl_MTG_Set[[#This Row],[Play Booster Cost]]</f>
        <v>#VALUE!</v>
      </c>
      <c r="BI941" s="11" t="b">
        <f>tbl_MTG_Set[[#This Row],[Play Singles CardMarket Profit MTG Stocks]]&gt;0</f>
        <v>0</v>
      </c>
      <c r="BM941" s="10" t="e">
        <f>tbl_MTG_Set[[#This Row],[Play Booster Sell Price CardMarket]]*tbl_MTG_Set[[#This Row],[Play Booster Expected Market Value BotBox]]/tbl_MTG_Set[[#This Row],[Play Booster Sealed Market Value BotBox]]</f>
        <v>#VALUE!</v>
      </c>
      <c r="BN94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1" s="10" t="e">
        <f>tbl_MTG_Set[[#This Row],[Play Singles CardMarket Profit BotBox]]/tbl_MTG_Set[[#This Row],[Play Booster Cost]]</f>
        <v>#VALUE!</v>
      </c>
      <c r="BP941" s="10" t="b">
        <f>tbl_MTG_Set[[#This Row],[Play Singles CardMarket Profit BotBox]]&gt;0</f>
        <v>0</v>
      </c>
      <c r="BQ941" s="10"/>
      <c r="BR941" s="10"/>
      <c r="BS941" s="10"/>
      <c r="BT94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1" s="19" t="e">
        <f>tbl_MTG_Set[[#This Row],[Collector Singles CardMarket Profit MTG Stocks]]/tbl_MTG_Set[[#This Row],[Collector Booster Cost]]</f>
        <v>#N/A</v>
      </c>
      <c r="BW941" s="10" t="b">
        <f>tbl_MTG_Set[[#This Row],[Collector Singles CardMarket Profit MTG Stocks]]&gt;0</f>
        <v>0</v>
      </c>
      <c r="BX941" s="10"/>
      <c r="BY941" s="10"/>
      <c r="BZ94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1" s="10" t="e">
        <f>tbl_MTG_Set[[#This Row],[Collector Singles CardMarket Profit BotBox]]/tbl_MTG_Set[[#This Row],[Collector Booster Cost]]</f>
        <v>#N/A</v>
      </c>
      <c r="CC941" s="10" t="b">
        <f>tbl_MTG_Set[[#This Row],[Collector Singles CardMarket Profit BotBox]]&gt;0</f>
        <v>0</v>
      </c>
      <c r="CD94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2" spans="1:86" hidden="1">
      <c r="A942">
        <v>974</v>
      </c>
      <c r="B942" t="s">
        <v>1115</v>
      </c>
      <c r="C942">
        <v>143</v>
      </c>
      <c r="D942" s="3">
        <v>35856</v>
      </c>
      <c r="F942" t="s">
        <v>174</v>
      </c>
      <c r="G942">
        <v>1894</v>
      </c>
      <c r="H942">
        <f ca="1">MONTH(NOW())+12*YEAR(NOW())-MONTH(tbl_MTG_Set[[#This Row],[Released On]])-12*YEAR(tbl_MTG_Set[[#This Row],[Released On]])</f>
        <v>336</v>
      </c>
      <c r="I942" t="str">
        <f>_xlfn.XLOOKUP(tbl_MTG_Set[[#This Row],[Type Name]], tbl_MTG_Set_Type[Set Type], tbl_MTG_Set_Type[Index], "(Set Type not found)")</f>
        <v>(Set Type not found)</v>
      </c>
      <c r="J942" t="str">
        <f>_xlfn.XLOOKUP(tbl_MTG_Set[[#This Row],[Type Name]], tbl_MTG_Set_Type[Set Type], tbl_MTG_Set_Type[Buy Window Month Start], "(Set Type not found)")</f>
        <v>(Set Type not found)</v>
      </c>
      <c r="K942" s="3" t="e">
        <f>tbl_MTG_Set[[#This Row],[Released On]]+tbl_MTG_Set[[#This Row],[Buy Window Month Start]]*365.25/12</f>
        <v>#VALUE!</v>
      </c>
      <c r="L942" t="str">
        <f>_xlfn.XLOOKUP(tbl_MTG_Set[[#This Row],[Type Name]], tbl_MTG_Set_Type[Set Type], tbl_MTG_Set_Type[Buy Window Month End], "(Set Type not found)", 0, 1)</f>
        <v>(Set Type not found)</v>
      </c>
      <c r="M942" s="3" t="e">
        <f>tbl_MTG_Set[[#This Row],[Released On]]+tbl_MTG_Set[[#This Row],[Buy Window Month End]]*365.25/12</f>
        <v>#VALUE!</v>
      </c>
      <c r="N942" s="3" t="e">
        <f ca="1">AND(NOW()&gt;=tbl_MTG_Set[[#This Row],[Buy Window Start]], NOW()&lt;=tbl_MTG_Set[[#This Row],[Buy Window End]])</f>
        <v>#VALUE!</v>
      </c>
      <c r="O942" t="str">
        <f>_xlfn.XLOOKUP(tbl_MTG_Set[[#This Row],[Type Name]], tbl_MTG_Set_Type[Set Type], tbl_MTG_Set_Type[Heavy Printing Window Month Start], "(Set Type not found)", 0, 1)</f>
        <v>(Set Type not found)</v>
      </c>
      <c r="P942" s="3" t="e">
        <f>tbl_MTG_Set[[#This Row],[Released On]]+tbl_MTG_Set[[#This Row],[Heavy Printing Window Month Start]]*365.25/12</f>
        <v>#VALUE!</v>
      </c>
      <c r="Q942" t="str">
        <f>_xlfn.XLOOKUP(tbl_MTG_Set[[#This Row],[Type Name]], tbl_MTG_Set_Type[Set Type], tbl_MTG_Set_Type[Heavy Printing Window Month End], "(Set Type not found)", 0, 1)</f>
        <v>(Set Type not found)</v>
      </c>
      <c r="R942" s="3" t="e">
        <f>tbl_MTG_Set[[#This Row],[Released On]]+tbl_MTG_Set[[#This Row],[Heavy Printing Window Month End]]*365.25/12</f>
        <v>#VALUE!</v>
      </c>
      <c r="S942" s="3" t="e">
        <f ca="1">AND(NOW()&gt;=tbl_MTG_Set[[#This Row],[Heavy Printing Window Start]], NOW()&lt;=tbl_MTG_Set[[#This Row],[Heavy Printing Window End]])</f>
        <v>#VALUE!</v>
      </c>
      <c r="T942" t="str">
        <f>_xlfn.XLOOKUP(tbl_MTG_Set[[#This Row],[Type Name]], tbl_MTG_Set_Type[Set Type], tbl_MTG_Set_Type[Sell Window Month Start], "(Set Type not found)", 0, 1)</f>
        <v>(Set Type not found)</v>
      </c>
      <c r="U942" s="3" t="e">
        <f>tbl_MTG_Set[[#This Row],[Released On]]+tbl_MTG_Set[[#This Row],[Sell Window Month Start]]*365.25/12</f>
        <v>#VALUE!</v>
      </c>
      <c r="V942" t="str">
        <f>_xlfn.XLOOKUP(tbl_MTG_Set[[#This Row],[Type Name]], tbl_MTG_Set_Type[Set Type], tbl_MTG_Set_Type[Sell Window Month End], "(Set Type not found)", 0, 1)</f>
        <v>(Set Type not found)</v>
      </c>
      <c r="W942" s="3" t="e">
        <f>tbl_MTG_Set[[#This Row],[Released On]]+tbl_MTG_Set[[#This Row],[Sell Window Month End]]*365.25/12</f>
        <v>#VALUE!</v>
      </c>
      <c r="X942" s="3" t="e">
        <f ca="1">AND(NOW()&gt;=tbl_MTG_Set[[#This Row],[Sell Window Start]], NOW()&lt;=tbl_MTG_Set[[#This Row],[Sell Window End]])</f>
        <v>#VALUE!</v>
      </c>
      <c r="AG942" s="10"/>
      <c r="AH942" s="10"/>
      <c r="AM942" s="10" t="str" cm="1">
        <f t="array" ref="AM94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2" s="10" t="str" cm="1">
        <f t="array" ref="AN94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2" s="4" t="e">
        <f>_xlfn.XLOOKUP(tbl_MTG_Set[[#This Row],[Play Booster Box Product Id]], tbl_Product[Product Id], tbl_Product[Pack Size])</f>
        <v>#N/A</v>
      </c>
      <c r="AP942" s="10" t="e">
        <f>(tbl_MTG_Set[[#This Row],[Play Booster Box Cost]]+v_Item_Shipping_Cost_In)/tbl_MTG_Set[[#This Row],[Play Booster Box Size]]</f>
        <v>#VALUE!</v>
      </c>
      <c r="AQ942" s="10" t="str" cm="1">
        <f t="array" ref="AQ94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2" s="10"/>
      <c r="AS942" s="10"/>
      <c r="AT942" s="17" t="e">
        <f>tbl_MTG_Set[[#This Row],[Play Booster CardMarket Profit]]/tbl_MTG_Set[[#This Row],[Play Booster Cost]]</f>
        <v>#VALUE!</v>
      </c>
      <c r="AU942" s="10" t="e">
        <f>_xlfn.XLOOKUP(tbl_MTG_Set[[#This Row],[Collector Booster Box Product Id]], tbl_Product[Product Id], tbl_Product[Min Cost])</f>
        <v>#N/A</v>
      </c>
      <c r="AV942" s="10" t="e">
        <f>_xlfn.XLOOKUP(tbl_MTG_Set[[#This Row],[Collector Booster Box Product Id]], tbl_Product[Product Id], tbl_Product[Best Source])</f>
        <v>#N/A</v>
      </c>
      <c r="AW942" s="4" t="e">
        <f>_xlfn.XLOOKUP(tbl_MTG_Set[[#This Row],[Collector Booster Box Product Id]], tbl_Product[Product Id], tbl_Product[Pack Size])</f>
        <v>#N/A</v>
      </c>
      <c r="AX942" s="10" t="e">
        <f>(tbl_MTG_Set[[#This Row],[Collector Booster Box Cost]] + v_Item_Shipping_Cost_In) / tbl_MTG_Set[[#This Row],[Collector Booster Box Size]]</f>
        <v>#N/A</v>
      </c>
      <c r="AY942" s="10" t="str" cm="1">
        <f t="array" ref="AY94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2" s="10"/>
      <c r="BA94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2" s="17" t="e">
        <f>tbl_MTG_Set[[#This Row],[Collector Booster CardMarket Profit]]/tbl_MTG_Set[[#This Row],[Collector Booster Cost]]</f>
        <v>#N/A</v>
      </c>
      <c r="BC942" s="10"/>
      <c r="BF94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2" s="11" t="e">
        <f>tbl_MTG_Set[[#This Row],[Play Singles CardMarket Profit MTG Stocks]]/tbl_MTG_Set[[#This Row],[Play Booster Cost]]</f>
        <v>#VALUE!</v>
      </c>
      <c r="BI942" s="11" t="b">
        <f>tbl_MTG_Set[[#This Row],[Play Singles CardMarket Profit MTG Stocks]]&gt;0</f>
        <v>0</v>
      </c>
      <c r="BM942" s="10" t="e">
        <f>tbl_MTG_Set[[#This Row],[Play Booster Sell Price CardMarket]]*tbl_MTG_Set[[#This Row],[Play Booster Expected Market Value BotBox]]/tbl_MTG_Set[[#This Row],[Play Booster Sealed Market Value BotBox]]</f>
        <v>#VALUE!</v>
      </c>
      <c r="BN94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2" s="10" t="e">
        <f>tbl_MTG_Set[[#This Row],[Play Singles CardMarket Profit BotBox]]/tbl_MTG_Set[[#This Row],[Play Booster Cost]]</f>
        <v>#VALUE!</v>
      </c>
      <c r="BP942" s="10" t="b">
        <f>tbl_MTG_Set[[#This Row],[Play Singles CardMarket Profit BotBox]]&gt;0</f>
        <v>0</v>
      </c>
      <c r="BQ942" s="10"/>
      <c r="BR942" s="10"/>
      <c r="BS942" s="10"/>
      <c r="BT94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2" s="19" t="e">
        <f>tbl_MTG_Set[[#This Row],[Collector Singles CardMarket Profit MTG Stocks]]/tbl_MTG_Set[[#This Row],[Collector Booster Cost]]</f>
        <v>#N/A</v>
      </c>
      <c r="BW942" s="10" t="b">
        <f>tbl_MTG_Set[[#This Row],[Collector Singles CardMarket Profit MTG Stocks]]&gt;0</f>
        <v>0</v>
      </c>
      <c r="BX942" s="10"/>
      <c r="BY942" s="10"/>
      <c r="BZ94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2" s="10" t="e">
        <f>tbl_MTG_Set[[#This Row],[Collector Singles CardMarket Profit BotBox]]/tbl_MTG_Set[[#This Row],[Collector Booster Cost]]</f>
        <v>#N/A</v>
      </c>
      <c r="CC942" s="10" t="b">
        <f>tbl_MTG_Set[[#This Row],[Collector Singles CardMarket Profit BotBox]]&gt;0</f>
        <v>0</v>
      </c>
      <c r="CD94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3" spans="1:86" hidden="1">
      <c r="A943">
        <v>975</v>
      </c>
      <c r="B943" t="s">
        <v>1116</v>
      </c>
      <c r="C943">
        <v>1</v>
      </c>
      <c r="D943" s="3">
        <v>35856</v>
      </c>
      <c r="F943" t="s">
        <v>174</v>
      </c>
      <c r="G943">
        <v>1896</v>
      </c>
      <c r="H943">
        <f ca="1">MONTH(NOW())+12*YEAR(NOW())-MONTH(tbl_MTG_Set[[#This Row],[Released On]])-12*YEAR(tbl_MTG_Set[[#This Row],[Released On]])</f>
        <v>336</v>
      </c>
      <c r="I943" t="str">
        <f>_xlfn.XLOOKUP(tbl_MTG_Set[[#This Row],[Type Name]], tbl_MTG_Set_Type[Set Type], tbl_MTG_Set_Type[Index], "(Set Type not found)")</f>
        <v>(Set Type not found)</v>
      </c>
      <c r="J943" t="str">
        <f>_xlfn.XLOOKUP(tbl_MTG_Set[[#This Row],[Type Name]], tbl_MTG_Set_Type[Set Type], tbl_MTG_Set_Type[Buy Window Month Start], "(Set Type not found)")</f>
        <v>(Set Type not found)</v>
      </c>
      <c r="K943" s="3" t="e">
        <f>tbl_MTG_Set[[#This Row],[Released On]]+tbl_MTG_Set[[#This Row],[Buy Window Month Start]]*365.25/12</f>
        <v>#VALUE!</v>
      </c>
      <c r="L943" t="str">
        <f>_xlfn.XLOOKUP(tbl_MTG_Set[[#This Row],[Type Name]], tbl_MTG_Set_Type[Set Type], tbl_MTG_Set_Type[Buy Window Month End], "(Set Type not found)", 0, 1)</f>
        <v>(Set Type not found)</v>
      </c>
      <c r="M943" s="3" t="e">
        <f>tbl_MTG_Set[[#This Row],[Released On]]+tbl_MTG_Set[[#This Row],[Buy Window Month End]]*365.25/12</f>
        <v>#VALUE!</v>
      </c>
      <c r="N943" s="3" t="e">
        <f ca="1">AND(NOW()&gt;=tbl_MTG_Set[[#This Row],[Buy Window Start]], NOW()&lt;=tbl_MTG_Set[[#This Row],[Buy Window End]])</f>
        <v>#VALUE!</v>
      </c>
      <c r="O943" t="str">
        <f>_xlfn.XLOOKUP(tbl_MTG_Set[[#This Row],[Type Name]], tbl_MTG_Set_Type[Set Type], tbl_MTG_Set_Type[Heavy Printing Window Month Start], "(Set Type not found)", 0, 1)</f>
        <v>(Set Type not found)</v>
      </c>
      <c r="P943" s="3" t="e">
        <f>tbl_MTG_Set[[#This Row],[Released On]]+tbl_MTG_Set[[#This Row],[Heavy Printing Window Month Start]]*365.25/12</f>
        <v>#VALUE!</v>
      </c>
      <c r="Q943" t="str">
        <f>_xlfn.XLOOKUP(tbl_MTG_Set[[#This Row],[Type Name]], tbl_MTG_Set_Type[Set Type], tbl_MTG_Set_Type[Heavy Printing Window Month End], "(Set Type not found)", 0, 1)</f>
        <v>(Set Type not found)</v>
      </c>
      <c r="R943" s="3" t="e">
        <f>tbl_MTG_Set[[#This Row],[Released On]]+tbl_MTG_Set[[#This Row],[Heavy Printing Window Month End]]*365.25/12</f>
        <v>#VALUE!</v>
      </c>
      <c r="S943" s="3" t="e">
        <f ca="1">AND(NOW()&gt;=tbl_MTG_Set[[#This Row],[Heavy Printing Window Start]], NOW()&lt;=tbl_MTG_Set[[#This Row],[Heavy Printing Window End]])</f>
        <v>#VALUE!</v>
      </c>
      <c r="T943" t="str">
        <f>_xlfn.XLOOKUP(tbl_MTG_Set[[#This Row],[Type Name]], tbl_MTG_Set_Type[Set Type], tbl_MTG_Set_Type[Sell Window Month Start], "(Set Type not found)", 0, 1)</f>
        <v>(Set Type not found)</v>
      </c>
      <c r="U943" s="3" t="e">
        <f>tbl_MTG_Set[[#This Row],[Released On]]+tbl_MTG_Set[[#This Row],[Sell Window Month Start]]*365.25/12</f>
        <v>#VALUE!</v>
      </c>
      <c r="V943" t="str">
        <f>_xlfn.XLOOKUP(tbl_MTG_Set[[#This Row],[Type Name]], tbl_MTG_Set_Type[Set Type], tbl_MTG_Set_Type[Sell Window Month End], "(Set Type not found)", 0, 1)</f>
        <v>(Set Type not found)</v>
      </c>
      <c r="W943" s="3" t="e">
        <f>tbl_MTG_Set[[#This Row],[Released On]]+tbl_MTG_Set[[#This Row],[Sell Window Month End]]*365.25/12</f>
        <v>#VALUE!</v>
      </c>
      <c r="X943" s="3" t="e">
        <f ca="1">AND(NOW()&gt;=tbl_MTG_Set[[#This Row],[Sell Window Start]], NOW()&lt;=tbl_MTG_Set[[#This Row],[Sell Window End]])</f>
        <v>#VALUE!</v>
      </c>
      <c r="AG943" s="10"/>
      <c r="AH943" s="10"/>
      <c r="AM943" s="10" t="str" cm="1">
        <f t="array" ref="AM94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3" s="10" t="str" cm="1">
        <f t="array" ref="AN94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3" s="4" t="e">
        <f>_xlfn.XLOOKUP(tbl_MTG_Set[[#This Row],[Play Booster Box Product Id]], tbl_Product[Product Id], tbl_Product[Pack Size])</f>
        <v>#N/A</v>
      </c>
      <c r="AP943" s="10" t="e">
        <f>(tbl_MTG_Set[[#This Row],[Play Booster Box Cost]]+v_Item_Shipping_Cost_In)/tbl_MTG_Set[[#This Row],[Play Booster Box Size]]</f>
        <v>#VALUE!</v>
      </c>
      <c r="AQ943" s="10" t="str" cm="1">
        <f t="array" ref="AQ94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3" s="10"/>
      <c r="AS943" s="10"/>
      <c r="AT943" s="17" t="e">
        <f>tbl_MTG_Set[[#This Row],[Play Booster CardMarket Profit]]/tbl_MTG_Set[[#This Row],[Play Booster Cost]]</f>
        <v>#VALUE!</v>
      </c>
      <c r="AU943" s="10" t="e">
        <f>_xlfn.XLOOKUP(tbl_MTG_Set[[#This Row],[Collector Booster Box Product Id]], tbl_Product[Product Id], tbl_Product[Min Cost])</f>
        <v>#N/A</v>
      </c>
      <c r="AV943" s="10" t="e">
        <f>_xlfn.XLOOKUP(tbl_MTG_Set[[#This Row],[Collector Booster Box Product Id]], tbl_Product[Product Id], tbl_Product[Best Source])</f>
        <v>#N/A</v>
      </c>
      <c r="AW943" s="4" t="e">
        <f>_xlfn.XLOOKUP(tbl_MTG_Set[[#This Row],[Collector Booster Box Product Id]], tbl_Product[Product Id], tbl_Product[Pack Size])</f>
        <v>#N/A</v>
      </c>
      <c r="AX943" s="10" t="e">
        <f>(tbl_MTG_Set[[#This Row],[Collector Booster Box Cost]] + v_Item_Shipping_Cost_In) / tbl_MTG_Set[[#This Row],[Collector Booster Box Size]]</f>
        <v>#N/A</v>
      </c>
      <c r="AY943" s="10" t="str" cm="1">
        <f t="array" ref="AY94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3" s="10"/>
      <c r="BA94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3" s="17" t="e">
        <f>tbl_MTG_Set[[#This Row],[Collector Booster CardMarket Profit]]/tbl_MTG_Set[[#This Row],[Collector Booster Cost]]</f>
        <v>#N/A</v>
      </c>
      <c r="BC943" s="10"/>
      <c r="BF94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3" s="11" t="e">
        <f>tbl_MTG_Set[[#This Row],[Play Singles CardMarket Profit MTG Stocks]]/tbl_MTG_Set[[#This Row],[Play Booster Cost]]</f>
        <v>#VALUE!</v>
      </c>
      <c r="BI943" s="11" t="b">
        <f>tbl_MTG_Set[[#This Row],[Play Singles CardMarket Profit MTG Stocks]]&gt;0</f>
        <v>0</v>
      </c>
      <c r="BM943" s="10" t="e">
        <f>tbl_MTG_Set[[#This Row],[Play Booster Sell Price CardMarket]]*tbl_MTG_Set[[#This Row],[Play Booster Expected Market Value BotBox]]/tbl_MTG_Set[[#This Row],[Play Booster Sealed Market Value BotBox]]</f>
        <v>#VALUE!</v>
      </c>
      <c r="BN94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3" s="10" t="e">
        <f>tbl_MTG_Set[[#This Row],[Play Singles CardMarket Profit BotBox]]/tbl_MTG_Set[[#This Row],[Play Booster Cost]]</f>
        <v>#VALUE!</v>
      </c>
      <c r="BP943" s="10" t="b">
        <f>tbl_MTG_Set[[#This Row],[Play Singles CardMarket Profit BotBox]]&gt;0</f>
        <v>0</v>
      </c>
      <c r="BQ943" s="10"/>
      <c r="BR943" s="10"/>
      <c r="BS943" s="10"/>
      <c r="BT94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3" s="19" t="e">
        <f>tbl_MTG_Set[[#This Row],[Collector Singles CardMarket Profit MTG Stocks]]/tbl_MTG_Set[[#This Row],[Collector Booster Cost]]</f>
        <v>#N/A</v>
      </c>
      <c r="BW943" s="10" t="b">
        <f>tbl_MTG_Set[[#This Row],[Collector Singles CardMarket Profit MTG Stocks]]&gt;0</f>
        <v>0</v>
      </c>
      <c r="BX943" s="10"/>
      <c r="BY943" s="10"/>
      <c r="BZ94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3" s="10" t="e">
        <f>tbl_MTG_Set[[#This Row],[Collector Singles CardMarket Profit BotBox]]/tbl_MTG_Set[[#This Row],[Collector Booster Cost]]</f>
        <v>#N/A</v>
      </c>
      <c r="CC943" s="10" t="b">
        <f>tbl_MTG_Set[[#This Row],[Collector Singles CardMarket Profit BotBox]]&gt;0</f>
        <v>0</v>
      </c>
      <c r="CD94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4" spans="1:86" hidden="1">
      <c r="A944">
        <v>976</v>
      </c>
      <c r="B944" t="s">
        <v>1117</v>
      </c>
      <c r="C944">
        <v>3</v>
      </c>
      <c r="D944" s="3">
        <v>35796</v>
      </c>
      <c r="F944" t="s">
        <v>174</v>
      </c>
      <c r="G944">
        <v>1898</v>
      </c>
      <c r="H944">
        <f ca="1">MONTH(NOW())+12*YEAR(NOW())-MONTH(tbl_MTG_Set[[#This Row],[Released On]])-12*YEAR(tbl_MTG_Set[[#This Row],[Released On]])</f>
        <v>338</v>
      </c>
      <c r="I944" t="str">
        <f>_xlfn.XLOOKUP(tbl_MTG_Set[[#This Row],[Type Name]], tbl_MTG_Set_Type[Set Type], tbl_MTG_Set_Type[Index], "(Set Type not found)")</f>
        <v>(Set Type not found)</v>
      </c>
      <c r="J944" t="str">
        <f>_xlfn.XLOOKUP(tbl_MTG_Set[[#This Row],[Type Name]], tbl_MTG_Set_Type[Set Type], tbl_MTG_Set_Type[Buy Window Month Start], "(Set Type not found)")</f>
        <v>(Set Type not found)</v>
      </c>
      <c r="K944" s="3" t="e">
        <f>tbl_MTG_Set[[#This Row],[Released On]]+tbl_MTG_Set[[#This Row],[Buy Window Month Start]]*365.25/12</f>
        <v>#VALUE!</v>
      </c>
      <c r="L944" t="str">
        <f>_xlfn.XLOOKUP(tbl_MTG_Set[[#This Row],[Type Name]], tbl_MTG_Set_Type[Set Type], tbl_MTG_Set_Type[Buy Window Month End], "(Set Type not found)", 0, 1)</f>
        <v>(Set Type not found)</v>
      </c>
      <c r="M944" s="3" t="e">
        <f>tbl_MTG_Set[[#This Row],[Released On]]+tbl_MTG_Set[[#This Row],[Buy Window Month End]]*365.25/12</f>
        <v>#VALUE!</v>
      </c>
      <c r="N944" s="3" t="e">
        <f ca="1">AND(NOW()&gt;=tbl_MTG_Set[[#This Row],[Buy Window Start]], NOW()&lt;=tbl_MTG_Set[[#This Row],[Buy Window End]])</f>
        <v>#VALUE!</v>
      </c>
      <c r="O944" t="str">
        <f>_xlfn.XLOOKUP(tbl_MTG_Set[[#This Row],[Type Name]], tbl_MTG_Set_Type[Set Type], tbl_MTG_Set_Type[Heavy Printing Window Month Start], "(Set Type not found)", 0, 1)</f>
        <v>(Set Type not found)</v>
      </c>
      <c r="P944" s="3" t="e">
        <f>tbl_MTG_Set[[#This Row],[Released On]]+tbl_MTG_Set[[#This Row],[Heavy Printing Window Month Start]]*365.25/12</f>
        <v>#VALUE!</v>
      </c>
      <c r="Q944" t="str">
        <f>_xlfn.XLOOKUP(tbl_MTG_Set[[#This Row],[Type Name]], tbl_MTG_Set_Type[Set Type], tbl_MTG_Set_Type[Heavy Printing Window Month End], "(Set Type not found)", 0, 1)</f>
        <v>(Set Type not found)</v>
      </c>
      <c r="R944" s="3" t="e">
        <f>tbl_MTG_Set[[#This Row],[Released On]]+tbl_MTG_Set[[#This Row],[Heavy Printing Window Month End]]*365.25/12</f>
        <v>#VALUE!</v>
      </c>
      <c r="S944" s="3" t="e">
        <f ca="1">AND(NOW()&gt;=tbl_MTG_Set[[#This Row],[Heavy Printing Window Start]], NOW()&lt;=tbl_MTG_Set[[#This Row],[Heavy Printing Window End]])</f>
        <v>#VALUE!</v>
      </c>
      <c r="T944" t="str">
        <f>_xlfn.XLOOKUP(tbl_MTG_Set[[#This Row],[Type Name]], tbl_MTG_Set_Type[Set Type], tbl_MTG_Set_Type[Sell Window Month Start], "(Set Type not found)", 0, 1)</f>
        <v>(Set Type not found)</v>
      </c>
      <c r="U944" s="3" t="e">
        <f>tbl_MTG_Set[[#This Row],[Released On]]+tbl_MTG_Set[[#This Row],[Sell Window Month Start]]*365.25/12</f>
        <v>#VALUE!</v>
      </c>
      <c r="V944" t="str">
        <f>_xlfn.XLOOKUP(tbl_MTG_Set[[#This Row],[Type Name]], tbl_MTG_Set_Type[Set Type], tbl_MTG_Set_Type[Sell Window Month End], "(Set Type not found)", 0, 1)</f>
        <v>(Set Type not found)</v>
      </c>
      <c r="W944" s="3" t="e">
        <f>tbl_MTG_Set[[#This Row],[Released On]]+tbl_MTG_Set[[#This Row],[Sell Window Month End]]*365.25/12</f>
        <v>#VALUE!</v>
      </c>
      <c r="X944" s="3" t="e">
        <f ca="1">AND(NOW()&gt;=tbl_MTG_Set[[#This Row],[Sell Window Start]], NOW()&lt;=tbl_MTG_Set[[#This Row],[Sell Window End]])</f>
        <v>#VALUE!</v>
      </c>
      <c r="AG944" s="10"/>
      <c r="AH944" s="10"/>
      <c r="AM944" s="10" t="str" cm="1">
        <f t="array" ref="AM94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4" s="10" t="str" cm="1">
        <f t="array" ref="AN94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4" s="4" t="e">
        <f>_xlfn.XLOOKUP(tbl_MTG_Set[[#This Row],[Play Booster Box Product Id]], tbl_Product[Product Id], tbl_Product[Pack Size])</f>
        <v>#N/A</v>
      </c>
      <c r="AP944" s="10" t="e">
        <f>(tbl_MTG_Set[[#This Row],[Play Booster Box Cost]]+v_Item_Shipping_Cost_In)/tbl_MTG_Set[[#This Row],[Play Booster Box Size]]</f>
        <v>#VALUE!</v>
      </c>
      <c r="AQ944" s="10" t="str" cm="1">
        <f t="array" ref="AQ94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4" s="10"/>
      <c r="AS944" s="10"/>
      <c r="AT944" s="17" t="e">
        <f>tbl_MTG_Set[[#This Row],[Play Booster CardMarket Profit]]/tbl_MTG_Set[[#This Row],[Play Booster Cost]]</f>
        <v>#VALUE!</v>
      </c>
      <c r="AU944" s="10" t="e">
        <f>_xlfn.XLOOKUP(tbl_MTG_Set[[#This Row],[Collector Booster Box Product Id]], tbl_Product[Product Id], tbl_Product[Min Cost])</f>
        <v>#N/A</v>
      </c>
      <c r="AV944" s="10" t="e">
        <f>_xlfn.XLOOKUP(tbl_MTG_Set[[#This Row],[Collector Booster Box Product Id]], tbl_Product[Product Id], tbl_Product[Best Source])</f>
        <v>#N/A</v>
      </c>
      <c r="AW944" s="4" t="e">
        <f>_xlfn.XLOOKUP(tbl_MTG_Set[[#This Row],[Collector Booster Box Product Id]], tbl_Product[Product Id], tbl_Product[Pack Size])</f>
        <v>#N/A</v>
      </c>
      <c r="AX944" s="10" t="e">
        <f>(tbl_MTG_Set[[#This Row],[Collector Booster Box Cost]] + v_Item_Shipping_Cost_In) / tbl_MTG_Set[[#This Row],[Collector Booster Box Size]]</f>
        <v>#N/A</v>
      </c>
      <c r="AY944" s="10" t="str" cm="1">
        <f t="array" ref="AY94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4" s="10"/>
      <c r="BA94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4" s="17" t="e">
        <f>tbl_MTG_Set[[#This Row],[Collector Booster CardMarket Profit]]/tbl_MTG_Set[[#This Row],[Collector Booster Cost]]</f>
        <v>#N/A</v>
      </c>
      <c r="BC944" s="10"/>
      <c r="BF94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4" s="11" t="e">
        <f>tbl_MTG_Set[[#This Row],[Play Singles CardMarket Profit MTG Stocks]]/tbl_MTG_Set[[#This Row],[Play Booster Cost]]</f>
        <v>#VALUE!</v>
      </c>
      <c r="BI944" s="11" t="b">
        <f>tbl_MTG_Set[[#This Row],[Play Singles CardMarket Profit MTG Stocks]]&gt;0</f>
        <v>0</v>
      </c>
      <c r="BM944" s="10" t="e">
        <f>tbl_MTG_Set[[#This Row],[Play Booster Sell Price CardMarket]]*tbl_MTG_Set[[#This Row],[Play Booster Expected Market Value BotBox]]/tbl_MTG_Set[[#This Row],[Play Booster Sealed Market Value BotBox]]</f>
        <v>#VALUE!</v>
      </c>
      <c r="BN94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4" s="10" t="e">
        <f>tbl_MTG_Set[[#This Row],[Play Singles CardMarket Profit BotBox]]/tbl_MTG_Set[[#This Row],[Play Booster Cost]]</f>
        <v>#VALUE!</v>
      </c>
      <c r="BP944" s="10" t="b">
        <f>tbl_MTG_Set[[#This Row],[Play Singles CardMarket Profit BotBox]]&gt;0</f>
        <v>0</v>
      </c>
      <c r="BQ944" s="10"/>
      <c r="BR944" s="10"/>
      <c r="BS944" s="10"/>
      <c r="BT94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4" s="19" t="e">
        <f>tbl_MTG_Set[[#This Row],[Collector Singles CardMarket Profit MTG Stocks]]/tbl_MTG_Set[[#This Row],[Collector Booster Cost]]</f>
        <v>#N/A</v>
      </c>
      <c r="BW944" s="10" t="b">
        <f>tbl_MTG_Set[[#This Row],[Collector Singles CardMarket Profit MTG Stocks]]&gt;0</f>
        <v>0</v>
      </c>
      <c r="BX944" s="10"/>
      <c r="BY944" s="10"/>
      <c r="BZ94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4" s="10" t="e">
        <f>tbl_MTG_Set[[#This Row],[Collector Singles CardMarket Profit BotBox]]/tbl_MTG_Set[[#This Row],[Collector Booster Cost]]</f>
        <v>#N/A</v>
      </c>
      <c r="CC944" s="10" t="b">
        <f>tbl_MTG_Set[[#This Row],[Collector Singles CardMarket Profit BotBox]]&gt;0</f>
        <v>0</v>
      </c>
      <c r="CD94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5" spans="1:86" hidden="1">
      <c r="A945">
        <v>977</v>
      </c>
      <c r="B945" t="s">
        <v>1118</v>
      </c>
      <c r="C945">
        <v>350</v>
      </c>
      <c r="D945" s="3">
        <v>35717</v>
      </c>
      <c r="F945" t="s">
        <v>174</v>
      </c>
      <c r="G945">
        <v>1900</v>
      </c>
      <c r="H945">
        <f ca="1">MONTH(NOW())+12*YEAR(NOW())-MONTH(tbl_MTG_Set[[#This Row],[Released On]])-12*YEAR(tbl_MTG_Set[[#This Row],[Released On]])</f>
        <v>341</v>
      </c>
      <c r="I945" t="str">
        <f>_xlfn.XLOOKUP(tbl_MTG_Set[[#This Row],[Type Name]], tbl_MTG_Set_Type[Set Type], tbl_MTG_Set_Type[Index], "(Set Type not found)")</f>
        <v>(Set Type not found)</v>
      </c>
      <c r="J945" t="str">
        <f>_xlfn.XLOOKUP(tbl_MTG_Set[[#This Row],[Type Name]], tbl_MTG_Set_Type[Set Type], tbl_MTG_Set_Type[Buy Window Month Start], "(Set Type not found)")</f>
        <v>(Set Type not found)</v>
      </c>
      <c r="K945" s="3" t="e">
        <f>tbl_MTG_Set[[#This Row],[Released On]]+tbl_MTG_Set[[#This Row],[Buy Window Month Start]]*365.25/12</f>
        <v>#VALUE!</v>
      </c>
      <c r="L945" t="str">
        <f>_xlfn.XLOOKUP(tbl_MTG_Set[[#This Row],[Type Name]], tbl_MTG_Set_Type[Set Type], tbl_MTG_Set_Type[Buy Window Month End], "(Set Type not found)", 0, 1)</f>
        <v>(Set Type not found)</v>
      </c>
      <c r="M945" s="3" t="e">
        <f>tbl_MTG_Set[[#This Row],[Released On]]+tbl_MTG_Set[[#This Row],[Buy Window Month End]]*365.25/12</f>
        <v>#VALUE!</v>
      </c>
      <c r="N945" s="3" t="e">
        <f ca="1">AND(NOW()&gt;=tbl_MTG_Set[[#This Row],[Buy Window Start]], NOW()&lt;=tbl_MTG_Set[[#This Row],[Buy Window End]])</f>
        <v>#VALUE!</v>
      </c>
      <c r="O945" t="str">
        <f>_xlfn.XLOOKUP(tbl_MTG_Set[[#This Row],[Type Name]], tbl_MTG_Set_Type[Set Type], tbl_MTG_Set_Type[Heavy Printing Window Month Start], "(Set Type not found)", 0, 1)</f>
        <v>(Set Type not found)</v>
      </c>
      <c r="P945" s="3" t="e">
        <f>tbl_MTG_Set[[#This Row],[Released On]]+tbl_MTG_Set[[#This Row],[Heavy Printing Window Month Start]]*365.25/12</f>
        <v>#VALUE!</v>
      </c>
      <c r="Q945" t="str">
        <f>_xlfn.XLOOKUP(tbl_MTG_Set[[#This Row],[Type Name]], tbl_MTG_Set_Type[Set Type], tbl_MTG_Set_Type[Heavy Printing Window Month End], "(Set Type not found)", 0, 1)</f>
        <v>(Set Type not found)</v>
      </c>
      <c r="R945" s="3" t="e">
        <f>tbl_MTG_Set[[#This Row],[Released On]]+tbl_MTG_Set[[#This Row],[Heavy Printing Window Month End]]*365.25/12</f>
        <v>#VALUE!</v>
      </c>
      <c r="S945" s="3" t="e">
        <f ca="1">AND(NOW()&gt;=tbl_MTG_Set[[#This Row],[Heavy Printing Window Start]], NOW()&lt;=tbl_MTG_Set[[#This Row],[Heavy Printing Window End]])</f>
        <v>#VALUE!</v>
      </c>
      <c r="T945" t="str">
        <f>_xlfn.XLOOKUP(tbl_MTG_Set[[#This Row],[Type Name]], tbl_MTG_Set_Type[Set Type], tbl_MTG_Set_Type[Sell Window Month Start], "(Set Type not found)", 0, 1)</f>
        <v>(Set Type not found)</v>
      </c>
      <c r="U945" s="3" t="e">
        <f>tbl_MTG_Set[[#This Row],[Released On]]+tbl_MTG_Set[[#This Row],[Sell Window Month Start]]*365.25/12</f>
        <v>#VALUE!</v>
      </c>
      <c r="V945" t="str">
        <f>_xlfn.XLOOKUP(tbl_MTG_Set[[#This Row],[Type Name]], tbl_MTG_Set_Type[Set Type], tbl_MTG_Set_Type[Sell Window Month End], "(Set Type not found)", 0, 1)</f>
        <v>(Set Type not found)</v>
      </c>
      <c r="W945" s="3" t="e">
        <f>tbl_MTG_Set[[#This Row],[Released On]]+tbl_MTG_Set[[#This Row],[Sell Window Month End]]*365.25/12</f>
        <v>#VALUE!</v>
      </c>
      <c r="X945" s="3" t="e">
        <f ca="1">AND(NOW()&gt;=tbl_MTG_Set[[#This Row],[Sell Window Start]], NOW()&lt;=tbl_MTG_Set[[#This Row],[Sell Window End]])</f>
        <v>#VALUE!</v>
      </c>
      <c r="AG945" s="10"/>
      <c r="AH945" s="10"/>
      <c r="AM945" s="10" t="str" cm="1">
        <f t="array" ref="AM94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5" s="10" t="str" cm="1">
        <f t="array" ref="AN94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5" s="4" t="e">
        <f>_xlfn.XLOOKUP(tbl_MTG_Set[[#This Row],[Play Booster Box Product Id]], tbl_Product[Product Id], tbl_Product[Pack Size])</f>
        <v>#N/A</v>
      </c>
      <c r="AP945" s="10" t="e">
        <f>(tbl_MTG_Set[[#This Row],[Play Booster Box Cost]]+v_Item_Shipping_Cost_In)/tbl_MTG_Set[[#This Row],[Play Booster Box Size]]</f>
        <v>#VALUE!</v>
      </c>
      <c r="AQ945" s="10" t="str" cm="1">
        <f t="array" ref="AQ94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5" s="10"/>
      <c r="AS945" s="10"/>
      <c r="AT945" s="17" t="e">
        <f>tbl_MTG_Set[[#This Row],[Play Booster CardMarket Profit]]/tbl_MTG_Set[[#This Row],[Play Booster Cost]]</f>
        <v>#VALUE!</v>
      </c>
      <c r="AU945" s="10" t="e">
        <f>_xlfn.XLOOKUP(tbl_MTG_Set[[#This Row],[Collector Booster Box Product Id]], tbl_Product[Product Id], tbl_Product[Min Cost])</f>
        <v>#N/A</v>
      </c>
      <c r="AV945" s="10" t="e">
        <f>_xlfn.XLOOKUP(tbl_MTG_Set[[#This Row],[Collector Booster Box Product Id]], tbl_Product[Product Id], tbl_Product[Best Source])</f>
        <v>#N/A</v>
      </c>
      <c r="AW945" s="4" t="e">
        <f>_xlfn.XLOOKUP(tbl_MTG_Set[[#This Row],[Collector Booster Box Product Id]], tbl_Product[Product Id], tbl_Product[Pack Size])</f>
        <v>#N/A</v>
      </c>
      <c r="AX945" s="10" t="e">
        <f>(tbl_MTG_Set[[#This Row],[Collector Booster Box Cost]] + v_Item_Shipping_Cost_In) / tbl_MTG_Set[[#This Row],[Collector Booster Box Size]]</f>
        <v>#N/A</v>
      </c>
      <c r="AY945" s="10" t="str" cm="1">
        <f t="array" ref="AY94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5" s="10"/>
      <c r="BA94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5" s="17" t="e">
        <f>tbl_MTG_Set[[#This Row],[Collector Booster CardMarket Profit]]/tbl_MTG_Set[[#This Row],[Collector Booster Cost]]</f>
        <v>#N/A</v>
      </c>
      <c r="BC945" s="10"/>
      <c r="BF94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5" s="11" t="e">
        <f>tbl_MTG_Set[[#This Row],[Play Singles CardMarket Profit MTG Stocks]]/tbl_MTG_Set[[#This Row],[Play Booster Cost]]</f>
        <v>#VALUE!</v>
      </c>
      <c r="BI945" s="11" t="b">
        <f>tbl_MTG_Set[[#This Row],[Play Singles CardMarket Profit MTG Stocks]]&gt;0</f>
        <v>0</v>
      </c>
      <c r="BM945" s="10" t="e">
        <f>tbl_MTG_Set[[#This Row],[Play Booster Sell Price CardMarket]]*tbl_MTG_Set[[#This Row],[Play Booster Expected Market Value BotBox]]/tbl_MTG_Set[[#This Row],[Play Booster Sealed Market Value BotBox]]</f>
        <v>#VALUE!</v>
      </c>
      <c r="BN94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5" s="10" t="e">
        <f>tbl_MTG_Set[[#This Row],[Play Singles CardMarket Profit BotBox]]/tbl_MTG_Set[[#This Row],[Play Booster Cost]]</f>
        <v>#VALUE!</v>
      </c>
      <c r="BP945" s="10" t="b">
        <f>tbl_MTG_Set[[#This Row],[Play Singles CardMarket Profit BotBox]]&gt;0</f>
        <v>0</v>
      </c>
      <c r="BQ945" s="10"/>
      <c r="BR945" s="10"/>
      <c r="BS945" s="10"/>
      <c r="BT94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5" s="19" t="e">
        <f>tbl_MTG_Set[[#This Row],[Collector Singles CardMarket Profit MTG Stocks]]/tbl_MTG_Set[[#This Row],[Collector Booster Cost]]</f>
        <v>#N/A</v>
      </c>
      <c r="BW945" s="10" t="b">
        <f>tbl_MTG_Set[[#This Row],[Collector Singles CardMarket Profit MTG Stocks]]&gt;0</f>
        <v>0</v>
      </c>
      <c r="BX945" s="10"/>
      <c r="BY945" s="10"/>
      <c r="BZ94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5" s="10" t="e">
        <f>tbl_MTG_Set[[#This Row],[Collector Singles CardMarket Profit BotBox]]/tbl_MTG_Set[[#This Row],[Collector Booster Cost]]</f>
        <v>#N/A</v>
      </c>
      <c r="CC945" s="10" t="b">
        <f>tbl_MTG_Set[[#This Row],[Collector Singles CardMarket Profit BotBox]]&gt;0</f>
        <v>0</v>
      </c>
      <c r="CD94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6" spans="1:86" hidden="1">
      <c r="A946">
        <v>978</v>
      </c>
      <c r="B946" t="s">
        <v>1119</v>
      </c>
      <c r="C946">
        <v>1</v>
      </c>
      <c r="D946" s="3">
        <v>35717</v>
      </c>
      <c r="F946" t="s">
        <v>174</v>
      </c>
      <c r="G946">
        <v>1902</v>
      </c>
      <c r="H946">
        <f ca="1">MONTH(NOW())+12*YEAR(NOW())-MONTH(tbl_MTG_Set[[#This Row],[Released On]])-12*YEAR(tbl_MTG_Set[[#This Row],[Released On]])</f>
        <v>341</v>
      </c>
      <c r="I946" t="str">
        <f>_xlfn.XLOOKUP(tbl_MTG_Set[[#This Row],[Type Name]], tbl_MTG_Set_Type[Set Type], tbl_MTG_Set_Type[Index], "(Set Type not found)")</f>
        <v>(Set Type not found)</v>
      </c>
      <c r="J946" t="str">
        <f>_xlfn.XLOOKUP(tbl_MTG_Set[[#This Row],[Type Name]], tbl_MTG_Set_Type[Set Type], tbl_MTG_Set_Type[Buy Window Month Start], "(Set Type not found)")</f>
        <v>(Set Type not found)</v>
      </c>
      <c r="K946" s="3" t="e">
        <f>tbl_MTG_Set[[#This Row],[Released On]]+tbl_MTG_Set[[#This Row],[Buy Window Month Start]]*365.25/12</f>
        <v>#VALUE!</v>
      </c>
      <c r="L946" t="str">
        <f>_xlfn.XLOOKUP(tbl_MTG_Set[[#This Row],[Type Name]], tbl_MTG_Set_Type[Set Type], tbl_MTG_Set_Type[Buy Window Month End], "(Set Type not found)", 0, 1)</f>
        <v>(Set Type not found)</v>
      </c>
      <c r="M946" s="3" t="e">
        <f>tbl_MTG_Set[[#This Row],[Released On]]+tbl_MTG_Set[[#This Row],[Buy Window Month End]]*365.25/12</f>
        <v>#VALUE!</v>
      </c>
      <c r="N946" s="3" t="e">
        <f ca="1">AND(NOW()&gt;=tbl_MTG_Set[[#This Row],[Buy Window Start]], NOW()&lt;=tbl_MTG_Set[[#This Row],[Buy Window End]])</f>
        <v>#VALUE!</v>
      </c>
      <c r="O946" t="str">
        <f>_xlfn.XLOOKUP(tbl_MTG_Set[[#This Row],[Type Name]], tbl_MTG_Set_Type[Set Type], tbl_MTG_Set_Type[Heavy Printing Window Month Start], "(Set Type not found)", 0, 1)</f>
        <v>(Set Type not found)</v>
      </c>
      <c r="P946" s="3" t="e">
        <f>tbl_MTG_Set[[#This Row],[Released On]]+tbl_MTG_Set[[#This Row],[Heavy Printing Window Month Start]]*365.25/12</f>
        <v>#VALUE!</v>
      </c>
      <c r="Q946" t="str">
        <f>_xlfn.XLOOKUP(tbl_MTG_Set[[#This Row],[Type Name]], tbl_MTG_Set_Type[Set Type], tbl_MTG_Set_Type[Heavy Printing Window Month End], "(Set Type not found)", 0, 1)</f>
        <v>(Set Type not found)</v>
      </c>
      <c r="R946" s="3" t="e">
        <f>tbl_MTG_Set[[#This Row],[Released On]]+tbl_MTG_Set[[#This Row],[Heavy Printing Window Month End]]*365.25/12</f>
        <v>#VALUE!</v>
      </c>
      <c r="S946" s="3" t="e">
        <f ca="1">AND(NOW()&gt;=tbl_MTG_Set[[#This Row],[Heavy Printing Window Start]], NOW()&lt;=tbl_MTG_Set[[#This Row],[Heavy Printing Window End]])</f>
        <v>#VALUE!</v>
      </c>
      <c r="T946" t="str">
        <f>_xlfn.XLOOKUP(tbl_MTG_Set[[#This Row],[Type Name]], tbl_MTG_Set_Type[Set Type], tbl_MTG_Set_Type[Sell Window Month Start], "(Set Type not found)", 0, 1)</f>
        <v>(Set Type not found)</v>
      </c>
      <c r="U946" s="3" t="e">
        <f>tbl_MTG_Set[[#This Row],[Released On]]+tbl_MTG_Set[[#This Row],[Sell Window Month Start]]*365.25/12</f>
        <v>#VALUE!</v>
      </c>
      <c r="V946" t="str">
        <f>_xlfn.XLOOKUP(tbl_MTG_Set[[#This Row],[Type Name]], tbl_MTG_Set_Type[Set Type], tbl_MTG_Set_Type[Sell Window Month End], "(Set Type not found)", 0, 1)</f>
        <v>(Set Type not found)</v>
      </c>
      <c r="W946" s="3" t="e">
        <f>tbl_MTG_Set[[#This Row],[Released On]]+tbl_MTG_Set[[#This Row],[Sell Window Month End]]*365.25/12</f>
        <v>#VALUE!</v>
      </c>
      <c r="X946" s="3" t="e">
        <f ca="1">AND(NOW()&gt;=tbl_MTG_Set[[#This Row],[Sell Window Start]], NOW()&lt;=tbl_MTG_Set[[#This Row],[Sell Window End]])</f>
        <v>#VALUE!</v>
      </c>
      <c r="AG946" s="10"/>
      <c r="AH946" s="10"/>
      <c r="AM946" s="10" t="str" cm="1">
        <f t="array" ref="AM94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6" s="10" t="str" cm="1">
        <f t="array" ref="AN94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6" s="4" t="e">
        <f>_xlfn.XLOOKUP(tbl_MTG_Set[[#This Row],[Play Booster Box Product Id]], tbl_Product[Product Id], tbl_Product[Pack Size])</f>
        <v>#N/A</v>
      </c>
      <c r="AP946" s="10" t="e">
        <f>(tbl_MTG_Set[[#This Row],[Play Booster Box Cost]]+v_Item_Shipping_Cost_In)/tbl_MTG_Set[[#This Row],[Play Booster Box Size]]</f>
        <v>#VALUE!</v>
      </c>
      <c r="AQ946" s="10" t="str" cm="1">
        <f t="array" ref="AQ94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6" s="10"/>
      <c r="AS946" s="10"/>
      <c r="AT946" s="17" t="e">
        <f>tbl_MTG_Set[[#This Row],[Play Booster CardMarket Profit]]/tbl_MTG_Set[[#This Row],[Play Booster Cost]]</f>
        <v>#VALUE!</v>
      </c>
      <c r="AU946" s="10" t="e">
        <f>_xlfn.XLOOKUP(tbl_MTG_Set[[#This Row],[Collector Booster Box Product Id]], tbl_Product[Product Id], tbl_Product[Min Cost])</f>
        <v>#N/A</v>
      </c>
      <c r="AV946" s="10" t="e">
        <f>_xlfn.XLOOKUP(tbl_MTG_Set[[#This Row],[Collector Booster Box Product Id]], tbl_Product[Product Id], tbl_Product[Best Source])</f>
        <v>#N/A</v>
      </c>
      <c r="AW946" s="4" t="e">
        <f>_xlfn.XLOOKUP(tbl_MTG_Set[[#This Row],[Collector Booster Box Product Id]], tbl_Product[Product Id], tbl_Product[Pack Size])</f>
        <v>#N/A</v>
      </c>
      <c r="AX946" s="10" t="e">
        <f>(tbl_MTG_Set[[#This Row],[Collector Booster Box Cost]] + v_Item_Shipping_Cost_In) / tbl_MTG_Set[[#This Row],[Collector Booster Box Size]]</f>
        <v>#N/A</v>
      </c>
      <c r="AY946" s="10" t="str" cm="1">
        <f t="array" ref="AY94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6" s="10"/>
      <c r="BA94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6" s="17" t="e">
        <f>tbl_MTG_Set[[#This Row],[Collector Booster CardMarket Profit]]/tbl_MTG_Set[[#This Row],[Collector Booster Cost]]</f>
        <v>#N/A</v>
      </c>
      <c r="BC946" s="10"/>
      <c r="BF94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6" s="11" t="e">
        <f>tbl_MTG_Set[[#This Row],[Play Singles CardMarket Profit MTG Stocks]]/tbl_MTG_Set[[#This Row],[Play Booster Cost]]</f>
        <v>#VALUE!</v>
      </c>
      <c r="BI946" s="11" t="b">
        <f>tbl_MTG_Set[[#This Row],[Play Singles CardMarket Profit MTG Stocks]]&gt;0</f>
        <v>0</v>
      </c>
      <c r="BM946" s="10" t="e">
        <f>tbl_MTG_Set[[#This Row],[Play Booster Sell Price CardMarket]]*tbl_MTG_Set[[#This Row],[Play Booster Expected Market Value BotBox]]/tbl_MTG_Set[[#This Row],[Play Booster Sealed Market Value BotBox]]</f>
        <v>#VALUE!</v>
      </c>
      <c r="BN94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6" s="10" t="e">
        <f>tbl_MTG_Set[[#This Row],[Play Singles CardMarket Profit BotBox]]/tbl_MTG_Set[[#This Row],[Play Booster Cost]]</f>
        <v>#VALUE!</v>
      </c>
      <c r="BP946" s="10" t="b">
        <f>tbl_MTG_Set[[#This Row],[Play Singles CardMarket Profit BotBox]]&gt;0</f>
        <v>0</v>
      </c>
      <c r="BQ946" s="10"/>
      <c r="BR946" s="10"/>
      <c r="BS946" s="10"/>
      <c r="BT94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6" s="19" t="e">
        <f>tbl_MTG_Set[[#This Row],[Collector Singles CardMarket Profit MTG Stocks]]/tbl_MTG_Set[[#This Row],[Collector Booster Cost]]</f>
        <v>#N/A</v>
      </c>
      <c r="BW946" s="10" t="b">
        <f>tbl_MTG_Set[[#This Row],[Collector Singles CardMarket Profit MTG Stocks]]&gt;0</f>
        <v>0</v>
      </c>
      <c r="BX946" s="10"/>
      <c r="BY946" s="10"/>
      <c r="BZ94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6" s="10" t="e">
        <f>tbl_MTG_Set[[#This Row],[Collector Singles CardMarket Profit BotBox]]/tbl_MTG_Set[[#This Row],[Collector Booster Cost]]</f>
        <v>#N/A</v>
      </c>
      <c r="CC946" s="10" t="b">
        <f>tbl_MTG_Set[[#This Row],[Collector Singles CardMarket Profit BotBox]]&gt;0</f>
        <v>0</v>
      </c>
      <c r="CD94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7" spans="1:86" hidden="1">
      <c r="A947">
        <v>979</v>
      </c>
      <c r="B947" t="s">
        <v>1120</v>
      </c>
      <c r="C947">
        <v>131</v>
      </c>
      <c r="D947" s="3">
        <v>35655</v>
      </c>
      <c r="F947" t="s">
        <v>174</v>
      </c>
      <c r="G947">
        <v>1904</v>
      </c>
      <c r="H947">
        <f ca="1">MONTH(NOW())+12*YEAR(NOW())-MONTH(tbl_MTG_Set[[#This Row],[Released On]])-12*YEAR(tbl_MTG_Set[[#This Row],[Released On]])</f>
        <v>343</v>
      </c>
      <c r="I947" t="str">
        <f>_xlfn.XLOOKUP(tbl_MTG_Set[[#This Row],[Type Name]], tbl_MTG_Set_Type[Set Type], tbl_MTG_Set_Type[Index], "(Set Type not found)")</f>
        <v>(Set Type not found)</v>
      </c>
      <c r="J947" t="str">
        <f>_xlfn.XLOOKUP(tbl_MTG_Set[[#This Row],[Type Name]], tbl_MTG_Set_Type[Set Type], tbl_MTG_Set_Type[Buy Window Month Start], "(Set Type not found)")</f>
        <v>(Set Type not found)</v>
      </c>
      <c r="K947" s="3" t="e">
        <f>tbl_MTG_Set[[#This Row],[Released On]]+tbl_MTG_Set[[#This Row],[Buy Window Month Start]]*365.25/12</f>
        <v>#VALUE!</v>
      </c>
      <c r="L947" t="str">
        <f>_xlfn.XLOOKUP(tbl_MTG_Set[[#This Row],[Type Name]], tbl_MTG_Set_Type[Set Type], tbl_MTG_Set_Type[Buy Window Month End], "(Set Type not found)", 0, 1)</f>
        <v>(Set Type not found)</v>
      </c>
      <c r="M947" s="3" t="e">
        <f>tbl_MTG_Set[[#This Row],[Released On]]+tbl_MTG_Set[[#This Row],[Buy Window Month End]]*365.25/12</f>
        <v>#VALUE!</v>
      </c>
      <c r="N947" s="3" t="e">
        <f ca="1">AND(NOW()&gt;=tbl_MTG_Set[[#This Row],[Buy Window Start]], NOW()&lt;=tbl_MTG_Set[[#This Row],[Buy Window End]])</f>
        <v>#VALUE!</v>
      </c>
      <c r="O947" t="str">
        <f>_xlfn.XLOOKUP(tbl_MTG_Set[[#This Row],[Type Name]], tbl_MTG_Set_Type[Set Type], tbl_MTG_Set_Type[Heavy Printing Window Month Start], "(Set Type not found)", 0, 1)</f>
        <v>(Set Type not found)</v>
      </c>
      <c r="P947" s="3" t="e">
        <f>tbl_MTG_Set[[#This Row],[Released On]]+tbl_MTG_Set[[#This Row],[Heavy Printing Window Month Start]]*365.25/12</f>
        <v>#VALUE!</v>
      </c>
      <c r="Q947" t="str">
        <f>_xlfn.XLOOKUP(tbl_MTG_Set[[#This Row],[Type Name]], tbl_MTG_Set_Type[Set Type], tbl_MTG_Set_Type[Heavy Printing Window Month End], "(Set Type not found)", 0, 1)</f>
        <v>(Set Type not found)</v>
      </c>
      <c r="R947" s="3" t="e">
        <f>tbl_MTG_Set[[#This Row],[Released On]]+tbl_MTG_Set[[#This Row],[Heavy Printing Window Month End]]*365.25/12</f>
        <v>#VALUE!</v>
      </c>
      <c r="S947" s="3" t="e">
        <f ca="1">AND(NOW()&gt;=tbl_MTG_Set[[#This Row],[Heavy Printing Window Start]], NOW()&lt;=tbl_MTG_Set[[#This Row],[Heavy Printing Window End]])</f>
        <v>#VALUE!</v>
      </c>
      <c r="T947" t="str">
        <f>_xlfn.XLOOKUP(tbl_MTG_Set[[#This Row],[Type Name]], tbl_MTG_Set_Type[Set Type], tbl_MTG_Set_Type[Sell Window Month Start], "(Set Type not found)", 0, 1)</f>
        <v>(Set Type not found)</v>
      </c>
      <c r="U947" s="3" t="e">
        <f>tbl_MTG_Set[[#This Row],[Released On]]+tbl_MTG_Set[[#This Row],[Sell Window Month Start]]*365.25/12</f>
        <v>#VALUE!</v>
      </c>
      <c r="V947" t="str">
        <f>_xlfn.XLOOKUP(tbl_MTG_Set[[#This Row],[Type Name]], tbl_MTG_Set_Type[Set Type], tbl_MTG_Set_Type[Sell Window Month End], "(Set Type not found)", 0, 1)</f>
        <v>(Set Type not found)</v>
      </c>
      <c r="W947" s="3" t="e">
        <f>tbl_MTG_Set[[#This Row],[Released On]]+tbl_MTG_Set[[#This Row],[Sell Window Month End]]*365.25/12</f>
        <v>#VALUE!</v>
      </c>
      <c r="X947" s="3" t="e">
        <f ca="1">AND(NOW()&gt;=tbl_MTG_Set[[#This Row],[Sell Window Start]], NOW()&lt;=tbl_MTG_Set[[#This Row],[Sell Window End]])</f>
        <v>#VALUE!</v>
      </c>
      <c r="AG947" s="10"/>
      <c r="AH947" s="10"/>
      <c r="AM947" s="10" t="str" cm="1">
        <f t="array" ref="AM94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7" s="10" t="str" cm="1">
        <f t="array" ref="AN94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7" s="4" t="e">
        <f>_xlfn.XLOOKUP(tbl_MTG_Set[[#This Row],[Play Booster Box Product Id]], tbl_Product[Product Id], tbl_Product[Pack Size])</f>
        <v>#N/A</v>
      </c>
      <c r="AP947" s="10" t="e">
        <f>(tbl_MTG_Set[[#This Row],[Play Booster Box Cost]]+v_Item_Shipping_Cost_In)/tbl_MTG_Set[[#This Row],[Play Booster Box Size]]</f>
        <v>#VALUE!</v>
      </c>
      <c r="AQ947" s="10" t="str" cm="1">
        <f t="array" ref="AQ94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7" s="10"/>
      <c r="AS947" s="10"/>
      <c r="AT947" s="17" t="e">
        <f>tbl_MTG_Set[[#This Row],[Play Booster CardMarket Profit]]/tbl_MTG_Set[[#This Row],[Play Booster Cost]]</f>
        <v>#VALUE!</v>
      </c>
      <c r="AU947" s="10" t="e">
        <f>_xlfn.XLOOKUP(tbl_MTG_Set[[#This Row],[Collector Booster Box Product Id]], tbl_Product[Product Id], tbl_Product[Min Cost])</f>
        <v>#N/A</v>
      </c>
      <c r="AV947" s="10" t="e">
        <f>_xlfn.XLOOKUP(tbl_MTG_Set[[#This Row],[Collector Booster Box Product Id]], tbl_Product[Product Id], tbl_Product[Best Source])</f>
        <v>#N/A</v>
      </c>
      <c r="AW947" s="4" t="e">
        <f>_xlfn.XLOOKUP(tbl_MTG_Set[[#This Row],[Collector Booster Box Product Id]], tbl_Product[Product Id], tbl_Product[Pack Size])</f>
        <v>#N/A</v>
      </c>
      <c r="AX947" s="10" t="e">
        <f>(tbl_MTG_Set[[#This Row],[Collector Booster Box Cost]] + v_Item_Shipping_Cost_In) / tbl_MTG_Set[[#This Row],[Collector Booster Box Size]]</f>
        <v>#N/A</v>
      </c>
      <c r="AY947" s="10" t="str" cm="1">
        <f t="array" ref="AY94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7" s="10"/>
      <c r="BA94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7" s="17" t="e">
        <f>tbl_MTG_Set[[#This Row],[Collector Booster CardMarket Profit]]/tbl_MTG_Set[[#This Row],[Collector Booster Cost]]</f>
        <v>#N/A</v>
      </c>
      <c r="BC947" s="10"/>
      <c r="BF94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7" s="11" t="e">
        <f>tbl_MTG_Set[[#This Row],[Play Singles CardMarket Profit MTG Stocks]]/tbl_MTG_Set[[#This Row],[Play Booster Cost]]</f>
        <v>#VALUE!</v>
      </c>
      <c r="BI947" s="11" t="b">
        <f>tbl_MTG_Set[[#This Row],[Play Singles CardMarket Profit MTG Stocks]]&gt;0</f>
        <v>0</v>
      </c>
      <c r="BM947" s="10" t="e">
        <f>tbl_MTG_Set[[#This Row],[Play Booster Sell Price CardMarket]]*tbl_MTG_Set[[#This Row],[Play Booster Expected Market Value BotBox]]/tbl_MTG_Set[[#This Row],[Play Booster Sealed Market Value BotBox]]</f>
        <v>#VALUE!</v>
      </c>
      <c r="BN94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7" s="10" t="e">
        <f>tbl_MTG_Set[[#This Row],[Play Singles CardMarket Profit BotBox]]/tbl_MTG_Set[[#This Row],[Play Booster Cost]]</f>
        <v>#VALUE!</v>
      </c>
      <c r="BP947" s="10" t="b">
        <f>tbl_MTG_Set[[#This Row],[Play Singles CardMarket Profit BotBox]]&gt;0</f>
        <v>0</v>
      </c>
      <c r="BQ947" s="10"/>
      <c r="BR947" s="10"/>
      <c r="BS947" s="10"/>
      <c r="BT94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7" s="19" t="e">
        <f>tbl_MTG_Set[[#This Row],[Collector Singles CardMarket Profit MTG Stocks]]/tbl_MTG_Set[[#This Row],[Collector Booster Cost]]</f>
        <v>#N/A</v>
      </c>
      <c r="BW947" s="10" t="b">
        <f>tbl_MTG_Set[[#This Row],[Collector Singles CardMarket Profit MTG Stocks]]&gt;0</f>
        <v>0</v>
      </c>
      <c r="BX947" s="10"/>
      <c r="BY947" s="10"/>
      <c r="BZ94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7" s="10" t="e">
        <f>tbl_MTG_Set[[#This Row],[Collector Singles CardMarket Profit BotBox]]/tbl_MTG_Set[[#This Row],[Collector Booster Cost]]</f>
        <v>#N/A</v>
      </c>
      <c r="CC947" s="10" t="b">
        <f>tbl_MTG_Set[[#This Row],[Collector Singles CardMarket Profit BotBox]]&gt;0</f>
        <v>0</v>
      </c>
      <c r="CD94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8" spans="1:86" hidden="1">
      <c r="A948">
        <v>980</v>
      </c>
      <c r="B948" t="s">
        <v>1121</v>
      </c>
      <c r="C948">
        <v>167</v>
      </c>
      <c r="D948" s="3">
        <v>35590</v>
      </c>
      <c r="F948" t="s">
        <v>174</v>
      </c>
      <c r="G948">
        <v>1906</v>
      </c>
      <c r="H948">
        <f ca="1">MONTH(NOW())+12*YEAR(NOW())-MONTH(tbl_MTG_Set[[#This Row],[Released On]])-12*YEAR(tbl_MTG_Set[[#This Row],[Released On]])</f>
        <v>345</v>
      </c>
      <c r="I948" t="str">
        <f>_xlfn.XLOOKUP(tbl_MTG_Set[[#This Row],[Type Name]], tbl_MTG_Set_Type[Set Type], tbl_MTG_Set_Type[Index], "(Set Type not found)")</f>
        <v>(Set Type not found)</v>
      </c>
      <c r="J948" t="str">
        <f>_xlfn.XLOOKUP(tbl_MTG_Set[[#This Row],[Type Name]], tbl_MTG_Set_Type[Set Type], tbl_MTG_Set_Type[Buy Window Month Start], "(Set Type not found)")</f>
        <v>(Set Type not found)</v>
      </c>
      <c r="K948" s="3" t="e">
        <f>tbl_MTG_Set[[#This Row],[Released On]]+tbl_MTG_Set[[#This Row],[Buy Window Month Start]]*365.25/12</f>
        <v>#VALUE!</v>
      </c>
      <c r="L948" t="str">
        <f>_xlfn.XLOOKUP(tbl_MTG_Set[[#This Row],[Type Name]], tbl_MTG_Set_Type[Set Type], tbl_MTG_Set_Type[Buy Window Month End], "(Set Type not found)", 0, 1)</f>
        <v>(Set Type not found)</v>
      </c>
      <c r="M948" s="3" t="e">
        <f>tbl_MTG_Set[[#This Row],[Released On]]+tbl_MTG_Set[[#This Row],[Buy Window Month End]]*365.25/12</f>
        <v>#VALUE!</v>
      </c>
      <c r="N948" s="3" t="e">
        <f ca="1">AND(NOW()&gt;=tbl_MTG_Set[[#This Row],[Buy Window Start]], NOW()&lt;=tbl_MTG_Set[[#This Row],[Buy Window End]])</f>
        <v>#VALUE!</v>
      </c>
      <c r="O948" t="str">
        <f>_xlfn.XLOOKUP(tbl_MTG_Set[[#This Row],[Type Name]], tbl_MTG_Set_Type[Set Type], tbl_MTG_Set_Type[Heavy Printing Window Month Start], "(Set Type not found)", 0, 1)</f>
        <v>(Set Type not found)</v>
      </c>
      <c r="P948" s="3" t="e">
        <f>tbl_MTG_Set[[#This Row],[Released On]]+tbl_MTG_Set[[#This Row],[Heavy Printing Window Month Start]]*365.25/12</f>
        <v>#VALUE!</v>
      </c>
      <c r="Q948" t="str">
        <f>_xlfn.XLOOKUP(tbl_MTG_Set[[#This Row],[Type Name]], tbl_MTG_Set_Type[Set Type], tbl_MTG_Set_Type[Heavy Printing Window Month End], "(Set Type not found)", 0, 1)</f>
        <v>(Set Type not found)</v>
      </c>
      <c r="R948" s="3" t="e">
        <f>tbl_MTG_Set[[#This Row],[Released On]]+tbl_MTG_Set[[#This Row],[Heavy Printing Window Month End]]*365.25/12</f>
        <v>#VALUE!</v>
      </c>
      <c r="S948" s="3" t="e">
        <f ca="1">AND(NOW()&gt;=tbl_MTG_Set[[#This Row],[Heavy Printing Window Start]], NOW()&lt;=tbl_MTG_Set[[#This Row],[Heavy Printing Window End]])</f>
        <v>#VALUE!</v>
      </c>
      <c r="T948" t="str">
        <f>_xlfn.XLOOKUP(tbl_MTG_Set[[#This Row],[Type Name]], tbl_MTG_Set_Type[Set Type], tbl_MTG_Set_Type[Sell Window Month Start], "(Set Type not found)", 0, 1)</f>
        <v>(Set Type not found)</v>
      </c>
      <c r="U948" s="3" t="e">
        <f>tbl_MTG_Set[[#This Row],[Released On]]+tbl_MTG_Set[[#This Row],[Sell Window Month Start]]*365.25/12</f>
        <v>#VALUE!</v>
      </c>
      <c r="V948" t="str">
        <f>_xlfn.XLOOKUP(tbl_MTG_Set[[#This Row],[Type Name]], tbl_MTG_Set_Type[Set Type], tbl_MTG_Set_Type[Sell Window Month End], "(Set Type not found)", 0, 1)</f>
        <v>(Set Type not found)</v>
      </c>
      <c r="W948" s="3" t="e">
        <f>tbl_MTG_Set[[#This Row],[Released On]]+tbl_MTG_Set[[#This Row],[Sell Window Month End]]*365.25/12</f>
        <v>#VALUE!</v>
      </c>
      <c r="X948" s="3" t="e">
        <f ca="1">AND(NOW()&gt;=tbl_MTG_Set[[#This Row],[Sell Window Start]], NOW()&lt;=tbl_MTG_Set[[#This Row],[Sell Window End]])</f>
        <v>#VALUE!</v>
      </c>
      <c r="AG948" s="10"/>
      <c r="AH948" s="10"/>
      <c r="AM948" s="10" t="str" cm="1">
        <f t="array" ref="AM94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8" s="10" t="str" cm="1">
        <f t="array" ref="AN94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8" s="4" t="e">
        <f>_xlfn.XLOOKUP(tbl_MTG_Set[[#This Row],[Play Booster Box Product Id]], tbl_Product[Product Id], tbl_Product[Pack Size])</f>
        <v>#N/A</v>
      </c>
      <c r="AP948" s="10" t="e">
        <f>(tbl_MTG_Set[[#This Row],[Play Booster Box Cost]]+v_Item_Shipping_Cost_In)/tbl_MTG_Set[[#This Row],[Play Booster Box Size]]</f>
        <v>#VALUE!</v>
      </c>
      <c r="AQ948" s="10" t="str" cm="1">
        <f t="array" ref="AQ94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8" s="10"/>
      <c r="AS948" s="10"/>
      <c r="AT948" s="17" t="e">
        <f>tbl_MTG_Set[[#This Row],[Play Booster CardMarket Profit]]/tbl_MTG_Set[[#This Row],[Play Booster Cost]]</f>
        <v>#VALUE!</v>
      </c>
      <c r="AU948" s="10" t="e">
        <f>_xlfn.XLOOKUP(tbl_MTG_Set[[#This Row],[Collector Booster Box Product Id]], tbl_Product[Product Id], tbl_Product[Min Cost])</f>
        <v>#N/A</v>
      </c>
      <c r="AV948" s="10" t="e">
        <f>_xlfn.XLOOKUP(tbl_MTG_Set[[#This Row],[Collector Booster Box Product Id]], tbl_Product[Product Id], tbl_Product[Best Source])</f>
        <v>#N/A</v>
      </c>
      <c r="AW948" s="4" t="e">
        <f>_xlfn.XLOOKUP(tbl_MTG_Set[[#This Row],[Collector Booster Box Product Id]], tbl_Product[Product Id], tbl_Product[Pack Size])</f>
        <v>#N/A</v>
      </c>
      <c r="AX948" s="10" t="e">
        <f>(tbl_MTG_Set[[#This Row],[Collector Booster Box Cost]] + v_Item_Shipping_Cost_In) / tbl_MTG_Set[[#This Row],[Collector Booster Box Size]]</f>
        <v>#N/A</v>
      </c>
      <c r="AY948" s="10" t="str" cm="1">
        <f t="array" ref="AY94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8" s="10"/>
      <c r="BA94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8" s="17" t="e">
        <f>tbl_MTG_Set[[#This Row],[Collector Booster CardMarket Profit]]/tbl_MTG_Set[[#This Row],[Collector Booster Cost]]</f>
        <v>#N/A</v>
      </c>
      <c r="BC948" s="10"/>
      <c r="BF94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8" s="11" t="e">
        <f>tbl_MTG_Set[[#This Row],[Play Singles CardMarket Profit MTG Stocks]]/tbl_MTG_Set[[#This Row],[Play Booster Cost]]</f>
        <v>#VALUE!</v>
      </c>
      <c r="BI948" s="11" t="b">
        <f>tbl_MTG_Set[[#This Row],[Play Singles CardMarket Profit MTG Stocks]]&gt;0</f>
        <v>0</v>
      </c>
      <c r="BM948" s="10" t="e">
        <f>tbl_MTG_Set[[#This Row],[Play Booster Sell Price CardMarket]]*tbl_MTG_Set[[#This Row],[Play Booster Expected Market Value BotBox]]/tbl_MTG_Set[[#This Row],[Play Booster Sealed Market Value BotBox]]</f>
        <v>#VALUE!</v>
      </c>
      <c r="BN94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8" s="10" t="e">
        <f>tbl_MTG_Set[[#This Row],[Play Singles CardMarket Profit BotBox]]/tbl_MTG_Set[[#This Row],[Play Booster Cost]]</f>
        <v>#VALUE!</v>
      </c>
      <c r="BP948" s="10" t="b">
        <f>tbl_MTG_Set[[#This Row],[Play Singles CardMarket Profit BotBox]]&gt;0</f>
        <v>0</v>
      </c>
      <c r="BQ948" s="10"/>
      <c r="BR948" s="10"/>
      <c r="BS948" s="10"/>
      <c r="BT94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8" s="19" t="e">
        <f>tbl_MTG_Set[[#This Row],[Collector Singles CardMarket Profit MTG Stocks]]/tbl_MTG_Set[[#This Row],[Collector Booster Cost]]</f>
        <v>#N/A</v>
      </c>
      <c r="BW948" s="10" t="b">
        <f>tbl_MTG_Set[[#This Row],[Collector Singles CardMarket Profit MTG Stocks]]&gt;0</f>
        <v>0</v>
      </c>
      <c r="BX948" s="10"/>
      <c r="BY948" s="10"/>
      <c r="BZ94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8" s="10" t="e">
        <f>tbl_MTG_Set[[#This Row],[Collector Singles CardMarket Profit BotBox]]/tbl_MTG_Set[[#This Row],[Collector Booster Cost]]</f>
        <v>#N/A</v>
      </c>
      <c r="CC948" s="10" t="b">
        <f>tbl_MTG_Set[[#This Row],[Collector Singles CardMarket Profit BotBox]]&gt;0</f>
        <v>0</v>
      </c>
      <c r="CD94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49" spans="1:86" hidden="1">
      <c r="A949">
        <v>981</v>
      </c>
      <c r="B949" t="s">
        <v>1122</v>
      </c>
      <c r="C949">
        <v>83</v>
      </c>
      <c r="D949" s="3">
        <v>35580</v>
      </c>
      <c r="F949" t="s">
        <v>174</v>
      </c>
      <c r="G949">
        <v>1908</v>
      </c>
      <c r="H949">
        <f ca="1">MONTH(NOW())+12*YEAR(NOW())-MONTH(tbl_MTG_Set[[#This Row],[Released On]])-12*YEAR(tbl_MTG_Set[[#This Row],[Released On]])</f>
        <v>346</v>
      </c>
      <c r="I949" t="str">
        <f>_xlfn.XLOOKUP(tbl_MTG_Set[[#This Row],[Type Name]], tbl_MTG_Set_Type[Set Type], tbl_MTG_Set_Type[Index], "(Set Type not found)")</f>
        <v>(Set Type not found)</v>
      </c>
      <c r="J949" t="str">
        <f>_xlfn.XLOOKUP(tbl_MTG_Set[[#This Row],[Type Name]], tbl_MTG_Set_Type[Set Type], tbl_MTG_Set_Type[Buy Window Month Start], "(Set Type not found)")</f>
        <v>(Set Type not found)</v>
      </c>
      <c r="K949" s="3" t="e">
        <f>tbl_MTG_Set[[#This Row],[Released On]]+tbl_MTG_Set[[#This Row],[Buy Window Month Start]]*365.25/12</f>
        <v>#VALUE!</v>
      </c>
      <c r="L949" t="str">
        <f>_xlfn.XLOOKUP(tbl_MTG_Set[[#This Row],[Type Name]], tbl_MTG_Set_Type[Set Type], tbl_MTG_Set_Type[Buy Window Month End], "(Set Type not found)", 0, 1)</f>
        <v>(Set Type not found)</v>
      </c>
      <c r="M949" s="3" t="e">
        <f>tbl_MTG_Set[[#This Row],[Released On]]+tbl_MTG_Set[[#This Row],[Buy Window Month End]]*365.25/12</f>
        <v>#VALUE!</v>
      </c>
      <c r="N949" s="3" t="e">
        <f ca="1">AND(NOW()&gt;=tbl_MTG_Set[[#This Row],[Buy Window Start]], NOW()&lt;=tbl_MTG_Set[[#This Row],[Buy Window End]])</f>
        <v>#VALUE!</v>
      </c>
      <c r="O949" t="str">
        <f>_xlfn.XLOOKUP(tbl_MTG_Set[[#This Row],[Type Name]], tbl_MTG_Set_Type[Set Type], tbl_MTG_Set_Type[Heavy Printing Window Month Start], "(Set Type not found)", 0, 1)</f>
        <v>(Set Type not found)</v>
      </c>
      <c r="P949" s="3" t="e">
        <f>tbl_MTG_Set[[#This Row],[Released On]]+tbl_MTG_Set[[#This Row],[Heavy Printing Window Month Start]]*365.25/12</f>
        <v>#VALUE!</v>
      </c>
      <c r="Q949" t="str">
        <f>_xlfn.XLOOKUP(tbl_MTG_Set[[#This Row],[Type Name]], tbl_MTG_Set_Type[Set Type], tbl_MTG_Set_Type[Heavy Printing Window Month End], "(Set Type not found)", 0, 1)</f>
        <v>(Set Type not found)</v>
      </c>
      <c r="R949" s="3" t="e">
        <f>tbl_MTG_Set[[#This Row],[Released On]]+tbl_MTG_Set[[#This Row],[Heavy Printing Window Month End]]*365.25/12</f>
        <v>#VALUE!</v>
      </c>
      <c r="S949" s="3" t="e">
        <f ca="1">AND(NOW()&gt;=tbl_MTG_Set[[#This Row],[Heavy Printing Window Start]], NOW()&lt;=tbl_MTG_Set[[#This Row],[Heavy Printing Window End]])</f>
        <v>#VALUE!</v>
      </c>
      <c r="T949" t="str">
        <f>_xlfn.XLOOKUP(tbl_MTG_Set[[#This Row],[Type Name]], tbl_MTG_Set_Type[Set Type], tbl_MTG_Set_Type[Sell Window Month Start], "(Set Type not found)", 0, 1)</f>
        <v>(Set Type not found)</v>
      </c>
      <c r="U949" s="3" t="e">
        <f>tbl_MTG_Set[[#This Row],[Released On]]+tbl_MTG_Set[[#This Row],[Sell Window Month Start]]*365.25/12</f>
        <v>#VALUE!</v>
      </c>
      <c r="V949" t="str">
        <f>_xlfn.XLOOKUP(tbl_MTG_Set[[#This Row],[Type Name]], tbl_MTG_Set_Type[Set Type], tbl_MTG_Set_Type[Sell Window Month End], "(Set Type not found)", 0, 1)</f>
        <v>(Set Type not found)</v>
      </c>
      <c r="W949" s="3" t="e">
        <f>tbl_MTG_Set[[#This Row],[Released On]]+tbl_MTG_Set[[#This Row],[Sell Window Month End]]*365.25/12</f>
        <v>#VALUE!</v>
      </c>
      <c r="X949" s="3" t="e">
        <f ca="1">AND(NOW()&gt;=tbl_MTG_Set[[#This Row],[Sell Window Start]], NOW()&lt;=tbl_MTG_Set[[#This Row],[Sell Window End]])</f>
        <v>#VALUE!</v>
      </c>
      <c r="AG949" s="10"/>
      <c r="AH949" s="10"/>
      <c r="AM949" s="10" t="str" cm="1">
        <f t="array" ref="AM94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49" s="10" t="str" cm="1">
        <f t="array" ref="AN94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49" s="4" t="e">
        <f>_xlfn.XLOOKUP(tbl_MTG_Set[[#This Row],[Play Booster Box Product Id]], tbl_Product[Product Id], tbl_Product[Pack Size])</f>
        <v>#N/A</v>
      </c>
      <c r="AP949" s="10" t="e">
        <f>(tbl_MTG_Set[[#This Row],[Play Booster Box Cost]]+v_Item_Shipping_Cost_In)/tbl_MTG_Set[[#This Row],[Play Booster Box Size]]</f>
        <v>#VALUE!</v>
      </c>
      <c r="AQ949" s="10" t="str" cm="1">
        <f t="array" ref="AQ94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49" s="10"/>
      <c r="AS949" s="10"/>
      <c r="AT949" s="17" t="e">
        <f>tbl_MTG_Set[[#This Row],[Play Booster CardMarket Profit]]/tbl_MTG_Set[[#This Row],[Play Booster Cost]]</f>
        <v>#VALUE!</v>
      </c>
      <c r="AU949" s="10" t="e">
        <f>_xlfn.XLOOKUP(tbl_MTG_Set[[#This Row],[Collector Booster Box Product Id]], tbl_Product[Product Id], tbl_Product[Min Cost])</f>
        <v>#N/A</v>
      </c>
      <c r="AV949" s="10" t="e">
        <f>_xlfn.XLOOKUP(tbl_MTG_Set[[#This Row],[Collector Booster Box Product Id]], tbl_Product[Product Id], tbl_Product[Best Source])</f>
        <v>#N/A</v>
      </c>
      <c r="AW949" s="4" t="e">
        <f>_xlfn.XLOOKUP(tbl_MTG_Set[[#This Row],[Collector Booster Box Product Id]], tbl_Product[Product Id], tbl_Product[Pack Size])</f>
        <v>#N/A</v>
      </c>
      <c r="AX949" s="10" t="e">
        <f>(tbl_MTG_Set[[#This Row],[Collector Booster Box Cost]] + v_Item_Shipping_Cost_In) / tbl_MTG_Set[[#This Row],[Collector Booster Box Size]]</f>
        <v>#N/A</v>
      </c>
      <c r="AY949" s="10" t="str" cm="1">
        <f t="array" ref="AY94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49" s="10"/>
      <c r="BA94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49" s="17" t="e">
        <f>tbl_MTG_Set[[#This Row],[Collector Booster CardMarket Profit]]/tbl_MTG_Set[[#This Row],[Collector Booster Cost]]</f>
        <v>#N/A</v>
      </c>
      <c r="BC949" s="10"/>
      <c r="BF94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4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49" s="11" t="e">
        <f>tbl_MTG_Set[[#This Row],[Play Singles CardMarket Profit MTG Stocks]]/tbl_MTG_Set[[#This Row],[Play Booster Cost]]</f>
        <v>#VALUE!</v>
      </c>
      <c r="BI949" s="11" t="b">
        <f>tbl_MTG_Set[[#This Row],[Play Singles CardMarket Profit MTG Stocks]]&gt;0</f>
        <v>0</v>
      </c>
      <c r="BM949" s="10" t="e">
        <f>tbl_MTG_Set[[#This Row],[Play Booster Sell Price CardMarket]]*tbl_MTG_Set[[#This Row],[Play Booster Expected Market Value BotBox]]/tbl_MTG_Set[[#This Row],[Play Booster Sealed Market Value BotBox]]</f>
        <v>#VALUE!</v>
      </c>
      <c r="BN94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49" s="10" t="e">
        <f>tbl_MTG_Set[[#This Row],[Play Singles CardMarket Profit BotBox]]/tbl_MTG_Set[[#This Row],[Play Booster Cost]]</f>
        <v>#VALUE!</v>
      </c>
      <c r="BP949" s="10" t="b">
        <f>tbl_MTG_Set[[#This Row],[Play Singles CardMarket Profit BotBox]]&gt;0</f>
        <v>0</v>
      </c>
      <c r="BQ949" s="10"/>
      <c r="BR949" s="10"/>
      <c r="BS949" s="10"/>
      <c r="BT94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4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49" s="19" t="e">
        <f>tbl_MTG_Set[[#This Row],[Collector Singles CardMarket Profit MTG Stocks]]/tbl_MTG_Set[[#This Row],[Collector Booster Cost]]</f>
        <v>#N/A</v>
      </c>
      <c r="BW949" s="10" t="b">
        <f>tbl_MTG_Set[[#This Row],[Collector Singles CardMarket Profit MTG Stocks]]&gt;0</f>
        <v>0</v>
      </c>
      <c r="BX949" s="10"/>
      <c r="BY949" s="10"/>
      <c r="BZ94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4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49" s="10" t="e">
        <f>tbl_MTG_Set[[#This Row],[Collector Singles CardMarket Profit BotBox]]/tbl_MTG_Set[[#This Row],[Collector Booster Cost]]</f>
        <v>#N/A</v>
      </c>
      <c r="CC949" s="10" t="b">
        <f>tbl_MTG_Set[[#This Row],[Collector Singles CardMarket Profit BotBox]]&gt;0</f>
        <v>0</v>
      </c>
      <c r="CD94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4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4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4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4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0" spans="1:86" hidden="1">
      <c r="A950">
        <v>982</v>
      </c>
      <c r="B950" t="s">
        <v>1123</v>
      </c>
      <c r="C950">
        <v>32</v>
      </c>
      <c r="D950" s="3">
        <v>35551</v>
      </c>
      <c r="F950" t="s">
        <v>174</v>
      </c>
      <c r="G950">
        <v>1910</v>
      </c>
      <c r="H950">
        <f ca="1">MONTH(NOW())+12*YEAR(NOW())-MONTH(tbl_MTG_Set[[#This Row],[Released On]])-12*YEAR(tbl_MTG_Set[[#This Row],[Released On]])</f>
        <v>346</v>
      </c>
      <c r="I950" t="str">
        <f>_xlfn.XLOOKUP(tbl_MTG_Set[[#This Row],[Type Name]], tbl_MTG_Set_Type[Set Type], tbl_MTG_Set_Type[Index], "(Set Type not found)")</f>
        <v>(Set Type not found)</v>
      </c>
      <c r="J950" t="str">
        <f>_xlfn.XLOOKUP(tbl_MTG_Set[[#This Row],[Type Name]], tbl_MTG_Set_Type[Set Type], tbl_MTG_Set_Type[Buy Window Month Start], "(Set Type not found)")</f>
        <v>(Set Type not found)</v>
      </c>
      <c r="K950" s="3" t="e">
        <f>tbl_MTG_Set[[#This Row],[Released On]]+tbl_MTG_Set[[#This Row],[Buy Window Month Start]]*365.25/12</f>
        <v>#VALUE!</v>
      </c>
      <c r="L950" t="str">
        <f>_xlfn.XLOOKUP(tbl_MTG_Set[[#This Row],[Type Name]], tbl_MTG_Set_Type[Set Type], tbl_MTG_Set_Type[Buy Window Month End], "(Set Type not found)", 0, 1)</f>
        <v>(Set Type not found)</v>
      </c>
      <c r="M950" s="3" t="e">
        <f>tbl_MTG_Set[[#This Row],[Released On]]+tbl_MTG_Set[[#This Row],[Buy Window Month End]]*365.25/12</f>
        <v>#VALUE!</v>
      </c>
      <c r="N950" s="3" t="e">
        <f ca="1">AND(NOW()&gt;=tbl_MTG_Set[[#This Row],[Buy Window Start]], NOW()&lt;=tbl_MTG_Set[[#This Row],[Buy Window End]])</f>
        <v>#VALUE!</v>
      </c>
      <c r="O950" t="str">
        <f>_xlfn.XLOOKUP(tbl_MTG_Set[[#This Row],[Type Name]], tbl_MTG_Set_Type[Set Type], tbl_MTG_Set_Type[Heavy Printing Window Month Start], "(Set Type not found)", 0, 1)</f>
        <v>(Set Type not found)</v>
      </c>
      <c r="P950" s="3" t="e">
        <f>tbl_MTG_Set[[#This Row],[Released On]]+tbl_MTG_Set[[#This Row],[Heavy Printing Window Month Start]]*365.25/12</f>
        <v>#VALUE!</v>
      </c>
      <c r="Q950" t="str">
        <f>_xlfn.XLOOKUP(tbl_MTG_Set[[#This Row],[Type Name]], tbl_MTG_Set_Type[Set Type], tbl_MTG_Set_Type[Heavy Printing Window Month End], "(Set Type not found)", 0, 1)</f>
        <v>(Set Type not found)</v>
      </c>
      <c r="R950" s="3" t="e">
        <f>tbl_MTG_Set[[#This Row],[Released On]]+tbl_MTG_Set[[#This Row],[Heavy Printing Window Month End]]*365.25/12</f>
        <v>#VALUE!</v>
      </c>
      <c r="S950" s="3" t="e">
        <f ca="1">AND(NOW()&gt;=tbl_MTG_Set[[#This Row],[Heavy Printing Window Start]], NOW()&lt;=tbl_MTG_Set[[#This Row],[Heavy Printing Window End]])</f>
        <v>#VALUE!</v>
      </c>
      <c r="T950" t="str">
        <f>_xlfn.XLOOKUP(tbl_MTG_Set[[#This Row],[Type Name]], tbl_MTG_Set_Type[Set Type], tbl_MTG_Set_Type[Sell Window Month Start], "(Set Type not found)", 0, 1)</f>
        <v>(Set Type not found)</v>
      </c>
      <c r="U950" s="3" t="e">
        <f>tbl_MTG_Set[[#This Row],[Released On]]+tbl_MTG_Set[[#This Row],[Sell Window Month Start]]*365.25/12</f>
        <v>#VALUE!</v>
      </c>
      <c r="V950" t="str">
        <f>_xlfn.XLOOKUP(tbl_MTG_Set[[#This Row],[Type Name]], tbl_MTG_Set_Type[Set Type], tbl_MTG_Set_Type[Sell Window Month End], "(Set Type not found)", 0, 1)</f>
        <v>(Set Type not found)</v>
      </c>
      <c r="W950" s="3" t="e">
        <f>tbl_MTG_Set[[#This Row],[Released On]]+tbl_MTG_Set[[#This Row],[Sell Window Month End]]*365.25/12</f>
        <v>#VALUE!</v>
      </c>
      <c r="X950" s="3" t="e">
        <f ca="1">AND(NOW()&gt;=tbl_MTG_Set[[#This Row],[Sell Window Start]], NOW()&lt;=tbl_MTG_Set[[#This Row],[Sell Window End]])</f>
        <v>#VALUE!</v>
      </c>
      <c r="AG950" s="10"/>
      <c r="AH950" s="10"/>
      <c r="AM950" s="10" t="str" cm="1">
        <f t="array" ref="AM95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0" s="10" t="str" cm="1">
        <f t="array" ref="AN95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0" s="4" t="e">
        <f>_xlfn.XLOOKUP(tbl_MTG_Set[[#This Row],[Play Booster Box Product Id]], tbl_Product[Product Id], tbl_Product[Pack Size])</f>
        <v>#N/A</v>
      </c>
      <c r="AP950" s="10" t="e">
        <f>(tbl_MTG_Set[[#This Row],[Play Booster Box Cost]]+v_Item_Shipping_Cost_In)/tbl_MTG_Set[[#This Row],[Play Booster Box Size]]</f>
        <v>#VALUE!</v>
      </c>
      <c r="AQ950" s="10" t="str" cm="1">
        <f t="array" ref="AQ95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0" s="10"/>
      <c r="AS950" s="10"/>
      <c r="AT950" s="17" t="e">
        <f>tbl_MTG_Set[[#This Row],[Play Booster CardMarket Profit]]/tbl_MTG_Set[[#This Row],[Play Booster Cost]]</f>
        <v>#VALUE!</v>
      </c>
      <c r="AU950" s="10" t="e">
        <f>_xlfn.XLOOKUP(tbl_MTG_Set[[#This Row],[Collector Booster Box Product Id]], tbl_Product[Product Id], tbl_Product[Min Cost])</f>
        <v>#N/A</v>
      </c>
      <c r="AV950" s="10" t="e">
        <f>_xlfn.XLOOKUP(tbl_MTG_Set[[#This Row],[Collector Booster Box Product Id]], tbl_Product[Product Id], tbl_Product[Best Source])</f>
        <v>#N/A</v>
      </c>
      <c r="AW950" s="4" t="e">
        <f>_xlfn.XLOOKUP(tbl_MTG_Set[[#This Row],[Collector Booster Box Product Id]], tbl_Product[Product Id], tbl_Product[Pack Size])</f>
        <v>#N/A</v>
      </c>
      <c r="AX950" s="10" t="e">
        <f>(tbl_MTG_Set[[#This Row],[Collector Booster Box Cost]] + v_Item_Shipping_Cost_In) / tbl_MTG_Set[[#This Row],[Collector Booster Box Size]]</f>
        <v>#N/A</v>
      </c>
      <c r="AY950" s="10" t="str" cm="1">
        <f t="array" ref="AY95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0" s="10"/>
      <c r="BA95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0" s="17" t="e">
        <f>tbl_MTG_Set[[#This Row],[Collector Booster CardMarket Profit]]/tbl_MTG_Set[[#This Row],[Collector Booster Cost]]</f>
        <v>#N/A</v>
      </c>
      <c r="BC950" s="10"/>
      <c r="BF95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0" s="11" t="e">
        <f>tbl_MTG_Set[[#This Row],[Play Singles CardMarket Profit MTG Stocks]]/tbl_MTG_Set[[#This Row],[Play Booster Cost]]</f>
        <v>#VALUE!</v>
      </c>
      <c r="BI950" s="11" t="b">
        <f>tbl_MTG_Set[[#This Row],[Play Singles CardMarket Profit MTG Stocks]]&gt;0</f>
        <v>0</v>
      </c>
      <c r="BM950" s="10" t="e">
        <f>tbl_MTG_Set[[#This Row],[Play Booster Sell Price CardMarket]]*tbl_MTG_Set[[#This Row],[Play Booster Expected Market Value BotBox]]/tbl_MTG_Set[[#This Row],[Play Booster Sealed Market Value BotBox]]</f>
        <v>#VALUE!</v>
      </c>
      <c r="BN95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0" s="10" t="e">
        <f>tbl_MTG_Set[[#This Row],[Play Singles CardMarket Profit BotBox]]/tbl_MTG_Set[[#This Row],[Play Booster Cost]]</f>
        <v>#VALUE!</v>
      </c>
      <c r="BP950" s="10" t="b">
        <f>tbl_MTG_Set[[#This Row],[Play Singles CardMarket Profit BotBox]]&gt;0</f>
        <v>0</v>
      </c>
      <c r="BQ950" s="10"/>
      <c r="BR950" s="10"/>
      <c r="BS950" s="10"/>
      <c r="BT95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0" s="19" t="e">
        <f>tbl_MTG_Set[[#This Row],[Collector Singles CardMarket Profit MTG Stocks]]/tbl_MTG_Set[[#This Row],[Collector Booster Cost]]</f>
        <v>#N/A</v>
      </c>
      <c r="BW950" s="10" t="b">
        <f>tbl_MTG_Set[[#This Row],[Collector Singles CardMarket Profit MTG Stocks]]&gt;0</f>
        <v>0</v>
      </c>
      <c r="BX950" s="10"/>
      <c r="BY950" s="10"/>
      <c r="BZ95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0" s="10" t="e">
        <f>tbl_MTG_Set[[#This Row],[Collector Singles CardMarket Profit BotBox]]/tbl_MTG_Set[[#This Row],[Collector Booster Cost]]</f>
        <v>#N/A</v>
      </c>
      <c r="CC950" s="10" t="b">
        <f>tbl_MTG_Set[[#This Row],[Collector Singles CardMarket Profit BotBox]]&gt;0</f>
        <v>0</v>
      </c>
      <c r="CD95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1" spans="1:86" hidden="1">
      <c r="A951">
        <v>983</v>
      </c>
      <c r="B951" t="s">
        <v>1124</v>
      </c>
      <c r="C951">
        <v>257</v>
      </c>
      <c r="D951" s="3">
        <v>35551</v>
      </c>
      <c r="F951" t="s">
        <v>174</v>
      </c>
      <c r="G951">
        <v>1912</v>
      </c>
      <c r="H951">
        <f ca="1">MONTH(NOW())+12*YEAR(NOW())-MONTH(tbl_MTG_Set[[#This Row],[Released On]])-12*YEAR(tbl_MTG_Set[[#This Row],[Released On]])</f>
        <v>346</v>
      </c>
      <c r="I951" t="str">
        <f>_xlfn.XLOOKUP(tbl_MTG_Set[[#This Row],[Type Name]], tbl_MTG_Set_Type[Set Type], tbl_MTG_Set_Type[Index], "(Set Type not found)")</f>
        <v>(Set Type not found)</v>
      </c>
      <c r="J951" t="str">
        <f>_xlfn.XLOOKUP(tbl_MTG_Set[[#This Row],[Type Name]], tbl_MTG_Set_Type[Set Type], tbl_MTG_Set_Type[Buy Window Month Start], "(Set Type not found)")</f>
        <v>(Set Type not found)</v>
      </c>
      <c r="K951" s="3" t="e">
        <f>tbl_MTG_Set[[#This Row],[Released On]]+tbl_MTG_Set[[#This Row],[Buy Window Month Start]]*365.25/12</f>
        <v>#VALUE!</v>
      </c>
      <c r="L951" t="str">
        <f>_xlfn.XLOOKUP(tbl_MTG_Set[[#This Row],[Type Name]], tbl_MTG_Set_Type[Set Type], tbl_MTG_Set_Type[Buy Window Month End], "(Set Type not found)", 0, 1)</f>
        <v>(Set Type not found)</v>
      </c>
      <c r="M951" s="3" t="e">
        <f>tbl_MTG_Set[[#This Row],[Released On]]+tbl_MTG_Set[[#This Row],[Buy Window Month End]]*365.25/12</f>
        <v>#VALUE!</v>
      </c>
      <c r="N951" s="3" t="e">
        <f ca="1">AND(NOW()&gt;=tbl_MTG_Set[[#This Row],[Buy Window Start]], NOW()&lt;=tbl_MTG_Set[[#This Row],[Buy Window End]])</f>
        <v>#VALUE!</v>
      </c>
      <c r="O951" t="str">
        <f>_xlfn.XLOOKUP(tbl_MTG_Set[[#This Row],[Type Name]], tbl_MTG_Set_Type[Set Type], tbl_MTG_Set_Type[Heavy Printing Window Month Start], "(Set Type not found)", 0, 1)</f>
        <v>(Set Type not found)</v>
      </c>
      <c r="P951" s="3" t="e">
        <f>tbl_MTG_Set[[#This Row],[Released On]]+tbl_MTG_Set[[#This Row],[Heavy Printing Window Month Start]]*365.25/12</f>
        <v>#VALUE!</v>
      </c>
      <c r="Q951" t="str">
        <f>_xlfn.XLOOKUP(tbl_MTG_Set[[#This Row],[Type Name]], tbl_MTG_Set_Type[Set Type], tbl_MTG_Set_Type[Heavy Printing Window Month End], "(Set Type not found)", 0, 1)</f>
        <v>(Set Type not found)</v>
      </c>
      <c r="R951" s="3" t="e">
        <f>tbl_MTG_Set[[#This Row],[Released On]]+tbl_MTG_Set[[#This Row],[Heavy Printing Window Month End]]*365.25/12</f>
        <v>#VALUE!</v>
      </c>
      <c r="S951" s="3" t="e">
        <f ca="1">AND(NOW()&gt;=tbl_MTG_Set[[#This Row],[Heavy Printing Window Start]], NOW()&lt;=tbl_MTG_Set[[#This Row],[Heavy Printing Window End]])</f>
        <v>#VALUE!</v>
      </c>
      <c r="T951" t="str">
        <f>_xlfn.XLOOKUP(tbl_MTG_Set[[#This Row],[Type Name]], tbl_MTG_Set_Type[Set Type], tbl_MTG_Set_Type[Sell Window Month Start], "(Set Type not found)", 0, 1)</f>
        <v>(Set Type not found)</v>
      </c>
      <c r="U951" s="3" t="e">
        <f>tbl_MTG_Set[[#This Row],[Released On]]+tbl_MTG_Set[[#This Row],[Sell Window Month Start]]*365.25/12</f>
        <v>#VALUE!</v>
      </c>
      <c r="V951" t="str">
        <f>_xlfn.XLOOKUP(tbl_MTG_Set[[#This Row],[Type Name]], tbl_MTG_Set_Type[Set Type], tbl_MTG_Set_Type[Sell Window Month End], "(Set Type not found)", 0, 1)</f>
        <v>(Set Type not found)</v>
      </c>
      <c r="W951" s="3" t="e">
        <f>tbl_MTG_Set[[#This Row],[Released On]]+tbl_MTG_Set[[#This Row],[Sell Window Month End]]*365.25/12</f>
        <v>#VALUE!</v>
      </c>
      <c r="X951" s="3" t="e">
        <f ca="1">AND(NOW()&gt;=tbl_MTG_Set[[#This Row],[Sell Window Start]], NOW()&lt;=tbl_MTG_Set[[#This Row],[Sell Window End]])</f>
        <v>#VALUE!</v>
      </c>
      <c r="AG951" s="10"/>
      <c r="AH951" s="10"/>
      <c r="AM951" s="10" t="str" cm="1">
        <f t="array" ref="AM95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1" s="10" t="str" cm="1">
        <f t="array" ref="AN95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1" s="4" t="e">
        <f>_xlfn.XLOOKUP(tbl_MTG_Set[[#This Row],[Play Booster Box Product Id]], tbl_Product[Product Id], tbl_Product[Pack Size])</f>
        <v>#N/A</v>
      </c>
      <c r="AP951" s="10" t="e">
        <f>(tbl_MTG_Set[[#This Row],[Play Booster Box Cost]]+v_Item_Shipping_Cost_In)/tbl_MTG_Set[[#This Row],[Play Booster Box Size]]</f>
        <v>#VALUE!</v>
      </c>
      <c r="AQ951" s="10" t="str" cm="1">
        <f t="array" ref="AQ95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1" s="10"/>
      <c r="AS951" s="10"/>
      <c r="AT951" s="17" t="e">
        <f>tbl_MTG_Set[[#This Row],[Play Booster CardMarket Profit]]/tbl_MTG_Set[[#This Row],[Play Booster Cost]]</f>
        <v>#VALUE!</v>
      </c>
      <c r="AU951" s="10" t="e">
        <f>_xlfn.XLOOKUP(tbl_MTG_Set[[#This Row],[Collector Booster Box Product Id]], tbl_Product[Product Id], tbl_Product[Min Cost])</f>
        <v>#N/A</v>
      </c>
      <c r="AV951" s="10" t="e">
        <f>_xlfn.XLOOKUP(tbl_MTG_Set[[#This Row],[Collector Booster Box Product Id]], tbl_Product[Product Id], tbl_Product[Best Source])</f>
        <v>#N/A</v>
      </c>
      <c r="AW951" s="4" t="e">
        <f>_xlfn.XLOOKUP(tbl_MTG_Set[[#This Row],[Collector Booster Box Product Id]], tbl_Product[Product Id], tbl_Product[Pack Size])</f>
        <v>#N/A</v>
      </c>
      <c r="AX951" s="10" t="e">
        <f>(tbl_MTG_Set[[#This Row],[Collector Booster Box Cost]] + v_Item_Shipping_Cost_In) / tbl_MTG_Set[[#This Row],[Collector Booster Box Size]]</f>
        <v>#N/A</v>
      </c>
      <c r="AY951" s="10" t="str" cm="1">
        <f t="array" ref="AY95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1" s="10"/>
      <c r="BA95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1" s="17" t="e">
        <f>tbl_MTG_Set[[#This Row],[Collector Booster CardMarket Profit]]/tbl_MTG_Set[[#This Row],[Collector Booster Cost]]</f>
        <v>#N/A</v>
      </c>
      <c r="BC951" s="10"/>
      <c r="BF95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1" s="11" t="e">
        <f>tbl_MTG_Set[[#This Row],[Play Singles CardMarket Profit MTG Stocks]]/tbl_MTG_Set[[#This Row],[Play Booster Cost]]</f>
        <v>#VALUE!</v>
      </c>
      <c r="BI951" s="11" t="b">
        <f>tbl_MTG_Set[[#This Row],[Play Singles CardMarket Profit MTG Stocks]]&gt;0</f>
        <v>0</v>
      </c>
      <c r="BM951" s="10" t="e">
        <f>tbl_MTG_Set[[#This Row],[Play Booster Sell Price CardMarket]]*tbl_MTG_Set[[#This Row],[Play Booster Expected Market Value BotBox]]/tbl_MTG_Set[[#This Row],[Play Booster Sealed Market Value BotBox]]</f>
        <v>#VALUE!</v>
      </c>
      <c r="BN95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1" s="10" t="e">
        <f>tbl_MTG_Set[[#This Row],[Play Singles CardMarket Profit BotBox]]/tbl_MTG_Set[[#This Row],[Play Booster Cost]]</f>
        <v>#VALUE!</v>
      </c>
      <c r="BP951" s="10" t="b">
        <f>tbl_MTG_Set[[#This Row],[Play Singles CardMarket Profit BotBox]]&gt;0</f>
        <v>0</v>
      </c>
      <c r="BQ951" s="10"/>
      <c r="BR951" s="10"/>
      <c r="BS951" s="10"/>
      <c r="BT95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1" s="19" t="e">
        <f>tbl_MTG_Set[[#This Row],[Collector Singles CardMarket Profit MTG Stocks]]/tbl_MTG_Set[[#This Row],[Collector Booster Cost]]</f>
        <v>#N/A</v>
      </c>
      <c r="BW951" s="10" t="b">
        <f>tbl_MTG_Set[[#This Row],[Collector Singles CardMarket Profit MTG Stocks]]&gt;0</f>
        <v>0</v>
      </c>
      <c r="BX951" s="10"/>
      <c r="BY951" s="10"/>
      <c r="BZ95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1" s="10" t="e">
        <f>tbl_MTG_Set[[#This Row],[Collector Singles CardMarket Profit BotBox]]/tbl_MTG_Set[[#This Row],[Collector Booster Cost]]</f>
        <v>#N/A</v>
      </c>
      <c r="CC951" s="10" t="b">
        <f>tbl_MTG_Set[[#This Row],[Collector Singles CardMarket Profit BotBox]]&gt;0</f>
        <v>0</v>
      </c>
      <c r="CD95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2" spans="1:86" hidden="1">
      <c r="A952">
        <v>984</v>
      </c>
      <c r="B952" t="s">
        <v>1125</v>
      </c>
      <c r="C952">
        <v>12</v>
      </c>
      <c r="D952" s="3">
        <v>35521</v>
      </c>
      <c r="F952" t="s">
        <v>174</v>
      </c>
      <c r="G952">
        <v>1914</v>
      </c>
      <c r="H952">
        <f ca="1">MONTH(NOW())+12*YEAR(NOW())-MONTH(tbl_MTG_Set[[#This Row],[Released On]])-12*YEAR(tbl_MTG_Set[[#This Row],[Released On]])</f>
        <v>347</v>
      </c>
      <c r="I952" t="str">
        <f>_xlfn.XLOOKUP(tbl_MTG_Set[[#This Row],[Type Name]], tbl_MTG_Set_Type[Set Type], tbl_MTG_Set_Type[Index], "(Set Type not found)")</f>
        <v>(Set Type not found)</v>
      </c>
      <c r="J952" t="str">
        <f>_xlfn.XLOOKUP(tbl_MTG_Set[[#This Row],[Type Name]], tbl_MTG_Set_Type[Set Type], tbl_MTG_Set_Type[Buy Window Month Start], "(Set Type not found)")</f>
        <v>(Set Type not found)</v>
      </c>
      <c r="K952" s="3" t="e">
        <f>tbl_MTG_Set[[#This Row],[Released On]]+tbl_MTG_Set[[#This Row],[Buy Window Month Start]]*365.25/12</f>
        <v>#VALUE!</v>
      </c>
      <c r="L952" t="str">
        <f>_xlfn.XLOOKUP(tbl_MTG_Set[[#This Row],[Type Name]], tbl_MTG_Set_Type[Set Type], tbl_MTG_Set_Type[Buy Window Month End], "(Set Type not found)", 0, 1)</f>
        <v>(Set Type not found)</v>
      </c>
      <c r="M952" s="3" t="e">
        <f>tbl_MTG_Set[[#This Row],[Released On]]+tbl_MTG_Set[[#This Row],[Buy Window Month End]]*365.25/12</f>
        <v>#VALUE!</v>
      </c>
      <c r="N952" s="3" t="e">
        <f ca="1">AND(NOW()&gt;=tbl_MTG_Set[[#This Row],[Buy Window Start]], NOW()&lt;=tbl_MTG_Set[[#This Row],[Buy Window End]])</f>
        <v>#VALUE!</v>
      </c>
      <c r="O952" t="str">
        <f>_xlfn.XLOOKUP(tbl_MTG_Set[[#This Row],[Type Name]], tbl_MTG_Set_Type[Set Type], tbl_MTG_Set_Type[Heavy Printing Window Month Start], "(Set Type not found)", 0, 1)</f>
        <v>(Set Type not found)</v>
      </c>
      <c r="P952" s="3" t="e">
        <f>tbl_MTG_Set[[#This Row],[Released On]]+tbl_MTG_Set[[#This Row],[Heavy Printing Window Month Start]]*365.25/12</f>
        <v>#VALUE!</v>
      </c>
      <c r="Q952" t="str">
        <f>_xlfn.XLOOKUP(tbl_MTG_Set[[#This Row],[Type Name]], tbl_MTG_Set_Type[Set Type], tbl_MTG_Set_Type[Heavy Printing Window Month End], "(Set Type not found)", 0, 1)</f>
        <v>(Set Type not found)</v>
      </c>
      <c r="R952" s="3" t="e">
        <f>tbl_MTG_Set[[#This Row],[Released On]]+tbl_MTG_Set[[#This Row],[Heavy Printing Window Month End]]*365.25/12</f>
        <v>#VALUE!</v>
      </c>
      <c r="S952" s="3" t="e">
        <f ca="1">AND(NOW()&gt;=tbl_MTG_Set[[#This Row],[Heavy Printing Window Start]], NOW()&lt;=tbl_MTG_Set[[#This Row],[Heavy Printing Window End]])</f>
        <v>#VALUE!</v>
      </c>
      <c r="T952" t="str">
        <f>_xlfn.XLOOKUP(tbl_MTG_Set[[#This Row],[Type Name]], tbl_MTG_Set_Type[Set Type], tbl_MTG_Set_Type[Sell Window Month Start], "(Set Type not found)", 0, 1)</f>
        <v>(Set Type not found)</v>
      </c>
      <c r="U952" s="3" t="e">
        <f>tbl_MTG_Set[[#This Row],[Released On]]+tbl_MTG_Set[[#This Row],[Sell Window Month Start]]*365.25/12</f>
        <v>#VALUE!</v>
      </c>
      <c r="V952" t="str">
        <f>_xlfn.XLOOKUP(tbl_MTG_Set[[#This Row],[Type Name]], tbl_MTG_Set_Type[Set Type], tbl_MTG_Set_Type[Sell Window Month End], "(Set Type not found)", 0, 1)</f>
        <v>(Set Type not found)</v>
      </c>
      <c r="W952" s="3" t="e">
        <f>tbl_MTG_Set[[#This Row],[Released On]]+tbl_MTG_Set[[#This Row],[Sell Window Month End]]*365.25/12</f>
        <v>#VALUE!</v>
      </c>
      <c r="X952" s="3" t="e">
        <f ca="1">AND(NOW()&gt;=tbl_MTG_Set[[#This Row],[Sell Window Start]], NOW()&lt;=tbl_MTG_Set[[#This Row],[Sell Window End]])</f>
        <v>#VALUE!</v>
      </c>
      <c r="AG952" s="10"/>
      <c r="AH952" s="10"/>
      <c r="AM952" s="10" t="str" cm="1">
        <f t="array" ref="AM95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2" s="10" t="str" cm="1">
        <f t="array" ref="AN95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2" s="4" t="e">
        <f>_xlfn.XLOOKUP(tbl_MTG_Set[[#This Row],[Play Booster Box Product Id]], tbl_Product[Product Id], tbl_Product[Pack Size])</f>
        <v>#N/A</v>
      </c>
      <c r="AP952" s="10" t="e">
        <f>(tbl_MTG_Set[[#This Row],[Play Booster Box Cost]]+v_Item_Shipping_Cost_In)/tbl_MTG_Set[[#This Row],[Play Booster Box Size]]</f>
        <v>#VALUE!</v>
      </c>
      <c r="AQ952" s="10" t="str" cm="1">
        <f t="array" ref="AQ95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2" s="10"/>
      <c r="AS952" s="10"/>
      <c r="AT952" s="17" t="e">
        <f>tbl_MTG_Set[[#This Row],[Play Booster CardMarket Profit]]/tbl_MTG_Set[[#This Row],[Play Booster Cost]]</f>
        <v>#VALUE!</v>
      </c>
      <c r="AU952" s="10" t="e">
        <f>_xlfn.XLOOKUP(tbl_MTG_Set[[#This Row],[Collector Booster Box Product Id]], tbl_Product[Product Id], tbl_Product[Min Cost])</f>
        <v>#N/A</v>
      </c>
      <c r="AV952" s="10" t="e">
        <f>_xlfn.XLOOKUP(tbl_MTG_Set[[#This Row],[Collector Booster Box Product Id]], tbl_Product[Product Id], tbl_Product[Best Source])</f>
        <v>#N/A</v>
      </c>
      <c r="AW952" s="4" t="e">
        <f>_xlfn.XLOOKUP(tbl_MTG_Set[[#This Row],[Collector Booster Box Product Id]], tbl_Product[Product Id], tbl_Product[Pack Size])</f>
        <v>#N/A</v>
      </c>
      <c r="AX952" s="10" t="e">
        <f>(tbl_MTG_Set[[#This Row],[Collector Booster Box Cost]] + v_Item_Shipping_Cost_In) / tbl_MTG_Set[[#This Row],[Collector Booster Box Size]]</f>
        <v>#N/A</v>
      </c>
      <c r="AY952" s="10" t="str" cm="1">
        <f t="array" ref="AY95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2" s="10"/>
      <c r="BA95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2" s="17" t="e">
        <f>tbl_MTG_Set[[#This Row],[Collector Booster CardMarket Profit]]/tbl_MTG_Set[[#This Row],[Collector Booster Cost]]</f>
        <v>#N/A</v>
      </c>
      <c r="BC952" s="10"/>
      <c r="BF95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2" s="11" t="e">
        <f>tbl_MTG_Set[[#This Row],[Play Singles CardMarket Profit MTG Stocks]]/tbl_MTG_Set[[#This Row],[Play Booster Cost]]</f>
        <v>#VALUE!</v>
      </c>
      <c r="BI952" s="11" t="b">
        <f>tbl_MTG_Set[[#This Row],[Play Singles CardMarket Profit MTG Stocks]]&gt;0</f>
        <v>0</v>
      </c>
      <c r="BM952" s="10" t="e">
        <f>tbl_MTG_Set[[#This Row],[Play Booster Sell Price CardMarket]]*tbl_MTG_Set[[#This Row],[Play Booster Expected Market Value BotBox]]/tbl_MTG_Set[[#This Row],[Play Booster Sealed Market Value BotBox]]</f>
        <v>#VALUE!</v>
      </c>
      <c r="BN95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2" s="10" t="e">
        <f>tbl_MTG_Set[[#This Row],[Play Singles CardMarket Profit BotBox]]/tbl_MTG_Set[[#This Row],[Play Booster Cost]]</f>
        <v>#VALUE!</v>
      </c>
      <c r="BP952" s="10" t="b">
        <f>tbl_MTG_Set[[#This Row],[Play Singles CardMarket Profit BotBox]]&gt;0</f>
        <v>0</v>
      </c>
      <c r="BQ952" s="10"/>
      <c r="BR952" s="10"/>
      <c r="BS952" s="10"/>
      <c r="BT95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2" s="19" t="e">
        <f>tbl_MTG_Set[[#This Row],[Collector Singles CardMarket Profit MTG Stocks]]/tbl_MTG_Set[[#This Row],[Collector Booster Cost]]</f>
        <v>#N/A</v>
      </c>
      <c r="BW952" s="10" t="b">
        <f>tbl_MTG_Set[[#This Row],[Collector Singles CardMarket Profit MTG Stocks]]&gt;0</f>
        <v>0</v>
      </c>
      <c r="BX952" s="10"/>
      <c r="BY952" s="10"/>
      <c r="BZ95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2" s="10" t="e">
        <f>tbl_MTG_Set[[#This Row],[Collector Singles CardMarket Profit BotBox]]/tbl_MTG_Set[[#This Row],[Collector Booster Cost]]</f>
        <v>#N/A</v>
      </c>
      <c r="CC952" s="10" t="b">
        <f>tbl_MTG_Set[[#This Row],[Collector Singles CardMarket Profit BotBox]]&gt;0</f>
        <v>0</v>
      </c>
      <c r="CD95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3" spans="1:86" hidden="1">
      <c r="A953">
        <v>985</v>
      </c>
      <c r="B953" t="s">
        <v>1126</v>
      </c>
      <c r="C953">
        <v>1</v>
      </c>
      <c r="D953" s="3">
        <v>35521</v>
      </c>
      <c r="F953" t="s">
        <v>174</v>
      </c>
      <c r="G953">
        <v>1916</v>
      </c>
      <c r="H953">
        <f ca="1">MONTH(NOW())+12*YEAR(NOW())-MONTH(tbl_MTG_Set[[#This Row],[Released On]])-12*YEAR(tbl_MTG_Set[[#This Row],[Released On]])</f>
        <v>347</v>
      </c>
      <c r="I953" t="str">
        <f>_xlfn.XLOOKUP(tbl_MTG_Set[[#This Row],[Type Name]], tbl_MTG_Set_Type[Set Type], tbl_MTG_Set_Type[Index], "(Set Type not found)")</f>
        <v>(Set Type not found)</v>
      </c>
      <c r="J953" t="str">
        <f>_xlfn.XLOOKUP(tbl_MTG_Set[[#This Row],[Type Name]], tbl_MTG_Set_Type[Set Type], tbl_MTG_Set_Type[Buy Window Month Start], "(Set Type not found)")</f>
        <v>(Set Type not found)</v>
      </c>
      <c r="K953" s="3" t="e">
        <f>tbl_MTG_Set[[#This Row],[Released On]]+tbl_MTG_Set[[#This Row],[Buy Window Month Start]]*365.25/12</f>
        <v>#VALUE!</v>
      </c>
      <c r="L953" t="str">
        <f>_xlfn.XLOOKUP(tbl_MTG_Set[[#This Row],[Type Name]], tbl_MTG_Set_Type[Set Type], tbl_MTG_Set_Type[Buy Window Month End], "(Set Type not found)", 0, 1)</f>
        <v>(Set Type not found)</v>
      </c>
      <c r="M953" s="3" t="e">
        <f>tbl_MTG_Set[[#This Row],[Released On]]+tbl_MTG_Set[[#This Row],[Buy Window Month End]]*365.25/12</f>
        <v>#VALUE!</v>
      </c>
      <c r="N953" s="3" t="e">
        <f ca="1">AND(NOW()&gt;=tbl_MTG_Set[[#This Row],[Buy Window Start]], NOW()&lt;=tbl_MTG_Set[[#This Row],[Buy Window End]])</f>
        <v>#VALUE!</v>
      </c>
      <c r="O953" t="str">
        <f>_xlfn.XLOOKUP(tbl_MTG_Set[[#This Row],[Type Name]], tbl_MTG_Set_Type[Set Type], tbl_MTG_Set_Type[Heavy Printing Window Month Start], "(Set Type not found)", 0, 1)</f>
        <v>(Set Type not found)</v>
      </c>
      <c r="P953" s="3" t="e">
        <f>tbl_MTG_Set[[#This Row],[Released On]]+tbl_MTG_Set[[#This Row],[Heavy Printing Window Month Start]]*365.25/12</f>
        <v>#VALUE!</v>
      </c>
      <c r="Q953" t="str">
        <f>_xlfn.XLOOKUP(tbl_MTG_Set[[#This Row],[Type Name]], tbl_MTG_Set_Type[Set Type], tbl_MTG_Set_Type[Heavy Printing Window Month End], "(Set Type not found)", 0, 1)</f>
        <v>(Set Type not found)</v>
      </c>
      <c r="R953" s="3" t="e">
        <f>tbl_MTG_Set[[#This Row],[Released On]]+tbl_MTG_Set[[#This Row],[Heavy Printing Window Month End]]*365.25/12</f>
        <v>#VALUE!</v>
      </c>
      <c r="S953" s="3" t="e">
        <f ca="1">AND(NOW()&gt;=tbl_MTG_Set[[#This Row],[Heavy Printing Window Start]], NOW()&lt;=tbl_MTG_Set[[#This Row],[Heavy Printing Window End]])</f>
        <v>#VALUE!</v>
      </c>
      <c r="T953" t="str">
        <f>_xlfn.XLOOKUP(tbl_MTG_Set[[#This Row],[Type Name]], tbl_MTG_Set_Type[Set Type], tbl_MTG_Set_Type[Sell Window Month Start], "(Set Type not found)", 0, 1)</f>
        <v>(Set Type not found)</v>
      </c>
      <c r="U953" s="3" t="e">
        <f>tbl_MTG_Set[[#This Row],[Released On]]+tbl_MTG_Set[[#This Row],[Sell Window Month Start]]*365.25/12</f>
        <v>#VALUE!</v>
      </c>
      <c r="V953" t="str">
        <f>_xlfn.XLOOKUP(tbl_MTG_Set[[#This Row],[Type Name]], tbl_MTG_Set_Type[Set Type], tbl_MTG_Set_Type[Sell Window Month End], "(Set Type not found)", 0, 1)</f>
        <v>(Set Type not found)</v>
      </c>
      <c r="W953" s="3" t="e">
        <f>tbl_MTG_Set[[#This Row],[Released On]]+tbl_MTG_Set[[#This Row],[Sell Window Month End]]*365.25/12</f>
        <v>#VALUE!</v>
      </c>
      <c r="X953" s="3" t="e">
        <f ca="1">AND(NOW()&gt;=tbl_MTG_Set[[#This Row],[Sell Window Start]], NOW()&lt;=tbl_MTG_Set[[#This Row],[Sell Window End]])</f>
        <v>#VALUE!</v>
      </c>
      <c r="AG953" s="10"/>
      <c r="AH953" s="10"/>
      <c r="AM953" s="10" t="str" cm="1">
        <f t="array" ref="AM95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3" s="10" t="str" cm="1">
        <f t="array" ref="AN95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3" s="4" t="e">
        <f>_xlfn.XLOOKUP(tbl_MTG_Set[[#This Row],[Play Booster Box Product Id]], tbl_Product[Product Id], tbl_Product[Pack Size])</f>
        <v>#N/A</v>
      </c>
      <c r="AP953" s="10" t="e">
        <f>(tbl_MTG_Set[[#This Row],[Play Booster Box Cost]]+v_Item_Shipping_Cost_In)/tbl_MTG_Set[[#This Row],[Play Booster Box Size]]</f>
        <v>#VALUE!</v>
      </c>
      <c r="AQ953" s="10" t="str" cm="1">
        <f t="array" ref="AQ95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3" s="10"/>
      <c r="AS953" s="10"/>
      <c r="AT953" s="17" t="e">
        <f>tbl_MTG_Set[[#This Row],[Play Booster CardMarket Profit]]/tbl_MTG_Set[[#This Row],[Play Booster Cost]]</f>
        <v>#VALUE!</v>
      </c>
      <c r="AU953" s="10" t="e">
        <f>_xlfn.XLOOKUP(tbl_MTG_Set[[#This Row],[Collector Booster Box Product Id]], tbl_Product[Product Id], tbl_Product[Min Cost])</f>
        <v>#N/A</v>
      </c>
      <c r="AV953" s="10" t="e">
        <f>_xlfn.XLOOKUP(tbl_MTG_Set[[#This Row],[Collector Booster Box Product Id]], tbl_Product[Product Id], tbl_Product[Best Source])</f>
        <v>#N/A</v>
      </c>
      <c r="AW953" s="4" t="e">
        <f>_xlfn.XLOOKUP(tbl_MTG_Set[[#This Row],[Collector Booster Box Product Id]], tbl_Product[Product Id], tbl_Product[Pack Size])</f>
        <v>#N/A</v>
      </c>
      <c r="AX953" s="10" t="e">
        <f>(tbl_MTG_Set[[#This Row],[Collector Booster Box Cost]] + v_Item_Shipping_Cost_In) / tbl_MTG_Set[[#This Row],[Collector Booster Box Size]]</f>
        <v>#N/A</v>
      </c>
      <c r="AY953" s="10" t="str" cm="1">
        <f t="array" ref="AY95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3" s="10"/>
      <c r="BA95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3" s="17" t="e">
        <f>tbl_MTG_Set[[#This Row],[Collector Booster CardMarket Profit]]/tbl_MTG_Set[[#This Row],[Collector Booster Cost]]</f>
        <v>#N/A</v>
      </c>
      <c r="BC953" s="10"/>
      <c r="BF95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3" s="11" t="e">
        <f>tbl_MTG_Set[[#This Row],[Play Singles CardMarket Profit MTG Stocks]]/tbl_MTG_Set[[#This Row],[Play Booster Cost]]</f>
        <v>#VALUE!</v>
      </c>
      <c r="BI953" s="11" t="b">
        <f>tbl_MTG_Set[[#This Row],[Play Singles CardMarket Profit MTG Stocks]]&gt;0</f>
        <v>0</v>
      </c>
      <c r="BM953" s="10" t="e">
        <f>tbl_MTG_Set[[#This Row],[Play Booster Sell Price CardMarket]]*tbl_MTG_Set[[#This Row],[Play Booster Expected Market Value BotBox]]/tbl_MTG_Set[[#This Row],[Play Booster Sealed Market Value BotBox]]</f>
        <v>#VALUE!</v>
      </c>
      <c r="BN95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3" s="10" t="e">
        <f>tbl_MTG_Set[[#This Row],[Play Singles CardMarket Profit BotBox]]/tbl_MTG_Set[[#This Row],[Play Booster Cost]]</f>
        <v>#VALUE!</v>
      </c>
      <c r="BP953" s="10" t="b">
        <f>tbl_MTG_Set[[#This Row],[Play Singles CardMarket Profit BotBox]]&gt;0</f>
        <v>0</v>
      </c>
      <c r="BQ953" s="10"/>
      <c r="BR953" s="10"/>
      <c r="BS953" s="10"/>
      <c r="BT95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3" s="19" t="e">
        <f>tbl_MTG_Set[[#This Row],[Collector Singles CardMarket Profit MTG Stocks]]/tbl_MTG_Set[[#This Row],[Collector Booster Cost]]</f>
        <v>#N/A</v>
      </c>
      <c r="BW953" s="10" t="b">
        <f>tbl_MTG_Set[[#This Row],[Collector Singles CardMarket Profit MTG Stocks]]&gt;0</f>
        <v>0</v>
      </c>
      <c r="BX953" s="10"/>
      <c r="BY953" s="10"/>
      <c r="BZ95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3" s="10" t="e">
        <f>tbl_MTG_Set[[#This Row],[Collector Singles CardMarket Profit BotBox]]/tbl_MTG_Set[[#This Row],[Collector Booster Cost]]</f>
        <v>#N/A</v>
      </c>
      <c r="CC953" s="10" t="b">
        <f>tbl_MTG_Set[[#This Row],[Collector Singles CardMarket Profit BotBox]]&gt;0</f>
        <v>0</v>
      </c>
      <c r="CD95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4" spans="1:86" hidden="1">
      <c r="A954">
        <v>986</v>
      </c>
      <c r="B954" t="s">
        <v>1127</v>
      </c>
      <c r="C954">
        <v>460</v>
      </c>
      <c r="D954" s="3">
        <v>35513</v>
      </c>
      <c r="F954" t="s">
        <v>174</v>
      </c>
      <c r="G954">
        <v>1918</v>
      </c>
      <c r="H954">
        <f ca="1">MONTH(NOW())+12*YEAR(NOW())-MONTH(tbl_MTG_Set[[#This Row],[Released On]])-12*YEAR(tbl_MTG_Set[[#This Row],[Released On]])</f>
        <v>348</v>
      </c>
      <c r="I954" t="str">
        <f>_xlfn.XLOOKUP(tbl_MTG_Set[[#This Row],[Type Name]], tbl_MTG_Set_Type[Set Type], tbl_MTG_Set_Type[Index], "(Set Type not found)")</f>
        <v>(Set Type not found)</v>
      </c>
      <c r="J954" t="str">
        <f>_xlfn.XLOOKUP(tbl_MTG_Set[[#This Row],[Type Name]], tbl_MTG_Set_Type[Set Type], tbl_MTG_Set_Type[Buy Window Month Start], "(Set Type not found)")</f>
        <v>(Set Type not found)</v>
      </c>
      <c r="K954" s="3" t="e">
        <f>tbl_MTG_Set[[#This Row],[Released On]]+tbl_MTG_Set[[#This Row],[Buy Window Month Start]]*365.25/12</f>
        <v>#VALUE!</v>
      </c>
      <c r="L954" t="str">
        <f>_xlfn.XLOOKUP(tbl_MTG_Set[[#This Row],[Type Name]], tbl_MTG_Set_Type[Set Type], tbl_MTG_Set_Type[Buy Window Month End], "(Set Type not found)", 0, 1)</f>
        <v>(Set Type not found)</v>
      </c>
      <c r="M954" s="3" t="e">
        <f>tbl_MTG_Set[[#This Row],[Released On]]+tbl_MTG_Set[[#This Row],[Buy Window Month End]]*365.25/12</f>
        <v>#VALUE!</v>
      </c>
      <c r="N954" s="3" t="e">
        <f ca="1">AND(NOW()&gt;=tbl_MTG_Set[[#This Row],[Buy Window Start]], NOW()&lt;=tbl_MTG_Set[[#This Row],[Buy Window End]])</f>
        <v>#VALUE!</v>
      </c>
      <c r="O954" t="str">
        <f>_xlfn.XLOOKUP(tbl_MTG_Set[[#This Row],[Type Name]], tbl_MTG_Set_Type[Set Type], tbl_MTG_Set_Type[Heavy Printing Window Month Start], "(Set Type not found)", 0, 1)</f>
        <v>(Set Type not found)</v>
      </c>
      <c r="P954" s="3" t="e">
        <f>tbl_MTG_Set[[#This Row],[Released On]]+tbl_MTG_Set[[#This Row],[Heavy Printing Window Month Start]]*365.25/12</f>
        <v>#VALUE!</v>
      </c>
      <c r="Q954" t="str">
        <f>_xlfn.XLOOKUP(tbl_MTG_Set[[#This Row],[Type Name]], tbl_MTG_Set_Type[Set Type], tbl_MTG_Set_Type[Heavy Printing Window Month End], "(Set Type not found)", 0, 1)</f>
        <v>(Set Type not found)</v>
      </c>
      <c r="R954" s="3" t="e">
        <f>tbl_MTG_Set[[#This Row],[Released On]]+tbl_MTG_Set[[#This Row],[Heavy Printing Window Month End]]*365.25/12</f>
        <v>#VALUE!</v>
      </c>
      <c r="S954" s="3" t="e">
        <f ca="1">AND(NOW()&gt;=tbl_MTG_Set[[#This Row],[Heavy Printing Window Start]], NOW()&lt;=tbl_MTG_Set[[#This Row],[Heavy Printing Window End]])</f>
        <v>#VALUE!</v>
      </c>
      <c r="T954" t="str">
        <f>_xlfn.XLOOKUP(tbl_MTG_Set[[#This Row],[Type Name]], tbl_MTG_Set_Type[Set Type], tbl_MTG_Set_Type[Sell Window Month Start], "(Set Type not found)", 0, 1)</f>
        <v>(Set Type not found)</v>
      </c>
      <c r="U954" s="3" t="e">
        <f>tbl_MTG_Set[[#This Row],[Released On]]+tbl_MTG_Set[[#This Row],[Sell Window Month Start]]*365.25/12</f>
        <v>#VALUE!</v>
      </c>
      <c r="V954" t="str">
        <f>_xlfn.XLOOKUP(tbl_MTG_Set[[#This Row],[Type Name]], tbl_MTG_Set_Type[Set Type], tbl_MTG_Set_Type[Sell Window Month End], "(Set Type not found)", 0, 1)</f>
        <v>(Set Type not found)</v>
      </c>
      <c r="W954" s="3" t="e">
        <f>tbl_MTG_Set[[#This Row],[Released On]]+tbl_MTG_Set[[#This Row],[Sell Window Month End]]*365.25/12</f>
        <v>#VALUE!</v>
      </c>
      <c r="X954" s="3" t="e">
        <f ca="1">AND(NOW()&gt;=tbl_MTG_Set[[#This Row],[Sell Window Start]], NOW()&lt;=tbl_MTG_Set[[#This Row],[Sell Window End]])</f>
        <v>#VALUE!</v>
      </c>
      <c r="AG954" s="10"/>
      <c r="AH954" s="10"/>
      <c r="AM954" s="10" t="str" cm="1">
        <f t="array" ref="AM95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4" s="10" t="str" cm="1">
        <f t="array" ref="AN95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4" s="4" t="e">
        <f>_xlfn.XLOOKUP(tbl_MTG_Set[[#This Row],[Play Booster Box Product Id]], tbl_Product[Product Id], tbl_Product[Pack Size])</f>
        <v>#N/A</v>
      </c>
      <c r="AP954" s="10" t="e">
        <f>(tbl_MTG_Set[[#This Row],[Play Booster Box Cost]]+v_Item_Shipping_Cost_In)/tbl_MTG_Set[[#This Row],[Play Booster Box Size]]</f>
        <v>#VALUE!</v>
      </c>
      <c r="AQ954" s="10" t="str" cm="1">
        <f t="array" ref="AQ95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4" s="10"/>
      <c r="AS954" s="10"/>
      <c r="AT954" s="17" t="e">
        <f>tbl_MTG_Set[[#This Row],[Play Booster CardMarket Profit]]/tbl_MTG_Set[[#This Row],[Play Booster Cost]]</f>
        <v>#VALUE!</v>
      </c>
      <c r="AU954" s="10" t="e">
        <f>_xlfn.XLOOKUP(tbl_MTG_Set[[#This Row],[Collector Booster Box Product Id]], tbl_Product[Product Id], tbl_Product[Min Cost])</f>
        <v>#N/A</v>
      </c>
      <c r="AV954" s="10" t="e">
        <f>_xlfn.XLOOKUP(tbl_MTG_Set[[#This Row],[Collector Booster Box Product Id]], tbl_Product[Product Id], tbl_Product[Best Source])</f>
        <v>#N/A</v>
      </c>
      <c r="AW954" s="4" t="e">
        <f>_xlfn.XLOOKUP(tbl_MTG_Set[[#This Row],[Collector Booster Box Product Id]], tbl_Product[Product Id], tbl_Product[Pack Size])</f>
        <v>#N/A</v>
      </c>
      <c r="AX954" s="10" t="e">
        <f>(tbl_MTG_Set[[#This Row],[Collector Booster Box Cost]] + v_Item_Shipping_Cost_In) / tbl_MTG_Set[[#This Row],[Collector Booster Box Size]]</f>
        <v>#N/A</v>
      </c>
      <c r="AY954" s="10" t="str" cm="1">
        <f t="array" ref="AY95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4" s="10"/>
      <c r="BA95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4" s="17" t="e">
        <f>tbl_MTG_Set[[#This Row],[Collector Booster CardMarket Profit]]/tbl_MTG_Set[[#This Row],[Collector Booster Cost]]</f>
        <v>#N/A</v>
      </c>
      <c r="BC954" s="10"/>
      <c r="BF95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4" s="11" t="e">
        <f>tbl_MTG_Set[[#This Row],[Play Singles CardMarket Profit MTG Stocks]]/tbl_MTG_Set[[#This Row],[Play Booster Cost]]</f>
        <v>#VALUE!</v>
      </c>
      <c r="BI954" s="11" t="b">
        <f>tbl_MTG_Set[[#This Row],[Play Singles CardMarket Profit MTG Stocks]]&gt;0</f>
        <v>0</v>
      </c>
      <c r="BM954" s="10" t="e">
        <f>tbl_MTG_Set[[#This Row],[Play Booster Sell Price CardMarket]]*tbl_MTG_Set[[#This Row],[Play Booster Expected Market Value BotBox]]/tbl_MTG_Set[[#This Row],[Play Booster Sealed Market Value BotBox]]</f>
        <v>#VALUE!</v>
      </c>
      <c r="BN95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4" s="10" t="e">
        <f>tbl_MTG_Set[[#This Row],[Play Singles CardMarket Profit BotBox]]/tbl_MTG_Set[[#This Row],[Play Booster Cost]]</f>
        <v>#VALUE!</v>
      </c>
      <c r="BP954" s="10" t="b">
        <f>tbl_MTG_Set[[#This Row],[Play Singles CardMarket Profit BotBox]]&gt;0</f>
        <v>0</v>
      </c>
      <c r="BQ954" s="10"/>
      <c r="BR954" s="10"/>
      <c r="BS954" s="10"/>
      <c r="BT95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4" s="19" t="e">
        <f>tbl_MTG_Set[[#This Row],[Collector Singles CardMarket Profit MTG Stocks]]/tbl_MTG_Set[[#This Row],[Collector Booster Cost]]</f>
        <v>#N/A</v>
      </c>
      <c r="BW954" s="10" t="b">
        <f>tbl_MTG_Set[[#This Row],[Collector Singles CardMarket Profit MTG Stocks]]&gt;0</f>
        <v>0</v>
      </c>
      <c r="BX954" s="10"/>
      <c r="BY954" s="10"/>
      <c r="BZ95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4" s="10" t="e">
        <f>tbl_MTG_Set[[#This Row],[Collector Singles CardMarket Profit BotBox]]/tbl_MTG_Set[[#This Row],[Collector Booster Cost]]</f>
        <v>#N/A</v>
      </c>
      <c r="CC954" s="10" t="b">
        <f>tbl_MTG_Set[[#This Row],[Collector Singles CardMarket Profit BotBox]]&gt;0</f>
        <v>0</v>
      </c>
      <c r="CD95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5" spans="1:86" hidden="1">
      <c r="A955">
        <v>987</v>
      </c>
      <c r="B955" t="s">
        <v>1128</v>
      </c>
      <c r="C955">
        <v>167</v>
      </c>
      <c r="D955" s="3">
        <v>35464</v>
      </c>
      <c r="F955" t="s">
        <v>174</v>
      </c>
      <c r="G955">
        <v>1920</v>
      </c>
      <c r="H955">
        <f ca="1">MONTH(NOW())+12*YEAR(NOW())-MONTH(tbl_MTG_Set[[#This Row],[Released On]])-12*YEAR(tbl_MTG_Set[[#This Row],[Released On]])</f>
        <v>349</v>
      </c>
      <c r="I955" t="str">
        <f>_xlfn.XLOOKUP(tbl_MTG_Set[[#This Row],[Type Name]], tbl_MTG_Set_Type[Set Type], tbl_MTG_Set_Type[Index], "(Set Type not found)")</f>
        <v>(Set Type not found)</v>
      </c>
      <c r="J955" t="str">
        <f>_xlfn.XLOOKUP(tbl_MTG_Set[[#This Row],[Type Name]], tbl_MTG_Set_Type[Set Type], tbl_MTG_Set_Type[Buy Window Month Start], "(Set Type not found)")</f>
        <v>(Set Type not found)</v>
      </c>
      <c r="K955" s="3" t="e">
        <f>tbl_MTG_Set[[#This Row],[Released On]]+tbl_MTG_Set[[#This Row],[Buy Window Month Start]]*365.25/12</f>
        <v>#VALUE!</v>
      </c>
      <c r="L955" t="str">
        <f>_xlfn.XLOOKUP(tbl_MTG_Set[[#This Row],[Type Name]], tbl_MTG_Set_Type[Set Type], tbl_MTG_Set_Type[Buy Window Month End], "(Set Type not found)", 0, 1)</f>
        <v>(Set Type not found)</v>
      </c>
      <c r="M955" s="3" t="e">
        <f>tbl_MTG_Set[[#This Row],[Released On]]+tbl_MTG_Set[[#This Row],[Buy Window Month End]]*365.25/12</f>
        <v>#VALUE!</v>
      </c>
      <c r="N955" s="3" t="e">
        <f ca="1">AND(NOW()&gt;=tbl_MTG_Set[[#This Row],[Buy Window Start]], NOW()&lt;=tbl_MTG_Set[[#This Row],[Buy Window End]])</f>
        <v>#VALUE!</v>
      </c>
      <c r="O955" t="str">
        <f>_xlfn.XLOOKUP(tbl_MTG_Set[[#This Row],[Type Name]], tbl_MTG_Set_Type[Set Type], tbl_MTG_Set_Type[Heavy Printing Window Month Start], "(Set Type not found)", 0, 1)</f>
        <v>(Set Type not found)</v>
      </c>
      <c r="P955" s="3" t="e">
        <f>tbl_MTG_Set[[#This Row],[Released On]]+tbl_MTG_Set[[#This Row],[Heavy Printing Window Month Start]]*365.25/12</f>
        <v>#VALUE!</v>
      </c>
      <c r="Q955" t="str">
        <f>_xlfn.XLOOKUP(tbl_MTG_Set[[#This Row],[Type Name]], tbl_MTG_Set_Type[Set Type], tbl_MTG_Set_Type[Heavy Printing Window Month End], "(Set Type not found)", 0, 1)</f>
        <v>(Set Type not found)</v>
      </c>
      <c r="R955" s="3" t="e">
        <f>tbl_MTG_Set[[#This Row],[Released On]]+tbl_MTG_Set[[#This Row],[Heavy Printing Window Month End]]*365.25/12</f>
        <v>#VALUE!</v>
      </c>
      <c r="S955" s="3" t="e">
        <f ca="1">AND(NOW()&gt;=tbl_MTG_Set[[#This Row],[Heavy Printing Window Start]], NOW()&lt;=tbl_MTG_Set[[#This Row],[Heavy Printing Window End]])</f>
        <v>#VALUE!</v>
      </c>
      <c r="T955" t="str">
        <f>_xlfn.XLOOKUP(tbl_MTG_Set[[#This Row],[Type Name]], tbl_MTG_Set_Type[Set Type], tbl_MTG_Set_Type[Sell Window Month Start], "(Set Type not found)", 0, 1)</f>
        <v>(Set Type not found)</v>
      </c>
      <c r="U955" s="3" t="e">
        <f>tbl_MTG_Set[[#This Row],[Released On]]+tbl_MTG_Set[[#This Row],[Sell Window Month Start]]*365.25/12</f>
        <v>#VALUE!</v>
      </c>
      <c r="V955" t="str">
        <f>_xlfn.XLOOKUP(tbl_MTG_Set[[#This Row],[Type Name]], tbl_MTG_Set_Type[Set Type], tbl_MTG_Set_Type[Sell Window Month End], "(Set Type not found)", 0, 1)</f>
        <v>(Set Type not found)</v>
      </c>
      <c r="W955" s="3" t="e">
        <f>tbl_MTG_Set[[#This Row],[Released On]]+tbl_MTG_Set[[#This Row],[Sell Window Month End]]*365.25/12</f>
        <v>#VALUE!</v>
      </c>
      <c r="X955" s="3" t="e">
        <f ca="1">AND(NOW()&gt;=tbl_MTG_Set[[#This Row],[Sell Window Start]], NOW()&lt;=tbl_MTG_Set[[#This Row],[Sell Window End]])</f>
        <v>#VALUE!</v>
      </c>
      <c r="AG955" s="10"/>
      <c r="AH955" s="10"/>
      <c r="AM955" s="10" t="str" cm="1">
        <f t="array" ref="AM95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5" s="10" t="str" cm="1">
        <f t="array" ref="AN95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5" s="4" t="e">
        <f>_xlfn.XLOOKUP(tbl_MTG_Set[[#This Row],[Play Booster Box Product Id]], tbl_Product[Product Id], tbl_Product[Pack Size])</f>
        <v>#N/A</v>
      </c>
      <c r="AP955" s="10" t="e">
        <f>(tbl_MTG_Set[[#This Row],[Play Booster Box Cost]]+v_Item_Shipping_Cost_In)/tbl_MTG_Set[[#This Row],[Play Booster Box Size]]</f>
        <v>#VALUE!</v>
      </c>
      <c r="AQ955" s="10" t="str" cm="1">
        <f t="array" ref="AQ95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5" s="10"/>
      <c r="AS955" s="10"/>
      <c r="AT955" s="17" t="e">
        <f>tbl_MTG_Set[[#This Row],[Play Booster CardMarket Profit]]/tbl_MTG_Set[[#This Row],[Play Booster Cost]]</f>
        <v>#VALUE!</v>
      </c>
      <c r="AU955" s="10" t="e">
        <f>_xlfn.XLOOKUP(tbl_MTG_Set[[#This Row],[Collector Booster Box Product Id]], tbl_Product[Product Id], tbl_Product[Min Cost])</f>
        <v>#N/A</v>
      </c>
      <c r="AV955" s="10" t="e">
        <f>_xlfn.XLOOKUP(tbl_MTG_Set[[#This Row],[Collector Booster Box Product Id]], tbl_Product[Product Id], tbl_Product[Best Source])</f>
        <v>#N/A</v>
      </c>
      <c r="AW955" s="4" t="e">
        <f>_xlfn.XLOOKUP(tbl_MTG_Set[[#This Row],[Collector Booster Box Product Id]], tbl_Product[Product Id], tbl_Product[Pack Size])</f>
        <v>#N/A</v>
      </c>
      <c r="AX955" s="10" t="e">
        <f>(tbl_MTG_Set[[#This Row],[Collector Booster Box Cost]] + v_Item_Shipping_Cost_In) / tbl_MTG_Set[[#This Row],[Collector Booster Box Size]]</f>
        <v>#N/A</v>
      </c>
      <c r="AY955" s="10" t="str" cm="1">
        <f t="array" ref="AY95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5" s="10"/>
      <c r="BA95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5" s="17" t="e">
        <f>tbl_MTG_Set[[#This Row],[Collector Booster CardMarket Profit]]/tbl_MTG_Set[[#This Row],[Collector Booster Cost]]</f>
        <v>#N/A</v>
      </c>
      <c r="BC955" s="10"/>
      <c r="BF95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5" s="11" t="e">
        <f>tbl_MTG_Set[[#This Row],[Play Singles CardMarket Profit MTG Stocks]]/tbl_MTG_Set[[#This Row],[Play Booster Cost]]</f>
        <v>#VALUE!</v>
      </c>
      <c r="BI955" s="11" t="b">
        <f>tbl_MTG_Set[[#This Row],[Play Singles CardMarket Profit MTG Stocks]]&gt;0</f>
        <v>0</v>
      </c>
      <c r="BM955" s="10" t="e">
        <f>tbl_MTG_Set[[#This Row],[Play Booster Sell Price CardMarket]]*tbl_MTG_Set[[#This Row],[Play Booster Expected Market Value BotBox]]/tbl_MTG_Set[[#This Row],[Play Booster Sealed Market Value BotBox]]</f>
        <v>#VALUE!</v>
      </c>
      <c r="BN95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5" s="10" t="e">
        <f>tbl_MTG_Set[[#This Row],[Play Singles CardMarket Profit BotBox]]/tbl_MTG_Set[[#This Row],[Play Booster Cost]]</f>
        <v>#VALUE!</v>
      </c>
      <c r="BP955" s="10" t="b">
        <f>tbl_MTG_Set[[#This Row],[Play Singles CardMarket Profit BotBox]]&gt;0</f>
        <v>0</v>
      </c>
      <c r="BQ955" s="10"/>
      <c r="BR955" s="10"/>
      <c r="BS955" s="10"/>
      <c r="BT95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5" s="19" t="e">
        <f>tbl_MTG_Set[[#This Row],[Collector Singles CardMarket Profit MTG Stocks]]/tbl_MTG_Set[[#This Row],[Collector Booster Cost]]</f>
        <v>#N/A</v>
      </c>
      <c r="BW955" s="10" t="b">
        <f>tbl_MTG_Set[[#This Row],[Collector Singles CardMarket Profit MTG Stocks]]&gt;0</f>
        <v>0</v>
      </c>
      <c r="BX955" s="10"/>
      <c r="BY955" s="10"/>
      <c r="BZ95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5" s="10" t="e">
        <f>tbl_MTG_Set[[#This Row],[Collector Singles CardMarket Profit BotBox]]/tbl_MTG_Set[[#This Row],[Collector Booster Cost]]</f>
        <v>#N/A</v>
      </c>
      <c r="CC955" s="10" t="b">
        <f>tbl_MTG_Set[[#This Row],[Collector Singles CardMarket Profit BotBox]]&gt;0</f>
        <v>0</v>
      </c>
      <c r="CD95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6" spans="1:86" hidden="1">
      <c r="A956">
        <v>988</v>
      </c>
      <c r="B956" t="s">
        <v>1129</v>
      </c>
      <c r="C956">
        <v>10</v>
      </c>
      <c r="D956" s="3">
        <v>35370</v>
      </c>
      <c r="F956" t="s">
        <v>174</v>
      </c>
      <c r="G956">
        <v>1922</v>
      </c>
      <c r="H956">
        <f ca="1">MONTH(NOW())+12*YEAR(NOW())-MONTH(tbl_MTG_Set[[#This Row],[Released On]])-12*YEAR(tbl_MTG_Set[[#This Row],[Released On]])</f>
        <v>352</v>
      </c>
      <c r="I956" t="str">
        <f>_xlfn.XLOOKUP(tbl_MTG_Set[[#This Row],[Type Name]], tbl_MTG_Set_Type[Set Type], tbl_MTG_Set_Type[Index], "(Set Type not found)")</f>
        <v>(Set Type not found)</v>
      </c>
      <c r="J956" t="str">
        <f>_xlfn.XLOOKUP(tbl_MTG_Set[[#This Row],[Type Name]], tbl_MTG_Set_Type[Set Type], tbl_MTG_Set_Type[Buy Window Month Start], "(Set Type not found)")</f>
        <v>(Set Type not found)</v>
      </c>
      <c r="K956" s="3" t="e">
        <f>tbl_MTG_Set[[#This Row],[Released On]]+tbl_MTG_Set[[#This Row],[Buy Window Month Start]]*365.25/12</f>
        <v>#VALUE!</v>
      </c>
      <c r="L956" t="str">
        <f>_xlfn.XLOOKUP(tbl_MTG_Set[[#This Row],[Type Name]], tbl_MTG_Set_Type[Set Type], tbl_MTG_Set_Type[Buy Window Month End], "(Set Type not found)", 0, 1)</f>
        <v>(Set Type not found)</v>
      </c>
      <c r="M956" s="3" t="e">
        <f>tbl_MTG_Set[[#This Row],[Released On]]+tbl_MTG_Set[[#This Row],[Buy Window Month End]]*365.25/12</f>
        <v>#VALUE!</v>
      </c>
      <c r="N956" s="3" t="e">
        <f ca="1">AND(NOW()&gt;=tbl_MTG_Set[[#This Row],[Buy Window Start]], NOW()&lt;=tbl_MTG_Set[[#This Row],[Buy Window End]])</f>
        <v>#VALUE!</v>
      </c>
      <c r="O956" t="str">
        <f>_xlfn.XLOOKUP(tbl_MTG_Set[[#This Row],[Type Name]], tbl_MTG_Set_Type[Set Type], tbl_MTG_Set_Type[Heavy Printing Window Month Start], "(Set Type not found)", 0, 1)</f>
        <v>(Set Type not found)</v>
      </c>
      <c r="P956" s="3" t="e">
        <f>tbl_MTG_Set[[#This Row],[Released On]]+tbl_MTG_Set[[#This Row],[Heavy Printing Window Month Start]]*365.25/12</f>
        <v>#VALUE!</v>
      </c>
      <c r="Q956" t="str">
        <f>_xlfn.XLOOKUP(tbl_MTG_Set[[#This Row],[Type Name]], tbl_MTG_Set_Type[Set Type], tbl_MTG_Set_Type[Heavy Printing Window Month End], "(Set Type not found)", 0, 1)</f>
        <v>(Set Type not found)</v>
      </c>
      <c r="R956" s="3" t="e">
        <f>tbl_MTG_Set[[#This Row],[Released On]]+tbl_MTG_Set[[#This Row],[Heavy Printing Window Month End]]*365.25/12</f>
        <v>#VALUE!</v>
      </c>
      <c r="S956" s="3" t="e">
        <f ca="1">AND(NOW()&gt;=tbl_MTG_Set[[#This Row],[Heavy Printing Window Start]], NOW()&lt;=tbl_MTG_Set[[#This Row],[Heavy Printing Window End]])</f>
        <v>#VALUE!</v>
      </c>
      <c r="T956" t="str">
        <f>_xlfn.XLOOKUP(tbl_MTG_Set[[#This Row],[Type Name]], tbl_MTG_Set_Type[Set Type], tbl_MTG_Set_Type[Sell Window Month Start], "(Set Type not found)", 0, 1)</f>
        <v>(Set Type not found)</v>
      </c>
      <c r="U956" s="3" t="e">
        <f>tbl_MTG_Set[[#This Row],[Released On]]+tbl_MTG_Set[[#This Row],[Sell Window Month Start]]*365.25/12</f>
        <v>#VALUE!</v>
      </c>
      <c r="V956" t="str">
        <f>_xlfn.XLOOKUP(tbl_MTG_Set[[#This Row],[Type Name]], tbl_MTG_Set_Type[Set Type], tbl_MTG_Set_Type[Sell Window Month End], "(Set Type not found)", 0, 1)</f>
        <v>(Set Type not found)</v>
      </c>
      <c r="W956" s="3" t="e">
        <f>tbl_MTG_Set[[#This Row],[Released On]]+tbl_MTG_Set[[#This Row],[Sell Window Month End]]*365.25/12</f>
        <v>#VALUE!</v>
      </c>
      <c r="X956" s="3" t="e">
        <f ca="1">AND(NOW()&gt;=tbl_MTG_Set[[#This Row],[Sell Window Start]], NOW()&lt;=tbl_MTG_Set[[#This Row],[Sell Window End]])</f>
        <v>#VALUE!</v>
      </c>
      <c r="AG956" s="10"/>
      <c r="AH956" s="10"/>
      <c r="AM956" s="10" t="str" cm="1">
        <f t="array" ref="AM95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6" s="10" t="str" cm="1">
        <f t="array" ref="AN95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6" s="4" t="e">
        <f>_xlfn.XLOOKUP(tbl_MTG_Set[[#This Row],[Play Booster Box Product Id]], tbl_Product[Product Id], tbl_Product[Pack Size])</f>
        <v>#N/A</v>
      </c>
      <c r="AP956" s="10" t="e">
        <f>(tbl_MTG_Set[[#This Row],[Play Booster Box Cost]]+v_Item_Shipping_Cost_In)/tbl_MTG_Set[[#This Row],[Play Booster Box Size]]</f>
        <v>#VALUE!</v>
      </c>
      <c r="AQ956" s="10" t="str" cm="1">
        <f t="array" ref="AQ95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6" s="10"/>
      <c r="AS956" s="10"/>
      <c r="AT956" s="17" t="e">
        <f>tbl_MTG_Set[[#This Row],[Play Booster CardMarket Profit]]/tbl_MTG_Set[[#This Row],[Play Booster Cost]]</f>
        <v>#VALUE!</v>
      </c>
      <c r="AU956" s="10" t="e">
        <f>_xlfn.XLOOKUP(tbl_MTG_Set[[#This Row],[Collector Booster Box Product Id]], tbl_Product[Product Id], tbl_Product[Min Cost])</f>
        <v>#N/A</v>
      </c>
      <c r="AV956" s="10" t="e">
        <f>_xlfn.XLOOKUP(tbl_MTG_Set[[#This Row],[Collector Booster Box Product Id]], tbl_Product[Product Id], tbl_Product[Best Source])</f>
        <v>#N/A</v>
      </c>
      <c r="AW956" s="4" t="e">
        <f>_xlfn.XLOOKUP(tbl_MTG_Set[[#This Row],[Collector Booster Box Product Id]], tbl_Product[Product Id], tbl_Product[Pack Size])</f>
        <v>#N/A</v>
      </c>
      <c r="AX956" s="10" t="e">
        <f>(tbl_MTG_Set[[#This Row],[Collector Booster Box Cost]] + v_Item_Shipping_Cost_In) / tbl_MTG_Set[[#This Row],[Collector Booster Box Size]]</f>
        <v>#N/A</v>
      </c>
      <c r="AY956" s="10" t="str" cm="1">
        <f t="array" ref="AY95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6" s="10"/>
      <c r="BA95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6" s="17" t="e">
        <f>tbl_MTG_Set[[#This Row],[Collector Booster CardMarket Profit]]/tbl_MTG_Set[[#This Row],[Collector Booster Cost]]</f>
        <v>#N/A</v>
      </c>
      <c r="BC956" s="10"/>
      <c r="BF95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6" s="11" t="e">
        <f>tbl_MTG_Set[[#This Row],[Play Singles CardMarket Profit MTG Stocks]]/tbl_MTG_Set[[#This Row],[Play Booster Cost]]</f>
        <v>#VALUE!</v>
      </c>
      <c r="BI956" s="11" t="b">
        <f>tbl_MTG_Set[[#This Row],[Play Singles CardMarket Profit MTG Stocks]]&gt;0</f>
        <v>0</v>
      </c>
      <c r="BM956" s="10" t="e">
        <f>tbl_MTG_Set[[#This Row],[Play Booster Sell Price CardMarket]]*tbl_MTG_Set[[#This Row],[Play Booster Expected Market Value BotBox]]/tbl_MTG_Set[[#This Row],[Play Booster Sealed Market Value BotBox]]</f>
        <v>#VALUE!</v>
      </c>
      <c r="BN95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6" s="10" t="e">
        <f>tbl_MTG_Set[[#This Row],[Play Singles CardMarket Profit BotBox]]/tbl_MTG_Set[[#This Row],[Play Booster Cost]]</f>
        <v>#VALUE!</v>
      </c>
      <c r="BP956" s="10" t="b">
        <f>tbl_MTG_Set[[#This Row],[Play Singles CardMarket Profit BotBox]]&gt;0</f>
        <v>0</v>
      </c>
      <c r="BQ956" s="10"/>
      <c r="BR956" s="10"/>
      <c r="BS956" s="10"/>
      <c r="BT95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6" s="19" t="e">
        <f>tbl_MTG_Set[[#This Row],[Collector Singles CardMarket Profit MTG Stocks]]/tbl_MTG_Set[[#This Row],[Collector Booster Cost]]</f>
        <v>#N/A</v>
      </c>
      <c r="BW956" s="10" t="b">
        <f>tbl_MTG_Set[[#This Row],[Collector Singles CardMarket Profit MTG Stocks]]&gt;0</f>
        <v>0</v>
      </c>
      <c r="BX956" s="10"/>
      <c r="BY956" s="10"/>
      <c r="BZ95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6" s="10" t="e">
        <f>tbl_MTG_Set[[#This Row],[Collector Singles CardMarket Profit BotBox]]/tbl_MTG_Set[[#This Row],[Collector Booster Cost]]</f>
        <v>#N/A</v>
      </c>
      <c r="CC956" s="10" t="b">
        <f>tbl_MTG_Set[[#This Row],[Collector Singles CardMarket Profit BotBox]]&gt;0</f>
        <v>0</v>
      </c>
      <c r="CD95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7" spans="1:86" hidden="1">
      <c r="A957">
        <v>989</v>
      </c>
      <c r="B957" t="s">
        <v>1130</v>
      </c>
      <c r="C957">
        <v>67</v>
      </c>
      <c r="D957" s="3">
        <v>35430</v>
      </c>
      <c r="F957" t="s">
        <v>174</v>
      </c>
      <c r="G957">
        <v>1924</v>
      </c>
      <c r="H957">
        <f ca="1">MONTH(NOW())+12*YEAR(NOW())-MONTH(tbl_MTG_Set[[#This Row],[Released On]])-12*YEAR(tbl_MTG_Set[[#This Row],[Released On]])</f>
        <v>351</v>
      </c>
      <c r="I957" t="str">
        <f>_xlfn.XLOOKUP(tbl_MTG_Set[[#This Row],[Type Name]], tbl_MTG_Set_Type[Set Type], tbl_MTG_Set_Type[Index], "(Set Type not found)")</f>
        <v>(Set Type not found)</v>
      </c>
      <c r="J957" t="str">
        <f>_xlfn.XLOOKUP(tbl_MTG_Set[[#This Row],[Type Name]], tbl_MTG_Set_Type[Set Type], tbl_MTG_Set_Type[Buy Window Month Start], "(Set Type not found)")</f>
        <v>(Set Type not found)</v>
      </c>
      <c r="K957" s="3" t="e">
        <f>tbl_MTG_Set[[#This Row],[Released On]]+tbl_MTG_Set[[#This Row],[Buy Window Month Start]]*365.25/12</f>
        <v>#VALUE!</v>
      </c>
      <c r="L957" t="str">
        <f>_xlfn.XLOOKUP(tbl_MTG_Set[[#This Row],[Type Name]], tbl_MTG_Set_Type[Set Type], tbl_MTG_Set_Type[Buy Window Month End], "(Set Type not found)", 0, 1)</f>
        <v>(Set Type not found)</v>
      </c>
      <c r="M957" s="3" t="e">
        <f>tbl_MTG_Set[[#This Row],[Released On]]+tbl_MTG_Set[[#This Row],[Buy Window Month End]]*365.25/12</f>
        <v>#VALUE!</v>
      </c>
      <c r="N957" s="3" t="e">
        <f ca="1">AND(NOW()&gt;=tbl_MTG_Set[[#This Row],[Buy Window Start]], NOW()&lt;=tbl_MTG_Set[[#This Row],[Buy Window End]])</f>
        <v>#VALUE!</v>
      </c>
      <c r="O957" t="str">
        <f>_xlfn.XLOOKUP(tbl_MTG_Set[[#This Row],[Type Name]], tbl_MTG_Set_Type[Set Type], tbl_MTG_Set_Type[Heavy Printing Window Month Start], "(Set Type not found)", 0, 1)</f>
        <v>(Set Type not found)</v>
      </c>
      <c r="P957" s="3" t="e">
        <f>tbl_MTG_Set[[#This Row],[Released On]]+tbl_MTG_Set[[#This Row],[Heavy Printing Window Month Start]]*365.25/12</f>
        <v>#VALUE!</v>
      </c>
      <c r="Q957" t="str">
        <f>_xlfn.XLOOKUP(tbl_MTG_Set[[#This Row],[Type Name]], tbl_MTG_Set_Type[Set Type], tbl_MTG_Set_Type[Heavy Printing Window Month End], "(Set Type not found)", 0, 1)</f>
        <v>(Set Type not found)</v>
      </c>
      <c r="R957" s="3" t="e">
        <f>tbl_MTG_Set[[#This Row],[Released On]]+tbl_MTG_Set[[#This Row],[Heavy Printing Window Month End]]*365.25/12</f>
        <v>#VALUE!</v>
      </c>
      <c r="S957" s="3" t="e">
        <f ca="1">AND(NOW()&gt;=tbl_MTG_Set[[#This Row],[Heavy Printing Window Start]], NOW()&lt;=tbl_MTG_Set[[#This Row],[Heavy Printing Window End]])</f>
        <v>#VALUE!</v>
      </c>
      <c r="T957" t="str">
        <f>_xlfn.XLOOKUP(tbl_MTG_Set[[#This Row],[Type Name]], tbl_MTG_Set_Type[Set Type], tbl_MTG_Set_Type[Sell Window Month Start], "(Set Type not found)", 0, 1)</f>
        <v>(Set Type not found)</v>
      </c>
      <c r="U957" s="3" t="e">
        <f>tbl_MTG_Set[[#This Row],[Released On]]+tbl_MTG_Set[[#This Row],[Sell Window Month Start]]*365.25/12</f>
        <v>#VALUE!</v>
      </c>
      <c r="V957" t="str">
        <f>_xlfn.XLOOKUP(tbl_MTG_Set[[#This Row],[Type Name]], tbl_MTG_Set_Type[Set Type], tbl_MTG_Set_Type[Sell Window Month End], "(Set Type not found)", 0, 1)</f>
        <v>(Set Type not found)</v>
      </c>
      <c r="W957" s="3" t="e">
        <f>tbl_MTG_Set[[#This Row],[Released On]]+tbl_MTG_Set[[#This Row],[Sell Window Month End]]*365.25/12</f>
        <v>#VALUE!</v>
      </c>
      <c r="X957" s="3" t="e">
        <f ca="1">AND(NOW()&gt;=tbl_MTG_Set[[#This Row],[Sell Window Start]], NOW()&lt;=tbl_MTG_Set[[#This Row],[Sell Window End]])</f>
        <v>#VALUE!</v>
      </c>
      <c r="AG957" s="10"/>
      <c r="AH957" s="10"/>
      <c r="AM957" s="10" t="str" cm="1">
        <f t="array" ref="AM95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7" s="10" t="str" cm="1">
        <f t="array" ref="AN95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7" s="4" t="e">
        <f>_xlfn.XLOOKUP(tbl_MTG_Set[[#This Row],[Play Booster Box Product Id]], tbl_Product[Product Id], tbl_Product[Pack Size])</f>
        <v>#N/A</v>
      </c>
      <c r="AP957" s="10" t="e">
        <f>(tbl_MTG_Set[[#This Row],[Play Booster Box Cost]]+v_Item_Shipping_Cost_In)/tbl_MTG_Set[[#This Row],[Play Booster Box Size]]</f>
        <v>#VALUE!</v>
      </c>
      <c r="AQ957" s="10" t="str" cm="1">
        <f t="array" ref="AQ95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7" s="10"/>
      <c r="AS957" s="10"/>
      <c r="AT957" s="17" t="e">
        <f>tbl_MTG_Set[[#This Row],[Play Booster CardMarket Profit]]/tbl_MTG_Set[[#This Row],[Play Booster Cost]]</f>
        <v>#VALUE!</v>
      </c>
      <c r="AU957" s="10" t="e">
        <f>_xlfn.XLOOKUP(tbl_MTG_Set[[#This Row],[Collector Booster Box Product Id]], tbl_Product[Product Id], tbl_Product[Min Cost])</f>
        <v>#N/A</v>
      </c>
      <c r="AV957" s="10" t="e">
        <f>_xlfn.XLOOKUP(tbl_MTG_Set[[#This Row],[Collector Booster Box Product Id]], tbl_Product[Product Id], tbl_Product[Best Source])</f>
        <v>#N/A</v>
      </c>
      <c r="AW957" s="4" t="e">
        <f>_xlfn.XLOOKUP(tbl_MTG_Set[[#This Row],[Collector Booster Box Product Id]], tbl_Product[Product Id], tbl_Product[Pack Size])</f>
        <v>#N/A</v>
      </c>
      <c r="AX957" s="10" t="e">
        <f>(tbl_MTG_Set[[#This Row],[Collector Booster Box Cost]] + v_Item_Shipping_Cost_In) / tbl_MTG_Set[[#This Row],[Collector Booster Box Size]]</f>
        <v>#N/A</v>
      </c>
      <c r="AY957" s="10" t="str" cm="1">
        <f t="array" ref="AY95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7" s="10"/>
      <c r="BA95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7" s="17" t="e">
        <f>tbl_MTG_Set[[#This Row],[Collector Booster CardMarket Profit]]/tbl_MTG_Set[[#This Row],[Collector Booster Cost]]</f>
        <v>#N/A</v>
      </c>
      <c r="BC957" s="10"/>
      <c r="BF95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7" s="11" t="e">
        <f>tbl_MTG_Set[[#This Row],[Play Singles CardMarket Profit MTG Stocks]]/tbl_MTG_Set[[#This Row],[Play Booster Cost]]</f>
        <v>#VALUE!</v>
      </c>
      <c r="BI957" s="11" t="b">
        <f>tbl_MTG_Set[[#This Row],[Play Singles CardMarket Profit MTG Stocks]]&gt;0</f>
        <v>0</v>
      </c>
      <c r="BM957" s="10" t="e">
        <f>tbl_MTG_Set[[#This Row],[Play Booster Sell Price CardMarket]]*tbl_MTG_Set[[#This Row],[Play Booster Expected Market Value BotBox]]/tbl_MTG_Set[[#This Row],[Play Booster Sealed Market Value BotBox]]</f>
        <v>#VALUE!</v>
      </c>
      <c r="BN95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7" s="10" t="e">
        <f>tbl_MTG_Set[[#This Row],[Play Singles CardMarket Profit BotBox]]/tbl_MTG_Set[[#This Row],[Play Booster Cost]]</f>
        <v>#VALUE!</v>
      </c>
      <c r="BP957" s="10" t="b">
        <f>tbl_MTG_Set[[#This Row],[Play Singles CardMarket Profit BotBox]]&gt;0</f>
        <v>0</v>
      </c>
      <c r="BQ957" s="10"/>
      <c r="BR957" s="10"/>
      <c r="BS957" s="10"/>
      <c r="BT95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7" s="19" t="e">
        <f>tbl_MTG_Set[[#This Row],[Collector Singles CardMarket Profit MTG Stocks]]/tbl_MTG_Set[[#This Row],[Collector Booster Cost]]</f>
        <v>#N/A</v>
      </c>
      <c r="BW957" s="10" t="b">
        <f>tbl_MTG_Set[[#This Row],[Collector Singles CardMarket Profit MTG Stocks]]&gt;0</f>
        <v>0</v>
      </c>
      <c r="BX957" s="10"/>
      <c r="BY957" s="10"/>
      <c r="BZ95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7" s="10" t="e">
        <f>tbl_MTG_Set[[#This Row],[Collector Singles CardMarket Profit BotBox]]/tbl_MTG_Set[[#This Row],[Collector Booster Cost]]</f>
        <v>#N/A</v>
      </c>
      <c r="CC957" s="10" t="b">
        <f>tbl_MTG_Set[[#This Row],[Collector Singles CardMarket Profit BotBox]]&gt;0</f>
        <v>0</v>
      </c>
      <c r="CD95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8" spans="1:86" hidden="1">
      <c r="A958">
        <v>990</v>
      </c>
      <c r="B958" t="s">
        <v>1131</v>
      </c>
      <c r="C958">
        <v>353</v>
      </c>
      <c r="D958" s="3">
        <v>35346</v>
      </c>
      <c r="F958" t="s">
        <v>174</v>
      </c>
      <c r="G958">
        <v>1926</v>
      </c>
      <c r="H958">
        <f ca="1">MONTH(NOW())+12*YEAR(NOW())-MONTH(tbl_MTG_Set[[#This Row],[Released On]])-12*YEAR(tbl_MTG_Set[[#This Row],[Released On]])</f>
        <v>353</v>
      </c>
      <c r="I958" t="str">
        <f>_xlfn.XLOOKUP(tbl_MTG_Set[[#This Row],[Type Name]], tbl_MTG_Set_Type[Set Type], tbl_MTG_Set_Type[Index], "(Set Type not found)")</f>
        <v>(Set Type not found)</v>
      </c>
      <c r="J958" t="str">
        <f>_xlfn.XLOOKUP(tbl_MTG_Set[[#This Row],[Type Name]], tbl_MTG_Set_Type[Set Type], tbl_MTG_Set_Type[Buy Window Month Start], "(Set Type not found)")</f>
        <v>(Set Type not found)</v>
      </c>
      <c r="K958" s="3" t="e">
        <f>tbl_MTG_Set[[#This Row],[Released On]]+tbl_MTG_Set[[#This Row],[Buy Window Month Start]]*365.25/12</f>
        <v>#VALUE!</v>
      </c>
      <c r="L958" t="str">
        <f>_xlfn.XLOOKUP(tbl_MTG_Set[[#This Row],[Type Name]], tbl_MTG_Set_Type[Set Type], tbl_MTG_Set_Type[Buy Window Month End], "(Set Type not found)", 0, 1)</f>
        <v>(Set Type not found)</v>
      </c>
      <c r="M958" s="3" t="e">
        <f>tbl_MTG_Set[[#This Row],[Released On]]+tbl_MTG_Set[[#This Row],[Buy Window Month End]]*365.25/12</f>
        <v>#VALUE!</v>
      </c>
      <c r="N958" s="3" t="e">
        <f ca="1">AND(NOW()&gt;=tbl_MTG_Set[[#This Row],[Buy Window Start]], NOW()&lt;=tbl_MTG_Set[[#This Row],[Buy Window End]])</f>
        <v>#VALUE!</v>
      </c>
      <c r="O958" t="str">
        <f>_xlfn.XLOOKUP(tbl_MTG_Set[[#This Row],[Type Name]], tbl_MTG_Set_Type[Set Type], tbl_MTG_Set_Type[Heavy Printing Window Month Start], "(Set Type not found)", 0, 1)</f>
        <v>(Set Type not found)</v>
      </c>
      <c r="P958" s="3" t="e">
        <f>tbl_MTG_Set[[#This Row],[Released On]]+tbl_MTG_Set[[#This Row],[Heavy Printing Window Month Start]]*365.25/12</f>
        <v>#VALUE!</v>
      </c>
      <c r="Q958" t="str">
        <f>_xlfn.XLOOKUP(tbl_MTG_Set[[#This Row],[Type Name]], tbl_MTG_Set_Type[Set Type], tbl_MTG_Set_Type[Heavy Printing Window Month End], "(Set Type not found)", 0, 1)</f>
        <v>(Set Type not found)</v>
      </c>
      <c r="R958" s="3" t="e">
        <f>tbl_MTG_Set[[#This Row],[Released On]]+tbl_MTG_Set[[#This Row],[Heavy Printing Window Month End]]*365.25/12</f>
        <v>#VALUE!</v>
      </c>
      <c r="S958" s="3" t="e">
        <f ca="1">AND(NOW()&gt;=tbl_MTG_Set[[#This Row],[Heavy Printing Window Start]], NOW()&lt;=tbl_MTG_Set[[#This Row],[Heavy Printing Window End]])</f>
        <v>#VALUE!</v>
      </c>
      <c r="T958" t="str">
        <f>_xlfn.XLOOKUP(tbl_MTG_Set[[#This Row],[Type Name]], tbl_MTG_Set_Type[Set Type], tbl_MTG_Set_Type[Sell Window Month Start], "(Set Type not found)", 0, 1)</f>
        <v>(Set Type not found)</v>
      </c>
      <c r="U958" s="3" t="e">
        <f>tbl_MTG_Set[[#This Row],[Released On]]+tbl_MTG_Set[[#This Row],[Sell Window Month Start]]*365.25/12</f>
        <v>#VALUE!</v>
      </c>
      <c r="V958" t="str">
        <f>_xlfn.XLOOKUP(tbl_MTG_Set[[#This Row],[Type Name]], tbl_MTG_Set_Type[Set Type], tbl_MTG_Set_Type[Sell Window Month End], "(Set Type not found)", 0, 1)</f>
        <v>(Set Type not found)</v>
      </c>
      <c r="W958" s="3" t="e">
        <f>tbl_MTG_Set[[#This Row],[Released On]]+tbl_MTG_Set[[#This Row],[Sell Window Month End]]*365.25/12</f>
        <v>#VALUE!</v>
      </c>
      <c r="X958" s="3" t="e">
        <f ca="1">AND(NOW()&gt;=tbl_MTG_Set[[#This Row],[Sell Window Start]], NOW()&lt;=tbl_MTG_Set[[#This Row],[Sell Window End]])</f>
        <v>#VALUE!</v>
      </c>
      <c r="AG958" s="10"/>
      <c r="AH958" s="10"/>
      <c r="AM958" s="10" t="str" cm="1">
        <f t="array" ref="AM95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8" s="10" t="str" cm="1">
        <f t="array" ref="AN95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8" s="4" t="e">
        <f>_xlfn.XLOOKUP(tbl_MTG_Set[[#This Row],[Play Booster Box Product Id]], tbl_Product[Product Id], tbl_Product[Pack Size])</f>
        <v>#N/A</v>
      </c>
      <c r="AP958" s="10" t="e">
        <f>(tbl_MTG_Set[[#This Row],[Play Booster Box Cost]]+v_Item_Shipping_Cost_In)/tbl_MTG_Set[[#This Row],[Play Booster Box Size]]</f>
        <v>#VALUE!</v>
      </c>
      <c r="AQ958" s="10" t="str" cm="1">
        <f t="array" ref="AQ95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8" s="10"/>
      <c r="AS958" s="10"/>
      <c r="AT958" s="17" t="e">
        <f>tbl_MTG_Set[[#This Row],[Play Booster CardMarket Profit]]/tbl_MTG_Set[[#This Row],[Play Booster Cost]]</f>
        <v>#VALUE!</v>
      </c>
      <c r="AU958" s="10" t="e">
        <f>_xlfn.XLOOKUP(tbl_MTG_Set[[#This Row],[Collector Booster Box Product Id]], tbl_Product[Product Id], tbl_Product[Min Cost])</f>
        <v>#N/A</v>
      </c>
      <c r="AV958" s="10" t="e">
        <f>_xlfn.XLOOKUP(tbl_MTG_Set[[#This Row],[Collector Booster Box Product Id]], tbl_Product[Product Id], tbl_Product[Best Source])</f>
        <v>#N/A</v>
      </c>
      <c r="AW958" s="4" t="e">
        <f>_xlfn.XLOOKUP(tbl_MTG_Set[[#This Row],[Collector Booster Box Product Id]], tbl_Product[Product Id], tbl_Product[Pack Size])</f>
        <v>#N/A</v>
      </c>
      <c r="AX958" s="10" t="e">
        <f>(tbl_MTG_Set[[#This Row],[Collector Booster Box Cost]] + v_Item_Shipping_Cost_In) / tbl_MTG_Set[[#This Row],[Collector Booster Box Size]]</f>
        <v>#N/A</v>
      </c>
      <c r="AY958" s="10" t="str" cm="1">
        <f t="array" ref="AY95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8" s="10"/>
      <c r="BA95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8" s="17" t="e">
        <f>tbl_MTG_Set[[#This Row],[Collector Booster CardMarket Profit]]/tbl_MTG_Set[[#This Row],[Collector Booster Cost]]</f>
        <v>#N/A</v>
      </c>
      <c r="BC958" s="10"/>
      <c r="BF95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8" s="11" t="e">
        <f>tbl_MTG_Set[[#This Row],[Play Singles CardMarket Profit MTG Stocks]]/tbl_MTG_Set[[#This Row],[Play Booster Cost]]</f>
        <v>#VALUE!</v>
      </c>
      <c r="BI958" s="11" t="b">
        <f>tbl_MTG_Set[[#This Row],[Play Singles CardMarket Profit MTG Stocks]]&gt;0</f>
        <v>0</v>
      </c>
      <c r="BM958" s="10" t="e">
        <f>tbl_MTG_Set[[#This Row],[Play Booster Sell Price CardMarket]]*tbl_MTG_Set[[#This Row],[Play Booster Expected Market Value BotBox]]/tbl_MTG_Set[[#This Row],[Play Booster Sealed Market Value BotBox]]</f>
        <v>#VALUE!</v>
      </c>
      <c r="BN95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8" s="10" t="e">
        <f>tbl_MTG_Set[[#This Row],[Play Singles CardMarket Profit BotBox]]/tbl_MTG_Set[[#This Row],[Play Booster Cost]]</f>
        <v>#VALUE!</v>
      </c>
      <c r="BP958" s="10" t="b">
        <f>tbl_MTG_Set[[#This Row],[Play Singles CardMarket Profit BotBox]]&gt;0</f>
        <v>0</v>
      </c>
      <c r="BQ958" s="10"/>
      <c r="BR958" s="10"/>
      <c r="BS958" s="10"/>
      <c r="BT95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8" s="19" t="e">
        <f>tbl_MTG_Set[[#This Row],[Collector Singles CardMarket Profit MTG Stocks]]/tbl_MTG_Set[[#This Row],[Collector Booster Cost]]</f>
        <v>#N/A</v>
      </c>
      <c r="BW958" s="10" t="b">
        <f>tbl_MTG_Set[[#This Row],[Collector Singles CardMarket Profit MTG Stocks]]&gt;0</f>
        <v>0</v>
      </c>
      <c r="BX958" s="10"/>
      <c r="BY958" s="10"/>
      <c r="BZ95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8" s="10" t="e">
        <f>tbl_MTG_Set[[#This Row],[Collector Singles CardMarket Profit BotBox]]/tbl_MTG_Set[[#This Row],[Collector Booster Cost]]</f>
        <v>#N/A</v>
      </c>
      <c r="CC958" s="10" t="b">
        <f>tbl_MTG_Set[[#This Row],[Collector Singles CardMarket Profit BotBox]]&gt;0</f>
        <v>0</v>
      </c>
      <c r="CD95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59" spans="1:86" hidden="1">
      <c r="A959">
        <v>991</v>
      </c>
      <c r="B959" t="s">
        <v>1132</v>
      </c>
      <c r="C959">
        <v>1</v>
      </c>
      <c r="D959" s="3">
        <v>35339</v>
      </c>
      <c r="F959" t="s">
        <v>174</v>
      </c>
      <c r="G959">
        <v>1928</v>
      </c>
      <c r="H959">
        <f ca="1">MONTH(NOW())+12*YEAR(NOW())-MONTH(tbl_MTG_Set[[#This Row],[Released On]])-12*YEAR(tbl_MTG_Set[[#This Row],[Released On]])</f>
        <v>353</v>
      </c>
      <c r="I959" t="str">
        <f>_xlfn.XLOOKUP(tbl_MTG_Set[[#This Row],[Type Name]], tbl_MTG_Set_Type[Set Type], tbl_MTG_Set_Type[Index], "(Set Type not found)")</f>
        <v>(Set Type not found)</v>
      </c>
      <c r="J959" t="str">
        <f>_xlfn.XLOOKUP(tbl_MTG_Set[[#This Row],[Type Name]], tbl_MTG_Set_Type[Set Type], tbl_MTG_Set_Type[Buy Window Month Start], "(Set Type not found)")</f>
        <v>(Set Type not found)</v>
      </c>
      <c r="K959" s="3" t="e">
        <f>tbl_MTG_Set[[#This Row],[Released On]]+tbl_MTG_Set[[#This Row],[Buy Window Month Start]]*365.25/12</f>
        <v>#VALUE!</v>
      </c>
      <c r="L959" t="str">
        <f>_xlfn.XLOOKUP(tbl_MTG_Set[[#This Row],[Type Name]], tbl_MTG_Set_Type[Set Type], tbl_MTG_Set_Type[Buy Window Month End], "(Set Type not found)", 0, 1)</f>
        <v>(Set Type not found)</v>
      </c>
      <c r="M959" s="3" t="e">
        <f>tbl_MTG_Set[[#This Row],[Released On]]+tbl_MTG_Set[[#This Row],[Buy Window Month End]]*365.25/12</f>
        <v>#VALUE!</v>
      </c>
      <c r="N959" s="3" t="e">
        <f ca="1">AND(NOW()&gt;=tbl_MTG_Set[[#This Row],[Buy Window Start]], NOW()&lt;=tbl_MTG_Set[[#This Row],[Buy Window End]])</f>
        <v>#VALUE!</v>
      </c>
      <c r="O959" t="str">
        <f>_xlfn.XLOOKUP(tbl_MTG_Set[[#This Row],[Type Name]], tbl_MTG_Set_Type[Set Type], tbl_MTG_Set_Type[Heavy Printing Window Month Start], "(Set Type not found)", 0, 1)</f>
        <v>(Set Type not found)</v>
      </c>
      <c r="P959" s="3" t="e">
        <f>tbl_MTG_Set[[#This Row],[Released On]]+tbl_MTG_Set[[#This Row],[Heavy Printing Window Month Start]]*365.25/12</f>
        <v>#VALUE!</v>
      </c>
      <c r="Q959" t="str">
        <f>_xlfn.XLOOKUP(tbl_MTG_Set[[#This Row],[Type Name]], tbl_MTG_Set_Type[Set Type], tbl_MTG_Set_Type[Heavy Printing Window Month End], "(Set Type not found)", 0, 1)</f>
        <v>(Set Type not found)</v>
      </c>
      <c r="R959" s="3" t="e">
        <f>tbl_MTG_Set[[#This Row],[Released On]]+tbl_MTG_Set[[#This Row],[Heavy Printing Window Month End]]*365.25/12</f>
        <v>#VALUE!</v>
      </c>
      <c r="S959" s="3" t="e">
        <f ca="1">AND(NOW()&gt;=tbl_MTG_Set[[#This Row],[Heavy Printing Window Start]], NOW()&lt;=tbl_MTG_Set[[#This Row],[Heavy Printing Window End]])</f>
        <v>#VALUE!</v>
      </c>
      <c r="T959" t="str">
        <f>_xlfn.XLOOKUP(tbl_MTG_Set[[#This Row],[Type Name]], tbl_MTG_Set_Type[Set Type], tbl_MTG_Set_Type[Sell Window Month Start], "(Set Type not found)", 0, 1)</f>
        <v>(Set Type not found)</v>
      </c>
      <c r="U959" s="3" t="e">
        <f>tbl_MTG_Set[[#This Row],[Released On]]+tbl_MTG_Set[[#This Row],[Sell Window Month Start]]*365.25/12</f>
        <v>#VALUE!</v>
      </c>
      <c r="V959" t="str">
        <f>_xlfn.XLOOKUP(tbl_MTG_Set[[#This Row],[Type Name]], tbl_MTG_Set_Type[Set Type], tbl_MTG_Set_Type[Sell Window Month End], "(Set Type not found)", 0, 1)</f>
        <v>(Set Type not found)</v>
      </c>
      <c r="W959" s="3" t="e">
        <f>tbl_MTG_Set[[#This Row],[Released On]]+tbl_MTG_Set[[#This Row],[Sell Window Month End]]*365.25/12</f>
        <v>#VALUE!</v>
      </c>
      <c r="X959" s="3" t="e">
        <f ca="1">AND(NOW()&gt;=tbl_MTG_Set[[#This Row],[Sell Window Start]], NOW()&lt;=tbl_MTG_Set[[#This Row],[Sell Window End]])</f>
        <v>#VALUE!</v>
      </c>
      <c r="AG959" s="10"/>
      <c r="AH959" s="10"/>
      <c r="AM959" s="10" t="str" cm="1">
        <f t="array" ref="AM95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59" s="10" t="str" cm="1">
        <f t="array" ref="AN95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59" s="4" t="e">
        <f>_xlfn.XLOOKUP(tbl_MTG_Set[[#This Row],[Play Booster Box Product Id]], tbl_Product[Product Id], tbl_Product[Pack Size])</f>
        <v>#N/A</v>
      </c>
      <c r="AP959" s="10" t="e">
        <f>(tbl_MTG_Set[[#This Row],[Play Booster Box Cost]]+v_Item_Shipping_Cost_In)/tbl_MTG_Set[[#This Row],[Play Booster Box Size]]</f>
        <v>#VALUE!</v>
      </c>
      <c r="AQ959" s="10" t="str" cm="1">
        <f t="array" ref="AQ95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59" s="10"/>
      <c r="AS959" s="10"/>
      <c r="AT959" s="17" t="e">
        <f>tbl_MTG_Set[[#This Row],[Play Booster CardMarket Profit]]/tbl_MTG_Set[[#This Row],[Play Booster Cost]]</f>
        <v>#VALUE!</v>
      </c>
      <c r="AU959" s="10" t="e">
        <f>_xlfn.XLOOKUP(tbl_MTG_Set[[#This Row],[Collector Booster Box Product Id]], tbl_Product[Product Id], tbl_Product[Min Cost])</f>
        <v>#N/A</v>
      </c>
      <c r="AV959" s="10" t="e">
        <f>_xlfn.XLOOKUP(tbl_MTG_Set[[#This Row],[Collector Booster Box Product Id]], tbl_Product[Product Id], tbl_Product[Best Source])</f>
        <v>#N/A</v>
      </c>
      <c r="AW959" s="4" t="e">
        <f>_xlfn.XLOOKUP(tbl_MTG_Set[[#This Row],[Collector Booster Box Product Id]], tbl_Product[Product Id], tbl_Product[Pack Size])</f>
        <v>#N/A</v>
      </c>
      <c r="AX959" s="10" t="e">
        <f>(tbl_MTG_Set[[#This Row],[Collector Booster Box Cost]] + v_Item_Shipping_Cost_In) / tbl_MTG_Set[[#This Row],[Collector Booster Box Size]]</f>
        <v>#N/A</v>
      </c>
      <c r="AY959" s="10" t="str" cm="1">
        <f t="array" ref="AY95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59" s="10"/>
      <c r="BA95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59" s="17" t="e">
        <f>tbl_MTG_Set[[#This Row],[Collector Booster CardMarket Profit]]/tbl_MTG_Set[[#This Row],[Collector Booster Cost]]</f>
        <v>#N/A</v>
      </c>
      <c r="BC959" s="10"/>
      <c r="BF95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5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59" s="11" t="e">
        <f>tbl_MTG_Set[[#This Row],[Play Singles CardMarket Profit MTG Stocks]]/tbl_MTG_Set[[#This Row],[Play Booster Cost]]</f>
        <v>#VALUE!</v>
      </c>
      <c r="BI959" s="11" t="b">
        <f>tbl_MTG_Set[[#This Row],[Play Singles CardMarket Profit MTG Stocks]]&gt;0</f>
        <v>0</v>
      </c>
      <c r="BM959" s="10" t="e">
        <f>tbl_MTG_Set[[#This Row],[Play Booster Sell Price CardMarket]]*tbl_MTG_Set[[#This Row],[Play Booster Expected Market Value BotBox]]/tbl_MTG_Set[[#This Row],[Play Booster Sealed Market Value BotBox]]</f>
        <v>#VALUE!</v>
      </c>
      <c r="BN95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59" s="10" t="e">
        <f>tbl_MTG_Set[[#This Row],[Play Singles CardMarket Profit BotBox]]/tbl_MTG_Set[[#This Row],[Play Booster Cost]]</f>
        <v>#VALUE!</v>
      </c>
      <c r="BP959" s="10" t="b">
        <f>tbl_MTG_Set[[#This Row],[Play Singles CardMarket Profit BotBox]]&gt;0</f>
        <v>0</v>
      </c>
      <c r="BQ959" s="10"/>
      <c r="BR959" s="10"/>
      <c r="BS959" s="10"/>
      <c r="BT95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5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59" s="19" t="e">
        <f>tbl_MTG_Set[[#This Row],[Collector Singles CardMarket Profit MTG Stocks]]/tbl_MTG_Set[[#This Row],[Collector Booster Cost]]</f>
        <v>#N/A</v>
      </c>
      <c r="BW959" s="10" t="b">
        <f>tbl_MTG_Set[[#This Row],[Collector Singles CardMarket Profit MTG Stocks]]&gt;0</f>
        <v>0</v>
      </c>
      <c r="BX959" s="10"/>
      <c r="BY959" s="10"/>
      <c r="BZ95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5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59" s="10" t="e">
        <f>tbl_MTG_Set[[#This Row],[Collector Singles CardMarket Profit BotBox]]/tbl_MTG_Set[[#This Row],[Collector Booster Cost]]</f>
        <v>#N/A</v>
      </c>
      <c r="CC959" s="10" t="b">
        <f>tbl_MTG_Set[[#This Row],[Collector Singles CardMarket Profit BotBox]]&gt;0</f>
        <v>0</v>
      </c>
      <c r="CD95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5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5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5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5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0" spans="1:86" hidden="1">
      <c r="A960">
        <v>992</v>
      </c>
      <c r="B960" t="s">
        <v>1133</v>
      </c>
      <c r="C960">
        <v>9</v>
      </c>
      <c r="D960" s="3">
        <v>35291</v>
      </c>
      <c r="F960" t="s">
        <v>174</v>
      </c>
      <c r="G960">
        <v>1930</v>
      </c>
      <c r="H960">
        <f ca="1">MONTH(NOW())+12*YEAR(NOW())-MONTH(tbl_MTG_Set[[#This Row],[Released On]])-12*YEAR(tbl_MTG_Set[[#This Row],[Released On]])</f>
        <v>355</v>
      </c>
      <c r="I960" t="str">
        <f>_xlfn.XLOOKUP(tbl_MTG_Set[[#This Row],[Type Name]], tbl_MTG_Set_Type[Set Type], tbl_MTG_Set_Type[Index], "(Set Type not found)")</f>
        <v>(Set Type not found)</v>
      </c>
      <c r="J960" t="str">
        <f>_xlfn.XLOOKUP(tbl_MTG_Set[[#This Row],[Type Name]], tbl_MTG_Set_Type[Set Type], tbl_MTG_Set_Type[Buy Window Month Start], "(Set Type not found)")</f>
        <v>(Set Type not found)</v>
      </c>
      <c r="K960" s="3" t="e">
        <f>tbl_MTG_Set[[#This Row],[Released On]]+tbl_MTG_Set[[#This Row],[Buy Window Month Start]]*365.25/12</f>
        <v>#VALUE!</v>
      </c>
      <c r="L960" t="str">
        <f>_xlfn.XLOOKUP(tbl_MTG_Set[[#This Row],[Type Name]], tbl_MTG_Set_Type[Set Type], tbl_MTG_Set_Type[Buy Window Month End], "(Set Type not found)", 0, 1)</f>
        <v>(Set Type not found)</v>
      </c>
      <c r="M960" s="3" t="e">
        <f>tbl_MTG_Set[[#This Row],[Released On]]+tbl_MTG_Set[[#This Row],[Buy Window Month End]]*365.25/12</f>
        <v>#VALUE!</v>
      </c>
      <c r="N960" s="3" t="e">
        <f ca="1">AND(NOW()&gt;=tbl_MTG_Set[[#This Row],[Buy Window Start]], NOW()&lt;=tbl_MTG_Set[[#This Row],[Buy Window End]])</f>
        <v>#VALUE!</v>
      </c>
      <c r="O960" t="str">
        <f>_xlfn.XLOOKUP(tbl_MTG_Set[[#This Row],[Type Name]], tbl_MTG_Set_Type[Set Type], tbl_MTG_Set_Type[Heavy Printing Window Month Start], "(Set Type not found)", 0, 1)</f>
        <v>(Set Type not found)</v>
      </c>
      <c r="P960" s="3" t="e">
        <f>tbl_MTG_Set[[#This Row],[Released On]]+tbl_MTG_Set[[#This Row],[Heavy Printing Window Month Start]]*365.25/12</f>
        <v>#VALUE!</v>
      </c>
      <c r="Q960" t="str">
        <f>_xlfn.XLOOKUP(tbl_MTG_Set[[#This Row],[Type Name]], tbl_MTG_Set_Type[Set Type], tbl_MTG_Set_Type[Heavy Printing Window Month End], "(Set Type not found)", 0, 1)</f>
        <v>(Set Type not found)</v>
      </c>
      <c r="R960" s="3" t="e">
        <f>tbl_MTG_Set[[#This Row],[Released On]]+tbl_MTG_Set[[#This Row],[Heavy Printing Window Month End]]*365.25/12</f>
        <v>#VALUE!</v>
      </c>
      <c r="S960" s="3" t="e">
        <f ca="1">AND(NOW()&gt;=tbl_MTG_Set[[#This Row],[Heavy Printing Window Start]], NOW()&lt;=tbl_MTG_Set[[#This Row],[Heavy Printing Window End]])</f>
        <v>#VALUE!</v>
      </c>
      <c r="T960" t="str">
        <f>_xlfn.XLOOKUP(tbl_MTG_Set[[#This Row],[Type Name]], tbl_MTG_Set_Type[Set Type], tbl_MTG_Set_Type[Sell Window Month Start], "(Set Type not found)", 0, 1)</f>
        <v>(Set Type not found)</v>
      </c>
      <c r="U960" s="3" t="e">
        <f>tbl_MTG_Set[[#This Row],[Released On]]+tbl_MTG_Set[[#This Row],[Sell Window Month Start]]*365.25/12</f>
        <v>#VALUE!</v>
      </c>
      <c r="V960" t="str">
        <f>_xlfn.XLOOKUP(tbl_MTG_Set[[#This Row],[Type Name]], tbl_MTG_Set_Type[Set Type], tbl_MTG_Set_Type[Sell Window Month End], "(Set Type not found)", 0, 1)</f>
        <v>(Set Type not found)</v>
      </c>
      <c r="W960" s="3" t="e">
        <f>tbl_MTG_Set[[#This Row],[Released On]]+tbl_MTG_Set[[#This Row],[Sell Window Month End]]*365.25/12</f>
        <v>#VALUE!</v>
      </c>
      <c r="X960" s="3" t="e">
        <f ca="1">AND(NOW()&gt;=tbl_MTG_Set[[#This Row],[Sell Window Start]], NOW()&lt;=tbl_MTG_Set[[#This Row],[Sell Window End]])</f>
        <v>#VALUE!</v>
      </c>
      <c r="AG960" s="10"/>
      <c r="AH960" s="10"/>
      <c r="AM960" s="10" t="str" cm="1">
        <f t="array" ref="AM96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0" s="10" t="str" cm="1">
        <f t="array" ref="AN96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0" s="4" t="e">
        <f>_xlfn.XLOOKUP(tbl_MTG_Set[[#This Row],[Play Booster Box Product Id]], tbl_Product[Product Id], tbl_Product[Pack Size])</f>
        <v>#N/A</v>
      </c>
      <c r="AP960" s="10" t="e">
        <f>(tbl_MTG_Set[[#This Row],[Play Booster Box Cost]]+v_Item_Shipping_Cost_In)/tbl_MTG_Set[[#This Row],[Play Booster Box Size]]</f>
        <v>#VALUE!</v>
      </c>
      <c r="AQ960" s="10" t="str" cm="1">
        <f t="array" ref="AQ96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0" s="10"/>
      <c r="AS960" s="10"/>
      <c r="AT960" s="17" t="e">
        <f>tbl_MTG_Set[[#This Row],[Play Booster CardMarket Profit]]/tbl_MTG_Set[[#This Row],[Play Booster Cost]]</f>
        <v>#VALUE!</v>
      </c>
      <c r="AU960" s="10" t="e">
        <f>_xlfn.XLOOKUP(tbl_MTG_Set[[#This Row],[Collector Booster Box Product Id]], tbl_Product[Product Id], tbl_Product[Min Cost])</f>
        <v>#N/A</v>
      </c>
      <c r="AV960" s="10" t="e">
        <f>_xlfn.XLOOKUP(tbl_MTG_Set[[#This Row],[Collector Booster Box Product Id]], tbl_Product[Product Id], tbl_Product[Best Source])</f>
        <v>#N/A</v>
      </c>
      <c r="AW960" s="4" t="e">
        <f>_xlfn.XLOOKUP(tbl_MTG_Set[[#This Row],[Collector Booster Box Product Id]], tbl_Product[Product Id], tbl_Product[Pack Size])</f>
        <v>#N/A</v>
      </c>
      <c r="AX960" s="10" t="e">
        <f>(tbl_MTG_Set[[#This Row],[Collector Booster Box Cost]] + v_Item_Shipping_Cost_In) / tbl_MTG_Set[[#This Row],[Collector Booster Box Size]]</f>
        <v>#N/A</v>
      </c>
      <c r="AY960" s="10" t="str" cm="1">
        <f t="array" ref="AY96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0" s="10"/>
      <c r="BA96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0" s="17" t="e">
        <f>tbl_MTG_Set[[#This Row],[Collector Booster CardMarket Profit]]/tbl_MTG_Set[[#This Row],[Collector Booster Cost]]</f>
        <v>#N/A</v>
      </c>
      <c r="BC960" s="10"/>
      <c r="BF96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0" s="11" t="e">
        <f>tbl_MTG_Set[[#This Row],[Play Singles CardMarket Profit MTG Stocks]]/tbl_MTG_Set[[#This Row],[Play Booster Cost]]</f>
        <v>#VALUE!</v>
      </c>
      <c r="BI960" s="11" t="b">
        <f>tbl_MTG_Set[[#This Row],[Play Singles CardMarket Profit MTG Stocks]]&gt;0</f>
        <v>0</v>
      </c>
      <c r="BM960" s="10" t="e">
        <f>tbl_MTG_Set[[#This Row],[Play Booster Sell Price CardMarket]]*tbl_MTG_Set[[#This Row],[Play Booster Expected Market Value BotBox]]/tbl_MTG_Set[[#This Row],[Play Booster Sealed Market Value BotBox]]</f>
        <v>#VALUE!</v>
      </c>
      <c r="BN96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0" s="10" t="e">
        <f>tbl_MTG_Set[[#This Row],[Play Singles CardMarket Profit BotBox]]/tbl_MTG_Set[[#This Row],[Play Booster Cost]]</f>
        <v>#VALUE!</v>
      </c>
      <c r="BP960" s="10" t="b">
        <f>tbl_MTG_Set[[#This Row],[Play Singles CardMarket Profit BotBox]]&gt;0</f>
        <v>0</v>
      </c>
      <c r="BQ960" s="10"/>
      <c r="BR960" s="10"/>
      <c r="BS960" s="10"/>
      <c r="BT96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0" s="19" t="e">
        <f>tbl_MTG_Set[[#This Row],[Collector Singles CardMarket Profit MTG Stocks]]/tbl_MTG_Set[[#This Row],[Collector Booster Cost]]</f>
        <v>#N/A</v>
      </c>
      <c r="BW960" s="10" t="b">
        <f>tbl_MTG_Set[[#This Row],[Collector Singles CardMarket Profit MTG Stocks]]&gt;0</f>
        <v>0</v>
      </c>
      <c r="BX960" s="10"/>
      <c r="BY960" s="10"/>
      <c r="BZ96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0" s="10" t="e">
        <f>tbl_MTG_Set[[#This Row],[Collector Singles CardMarket Profit BotBox]]/tbl_MTG_Set[[#This Row],[Collector Booster Cost]]</f>
        <v>#N/A</v>
      </c>
      <c r="CC960" s="10" t="b">
        <f>tbl_MTG_Set[[#This Row],[Collector Singles CardMarket Profit BotBox]]&gt;0</f>
        <v>0</v>
      </c>
      <c r="CD96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1" spans="1:86" hidden="1">
      <c r="A961">
        <v>993</v>
      </c>
      <c r="B961" t="s">
        <v>1134</v>
      </c>
      <c r="C961">
        <v>7</v>
      </c>
      <c r="D961" s="3">
        <v>35279</v>
      </c>
      <c r="F961" t="s">
        <v>174</v>
      </c>
      <c r="G961">
        <v>1932</v>
      </c>
      <c r="H961">
        <f ca="1">MONTH(NOW())+12*YEAR(NOW())-MONTH(tbl_MTG_Set[[#This Row],[Released On]])-12*YEAR(tbl_MTG_Set[[#This Row],[Released On]])</f>
        <v>355</v>
      </c>
      <c r="I961" t="str">
        <f>_xlfn.XLOOKUP(tbl_MTG_Set[[#This Row],[Type Name]], tbl_MTG_Set_Type[Set Type], tbl_MTG_Set_Type[Index], "(Set Type not found)")</f>
        <v>(Set Type not found)</v>
      </c>
      <c r="J961" t="str">
        <f>_xlfn.XLOOKUP(tbl_MTG_Set[[#This Row],[Type Name]], tbl_MTG_Set_Type[Set Type], tbl_MTG_Set_Type[Buy Window Month Start], "(Set Type not found)")</f>
        <v>(Set Type not found)</v>
      </c>
      <c r="K961" s="3" t="e">
        <f>tbl_MTG_Set[[#This Row],[Released On]]+tbl_MTG_Set[[#This Row],[Buy Window Month Start]]*365.25/12</f>
        <v>#VALUE!</v>
      </c>
      <c r="L961" t="str">
        <f>_xlfn.XLOOKUP(tbl_MTG_Set[[#This Row],[Type Name]], tbl_MTG_Set_Type[Set Type], tbl_MTG_Set_Type[Buy Window Month End], "(Set Type not found)", 0, 1)</f>
        <v>(Set Type not found)</v>
      </c>
      <c r="M961" s="3" t="e">
        <f>tbl_MTG_Set[[#This Row],[Released On]]+tbl_MTG_Set[[#This Row],[Buy Window Month End]]*365.25/12</f>
        <v>#VALUE!</v>
      </c>
      <c r="N961" s="3" t="e">
        <f ca="1">AND(NOW()&gt;=tbl_MTG_Set[[#This Row],[Buy Window Start]], NOW()&lt;=tbl_MTG_Set[[#This Row],[Buy Window End]])</f>
        <v>#VALUE!</v>
      </c>
      <c r="O961" t="str">
        <f>_xlfn.XLOOKUP(tbl_MTG_Set[[#This Row],[Type Name]], tbl_MTG_Set_Type[Set Type], tbl_MTG_Set_Type[Heavy Printing Window Month Start], "(Set Type not found)", 0, 1)</f>
        <v>(Set Type not found)</v>
      </c>
      <c r="P961" s="3" t="e">
        <f>tbl_MTG_Set[[#This Row],[Released On]]+tbl_MTG_Set[[#This Row],[Heavy Printing Window Month Start]]*365.25/12</f>
        <v>#VALUE!</v>
      </c>
      <c r="Q961" t="str">
        <f>_xlfn.XLOOKUP(tbl_MTG_Set[[#This Row],[Type Name]], tbl_MTG_Set_Type[Set Type], tbl_MTG_Set_Type[Heavy Printing Window Month End], "(Set Type not found)", 0, 1)</f>
        <v>(Set Type not found)</v>
      </c>
      <c r="R961" s="3" t="e">
        <f>tbl_MTG_Set[[#This Row],[Released On]]+tbl_MTG_Set[[#This Row],[Heavy Printing Window Month End]]*365.25/12</f>
        <v>#VALUE!</v>
      </c>
      <c r="S961" s="3" t="e">
        <f ca="1">AND(NOW()&gt;=tbl_MTG_Set[[#This Row],[Heavy Printing Window Start]], NOW()&lt;=tbl_MTG_Set[[#This Row],[Heavy Printing Window End]])</f>
        <v>#VALUE!</v>
      </c>
      <c r="T961" t="str">
        <f>_xlfn.XLOOKUP(tbl_MTG_Set[[#This Row],[Type Name]], tbl_MTG_Set_Type[Set Type], tbl_MTG_Set_Type[Sell Window Month Start], "(Set Type not found)", 0, 1)</f>
        <v>(Set Type not found)</v>
      </c>
      <c r="U961" s="3" t="e">
        <f>tbl_MTG_Set[[#This Row],[Released On]]+tbl_MTG_Set[[#This Row],[Sell Window Month Start]]*365.25/12</f>
        <v>#VALUE!</v>
      </c>
      <c r="V961" t="str">
        <f>_xlfn.XLOOKUP(tbl_MTG_Set[[#This Row],[Type Name]], tbl_MTG_Set_Type[Set Type], tbl_MTG_Set_Type[Sell Window Month End], "(Set Type not found)", 0, 1)</f>
        <v>(Set Type not found)</v>
      </c>
      <c r="W961" s="3" t="e">
        <f>tbl_MTG_Set[[#This Row],[Released On]]+tbl_MTG_Set[[#This Row],[Sell Window Month End]]*365.25/12</f>
        <v>#VALUE!</v>
      </c>
      <c r="X961" s="3" t="e">
        <f ca="1">AND(NOW()&gt;=tbl_MTG_Set[[#This Row],[Sell Window Start]], NOW()&lt;=tbl_MTG_Set[[#This Row],[Sell Window End]])</f>
        <v>#VALUE!</v>
      </c>
      <c r="AG961" s="10"/>
      <c r="AH961" s="10"/>
      <c r="AM961" s="10" t="str" cm="1">
        <f t="array" ref="AM96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1" s="10" t="str" cm="1">
        <f t="array" ref="AN96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1" s="4" t="e">
        <f>_xlfn.XLOOKUP(tbl_MTG_Set[[#This Row],[Play Booster Box Product Id]], tbl_Product[Product Id], tbl_Product[Pack Size])</f>
        <v>#N/A</v>
      </c>
      <c r="AP961" s="10" t="e">
        <f>(tbl_MTG_Set[[#This Row],[Play Booster Box Cost]]+v_Item_Shipping_Cost_In)/tbl_MTG_Set[[#This Row],[Play Booster Box Size]]</f>
        <v>#VALUE!</v>
      </c>
      <c r="AQ961" s="10" t="str" cm="1">
        <f t="array" ref="AQ96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1" s="10"/>
      <c r="AS961" s="10"/>
      <c r="AT961" s="17" t="e">
        <f>tbl_MTG_Set[[#This Row],[Play Booster CardMarket Profit]]/tbl_MTG_Set[[#This Row],[Play Booster Cost]]</f>
        <v>#VALUE!</v>
      </c>
      <c r="AU961" s="10" t="e">
        <f>_xlfn.XLOOKUP(tbl_MTG_Set[[#This Row],[Collector Booster Box Product Id]], tbl_Product[Product Id], tbl_Product[Min Cost])</f>
        <v>#N/A</v>
      </c>
      <c r="AV961" s="10" t="e">
        <f>_xlfn.XLOOKUP(tbl_MTG_Set[[#This Row],[Collector Booster Box Product Id]], tbl_Product[Product Id], tbl_Product[Best Source])</f>
        <v>#N/A</v>
      </c>
      <c r="AW961" s="4" t="e">
        <f>_xlfn.XLOOKUP(tbl_MTG_Set[[#This Row],[Collector Booster Box Product Id]], tbl_Product[Product Id], tbl_Product[Pack Size])</f>
        <v>#N/A</v>
      </c>
      <c r="AX961" s="10" t="e">
        <f>(tbl_MTG_Set[[#This Row],[Collector Booster Box Cost]] + v_Item_Shipping_Cost_In) / tbl_MTG_Set[[#This Row],[Collector Booster Box Size]]</f>
        <v>#N/A</v>
      </c>
      <c r="AY961" s="10" t="str" cm="1">
        <f t="array" ref="AY96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1" s="10"/>
      <c r="BA96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1" s="17" t="e">
        <f>tbl_MTG_Set[[#This Row],[Collector Booster CardMarket Profit]]/tbl_MTG_Set[[#This Row],[Collector Booster Cost]]</f>
        <v>#N/A</v>
      </c>
      <c r="BC961" s="10"/>
      <c r="BF96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1" s="11" t="e">
        <f>tbl_MTG_Set[[#This Row],[Play Singles CardMarket Profit MTG Stocks]]/tbl_MTG_Set[[#This Row],[Play Booster Cost]]</f>
        <v>#VALUE!</v>
      </c>
      <c r="BI961" s="11" t="b">
        <f>tbl_MTG_Set[[#This Row],[Play Singles CardMarket Profit MTG Stocks]]&gt;0</f>
        <v>0</v>
      </c>
      <c r="BM961" s="10" t="e">
        <f>tbl_MTG_Set[[#This Row],[Play Booster Sell Price CardMarket]]*tbl_MTG_Set[[#This Row],[Play Booster Expected Market Value BotBox]]/tbl_MTG_Set[[#This Row],[Play Booster Sealed Market Value BotBox]]</f>
        <v>#VALUE!</v>
      </c>
      <c r="BN96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1" s="10" t="e">
        <f>tbl_MTG_Set[[#This Row],[Play Singles CardMarket Profit BotBox]]/tbl_MTG_Set[[#This Row],[Play Booster Cost]]</f>
        <v>#VALUE!</v>
      </c>
      <c r="BP961" s="10" t="b">
        <f>tbl_MTG_Set[[#This Row],[Play Singles CardMarket Profit BotBox]]&gt;0</f>
        <v>0</v>
      </c>
      <c r="BQ961" s="10"/>
      <c r="BR961" s="10"/>
      <c r="BS961" s="10"/>
      <c r="BT96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1" s="19" t="e">
        <f>tbl_MTG_Set[[#This Row],[Collector Singles CardMarket Profit MTG Stocks]]/tbl_MTG_Set[[#This Row],[Collector Booster Cost]]</f>
        <v>#N/A</v>
      </c>
      <c r="BW961" s="10" t="b">
        <f>tbl_MTG_Set[[#This Row],[Collector Singles CardMarket Profit MTG Stocks]]&gt;0</f>
        <v>0</v>
      </c>
      <c r="BX961" s="10"/>
      <c r="BY961" s="10"/>
      <c r="BZ96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1" s="10" t="e">
        <f>tbl_MTG_Set[[#This Row],[Collector Singles CardMarket Profit BotBox]]/tbl_MTG_Set[[#This Row],[Collector Booster Cost]]</f>
        <v>#N/A</v>
      </c>
      <c r="CC961" s="10" t="b">
        <f>tbl_MTG_Set[[#This Row],[Collector Singles CardMarket Profit BotBox]]&gt;0</f>
        <v>0</v>
      </c>
      <c r="CD96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2" spans="1:86" hidden="1">
      <c r="A962">
        <v>994</v>
      </c>
      <c r="B962" t="s">
        <v>1135</v>
      </c>
      <c r="C962">
        <v>2</v>
      </c>
      <c r="D962" s="3">
        <v>35247</v>
      </c>
      <c r="F962" t="s">
        <v>174</v>
      </c>
      <c r="G962">
        <v>1934</v>
      </c>
      <c r="H962">
        <f ca="1">MONTH(NOW())+12*YEAR(NOW())-MONTH(tbl_MTG_Set[[#This Row],[Released On]])-12*YEAR(tbl_MTG_Set[[#This Row],[Released On]])</f>
        <v>356</v>
      </c>
      <c r="I962" t="str">
        <f>_xlfn.XLOOKUP(tbl_MTG_Set[[#This Row],[Type Name]], tbl_MTG_Set_Type[Set Type], tbl_MTG_Set_Type[Index], "(Set Type not found)")</f>
        <v>(Set Type not found)</v>
      </c>
      <c r="J962" t="str">
        <f>_xlfn.XLOOKUP(tbl_MTG_Set[[#This Row],[Type Name]], tbl_MTG_Set_Type[Set Type], tbl_MTG_Set_Type[Buy Window Month Start], "(Set Type not found)")</f>
        <v>(Set Type not found)</v>
      </c>
      <c r="K962" s="3" t="e">
        <f>tbl_MTG_Set[[#This Row],[Released On]]+tbl_MTG_Set[[#This Row],[Buy Window Month Start]]*365.25/12</f>
        <v>#VALUE!</v>
      </c>
      <c r="L962" t="str">
        <f>_xlfn.XLOOKUP(tbl_MTG_Set[[#This Row],[Type Name]], tbl_MTG_Set_Type[Set Type], tbl_MTG_Set_Type[Buy Window Month End], "(Set Type not found)", 0, 1)</f>
        <v>(Set Type not found)</v>
      </c>
      <c r="M962" s="3" t="e">
        <f>tbl_MTG_Set[[#This Row],[Released On]]+tbl_MTG_Set[[#This Row],[Buy Window Month End]]*365.25/12</f>
        <v>#VALUE!</v>
      </c>
      <c r="N962" s="3" t="e">
        <f ca="1">AND(NOW()&gt;=tbl_MTG_Set[[#This Row],[Buy Window Start]], NOW()&lt;=tbl_MTG_Set[[#This Row],[Buy Window End]])</f>
        <v>#VALUE!</v>
      </c>
      <c r="O962" t="str">
        <f>_xlfn.XLOOKUP(tbl_MTG_Set[[#This Row],[Type Name]], tbl_MTG_Set_Type[Set Type], tbl_MTG_Set_Type[Heavy Printing Window Month Start], "(Set Type not found)", 0, 1)</f>
        <v>(Set Type not found)</v>
      </c>
      <c r="P962" s="3" t="e">
        <f>tbl_MTG_Set[[#This Row],[Released On]]+tbl_MTG_Set[[#This Row],[Heavy Printing Window Month Start]]*365.25/12</f>
        <v>#VALUE!</v>
      </c>
      <c r="Q962" t="str">
        <f>_xlfn.XLOOKUP(tbl_MTG_Set[[#This Row],[Type Name]], tbl_MTG_Set_Type[Set Type], tbl_MTG_Set_Type[Heavy Printing Window Month End], "(Set Type not found)", 0, 1)</f>
        <v>(Set Type not found)</v>
      </c>
      <c r="R962" s="3" t="e">
        <f>tbl_MTG_Set[[#This Row],[Released On]]+tbl_MTG_Set[[#This Row],[Heavy Printing Window Month End]]*365.25/12</f>
        <v>#VALUE!</v>
      </c>
      <c r="S962" s="3" t="e">
        <f ca="1">AND(NOW()&gt;=tbl_MTG_Set[[#This Row],[Heavy Printing Window Start]], NOW()&lt;=tbl_MTG_Set[[#This Row],[Heavy Printing Window End]])</f>
        <v>#VALUE!</v>
      </c>
      <c r="T962" t="str">
        <f>_xlfn.XLOOKUP(tbl_MTG_Set[[#This Row],[Type Name]], tbl_MTG_Set_Type[Set Type], tbl_MTG_Set_Type[Sell Window Month Start], "(Set Type not found)", 0, 1)</f>
        <v>(Set Type not found)</v>
      </c>
      <c r="U962" s="3" t="e">
        <f>tbl_MTG_Set[[#This Row],[Released On]]+tbl_MTG_Set[[#This Row],[Sell Window Month Start]]*365.25/12</f>
        <v>#VALUE!</v>
      </c>
      <c r="V962" t="str">
        <f>_xlfn.XLOOKUP(tbl_MTG_Set[[#This Row],[Type Name]], tbl_MTG_Set_Type[Set Type], tbl_MTG_Set_Type[Sell Window Month End], "(Set Type not found)", 0, 1)</f>
        <v>(Set Type not found)</v>
      </c>
      <c r="W962" s="3" t="e">
        <f>tbl_MTG_Set[[#This Row],[Released On]]+tbl_MTG_Set[[#This Row],[Sell Window Month End]]*365.25/12</f>
        <v>#VALUE!</v>
      </c>
      <c r="X962" s="3" t="e">
        <f ca="1">AND(NOW()&gt;=tbl_MTG_Set[[#This Row],[Sell Window Start]], NOW()&lt;=tbl_MTG_Set[[#This Row],[Sell Window End]])</f>
        <v>#VALUE!</v>
      </c>
      <c r="AG962" s="10"/>
      <c r="AH962" s="10"/>
      <c r="AM962" s="10" t="str" cm="1">
        <f t="array" ref="AM96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2" s="10" t="str" cm="1">
        <f t="array" ref="AN96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2" s="4" t="e">
        <f>_xlfn.XLOOKUP(tbl_MTG_Set[[#This Row],[Play Booster Box Product Id]], tbl_Product[Product Id], tbl_Product[Pack Size])</f>
        <v>#N/A</v>
      </c>
      <c r="AP962" s="10" t="e">
        <f>(tbl_MTG_Set[[#This Row],[Play Booster Box Cost]]+v_Item_Shipping_Cost_In)/tbl_MTG_Set[[#This Row],[Play Booster Box Size]]</f>
        <v>#VALUE!</v>
      </c>
      <c r="AQ962" s="10" t="str" cm="1">
        <f t="array" ref="AQ96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2" s="10"/>
      <c r="AS962" s="10"/>
      <c r="AT962" s="17" t="e">
        <f>tbl_MTG_Set[[#This Row],[Play Booster CardMarket Profit]]/tbl_MTG_Set[[#This Row],[Play Booster Cost]]</f>
        <v>#VALUE!</v>
      </c>
      <c r="AU962" s="10" t="e">
        <f>_xlfn.XLOOKUP(tbl_MTG_Set[[#This Row],[Collector Booster Box Product Id]], tbl_Product[Product Id], tbl_Product[Min Cost])</f>
        <v>#N/A</v>
      </c>
      <c r="AV962" s="10" t="e">
        <f>_xlfn.XLOOKUP(tbl_MTG_Set[[#This Row],[Collector Booster Box Product Id]], tbl_Product[Product Id], tbl_Product[Best Source])</f>
        <v>#N/A</v>
      </c>
      <c r="AW962" s="4" t="e">
        <f>_xlfn.XLOOKUP(tbl_MTG_Set[[#This Row],[Collector Booster Box Product Id]], tbl_Product[Product Id], tbl_Product[Pack Size])</f>
        <v>#N/A</v>
      </c>
      <c r="AX962" s="10" t="e">
        <f>(tbl_MTG_Set[[#This Row],[Collector Booster Box Cost]] + v_Item_Shipping_Cost_In) / tbl_MTG_Set[[#This Row],[Collector Booster Box Size]]</f>
        <v>#N/A</v>
      </c>
      <c r="AY962" s="10" t="str" cm="1">
        <f t="array" ref="AY96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2" s="10"/>
      <c r="BA96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2" s="17" t="e">
        <f>tbl_MTG_Set[[#This Row],[Collector Booster CardMarket Profit]]/tbl_MTG_Set[[#This Row],[Collector Booster Cost]]</f>
        <v>#N/A</v>
      </c>
      <c r="BC962" s="10"/>
      <c r="BF96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2" s="11" t="e">
        <f>tbl_MTG_Set[[#This Row],[Play Singles CardMarket Profit MTG Stocks]]/tbl_MTG_Set[[#This Row],[Play Booster Cost]]</f>
        <v>#VALUE!</v>
      </c>
      <c r="BI962" s="11" t="b">
        <f>tbl_MTG_Set[[#This Row],[Play Singles CardMarket Profit MTG Stocks]]&gt;0</f>
        <v>0</v>
      </c>
      <c r="BM962" s="10" t="e">
        <f>tbl_MTG_Set[[#This Row],[Play Booster Sell Price CardMarket]]*tbl_MTG_Set[[#This Row],[Play Booster Expected Market Value BotBox]]/tbl_MTG_Set[[#This Row],[Play Booster Sealed Market Value BotBox]]</f>
        <v>#VALUE!</v>
      </c>
      <c r="BN96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2" s="10" t="e">
        <f>tbl_MTG_Set[[#This Row],[Play Singles CardMarket Profit BotBox]]/tbl_MTG_Set[[#This Row],[Play Booster Cost]]</f>
        <v>#VALUE!</v>
      </c>
      <c r="BP962" s="10" t="b">
        <f>tbl_MTG_Set[[#This Row],[Play Singles CardMarket Profit BotBox]]&gt;0</f>
        <v>0</v>
      </c>
      <c r="BQ962" s="10"/>
      <c r="BR962" s="10"/>
      <c r="BS962" s="10"/>
      <c r="BT96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2" s="19" t="e">
        <f>tbl_MTG_Set[[#This Row],[Collector Singles CardMarket Profit MTG Stocks]]/tbl_MTG_Set[[#This Row],[Collector Booster Cost]]</f>
        <v>#N/A</v>
      </c>
      <c r="BW962" s="10" t="b">
        <f>tbl_MTG_Set[[#This Row],[Collector Singles CardMarket Profit MTG Stocks]]&gt;0</f>
        <v>0</v>
      </c>
      <c r="BX962" s="10"/>
      <c r="BY962" s="10"/>
      <c r="BZ96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2" s="10" t="e">
        <f>tbl_MTG_Set[[#This Row],[Collector Singles CardMarket Profit BotBox]]/tbl_MTG_Set[[#This Row],[Collector Booster Cost]]</f>
        <v>#N/A</v>
      </c>
      <c r="CC962" s="10" t="b">
        <f>tbl_MTG_Set[[#This Row],[Collector Singles CardMarket Profit BotBox]]&gt;0</f>
        <v>0</v>
      </c>
      <c r="CD96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3" spans="1:86" hidden="1">
      <c r="A963">
        <v>995</v>
      </c>
      <c r="B963" t="s">
        <v>1136</v>
      </c>
      <c r="C963">
        <v>65</v>
      </c>
      <c r="D963" s="3">
        <v>35247</v>
      </c>
      <c r="F963" t="s">
        <v>174</v>
      </c>
      <c r="G963">
        <v>1936</v>
      </c>
      <c r="H963">
        <f ca="1">MONTH(NOW())+12*YEAR(NOW())-MONTH(tbl_MTG_Set[[#This Row],[Released On]])-12*YEAR(tbl_MTG_Set[[#This Row],[Released On]])</f>
        <v>356</v>
      </c>
      <c r="I963" t="str">
        <f>_xlfn.XLOOKUP(tbl_MTG_Set[[#This Row],[Type Name]], tbl_MTG_Set_Type[Set Type], tbl_MTG_Set_Type[Index], "(Set Type not found)")</f>
        <v>(Set Type not found)</v>
      </c>
      <c r="J963" t="str">
        <f>_xlfn.XLOOKUP(tbl_MTG_Set[[#This Row],[Type Name]], tbl_MTG_Set_Type[Set Type], tbl_MTG_Set_Type[Buy Window Month Start], "(Set Type not found)")</f>
        <v>(Set Type not found)</v>
      </c>
      <c r="K963" s="3" t="e">
        <f>tbl_MTG_Set[[#This Row],[Released On]]+tbl_MTG_Set[[#This Row],[Buy Window Month Start]]*365.25/12</f>
        <v>#VALUE!</v>
      </c>
      <c r="L963" t="str">
        <f>_xlfn.XLOOKUP(tbl_MTG_Set[[#This Row],[Type Name]], tbl_MTG_Set_Type[Set Type], tbl_MTG_Set_Type[Buy Window Month End], "(Set Type not found)", 0, 1)</f>
        <v>(Set Type not found)</v>
      </c>
      <c r="M963" s="3" t="e">
        <f>tbl_MTG_Set[[#This Row],[Released On]]+tbl_MTG_Set[[#This Row],[Buy Window Month End]]*365.25/12</f>
        <v>#VALUE!</v>
      </c>
      <c r="N963" s="3" t="e">
        <f ca="1">AND(NOW()&gt;=tbl_MTG_Set[[#This Row],[Buy Window Start]], NOW()&lt;=tbl_MTG_Set[[#This Row],[Buy Window End]])</f>
        <v>#VALUE!</v>
      </c>
      <c r="O963" t="str">
        <f>_xlfn.XLOOKUP(tbl_MTG_Set[[#This Row],[Type Name]], tbl_MTG_Set_Type[Set Type], tbl_MTG_Set_Type[Heavy Printing Window Month Start], "(Set Type not found)", 0, 1)</f>
        <v>(Set Type not found)</v>
      </c>
      <c r="P963" s="3" t="e">
        <f>tbl_MTG_Set[[#This Row],[Released On]]+tbl_MTG_Set[[#This Row],[Heavy Printing Window Month Start]]*365.25/12</f>
        <v>#VALUE!</v>
      </c>
      <c r="Q963" t="str">
        <f>_xlfn.XLOOKUP(tbl_MTG_Set[[#This Row],[Type Name]], tbl_MTG_Set_Type[Set Type], tbl_MTG_Set_Type[Heavy Printing Window Month End], "(Set Type not found)", 0, 1)</f>
        <v>(Set Type not found)</v>
      </c>
      <c r="R963" s="3" t="e">
        <f>tbl_MTG_Set[[#This Row],[Released On]]+tbl_MTG_Set[[#This Row],[Heavy Printing Window Month End]]*365.25/12</f>
        <v>#VALUE!</v>
      </c>
      <c r="S963" s="3" t="e">
        <f ca="1">AND(NOW()&gt;=tbl_MTG_Set[[#This Row],[Heavy Printing Window Start]], NOW()&lt;=tbl_MTG_Set[[#This Row],[Heavy Printing Window End]])</f>
        <v>#VALUE!</v>
      </c>
      <c r="T963" t="str">
        <f>_xlfn.XLOOKUP(tbl_MTG_Set[[#This Row],[Type Name]], tbl_MTG_Set_Type[Set Type], tbl_MTG_Set_Type[Sell Window Month Start], "(Set Type not found)", 0, 1)</f>
        <v>(Set Type not found)</v>
      </c>
      <c r="U963" s="3" t="e">
        <f>tbl_MTG_Set[[#This Row],[Released On]]+tbl_MTG_Set[[#This Row],[Sell Window Month Start]]*365.25/12</f>
        <v>#VALUE!</v>
      </c>
      <c r="V963" t="str">
        <f>_xlfn.XLOOKUP(tbl_MTG_Set[[#This Row],[Type Name]], tbl_MTG_Set_Type[Set Type], tbl_MTG_Set_Type[Sell Window Month End], "(Set Type not found)", 0, 1)</f>
        <v>(Set Type not found)</v>
      </c>
      <c r="W963" s="3" t="e">
        <f>tbl_MTG_Set[[#This Row],[Released On]]+tbl_MTG_Set[[#This Row],[Sell Window Month End]]*365.25/12</f>
        <v>#VALUE!</v>
      </c>
      <c r="X963" s="3" t="e">
        <f ca="1">AND(NOW()&gt;=tbl_MTG_Set[[#This Row],[Sell Window Start]], NOW()&lt;=tbl_MTG_Set[[#This Row],[Sell Window End]])</f>
        <v>#VALUE!</v>
      </c>
      <c r="AG963" s="10"/>
      <c r="AH963" s="10"/>
      <c r="AM963" s="10" t="str" cm="1">
        <f t="array" ref="AM96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3" s="10" t="str" cm="1">
        <f t="array" ref="AN96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3" s="4" t="e">
        <f>_xlfn.XLOOKUP(tbl_MTG_Set[[#This Row],[Play Booster Box Product Id]], tbl_Product[Product Id], tbl_Product[Pack Size])</f>
        <v>#N/A</v>
      </c>
      <c r="AP963" s="10" t="e">
        <f>(tbl_MTG_Set[[#This Row],[Play Booster Box Cost]]+v_Item_Shipping_Cost_In)/tbl_MTG_Set[[#This Row],[Play Booster Box Size]]</f>
        <v>#VALUE!</v>
      </c>
      <c r="AQ963" s="10" t="str" cm="1">
        <f t="array" ref="AQ96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3" s="10"/>
      <c r="AS963" s="10"/>
      <c r="AT963" s="17" t="e">
        <f>tbl_MTG_Set[[#This Row],[Play Booster CardMarket Profit]]/tbl_MTG_Set[[#This Row],[Play Booster Cost]]</f>
        <v>#VALUE!</v>
      </c>
      <c r="AU963" s="10" t="e">
        <f>_xlfn.XLOOKUP(tbl_MTG_Set[[#This Row],[Collector Booster Box Product Id]], tbl_Product[Product Id], tbl_Product[Min Cost])</f>
        <v>#N/A</v>
      </c>
      <c r="AV963" s="10" t="e">
        <f>_xlfn.XLOOKUP(tbl_MTG_Set[[#This Row],[Collector Booster Box Product Id]], tbl_Product[Product Id], tbl_Product[Best Source])</f>
        <v>#N/A</v>
      </c>
      <c r="AW963" s="4" t="e">
        <f>_xlfn.XLOOKUP(tbl_MTG_Set[[#This Row],[Collector Booster Box Product Id]], tbl_Product[Product Id], tbl_Product[Pack Size])</f>
        <v>#N/A</v>
      </c>
      <c r="AX963" s="10" t="e">
        <f>(tbl_MTG_Set[[#This Row],[Collector Booster Box Cost]] + v_Item_Shipping_Cost_In) / tbl_MTG_Set[[#This Row],[Collector Booster Box Size]]</f>
        <v>#N/A</v>
      </c>
      <c r="AY963" s="10" t="str" cm="1">
        <f t="array" ref="AY96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3" s="10"/>
      <c r="BA96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3" s="17" t="e">
        <f>tbl_MTG_Set[[#This Row],[Collector Booster CardMarket Profit]]/tbl_MTG_Set[[#This Row],[Collector Booster Cost]]</f>
        <v>#N/A</v>
      </c>
      <c r="BC963" s="10"/>
      <c r="BF96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3" s="11" t="e">
        <f>tbl_MTG_Set[[#This Row],[Play Singles CardMarket Profit MTG Stocks]]/tbl_MTG_Set[[#This Row],[Play Booster Cost]]</f>
        <v>#VALUE!</v>
      </c>
      <c r="BI963" s="11" t="b">
        <f>tbl_MTG_Set[[#This Row],[Play Singles CardMarket Profit MTG Stocks]]&gt;0</f>
        <v>0</v>
      </c>
      <c r="BM963" s="10" t="e">
        <f>tbl_MTG_Set[[#This Row],[Play Booster Sell Price CardMarket]]*tbl_MTG_Set[[#This Row],[Play Booster Expected Market Value BotBox]]/tbl_MTG_Set[[#This Row],[Play Booster Sealed Market Value BotBox]]</f>
        <v>#VALUE!</v>
      </c>
      <c r="BN96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3" s="10" t="e">
        <f>tbl_MTG_Set[[#This Row],[Play Singles CardMarket Profit BotBox]]/tbl_MTG_Set[[#This Row],[Play Booster Cost]]</f>
        <v>#VALUE!</v>
      </c>
      <c r="BP963" s="10" t="b">
        <f>tbl_MTG_Set[[#This Row],[Play Singles CardMarket Profit BotBox]]&gt;0</f>
        <v>0</v>
      </c>
      <c r="BQ963" s="10"/>
      <c r="BR963" s="10"/>
      <c r="BS963" s="10"/>
      <c r="BT96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3" s="19" t="e">
        <f>tbl_MTG_Set[[#This Row],[Collector Singles CardMarket Profit MTG Stocks]]/tbl_MTG_Set[[#This Row],[Collector Booster Cost]]</f>
        <v>#N/A</v>
      </c>
      <c r="BW963" s="10" t="b">
        <f>tbl_MTG_Set[[#This Row],[Collector Singles CardMarket Profit MTG Stocks]]&gt;0</f>
        <v>0</v>
      </c>
      <c r="BX963" s="10"/>
      <c r="BY963" s="10"/>
      <c r="BZ96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3" s="10" t="e">
        <f>tbl_MTG_Set[[#This Row],[Collector Singles CardMarket Profit BotBox]]/tbl_MTG_Set[[#This Row],[Collector Booster Cost]]</f>
        <v>#N/A</v>
      </c>
      <c r="CC963" s="10" t="b">
        <f>tbl_MTG_Set[[#This Row],[Collector Singles CardMarket Profit BotBox]]&gt;0</f>
        <v>0</v>
      </c>
      <c r="CD96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4" spans="1:86" hidden="1">
      <c r="A964">
        <v>996</v>
      </c>
      <c r="B964" t="s">
        <v>1137</v>
      </c>
      <c r="C964">
        <v>199</v>
      </c>
      <c r="D964" s="3">
        <v>35226</v>
      </c>
      <c r="F964" t="s">
        <v>174</v>
      </c>
      <c r="G964">
        <v>1938</v>
      </c>
      <c r="H964">
        <f ca="1">MONTH(NOW())+12*YEAR(NOW())-MONTH(tbl_MTG_Set[[#This Row],[Released On]])-12*YEAR(tbl_MTG_Set[[#This Row],[Released On]])</f>
        <v>357</v>
      </c>
      <c r="I964" t="str">
        <f>_xlfn.XLOOKUP(tbl_MTG_Set[[#This Row],[Type Name]], tbl_MTG_Set_Type[Set Type], tbl_MTG_Set_Type[Index], "(Set Type not found)")</f>
        <v>(Set Type not found)</v>
      </c>
      <c r="J964" t="str">
        <f>_xlfn.XLOOKUP(tbl_MTG_Set[[#This Row],[Type Name]], tbl_MTG_Set_Type[Set Type], tbl_MTG_Set_Type[Buy Window Month Start], "(Set Type not found)")</f>
        <v>(Set Type not found)</v>
      </c>
      <c r="K964" s="3" t="e">
        <f>tbl_MTG_Set[[#This Row],[Released On]]+tbl_MTG_Set[[#This Row],[Buy Window Month Start]]*365.25/12</f>
        <v>#VALUE!</v>
      </c>
      <c r="L964" t="str">
        <f>_xlfn.XLOOKUP(tbl_MTG_Set[[#This Row],[Type Name]], tbl_MTG_Set_Type[Set Type], tbl_MTG_Set_Type[Buy Window Month End], "(Set Type not found)", 0, 1)</f>
        <v>(Set Type not found)</v>
      </c>
      <c r="M964" s="3" t="e">
        <f>tbl_MTG_Set[[#This Row],[Released On]]+tbl_MTG_Set[[#This Row],[Buy Window Month End]]*365.25/12</f>
        <v>#VALUE!</v>
      </c>
      <c r="N964" s="3" t="e">
        <f ca="1">AND(NOW()&gt;=tbl_MTG_Set[[#This Row],[Buy Window Start]], NOW()&lt;=tbl_MTG_Set[[#This Row],[Buy Window End]])</f>
        <v>#VALUE!</v>
      </c>
      <c r="O964" t="str">
        <f>_xlfn.XLOOKUP(tbl_MTG_Set[[#This Row],[Type Name]], tbl_MTG_Set_Type[Set Type], tbl_MTG_Set_Type[Heavy Printing Window Month Start], "(Set Type not found)", 0, 1)</f>
        <v>(Set Type not found)</v>
      </c>
      <c r="P964" s="3" t="e">
        <f>tbl_MTG_Set[[#This Row],[Released On]]+tbl_MTG_Set[[#This Row],[Heavy Printing Window Month Start]]*365.25/12</f>
        <v>#VALUE!</v>
      </c>
      <c r="Q964" t="str">
        <f>_xlfn.XLOOKUP(tbl_MTG_Set[[#This Row],[Type Name]], tbl_MTG_Set_Type[Set Type], tbl_MTG_Set_Type[Heavy Printing Window Month End], "(Set Type not found)", 0, 1)</f>
        <v>(Set Type not found)</v>
      </c>
      <c r="R964" s="3" t="e">
        <f>tbl_MTG_Set[[#This Row],[Released On]]+tbl_MTG_Set[[#This Row],[Heavy Printing Window Month End]]*365.25/12</f>
        <v>#VALUE!</v>
      </c>
      <c r="S964" s="3" t="e">
        <f ca="1">AND(NOW()&gt;=tbl_MTG_Set[[#This Row],[Heavy Printing Window Start]], NOW()&lt;=tbl_MTG_Set[[#This Row],[Heavy Printing Window End]])</f>
        <v>#VALUE!</v>
      </c>
      <c r="T964" t="str">
        <f>_xlfn.XLOOKUP(tbl_MTG_Set[[#This Row],[Type Name]], tbl_MTG_Set_Type[Set Type], tbl_MTG_Set_Type[Sell Window Month Start], "(Set Type not found)", 0, 1)</f>
        <v>(Set Type not found)</v>
      </c>
      <c r="U964" s="3" t="e">
        <f>tbl_MTG_Set[[#This Row],[Released On]]+tbl_MTG_Set[[#This Row],[Sell Window Month Start]]*365.25/12</f>
        <v>#VALUE!</v>
      </c>
      <c r="V964" t="str">
        <f>_xlfn.XLOOKUP(tbl_MTG_Set[[#This Row],[Type Name]], tbl_MTG_Set_Type[Set Type], tbl_MTG_Set_Type[Sell Window Month End], "(Set Type not found)", 0, 1)</f>
        <v>(Set Type not found)</v>
      </c>
      <c r="W964" s="3" t="e">
        <f>tbl_MTG_Set[[#This Row],[Released On]]+tbl_MTG_Set[[#This Row],[Sell Window Month End]]*365.25/12</f>
        <v>#VALUE!</v>
      </c>
      <c r="X964" s="3" t="e">
        <f ca="1">AND(NOW()&gt;=tbl_MTG_Set[[#This Row],[Sell Window Start]], NOW()&lt;=tbl_MTG_Set[[#This Row],[Sell Window End]])</f>
        <v>#VALUE!</v>
      </c>
      <c r="AG964" s="10"/>
      <c r="AH964" s="10"/>
      <c r="AM964" s="10" t="str" cm="1">
        <f t="array" ref="AM96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4" s="10" t="str" cm="1">
        <f t="array" ref="AN96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4" s="4" t="e">
        <f>_xlfn.XLOOKUP(tbl_MTG_Set[[#This Row],[Play Booster Box Product Id]], tbl_Product[Product Id], tbl_Product[Pack Size])</f>
        <v>#N/A</v>
      </c>
      <c r="AP964" s="10" t="e">
        <f>(tbl_MTG_Set[[#This Row],[Play Booster Box Cost]]+v_Item_Shipping_Cost_In)/tbl_MTG_Set[[#This Row],[Play Booster Box Size]]</f>
        <v>#VALUE!</v>
      </c>
      <c r="AQ964" s="10" t="str" cm="1">
        <f t="array" ref="AQ96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4" s="10"/>
      <c r="AS964" s="10"/>
      <c r="AT964" s="17" t="e">
        <f>tbl_MTG_Set[[#This Row],[Play Booster CardMarket Profit]]/tbl_MTG_Set[[#This Row],[Play Booster Cost]]</f>
        <v>#VALUE!</v>
      </c>
      <c r="AU964" s="10" t="e">
        <f>_xlfn.XLOOKUP(tbl_MTG_Set[[#This Row],[Collector Booster Box Product Id]], tbl_Product[Product Id], tbl_Product[Min Cost])</f>
        <v>#N/A</v>
      </c>
      <c r="AV964" s="10" t="e">
        <f>_xlfn.XLOOKUP(tbl_MTG_Set[[#This Row],[Collector Booster Box Product Id]], tbl_Product[Product Id], tbl_Product[Best Source])</f>
        <v>#N/A</v>
      </c>
      <c r="AW964" s="4" t="e">
        <f>_xlfn.XLOOKUP(tbl_MTG_Set[[#This Row],[Collector Booster Box Product Id]], tbl_Product[Product Id], tbl_Product[Pack Size])</f>
        <v>#N/A</v>
      </c>
      <c r="AX964" s="10" t="e">
        <f>(tbl_MTG_Set[[#This Row],[Collector Booster Box Cost]] + v_Item_Shipping_Cost_In) / tbl_MTG_Set[[#This Row],[Collector Booster Box Size]]</f>
        <v>#N/A</v>
      </c>
      <c r="AY964" s="10" t="str" cm="1">
        <f t="array" ref="AY96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4" s="10"/>
      <c r="BA96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4" s="17" t="e">
        <f>tbl_MTG_Set[[#This Row],[Collector Booster CardMarket Profit]]/tbl_MTG_Set[[#This Row],[Collector Booster Cost]]</f>
        <v>#N/A</v>
      </c>
      <c r="BC964" s="10"/>
      <c r="BF96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4" s="11" t="e">
        <f>tbl_MTG_Set[[#This Row],[Play Singles CardMarket Profit MTG Stocks]]/tbl_MTG_Set[[#This Row],[Play Booster Cost]]</f>
        <v>#VALUE!</v>
      </c>
      <c r="BI964" s="11" t="b">
        <f>tbl_MTG_Set[[#This Row],[Play Singles CardMarket Profit MTG Stocks]]&gt;0</f>
        <v>0</v>
      </c>
      <c r="BM964" s="10" t="e">
        <f>tbl_MTG_Set[[#This Row],[Play Booster Sell Price CardMarket]]*tbl_MTG_Set[[#This Row],[Play Booster Expected Market Value BotBox]]/tbl_MTG_Set[[#This Row],[Play Booster Sealed Market Value BotBox]]</f>
        <v>#VALUE!</v>
      </c>
      <c r="BN96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4" s="10" t="e">
        <f>tbl_MTG_Set[[#This Row],[Play Singles CardMarket Profit BotBox]]/tbl_MTG_Set[[#This Row],[Play Booster Cost]]</f>
        <v>#VALUE!</v>
      </c>
      <c r="BP964" s="10" t="b">
        <f>tbl_MTG_Set[[#This Row],[Play Singles CardMarket Profit BotBox]]&gt;0</f>
        <v>0</v>
      </c>
      <c r="BQ964" s="10"/>
      <c r="BR964" s="10"/>
      <c r="BS964" s="10"/>
      <c r="BT96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4" s="19" t="e">
        <f>tbl_MTG_Set[[#This Row],[Collector Singles CardMarket Profit MTG Stocks]]/tbl_MTG_Set[[#This Row],[Collector Booster Cost]]</f>
        <v>#N/A</v>
      </c>
      <c r="BW964" s="10" t="b">
        <f>tbl_MTG_Set[[#This Row],[Collector Singles CardMarket Profit MTG Stocks]]&gt;0</f>
        <v>0</v>
      </c>
      <c r="BX964" s="10"/>
      <c r="BY964" s="10"/>
      <c r="BZ96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4" s="10" t="e">
        <f>tbl_MTG_Set[[#This Row],[Collector Singles CardMarket Profit BotBox]]/tbl_MTG_Set[[#This Row],[Collector Booster Cost]]</f>
        <v>#N/A</v>
      </c>
      <c r="CC964" s="10" t="b">
        <f>tbl_MTG_Set[[#This Row],[Collector Singles CardMarket Profit BotBox]]&gt;0</f>
        <v>0</v>
      </c>
      <c r="CD96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5" spans="1:86" hidden="1">
      <c r="A965">
        <v>997</v>
      </c>
      <c r="B965" t="s">
        <v>1138</v>
      </c>
      <c r="C965">
        <v>308</v>
      </c>
      <c r="D965" s="3">
        <v>35186</v>
      </c>
      <c r="F965" t="s">
        <v>174</v>
      </c>
      <c r="G965">
        <v>1940</v>
      </c>
      <c r="H965">
        <f ca="1">MONTH(NOW())+12*YEAR(NOW())-MONTH(tbl_MTG_Set[[#This Row],[Released On]])-12*YEAR(tbl_MTG_Set[[#This Row],[Released On]])</f>
        <v>358</v>
      </c>
      <c r="I965" t="str">
        <f>_xlfn.XLOOKUP(tbl_MTG_Set[[#This Row],[Type Name]], tbl_MTG_Set_Type[Set Type], tbl_MTG_Set_Type[Index], "(Set Type not found)")</f>
        <v>(Set Type not found)</v>
      </c>
      <c r="J965" t="str">
        <f>_xlfn.XLOOKUP(tbl_MTG_Set[[#This Row],[Type Name]], tbl_MTG_Set_Type[Set Type], tbl_MTG_Set_Type[Buy Window Month Start], "(Set Type not found)")</f>
        <v>(Set Type not found)</v>
      </c>
      <c r="K965" s="3" t="e">
        <f>tbl_MTG_Set[[#This Row],[Released On]]+tbl_MTG_Set[[#This Row],[Buy Window Month Start]]*365.25/12</f>
        <v>#VALUE!</v>
      </c>
      <c r="L965" t="str">
        <f>_xlfn.XLOOKUP(tbl_MTG_Set[[#This Row],[Type Name]], tbl_MTG_Set_Type[Set Type], tbl_MTG_Set_Type[Buy Window Month End], "(Set Type not found)", 0, 1)</f>
        <v>(Set Type not found)</v>
      </c>
      <c r="M965" s="3" t="e">
        <f>tbl_MTG_Set[[#This Row],[Released On]]+tbl_MTG_Set[[#This Row],[Buy Window Month End]]*365.25/12</f>
        <v>#VALUE!</v>
      </c>
      <c r="N965" s="3" t="e">
        <f ca="1">AND(NOW()&gt;=tbl_MTG_Set[[#This Row],[Buy Window Start]], NOW()&lt;=tbl_MTG_Set[[#This Row],[Buy Window End]])</f>
        <v>#VALUE!</v>
      </c>
      <c r="O965" t="str">
        <f>_xlfn.XLOOKUP(tbl_MTG_Set[[#This Row],[Type Name]], tbl_MTG_Set_Type[Set Type], tbl_MTG_Set_Type[Heavy Printing Window Month Start], "(Set Type not found)", 0, 1)</f>
        <v>(Set Type not found)</v>
      </c>
      <c r="P965" s="3" t="e">
        <f>tbl_MTG_Set[[#This Row],[Released On]]+tbl_MTG_Set[[#This Row],[Heavy Printing Window Month Start]]*365.25/12</f>
        <v>#VALUE!</v>
      </c>
      <c r="Q965" t="str">
        <f>_xlfn.XLOOKUP(tbl_MTG_Set[[#This Row],[Type Name]], tbl_MTG_Set_Type[Set Type], tbl_MTG_Set_Type[Heavy Printing Window Month End], "(Set Type not found)", 0, 1)</f>
        <v>(Set Type not found)</v>
      </c>
      <c r="R965" s="3" t="e">
        <f>tbl_MTG_Set[[#This Row],[Released On]]+tbl_MTG_Set[[#This Row],[Heavy Printing Window Month End]]*365.25/12</f>
        <v>#VALUE!</v>
      </c>
      <c r="S965" s="3" t="e">
        <f ca="1">AND(NOW()&gt;=tbl_MTG_Set[[#This Row],[Heavy Printing Window Start]], NOW()&lt;=tbl_MTG_Set[[#This Row],[Heavy Printing Window End]])</f>
        <v>#VALUE!</v>
      </c>
      <c r="T965" t="str">
        <f>_xlfn.XLOOKUP(tbl_MTG_Set[[#This Row],[Type Name]], tbl_MTG_Set_Type[Set Type], tbl_MTG_Set_Type[Sell Window Month Start], "(Set Type not found)", 0, 1)</f>
        <v>(Set Type not found)</v>
      </c>
      <c r="U965" s="3" t="e">
        <f>tbl_MTG_Set[[#This Row],[Released On]]+tbl_MTG_Set[[#This Row],[Sell Window Month Start]]*365.25/12</f>
        <v>#VALUE!</v>
      </c>
      <c r="V965" t="str">
        <f>_xlfn.XLOOKUP(tbl_MTG_Set[[#This Row],[Type Name]], tbl_MTG_Set_Type[Set Type], tbl_MTG_Set_Type[Sell Window Month End], "(Set Type not found)", 0, 1)</f>
        <v>(Set Type not found)</v>
      </c>
      <c r="W965" s="3" t="e">
        <f>tbl_MTG_Set[[#This Row],[Released On]]+tbl_MTG_Set[[#This Row],[Sell Window Month End]]*365.25/12</f>
        <v>#VALUE!</v>
      </c>
      <c r="X965" s="3" t="e">
        <f ca="1">AND(NOW()&gt;=tbl_MTG_Set[[#This Row],[Sell Window Start]], NOW()&lt;=tbl_MTG_Set[[#This Row],[Sell Window End]])</f>
        <v>#VALUE!</v>
      </c>
      <c r="AG965" s="10"/>
      <c r="AH965" s="10"/>
      <c r="AM965" s="10" t="str" cm="1">
        <f t="array" ref="AM96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5" s="10" t="str" cm="1">
        <f t="array" ref="AN96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5" s="4" t="e">
        <f>_xlfn.XLOOKUP(tbl_MTG_Set[[#This Row],[Play Booster Box Product Id]], tbl_Product[Product Id], tbl_Product[Pack Size])</f>
        <v>#N/A</v>
      </c>
      <c r="AP965" s="10" t="e">
        <f>(tbl_MTG_Set[[#This Row],[Play Booster Box Cost]]+v_Item_Shipping_Cost_In)/tbl_MTG_Set[[#This Row],[Play Booster Box Size]]</f>
        <v>#VALUE!</v>
      </c>
      <c r="AQ965" s="10" t="str" cm="1">
        <f t="array" ref="AQ96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5" s="10"/>
      <c r="AS965" s="10"/>
      <c r="AT965" s="17" t="e">
        <f>tbl_MTG_Set[[#This Row],[Play Booster CardMarket Profit]]/tbl_MTG_Set[[#This Row],[Play Booster Cost]]</f>
        <v>#VALUE!</v>
      </c>
      <c r="AU965" s="10" t="e">
        <f>_xlfn.XLOOKUP(tbl_MTG_Set[[#This Row],[Collector Booster Box Product Id]], tbl_Product[Product Id], tbl_Product[Min Cost])</f>
        <v>#N/A</v>
      </c>
      <c r="AV965" s="10" t="e">
        <f>_xlfn.XLOOKUP(tbl_MTG_Set[[#This Row],[Collector Booster Box Product Id]], tbl_Product[Product Id], tbl_Product[Best Source])</f>
        <v>#N/A</v>
      </c>
      <c r="AW965" s="4" t="e">
        <f>_xlfn.XLOOKUP(tbl_MTG_Set[[#This Row],[Collector Booster Box Product Id]], tbl_Product[Product Id], tbl_Product[Pack Size])</f>
        <v>#N/A</v>
      </c>
      <c r="AX965" s="10" t="e">
        <f>(tbl_MTG_Set[[#This Row],[Collector Booster Box Cost]] + v_Item_Shipping_Cost_In) / tbl_MTG_Set[[#This Row],[Collector Booster Box Size]]</f>
        <v>#N/A</v>
      </c>
      <c r="AY965" s="10" t="str" cm="1">
        <f t="array" ref="AY96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5" s="10"/>
      <c r="BA96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5" s="17" t="e">
        <f>tbl_MTG_Set[[#This Row],[Collector Booster CardMarket Profit]]/tbl_MTG_Set[[#This Row],[Collector Booster Cost]]</f>
        <v>#N/A</v>
      </c>
      <c r="BC965" s="10"/>
      <c r="BF96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5" s="11" t="e">
        <f>tbl_MTG_Set[[#This Row],[Play Singles CardMarket Profit MTG Stocks]]/tbl_MTG_Set[[#This Row],[Play Booster Cost]]</f>
        <v>#VALUE!</v>
      </c>
      <c r="BI965" s="11" t="b">
        <f>tbl_MTG_Set[[#This Row],[Play Singles CardMarket Profit MTG Stocks]]&gt;0</f>
        <v>0</v>
      </c>
      <c r="BM965" s="10" t="e">
        <f>tbl_MTG_Set[[#This Row],[Play Booster Sell Price CardMarket]]*tbl_MTG_Set[[#This Row],[Play Booster Expected Market Value BotBox]]/tbl_MTG_Set[[#This Row],[Play Booster Sealed Market Value BotBox]]</f>
        <v>#VALUE!</v>
      </c>
      <c r="BN96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5" s="10" t="e">
        <f>tbl_MTG_Set[[#This Row],[Play Singles CardMarket Profit BotBox]]/tbl_MTG_Set[[#This Row],[Play Booster Cost]]</f>
        <v>#VALUE!</v>
      </c>
      <c r="BP965" s="10" t="b">
        <f>tbl_MTG_Set[[#This Row],[Play Singles CardMarket Profit BotBox]]&gt;0</f>
        <v>0</v>
      </c>
      <c r="BQ965" s="10"/>
      <c r="BR965" s="10"/>
      <c r="BS965" s="10"/>
      <c r="BT96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5" s="19" t="e">
        <f>tbl_MTG_Set[[#This Row],[Collector Singles CardMarket Profit MTG Stocks]]/tbl_MTG_Set[[#This Row],[Collector Booster Cost]]</f>
        <v>#N/A</v>
      </c>
      <c r="BW965" s="10" t="b">
        <f>tbl_MTG_Set[[#This Row],[Collector Singles CardMarket Profit MTG Stocks]]&gt;0</f>
        <v>0</v>
      </c>
      <c r="BX965" s="10"/>
      <c r="BY965" s="10"/>
      <c r="BZ96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5" s="10" t="e">
        <f>tbl_MTG_Set[[#This Row],[Collector Singles CardMarket Profit BotBox]]/tbl_MTG_Set[[#This Row],[Collector Booster Cost]]</f>
        <v>#N/A</v>
      </c>
      <c r="CC965" s="10" t="b">
        <f>tbl_MTG_Set[[#This Row],[Collector Singles CardMarket Profit BotBox]]&gt;0</f>
        <v>0</v>
      </c>
      <c r="CD96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6" spans="1:86" hidden="1">
      <c r="A966">
        <v>998</v>
      </c>
      <c r="B966" t="s">
        <v>1139</v>
      </c>
      <c r="C966">
        <v>10</v>
      </c>
      <c r="D966" s="3">
        <v>35156</v>
      </c>
      <c r="F966" t="s">
        <v>174</v>
      </c>
      <c r="G966">
        <v>1942</v>
      </c>
      <c r="H966">
        <f ca="1">MONTH(NOW())+12*YEAR(NOW())-MONTH(tbl_MTG_Set[[#This Row],[Released On]])-12*YEAR(tbl_MTG_Set[[#This Row],[Released On]])</f>
        <v>359</v>
      </c>
      <c r="I966" t="str">
        <f>_xlfn.XLOOKUP(tbl_MTG_Set[[#This Row],[Type Name]], tbl_MTG_Set_Type[Set Type], tbl_MTG_Set_Type[Index], "(Set Type not found)")</f>
        <v>(Set Type not found)</v>
      </c>
      <c r="J966" t="str">
        <f>_xlfn.XLOOKUP(tbl_MTG_Set[[#This Row],[Type Name]], tbl_MTG_Set_Type[Set Type], tbl_MTG_Set_Type[Buy Window Month Start], "(Set Type not found)")</f>
        <v>(Set Type not found)</v>
      </c>
      <c r="K966" s="3" t="e">
        <f>tbl_MTG_Set[[#This Row],[Released On]]+tbl_MTG_Set[[#This Row],[Buy Window Month Start]]*365.25/12</f>
        <v>#VALUE!</v>
      </c>
      <c r="L966" t="str">
        <f>_xlfn.XLOOKUP(tbl_MTG_Set[[#This Row],[Type Name]], tbl_MTG_Set_Type[Set Type], tbl_MTG_Set_Type[Buy Window Month End], "(Set Type not found)", 0, 1)</f>
        <v>(Set Type not found)</v>
      </c>
      <c r="M966" s="3" t="e">
        <f>tbl_MTG_Set[[#This Row],[Released On]]+tbl_MTG_Set[[#This Row],[Buy Window Month End]]*365.25/12</f>
        <v>#VALUE!</v>
      </c>
      <c r="N966" s="3" t="e">
        <f ca="1">AND(NOW()&gt;=tbl_MTG_Set[[#This Row],[Buy Window Start]], NOW()&lt;=tbl_MTG_Set[[#This Row],[Buy Window End]])</f>
        <v>#VALUE!</v>
      </c>
      <c r="O966" t="str">
        <f>_xlfn.XLOOKUP(tbl_MTG_Set[[#This Row],[Type Name]], tbl_MTG_Set_Type[Set Type], tbl_MTG_Set_Type[Heavy Printing Window Month Start], "(Set Type not found)", 0, 1)</f>
        <v>(Set Type not found)</v>
      </c>
      <c r="P966" s="3" t="e">
        <f>tbl_MTG_Set[[#This Row],[Released On]]+tbl_MTG_Set[[#This Row],[Heavy Printing Window Month Start]]*365.25/12</f>
        <v>#VALUE!</v>
      </c>
      <c r="Q966" t="str">
        <f>_xlfn.XLOOKUP(tbl_MTG_Set[[#This Row],[Type Name]], tbl_MTG_Set_Type[Set Type], tbl_MTG_Set_Type[Heavy Printing Window Month End], "(Set Type not found)", 0, 1)</f>
        <v>(Set Type not found)</v>
      </c>
      <c r="R966" s="3" t="e">
        <f>tbl_MTG_Set[[#This Row],[Released On]]+tbl_MTG_Set[[#This Row],[Heavy Printing Window Month End]]*365.25/12</f>
        <v>#VALUE!</v>
      </c>
      <c r="S966" s="3" t="e">
        <f ca="1">AND(NOW()&gt;=tbl_MTG_Set[[#This Row],[Heavy Printing Window Start]], NOW()&lt;=tbl_MTG_Set[[#This Row],[Heavy Printing Window End]])</f>
        <v>#VALUE!</v>
      </c>
      <c r="T966" t="str">
        <f>_xlfn.XLOOKUP(tbl_MTG_Set[[#This Row],[Type Name]], tbl_MTG_Set_Type[Set Type], tbl_MTG_Set_Type[Sell Window Month Start], "(Set Type not found)", 0, 1)</f>
        <v>(Set Type not found)</v>
      </c>
      <c r="U966" s="3" t="e">
        <f>tbl_MTG_Set[[#This Row],[Released On]]+tbl_MTG_Set[[#This Row],[Sell Window Month Start]]*365.25/12</f>
        <v>#VALUE!</v>
      </c>
      <c r="V966" t="str">
        <f>_xlfn.XLOOKUP(tbl_MTG_Set[[#This Row],[Type Name]], tbl_MTG_Set_Type[Set Type], tbl_MTG_Set_Type[Sell Window Month End], "(Set Type not found)", 0, 1)</f>
        <v>(Set Type not found)</v>
      </c>
      <c r="W966" s="3" t="e">
        <f>tbl_MTG_Set[[#This Row],[Released On]]+tbl_MTG_Set[[#This Row],[Sell Window Month End]]*365.25/12</f>
        <v>#VALUE!</v>
      </c>
      <c r="X966" s="3" t="e">
        <f ca="1">AND(NOW()&gt;=tbl_MTG_Set[[#This Row],[Sell Window Start]], NOW()&lt;=tbl_MTG_Set[[#This Row],[Sell Window End]])</f>
        <v>#VALUE!</v>
      </c>
      <c r="AG966" s="10"/>
      <c r="AH966" s="10"/>
      <c r="AM966" s="10" t="str" cm="1">
        <f t="array" ref="AM96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6" s="10" t="str" cm="1">
        <f t="array" ref="AN96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6" s="4" t="e">
        <f>_xlfn.XLOOKUP(tbl_MTG_Set[[#This Row],[Play Booster Box Product Id]], tbl_Product[Product Id], tbl_Product[Pack Size])</f>
        <v>#N/A</v>
      </c>
      <c r="AP966" s="10" t="e">
        <f>(tbl_MTG_Set[[#This Row],[Play Booster Box Cost]]+v_Item_Shipping_Cost_In)/tbl_MTG_Set[[#This Row],[Play Booster Box Size]]</f>
        <v>#VALUE!</v>
      </c>
      <c r="AQ966" s="10" t="str" cm="1">
        <f t="array" ref="AQ96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6" s="10"/>
      <c r="AS966" s="10"/>
      <c r="AT966" s="17" t="e">
        <f>tbl_MTG_Set[[#This Row],[Play Booster CardMarket Profit]]/tbl_MTG_Set[[#This Row],[Play Booster Cost]]</f>
        <v>#VALUE!</v>
      </c>
      <c r="AU966" s="10" t="e">
        <f>_xlfn.XLOOKUP(tbl_MTG_Set[[#This Row],[Collector Booster Box Product Id]], tbl_Product[Product Id], tbl_Product[Min Cost])</f>
        <v>#N/A</v>
      </c>
      <c r="AV966" s="10" t="e">
        <f>_xlfn.XLOOKUP(tbl_MTG_Set[[#This Row],[Collector Booster Box Product Id]], tbl_Product[Product Id], tbl_Product[Best Source])</f>
        <v>#N/A</v>
      </c>
      <c r="AW966" s="4" t="e">
        <f>_xlfn.XLOOKUP(tbl_MTG_Set[[#This Row],[Collector Booster Box Product Id]], tbl_Product[Product Id], tbl_Product[Pack Size])</f>
        <v>#N/A</v>
      </c>
      <c r="AX966" s="10" t="e">
        <f>(tbl_MTG_Set[[#This Row],[Collector Booster Box Cost]] + v_Item_Shipping_Cost_In) / tbl_MTG_Set[[#This Row],[Collector Booster Box Size]]</f>
        <v>#N/A</v>
      </c>
      <c r="AY966" s="10" t="str" cm="1">
        <f t="array" ref="AY96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6" s="10"/>
      <c r="BA96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6" s="17" t="e">
        <f>tbl_MTG_Set[[#This Row],[Collector Booster CardMarket Profit]]/tbl_MTG_Set[[#This Row],[Collector Booster Cost]]</f>
        <v>#N/A</v>
      </c>
      <c r="BC966" s="10"/>
      <c r="BF96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6" s="11" t="e">
        <f>tbl_MTG_Set[[#This Row],[Play Singles CardMarket Profit MTG Stocks]]/tbl_MTG_Set[[#This Row],[Play Booster Cost]]</f>
        <v>#VALUE!</v>
      </c>
      <c r="BI966" s="11" t="b">
        <f>tbl_MTG_Set[[#This Row],[Play Singles CardMarket Profit MTG Stocks]]&gt;0</f>
        <v>0</v>
      </c>
      <c r="BM966" s="10" t="e">
        <f>tbl_MTG_Set[[#This Row],[Play Booster Sell Price CardMarket]]*tbl_MTG_Set[[#This Row],[Play Booster Expected Market Value BotBox]]/tbl_MTG_Set[[#This Row],[Play Booster Sealed Market Value BotBox]]</f>
        <v>#VALUE!</v>
      </c>
      <c r="BN96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6" s="10" t="e">
        <f>tbl_MTG_Set[[#This Row],[Play Singles CardMarket Profit BotBox]]/tbl_MTG_Set[[#This Row],[Play Booster Cost]]</f>
        <v>#VALUE!</v>
      </c>
      <c r="BP966" s="10" t="b">
        <f>tbl_MTG_Set[[#This Row],[Play Singles CardMarket Profit BotBox]]&gt;0</f>
        <v>0</v>
      </c>
      <c r="BQ966" s="10"/>
      <c r="BR966" s="10"/>
      <c r="BS966" s="10"/>
      <c r="BT96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6" s="19" t="e">
        <f>tbl_MTG_Set[[#This Row],[Collector Singles CardMarket Profit MTG Stocks]]/tbl_MTG_Set[[#This Row],[Collector Booster Cost]]</f>
        <v>#N/A</v>
      </c>
      <c r="BW966" s="10" t="b">
        <f>tbl_MTG_Set[[#This Row],[Collector Singles CardMarket Profit MTG Stocks]]&gt;0</f>
        <v>0</v>
      </c>
      <c r="BX966" s="10"/>
      <c r="BY966" s="10"/>
      <c r="BZ96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6" s="10" t="e">
        <f>tbl_MTG_Set[[#This Row],[Collector Singles CardMarket Profit BotBox]]/tbl_MTG_Set[[#This Row],[Collector Booster Cost]]</f>
        <v>#N/A</v>
      </c>
      <c r="CC966" s="10" t="b">
        <f>tbl_MTG_Set[[#This Row],[Collector Singles CardMarket Profit BotBox]]&gt;0</f>
        <v>0</v>
      </c>
      <c r="CD96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7" spans="1:86" hidden="1">
      <c r="A967">
        <v>999</v>
      </c>
      <c r="B967" t="s">
        <v>1140</v>
      </c>
      <c r="C967">
        <v>140</v>
      </c>
      <c r="D967" s="3">
        <v>34973</v>
      </c>
      <c r="F967" t="s">
        <v>174</v>
      </c>
      <c r="G967">
        <v>1944</v>
      </c>
      <c r="H967">
        <f ca="1">MONTH(NOW())+12*YEAR(NOW())-MONTH(tbl_MTG_Set[[#This Row],[Released On]])-12*YEAR(tbl_MTG_Set[[#This Row],[Released On]])</f>
        <v>365</v>
      </c>
      <c r="I967" t="str">
        <f>_xlfn.XLOOKUP(tbl_MTG_Set[[#This Row],[Type Name]], tbl_MTG_Set_Type[Set Type], tbl_MTG_Set_Type[Index], "(Set Type not found)")</f>
        <v>(Set Type not found)</v>
      </c>
      <c r="J967" t="str">
        <f>_xlfn.XLOOKUP(tbl_MTG_Set[[#This Row],[Type Name]], tbl_MTG_Set_Type[Set Type], tbl_MTG_Set_Type[Buy Window Month Start], "(Set Type not found)")</f>
        <v>(Set Type not found)</v>
      </c>
      <c r="K967" s="3" t="e">
        <f>tbl_MTG_Set[[#This Row],[Released On]]+tbl_MTG_Set[[#This Row],[Buy Window Month Start]]*365.25/12</f>
        <v>#VALUE!</v>
      </c>
      <c r="L967" t="str">
        <f>_xlfn.XLOOKUP(tbl_MTG_Set[[#This Row],[Type Name]], tbl_MTG_Set_Type[Set Type], tbl_MTG_Set_Type[Buy Window Month End], "(Set Type not found)", 0, 1)</f>
        <v>(Set Type not found)</v>
      </c>
      <c r="M967" s="3" t="e">
        <f>tbl_MTG_Set[[#This Row],[Released On]]+tbl_MTG_Set[[#This Row],[Buy Window Month End]]*365.25/12</f>
        <v>#VALUE!</v>
      </c>
      <c r="N967" s="3" t="e">
        <f ca="1">AND(NOW()&gt;=tbl_MTG_Set[[#This Row],[Buy Window Start]], NOW()&lt;=tbl_MTG_Set[[#This Row],[Buy Window End]])</f>
        <v>#VALUE!</v>
      </c>
      <c r="O967" t="str">
        <f>_xlfn.XLOOKUP(tbl_MTG_Set[[#This Row],[Type Name]], tbl_MTG_Set_Type[Set Type], tbl_MTG_Set_Type[Heavy Printing Window Month Start], "(Set Type not found)", 0, 1)</f>
        <v>(Set Type not found)</v>
      </c>
      <c r="P967" s="3" t="e">
        <f>tbl_MTG_Set[[#This Row],[Released On]]+tbl_MTG_Set[[#This Row],[Heavy Printing Window Month Start]]*365.25/12</f>
        <v>#VALUE!</v>
      </c>
      <c r="Q967" t="str">
        <f>_xlfn.XLOOKUP(tbl_MTG_Set[[#This Row],[Type Name]], tbl_MTG_Set_Type[Set Type], tbl_MTG_Set_Type[Heavy Printing Window Month End], "(Set Type not found)", 0, 1)</f>
        <v>(Set Type not found)</v>
      </c>
      <c r="R967" s="3" t="e">
        <f>tbl_MTG_Set[[#This Row],[Released On]]+tbl_MTG_Set[[#This Row],[Heavy Printing Window Month End]]*365.25/12</f>
        <v>#VALUE!</v>
      </c>
      <c r="S967" s="3" t="e">
        <f ca="1">AND(NOW()&gt;=tbl_MTG_Set[[#This Row],[Heavy Printing Window Start]], NOW()&lt;=tbl_MTG_Set[[#This Row],[Heavy Printing Window End]])</f>
        <v>#VALUE!</v>
      </c>
      <c r="T967" t="str">
        <f>_xlfn.XLOOKUP(tbl_MTG_Set[[#This Row],[Type Name]], tbl_MTG_Set_Type[Set Type], tbl_MTG_Set_Type[Sell Window Month Start], "(Set Type not found)", 0, 1)</f>
        <v>(Set Type not found)</v>
      </c>
      <c r="U967" s="3" t="e">
        <f>tbl_MTG_Set[[#This Row],[Released On]]+tbl_MTG_Set[[#This Row],[Sell Window Month Start]]*365.25/12</f>
        <v>#VALUE!</v>
      </c>
      <c r="V967" t="str">
        <f>_xlfn.XLOOKUP(tbl_MTG_Set[[#This Row],[Type Name]], tbl_MTG_Set_Type[Set Type], tbl_MTG_Set_Type[Sell Window Month End], "(Set Type not found)", 0, 1)</f>
        <v>(Set Type not found)</v>
      </c>
      <c r="W967" s="3" t="e">
        <f>tbl_MTG_Set[[#This Row],[Released On]]+tbl_MTG_Set[[#This Row],[Sell Window Month End]]*365.25/12</f>
        <v>#VALUE!</v>
      </c>
      <c r="X967" s="3" t="e">
        <f ca="1">AND(NOW()&gt;=tbl_MTG_Set[[#This Row],[Sell Window Start]], NOW()&lt;=tbl_MTG_Set[[#This Row],[Sell Window End]])</f>
        <v>#VALUE!</v>
      </c>
      <c r="AG967" s="10"/>
      <c r="AH967" s="10"/>
      <c r="AM967" s="10" t="str" cm="1">
        <f t="array" ref="AM96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7" s="10" t="str" cm="1">
        <f t="array" ref="AN96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7" s="4" t="e">
        <f>_xlfn.XLOOKUP(tbl_MTG_Set[[#This Row],[Play Booster Box Product Id]], tbl_Product[Product Id], tbl_Product[Pack Size])</f>
        <v>#N/A</v>
      </c>
      <c r="AP967" s="10" t="e">
        <f>(tbl_MTG_Set[[#This Row],[Play Booster Box Cost]]+v_Item_Shipping_Cost_In)/tbl_MTG_Set[[#This Row],[Play Booster Box Size]]</f>
        <v>#VALUE!</v>
      </c>
      <c r="AQ967" s="10" t="str" cm="1">
        <f t="array" ref="AQ96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7" s="10"/>
      <c r="AS967" s="10"/>
      <c r="AT967" s="17" t="e">
        <f>tbl_MTG_Set[[#This Row],[Play Booster CardMarket Profit]]/tbl_MTG_Set[[#This Row],[Play Booster Cost]]</f>
        <v>#VALUE!</v>
      </c>
      <c r="AU967" s="10" t="e">
        <f>_xlfn.XLOOKUP(tbl_MTG_Set[[#This Row],[Collector Booster Box Product Id]], tbl_Product[Product Id], tbl_Product[Min Cost])</f>
        <v>#N/A</v>
      </c>
      <c r="AV967" s="10" t="e">
        <f>_xlfn.XLOOKUP(tbl_MTG_Set[[#This Row],[Collector Booster Box Product Id]], tbl_Product[Product Id], tbl_Product[Best Source])</f>
        <v>#N/A</v>
      </c>
      <c r="AW967" s="4" t="e">
        <f>_xlfn.XLOOKUP(tbl_MTG_Set[[#This Row],[Collector Booster Box Product Id]], tbl_Product[Product Id], tbl_Product[Pack Size])</f>
        <v>#N/A</v>
      </c>
      <c r="AX967" s="10" t="e">
        <f>(tbl_MTG_Set[[#This Row],[Collector Booster Box Cost]] + v_Item_Shipping_Cost_In) / tbl_MTG_Set[[#This Row],[Collector Booster Box Size]]</f>
        <v>#N/A</v>
      </c>
      <c r="AY967" s="10" t="str" cm="1">
        <f t="array" ref="AY96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7" s="10"/>
      <c r="BA96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7" s="17" t="e">
        <f>tbl_MTG_Set[[#This Row],[Collector Booster CardMarket Profit]]/tbl_MTG_Set[[#This Row],[Collector Booster Cost]]</f>
        <v>#N/A</v>
      </c>
      <c r="BC967" s="10"/>
      <c r="BF96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7" s="11" t="e">
        <f>tbl_MTG_Set[[#This Row],[Play Singles CardMarket Profit MTG Stocks]]/tbl_MTG_Set[[#This Row],[Play Booster Cost]]</f>
        <v>#VALUE!</v>
      </c>
      <c r="BI967" s="11" t="b">
        <f>tbl_MTG_Set[[#This Row],[Play Singles CardMarket Profit MTG Stocks]]&gt;0</f>
        <v>0</v>
      </c>
      <c r="BM967" s="10" t="e">
        <f>tbl_MTG_Set[[#This Row],[Play Booster Sell Price CardMarket]]*tbl_MTG_Set[[#This Row],[Play Booster Expected Market Value BotBox]]/tbl_MTG_Set[[#This Row],[Play Booster Sealed Market Value BotBox]]</f>
        <v>#VALUE!</v>
      </c>
      <c r="BN96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7" s="10" t="e">
        <f>tbl_MTG_Set[[#This Row],[Play Singles CardMarket Profit BotBox]]/tbl_MTG_Set[[#This Row],[Play Booster Cost]]</f>
        <v>#VALUE!</v>
      </c>
      <c r="BP967" s="10" t="b">
        <f>tbl_MTG_Set[[#This Row],[Play Singles CardMarket Profit BotBox]]&gt;0</f>
        <v>0</v>
      </c>
      <c r="BQ967" s="10"/>
      <c r="BR967" s="10"/>
      <c r="BS967" s="10"/>
      <c r="BT96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7" s="19" t="e">
        <f>tbl_MTG_Set[[#This Row],[Collector Singles CardMarket Profit MTG Stocks]]/tbl_MTG_Set[[#This Row],[Collector Booster Cost]]</f>
        <v>#N/A</v>
      </c>
      <c r="BW967" s="10" t="b">
        <f>tbl_MTG_Set[[#This Row],[Collector Singles CardMarket Profit MTG Stocks]]&gt;0</f>
        <v>0</v>
      </c>
      <c r="BX967" s="10"/>
      <c r="BY967" s="10"/>
      <c r="BZ96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7" s="10" t="e">
        <f>tbl_MTG_Set[[#This Row],[Collector Singles CardMarket Profit BotBox]]/tbl_MTG_Set[[#This Row],[Collector Booster Cost]]</f>
        <v>#N/A</v>
      </c>
      <c r="CC967" s="10" t="b">
        <f>tbl_MTG_Set[[#This Row],[Collector Singles CardMarket Profit BotBox]]&gt;0</f>
        <v>0</v>
      </c>
      <c r="CD96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8" spans="1:86" hidden="1">
      <c r="A968">
        <v>1000</v>
      </c>
      <c r="B968" t="s">
        <v>1141</v>
      </c>
      <c r="C968">
        <v>122</v>
      </c>
      <c r="D968" s="3">
        <v>34912</v>
      </c>
      <c r="F968" t="s">
        <v>174</v>
      </c>
      <c r="G968">
        <v>1946</v>
      </c>
      <c r="H968">
        <f ca="1">MONTH(NOW())+12*YEAR(NOW())-MONTH(tbl_MTG_Set[[#This Row],[Released On]])-12*YEAR(tbl_MTG_Set[[#This Row],[Released On]])</f>
        <v>367</v>
      </c>
      <c r="I968" t="str">
        <f>_xlfn.XLOOKUP(tbl_MTG_Set[[#This Row],[Type Name]], tbl_MTG_Set_Type[Set Type], tbl_MTG_Set_Type[Index], "(Set Type not found)")</f>
        <v>(Set Type not found)</v>
      </c>
      <c r="J968" t="str">
        <f>_xlfn.XLOOKUP(tbl_MTG_Set[[#This Row],[Type Name]], tbl_MTG_Set_Type[Set Type], tbl_MTG_Set_Type[Buy Window Month Start], "(Set Type not found)")</f>
        <v>(Set Type not found)</v>
      </c>
      <c r="K968" s="3" t="e">
        <f>tbl_MTG_Set[[#This Row],[Released On]]+tbl_MTG_Set[[#This Row],[Buy Window Month Start]]*365.25/12</f>
        <v>#VALUE!</v>
      </c>
      <c r="L968" t="str">
        <f>_xlfn.XLOOKUP(tbl_MTG_Set[[#This Row],[Type Name]], tbl_MTG_Set_Type[Set Type], tbl_MTG_Set_Type[Buy Window Month End], "(Set Type not found)", 0, 1)</f>
        <v>(Set Type not found)</v>
      </c>
      <c r="M968" s="3" t="e">
        <f>tbl_MTG_Set[[#This Row],[Released On]]+tbl_MTG_Set[[#This Row],[Buy Window Month End]]*365.25/12</f>
        <v>#VALUE!</v>
      </c>
      <c r="N968" s="3" t="e">
        <f ca="1">AND(NOW()&gt;=tbl_MTG_Set[[#This Row],[Buy Window Start]], NOW()&lt;=tbl_MTG_Set[[#This Row],[Buy Window End]])</f>
        <v>#VALUE!</v>
      </c>
      <c r="O968" t="str">
        <f>_xlfn.XLOOKUP(tbl_MTG_Set[[#This Row],[Type Name]], tbl_MTG_Set_Type[Set Type], tbl_MTG_Set_Type[Heavy Printing Window Month Start], "(Set Type not found)", 0, 1)</f>
        <v>(Set Type not found)</v>
      </c>
      <c r="P968" s="3" t="e">
        <f>tbl_MTG_Set[[#This Row],[Released On]]+tbl_MTG_Set[[#This Row],[Heavy Printing Window Month Start]]*365.25/12</f>
        <v>#VALUE!</v>
      </c>
      <c r="Q968" t="str">
        <f>_xlfn.XLOOKUP(tbl_MTG_Set[[#This Row],[Type Name]], tbl_MTG_Set_Type[Set Type], tbl_MTG_Set_Type[Heavy Printing Window Month End], "(Set Type not found)", 0, 1)</f>
        <v>(Set Type not found)</v>
      </c>
      <c r="R968" s="3" t="e">
        <f>tbl_MTG_Set[[#This Row],[Released On]]+tbl_MTG_Set[[#This Row],[Heavy Printing Window Month End]]*365.25/12</f>
        <v>#VALUE!</v>
      </c>
      <c r="S968" s="3" t="e">
        <f ca="1">AND(NOW()&gt;=tbl_MTG_Set[[#This Row],[Heavy Printing Window Start]], NOW()&lt;=tbl_MTG_Set[[#This Row],[Heavy Printing Window End]])</f>
        <v>#VALUE!</v>
      </c>
      <c r="T968" t="str">
        <f>_xlfn.XLOOKUP(tbl_MTG_Set[[#This Row],[Type Name]], tbl_MTG_Set_Type[Set Type], tbl_MTG_Set_Type[Sell Window Month Start], "(Set Type not found)", 0, 1)</f>
        <v>(Set Type not found)</v>
      </c>
      <c r="U968" s="3" t="e">
        <f>tbl_MTG_Set[[#This Row],[Released On]]+tbl_MTG_Set[[#This Row],[Sell Window Month Start]]*365.25/12</f>
        <v>#VALUE!</v>
      </c>
      <c r="V968" t="str">
        <f>_xlfn.XLOOKUP(tbl_MTG_Set[[#This Row],[Type Name]], tbl_MTG_Set_Type[Set Type], tbl_MTG_Set_Type[Sell Window Month End], "(Set Type not found)", 0, 1)</f>
        <v>(Set Type not found)</v>
      </c>
      <c r="W968" s="3" t="e">
        <f>tbl_MTG_Set[[#This Row],[Released On]]+tbl_MTG_Set[[#This Row],[Sell Window Month End]]*365.25/12</f>
        <v>#VALUE!</v>
      </c>
      <c r="X968" s="3" t="e">
        <f ca="1">AND(NOW()&gt;=tbl_MTG_Set[[#This Row],[Sell Window Start]], NOW()&lt;=tbl_MTG_Set[[#This Row],[Sell Window End]])</f>
        <v>#VALUE!</v>
      </c>
      <c r="AG968" s="10"/>
      <c r="AH968" s="10"/>
      <c r="AM968" s="10" t="str" cm="1">
        <f t="array" ref="AM96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8" s="10" t="str" cm="1">
        <f t="array" ref="AN96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8" s="4" t="e">
        <f>_xlfn.XLOOKUP(tbl_MTG_Set[[#This Row],[Play Booster Box Product Id]], tbl_Product[Product Id], tbl_Product[Pack Size])</f>
        <v>#N/A</v>
      </c>
      <c r="AP968" s="10" t="e">
        <f>(tbl_MTG_Set[[#This Row],[Play Booster Box Cost]]+v_Item_Shipping_Cost_In)/tbl_MTG_Set[[#This Row],[Play Booster Box Size]]</f>
        <v>#VALUE!</v>
      </c>
      <c r="AQ968" s="10" t="str" cm="1">
        <f t="array" ref="AQ96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8" s="10"/>
      <c r="AS968" s="10"/>
      <c r="AT968" s="17" t="e">
        <f>tbl_MTG_Set[[#This Row],[Play Booster CardMarket Profit]]/tbl_MTG_Set[[#This Row],[Play Booster Cost]]</f>
        <v>#VALUE!</v>
      </c>
      <c r="AU968" s="10" t="e">
        <f>_xlfn.XLOOKUP(tbl_MTG_Set[[#This Row],[Collector Booster Box Product Id]], tbl_Product[Product Id], tbl_Product[Min Cost])</f>
        <v>#N/A</v>
      </c>
      <c r="AV968" s="10" t="e">
        <f>_xlfn.XLOOKUP(tbl_MTG_Set[[#This Row],[Collector Booster Box Product Id]], tbl_Product[Product Id], tbl_Product[Best Source])</f>
        <v>#N/A</v>
      </c>
      <c r="AW968" s="4" t="e">
        <f>_xlfn.XLOOKUP(tbl_MTG_Set[[#This Row],[Collector Booster Box Product Id]], tbl_Product[Product Id], tbl_Product[Pack Size])</f>
        <v>#N/A</v>
      </c>
      <c r="AX968" s="10" t="e">
        <f>(tbl_MTG_Set[[#This Row],[Collector Booster Box Cost]] + v_Item_Shipping_Cost_In) / tbl_MTG_Set[[#This Row],[Collector Booster Box Size]]</f>
        <v>#N/A</v>
      </c>
      <c r="AY968" s="10" t="str" cm="1">
        <f t="array" ref="AY96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8" s="10"/>
      <c r="BA96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8" s="17" t="e">
        <f>tbl_MTG_Set[[#This Row],[Collector Booster CardMarket Profit]]/tbl_MTG_Set[[#This Row],[Collector Booster Cost]]</f>
        <v>#N/A</v>
      </c>
      <c r="BC968" s="10"/>
      <c r="BF96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8" s="11" t="e">
        <f>tbl_MTG_Set[[#This Row],[Play Singles CardMarket Profit MTG Stocks]]/tbl_MTG_Set[[#This Row],[Play Booster Cost]]</f>
        <v>#VALUE!</v>
      </c>
      <c r="BI968" s="11" t="b">
        <f>tbl_MTG_Set[[#This Row],[Play Singles CardMarket Profit MTG Stocks]]&gt;0</f>
        <v>0</v>
      </c>
      <c r="BM968" s="10" t="e">
        <f>tbl_MTG_Set[[#This Row],[Play Booster Sell Price CardMarket]]*tbl_MTG_Set[[#This Row],[Play Booster Expected Market Value BotBox]]/tbl_MTG_Set[[#This Row],[Play Booster Sealed Market Value BotBox]]</f>
        <v>#VALUE!</v>
      </c>
      <c r="BN96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8" s="10" t="e">
        <f>tbl_MTG_Set[[#This Row],[Play Singles CardMarket Profit BotBox]]/tbl_MTG_Set[[#This Row],[Play Booster Cost]]</f>
        <v>#VALUE!</v>
      </c>
      <c r="BP968" s="10" t="b">
        <f>tbl_MTG_Set[[#This Row],[Play Singles CardMarket Profit BotBox]]&gt;0</f>
        <v>0</v>
      </c>
      <c r="BQ968" s="10"/>
      <c r="BR968" s="10"/>
      <c r="BS968" s="10"/>
      <c r="BT96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8" s="19" t="e">
        <f>tbl_MTG_Set[[#This Row],[Collector Singles CardMarket Profit MTG Stocks]]/tbl_MTG_Set[[#This Row],[Collector Booster Cost]]</f>
        <v>#N/A</v>
      </c>
      <c r="BW968" s="10" t="b">
        <f>tbl_MTG_Set[[#This Row],[Collector Singles CardMarket Profit MTG Stocks]]&gt;0</f>
        <v>0</v>
      </c>
      <c r="BX968" s="10"/>
      <c r="BY968" s="10"/>
      <c r="BZ96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8" s="10" t="e">
        <f>tbl_MTG_Set[[#This Row],[Collector Singles CardMarket Profit BotBox]]/tbl_MTG_Set[[#This Row],[Collector Booster Cost]]</f>
        <v>#N/A</v>
      </c>
      <c r="CC968" s="10" t="b">
        <f>tbl_MTG_Set[[#This Row],[Collector Singles CardMarket Profit BotBox]]&gt;0</f>
        <v>0</v>
      </c>
      <c r="CD96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69" spans="1:86" hidden="1">
      <c r="A969">
        <v>1001</v>
      </c>
      <c r="B969" t="s">
        <v>1142</v>
      </c>
      <c r="C969">
        <v>69</v>
      </c>
      <c r="D969" s="3">
        <v>34912</v>
      </c>
      <c r="F969" t="s">
        <v>174</v>
      </c>
      <c r="G969">
        <v>1948</v>
      </c>
      <c r="H969">
        <f ca="1">MONTH(NOW())+12*YEAR(NOW())-MONTH(tbl_MTG_Set[[#This Row],[Released On]])-12*YEAR(tbl_MTG_Set[[#This Row],[Released On]])</f>
        <v>367</v>
      </c>
      <c r="I969" t="str">
        <f>_xlfn.XLOOKUP(tbl_MTG_Set[[#This Row],[Type Name]], tbl_MTG_Set_Type[Set Type], tbl_MTG_Set_Type[Index], "(Set Type not found)")</f>
        <v>(Set Type not found)</v>
      </c>
      <c r="J969" t="str">
        <f>_xlfn.XLOOKUP(tbl_MTG_Set[[#This Row],[Type Name]], tbl_MTG_Set_Type[Set Type], tbl_MTG_Set_Type[Buy Window Month Start], "(Set Type not found)")</f>
        <v>(Set Type not found)</v>
      </c>
      <c r="K969" s="3" t="e">
        <f>tbl_MTG_Set[[#This Row],[Released On]]+tbl_MTG_Set[[#This Row],[Buy Window Month Start]]*365.25/12</f>
        <v>#VALUE!</v>
      </c>
      <c r="L969" t="str">
        <f>_xlfn.XLOOKUP(tbl_MTG_Set[[#This Row],[Type Name]], tbl_MTG_Set_Type[Set Type], tbl_MTG_Set_Type[Buy Window Month End], "(Set Type not found)", 0, 1)</f>
        <v>(Set Type not found)</v>
      </c>
      <c r="M969" s="3" t="e">
        <f>tbl_MTG_Set[[#This Row],[Released On]]+tbl_MTG_Set[[#This Row],[Buy Window Month End]]*365.25/12</f>
        <v>#VALUE!</v>
      </c>
      <c r="N969" s="3" t="e">
        <f ca="1">AND(NOW()&gt;=tbl_MTG_Set[[#This Row],[Buy Window Start]], NOW()&lt;=tbl_MTG_Set[[#This Row],[Buy Window End]])</f>
        <v>#VALUE!</v>
      </c>
      <c r="O969" t="str">
        <f>_xlfn.XLOOKUP(tbl_MTG_Set[[#This Row],[Type Name]], tbl_MTG_Set_Type[Set Type], tbl_MTG_Set_Type[Heavy Printing Window Month Start], "(Set Type not found)", 0, 1)</f>
        <v>(Set Type not found)</v>
      </c>
      <c r="P969" s="3" t="e">
        <f>tbl_MTG_Set[[#This Row],[Released On]]+tbl_MTG_Set[[#This Row],[Heavy Printing Window Month Start]]*365.25/12</f>
        <v>#VALUE!</v>
      </c>
      <c r="Q969" t="str">
        <f>_xlfn.XLOOKUP(tbl_MTG_Set[[#This Row],[Type Name]], tbl_MTG_Set_Type[Set Type], tbl_MTG_Set_Type[Heavy Printing Window Month End], "(Set Type not found)", 0, 1)</f>
        <v>(Set Type not found)</v>
      </c>
      <c r="R969" s="3" t="e">
        <f>tbl_MTG_Set[[#This Row],[Released On]]+tbl_MTG_Set[[#This Row],[Heavy Printing Window Month End]]*365.25/12</f>
        <v>#VALUE!</v>
      </c>
      <c r="S969" s="3" t="e">
        <f ca="1">AND(NOW()&gt;=tbl_MTG_Set[[#This Row],[Heavy Printing Window Start]], NOW()&lt;=tbl_MTG_Set[[#This Row],[Heavy Printing Window End]])</f>
        <v>#VALUE!</v>
      </c>
      <c r="T969" t="str">
        <f>_xlfn.XLOOKUP(tbl_MTG_Set[[#This Row],[Type Name]], tbl_MTG_Set_Type[Set Type], tbl_MTG_Set_Type[Sell Window Month Start], "(Set Type not found)", 0, 1)</f>
        <v>(Set Type not found)</v>
      </c>
      <c r="U969" s="3" t="e">
        <f>tbl_MTG_Set[[#This Row],[Released On]]+tbl_MTG_Set[[#This Row],[Sell Window Month Start]]*365.25/12</f>
        <v>#VALUE!</v>
      </c>
      <c r="V969" t="str">
        <f>_xlfn.XLOOKUP(tbl_MTG_Set[[#This Row],[Type Name]], tbl_MTG_Set_Type[Set Type], tbl_MTG_Set_Type[Sell Window Month End], "(Set Type not found)", 0, 1)</f>
        <v>(Set Type not found)</v>
      </c>
      <c r="W969" s="3" t="e">
        <f>tbl_MTG_Set[[#This Row],[Released On]]+tbl_MTG_Set[[#This Row],[Sell Window Month End]]*365.25/12</f>
        <v>#VALUE!</v>
      </c>
      <c r="X969" s="3" t="e">
        <f ca="1">AND(NOW()&gt;=tbl_MTG_Set[[#This Row],[Sell Window Start]], NOW()&lt;=tbl_MTG_Set[[#This Row],[Sell Window End]])</f>
        <v>#VALUE!</v>
      </c>
      <c r="AG969" s="10"/>
      <c r="AH969" s="10"/>
      <c r="AM969" s="10" t="str" cm="1">
        <f t="array" ref="AM96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69" s="10" t="str" cm="1">
        <f t="array" ref="AN96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69" s="4" t="e">
        <f>_xlfn.XLOOKUP(tbl_MTG_Set[[#This Row],[Play Booster Box Product Id]], tbl_Product[Product Id], tbl_Product[Pack Size])</f>
        <v>#N/A</v>
      </c>
      <c r="AP969" s="10" t="e">
        <f>(tbl_MTG_Set[[#This Row],[Play Booster Box Cost]]+v_Item_Shipping_Cost_In)/tbl_MTG_Set[[#This Row],[Play Booster Box Size]]</f>
        <v>#VALUE!</v>
      </c>
      <c r="AQ969" s="10" t="str" cm="1">
        <f t="array" ref="AQ96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69" s="10"/>
      <c r="AS969" s="10"/>
      <c r="AT969" s="17" t="e">
        <f>tbl_MTG_Set[[#This Row],[Play Booster CardMarket Profit]]/tbl_MTG_Set[[#This Row],[Play Booster Cost]]</f>
        <v>#VALUE!</v>
      </c>
      <c r="AU969" s="10" t="e">
        <f>_xlfn.XLOOKUP(tbl_MTG_Set[[#This Row],[Collector Booster Box Product Id]], tbl_Product[Product Id], tbl_Product[Min Cost])</f>
        <v>#N/A</v>
      </c>
      <c r="AV969" s="10" t="e">
        <f>_xlfn.XLOOKUP(tbl_MTG_Set[[#This Row],[Collector Booster Box Product Id]], tbl_Product[Product Id], tbl_Product[Best Source])</f>
        <v>#N/A</v>
      </c>
      <c r="AW969" s="4" t="e">
        <f>_xlfn.XLOOKUP(tbl_MTG_Set[[#This Row],[Collector Booster Box Product Id]], tbl_Product[Product Id], tbl_Product[Pack Size])</f>
        <v>#N/A</v>
      </c>
      <c r="AX969" s="10" t="e">
        <f>(tbl_MTG_Set[[#This Row],[Collector Booster Box Cost]] + v_Item_Shipping_Cost_In) / tbl_MTG_Set[[#This Row],[Collector Booster Box Size]]</f>
        <v>#N/A</v>
      </c>
      <c r="AY969" s="10" t="str" cm="1">
        <f t="array" ref="AY96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69" s="10"/>
      <c r="BA96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69" s="17" t="e">
        <f>tbl_MTG_Set[[#This Row],[Collector Booster CardMarket Profit]]/tbl_MTG_Set[[#This Row],[Collector Booster Cost]]</f>
        <v>#N/A</v>
      </c>
      <c r="BC969" s="10"/>
      <c r="BF96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6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69" s="11" t="e">
        <f>tbl_MTG_Set[[#This Row],[Play Singles CardMarket Profit MTG Stocks]]/tbl_MTG_Set[[#This Row],[Play Booster Cost]]</f>
        <v>#VALUE!</v>
      </c>
      <c r="BI969" s="11" t="b">
        <f>tbl_MTG_Set[[#This Row],[Play Singles CardMarket Profit MTG Stocks]]&gt;0</f>
        <v>0</v>
      </c>
      <c r="BM969" s="10" t="e">
        <f>tbl_MTG_Set[[#This Row],[Play Booster Sell Price CardMarket]]*tbl_MTG_Set[[#This Row],[Play Booster Expected Market Value BotBox]]/tbl_MTG_Set[[#This Row],[Play Booster Sealed Market Value BotBox]]</f>
        <v>#VALUE!</v>
      </c>
      <c r="BN96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69" s="10" t="e">
        <f>tbl_MTG_Set[[#This Row],[Play Singles CardMarket Profit BotBox]]/tbl_MTG_Set[[#This Row],[Play Booster Cost]]</f>
        <v>#VALUE!</v>
      </c>
      <c r="BP969" s="10" t="b">
        <f>tbl_MTG_Set[[#This Row],[Play Singles CardMarket Profit BotBox]]&gt;0</f>
        <v>0</v>
      </c>
      <c r="BQ969" s="10"/>
      <c r="BR969" s="10"/>
      <c r="BS969" s="10"/>
      <c r="BT96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6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69" s="19" t="e">
        <f>tbl_MTG_Set[[#This Row],[Collector Singles CardMarket Profit MTG Stocks]]/tbl_MTG_Set[[#This Row],[Collector Booster Cost]]</f>
        <v>#N/A</v>
      </c>
      <c r="BW969" s="10" t="b">
        <f>tbl_MTG_Set[[#This Row],[Collector Singles CardMarket Profit MTG Stocks]]&gt;0</f>
        <v>0</v>
      </c>
      <c r="BX969" s="10"/>
      <c r="BY969" s="10"/>
      <c r="BZ96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6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69" s="10" t="e">
        <f>tbl_MTG_Set[[#This Row],[Collector Singles CardMarket Profit BotBox]]/tbl_MTG_Set[[#This Row],[Collector Booster Cost]]</f>
        <v>#N/A</v>
      </c>
      <c r="CC969" s="10" t="b">
        <f>tbl_MTG_Set[[#This Row],[Collector Singles CardMarket Profit BotBox]]&gt;0</f>
        <v>0</v>
      </c>
      <c r="CD96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6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6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6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6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0" spans="1:86" hidden="1">
      <c r="A970">
        <v>1002</v>
      </c>
      <c r="B970" t="s">
        <v>1143</v>
      </c>
      <c r="C970">
        <v>125</v>
      </c>
      <c r="D970" s="3">
        <v>34881</v>
      </c>
      <c r="F970" t="s">
        <v>174</v>
      </c>
      <c r="G970">
        <v>1950</v>
      </c>
      <c r="H970">
        <f ca="1">MONTH(NOW())+12*YEAR(NOW())-MONTH(tbl_MTG_Set[[#This Row],[Released On]])-12*YEAR(tbl_MTG_Set[[#This Row],[Released On]])</f>
        <v>368</v>
      </c>
      <c r="I970" t="str">
        <f>_xlfn.XLOOKUP(tbl_MTG_Set[[#This Row],[Type Name]], tbl_MTG_Set_Type[Set Type], tbl_MTG_Set_Type[Index], "(Set Type not found)")</f>
        <v>(Set Type not found)</v>
      </c>
      <c r="J970" t="str">
        <f>_xlfn.XLOOKUP(tbl_MTG_Set[[#This Row],[Type Name]], tbl_MTG_Set_Type[Set Type], tbl_MTG_Set_Type[Buy Window Month Start], "(Set Type not found)")</f>
        <v>(Set Type not found)</v>
      </c>
      <c r="K970" s="3" t="e">
        <f>tbl_MTG_Set[[#This Row],[Released On]]+tbl_MTG_Set[[#This Row],[Buy Window Month Start]]*365.25/12</f>
        <v>#VALUE!</v>
      </c>
      <c r="L970" t="str">
        <f>_xlfn.XLOOKUP(tbl_MTG_Set[[#This Row],[Type Name]], tbl_MTG_Set_Type[Set Type], tbl_MTG_Set_Type[Buy Window Month End], "(Set Type not found)", 0, 1)</f>
        <v>(Set Type not found)</v>
      </c>
      <c r="M970" s="3" t="e">
        <f>tbl_MTG_Set[[#This Row],[Released On]]+tbl_MTG_Set[[#This Row],[Buy Window Month End]]*365.25/12</f>
        <v>#VALUE!</v>
      </c>
      <c r="N970" s="3" t="e">
        <f ca="1">AND(NOW()&gt;=tbl_MTG_Set[[#This Row],[Buy Window Start]], NOW()&lt;=tbl_MTG_Set[[#This Row],[Buy Window End]])</f>
        <v>#VALUE!</v>
      </c>
      <c r="O970" t="str">
        <f>_xlfn.XLOOKUP(tbl_MTG_Set[[#This Row],[Type Name]], tbl_MTG_Set_Type[Set Type], tbl_MTG_Set_Type[Heavy Printing Window Month Start], "(Set Type not found)", 0, 1)</f>
        <v>(Set Type not found)</v>
      </c>
      <c r="P970" s="3" t="e">
        <f>tbl_MTG_Set[[#This Row],[Released On]]+tbl_MTG_Set[[#This Row],[Heavy Printing Window Month Start]]*365.25/12</f>
        <v>#VALUE!</v>
      </c>
      <c r="Q970" t="str">
        <f>_xlfn.XLOOKUP(tbl_MTG_Set[[#This Row],[Type Name]], tbl_MTG_Set_Type[Set Type], tbl_MTG_Set_Type[Heavy Printing Window Month End], "(Set Type not found)", 0, 1)</f>
        <v>(Set Type not found)</v>
      </c>
      <c r="R970" s="3" t="e">
        <f>tbl_MTG_Set[[#This Row],[Released On]]+tbl_MTG_Set[[#This Row],[Heavy Printing Window Month End]]*365.25/12</f>
        <v>#VALUE!</v>
      </c>
      <c r="S970" s="3" t="e">
        <f ca="1">AND(NOW()&gt;=tbl_MTG_Set[[#This Row],[Heavy Printing Window Start]], NOW()&lt;=tbl_MTG_Set[[#This Row],[Heavy Printing Window End]])</f>
        <v>#VALUE!</v>
      </c>
      <c r="T970" t="str">
        <f>_xlfn.XLOOKUP(tbl_MTG_Set[[#This Row],[Type Name]], tbl_MTG_Set_Type[Set Type], tbl_MTG_Set_Type[Sell Window Month Start], "(Set Type not found)", 0, 1)</f>
        <v>(Set Type not found)</v>
      </c>
      <c r="U970" s="3" t="e">
        <f>tbl_MTG_Set[[#This Row],[Released On]]+tbl_MTG_Set[[#This Row],[Sell Window Month Start]]*365.25/12</f>
        <v>#VALUE!</v>
      </c>
      <c r="V970" t="str">
        <f>_xlfn.XLOOKUP(tbl_MTG_Set[[#This Row],[Type Name]], tbl_MTG_Set_Type[Set Type], tbl_MTG_Set_Type[Sell Window Month End], "(Set Type not found)", 0, 1)</f>
        <v>(Set Type not found)</v>
      </c>
      <c r="W970" s="3" t="e">
        <f>tbl_MTG_Set[[#This Row],[Released On]]+tbl_MTG_Set[[#This Row],[Sell Window Month End]]*365.25/12</f>
        <v>#VALUE!</v>
      </c>
      <c r="X970" s="3" t="e">
        <f ca="1">AND(NOW()&gt;=tbl_MTG_Set[[#This Row],[Sell Window Start]], NOW()&lt;=tbl_MTG_Set[[#This Row],[Sell Window End]])</f>
        <v>#VALUE!</v>
      </c>
      <c r="AG970" s="10"/>
      <c r="AH970" s="10"/>
      <c r="AM970" s="10" t="str" cm="1">
        <f t="array" ref="AM97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0" s="10" t="str" cm="1">
        <f t="array" ref="AN97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0" s="4" t="e">
        <f>_xlfn.XLOOKUP(tbl_MTG_Set[[#This Row],[Play Booster Box Product Id]], tbl_Product[Product Id], tbl_Product[Pack Size])</f>
        <v>#N/A</v>
      </c>
      <c r="AP970" s="10" t="e">
        <f>(tbl_MTG_Set[[#This Row],[Play Booster Box Cost]]+v_Item_Shipping_Cost_In)/tbl_MTG_Set[[#This Row],[Play Booster Box Size]]</f>
        <v>#VALUE!</v>
      </c>
      <c r="AQ970" s="10" t="str" cm="1">
        <f t="array" ref="AQ97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0" s="10"/>
      <c r="AS970" s="10"/>
      <c r="AT970" s="17" t="e">
        <f>tbl_MTG_Set[[#This Row],[Play Booster CardMarket Profit]]/tbl_MTG_Set[[#This Row],[Play Booster Cost]]</f>
        <v>#VALUE!</v>
      </c>
      <c r="AU970" s="10" t="e">
        <f>_xlfn.XLOOKUP(tbl_MTG_Set[[#This Row],[Collector Booster Box Product Id]], tbl_Product[Product Id], tbl_Product[Min Cost])</f>
        <v>#N/A</v>
      </c>
      <c r="AV970" s="10" t="e">
        <f>_xlfn.XLOOKUP(tbl_MTG_Set[[#This Row],[Collector Booster Box Product Id]], tbl_Product[Product Id], tbl_Product[Best Source])</f>
        <v>#N/A</v>
      </c>
      <c r="AW970" s="4" t="e">
        <f>_xlfn.XLOOKUP(tbl_MTG_Set[[#This Row],[Collector Booster Box Product Id]], tbl_Product[Product Id], tbl_Product[Pack Size])</f>
        <v>#N/A</v>
      </c>
      <c r="AX970" s="10" t="e">
        <f>(tbl_MTG_Set[[#This Row],[Collector Booster Box Cost]] + v_Item_Shipping_Cost_In) / tbl_MTG_Set[[#This Row],[Collector Booster Box Size]]</f>
        <v>#N/A</v>
      </c>
      <c r="AY970" s="10" t="str" cm="1">
        <f t="array" ref="AY97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0" s="10"/>
      <c r="BA97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0" s="17" t="e">
        <f>tbl_MTG_Set[[#This Row],[Collector Booster CardMarket Profit]]/tbl_MTG_Set[[#This Row],[Collector Booster Cost]]</f>
        <v>#N/A</v>
      </c>
      <c r="BC970" s="10"/>
      <c r="BF97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0" s="11" t="e">
        <f>tbl_MTG_Set[[#This Row],[Play Singles CardMarket Profit MTG Stocks]]/tbl_MTG_Set[[#This Row],[Play Booster Cost]]</f>
        <v>#VALUE!</v>
      </c>
      <c r="BI970" s="11" t="b">
        <f>tbl_MTG_Set[[#This Row],[Play Singles CardMarket Profit MTG Stocks]]&gt;0</f>
        <v>0</v>
      </c>
      <c r="BM970" s="10" t="e">
        <f>tbl_MTG_Set[[#This Row],[Play Booster Sell Price CardMarket]]*tbl_MTG_Set[[#This Row],[Play Booster Expected Market Value BotBox]]/tbl_MTG_Set[[#This Row],[Play Booster Sealed Market Value BotBox]]</f>
        <v>#VALUE!</v>
      </c>
      <c r="BN97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0" s="10" t="e">
        <f>tbl_MTG_Set[[#This Row],[Play Singles CardMarket Profit BotBox]]/tbl_MTG_Set[[#This Row],[Play Booster Cost]]</f>
        <v>#VALUE!</v>
      </c>
      <c r="BP970" s="10" t="b">
        <f>tbl_MTG_Set[[#This Row],[Play Singles CardMarket Profit BotBox]]&gt;0</f>
        <v>0</v>
      </c>
      <c r="BQ970" s="10"/>
      <c r="BR970" s="10"/>
      <c r="BS970" s="10"/>
      <c r="BT97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0" s="19" t="e">
        <f>tbl_MTG_Set[[#This Row],[Collector Singles CardMarket Profit MTG Stocks]]/tbl_MTG_Set[[#This Row],[Collector Booster Cost]]</f>
        <v>#N/A</v>
      </c>
      <c r="BW970" s="10" t="b">
        <f>tbl_MTG_Set[[#This Row],[Collector Singles CardMarket Profit MTG Stocks]]&gt;0</f>
        <v>0</v>
      </c>
      <c r="BX970" s="10"/>
      <c r="BY970" s="10"/>
      <c r="BZ97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0" s="10" t="e">
        <f>tbl_MTG_Set[[#This Row],[Collector Singles CardMarket Profit BotBox]]/tbl_MTG_Set[[#This Row],[Collector Booster Cost]]</f>
        <v>#N/A</v>
      </c>
      <c r="CC970" s="10" t="b">
        <f>tbl_MTG_Set[[#This Row],[Collector Singles CardMarket Profit BotBox]]&gt;0</f>
        <v>0</v>
      </c>
      <c r="CD97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1" spans="1:86" hidden="1">
      <c r="A971">
        <v>1003</v>
      </c>
      <c r="B971" t="s">
        <v>1144</v>
      </c>
      <c r="C971">
        <v>125</v>
      </c>
      <c r="D971" s="3">
        <v>34881</v>
      </c>
      <c r="F971" t="s">
        <v>174</v>
      </c>
      <c r="G971">
        <v>1952</v>
      </c>
      <c r="H971">
        <f ca="1">MONTH(NOW())+12*YEAR(NOW())-MONTH(tbl_MTG_Set[[#This Row],[Released On]])-12*YEAR(tbl_MTG_Set[[#This Row],[Released On]])</f>
        <v>368</v>
      </c>
      <c r="I971" t="str">
        <f>_xlfn.XLOOKUP(tbl_MTG_Set[[#This Row],[Type Name]], tbl_MTG_Set_Type[Set Type], tbl_MTG_Set_Type[Index], "(Set Type not found)")</f>
        <v>(Set Type not found)</v>
      </c>
      <c r="J971" t="str">
        <f>_xlfn.XLOOKUP(tbl_MTG_Set[[#This Row],[Type Name]], tbl_MTG_Set_Type[Set Type], tbl_MTG_Set_Type[Buy Window Month Start], "(Set Type not found)")</f>
        <v>(Set Type not found)</v>
      </c>
      <c r="K971" s="3" t="e">
        <f>tbl_MTG_Set[[#This Row],[Released On]]+tbl_MTG_Set[[#This Row],[Buy Window Month Start]]*365.25/12</f>
        <v>#VALUE!</v>
      </c>
      <c r="L971" t="str">
        <f>_xlfn.XLOOKUP(tbl_MTG_Set[[#This Row],[Type Name]], tbl_MTG_Set_Type[Set Type], tbl_MTG_Set_Type[Buy Window Month End], "(Set Type not found)", 0, 1)</f>
        <v>(Set Type not found)</v>
      </c>
      <c r="M971" s="3" t="e">
        <f>tbl_MTG_Set[[#This Row],[Released On]]+tbl_MTG_Set[[#This Row],[Buy Window Month End]]*365.25/12</f>
        <v>#VALUE!</v>
      </c>
      <c r="N971" s="3" t="e">
        <f ca="1">AND(NOW()&gt;=tbl_MTG_Set[[#This Row],[Buy Window Start]], NOW()&lt;=tbl_MTG_Set[[#This Row],[Buy Window End]])</f>
        <v>#VALUE!</v>
      </c>
      <c r="O971" t="str">
        <f>_xlfn.XLOOKUP(tbl_MTG_Set[[#This Row],[Type Name]], tbl_MTG_Set_Type[Set Type], tbl_MTG_Set_Type[Heavy Printing Window Month Start], "(Set Type not found)", 0, 1)</f>
        <v>(Set Type not found)</v>
      </c>
      <c r="P971" s="3" t="e">
        <f>tbl_MTG_Set[[#This Row],[Released On]]+tbl_MTG_Set[[#This Row],[Heavy Printing Window Month Start]]*365.25/12</f>
        <v>#VALUE!</v>
      </c>
      <c r="Q971" t="str">
        <f>_xlfn.XLOOKUP(tbl_MTG_Set[[#This Row],[Type Name]], tbl_MTG_Set_Type[Set Type], tbl_MTG_Set_Type[Heavy Printing Window Month End], "(Set Type not found)", 0, 1)</f>
        <v>(Set Type not found)</v>
      </c>
      <c r="R971" s="3" t="e">
        <f>tbl_MTG_Set[[#This Row],[Released On]]+tbl_MTG_Set[[#This Row],[Heavy Printing Window Month End]]*365.25/12</f>
        <v>#VALUE!</v>
      </c>
      <c r="S971" s="3" t="e">
        <f ca="1">AND(NOW()&gt;=tbl_MTG_Set[[#This Row],[Heavy Printing Window Start]], NOW()&lt;=tbl_MTG_Set[[#This Row],[Heavy Printing Window End]])</f>
        <v>#VALUE!</v>
      </c>
      <c r="T971" t="str">
        <f>_xlfn.XLOOKUP(tbl_MTG_Set[[#This Row],[Type Name]], tbl_MTG_Set_Type[Set Type], tbl_MTG_Set_Type[Sell Window Month Start], "(Set Type not found)", 0, 1)</f>
        <v>(Set Type not found)</v>
      </c>
      <c r="U971" s="3" t="e">
        <f>tbl_MTG_Set[[#This Row],[Released On]]+tbl_MTG_Set[[#This Row],[Sell Window Month Start]]*365.25/12</f>
        <v>#VALUE!</v>
      </c>
      <c r="V971" t="str">
        <f>_xlfn.XLOOKUP(tbl_MTG_Set[[#This Row],[Type Name]], tbl_MTG_Set_Type[Set Type], tbl_MTG_Set_Type[Sell Window Month End], "(Set Type not found)", 0, 1)</f>
        <v>(Set Type not found)</v>
      </c>
      <c r="W971" s="3" t="e">
        <f>tbl_MTG_Set[[#This Row],[Released On]]+tbl_MTG_Set[[#This Row],[Sell Window Month End]]*365.25/12</f>
        <v>#VALUE!</v>
      </c>
      <c r="X971" s="3" t="e">
        <f ca="1">AND(NOW()&gt;=tbl_MTG_Set[[#This Row],[Sell Window Start]], NOW()&lt;=tbl_MTG_Set[[#This Row],[Sell Window End]])</f>
        <v>#VALUE!</v>
      </c>
      <c r="AG971" s="10"/>
      <c r="AH971" s="10"/>
      <c r="AM971" s="10" t="str" cm="1">
        <f t="array" ref="AM97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1" s="10" t="str" cm="1">
        <f t="array" ref="AN97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1" s="4" t="e">
        <f>_xlfn.XLOOKUP(tbl_MTG_Set[[#This Row],[Play Booster Box Product Id]], tbl_Product[Product Id], tbl_Product[Pack Size])</f>
        <v>#N/A</v>
      </c>
      <c r="AP971" s="10" t="e">
        <f>(tbl_MTG_Set[[#This Row],[Play Booster Box Cost]]+v_Item_Shipping_Cost_In)/tbl_MTG_Set[[#This Row],[Play Booster Box Size]]</f>
        <v>#VALUE!</v>
      </c>
      <c r="AQ971" s="10" t="str" cm="1">
        <f t="array" ref="AQ97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1" s="10"/>
      <c r="AS971" s="10"/>
      <c r="AT971" s="17" t="e">
        <f>tbl_MTG_Set[[#This Row],[Play Booster CardMarket Profit]]/tbl_MTG_Set[[#This Row],[Play Booster Cost]]</f>
        <v>#VALUE!</v>
      </c>
      <c r="AU971" s="10" t="e">
        <f>_xlfn.XLOOKUP(tbl_MTG_Set[[#This Row],[Collector Booster Box Product Id]], tbl_Product[Product Id], tbl_Product[Min Cost])</f>
        <v>#N/A</v>
      </c>
      <c r="AV971" s="10" t="e">
        <f>_xlfn.XLOOKUP(tbl_MTG_Set[[#This Row],[Collector Booster Box Product Id]], tbl_Product[Product Id], tbl_Product[Best Source])</f>
        <v>#N/A</v>
      </c>
      <c r="AW971" s="4" t="e">
        <f>_xlfn.XLOOKUP(tbl_MTG_Set[[#This Row],[Collector Booster Box Product Id]], tbl_Product[Product Id], tbl_Product[Pack Size])</f>
        <v>#N/A</v>
      </c>
      <c r="AX971" s="10" t="e">
        <f>(tbl_MTG_Set[[#This Row],[Collector Booster Box Cost]] + v_Item_Shipping_Cost_In) / tbl_MTG_Set[[#This Row],[Collector Booster Box Size]]</f>
        <v>#N/A</v>
      </c>
      <c r="AY971" s="10" t="str" cm="1">
        <f t="array" ref="AY97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1" s="10"/>
      <c r="BA97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1" s="17" t="e">
        <f>tbl_MTG_Set[[#This Row],[Collector Booster CardMarket Profit]]/tbl_MTG_Set[[#This Row],[Collector Booster Cost]]</f>
        <v>#N/A</v>
      </c>
      <c r="BC971" s="10"/>
      <c r="BF97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1" s="11" t="e">
        <f>tbl_MTG_Set[[#This Row],[Play Singles CardMarket Profit MTG Stocks]]/tbl_MTG_Set[[#This Row],[Play Booster Cost]]</f>
        <v>#VALUE!</v>
      </c>
      <c r="BI971" s="11" t="b">
        <f>tbl_MTG_Set[[#This Row],[Play Singles CardMarket Profit MTG Stocks]]&gt;0</f>
        <v>0</v>
      </c>
      <c r="BM971" s="10" t="e">
        <f>tbl_MTG_Set[[#This Row],[Play Booster Sell Price CardMarket]]*tbl_MTG_Set[[#This Row],[Play Booster Expected Market Value BotBox]]/tbl_MTG_Set[[#This Row],[Play Booster Sealed Market Value BotBox]]</f>
        <v>#VALUE!</v>
      </c>
      <c r="BN97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1" s="10" t="e">
        <f>tbl_MTG_Set[[#This Row],[Play Singles CardMarket Profit BotBox]]/tbl_MTG_Set[[#This Row],[Play Booster Cost]]</f>
        <v>#VALUE!</v>
      </c>
      <c r="BP971" s="10" t="b">
        <f>tbl_MTG_Set[[#This Row],[Play Singles CardMarket Profit BotBox]]&gt;0</f>
        <v>0</v>
      </c>
      <c r="BQ971" s="10"/>
      <c r="BR971" s="10"/>
      <c r="BS971" s="10"/>
      <c r="BT97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1" s="19" t="e">
        <f>tbl_MTG_Set[[#This Row],[Collector Singles CardMarket Profit MTG Stocks]]/tbl_MTG_Set[[#This Row],[Collector Booster Cost]]</f>
        <v>#N/A</v>
      </c>
      <c r="BW971" s="10" t="b">
        <f>tbl_MTG_Set[[#This Row],[Collector Singles CardMarket Profit MTG Stocks]]&gt;0</f>
        <v>0</v>
      </c>
      <c r="BX971" s="10"/>
      <c r="BY971" s="10"/>
      <c r="BZ97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1" s="10" t="e">
        <f>tbl_MTG_Set[[#This Row],[Collector Singles CardMarket Profit BotBox]]/tbl_MTG_Set[[#This Row],[Collector Booster Cost]]</f>
        <v>#N/A</v>
      </c>
      <c r="CC971" s="10" t="b">
        <f>tbl_MTG_Set[[#This Row],[Collector Singles CardMarket Profit BotBox]]&gt;0</f>
        <v>0</v>
      </c>
      <c r="CD97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2" spans="1:86" hidden="1">
      <c r="A972">
        <v>1004</v>
      </c>
      <c r="B972" t="s">
        <v>1145</v>
      </c>
      <c r="C972">
        <v>383</v>
      </c>
      <c r="D972" s="3">
        <v>34853</v>
      </c>
      <c r="F972" t="s">
        <v>174</v>
      </c>
      <c r="G972">
        <v>1954</v>
      </c>
      <c r="H972">
        <f ca="1">MONTH(NOW())+12*YEAR(NOW())-MONTH(tbl_MTG_Set[[#This Row],[Released On]])-12*YEAR(tbl_MTG_Set[[#This Row],[Released On]])</f>
        <v>369</v>
      </c>
      <c r="I972" t="str">
        <f>_xlfn.XLOOKUP(tbl_MTG_Set[[#This Row],[Type Name]], tbl_MTG_Set_Type[Set Type], tbl_MTG_Set_Type[Index], "(Set Type not found)")</f>
        <v>(Set Type not found)</v>
      </c>
      <c r="J972" t="str">
        <f>_xlfn.XLOOKUP(tbl_MTG_Set[[#This Row],[Type Name]], tbl_MTG_Set_Type[Set Type], tbl_MTG_Set_Type[Buy Window Month Start], "(Set Type not found)")</f>
        <v>(Set Type not found)</v>
      </c>
      <c r="K972" s="3" t="e">
        <f>tbl_MTG_Set[[#This Row],[Released On]]+tbl_MTG_Set[[#This Row],[Buy Window Month Start]]*365.25/12</f>
        <v>#VALUE!</v>
      </c>
      <c r="L972" t="str">
        <f>_xlfn.XLOOKUP(tbl_MTG_Set[[#This Row],[Type Name]], tbl_MTG_Set_Type[Set Type], tbl_MTG_Set_Type[Buy Window Month End], "(Set Type not found)", 0, 1)</f>
        <v>(Set Type not found)</v>
      </c>
      <c r="M972" s="3" t="e">
        <f>tbl_MTG_Set[[#This Row],[Released On]]+tbl_MTG_Set[[#This Row],[Buy Window Month End]]*365.25/12</f>
        <v>#VALUE!</v>
      </c>
      <c r="N972" s="3" t="e">
        <f ca="1">AND(NOW()&gt;=tbl_MTG_Set[[#This Row],[Buy Window Start]], NOW()&lt;=tbl_MTG_Set[[#This Row],[Buy Window End]])</f>
        <v>#VALUE!</v>
      </c>
      <c r="O972" t="str">
        <f>_xlfn.XLOOKUP(tbl_MTG_Set[[#This Row],[Type Name]], tbl_MTG_Set_Type[Set Type], tbl_MTG_Set_Type[Heavy Printing Window Month Start], "(Set Type not found)", 0, 1)</f>
        <v>(Set Type not found)</v>
      </c>
      <c r="P972" s="3" t="e">
        <f>tbl_MTG_Set[[#This Row],[Released On]]+tbl_MTG_Set[[#This Row],[Heavy Printing Window Month Start]]*365.25/12</f>
        <v>#VALUE!</v>
      </c>
      <c r="Q972" t="str">
        <f>_xlfn.XLOOKUP(tbl_MTG_Set[[#This Row],[Type Name]], tbl_MTG_Set_Type[Set Type], tbl_MTG_Set_Type[Heavy Printing Window Month End], "(Set Type not found)", 0, 1)</f>
        <v>(Set Type not found)</v>
      </c>
      <c r="R972" s="3" t="e">
        <f>tbl_MTG_Set[[#This Row],[Released On]]+tbl_MTG_Set[[#This Row],[Heavy Printing Window Month End]]*365.25/12</f>
        <v>#VALUE!</v>
      </c>
      <c r="S972" s="3" t="e">
        <f ca="1">AND(NOW()&gt;=tbl_MTG_Set[[#This Row],[Heavy Printing Window Start]], NOW()&lt;=tbl_MTG_Set[[#This Row],[Heavy Printing Window End]])</f>
        <v>#VALUE!</v>
      </c>
      <c r="T972" t="str">
        <f>_xlfn.XLOOKUP(tbl_MTG_Set[[#This Row],[Type Name]], tbl_MTG_Set_Type[Set Type], tbl_MTG_Set_Type[Sell Window Month Start], "(Set Type not found)", 0, 1)</f>
        <v>(Set Type not found)</v>
      </c>
      <c r="U972" s="3" t="e">
        <f>tbl_MTG_Set[[#This Row],[Released On]]+tbl_MTG_Set[[#This Row],[Sell Window Month Start]]*365.25/12</f>
        <v>#VALUE!</v>
      </c>
      <c r="V972" t="str">
        <f>_xlfn.XLOOKUP(tbl_MTG_Set[[#This Row],[Type Name]], tbl_MTG_Set_Type[Set Type], tbl_MTG_Set_Type[Sell Window Month End], "(Set Type not found)", 0, 1)</f>
        <v>(Set Type not found)</v>
      </c>
      <c r="W972" s="3" t="e">
        <f>tbl_MTG_Set[[#This Row],[Released On]]+tbl_MTG_Set[[#This Row],[Sell Window Month End]]*365.25/12</f>
        <v>#VALUE!</v>
      </c>
      <c r="X972" s="3" t="e">
        <f ca="1">AND(NOW()&gt;=tbl_MTG_Set[[#This Row],[Sell Window Start]], NOW()&lt;=tbl_MTG_Set[[#This Row],[Sell Window End]])</f>
        <v>#VALUE!</v>
      </c>
      <c r="AG972" s="10"/>
      <c r="AH972" s="10"/>
      <c r="AM972" s="10" t="str" cm="1">
        <f t="array" ref="AM97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2" s="10" t="str" cm="1">
        <f t="array" ref="AN97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2" s="4" t="e">
        <f>_xlfn.XLOOKUP(tbl_MTG_Set[[#This Row],[Play Booster Box Product Id]], tbl_Product[Product Id], tbl_Product[Pack Size])</f>
        <v>#N/A</v>
      </c>
      <c r="AP972" s="10" t="e">
        <f>(tbl_MTG_Set[[#This Row],[Play Booster Box Cost]]+v_Item_Shipping_Cost_In)/tbl_MTG_Set[[#This Row],[Play Booster Box Size]]</f>
        <v>#VALUE!</v>
      </c>
      <c r="AQ972" s="10" t="str" cm="1">
        <f t="array" ref="AQ97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2" s="10"/>
      <c r="AS972" s="10"/>
      <c r="AT972" s="17" t="e">
        <f>tbl_MTG_Set[[#This Row],[Play Booster CardMarket Profit]]/tbl_MTG_Set[[#This Row],[Play Booster Cost]]</f>
        <v>#VALUE!</v>
      </c>
      <c r="AU972" s="10" t="e">
        <f>_xlfn.XLOOKUP(tbl_MTG_Set[[#This Row],[Collector Booster Box Product Id]], tbl_Product[Product Id], tbl_Product[Min Cost])</f>
        <v>#N/A</v>
      </c>
      <c r="AV972" s="10" t="e">
        <f>_xlfn.XLOOKUP(tbl_MTG_Set[[#This Row],[Collector Booster Box Product Id]], tbl_Product[Product Id], tbl_Product[Best Source])</f>
        <v>#N/A</v>
      </c>
      <c r="AW972" s="4" t="e">
        <f>_xlfn.XLOOKUP(tbl_MTG_Set[[#This Row],[Collector Booster Box Product Id]], tbl_Product[Product Id], tbl_Product[Pack Size])</f>
        <v>#N/A</v>
      </c>
      <c r="AX972" s="10" t="e">
        <f>(tbl_MTG_Set[[#This Row],[Collector Booster Box Cost]] + v_Item_Shipping_Cost_In) / tbl_MTG_Set[[#This Row],[Collector Booster Box Size]]</f>
        <v>#N/A</v>
      </c>
      <c r="AY972" s="10" t="str" cm="1">
        <f t="array" ref="AY97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2" s="10"/>
      <c r="BA97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2" s="17" t="e">
        <f>tbl_MTG_Set[[#This Row],[Collector Booster CardMarket Profit]]/tbl_MTG_Set[[#This Row],[Collector Booster Cost]]</f>
        <v>#N/A</v>
      </c>
      <c r="BC972" s="10"/>
      <c r="BF97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2" s="11" t="e">
        <f>tbl_MTG_Set[[#This Row],[Play Singles CardMarket Profit MTG Stocks]]/tbl_MTG_Set[[#This Row],[Play Booster Cost]]</f>
        <v>#VALUE!</v>
      </c>
      <c r="BI972" s="11" t="b">
        <f>tbl_MTG_Set[[#This Row],[Play Singles CardMarket Profit MTG Stocks]]&gt;0</f>
        <v>0</v>
      </c>
      <c r="BM972" s="10" t="e">
        <f>tbl_MTG_Set[[#This Row],[Play Booster Sell Price CardMarket]]*tbl_MTG_Set[[#This Row],[Play Booster Expected Market Value BotBox]]/tbl_MTG_Set[[#This Row],[Play Booster Sealed Market Value BotBox]]</f>
        <v>#VALUE!</v>
      </c>
      <c r="BN97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2" s="10" t="e">
        <f>tbl_MTG_Set[[#This Row],[Play Singles CardMarket Profit BotBox]]/tbl_MTG_Set[[#This Row],[Play Booster Cost]]</f>
        <v>#VALUE!</v>
      </c>
      <c r="BP972" s="10" t="b">
        <f>tbl_MTG_Set[[#This Row],[Play Singles CardMarket Profit BotBox]]&gt;0</f>
        <v>0</v>
      </c>
      <c r="BQ972" s="10"/>
      <c r="BR972" s="10"/>
      <c r="BS972" s="10"/>
      <c r="BT97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2" s="19" t="e">
        <f>tbl_MTG_Set[[#This Row],[Collector Singles CardMarket Profit MTG Stocks]]/tbl_MTG_Set[[#This Row],[Collector Booster Cost]]</f>
        <v>#N/A</v>
      </c>
      <c r="BW972" s="10" t="b">
        <f>tbl_MTG_Set[[#This Row],[Collector Singles CardMarket Profit MTG Stocks]]&gt;0</f>
        <v>0</v>
      </c>
      <c r="BX972" s="10"/>
      <c r="BY972" s="10"/>
      <c r="BZ97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2" s="10" t="e">
        <f>tbl_MTG_Set[[#This Row],[Collector Singles CardMarket Profit BotBox]]/tbl_MTG_Set[[#This Row],[Collector Booster Cost]]</f>
        <v>#N/A</v>
      </c>
      <c r="CC972" s="10" t="b">
        <f>tbl_MTG_Set[[#This Row],[Collector Singles CardMarket Profit BotBox]]&gt;0</f>
        <v>0</v>
      </c>
      <c r="CD97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3" spans="1:86" hidden="1">
      <c r="A973">
        <v>1005</v>
      </c>
      <c r="B973" t="s">
        <v>1146</v>
      </c>
      <c r="C973">
        <v>380</v>
      </c>
      <c r="D973" s="3">
        <v>34790</v>
      </c>
      <c r="F973" t="s">
        <v>174</v>
      </c>
      <c r="G973">
        <v>1956</v>
      </c>
      <c r="H973">
        <f ca="1">MONTH(NOW())+12*YEAR(NOW())-MONTH(tbl_MTG_Set[[#This Row],[Released On]])-12*YEAR(tbl_MTG_Set[[#This Row],[Released On]])</f>
        <v>371</v>
      </c>
      <c r="I973" t="str">
        <f>_xlfn.XLOOKUP(tbl_MTG_Set[[#This Row],[Type Name]], tbl_MTG_Set_Type[Set Type], tbl_MTG_Set_Type[Index], "(Set Type not found)")</f>
        <v>(Set Type not found)</v>
      </c>
      <c r="J973" t="str">
        <f>_xlfn.XLOOKUP(tbl_MTG_Set[[#This Row],[Type Name]], tbl_MTG_Set_Type[Set Type], tbl_MTG_Set_Type[Buy Window Month Start], "(Set Type not found)")</f>
        <v>(Set Type not found)</v>
      </c>
      <c r="K973" s="3" t="e">
        <f>tbl_MTG_Set[[#This Row],[Released On]]+tbl_MTG_Set[[#This Row],[Buy Window Month Start]]*365.25/12</f>
        <v>#VALUE!</v>
      </c>
      <c r="L973" t="str">
        <f>_xlfn.XLOOKUP(tbl_MTG_Set[[#This Row],[Type Name]], tbl_MTG_Set_Type[Set Type], tbl_MTG_Set_Type[Buy Window Month End], "(Set Type not found)", 0, 1)</f>
        <v>(Set Type not found)</v>
      </c>
      <c r="M973" s="3" t="e">
        <f>tbl_MTG_Set[[#This Row],[Released On]]+tbl_MTG_Set[[#This Row],[Buy Window Month End]]*365.25/12</f>
        <v>#VALUE!</v>
      </c>
      <c r="N973" s="3" t="e">
        <f ca="1">AND(NOW()&gt;=tbl_MTG_Set[[#This Row],[Buy Window Start]], NOW()&lt;=tbl_MTG_Set[[#This Row],[Buy Window End]])</f>
        <v>#VALUE!</v>
      </c>
      <c r="O973" t="str">
        <f>_xlfn.XLOOKUP(tbl_MTG_Set[[#This Row],[Type Name]], tbl_MTG_Set_Type[Set Type], tbl_MTG_Set_Type[Heavy Printing Window Month Start], "(Set Type not found)", 0, 1)</f>
        <v>(Set Type not found)</v>
      </c>
      <c r="P973" s="3" t="e">
        <f>tbl_MTG_Set[[#This Row],[Released On]]+tbl_MTG_Set[[#This Row],[Heavy Printing Window Month Start]]*365.25/12</f>
        <v>#VALUE!</v>
      </c>
      <c r="Q973" t="str">
        <f>_xlfn.XLOOKUP(tbl_MTG_Set[[#This Row],[Type Name]], tbl_MTG_Set_Type[Set Type], tbl_MTG_Set_Type[Heavy Printing Window Month End], "(Set Type not found)", 0, 1)</f>
        <v>(Set Type not found)</v>
      </c>
      <c r="R973" s="3" t="e">
        <f>tbl_MTG_Set[[#This Row],[Released On]]+tbl_MTG_Set[[#This Row],[Heavy Printing Window Month End]]*365.25/12</f>
        <v>#VALUE!</v>
      </c>
      <c r="S973" s="3" t="e">
        <f ca="1">AND(NOW()&gt;=tbl_MTG_Set[[#This Row],[Heavy Printing Window Start]], NOW()&lt;=tbl_MTG_Set[[#This Row],[Heavy Printing Window End]])</f>
        <v>#VALUE!</v>
      </c>
      <c r="T973" t="str">
        <f>_xlfn.XLOOKUP(tbl_MTG_Set[[#This Row],[Type Name]], tbl_MTG_Set_Type[Set Type], tbl_MTG_Set_Type[Sell Window Month Start], "(Set Type not found)", 0, 1)</f>
        <v>(Set Type not found)</v>
      </c>
      <c r="U973" s="3" t="e">
        <f>tbl_MTG_Set[[#This Row],[Released On]]+tbl_MTG_Set[[#This Row],[Sell Window Month Start]]*365.25/12</f>
        <v>#VALUE!</v>
      </c>
      <c r="V973" t="str">
        <f>_xlfn.XLOOKUP(tbl_MTG_Set[[#This Row],[Type Name]], tbl_MTG_Set_Type[Set Type], tbl_MTG_Set_Type[Sell Window Month End], "(Set Type not found)", 0, 1)</f>
        <v>(Set Type not found)</v>
      </c>
      <c r="W973" s="3" t="e">
        <f>tbl_MTG_Set[[#This Row],[Released On]]+tbl_MTG_Set[[#This Row],[Sell Window Month End]]*365.25/12</f>
        <v>#VALUE!</v>
      </c>
      <c r="X973" s="3" t="e">
        <f ca="1">AND(NOW()&gt;=tbl_MTG_Set[[#This Row],[Sell Window Start]], NOW()&lt;=tbl_MTG_Set[[#This Row],[Sell Window End]])</f>
        <v>#VALUE!</v>
      </c>
      <c r="AG973" s="10"/>
      <c r="AH973" s="10"/>
      <c r="AM973" s="10" t="str" cm="1">
        <f t="array" ref="AM97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3" s="10" t="str" cm="1">
        <f t="array" ref="AN97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3" s="4" t="e">
        <f>_xlfn.XLOOKUP(tbl_MTG_Set[[#This Row],[Play Booster Box Product Id]], tbl_Product[Product Id], tbl_Product[Pack Size])</f>
        <v>#N/A</v>
      </c>
      <c r="AP973" s="10" t="e">
        <f>(tbl_MTG_Set[[#This Row],[Play Booster Box Cost]]+v_Item_Shipping_Cost_In)/tbl_MTG_Set[[#This Row],[Play Booster Box Size]]</f>
        <v>#VALUE!</v>
      </c>
      <c r="AQ973" s="10" t="str" cm="1">
        <f t="array" ref="AQ97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3" s="10"/>
      <c r="AS973" s="10"/>
      <c r="AT973" s="17" t="e">
        <f>tbl_MTG_Set[[#This Row],[Play Booster CardMarket Profit]]/tbl_MTG_Set[[#This Row],[Play Booster Cost]]</f>
        <v>#VALUE!</v>
      </c>
      <c r="AU973" s="10" t="e">
        <f>_xlfn.XLOOKUP(tbl_MTG_Set[[#This Row],[Collector Booster Box Product Id]], tbl_Product[Product Id], tbl_Product[Min Cost])</f>
        <v>#N/A</v>
      </c>
      <c r="AV973" s="10" t="e">
        <f>_xlfn.XLOOKUP(tbl_MTG_Set[[#This Row],[Collector Booster Box Product Id]], tbl_Product[Product Id], tbl_Product[Best Source])</f>
        <v>#N/A</v>
      </c>
      <c r="AW973" s="4" t="e">
        <f>_xlfn.XLOOKUP(tbl_MTG_Set[[#This Row],[Collector Booster Box Product Id]], tbl_Product[Product Id], tbl_Product[Pack Size])</f>
        <v>#N/A</v>
      </c>
      <c r="AX973" s="10" t="e">
        <f>(tbl_MTG_Set[[#This Row],[Collector Booster Box Cost]] + v_Item_Shipping_Cost_In) / tbl_MTG_Set[[#This Row],[Collector Booster Box Size]]</f>
        <v>#N/A</v>
      </c>
      <c r="AY973" s="10" t="str" cm="1">
        <f t="array" ref="AY97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3" s="10"/>
      <c r="BA97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3" s="17" t="e">
        <f>tbl_MTG_Set[[#This Row],[Collector Booster CardMarket Profit]]/tbl_MTG_Set[[#This Row],[Collector Booster Cost]]</f>
        <v>#N/A</v>
      </c>
      <c r="BC973" s="10"/>
      <c r="BF97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3" s="11" t="e">
        <f>tbl_MTG_Set[[#This Row],[Play Singles CardMarket Profit MTG Stocks]]/tbl_MTG_Set[[#This Row],[Play Booster Cost]]</f>
        <v>#VALUE!</v>
      </c>
      <c r="BI973" s="11" t="b">
        <f>tbl_MTG_Set[[#This Row],[Play Singles CardMarket Profit MTG Stocks]]&gt;0</f>
        <v>0</v>
      </c>
      <c r="BM973" s="10" t="e">
        <f>tbl_MTG_Set[[#This Row],[Play Booster Sell Price CardMarket]]*tbl_MTG_Set[[#This Row],[Play Booster Expected Market Value BotBox]]/tbl_MTG_Set[[#This Row],[Play Booster Sealed Market Value BotBox]]</f>
        <v>#VALUE!</v>
      </c>
      <c r="BN97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3" s="10" t="e">
        <f>tbl_MTG_Set[[#This Row],[Play Singles CardMarket Profit BotBox]]/tbl_MTG_Set[[#This Row],[Play Booster Cost]]</f>
        <v>#VALUE!</v>
      </c>
      <c r="BP973" s="10" t="b">
        <f>tbl_MTG_Set[[#This Row],[Play Singles CardMarket Profit BotBox]]&gt;0</f>
        <v>0</v>
      </c>
      <c r="BQ973" s="10"/>
      <c r="BR973" s="10"/>
      <c r="BS973" s="10"/>
      <c r="BT97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3" s="19" t="e">
        <f>tbl_MTG_Set[[#This Row],[Collector Singles CardMarket Profit MTG Stocks]]/tbl_MTG_Set[[#This Row],[Collector Booster Cost]]</f>
        <v>#N/A</v>
      </c>
      <c r="BW973" s="10" t="b">
        <f>tbl_MTG_Set[[#This Row],[Collector Singles CardMarket Profit MTG Stocks]]&gt;0</f>
        <v>0</v>
      </c>
      <c r="BX973" s="10"/>
      <c r="BY973" s="10"/>
      <c r="BZ97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3" s="10" t="e">
        <f>tbl_MTG_Set[[#This Row],[Collector Singles CardMarket Profit BotBox]]/tbl_MTG_Set[[#This Row],[Collector Booster Cost]]</f>
        <v>#N/A</v>
      </c>
      <c r="CC973" s="10" t="b">
        <f>tbl_MTG_Set[[#This Row],[Collector Singles CardMarket Profit BotBox]]&gt;0</f>
        <v>0</v>
      </c>
      <c r="CD97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4" spans="1:86" hidden="1">
      <c r="A974">
        <v>1006</v>
      </c>
      <c r="B974" t="s">
        <v>1147</v>
      </c>
      <c r="C974">
        <v>378</v>
      </c>
      <c r="D974" s="3">
        <v>34790</v>
      </c>
      <c r="F974" t="s">
        <v>174</v>
      </c>
      <c r="G974">
        <v>1958</v>
      </c>
      <c r="H974">
        <f ca="1">MONTH(NOW())+12*YEAR(NOW())-MONTH(tbl_MTG_Set[[#This Row],[Released On]])-12*YEAR(tbl_MTG_Set[[#This Row],[Released On]])</f>
        <v>371</v>
      </c>
      <c r="I974" t="str">
        <f>_xlfn.XLOOKUP(tbl_MTG_Set[[#This Row],[Type Name]], tbl_MTG_Set_Type[Set Type], tbl_MTG_Set_Type[Index], "(Set Type not found)")</f>
        <v>(Set Type not found)</v>
      </c>
      <c r="J974" t="str">
        <f>_xlfn.XLOOKUP(tbl_MTG_Set[[#This Row],[Type Name]], tbl_MTG_Set_Type[Set Type], tbl_MTG_Set_Type[Buy Window Month Start], "(Set Type not found)")</f>
        <v>(Set Type not found)</v>
      </c>
      <c r="K974" s="3" t="e">
        <f>tbl_MTG_Set[[#This Row],[Released On]]+tbl_MTG_Set[[#This Row],[Buy Window Month Start]]*365.25/12</f>
        <v>#VALUE!</v>
      </c>
      <c r="L974" t="str">
        <f>_xlfn.XLOOKUP(tbl_MTG_Set[[#This Row],[Type Name]], tbl_MTG_Set_Type[Set Type], tbl_MTG_Set_Type[Buy Window Month End], "(Set Type not found)", 0, 1)</f>
        <v>(Set Type not found)</v>
      </c>
      <c r="M974" s="3" t="e">
        <f>tbl_MTG_Set[[#This Row],[Released On]]+tbl_MTG_Set[[#This Row],[Buy Window Month End]]*365.25/12</f>
        <v>#VALUE!</v>
      </c>
      <c r="N974" s="3" t="e">
        <f ca="1">AND(NOW()&gt;=tbl_MTG_Set[[#This Row],[Buy Window Start]], NOW()&lt;=tbl_MTG_Set[[#This Row],[Buy Window End]])</f>
        <v>#VALUE!</v>
      </c>
      <c r="O974" t="str">
        <f>_xlfn.XLOOKUP(tbl_MTG_Set[[#This Row],[Type Name]], tbl_MTG_Set_Type[Set Type], tbl_MTG_Set_Type[Heavy Printing Window Month Start], "(Set Type not found)", 0, 1)</f>
        <v>(Set Type not found)</v>
      </c>
      <c r="P974" s="3" t="e">
        <f>tbl_MTG_Set[[#This Row],[Released On]]+tbl_MTG_Set[[#This Row],[Heavy Printing Window Month Start]]*365.25/12</f>
        <v>#VALUE!</v>
      </c>
      <c r="Q974" t="str">
        <f>_xlfn.XLOOKUP(tbl_MTG_Set[[#This Row],[Type Name]], tbl_MTG_Set_Type[Set Type], tbl_MTG_Set_Type[Heavy Printing Window Month End], "(Set Type not found)", 0, 1)</f>
        <v>(Set Type not found)</v>
      </c>
      <c r="R974" s="3" t="e">
        <f>tbl_MTG_Set[[#This Row],[Released On]]+tbl_MTG_Set[[#This Row],[Heavy Printing Window Month End]]*365.25/12</f>
        <v>#VALUE!</v>
      </c>
      <c r="S974" s="3" t="e">
        <f ca="1">AND(NOW()&gt;=tbl_MTG_Set[[#This Row],[Heavy Printing Window Start]], NOW()&lt;=tbl_MTG_Set[[#This Row],[Heavy Printing Window End]])</f>
        <v>#VALUE!</v>
      </c>
      <c r="T974" t="str">
        <f>_xlfn.XLOOKUP(tbl_MTG_Set[[#This Row],[Type Name]], tbl_MTG_Set_Type[Set Type], tbl_MTG_Set_Type[Sell Window Month Start], "(Set Type not found)", 0, 1)</f>
        <v>(Set Type not found)</v>
      </c>
      <c r="U974" s="3" t="e">
        <f>tbl_MTG_Set[[#This Row],[Released On]]+tbl_MTG_Set[[#This Row],[Sell Window Month Start]]*365.25/12</f>
        <v>#VALUE!</v>
      </c>
      <c r="V974" t="str">
        <f>_xlfn.XLOOKUP(tbl_MTG_Set[[#This Row],[Type Name]], tbl_MTG_Set_Type[Set Type], tbl_MTG_Set_Type[Sell Window Month End], "(Set Type not found)", 0, 1)</f>
        <v>(Set Type not found)</v>
      </c>
      <c r="W974" s="3" t="e">
        <f>tbl_MTG_Set[[#This Row],[Released On]]+tbl_MTG_Set[[#This Row],[Sell Window Month End]]*365.25/12</f>
        <v>#VALUE!</v>
      </c>
      <c r="X974" s="3" t="e">
        <f ca="1">AND(NOW()&gt;=tbl_MTG_Set[[#This Row],[Sell Window Start]], NOW()&lt;=tbl_MTG_Set[[#This Row],[Sell Window End]])</f>
        <v>#VALUE!</v>
      </c>
      <c r="AG974" s="10"/>
      <c r="AH974" s="10"/>
      <c r="AM974" s="10" t="str" cm="1">
        <f t="array" ref="AM97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4" s="10" t="str" cm="1">
        <f t="array" ref="AN97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4" s="4" t="e">
        <f>_xlfn.XLOOKUP(tbl_MTG_Set[[#This Row],[Play Booster Box Product Id]], tbl_Product[Product Id], tbl_Product[Pack Size])</f>
        <v>#N/A</v>
      </c>
      <c r="AP974" s="10" t="e">
        <f>(tbl_MTG_Set[[#This Row],[Play Booster Box Cost]]+v_Item_Shipping_Cost_In)/tbl_MTG_Set[[#This Row],[Play Booster Box Size]]</f>
        <v>#VALUE!</v>
      </c>
      <c r="AQ974" s="10" t="str" cm="1">
        <f t="array" ref="AQ97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4" s="10"/>
      <c r="AS974" s="10"/>
      <c r="AT974" s="17" t="e">
        <f>tbl_MTG_Set[[#This Row],[Play Booster CardMarket Profit]]/tbl_MTG_Set[[#This Row],[Play Booster Cost]]</f>
        <v>#VALUE!</v>
      </c>
      <c r="AU974" s="10" t="e">
        <f>_xlfn.XLOOKUP(tbl_MTG_Set[[#This Row],[Collector Booster Box Product Id]], tbl_Product[Product Id], tbl_Product[Min Cost])</f>
        <v>#N/A</v>
      </c>
      <c r="AV974" s="10" t="e">
        <f>_xlfn.XLOOKUP(tbl_MTG_Set[[#This Row],[Collector Booster Box Product Id]], tbl_Product[Product Id], tbl_Product[Best Source])</f>
        <v>#N/A</v>
      </c>
      <c r="AW974" s="4" t="e">
        <f>_xlfn.XLOOKUP(tbl_MTG_Set[[#This Row],[Collector Booster Box Product Id]], tbl_Product[Product Id], tbl_Product[Pack Size])</f>
        <v>#N/A</v>
      </c>
      <c r="AX974" s="10" t="e">
        <f>(tbl_MTG_Set[[#This Row],[Collector Booster Box Cost]] + v_Item_Shipping_Cost_In) / tbl_MTG_Set[[#This Row],[Collector Booster Box Size]]</f>
        <v>#N/A</v>
      </c>
      <c r="AY974" s="10" t="str" cm="1">
        <f t="array" ref="AY97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4" s="10"/>
      <c r="BA97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4" s="17" t="e">
        <f>tbl_MTG_Set[[#This Row],[Collector Booster CardMarket Profit]]/tbl_MTG_Set[[#This Row],[Collector Booster Cost]]</f>
        <v>#N/A</v>
      </c>
      <c r="BC974" s="10"/>
      <c r="BF97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4" s="11" t="e">
        <f>tbl_MTG_Set[[#This Row],[Play Singles CardMarket Profit MTG Stocks]]/tbl_MTG_Set[[#This Row],[Play Booster Cost]]</f>
        <v>#VALUE!</v>
      </c>
      <c r="BI974" s="11" t="b">
        <f>tbl_MTG_Set[[#This Row],[Play Singles CardMarket Profit MTG Stocks]]&gt;0</f>
        <v>0</v>
      </c>
      <c r="BM974" s="10" t="e">
        <f>tbl_MTG_Set[[#This Row],[Play Booster Sell Price CardMarket]]*tbl_MTG_Set[[#This Row],[Play Booster Expected Market Value BotBox]]/tbl_MTG_Set[[#This Row],[Play Booster Sealed Market Value BotBox]]</f>
        <v>#VALUE!</v>
      </c>
      <c r="BN97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4" s="10" t="e">
        <f>tbl_MTG_Set[[#This Row],[Play Singles CardMarket Profit BotBox]]/tbl_MTG_Set[[#This Row],[Play Booster Cost]]</f>
        <v>#VALUE!</v>
      </c>
      <c r="BP974" s="10" t="b">
        <f>tbl_MTG_Set[[#This Row],[Play Singles CardMarket Profit BotBox]]&gt;0</f>
        <v>0</v>
      </c>
      <c r="BQ974" s="10"/>
      <c r="BR974" s="10"/>
      <c r="BS974" s="10"/>
      <c r="BT97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4" s="19" t="e">
        <f>tbl_MTG_Set[[#This Row],[Collector Singles CardMarket Profit MTG Stocks]]/tbl_MTG_Set[[#This Row],[Collector Booster Cost]]</f>
        <v>#N/A</v>
      </c>
      <c r="BW974" s="10" t="b">
        <f>tbl_MTG_Set[[#This Row],[Collector Singles CardMarket Profit MTG Stocks]]&gt;0</f>
        <v>0</v>
      </c>
      <c r="BX974" s="10"/>
      <c r="BY974" s="10"/>
      <c r="BZ97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4" s="10" t="e">
        <f>tbl_MTG_Set[[#This Row],[Collector Singles CardMarket Profit BotBox]]/tbl_MTG_Set[[#This Row],[Collector Booster Cost]]</f>
        <v>#N/A</v>
      </c>
      <c r="CC974" s="10" t="b">
        <f>tbl_MTG_Set[[#This Row],[Collector Singles CardMarket Profit BotBox]]&gt;0</f>
        <v>0</v>
      </c>
      <c r="CD97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5" spans="1:86" hidden="1">
      <c r="A975">
        <v>1007</v>
      </c>
      <c r="B975" t="s">
        <v>1148</v>
      </c>
      <c r="C975">
        <v>82</v>
      </c>
      <c r="D975" s="3">
        <v>34700</v>
      </c>
      <c r="F975" t="s">
        <v>174</v>
      </c>
      <c r="G975">
        <v>1960</v>
      </c>
      <c r="H975">
        <f ca="1">MONTH(NOW())+12*YEAR(NOW())-MONTH(tbl_MTG_Set[[#This Row],[Released On]])-12*YEAR(tbl_MTG_Set[[#This Row],[Released On]])</f>
        <v>374</v>
      </c>
      <c r="I975" t="str">
        <f>_xlfn.XLOOKUP(tbl_MTG_Set[[#This Row],[Type Name]], tbl_MTG_Set_Type[Set Type], tbl_MTG_Set_Type[Index], "(Set Type not found)")</f>
        <v>(Set Type not found)</v>
      </c>
      <c r="J975" t="str">
        <f>_xlfn.XLOOKUP(tbl_MTG_Set[[#This Row],[Type Name]], tbl_MTG_Set_Type[Set Type], tbl_MTG_Set_Type[Buy Window Month Start], "(Set Type not found)")</f>
        <v>(Set Type not found)</v>
      </c>
      <c r="K975" s="3" t="e">
        <f>tbl_MTG_Set[[#This Row],[Released On]]+tbl_MTG_Set[[#This Row],[Buy Window Month Start]]*365.25/12</f>
        <v>#VALUE!</v>
      </c>
      <c r="L975" t="str">
        <f>_xlfn.XLOOKUP(tbl_MTG_Set[[#This Row],[Type Name]], tbl_MTG_Set_Type[Set Type], tbl_MTG_Set_Type[Buy Window Month End], "(Set Type not found)", 0, 1)</f>
        <v>(Set Type not found)</v>
      </c>
      <c r="M975" s="3" t="e">
        <f>tbl_MTG_Set[[#This Row],[Released On]]+tbl_MTG_Set[[#This Row],[Buy Window Month End]]*365.25/12</f>
        <v>#VALUE!</v>
      </c>
      <c r="N975" s="3" t="e">
        <f ca="1">AND(NOW()&gt;=tbl_MTG_Set[[#This Row],[Buy Window Start]], NOW()&lt;=tbl_MTG_Set[[#This Row],[Buy Window End]])</f>
        <v>#VALUE!</v>
      </c>
      <c r="O975" t="str">
        <f>_xlfn.XLOOKUP(tbl_MTG_Set[[#This Row],[Type Name]], tbl_MTG_Set_Type[Set Type], tbl_MTG_Set_Type[Heavy Printing Window Month Start], "(Set Type not found)", 0, 1)</f>
        <v>(Set Type not found)</v>
      </c>
      <c r="P975" s="3" t="e">
        <f>tbl_MTG_Set[[#This Row],[Released On]]+tbl_MTG_Set[[#This Row],[Heavy Printing Window Month Start]]*365.25/12</f>
        <v>#VALUE!</v>
      </c>
      <c r="Q975" t="str">
        <f>_xlfn.XLOOKUP(tbl_MTG_Set[[#This Row],[Type Name]], tbl_MTG_Set_Type[Set Type], tbl_MTG_Set_Type[Heavy Printing Window Month End], "(Set Type not found)", 0, 1)</f>
        <v>(Set Type not found)</v>
      </c>
      <c r="R975" s="3" t="e">
        <f>tbl_MTG_Set[[#This Row],[Released On]]+tbl_MTG_Set[[#This Row],[Heavy Printing Window Month End]]*365.25/12</f>
        <v>#VALUE!</v>
      </c>
      <c r="S975" s="3" t="e">
        <f ca="1">AND(NOW()&gt;=tbl_MTG_Set[[#This Row],[Heavy Printing Window Start]], NOW()&lt;=tbl_MTG_Set[[#This Row],[Heavy Printing Window End]])</f>
        <v>#VALUE!</v>
      </c>
      <c r="T975" t="str">
        <f>_xlfn.XLOOKUP(tbl_MTG_Set[[#This Row],[Type Name]], tbl_MTG_Set_Type[Set Type], tbl_MTG_Set_Type[Sell Window Month Start], "(Set Type not found)", 0, 1)</f>
        <v>(Set Type not found)</v>
      </c>
      <c r="U975" s="3" t="e">
        <f>tbl_MTG_Set[[#This Row],[Released On]]+tbl_MTG_Set[[#This Row],[Sell Window Month Start]]*365.25/12</f>
        <v>#VALUE!</v>
      </c>
      <c r="V975" t="str">
        <f>_xlfn.XLOOKUP(tbl_MTG_Set[[#This Row],[Type Name]], tbl_MTG_Set_Type[Set Type], tbl_MTG_Set_Type[Sell Window Month End], "(Set Type not found)", 0, 1)</f>
        <v>(Set Type not found)</v>
      </c>
      <c r="W975" s="3" t="e">
        <f>tbl_MTG_Set[[#This Row],[Released On]]+tbl_MTG_Set[[#This Row],[Sell Window Month End]]*365.25/12</f>
        <v>#VALUE!</v>
      </c>
      <c r="X975" s="3" t="e">
        <f ca="1">AND(NOW()&gt;=tbl_MTG_Set[[#This Row],[Sell Window Start]], NOW()&lt;=tbl_MTG_Set[[#This Row],[Sell Window End]])</f>
        <v>#VALUE!</v>
      </c>
      <c r="AG975" s="10"/>
      <c r="AH975" s="10"/>
      <c r="AM975" s="10" t="str" cm="1">
        <f t="array" ref="AM97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5" s="10" t="str" cm="1">
        <f t="array" ref="AN97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5" s="4" t="e">
        <f>_xlfn.XLOOKUP(tbl_MTG_Set[[#This Row],[Play Booster Box Product Id]], tbl_Product[Product Id], tbl_Product[Pack Size])</f>
        <v>#N/A</v>
      </c>
      <c r="AP975" s="10" t="e">
        <f>(tbl_MTG_Set[[#This Row],[Play Booster Box Cost]]+v_Item_Shipping_Cost_In)/tbl_MTG_Set[[#This Row],[Play Booster Box Size]]</f>
        <v>#VALUE!</v>
      </c>
      <c r="AQ975" s="10" t="str" cm="1">
        <f t="array" ref="AQ97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5" s="10"/>
      <c r="AS975" s="10"/>
      <c r="AT975" s="17" t="e">
        <f>tbl_MTG_Set[[#This Row],[Play Booster CardMarket Profit]]/tbl_MTG_Set[[#This Row],[Play Booster Cost]]</f>
        <v>#VALUE!</v>
      </c>
      <c r="AU975" s="10" t="e">
        <f>_xlfn.XLOOKUP(tbl_MTG_Set[[#This Row],[Collector Booster Box Product Id]], tbl_Product[Product Id], tbl_Product[Min Cost])</f>
        <v>#N/A</v>
      </c>
      <c r="AV975" s="10" t="e">
        <f>_xlfn.XLOOKUP(tbl_MTG_Set[[#This Row],[Collector Booster Box Product Id]], tbl_Product[Product Id], tbl_Product[Best Source])</f>
        <v>#N/A</v>
      </c>
      <c r="AW975" s="4" t="e">
        <f>_xlfn.XLOOKUP(tbl_MTG_Set[[#This Row],[Collector Booster Box Product Id]], tbl_Product[Product Id], tbl_Product[Pack Size])</f>
        <v>#N/A</v>
      </c>
      <c r="AX975" s="10" t="e">
        <f>(tbl_MTG_Set[[#This Row],[Collector Booster Box Cost]] + v_Item_Shipping_Cost_In) / tbl_MTG_Set[[#This Row],[Collector Booster Box Size]]</f>
        <v>#N/A</v>
      </c>
      <c r="AY975" s="10" t="str" cm="1">
        <f t="array" ref="AY97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5" s="10"/>
      <c r="BA97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5" s="17" t="e">
        <f>tbl_MTG_Set[[#This Row],[Collector Booster CardMarket Profit]]/tbl_MTG_Set[[#This Row],[Collector Booster Cost]]</f>
        <v>#N/A</v>
      </c>
      <c r="BC975" s="10"/>
      <c r="BF97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5" s="11" t="e">
        <f>tbl_MTG_Set[[#This Row],[Play Singles CardMarket Profit MTG Stocks]]/tbl_MTG_Set[[#This Row],[Play Booster Cost]]</f>
        <v>#VALUE!</v>
      </c>
      <c r="BI975" s="11" t="b">
        <f>tbl_MTG_Set[[#This Row],[Play Singles CardMarket Profit MTG Stocks]]&gt;0</f>
        <v>0</v>
      </c>
      <c r="BM975" s="10" t="e">
        <f>tbl_MTG_Set[[#This Row],[Play Booster Sell Price CardMarket]]*tbl_MTG_Set[[#This Row],[Play Booster Expected Market Value BotBox]]/tbl_MTG_Set[[#This Row],[Play Booster Sealed Market Value BotBox]]</f>
        <v>#VALUE!</v>
      </c>
      <c r="BN97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5" s="10" t="e">
        <f>tbl_MTG_Set[[#This Row],[Play Singles CardMarket Profit BotBox]]/tbl_MTG_Set[[#This Row],[Play Booster Cost]]</f>
        <v>#VALUE!</v>
      </c>
      <c r="BP975" s="10" t="b">
        <f>tbl_MTG_Set[[#This Row],[Play Singles CardMarket Profit BotBox]]&gt;0</f>
        <v>0</v>
      </c>
      <c r="BQ975" s="10"/>
      <c r="BR975" s="10"/>
      <c r="BS975" s="10"/>
      <c r="BT97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5" s="19" t="e">
        <f>tbl_MTG_Set[[#This Row],[Collector Singles CardMarket Profit MTG Stocks]]/tbl_MTG_Set[[#This Row],[Collector Booster Cost]]</f>
        <v>#N/A</v>
      </c>
      <c r="BW975" s="10" t="b">
        <f>tbl_MTG_Set[[#This Row],[Collector Singles CardMarket Profit MTG Stocks]]&gt;0</f>
        <v>0</v>
      </c>
      <c r="BX975" s="10"/>
      <c r="BY975" s="10"/>
      <c r="BZ97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5" s="10" t="e">
        <f>tbl_MTG_Set[[#This Row],[Collector Singles CardMarket Profit BotBox]]/tbl_MTG_Set[[#This Row],[Collector Booster Cost]]</f>
        <v>#N/A</v>
      </c>
      <c r="CC975" s="10" t="b">
        <f>tbl_MTG_Set[[#This Row],[Collector Singles CardMarket Profit BotBox]]&gt;0</f>
        <v>0</v>
      </c>
      <c r="CD97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6" spans="1:86" hidden="1">
      <c r="A976">
        <v>1008</v>
      </c>
      <c r="B976" t="s">
        <v>1149</v>
      </c>
      <c r="C976">
        <v>187</v>
      </c>
      <c r="D976" s="3">
        <v>34639</v>
      </c>
      <c r="F976" t="s">
        <v>174</v>
      </c>
      <c r="G976">
        <v>1962</v>
      </c>
      <c r="H976">
        <f ca="1">MONTH(NOW())+12*YEAR(NOW())-MONTH(tbl_MTG_Set[[#This Row],[Released On]])-12*YEAR(tbl_MTG_Set[[#This Row],[Released On]])</f>
        <v>376</v>
      </c>
      <c r="I976" t="str">
        <f>_xlfn.XLOOKUP(tbl_MTG_Set[[#This Row],[Type Name]], tbl_MTG_Set_Type[Set Type], tbl_MTG_Set_Type[Index], "(Set Type not found)")</f>
        <v>(Set Type not found)</v>
      </c>
      <c r="J976" t="str">
        <f>_xlfn.XLOOKUP(tbl_MTG_Set[[#This Row],[Type Name]], tbl_MTG_Set_Type[Set Type], tbl_MTG_Set_Type[Buy Window Month Start], "(Set Type not found)")</f>
        <v>(Set Type not found)</v>
      </c>
      <c r="K976" s="3" t="e">
        <f>tbl_MTG_Set[[#This Row],[Released On]]+tbl_MTG_Set[[#This Row],[Buy Window Month Start]]*365.25/12</f>
        <v>#VALUE!</v>
      </c>
      <c r="L976" t="str">
        <f>_xlfn.XLOOKUP(tbl_MTG_Set[[#This Row],[Type Name]], tbl_MTG_Set_Type[Set Type], tbl_MTG_Set_Type[Buy Window Month End], "(Set Type not found)", 0, 1)</f>
        <v>(Set Type not found)</v>
      </c>
      <c r="M976" s="3" t="e">
        <f>tbl_MTG_Set[[#This Row],[Released On]]+tbl_MTG_Set[[#This Row],[Buy Window Month End]]*365.25/12</f>
        <v>#VALUE!</v>
      </c>
      <c r="N976" s="3" t="e">
        <f ca="1">AND(NOW()&gt;=tbl_MTG_Set[[#This Row],[Buy Window Start]], NOW()&lt;=tbl_MTG_Set[[#This Row],[Buy Window End]])</f>
        <v>#VALUE!</v>
      </c>
      <c r="O976" t="str">
        <f>_xlfn.XLOOKUP(tbl_MTG_Set[[#This Row],[Type Name]], tbl_MTG_Set_Type[Set Type], tbl_MTG_Set_Type[Heavy Printing Window Month Start], "(Set Type not found)", 0, 1)</f>
        <v>(Set Type not found)</v>
      </c>
      <c r="P976" s="3" t="e">
        <f>tbl_MTG_Set[[#This Row],[Released On]]+tbl_MTG_Set[[#This Row],[Heavy Printing Window Month Start]]*365.25/12</f>
        <v>#VALUE!</v>
      </c>
      <c r="Q976" t="str">
        <f>_xlfn.XLOOKUP(tbl_MTG_Set[[#This Row],[Type Name]], tbl_MTG_Set_Type[Set Type], tbl_MTG_Set_Type[Heavy Printing Window Month End], "(Set Type not found)", 0, 1)</f>
        <v>(Set Type not found)</v>
      </c>
      <c r="R976" s="3" t="e">
        <f>tbl_MTG_Set[[#This Row],[Released On]]+tbl_MTG_Set[[#This Row],[Heavy Printing Window Month End]]*365.25/12</f>
        <v>#VALUE!</v>
      </c>
      <c r="S976" s="3" t="e">
        <f ca="1">AND(NOW()&gt;=tbl_MTG_Set[[#This Row],[Heavy Printing Window Start]], NOW()&lt;=tbl_MTG_Set[[#This Row],[Heavy Printing Window End]])</f>
        <v>#VALUE!</v>
      </c>
      <c r="T976" t="str">
        <f>_xlfn.XLOOKUP(tbl_MTG_Set[[#This Row],[Type Name]], tbl_MTG_Set_Type[Set Type], tbl_MTG_Set_Type[Sell Window Month Start], "(Set Type not found)", 0, 1)</f>
        <v>(Set Type not found)</v>
      </c>
      <c r="U976" s="3" t="e">
        <f>tbl_MTG_Set[[#This Row],[Released On]]+tbl_MTG_Set[[#This Row],[Sell Window Month Start]]*365.25/12</f>
        <v>#VALUE!</v>
      </c>
      <c r="V976" t="str">
        <f>_xlfn.XLOOKUP(tbl_MTG_Set[[#This Row],[Type Name]], tbl_MTG_Set_Type[Set Type], tbl_MTG_Set_Type[Sell Window Month End], "(Set Type not found)", 0, 1)</f>
        <v>(Set Type not found)</v>
      </c>
      <c r="W976" s="3" t="e">
        <f>tbl_MTG_Set[[#This Row],[Released On]]+tbl_MTG_Set[[#This Row],[Sell Window Month End]]*365.25/12</f>
        <v>#VALUE!</v>
      </c>
      <c r="X976" s="3" t="e">
        <f ca="1">AND(NOW()&gt;=tbl_MTG_Set[[#This Row],[Sell Window Start]], NOW()&lt;=tbl_MTG_Set[[#This Row],[Sell Window End]])</f>
        <v>#VALUE!</v>
      </c>
      <c r="AG976" s="10"/>
      <c r="AH976" s="10"/>
      <c r="AM976" s="10" t="str" cm="1">
        <f t="array" ref="AM97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6" s="10" t="str" cm="1">
        <f t="array" ref="AN97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6" s="4" t="e">
        <f>_xlfn.XLOOKUP(tbl_MTG_Set[[#This Row],[Play Booster Box Product Id]], tbl_Product[Product Id], tbl_Product[Pack Size])</f>
        <v>#N/A</v>
      </c>
      <c r="AP976" s="10" t="e">
        <f>(tbl_MTG_Set[[#This Row],[Play Booster Box Cost]]+v_Item_Shipping_Cost_In)/tbl_MTG_Set[[#This Row],[Play Booster Box Size]]</f>
        <v>#VALUE!</v>
      </c>
      <c r="AQ976" s="10" t="str" cm="1">
        <f t="array" ref="AQ97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6" s="10"/>
      <c r="AS976" s="10"/>
      <c r="AT976" s="17" t="e">
        <f>tbl_MTG_Set[[#This Row],[Play Booster CardMarket Profit]]/tbl_MTG_Set[[#This Row],[Play Booster Cost]]</f>
        <v>#VALUE!</v>
      </c>
      <c r="AU976" s="10" t="e">
        <f>_xlfn.XLOOKUP(tbl_MTG_Set[[#This Row],[Collector Booster Box Product Id]], tbl_Product[Product Id], tbl_Product[Min Cost])</f>
        <v>#N/A</v>
      </c>
      <c r="AV976" s="10" t="e">
        <f>_xlfn.XLOOKUP(tbl_MTG_Set[[#This Row],[Collector Booster Box Product Id]], tbl_Product[Product Id], tbl_Product[Best Source])</f>
        <v>#N/A</v>
      </c>
      <c r="AW976" s="4" t="e">
        <f>_xlfn.XLOOKUP(tbl_MTG_Set[[#This Row],[Collector Booster Box Product Id]], tbl_Product[Product Id], tbl_Product[Pack Size])</f>
        <v>#N/A</v>
      </c>
      <c r="AX976" s="10" t="e">
        <f>(tbl_MTG_Set[[#This Row],[Collector Booster Box Cost]] + v_Item_Shipping_Cost_In) / tbl_MTG_Set[[#This Row],[Collector Booster Box Size]]</f>
        <v>#N/A</v>
      </c>
      <c r="AY976" s="10" t="str" cm="1">
        <f t="array" ref="AY97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6" s="10"/>
      <c r="BA97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6" s="17" t="e">
        <f>tbl_MTG_Set[[#This Row],[Collector Booster CardMarket Profit]]/tbl_MTG_Set[[#This Row],[Collector Booster Cost]]</f>
        <v>#N/A</v>
      </c>
      <c r="BC976" s="10"/>
      <c r="BF97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6" s="11" t="e">
        <f>tbl_MTG_Set[[#This Row],[Play Singles CardMarket Profit MTG Stocks]]/tbl_MTG_Set[[#This Row],[Play Booster Cost]]</f>
        <v>#VALUE!</v>
      </c>
      <c r="BI976" s="11" t="b">
        <f>tbl_MTG_Set[[#This Row],[Play Singles CardMarket Profit MTG Stocks]]&gt;0</f>
        <v>0</v>
      </c>
      <c r="BM976" s="10" t="e">
        <f>tbl_MTG_Set[[#This Row],[Play Booster Sell Price CardMarket]]*tbl_MTG_Set[[#This Row],[Play Booster Expected Market Value BotBox]]/tbl_MTG_Set[[#This Row],[Play Booster Sealed Market Value BotBox]]</f>
        <v>#VALUE!</v>
      </c>
      <c r="BN97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6" s="10" t="e">
        <f>tbl_MTG_Set[[#This Row],[Play Singles CardMarket Profit BotBox]]/tbl_MTG_Set[[#This Row],[Play Booster Cost]]</f>
        <v>#VALUE!</v>
      </c>
      <c r="BP976" s="10" t="b">
        <f>tbl_MTG_Set[[#This Row],[Play Singles CardMarket Profit BotBox]]&gt;0</f>
        <v>0</v>
      </c>
      <c r="BQ976" s="10"/>
      <c r="BR976" s="10"/>
      <c r="BS976" s="10"/>
      <c r="BT97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6" s="19" t="e">
        <f>tbl_MTG_Set[[#This Row],[Collector Singles CardMarket Profit MTG Stocks]]/tbl_MTG_Set[[#This Row],[Collector Booster Cost]]</f>
        <v>#N/A</v>
      </c>
      <c r="BW976" s="10" t="b">
        <f>tbl_MTG_Set[[#This Row],[Collector Singles CardMarket Profit MTG Stocks]]&gt;0</f>
        <v>0</v>
      </c>
      <c r="BX976" s="10"/>
      <c r="BY976" s="10"/>
      <c r="BZ97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6" s="10" t="e">
        <f>tbl_MTG_Set[[#This Row],[Collector Singles CardMarket Profit BotBox]]/tbl_MTG_Set[[#This Row],[Collector Booster Cost]]</f>
        <v>#N/A</v>
      </c>
      <c r="CC976" s="10" t="b">
        <f>tbl_MTG_Set[[#This Row],[Collector Singles CardMarket Profit BotBox]]&gt;0</f>
        <v>0</v>
      </c>
      <c r="CD97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7" spans="1:86" hidden="1">
      <c r="A977">
        <v>1009</v>
      </c>
      <c r="B977" t="s">
        <v>1150</v>
      </c>
      <c r="C977">
        <v>5</v>
      </c>
      <c r="D977" s="3">
        <v>34578</v>
      </c>
      <c r="F977" t="s">
        <v>174</v>
      </c>
      <c r="G977">
        <v>1964</v>
      </c>
      <c r="H977">
        <f ca="1">MONTH(NOW())+12*YEAR(NOW())-MONTH(tbl_MTG_Set[[#This Row],[Released On]])-12*YEAR(tbl_MTG_Set[[#This Row],[Released On]])</f>
        <v>378</v>
      </c>
      <c r="I977" t="str">
        <f>_xlfn.XLOOKUP(tbl_MTG_Set[[#This Row],[Type Name]], tbl_MTG_Set_Type[Set Type], tbl_MTG_Set_Type[Index], "(Set Type not found)")</f>
        <v>(Set Type not found)</v>
      </c>
      <c r="J977" t="str">
        <f>_xlfn.XLOOKUP(tbl_MTG_Set[[#This Row],[Type Name]], tbl_MTG_Set_Type[Set Type], tbl_MTG_Set_Type[Buy Window Month Start], "(Set Type not found)")</f>
        <v>(Set Type not found)</v>
      </c>
      <c r="K977" s="3" t="e">
        <f>tbl_MTG_Set[[#This Row],[Released On]]+tbl_MTG_Set[[#This Row],[Buy Window Month Start]]*365.25/12</f>
        <v>#VALUE!</v>
      </c>
      <c r="L977" t="str">
        <f>_xlfn.XLOOKUP(tbl_MTG_Set[[#This Row],[Type Name]], tbl_MTG_Set_Type[Set Type], tbl_MTG_Set_Type[Buy Window Month End], "(Set Type not found)", 0, 1)</f>
        <v>(Set Type not found)</v>
      </c>
      <c r="M977" s="3" t="e">
        <f>tbl_MTG_Set[[#This Row],[Released On]]+tbl_MTG_Set[[#This Row],[Buy Window Month End]]*365.25/12</f>
        <v>#VALUE!</v>
      </c>
      <c r="N977" s="3" t="e">
        <f ca="1">AND(NOW()&gt;=tbl_MTG_Set[[#This Row],[Buy Window Start]], NOW()&lt;=tbl_MTG_Set[[#This Row],[Buy Window End]])</f>
        <v>#VALUE!</v>
      </c>
      <c r="O977" t="str">
        <f>_xlfn.XLOOKUP(tbl_MTG_Set[[#This Row],[Type Name]], tbl_MTG_Set_Type[Set Type], tbl_MTG_Set_Type[Heavy Printing Window Month Start], "(Set Type not found)", 0, 1)</f>
        <v>(Set Type not found)</v>
      </c>
      <c r="P977" s="3" t="e">
        <f>tbl_MTG_Set[[#This Row],[Released On]]+tbl_MTG_Set[[#This Row],[Heavy Printing Window Month Start]]*365.25/12</f>
        <v>#VALUE!</v>
      </c>
      <c r="Q977" t="str">
        <f>_xlfn.XLOOKUP(tbl_MTG_Set[[#This Row],[Type Name]], tbl_MTG_Set_Type[Set Type], tbl_MTG_Set_Type[Heavy Printing Window Month End], "(Set Type not found)", 0, 1)</f>
        <v>(Set Type not found)</v>
      </c>
      <c r="R977" s="3" t="e">
        <f>tbl_MTG_Set[[#This Row],[Released On]]+tbl_MTG_Set[[#This Row],[Heavy Printing Window Month End]]*365.25/12</f>
        <v>#VALUE!</v>
      </c>
      <c r="S977" s="3" t="e">
        <f ca="1">AND(NOW()&gt;=tbl_MTG_Set[[#This Row],[Heavy Printing Window Start]], NOW()&lt;=tbl_MTG_Set[[#This Row],[Heavy Printing Window End]])</f>
        <v>#VALUE!</v>
      </c>
      <c r="T977" t="str">
        <f>_xlfn.XLOOKUP(tbl_MTG_Set[[#This Row],[Type Name]], tbl_MTG_Set_Type[Set Type], tbl_MTG_Set_Type[Sell Window Month Start], "(Set Type not found)", 0, 1)</f>
        <v>(Set Type not found)</v>
      </c>
      <c r="U977" s="3" t="e">
        <f>tbl_MTG_Set[[#This Row],[Released On]]+tbl_MTG_Set[[#This Row],[Sell Window Month Start]]*365.25/12</f>
        <v>#VALUE!</v>
      </c>
      <c r="V977" t="str">
        <f>_xlfn.XLOOKUP(tbl_MTG_Set[[#This Row],[Type Name]], tbl_MTG_Set_Type[Set Type], tbl_MTG_Set_Type[Sell Window Month End], "(Set Type not found)", 0, 1)</f>
        <v>(Set Type not found)</v>
      </c>
      <c r="W977" s="3" t="e">
        <f>tbl_MTG_Set[[#This Row],[Released On]]+tbl_MTG_Set[[#This Row],[Sell Window Month End]]*365.25/12</f>
        <v>#VALUE!</v>
      </c>
      <c r="X977" s="3" t="e">
        <f ca="1">AND(NOW()&gt;=tbl_MTG_Set[[#This Row],[Sell Window Start]], NOW()&lt;=tbl_MTG_Set[[#This Row],[Sell Window End]])</f>
        <v>#VALUE!</v>
      </c>
      <c r="AG977" s="10"/>
      <c r="AH977" s="10"/>
      <c r="AM977" s="10" t="str" cm="1">
        <f t="array" ref="AM97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7" s="10" t="str" cm="1">
        <f t="array" ref="AN97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7" s="4" t="e">
        <f>_xlfn.XLOOKUP(tbl_MTG_Set[[#This Row],[Play Booster Box Product Id]], tbl_Product[Product Id], tbl_Product[Pack Size])</f>
        <v>#N/A</v>
      </c>
      <c r="AP977" s="10" t="e">
        <f>(tbl_MTG_Set[[#This Row],[Play Booster Box Cost]]+v_Item_Shipping_Cost_In)/tbl_MTG_Set[[#This Row],[Play Booster Box Size]]</f>
        <v>#VALUE!</v>
      </c>
      <c r="AQ977" s="10" t="str" cm="1">
        <f t="array" ref="AQ97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7" s="10"/>
      <c r="AS977" s="10"/>
      <c r="AT977" s="17" t="e">
        <f>tbl_MTG_Set[[#This Row],[Play Booster CardMarket Profit]]/tbl_MTG_Set[[#This Row],[Play Booster Cost]]</f>
        <v>#VALUE!</v>
      </c>
      <c r="AU977" s="10" t="e">
        <f>_xlfn.XLOOKUP(tbl_MTG_Set[[#This Row],[Collector Booster Box Product Id]], tbl_Product[Product Id], tbl_Product[Min Cost])</f>
        <v>#N/A</v>
      </c>
      <c r="AV977" s="10" t="e">
        <f>_xlfn.XLOOKUP(tbl_MTG_Set[[#This Row],[Collector Booster Box Product Id]], tbl_Product[Product Id], tbl_Product[Best Source])</f>
        <v>#N/A</v>
      </c>
      <c r="AW977" s="4" t="e">
        <f>_xlfn.XLOOKUP(tbl_MTG_Set[[#This Row],[Collector Booster Box Product Id]], tbl_Product[Product Id], tbl_Product[Pack Size])</f>
        <v>#N/A</v>
      </c>
      <c r="AX977" s="10" t="e">
        <f>(tbl_MTG_Set[[#This Row],[Collector Booster Box Cost]] + v_Item_Shipping_Cost_In) / tbl_MTG_Set[[#This Row],[Collector Booster Box Size]]</f>
        <v>#N/A</v>
      </c>
      <c r="AY977" s="10" t="str" cm="1">
        <f t="array" ref="AY97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7" s="10"/>
      <c r="BA97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7" s="17" t="e">
        <f>tbl_MTG_Set[[#This Row],[Collector Booster CardMarket Profit]]/tbl_MTG_Set[[#This Row],[Collector Booster Cost]]</f>
        <v>#N/A</v>
      </c>
      <c r="BC977" s="10"/>
      <c r="BF97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7" s="11" t="e">
        <f>tbl_MTG_Set[[#This Row],[Play Singles CardMarket Profit MTG Stocks]]/tbl_MTG_Set[[#This Row],[Play Booster Cost]]</f>
        <v>#VALUE!</v>
      </c>
      <c r="BI977" s="11" t="b">
        <f>tbl_MTG_Set[[#This Row],[Play Singles CardMarket Profit MTG Stocks]]&gt;0</f>
        <v>0</v>
      </c>
      <c r="BM977" s="10" t="e">
        <f>tbl_MTG_Set[[#This Row],[Play Booster Sell Price CardMarket]]*tbl_MTG_Set[[#This Row],[Play Booster Expected Market Value BotBox]]/tbl_MTG_Set[[#This Row],[Play Booster Sealed Market Value BotBox]]</f>
        <v>#VALUE!</v>
      </c>
      <c r="BN97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7" s="10" t="e">
        <f>tbl_MTG_Set[[#This Row],[Play Singles CardMarket Profit BotBox]]/tbl_MTG_Set[[#This Row],[Play Booster Cost]]</f>
        <v>#VALUE!</v>
      </c>
      <c r="BP977" s="10" t="b">
        <f>tbl_MTG_Set[[#This Row],[Play Singles CardMarket Profit BotBox]]&gt;0</f>
        <v>0</v>
      </c>
      <c r="BQ977" s="10"/>
      <c r="BR977" s="10"/>
      <c r="BS977" s="10"/>
      <c r="BT97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7" s="19" t="e">
        <f>tbl_MTG_Set[[#This Row],[Collector Singles CardMarket Profit MTG Stocks]]/tbl_MTG_Set[[#This Row],[Collector Booster Cost]]</f>
        <v>#N/A</v>
      </c>
      <c r="BW977" s="10" t="b">
        <f>tbl_MTG_Set[[#This Row],[Collector Singles CardMarket Profit MTG Stocks]]&gt;0</f>
        <v>0</v>
      </c>
      <c r="BX977" s="10"/>
      <c r="BY977" s="10"/>
      <c r="BZ97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7" s="10" t="e">
        <f>tbl_MTG_Set[[#This Row],[Collector Singles CardMarket Profit BotBox]]/tbl_MTG_Set[[#This Row],[Collector Booster Cost]]</f>
        <v>#N/A</v>
      </c>
      <c r="CC977" s="10" t="b">
        <f>tbl_MTG_Set[[#This Row],[Collector Singles CardMarket Profit BotBox]]&gt;0</f>
        <v>0</v>
      </c>
      <c r="CD97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8" spans="1:86" hidden="1">
      <c r="A978">
        <v>1010</v>
      </c>
      <c r="B978" t="s">
        <v>1151</v>
      </c>
      <c r="C978">
        <v>122</v>
      </c>
      <c r="D978" s="3">
        <v>34547</v>
      </c>
      <c r="F978" t="s">
        <v>174</v>
      </c>
      <c r="G978">
        <v>1966</v>
      </c>
      <c r="H978">
        <f ca="1">MONTH(NOW())+12*YEAR(NOW())-MONTH(tbl_MTG_Set[[#This Row],[Released On]])-12*YEAR(tbl_MTG_Set[[#This Row],[Released On]])</f>
        <v>379</v>
      </c>
      <c r="I978" t="str">
        <f>_xlfn.XLOOKUP(tbl_MTG_Set[[#This Row],[Type Name]], tbl_MTG_Set_Type[Set Type], tbl_MTG_Set_Type[Index], "(Set Type not found)")</f>
        <v>(Set Type not found)</v>
      </c>
      <c r="J978" t="str">
        <f>_xlfn.XLOOKUP(tbl_MTG_Set[[#This Row],[Type Name]], tbl_MTG_Set_Type[Set Type], tbl_MTG_Set_Type[Buy Window Month Start], "(Set Type not found)")</f>
        <v>(Set Type not found)</v>
      </c>
      <c r="K978" s="3" t="e">
        <f>tbl_MTG_Set[[#This Row],[Released On]]+tbl_MTG_Set[[#This Row],[Buy Window Month Start]]*365.25/12</f>
        <v>#VALUE!</v>
      </c>
      <c r="L978" t="str">
        <f>_xlfn.XLOOKUP(tbl_MTG_Set[[#This Row],[Type Name]], tbl_MTG_Set_Type[Set Type], tbl_MTG_Set_Type[Buy Window Month End], "(Set Type not found)", 0, 1)</f>
        <v>(Set Type not found)</v>
      </c>
      <c r="M978" s="3" t="e">
        <f>tbl_MTG_Set[[#This Row],[Released On]]+tbl_MTG_Set[[#This Row],[Buy Window Month End]]*365.25/12</f>
        <v>#VALUE!</v>
      </c>
      <c r="N978" s="3" t="e">
        <f ca="1">AND(NOW()&gt;=tbl_MTG_Set[[#This Row],[Buy Window Start]], NOW()&lt;=tbl_MTG_Set[[#This Row],[Buy Window End]])</f>
        <v>#VALUE!</v>
      </c>
      <c r="O978" t="str">
        <f>_xlfn.XLOOKUP(tbl_MTG_Set[[#This Row],[Type Name]], tbl_MTG_Set_Type[Set Type], tbl_MTG_Set_Type[Heavy Printing Window Month Start], "(Set Type not found)", 0, 1)</f>
        <v>(Set Type not found)</v>
      </c>
      <c r="P978" s="3" t="e">
        <f>tbl_MTG_Set[[#This Row],[Released On]]+tbl_MTG_Set[[#This Row],[Heavy Printing Window Month Start]]*365.25/12</f>
        <v>#VALUE!</v>
      </c>
      <c r="Q978" t="str">
        <f>_xlfn.XLOOKUP(tbl_MTG_Set[[#This Row],[Type Name]], tbl_MTG_Set_Type[Set Type], tbl_MTG_Set_Type[Heavy Printing Window Month End], "(Set Type not found)", 0, 1)</f>
        <v>(Set Type not found)</v>
      </c>
      <c r="R978" s="3" t="e">
        <f>tbl_MTG_Set[[#This Row],[Released On]]+tbl_MTG_Set[[#This Row],[Heavy Printing Window Month End]]*365.25/12</f>
        <v>#VALUE!</v>
      </c>
      <c r="S978" s="3" t="e">
        <f ca="1">AND(NOW()&gt;=tbl_MTG_Set[[#This Row],[Heavy Printing Window Start]], NOW()&lt;=tbl_MTG_Set[[#This Row],[Heavy Printing Window End]])</f>
        <v>#VALUE!</v>
      </c>
      <c r="T978" t="str">
        <f>_xlfn.XLOOKUP(tbl_MTG_Set[[#This Row],[Type Name]], tbl_MTG_Set_Type[Set Type], tbl_MTG_Set_Type[Sell Window Month Start], "(Set Type not found)", 0, 1)</f>
        <v>(Set Type not found)</v>
      </c>
      <c r="U978" s="3" t="e">
        <f>tbl_MTG_Set[[#This Row],[Released On]]+tbl_MTG_Set[[#This Row],[Sell Window Month Start]]*365.25/12</f>
        <v>#VALUE!</v>
      </c>
      <c r="V978" t="str">
        <f>_xlfn.XLOOKUP(tbl_MTG_Set[[#This Row],[Type Name]], tbl_MTG_Set_Type[Set Type], tbl_MTG_Set_Type[Sell Window Month End], "(Set Type not found)", 0, 1)</f>
        <v>(Set Type not found)</v>
      </c>
      <c r="W978" s="3" t="e">
        <f>tbl_MTG_Set[[#This Row],[Released On]]+tbl_MTG_Set[[#This Row],[Sell Window Month End]]*365.25/12</f>
        <v>#VALUE!</v>
      </c>
      <c r="X978" s="3" t="e">
        <f ca="1">AND(NOW()&gt;=tbl_MTG_Set[[#This Row],[Sell Window Start]], NOW()&lt;=tbl_MTG_Set[[#This Row],[Sell Window End]])</f>
        <v>#VALUE!</v>
      </c>
      <c r="AG978" s="10"/>
      <c r="AH978" s="10"/>
      <c r="AM978" s="10" t="str" cm="1">
        <f t="array" ref="AM97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8" s="10" t="str" cm="1">
        <f t="array" ref="AN97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8" s="4" t="e">
        <f>_xlfn.XLOOKUP(tbl_MTG_Set[[#This Row],[Play Booster Box Product Id]], tbl_Product[Product Id], tbl_Product[Pack Size])</f>
        <v>#N/A</v>
      </c>
      <c r="AP978" s="10" t="e">
        <f>(tbl_MTG_Set[[#This Row],[Play Booster Box Cost]]+v_Item_Shipping_Cost_In)/tbl_MTG_Set[[#This Row],[Play Booster Box Size]]</f>
        <v>#VALUE!</v>
      </c>
      <c r="AQ978" s="10" t="str" cm="1">
        <f t="array" ref="AQ97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8" s="10"/>
      <c r="AS978" s="10"/>
      <c r="AT978" s="17" t="e">
        <f>tbl_MTG_Set[[#This Row],[Play Booster CardMarket Profit]]/tbl_MTG_Set[[#This Row],[Play Booster Cost]]</f>
        <v>#VALUE!</v>
      </c>
      <c r="AU978" s="10" t="e">
        <f>_xlfn.XLOOKUP(tbl_MTG_Set[[#This Row],[Collector Booster Box Product Id]], tbl_Product[Product Id], tbl_Product[Min Cost])</f>
        <v>#N/A</v>
      </c>
      <c r="AV978" s="10" t="e">
        <f>_xlfn.XLOOKUP(tbl_MTG_Set[[#This Row],[Collector Booster Box Product Id]], tbl_Product[Product Id], tbl_Product[Best Source])</f>
        <v>#N/A</v>
      </c>
      <c r="AW978" s="4" t="e">
        <f>_xlfn.XLOOKUP(tbl_MTG_Set[[#This Row],[Collector Booster Box Product Id]], tbl_Product[Product Id], tbl_Product[Pack Size])</f>
        <v>#N/A</v>
      </c>
      <c r="AX978" s="10" t="e">
        <f>(tbl_MTG_Set[[#This Row],[Collector Booster Box Cost]] + v_Item_Shipping_Cost_In) / tbl_MTG_Set[[#This Row],[Collector Booster Box Size]]</f>
        <v>#N/A</v>
      </c>
      <c r="AY978" s="10" t="str" cm="1">
        <f t="array" ref="AY97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8" s="10"/>
      <c r="BA97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8" s="17" t="e">
        <f>tbl_MTG_Set[[#This Row],[Collector Booster CardMarket Profit]]/tbl_MTG_Set[[#This Row],[Collector Booster Cost]]</f>
        <v>#N/A</v>
      </c>
      <c r="BC978" s="10"/>
      <c r="BF97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8" s="11" t="e">
        <f>tbl_MTG_Set[[#This Row],[Play Singles CardMarket Profit MTG Stocks]]/tbl_MTG_Set[[#This Row],[Play Booster Cost]]</f>
        <v>#VALUE!</v>
      </c>
      <c r="BI978" s="11" t="b">
        <f>tbl_MTG_Set[[#This Row],[Play Singles CardMarket Profit MTG Stocks]]&gt;0</f>
        <v>0</v>
      </c>
      <c r="BM978" s="10" t="e">
        <f>tbl_MTG_Set[[#This Row],[Play Booster Sell Price CardMarket]]*tbl_MTG_Set[[#This Row],[Play Booster Expected Market Value BotBox]]/tbl_MTG_Set[[#This Row],[Play Booster Sealed Market Value BotBox]]</f>
        <v>#VALUE!</v>
      </c>
      <c r="BN97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8" s="10" t="e">
        <f>tbl_MTG_Set[[#This Row],[Play Singles CardMarket Profit BotBox]]/tbl_MTG_Set[[#This Row],[Play Booster Cost]]</f>
        <v>#VALUE!</v>
      </c>
      <c r="BP978" s="10" t="b">
        <f>tbl_MTG_Set[[#This Row],[Play Singles CardMarket Profit BotBox]]&gt;0</f>
        <v>0</v>
      </c>
      <c r="BQ978" s="10"/>
      <c r="BR978" s="10"/>
      <c r="BS978" s="10"/>
      <c r="BT97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8" s="19" t="e">
        <f>tbl_MTG_Set[[#This Row],[Collector Singles CardMarket Profit MTG Stocks]]/tbl_MTG_Set[[#This Row],[Collector Booster Cost]]</f>
        <v>#N/A</v>
      </c>
      <c r="BW978" s="10" t="b">
        <f>tbl_MTG_Set[[#This Row],[Collector Singles CardMarket Profit MTG Stocks]]&gt;0</f>
        <v>0</v>
      </c>
      <c r="BX978" s="10"/>
      <c r="BY978" s="10"/>
      <c r="BZ97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8" s="10" t="e">
        <f>tbl_MTG_Set[[#This Row],[Collector Singles CardMarket Profit BotBox]]/tbl_MTG_Set[[#This Row],[Collector Booster Cost]]</f>
        <v>#N/A</v>
      </c>
      <c r="CC978" s="10" t="b">
        <f>tbl_MTG_Set[[#This Row],[Collector Singles CardMarket Profit BotBox]]&gt;0</f>
        <v>0</v>
      </c>
      <c r="CD97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79" spans="1:86" hidden="1">
      <c r="A979">
        <v>1011</v>
      </c>
      <c r="B979" t="s">
        <v>1152</v>
      </c>
      <c r="C979">
        <v>1</v>
      </c>
      <c r="D979" s="3">
        <v>34530</v>
      </c>
      <c r="F979" t="s">
        <v>174</v>
      </c>
      <c r="G979">
        <v>1968</v>
      </c>
      <c r="H979">
        <f ca="1">MONTH(NOW())+12*YEAR(NOW())-MONTH(tbl_MTG_Set[[#This Row],[Released On]])-12*YEAR(tbl_MTG_Set[[#This Row],[Released On]])</f>
        <v>380</v>
      </c>
      <c r="I979" t="str">
        <f>_xlfn.XLOOKUP(tbl_MTG_Set[[#This Row],[Type Name]], tbl_MTG_Set_Type[Set Type], tbl_MTG_Set_Type[Index], "(Set Type not found)")</f>
        <v>(Set Type not found)</v>
      </c>
      <c r="J979" t="str">
        <f>_xlfn.XLOOKUP(tbl_MTG_Set[[#This Row],[Type Name]], tbl_MTG_Set_Type[Set Type], tbl_MTG_Set_Type[Buy Window Month Start], "(Set Type not found)")</f>
        <v>(Set Type not found)</v>
      </c>
      <c r="K979" s="3" t="e">
        <f>tbl_MTG_Set[[#This Row],[Released On]]+tbl_MTG_Set[[#This Row],[Buy Window Month Start]]*365.25/12</f>
        <v>#VALUE!</v>
      </c>
      <c r="L979" t="str">
        <f>_xlfn.XLOOKUP(tbl_MTG_Set[[#This Row],[Type Name]], tbl_MTG_Set_Type[Set Type], tbl_MTG_Set_Type[Buy Window Month End], "(Set Type not found)", 0, 1)</f>
        <v>(Set Type not found)</v>
      </c>
      <c r="M979" s="3" t="e">
        <f>tbl_MTG_Set[[#This Row],[Released On]]+tbl_MTG_Set[[#This Row],[Buy Window Month End]]*365.25/12</f>
        <v>#VALUE!</v>
      </c>
      <c r="N979" s="3" t="e">
        <f ca="1">AND(NOW()&gt;=tbl_MTG_Set[[#This Row],[Buy Window Start]], NOW()&lt;=tbl_MTG_Set[[#This Row],[Buy Window End]])</f>
        <v>#VALUE!</v>
      </c>
      <c r="O979" t="str">
        <f>_xlfn.XLOOKUP(tbl_MTG_Set[[#This Row],[Type Name]], tbl_MTG_Set_Type[Set Type], tbl_MTG_Set_Type[Heavy Printing Window Month Start], "(Set Type not found)", 0, 1)</f>
        <v>(Set Type not found)</v>
      </c>
      <c r="P979" s="3" t="e">
        <f>tbl_MTG_Set[[#This Row],[Released On]]+tbl_MTG_Set[[#This Row],[Heavy Printing Window Month Start]]*365.25/12</f>
        <v>#VALUE!</v>
      </c>
      <c r="Q979" t="str">
        <f>_xlfn.XLOOKUP(tbl_MTG_Set[[#This Row],[Type Name]], tbl_MTG_Set_Type[Set Type], tbl_MTG_Set_Type[Heavy Printing Window Month End], "(Set Type not found)", 0, 1)</f>
        <v>(Set Type not found)</v>
      </c>
      <c r="R979" s="3" t="e">
        <f>tbl_MTG_Set[[#This Row],[Released On]]+tbl_MTG_Set[[#This Row],[Heavy Printing Window Month End]]*365.25/12</f>
        <v>#VALUE!</v>
      </c>
      <c r="S979" s="3" t="e">
        <f ca="1">AND(NOW()&gt;=tbl_MTG_Set[[#This Row],[Heavy Printing Window Start]], NOW()&lt;=tbl_MTG_Set[[#This Row],[Heavy Printing Window End]])</f>
        <v>#VALUE!</v>
      </c>
      <c r="T979" t="str">
        <f>_xlfn.XLOOKUP(tbl_MTG_Set[[#This Row],[Type Name]], tbl_MTG_Set_Type[Set Type], tbl_MTG_Set_Type[Sell Window Month Start], "(Set Type not found)", 0, 1)</f>
        <v>(Set Type not found)</v>
      </c>
      <c r="U979" s="3" t="e">
        <f>tbl_MTG_Set[[#This Row],[Released On]]+tbl_MTG_Set[[#This Row],[Sell Window Month Start]]*365.25/12</f>
        <v>#VALUE!</v>
      </c>
      <c r="V979" t="str">
        <f>_xlfn.XLOOKUP(tbl_MTG_Set[[#This Row],[Type Name]], tbl_MTG_Set_Type[Set Type], tbl_MTG_Set_Type[Sell Window Month End], "(Set Type not found)", 0, 1)</f>
        <v>(Set Type not found)</v>
      </c>
      <c r="W979" s="3" t="e">
        <f>tbl_MTG_Set[[#This Row],[Released On]]+tbl_MTG_Set[[#This Row],[Sell Window Month End]]*365.25/12</f>
        <v>#VALUE!</v>
      </c>
      <c r="X979" s="3" t="e">
        <f ca="1">AND(NOW()&gt;=tbl_MTG_Set[[#This Row],[Sell Window Start]], NOW()&lt;=tbl_MTG_Set[[#This Row],[Sell Window End]])</f>
        <v>#VALUE!</v>
      </c>
      <c r="AG979" s="10"/>
      <c r="AH979" s="10"/>
      <c r="AM979" s="10" t="str" cm="1">
        <f t="array" ref="AM97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79" s="10" t="str" cm="1">
        <f t="array" ref="AN97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79" s="4" t="e">
        <f>_xlfn.XLOOKUP(tbl_MTG_Set[[#This Row],[Play Booster Box Product Id]], tbl_Product[Product Id], tbl_Product[Pack Size])</f>
        <v>#N/A</v>
      </c>
      <c r="AP979" s="10" t="e">
        <f>(tbl_MTG_Set[[#This Row],[Play Booster Box Cost]]+v_Item_Shipping_Cost_In)/tbl_MTG_Set[[#This Row],[Play Booster Box Size]]</f>
        <v>#VALUE!</v>
      </c>
      <c r="AQ979" s="10" t="str" cm="1">
        <f t="array" ref="AQ97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79" s="10"/>
      <c r="AS979" s="10"/>
      <c r="AT979" s="17" t="e">
        <f>tbl_MTG_Set[[#This Row],[Play Booster CardMarket Profit]]/tbl_MTG_Set[[#This Row],[Play Booster Cost]]</f>
        <v>#VALUE!</v>
      </c>
      <c r="AU979" s="10" t="e">
        <f>_xlfn.XLOOKUP(tbl_MTG_Set[[#This Row],[Collector Booster Box Product Id]], tbl_Product[Product Id], tbl_Product[Min Cost])</f>
        <v>#N/A</v>
      </c>
      <c r="AV979" s="10" t="e">
        <f>_xlfn.XLOOKUP(tbl_MTG_Set[[#This Row],[Collector Booster Box Product Id]], tbl_Product[Product Id], tbl_Product[Best Source])</f>
        <v>#N/A</v>
      </c>
      <c r="AW979" s="4" t="e">
        <f>_xlfn.XLOOKUP(tbl_MTG_Set[[#This Row],[Collector Booster Box Product Id]], tbl_Product[Product Id], tbl_Product[Pack Size])</f>
        <v>#N/A</v>
      </c>
      <c r="AX979" s="10" t="e">
        <f>(tbl_MTG_Set[[#This Row],[Collector Booster Box Cost]] + v_Item_Shipping_Cost_In) / tbl_MTG_Set[[#This Row],[Collector Booster Box Size]]</f>
        <v>#N/A</v>
      </c>
      <c r="AY979" s="10" t="str" cm="1">
        <f t="array" ref="AY97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79" s="10"/>
      <c r="BA97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79" s="17" t="e">
        <f>tbl_MTG_Set[[#This Row],[Collector Booster CardMarket Profit]]/tbl_MTG_Set[[#This Row],[Collector Booster Cost]]</f>
        <v>#N/A</v>
      </c>
      <c r="BC979" s="10"/>
      <c r="BF97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7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79" s="11" t="e">
        <f>tbl_MTG_Set[[#This Row],[Play Singles CardMarket Profit MTG Stocks]]/tbl_MTG_Set[[#This Row],[Play Booster Cost]]</f>
        <v>#VALUE!</v>
      </c>
      <c r="BI979" s="11" t="b">
        <f>tbl_MTG_Set[[#This Row],[Play Singles CardMarket Profit MTG Stocks]]&gt;0</f>
        <v>0</v>
      </c>
      <c r="BM979" s="10" t="e">
        <f>tbl_MTG_Set[[#This Row],[Play Booster Sell Price CardMarket]]*tbl_MTG_Set[[#This Row],[Play Booster Expected Market Value BotBox]]/tbl_MTG_Set[[#This Row],[Play Booster Sealed Market Value BotBox]]</f>
        <v>#VALUE!</v>
      </c>
      <c r="BN97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79" s="10" t="e">
        <f>tbl_MTG_Set[[#This Row],[Play Singles CardMarket Profit BotBox]]/tbl_MTG_Set[[#This Row],[Play Booster Cost]]</f>
        <v>#VALUE!</v>
      </c>
      <c r="BP979" s="10" t="b">
        <f>tbl_MTG_Set[[#This Row],[Play Singles CardMarket Profit BotBox]]&gt;0</f>
        <v>0</v>
      </c>
      <c r="BQ979" s="10"/>
      <c r="BR979" s="10"/>
      <c r="BS979" s="10"/>
      <c r="BT97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7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79" s="19" t="e">
        <f>tbl_MTG_Set[[#This Row],[Collector Singles CardMarket Profit MTG Stocks]]/tbl_MTG_Set[[#This Row],[Collector Booster Cost]]</f>
        <v>#N/A</v>
      </c>
      <c r="BW979" s="10" t="b">
        <f>tbl_MTG_Set[[#This Row],[Collector Singles CardMarket Profit MTG Stocks]]&gt;0</f>
        <v>0</v>
      </c>
      <c r="BX979" s="10"/>
      <c r="BY979" s="10"/>
      <c r="BZ97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7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79" s="10" t="e">
        <f>tbl_MTG_Set[[#This Row],[Collector Singles CardMarket Profit BotBox]]/tbl_MTG_Set[[#This Row],[Collector Booster Cost]]</f>
        <v>#N/A</v>
      </c>
      <c r="CC979" s="10" t="b">
        <f>tbl_MTG_Set[[#This Row],[Collector Singles CardMarket Profit BotBox]]&gt;0</f>
        <v>0</v>
      </c>
      <c r="CD97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7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7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7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7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0" spans="1:86" hidden="1">
      <c r="A980">
        <v>1012</v>
      </c>
      <c r="B980" t="s">
        <v>1153</v>
      </c>
      <c r="C980">
        <v>306</v>
      </c>
      <c r="D980" s="3">
        <v>34506</v>
      </c>
      <c r="F980" t="s">
        <v>174</v>
      </c>
      <c r="G980">
        <v>1970</v>
      </c>
      <c r="H980">
        <f ca="1">MONTH(NOW())+12*YEAR(NOW())-MONTH(tbl_MTG_Set[[#This Row],[Released On]])-12*YEAR(tbl_MTG_Set[[#This Row],[Released On]])</f>
        <v>381</v>
      </c>
      <c r="I980" t="str">
        <f>_xlfn.XLOOKUP(tbl_MTG_Set[[#This Row],[Type Name]], tbl_MTG_Set_Type[Set Type], tbl_MTG_Set_Type[Index], "(Set Type not found)")</f>
        <v>(Set Type not found)</v>
      </c>
      <c r="J980" t="str">
        <f>_xlfn.XLOOKUP(tbl_MTG_Set[[#This Row],[Type Name]], tbl_MTG_Set_Type[Set Type], tbl_MTG_Set_Type[Buy Window Month Start], "(Set Type not found)")</f>
        <v>(Set Type not found)</v>
      </c>
      <c r="K980" s="3" t="e">
        <f>tbl_MTG_Set[[#This Row],[Released On]]+tbl_MTG_Set[[#This Row],[Buy Window Month Start]]*365.25/12</f>
        <v>#VALUE!</v>
      </c>
      <c r="L980" t="str">
        <f>_xlfn.XLOOKUP(tbl_MTG_Set[[#This Row],[Type Name]], tbl_MTG_Set_Type[Set Type], tbl_MTG_Set_Type[Buy Window Month End], "(Set Type not found)", 0, 1)</f>
        <v>(Set Type not found)</v>
      </c>
      <c r="M980" s="3" t="e">
        <f>tbl_MTG_Set[[#This Row],[Released On]]+tbl_MTG_Set[[#This Row],[Buy Window Month End]]*365.25/12</f>
        <v>#VALUE!</v>
      </c>
      <c r="N980" s="3" t="e">
        <f ca="1">AND(NOW()&gt;=tbl_MTG_Set[[#This Row],[Buy Window Start]], NOW()&lt;=tbl_MTG_Set[[#This Row],[Buy Window End]])</f>
        <v>#VALUE!</v>
      </c>
      <c r="O980" t="str">
        <f>_xlfn.XLOOKUP(tbl_MTG_Set[[#This Row],[Type Name]], tbl_MTG_Set_Type[Set Type], tbl_MTG_Set_Type[Heavy Printing Window Month Start], "(Set Type not found)", 0, 1)</f>
        <v>(Set Type not found)</v>
      </c>
      <c r="P980" s="3" t="e">
        <f>tbl_MTG_Set[[#This Row],[Released On]]+tbl_MTG_Set[[#This Row],[Heavy Printing Window Month Start]]*365.25/12</f>
        <v>#VALUE!</v>
      </c>
      <c r="Q980" t="str">
        <f>_xlfn.XLOOKUP(tbl_MTG_Set[[#This Row],[Type Name]], tbl_MTG_Set_Type[Set Type], tbl_MTG_Set_Type[Heavy Printing Window Month End], "(Set Type not found)", 0, 1)</f>
        <v>(Set Type not found)</v>
      </c>
      <c r="R980" s="3" t="e">
        <f>tbl_MTG_Set[[#This Row],[Released On]]+tbl_MTG_Set[[#This Row],[Heavy Printing Window Month End]]*365.25/12</f>
        <v>#VALUE!</v>
      </c>
      <c r="S980" s="3" t="e">
        <f ca="1">AND(NOW()&gt;=tbl_MTG_Set[[#This Row],[Heavy Printing Window Start]], NOW()&lt;=tbl_MTG_Set[[#This Row],[Heavy Printing Window End]])</f>
        <v>#VALUE!</v>
      </c>
      <c r="T980" t="str">
        <f>_xlfn.XLOOKUP(tbl_MTG_Set[[#This Row],[Type Name]], tbl_MTG_Set_Type[Set Type], tbl_MTG_Set_Type[Sell Window Month Start], "(Set Type not found)", 0, 1)</f>
        <v>(Set Type not found)</v>
      </c>
      <c r="U980" s="3" t="e">
        <f>tbl_MTG_Set[[#This Row],[Released On]]+tbl_MTG_Set[[#This Row],[Sell Window Month Start]]*365.25/12</f>
        <v>#VALUE!</v>
      </c>
      <c r="V980" t="str">
        <f>_xlfn.XLOOKUP(tbl_MTG_Set[[#This Row],[Type Name]], tbl_MTG_Set_Type[Set Type], tbl_MTG_Set_Type[Sell Window Month End], "(Set Type not found)", 0, 1)</f>
        <v>(Set Type not found)</v>
      </c>
      <c r="W980" s="3" t="e">
        <f>tbl_MTG_Set[[#This Row],[Released On]]+tbl_MTG_Set[[#This Row],[Sell Window Month End]]*365.25/12</f>
        <v>#VALUE!</v>
      </c>
      <c r="X980" s="3" t="e">
        <f ca="1">AND(NOW()&gt;=tbl_MTG_Set[[#This Row],[Sell Window Start]], NOW()&lt;=tbl_MTG_Set[[#This Row],[Sell Window End]])</f>
        <v>#VALUE!</v>
      </c>
      <c r="AG980" s="10"/>
      <c r="AH980" s="10"/>
      <c r="AM980" s="10" t="str" cm="1">
        <f t="array" ref="AM98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0" s="10" t="str" cm="1">
        <f t="array" ref="AN98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0" s="4" t="e">
        <f>_xlfn.XLOOKUP(tbl_MTG_Set[[#This Row],[Play Booster Box Product Id]], tbl_Product[Product Id], tbl_Product[Pack Size])</f>
        <v>#N/A</v>
      </c>
      <c r="AP980" s="10" t="e">
        <f>(tbl_MTG_Set[[#This Row],[Play Booster Box Cost]]+v_Item_Shipping_Cost_In)/tbl_MTG_Set[[#This Row],[Play Booster Box Size]]</f>
        <v>#VALUE!</v>
      </c>
      <c r="AQ980" s="10" t="str" cm="1">
        <f t="array" ref="AQ98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0" s="10"/>
      <c r="AS980" s="10"/>
      <c r="AT980" s="17" t="e">
        <f>tbl_MTG_Set[[#This Row],[Play Booster CardMarket Profit]]/tbl_MTG_Set[[#This Row],[Play Booster Cost]]</f>
        <v>#VALUE!</v>
      </c>
      <c r="AU980" s="10" t="e">
        <f>_xlfn.XLOOKUP(tbl_MTG_Set[[#This Row],[Collector Booster Box Product Id]], tbl_Product[Product Id], tbl_Product[Min Cost])</f>
        <v>#N/A</v>
      </c>
      <c r="AV980" s="10" t="e">
        <f>_xlfn.XLOOKUP(tbl_MTG_Set[[#This Row],[Collector Booster Box Product Id]], tbl_Product[Product Id], tbl_Product[Best Source])</f>
        <v>#N/A</v>
      </c>
      <c r="AW980" s="4" t="e">
        <f>_xlfn.XLOOKUP(tbl_MTG_Set[[#This Row],[Collector Booster Box Product Id]], tbl_Product[Product Id], tbl_Product[Pack Size])</f>
        <v>#N/A</v>
      </c>
      <c r="AX980" s="10" t="e">
        <f>(tbl_MTG_Set[[#This Row],[Collector Booster Box Cost]] + v_Item_Shipping_Cost_In) / tbl_MTG_Set[[#This Row],[Collector Booster Box Size]]</f>
        <v>#N/A</v>
      </c>
      <c r="AY980" s="10" t="str" cm="1">
        <f t="array" ref="AY98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0" s="10"/>
      <c r="BA98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0" s="17" t="e">
        <f>tbl_MTG_Set[[#This Row],[Collector Booster CardMarket Profit]]/tbl_MTG_Set[[#This Row],[Collector Booster Cost]]</f>
        <v>#N/A</v>
      </c>
      <c r="BC980" s="10"/>
      <c r="BF98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0" s="11" t="e">
        <f>tbl_MTG_Set[[#This Row],[Play Singles CardMarket Profit MTG Stocks]]/tbl_MTG_Set[[#This Row],[Play Booster Cost]]</f>
        <v>#VALUE!</v>
      </c>
      <c r="BI980" s="11" t="b">
        <f>tbl_MTG_Set[[#This Row],[Play Singles CardMarket Profit MTG Stocks]]&gt;0</f>
        <v>0</v>
      </c>
      <c r="BM980" s="10" t="e">
        <f>tbl_MTG_Set[[#This Row],[Play Booster Sell Price CardMarket]]*tbl_MTG_Set[[#This Row],[Play Booster Expected Market Value BotBox]]/tbl_MTG_Set[[#This Row],[Play Booster Sealed Market Value BotBox]]</f>
        <v>#VALUE!</v>
      </c>
      <c r="BN98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0" s="10" t="e">
        <f>tbl_MTG_Set[[#This Row],[Play Singles CardMarket Profit BotBox]]/tbl_MTG_Set[[#This Row],[Play Booster Cost]]</f>
        <v>#VALUE!</v>
      </c>
      <c r="BP980" s="10" t="b">
        <f>tbl_MTG_Set[[#This Row],[Play Singles CardMarket Profit BotBox]]&gt;0</f>
        <v>0</v>
      </c>
      <c r="BQ980" s="10"/>
      <c r="BR980" s="10"/>
      <c r="BS980" s="10"/>
      <c r="BT98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0" s="19" t="e">
        <f>tbl_MTG_Set[[#This Row],[Collector Singles CardMarket Profit MTG Stocks]]/tbl_MTG_Set[[#This Row],[Collector Booster Cost]]</f>
        <v>#N/A</v>
      </c>
      <c r="BW980" s="10" t="b">
        <f>tbl_MTG_Set[[#This Row],[Collector Singles CardMarket Profit MTG Stocks]]&gt;0</f>
        <v>0</v>
      </c>
      <c r="BX980" s="10"/>
      <c r="BY980" s="10"/>
      <c r="BZ98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0" s="10" t="e">
        <f>tbl_MTG_Set[[#This Row],[Collector Singles CardMarket Profit BotBox]]/tbl_MTG_Set[[#This Row],[Collector Booster Cost]]</f>
        <v>#N/A</v>
      </c>
      <c r="CC980" s="10" t="b">
        <f>tbl_MTG_Set[[#This Row],[Collector Singles CardMarket Profit BotBox]]&gt;0</f>
        <v>0</v>
      </c>
      <c r="CD98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1" spans="1:86" hidden="1">
      <c r="A981">
        <v>1013</v>
      </c>
      <c r="B981" t="s">
        <v>1154</v>
      </c>
      <c r="C981">
        <v>310</v>
      </c>
      <c r="D981" s="3">
        <v>34486</v>
      </c>
      <c r="F981" t="s">
        <v>174</v>
      </c>
      <c r="G981">
        <v>1972</v>
      </c>
      <c r="H981">
        <f ca="1">MONTH(NOW())+12*YEAR(NOW())-MONTH(tbl_MTG_Set[[#This Row],[Released On]])-12*YEAR(tbl_MTG_Set[[#This Row],[Released On]])</f>
        <v>381</v>
      </c>
      <c r="I981" t="str">
        <f>_xlfn.XLOOKUP(tbl_MTG_Set[[#This Row],[Type Name]], tbl_MTG_Set_Type[Set Type], tbl_MTG_Set_Type[Index], "(Set Type not found)")</f>
        <v>(Set Type not found)</v>
      </c>
      <c r="J981" t="str">
        <f>_xlfn.XLOOKUP(tbl_MTG_Set[[#This Row],[Type Name]], tbl_MTG_Set_Type[Set Type], tbl_MTG_Set_Type[Buy Window Month Start], "(Set Type not found)")</f>
        <v>(Set Type not found)</v>
      </c>
      <c r="K981" s="3" t="e">
        <f>tbl_MTG_Set[[#This Row],[Released On]]+tbl_MTG_Set[[#This Row],[Buy Window Month Start]]*365.25/12</f>
        <v>#VALUE!</v>
      </c>
      <c r="L981" t="str">
        <f>_xlfn.XLOOKUP(tbl_MTG_Set[[#This Row],[Type Name]], tbl_MTG_Set_Type[Set Type], tbl_MTG_Set_Type[Buy Window Month End], "(Set Type not found)", 0, 1)</f>
        <v>(Set Type not found)</v>
      </c>
      <c r="M981" s="3" t="e">
        <f>tbl_MTG_Set[[#This Row],[Released On]]+tbl_MTG_Set[[#This Row],[Buy Window Month End]]*365.25/12</f>
        <v>#VALUE!</v>
      </c>
      <c r="N981" s="3" t="e">
        <f ca="1">AND(NOW()&gt;=tbl_MTG_Set[[#This Row],[Buy Window Start]], NOW()&lt;=tbl_MTG_Set[[#This Row],[Buy Window End]])</f>
        <v>#VALUE!</v>
      </c>
      <c r="O981" t="str">
        <f>_xlfn.XLOOKUP(tbl_MTG_Set[[#This Row],[Type Name]], tbl_MTG_Set_Type[Set Type], tbl_MTG_Set_Type[Heavy Printing Window Month Start], "(Set Type not found)", 0, 1)</f>
        <v>(Set Type not found)</v>
      </c>
      <c r="P981" s="3" t="e">
        <f>tbl_MTG_Set[[#This Row],[Released On]]+tbl_MTG_Set[[#This Row],[Heavy Printing Window Month Start]]*365.25/12</f>
        <v>#VALUE!</v>
      </c>
      <c r="Q981" t="str">
        <f>_xlfn.XLOOKUP(tbl_MTG_Set[[#This Row],[Type Name]], tbl_MTG_Set_Type[Set Type], tbl_MTG_Set_Type[Heavy Printing Window Month End], "(Set Type not found)", 0, 1)</f>
        <v>(Set Type not found)</v>
      </c>
      <c r="R981" s="3" t="e">
        <f>tbl_MTG_Set[[#This Row],[Released On]]+tbl_MTG_Set[[#This Row],[Heavy Printing Window Month End]]*365.25/12</f>
        <v>#VALUE!</v>
      </c>
      <c r="S981" s="3" t="e">
        <f ca="1">AND(NOW()&gt;=tbl_MTG_Set[[#This Row],[Heavy Printing Window Start]], NOW()&lt;=tbl_MTG_Set[[#This Row],[Heavy Printing Window End]])</f>
        <v>#VALUE!</v>
      </c>
      <c r="T981" t="str">
        <f>_xlfn.XLOOKUP(tbl_MTG_Set[[#This Row],[Type Name]], tbl_MTG_Set_Type[Set Type], tbl_MTG_Set_Type[Sell Window Month Start], "(Set Type not found)", 0, 1)</f>
        <v>(Set Type not found)</v>
      </c>
      <c r="U981" s="3" t="e">
        <f>tbl_MTG_Set[[#This Row],[Released On]]+tbl_MTG_Set[[#This Row],[Sell Window Month Start]]*365.25/12</f>
        <v>#VALUE!</v>
      </c>
      <c r="V981" t="str">
        <f>_xlfn.XLOOKUP(tbl_MTG_Set[[#This Row],[Type Name]], tbl_MTG_Set_Type[Set Type], tbl_MTG_Set_Type[Sell Window Month End], "(Set Type not found)", 0, 1)</f>
        <v>(Set Type not found)</v>
      </c>
      <c r="W981" s="3" t="e">
        <f>tbl_MTG_Set[[#This Row],[Released On]]+tbl_MTG_Set[[#This Row],[Sell Window Month End]]*365.25/12</f>
        <v>#VALUE!</v>
      </c>
      <c r="X981" s="3" t="e">
        <f ca="1">AND(NOW()&gt;=tbl_MTG_Set[[#This Row],[Sell Window Start]], NOW()&lt;=tbl_MTG_Set[[#This Row],[Sell Window End]])</f>
        <v>#VALUE!</v>
      </c>
      <c r="AG981" s="10"/>
      <c r="AH981" s="10"/>
      <c r="AM981" s="10" t="str" cm="1">
        <f t="array" ref="AM98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1" s="10" t="str" cm="1">
        <f t="array" ref="AN98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1" s="4" t="e">
        <f>_xlfn.XLOOKUP(tbl_MTG_Set[[#This Row],[Play Booster Box Product Id]], tbl_Product[Product Id], tbl_Product[Pack Size])</f>
        <v>#N/A</v>
      </c>
      <c r="AP981" s="10" t="e">
        <f>(tbl_MTG_Set[[#This Row],[Play Booster Box Cost]]+v_Item_Shipping_Cost_In)/tbl_MTG_Set[[#This Row],[Play Booster Box Size]]</f>
        <v>#VALUE!</v>
      </c>
      <c r="AQ981" s="10" t="str" cm="1">
        <f t="array" ref="AQ98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1" s="10"/>
      <c r="AS981" s="10"/>
      <c r="AT981" s="17" t="e">
        <f>tbl_MTG_Set[[#This Row],[Play Booster CardMarket Profit]]/tbl_MTG_Set[[#This Row],[Play Booster Cost]]</f>
        <v>#VALUE!</v>
      </c>
      <c r="AU981" s="10" t="e">
        <f>_xlfn.XLOOKUP(tbl_MTG_Set[[#This Row],[Collector Booster Box Product Id]], tbl_Product[Product Id], tbl_Product[Min Cost])</f>
        <v>#N/A</v>
      </c>
      <c r="AV981" s="10" t="e">
        <f>_xlfn.XLOOKUP(tbl_MTG_Set[[#This Row],[Collector Booster Box Product Id]], tbl_Product[Product Id], tbl_Product[Best Source])</f>
        <v>#N/A</v>
      </c>
      <c r="AW981" s="4" t="e">
        <f>_xlfn.XLOOKUP(tbl_MTG_Set[[#This Row],[Collector Booster Box Product Id]], tbl_Product[Product Id], tbl_Product[Pack Size])</f>
        <v>#N/A</v>
      </c>
      <c r="AX981" s="10" t="e">
        <f>(tbl_MTG_Set[[#This Row],[Collector Booster Box Cost]] + v_Item_Shipping_Cost_In) / tbl_MTG_Set[[#This Row],[Collector Booster Box Size]]</f>
        <v>#N/A</v>
      </c>
      <c r="AY981" s="10" t="str" cm="1">
        <f t="array" ref="AY98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1" s="10"/>
      <c r="BA98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1" s="17" t="e">
        <f>tbl_MTG_Set[[#This Row],[Collector Booster CardMarket Profit]]/tbl_MTG_Set[[#This Row],[Collector Booster Cost]]</f>
        <v>#N/A</v>
      </c>
      <c r="BC981" s="10"/>
      <c r="BF98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1" s="11" t="e">
        <f>tbl_MTG_Set[[#This Row],[Play Singles CardMarket Profit MTG Stocks]]/tbl_MTG_Set[[#This Row],[Play Booster Cost]]</f>
        <v>#VALUE!</v>
      </c>
      <c r="BI981" s="11" t="b">
        <f>tbl_MTG_Set[[#This Row],[Play Singles CardMarket Profit MTG Stocks]]&gt;0</f>
        <v>0</v>
      </c>
      <c r="BM981" s="10" t="e">
        <f>tbl_MTG_Set[[#This Row],[Play Booster Sell Price CardMarket]]*tbl_MTG_Set[[#This Row],[Play Booster Expected Market Value BotBox]]/tbl_MTG_Set[[#This Row],[Play Booster Sealed Market Value BotBox]]</f>
        <v>#VALUE!</v>
      </c>
      <c r="BN98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1" s="10" t="e">
        <f>tbl_MTG_Set[[#This Row],[Play Singles CardMarket Profit BotBox]]/tbl_MTG_Set[[#This Row],[Play Booster Cost]]</f>
        <v>#VALUE!</v>
      </c>
      <c r="BP981" s="10" t="b">
        <f>tbl_MTG_Set[[#This Row],[Play Singles CardMarket Profit BotBox]]&gt;0</f>
        <v>0</v>
      </c>
      <c r="BQ981" s="10"/>
      <c r="BR981" s="10"/>
      <c r="BS981" s="10"/>
      <c r="BT98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1" s="19" t="e">
        <f>tbl_MTG_Set[[#This Row],[Collector Singles CardMarket Profit MTG Stocks]]/tbl_MTG_Set[[#This Row],[Collector Booster Cost]]</f>
        <v>#N/A</v>
      </c>
      <c r="BW981" s="10" t="b">
        <f>tbl_MTG_Set[[#This Row],[Collector Singles CardMarket Profit MTG Stocks]]&gt;0</f>
        <v>0</v>
      </c>
      <c r="BX981" s="10"/>
      <c r="BY981" s="10"/>
      <c r="BZ98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1" s="10" t="e">
        <f>tbl_MTG_Set[[#This Row],[Collector Singles CardMarket Profit BotBox]]/tbl_MTG_Set[[#This Row],[Collector Booster Cost]]</f>
        <v>#N/A</v>
      </c>
      <c r="CC981" s="10" t="b">
        <f>tbl_MTG_Set[[#This Row],[Collector Singles CardMarket Profit BotBox]]&gt;0</f>
        <v>0</v>
      </c>
      <c r="CD98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2" spans="1:86" hidden="1">
      <c r="A982">
        <v>1014</v>
      </c>
      <c r="B982" t="s">
        <v>1155</v>
      </c>
      <c r="C982">
        <v>306</v>
      </c>
      <c r="D982" s="3">
        <v>34435</v>
      </c>
      <c r="F982" t="s">
        <v>174</v>
      </c>
      <c r="G982">
        <v>1974</v>
      </c>
      <c r="H982">
        <f ca="1">MONTH(NOW())+12*YEAR(NOW())-MONTH(tbl_MTG_Set[[#This Row],[Released On]])-12*YEAR(tbl_MTG_Set[[#This Row],[Released On]])</f>
        <v>383</v>
      </c>
      <c r="I982" t="str">
        <f>_xlfn.XLOOKUP(tbl_MTG_Set[[#This Row],[Type Name]], tbl_MTG_Set_Type[Set Type], tbl_MTG_Set_Type[Index], "(Set Type not found)")</f>
        <v>(Set Type not found)</v>
      </c>
      <c r="J982" t="str">
        <f>_xlfn.XLOOKUP(tbl_MTG_Set[[#This Row],[Type Name]], tbl_MTG_Set_Type[Set Type], tbl_MTG_Set_Type[Buy Window Month Start], "(Set Type not found)")</f>
        <v>(Set Type not found)</v>
      </c>
      <c r="K982" s="3" t="e">
        <f>tbl_MTG_Set[[#This Row],[Released On]]+tbl_MTG_Set[[#This Row],[Buy Window Month Start]]*365.25/12</f>
        <v>#VALUE!</v>
      </c>
      <c r="L982" t="str">
        <f>_xlfn.XLOOKUP(tbl_MTG_Set[[#This Row],[Type Name]], tbl_MTG_Set_Type[Set Type], tbl_MTG_Set_Type[Buy Window Month End], "(Set Type not found)", 0, 1)</f>
        <v>(Set Type not found)</v>
      </c>
      <c r="M982" s="3" t="e">
        <f>tbl_MTG_Set[[#This Row],[Released On]]+tbl_MTG_Set[[#This Row],[Buy Window Month End]]*365.25/12</f>
        <v>#VALUE!</v>
      </c>
      <c r="N982" s="3" t="e">
        <f ca="1">AND(NOW()&gt;=tbl_MTG_Set[[#This Row],[Buy Window Start]], NOW()&lt;=tbl_MTG_Set[[#This Row],[Buy Window End]])</f>
        <v>#VALUE!</v>
      </c>
      <c r="O982" t="str">
        <f>_xlfn.XLOOKUP(tbl_MTG_Set[[#This Row],[Type Name]], tbl_MTG_Set_Type[Set Type], tbl_MTG_Set_Type[Heavy Printing Window Month Start], "(Set Type not found)", 0, 1)</f>
        <v>(Set Type not found)</v>
      </c>
      <c r="P982" s="3" t="e">
        <f>tbl_MTG_Set[[#This Row],[Released On]]+tbl_MTG_Set[[#This Row],[Heavy Printing Window Month Start]]*365.25/12</f>
        <v>#VALUE!</v>
      </c>
      <c r="Q982" t="str">
        <f>_xlfn.XLOOKUP(tbl_MTG_Set[[#This Row],[Type Name]], tbl_MTG_Set_Type[Set Type], tbl_MTG_Set_Type[Heavy Printing Window Month End], "(Set Type not found)", 0, 1)</f>
        <v>(Set Type not found)</v>
      </c>
      <c r="R982" s="3" t="e">
        <f>tbl_MTG_Set[[#This Row],[Released On]]+tbl_MTG_Set[[#This Row],[Heavy Printing Window Month End]]*365.25/12</f>
        <v>#VALUE!</v>
      </c>
      <c r="S982" s="3" t="e">
        <f ca="1">AND(NOW()&gt;=tbl_MTG_Set[[#This Row],[Heavy Printing Window Start]], NOW()&lt;=tbl_MTG_Set[[#This Row],[Heavy Printing Window End]])</f>
        <v>#VALUE!</v>
      </c>
      <c r="T982" t="str">
        <f>_xlfn.XLOOKUP(tbl_MTG_Set[[#This Row],[Type Name]], tbl_MTG_Set_Type[Set Type], tbl_MTG_Set_Type[Sell Window Month Start], "(Set Type not found)", 0, 1)</f>
        <v>(Set Type not found)</v>
      </c>
      <c r="U982" s="3" t="e">
        <f>tbl_MTG_Set[[#This Row],[Released On]]+tbl_MTG_Set[[#This Row],[Sell Window Month Start]]*365.25/12</f>
        <v>#VALUE!</v>
      </c>
      <c r="V982" t="str">
        <f>_xlfn.XLOOKUP(tbl_MTG_Set[[#This Row],[Type Name]], tbl_MTG_Set_Type[Set Type], tbl_MTG_Set_Type[Sell Window Month End], "(Set Type not found)", 0, 1)</f>
        <v>(Set Type not found)</v>
      </c>
      <c r="W982" s="3" t="e">
        <f>tbl_MTG_Set[[#This Row],[Released On]]+tbl_MTG_Set[[#This Row],[Sell Window Month End]]*365.25/12</f>
        <v>#VALUE!</v>
      </c>
      <c r="X982" s="3" t="e">
        <f ca="1">AND(NOW()&gt;=tbl_MTG_Set[[#This Row],[Sell Window Start]], NOW()&lt;=tbl_MTG_Set[[#This Row],[Sell Window End]])</f>
        <v>#VALUE!</v>
      </c>
      <c r="AG982" s="10"/>
      <c r="AH982" s="10"/>
      <c r="AM982" s="10" t="str" cm="1">
        <f t="array" ref="AM98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2" s="10" t="str" cm="1">
        <f t="array" ref="AN98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2" s="4" t="e">
        <f>_xlfn.XLOOKUP(tbl_MTG_Set[[#This Row],[Play Booster Box Product Id]], tbl_Product[Product Id], tbl_Product[Pack Size])</f>
        <v>#N/A</v>
      </c>
      <c r="AP982" s="10" t="e">
        <f>(tbl_MTG_Set[[#This Row],[Play Booster Box Cost]]+v_Item_Shipping_Cost_In)/tbl_MTG_Set[[#This Row],[Play Booster Box Size]]</f>
        <v>#VALUE!</v>
      </c>
      <c r="AQ982" s="10" t="str" cm="1">
        <f t="array" ref="AQ98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2" s="10"/>
      <c r="AS982" s="10"/>
      <c r="AT982" s="17" t="e">
        <f>tbl_MTG_Set[[#This Row],[Play Booster CardMarket Profit]]/tbl_MTG_Set[[#This Row],[Play Booster Cost]]</f>
        <v>#VALUE!</v>
      </c>
      <c r="AU982" s="10" t="e">
        <f>_xlfn.XLOOKUP(tbl_MTG_Set[[#This Row],[Collector Booster Box Product Id]], tbl_Product[Product Id], tbl_Product[Min Cost])</f>
        <v>#N/A</v>
      </c>
      <c r="AV982" s="10" t="e">
        <f>_xlfn.XLOOKUP(tbl_MTG_Set[[#This Row],[Collector Booster Box Product Id]], tbl_Product[Product Id], tbl_Product[Best Source])</f>
        <v>#N/A</v>
      </c>
      <c r="AW982" s="4" t="e">
        <f>_xlfn.XLOOKUP(tbl_MTG_Set[[#This Row],[Collector Booster Box Product Id]], tbl_Product[Product Id], tbl_Product[Pack Size])</f>
        <v>#N/A</v>
      </c>
      <c r="AX982" s="10" t="e">
        <f>(tbl_MTG_Set[[#This Row],[Collector Booster Box Cost]] + v_Item_Shipping_Cost_In) / tbl_MTG_Set[[#This Row],[Collector Booster Box Size]]</f>
        <v>#N/A</v>
      </c>
      <c r="AY982" s="10" t="str" cm="1">
        <f t="array" ref="AY98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2" s="10"/>
      <c r="BA98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2" s="17" t="e">
        <f>tbl_MTG_Set[[#This Row],[Collector Booster CardMarket Profit]]/tbl_MTG_Set[[#This Row],[Collector Booster Cost]]</f>
        <v>#N/A</v>
      </c>
      <c r="BC982" s="10"/>
      <c r="BF982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2" s="11" t="e">
        <f>tbl_MTG_Set[[#This Row],[Play Singles CardMarket Profit MTG Stocks]]/tbl_MTG_Set[[#This Row],[Play Booster Cost]]</f>
        <v>#VALUE!</v>
      </c>
      <c r="BI982" s="11" t="b">
        <f>tbl_MTG_Set[[#This Row],[Play Singles CardMarket Profit MTG Stocks]]&gt;0</f>
        <v>0</v>
      </c>
      <c r="BM982" s="10" t="e">
        <f>tbl_MTG_Set[[#This Row],[Play Booster Sell Price CardMarket]]*tbl_MTG_Set[[#This Row],[Play Booster Expected Market Value BotBox]]/tbl_MTG_Set[[#This Row],[Play Booster Sealed Market Value BotBox]]</f>
        <v>#VALUE!</v>
      </c>
      <c r="BN98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2" s="10" t="e">
        <f>tbl_MTG_Set[[#This Row],[Play Singles CardMarket Profit BotBox]]/tbl_MTG_Set[[#This Row],[Play Booster Cost]]</f>
        <v>#VALUE!</v>
      </c>
      <c r="BP982" s="10" t="b">
        <f>tbl_MTG_Set[[#This Row],[Play Singles CardMarket Profit BotBox]]&gt;0</f>
        <v>0</v>
      </c>
      <c r="BQ982" s="10"/>
      <c r="BR982" s="10"/>
      <c r="BS982" s="10"/>
      <c r="BT98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2" s="19" t="e">
        <f>tbl_MTG_Set[[#This Row],[Collector Singles CardMarket Profit MTG Stocks]]/tbl_MTG_Set[[#This Row],[Collector Booster Cost]]</f>
        <v>#N/A</v>
      </c>
      <c r="BW982" s="10" t="b">
        <f>tbl_MTG_Set[[#This Row],[Collector Singles CardMarket Profit MTG Stocks]]&gt;0</f>
        <v>0</v>
      </c>
      <c r="BX982" s="10"/>
      <c r="BY982" s="10"/>
      <c r="BZ98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2" s="10" t="e">
        <f>tbl_MTG_Set[[#This Row],[Collector Singles CardMarket Profit BotBox]]/tbl_MTG_Set[[#This Row],[Collector Booster Cost]]</f>
        <v>#N/A</v>
      </c>
      <c r="CC982" s="10" t="b">
        <f>tbl_MTG_Set[[#This Row],[Collector Singles CardMarket Profit BotBox]]&gt;0</f>
        <v>0</v>
      </c>
      <c r="CD98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3" spans="1:86" hidden="1">
      <c r="A983">
        <v>1015</v>
      </c>
      <c r="B983" t="s">
        <v>1156</v>
      </c>
      <c r="C983">
        <v>307</v>
      </c>
      <c r="D983" s="3">
        <v>34435</v>
      </c>
      <c r="F983" t="s">
        <v>174</v>
      </c>
      <c r="G983">
        <v>1976</v>
      </c>
      <c r="H983">
        <f ca="1">MONTH(NOW())+12*YEAR(NOW())-MONTH(tbl_MTG_Set[[#This Row],[Released On]])-12*YEAR(tbl_MTG_Set[[#This Row],[Released On]])</f>
        <v>383</v>
      </c>
      <c r="I983" t="str">
        <f>_xlfn.XLOOKUP(tbl_MTG_Set[[#This Row],[Type Name]], tbl_MTG_Set_Type[Set Type], tbl_MTG_Set_Type[Index], "(Set Type not found)")</f>
        <v>(Set Type not found)</v>
      </c>
      <c r="J983" t="str">
        <f>_xlfn.XLOOKUP(tbl_MTG_Set[[#This Row],[Type Name]], tbl_MTG_Set_Type[Set Type], tbl_MTG_Set_Type[Buy Window Month Start], "(Set Type not found)")</f>
        <v>(Set Type not found)</v>
      </c>
      <c r="K983" s="3" t="e">
        <f>tbl_MTG_Set[[#This Row],[Released On]]+tbl_MTG_Set[[#This Row],[Buy Window Month Start]]*365.25/12</f>
        <v>#VALUE!</v>
      </c>
      <c r="L983" t="str">
        <f>_xlfn.XLOOKUP(tbl_MTG_Set[[#This Row],[Type Name]], tbl_MTG_Set_Type[Set Type], tbl_MTG_Set_Type[Buy Window Month End], "(Set Type not found)", 0, 1)</f>
        <v>(Set Type not found)</v>
      </c>
      <c r="M983" s="3" t="e">
        <f>tbl_MTG_Set[[#This Row],[Released On]]+tbl_MTG_Set[[#This Row],[Buy Window Month End]]*365.25/12</f>
        <v>#VALUE!</v>
      </c>
      <c r="N983" s="3" t="e">
        <f ca="1">AND(NOW()&gt;=tbl_MTG_Set[[#This Row],[Buy Window Start]], NOW()&lt;=tbl_MTG_Set[[#This Row],[Buy Window End]])</f>
        <v>#VALUE!</v>
      </c>
      <c r="O983" t="str">
        <f>_xlfn.XLOOKUP(tbl_MTG_Set[[#This Row],[Type Name]], tbl_MTG_Set_Type[Set Type], tbl_MTG_Set_Type[Heavy Printing Window Month Start], "(Set Type not found)", 0, 1)</f>
        <v>(Set Type not found)</v>
      </c>
      <c r="P983" s="3" t="e">
        <f>tbl_MTG_Set[[#This Row],[Released On]]+tbl_MTG_Set[[#This Row],[Heavy Printing Window Month Start]]*365.25/12</f>
        <v>#VALUE!</v>
      </c>
      <c r="Q983" t="str">
        <f>_xlfn.XLOOKUP(tbl_MTG_Set[[#This Row],[Type Name]], tbl_MTG_Set_Type[Set Type], tbl_MTG_Set_Type[Heavy Printing Window Month End], "(Set Type not found)", 0, 1)</f>
        <v>(Set Type not found)</v>
      </c>
      <c r="R983" s="3" t="e">
        <f>tbl_MTG_Set[[#This Row],[Released On]]+tbl_MTG_Set[[#This Row],[Heavy Printing Window Month End]]*365.25/12</f>
        <v>#VALUE!</v>
      </c>
      <c r="S983" s="3" t="e">
        <f ca="1">AND(NOW()&gt;=tbl_MTG_Set[[#This Row],[Heavy Printing Window Start]], NOW()&lt;=tbl_MTG_Set[[#This Row],[Heavy Printing Window End]])</f>
        <v>#VALUE!</v>
      </c>
      <c r="T983" t="str">
        <f>_xlfn.XLOOKUP(tbl_MTG_Set[[#This Row],[Type Name]], tbl_MTG_Set_Type[Set Type], tbl_MTG_Set_Type[Sell Window Month Start], "(Set Type not found)", 0, 1)</f>
        <v>(Set Type not found)</v>
      </c>
      <c r="U983" s="3" t="e">
        <f>tbl_MTG_Set[[#This Row],[Released On]]+tbl_MTG_Set[[#This Row],[Sell Window Month Start]]*365.25/12</f>
        <v>#VALUE!</v>
      </c>
      <c r="V983" t="str">
        <f>_xlfn.XLOOKUP(tbl_MTG_Set[[#This Row],[Type Name]], tbl_MTG_Set_Type[Set Type], tbl_MTG_Set_Type[Sell Window Month End], "(Set Type not found)", 0, 1)</f>
        <v>(Set Type not found)</v>
      </c>
      <c r="W983" s="3" t="e">
        <f>tbl_MTG_Set[[#This Row],[Released On]]+tbl_MTG_Set[[#This Row],[Sell Window Month End]]*365.25/12</f>
        <v>#VALUE!</v>
      </c>
      <c r="X983" s="3" t="e">
        <f ca="1">AND(NOW()&gt;=tbl_MTG_Set[[#This Row],[Sell Window Start]], NOW()&lt;=tbl_MTG_Set[[#This Row],[Sell Window End]])</f>
        <v>#VALUE!</v>
      </c>
      <c r="AG983" s="10"/>
      <c r="AH983" s="10"/>
      <c r="AM983" s="10" t="str" cm="1">
        <f t="array" ref="AM98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3" s="10" t="str" cm="1">
        <f t="array" ref="AN98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3" s="4" t="e">
        <f>_xlfn.XLOOKUP(tbl_MTG_Set[[#This Row],[Play Booster Box Product Id]], tbl_Product[Product Id], tbl_Product[Pack Size])</f>
        <v>#N/A</v>
      </c>
      <c r="AP983" s="10" t="e">
        <f>(tbl_MTG_Set[[#This Row],[Play Booster Box Cost]]+v_Item_Shipping_Cost_In)/tbl_MTG_Set[[#This Row],[Play Booster Box Size]]</f>
        <v>#VALUE!</v>
      </c>
      <c r="AQ983" s="10" t="str" cm="1">
        <f t="array" ref="AQ98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3" s="10"/>
      <c r="AS983" s="10"/>
      <c r="AT983" s="17" t="e">
        <f>tbl_MTG_Set[[#This Row],[Play Booster CardMarket Profit]]/tbl_MTG_Set[[#This Row],[Play Booster Cost]]</f>
        <v>#VALUE!</v>
      </c>
      <c r="AU983" s="10" t="e">
        <f>_xlfn.XLOOKUP(tbl_MTG_Set[[#This Row],[Collector Booster Box Product Id]], tbl_Product[Product Id], tbl_Product[Min Cost])</f>
        <v>#N/A</v>
      </c>
      <c r="AV983" s="10" t="e">
        <f>_xlfn.XLOOKUP(tbl_MTG_Set[[#This Row],[Collector Booster Box Product Id]], tbl_Product[Product Id], tbl_Product[Best Source])</f>
        <v>#N/A</v>
      </c>
      <c r="AW983" s="4" t="e">
        <f>_xlfn.XLOOKUP(tbl_MTG_Set[[#This Row],[Collector Booster Box Product Id]], tbl_Product[Product Id], tbl_Product[Pack Size])</f>
        <v>#N/A</v>
      </c>
      <c r="AX983" s="10" t="e">
        <f>(tbl_MTG_Set[[#This Row],[Collector Booster Box Cost]] + v_Item_Shipping_Cost_In) / tbl_MTG_Set[[#This Row],[Collector Booster Box Size]]</f>
        <v>#N/A</v>
      </c>
      <c r="AY983" s="10" t="str" cm="1">
        <f t="array" ref="AY98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3" s="10"/>
      <c r="BA98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3" s="17" t="e">
        <f>tbl_MTG_Set[[#This Row],[Collector Booster CardMarket Profit]]/tbl_MTG_Set[[#This Row],[Collector Booster Cost]]</f>
        <v>#N/A</v>
      </c>
      <c r="BC983" s="10"/>
      <c r="BF983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3" s="11" t="e">
        <f>tbl_MTG_Set[[#This Row],[Play Singles CardMarket Profit MTG Stocks]]/tbl_MTG_Set[[#This Row],[Play Booster Cost]]</f>
        <v>#VALUE!</v>
      </c>
      <c r="BI983" s="11" t="b">
        <f>tbl_MTG_Set[[#This Row],[Play Singles CardMarket Profit MTG Stocks]]&gt;0</f>
        <v>0</v>
      </c>
      <c r="BM983" s="10" t="e">
        <f>tbl_MTG_Set[[#This Row],[Play Booster Sell Price CardMarket]]*tbl_MTG_Set[[#This Row],[Play Booster Expected Market Value BotBox]]/tbl_MTG_Set[[#This Row],[Play Booster Sealed Market Value BotBox]]</f>
        <v>#VALUE!</v>
      </c>
      <c r="BN98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3" s="10" t="e">
        <f>tbl_MTG_Set[[#This Row],[Play Singles CardMarket Profit BotBox]]/tbl_MTG_Set[[#This Row],[Play Booster Cost]]</f>
        <v>#VALUE!</v>
      </c>
      <c r="BP983" s="10" t="b">
        <f>tbl_MTG_Set[[#This Row],[Play Singles CardMarket Profit BotBox]]&gt;0</f>
        <v>0</v>
      </c>
      <c r="BQ983" s="10"/>
      <c r="BR983" s="10"/>
      <c r="BS983" s="10"/>
      <c r="BT983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3" s="19" t="e">
        <f>tbl_MTG_Set[[#This Row],[Collector Singles CardMarket Profit MTG Stocks]]/tbl_MTG_Set[[#This Row],[Collector Booster Cost]]</f>
        <v>#N/A</v>
      </c>
      <c r="BW983" s="10" t="b">
        <f>tbl_MTG_Set[[#This Row],[Collector Singles CardMarket Profit MTG Stocks]]&gt;0</f>
        <v>0</v>
      </c>
      <c r="BX983" s="10"/>
      <c r="BY983" s="10"/>
      <c r="BZ983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3" s="10" t="e">
        <f>tbl_MTG_Set[[#This Row],[Collector Singles CardMarket Profit BotBox]]/tbl_MTG_Set[[#This Row],[Collector Booster Cost]]</f>
        <v>#N/A</v>
      </c>
      <c r="CC983" s="10" t="b">
        <f>tbl_MTG_Set[[#This Row],[Collector Singles CardMarket Profit BotBox]]&gt;0</f>
        <v>0</v>
      </c>
      <c r="CD98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4" spans="1:86" hidden="1">
      <c r="A984">
        <v>1016</v>
      </c>
      <c r="B984" t="s">
        <v>1157</v>
      </c>
      <c r="C984">
        <v>102</v>
      </c>
      <c r="D984" s="3">
        <v>34397</v>
      </c>
      <c r="F984" t="s">
        <v>174</v>
      </c>
      <c r="G984">
        <v>1978</v>
      </c>
      <c r="H984">
        <f ca="1">MONTH(NOW())+12*YEAR(NOW())-MONTH(tbl_MTG_Set[[#This Row],[Released On]])-12*YEAR(tbl_MTG_Set[[#This Row],[Released On]])</f>
        <v>384</v>
      </c>
      <c r="I984" t="str">
        <f>_xlfn.XLOOKUP(tbl_MTG_Set[[#This Row],[Type Name]], tbl_MTG_Set_Type[Set Type], tbl_MTG_Set_Type[Index], "(Set Type not found)")</f>
        <v>(Set Type not found)</v>
      </c>
      <c r="J984" t="str">
        <f>_xlfn.XLOOKUP(tbl_MTG_Set[[#This Row],[Type Name]], tbl_MTG_Set_Type[Set Type], tbl_MTG_Set_Type[Buy Window Month Start], "(Set Type not found)")</f>
        <v>(Set Type not found)</v>
      </c>
      <c r="K984" s="3" t="e">
        <f>tbl_MTG_Set[[#This Row],[Released On]]+tbl_MTG_Set[[#This Row],[Buy Window Month Start]]*365.25/12</f>
        <v>#VALUE!</v>
      </c>
      <c r="L984" t="str">
        <f>_xlfn.XLOOKUP(tbl_MTG_Set[[#This Row],[Type Name]], tbl_MTG_Set_Type[Set Type], tbl_MTG_Set_Type[Buy Window Month End], "(Set Type not found)", 0, 1)</f>
        <v>(Set Type not found)</v>
      </c>
      <c r="M984" s="3" t="e">
        <f>tbl_MTG_Set[[#This Row],[Released On]]+tbl_MTG_Set[[#This Row],[Buy Window Month End]]*365.25/12</f>
        <v>#VALUE!</v>
      </c>
      <c r="N984" s="3" t="e">
        <f ca="1">AND(NOW()&gt;=tbl_MTG_Set[[#This Row],[Buy Window Start]], NOW()&lt;=tbl_MTG_Set[[#This Row],[Buy Window End]])</f>
        <v>#VALUE!</v>
      </c>
      <c r="O984" t="str">
        <f>_xlfn.XLOOKUP(tbl_MTG_Set[[#This Row],[Type Name]], tbl_MTG_Set_Type[Set Type], tbl_MTG_Set_Type[Heavy Printing Window Month Start], "(Set Type not found)", 0, 1)</f>
        <v>(Set Type not found)</v>
      </c>
      <c r="P984" s="3" t="e">
        <f>tbl_MTG_Set[[#This Row],[Released On]]+tbl_MTG_Set[[#This Row],[Heavy Printing Window Month Start]]*365.25/12</f>
        <v>#VALUE!</v>
      </c>
      <c r="Q984" t="str">
        <f>_xlfn.XLOOKUP(tbl_MTG_Set[[#This Row],[Type Name]], tbl_MTG_Set_Type[Set Type], tbl_MTG_Set_Type[Heavy Printing Window Month End], "(Set Type not found)", 0, 1)</f>
        <v>(Set Type not found)</v>
      </c>
      <c r="R984" s="3" t="e">
        <f>tbl_MTG_Set[[#This Row],[Released On]]+tbl_MTG_Set[[#This Row],[Heavy Printing Window Month End]]*365.25/12</f>
        <v>#VALUE!</v>
      </c>
      <c r="S984" s="3" t="e">
        <f ca="1">AND(NOW()&gt;=tbl_MTG_Set[[#This Row],[Heavy Printing Window Start]], NOW()&lt;=tbl_MTG_Set[[#This Row],[Heavy Printing Window End]])</f>
        <v>#VALUE!</v>
      </c>
      <c r="T984" t="str">
        <f>_xlfn.XLOOKUP(tbl_MTG_Set[[#This Row],[Type Name]], tbl_MTG_Set_Type[Set Type], tbl_MTG_Set_Type[Sell Window Month Start], "(Set Type not found)", 0, 1)</f>
        <v>(Set Type not found)</v>
      </c>
      <c r="U984" s="3" t="e">
        <f>tbl_MTG_Set[[#This Row],[Released On]]+tbl_MTG_Set[[#This Row],[Sell Window Month Start]]*365.25/12</f>
        <v>#VALUE!</v>
      </c>
      <c r="V984" t="str">
        <f>_xlfn.XLOOKUP(tbl_MTG_Set[[#This Row],[Type Name]], tbl_MTG_Set_Type[Set Type], tbl_MTG_Set_Type[Sell Window Month End], "(Set Type not found)", 0, 1)</f>
        <v>(Set Type not found)</v>
      </c>
      <c r="W984" s="3" t="e">
        <f>tbl_MTG_Set[[#This Row],[Released On]]+tbl_MTG_Set[[#This Row],[Sell Window Month End]]*365.25/12</f>
        <v>#VALUE!</v>
      </c>
      <c r="X984" s="3" t="e">
        <f ca="1">AND(NOW()&gt;=tbl_MTG_Set[[#This Row],[Sell Window Start]], NOW()&lt;=tbl_MTG_Set[[#This Row],[Sell Window End]])</f>
        <v>#VALUE!</v>
      </c>
      <c r="AG984" s="10"/>
      <c r="AH984" s="10"/>
      <c r="AM984" s="10" t="str" cm="1">
        <f t="array" ref="AM98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4" s="10" t="str" cm="1">
        <f t="array" ref="AN98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4" s="4" t="e">
        <f>_xlfn.XLOOKUP(tbl_MTG_Set[[#This Row],[Play Booster Box Product Id]], tbl_Product[Product Id], tbl_Product[Pack Size])</f>
        <v>#N/A</v>
      </c>
      <c r="AP984" s="10" t="e">
        <f>(tbl_MTG_Set[[#This Row],[Play Booster Box Cost]]+v_Item_Shipping_Cost_In)/tbl_MTG_Set[[#This Row],[Play Booster Box Size]]</f>
        <v>#VALUE!</v>
      </c>
      <c r="AQ984" s="10" t="str" cm="1">
        <f t="array" ref="AQ98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4" s="10"/>
      <c r="AS984" s="10"/>
      <c r="AT984" s="17" t="e">
        <f>tbl_MTG_Set[[#This Row],[Play Booster CardMarket Profit]]/tbl_MTG_Set[[#This Row],[Play Booster Cost]]</f>
        <v>#VALUE!</v>
      </c>
      <c r="AU984" s="10" t="e">
        <f>_xlfn.XLOOKUP(tbl_MTG_Set[[#This Row],[Collector Booster Box Product Id]], tbl_Product[Product Id], tbl_Product[Min Cost])</f>
        <v>#N/A</v>
      </c>
      <c r="AV984" s="10" t="e">
        <f>_xlfn.XLOOKUP(tbl_MTG_Set[[#This Row],[Collector Booster Box Product Id]], tbl_Product[Product Id], tbl_Product[Best Source])</f>
        <v>#N/A</v>
      </c>
      <c r="AW984" s="4" t="e">
        <f>_xlfn.XLOOKUP(tbl_MTG_Set[[#This Row],[Collector Booster Box Product Id]], tbl_Product[Product Id], tbl_Product[Pack Size])</f>
        <v>#N/A</v>
      </c>
      <c r="AX984" s="10" t="e">
        <f>(tbl_MTG_Set[[#This Row],[Collector Booster Box Cost]] + v_Item_Shipping_Cost_In) / tbl_MTG_Set[[#This Row],[Collector Booster Box Size]]</f>
        <v>#N/A</v>
      </c>
      <c r="AY984" s="10" t="str" cm="1">
        <f t="array" ref="AY98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4" s="10"/>
      <c r="BA98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4" s="17" t="e">
        <f>tbl_MTG_Set[[#This Row],[Collector Booster CardMarket Profit]]/tbl_MTG_Set[[#This Row],[Collector Booster Cost]]</f>
        <v>#N/A</v>
      </c>
      <c r="BC984" s="10"/>
      <c r="BF984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4" s="11" t="e">
        <f>tbl_MTG_Set[[#This Row],[Play Singles CardMarket Profit MTG Stocks]]/tbl_MTG_Set[[#This Row],[Play Booster Cost]]</f>
        <v>#VALUE!</v>
      </c>
      <c r="BI984" s="11" t="b">
        <f>tbl_MTG_Set[[#This Row],[Play Singles CardMarket Profit MTG Stocks]]&gt;0</f>
        <v>0</v>
      </c>
      <c r="BM984" s="10" t="e">
        <f>tbl_MTG_Set[[#This Row],[Play Booster Sell Price CardMarket]]*tbl_MTG_Set[[#This Row],[Play Booster Expected Market Value BotBox]]/tbl_MTG_Set[[#This Row],[Play Booster Sealed Market Value BotBox]]</f>
        <v>#VALUE!</v>
      </c>
      <c r="BN98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4" s="10" t="e">
        <f>tbl_MTG_Set[[#This Row],[Play Singles CardMarket Profit BotBox]]/tbl_MTG_Set[[#This Row],[Play Booster Cost]]</f>
        <v>#VALUE!</v>
      </c>
      <c r="BP984" s="10" t="b">
        <f>tbl_MTG_Set[[#This Row],[Play Singles CardMarket Profit BotBox]]&gt;0</f>
        <v>0</v>
      </c>
      <c r="BQ984" s="10"/>
      <c r="BR984" s="10"/>
      <c r="BS984" s="10"/>
      <c r="BT984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4" s="19" t="e">
        <f>tbl_MTG_Set[[#This Row],[Collector Singles CardMarket Profit MTG Stocks]]/tbl_MTG_Set[[#This Row],[Collector Booster Cost]]</f>
        <v>#N/A</v>
      </c>
      <c r="BW984" s="10" t="b">
        <f>tbl_MTG_Set[[#This Row],[Collector Singles CardMarket Profit MTG Stocks]]&gt;0</f>
        <v>0</v>
      </c>
      <c r="BX984" s="10"/>
      <c r="BY984" s="10"/>
      <c r="BZ984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4" s="10" t="e">
        <f>tbl_MTG_Set[[#This Row],[Collector Singles CardMarket Profit BotBox]]/tbl_MTG_Set[[#This Row],[Collector Booster Cost]]</f>
        <v>#N/A</v>
      </c>
      <c r="CC984" s="10" t="b">
        <f>tbl_MTG_Set[[#This Row],[Collector Singles CardMarket Profit BotBox]]&gt;0</f>
        <v>0</v>
      </c>
      <c r="CD98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5" spans="1:86" hidden="1">
      <c r="A985">
        <v>1017</v>
      </c>
      <c r="B985" t="s">
        <v>1158</v>
      </c>
      <c r="C985">
        <v>92</v>
      </c>
      <c r="D985" s="3">
        <v>34320</v>
      </c>
      <c r="F985" t="s">
        <v>174</v>
      </c>
      <c r="G985">
        <v>1980</v>
      </c>
      <c r="H985">
        <f ca="1">MONTH(NOW())+12*YEAR(NOW())-MONTH(tbl_MTG_Set[[#This Row],[Released On]])-12*YEAR(tbl_MTG_Set[[#This Row],[Released On]])</f>
        <v>387</v>
      </c>
      <c r="I985" t="str">
        <f>_xlfn.XLOOKUP(tbl_MTG_Set[[#This Row],[Type Name]], tbl_MTG_Set_Type[Set Type], tbl_MTG_Set_Type[Index], "(Set Type not found)")</f>
        <v>(Set Type not found)</v>
      </c>
      <c r="J985" t="str">
        <f>_xlfn.XLOOKUP(tbl_MTG_Set[[#This Row],[Type Name]], tbl_MTG_Set_Type[Set Type], tbl_MTG_Set_Type[Buy Window Month Start], "(Set Type not found)")</f>
        <v>(Set Type not found)</v>
      </c>
      <c r="K985" s="3" t="e">
        <f>tbl_MTG_Set[[#This Row],[Released On]]+tbl_MTG_Set[[#This Row],[Buy Window Month Start]]*365.25/12</f>
        <v>#VALUE!</v>
      </c>
      <c r="L985" t="str">
        <f>_xlfn.XLOOKUP(tbl_MTG_Set[[#This Row],[Type Name]], tbl_MTG_Set_Type[Set Type], tbl_MTG_Set_Type[Buy Window Month End], "(Set Type not found)", 0, 1)</f>
        <v>(Set Type not found)</v>
      </c>
      <c r="M985" s="3" t="e">
        <f>tbl_MTG_Set[[#This Row],[Released On]]+tbl_MTG_Set[[#This Row],[Buy Window Month End]]*365.25/12</f>
        <v>#VALUE!</v>
      </c>
      <c r="N985" s="3" t="e">
        <f ca="1">AND(NOW()&gt;=tbl_MTG_Set[[#This Row],[Buy Window Start]], NOW()&lt;=tbl_MTG_Set[[#This Row],[Buy Window End]])</f>
        <v>#VALUE!</v>
      </c>
      <c r="O985" t="str">
        <f>_xlfn.XLOOKUP(tbl_MTG_Set[[#This Row],[Type Name]], tbl_MTG_Set_Type[Set Type], tbl_MTG_Set_Type[Heavy Printing Window Month Start], "(Set Type not found)", 0, 1)</f>
        <v>(Set Type not found)</v>
      </c>
      <c r="P985" s="3" t="e">
        <f>tbl_MTG_Set[[#This Row],[Released On]]+tbl_MTG_Set[[#This Row],[Heavy Printing Window Month Start]]*365.25/12</f>
        <v>#VALUE!</v>
      </c>
      <c r="Q985" t="str">
        <f>_xlfn.XLOOKUP(tbl_MTG_Set[[#This Row],[Type Name]], tbl_MTG_Set_Type[Set Type], tbl_MTG_Set_Type[Heavy Printing Window Month End], "(Set Type not found)", 0, 1)</f>
        <v>(Set Type not found)</v>
      </c>
      <c r="R985" s="3" t="e">
        <f>tbl_MTG_Set[[#This Row],[Released On]]+tbl_MTG_Set[[#This Row],[Heavy Printing Window Month End]]*365.25/12</f>
        <v>#VALUE!</v>
      </c>
      <c r="S985" s="3" t="e">
        <f ca="1">AND(NOW()&gt;=tbl_MTG_Set[[#This Row],[Heavy Printing Window Start]], NOW()&lt;=tbl_MTG_Set[[#This Row],[Heavy Printing Window End]])</f>
        <v>#VALUE!</v>
      </c>
      <c r="T985" t="str">
        <f>_xlfn.XLOOKUP(tbl_MTG_Set[[#This Row],[Type Name]], tbl_MTG_Set_Type[Set Type], tbl_MTG_Set_Type[Sell Window Month Start], "(Set Type not found)", 0, 1)</f>
        <v>(Set Type not found)</v>
      </c>
      <c r="U985" s="3" t="e">
        <f>tbl_MTG_Set[[#This Row],[Released On]]+tbl_MTG_Set[[#This Row],[Sell Window Month Start]]*365.25/12</f>
        <v>#VALUE!</v>
      </c>
      <c r="V985" t="str">
        <f>_xlfn.XLOOKUP(tbl_MTG_Set[[#This Row],[Type Name]], tbl_MTG_Set_Type[Set Type], tbl_MTG_Set_Type[Sell Window Month End], "(Set Type not found)", 0, 1)</f>
        <v>(Set Type not found)</v>
      </c>
      <c r="W985" s="3" t="e">
        <f>tbl_MTG_Set[[#This Row],[Released On]]+tbl_MTG_Set[[#This Row],[Sell Window Month End]]*365.25/12</f>
        <v>#VALUE!</v>
      </c>
      <c r="X985" s="3" t="e">
        <f ca="1">AND(NOW()&gt;=tbl_MTG_Set[[#This Row],[Sell Window Start]], NOW()&lt;=tbl_MTG_Set[[#This Row],[Sell Window End]])</f>
        <v>#VALUE!</v>
      </c>
      <c r="AG985" s="10"/>
      <c r="AH985" s="10"/>
      <c r="AM985" s="10" t="str" cm="1">
        <f t="array" ref="AM98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5" s="10" t="str" cm="1">
        <f t="array" ref="AN98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5" s="4" t="e">
        <f>_xlfn.XLOOKUP(tbl_MTG_Set[[#This Row],[Play Booster Box Product Id]], tbl_Product[Product Id], tbl_Product[Pack Size])</f>
        <v>#N/A</v>
      </c>
      <c r="AP985" s="10" t="e">
        <f>(tbl_MTG_Set[[#This Row],[Play Booster Box Cost]]+v_Item_Shipping_Cost_In)/tbl_MTG_Set[[#This Row],[Play Booster Box Size]]</f>
        <v>#VALUE!</v>
      </c>
      <c r="AQ985" s="10" t="str" cm="1">
        <f t="array" ref="AQ98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5" s="10"/>
      <c r="AS985" s="10"/>
      <c r="AT985" s="17" t="e">
        <f>tbl_MTG_Set[[#This Row],[Play Booster CardMarket Profit]]/tbl_MTG_Set[[#This Row],[Play Booster Cost]]</f>
        <v>#VALUE!</v>
      </c>
      <c r="AU985" s="10" t="e">
        <f>_xlfn.XLOOKUP(tbl_MTG_Set[[#This Row],[Collector Booster Box Product Id]], tbl_Product[Product Id], tbl_Product[Min Cost])</f>
        <v>#N/A</v>
      </c>
      <c r="AV985" s="10" t="e">
        <f>_xlfn.XLOOKUP(tbl_MTG_Set[[#This Row],[Collector Booster Box Product Id]], tbl_Product[Product Id], tbl_Product[Best Source])</f>
        <v>#N/A</v>
      </c>
      <c r="AW985" s="4" t="e">
        <f>_xlfn.XLOOKUP(tbl_MTG_Set[[#This Row],[Collector Booster Box Product Id]], tbl_Product[Product Id], tbl_Product[Pack Size])</f>
        <v>#N/A</v>
      </c>
      <c r="AX985" s="10" t="e">
        <f>(tbl_MTG_Set[[#This Row],[Collector Booster Box Cost]] + v_Item_Shipping_Cost_In) / tbl_MTG_Set[[#This Row],[Collector Booster Box Size]]</f>
        <v>#N/A</v>
      </c>
      <c r="AY985" s="10" t="str" cm="1">
        <f t="array" ref="AY98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5" s="10"/>
      <c r="BA98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5" s="17" t="e">
        <f>tbl_MTG_Set[[#This Row],[Collector Booster CardMarket Profit]]/tbl_MTG_Set[[#This Row],[Collector Booster Cost]]</f>
        <v>#N/A</v>
      </c>
      <c r="BC985" s="10"/>
      <c r="BF985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5" s="11" t="e">
        <f>tbl_MTG_Set[[#This Row],[Play Singles CardMarket Profit MTG Stocks]]/tbl_MTG_Set[[#This Row],[Play Booster Cost]]</f>
        <v>#VALUE!</v>
      </c>
      <c r="BI985" s="11" t="b">
        <f>tbl_MTG_Set[[#This Row],[Play Singles CardMarket Profit MTG Stocks]]&gt;0</f>
        <v>0</v>
      </c>
      <c r="BM985" s="10" t="e">
        <f>tbl_MTG_Set[[#This Row],[Play Booster Sell Price CardMarket]]*tbl_MTG_Set[[#This Row],[Play Booster Expected Market Value BotBox]]/tbl_MTG_Set[[#This Row],[Play Booster Sealed Market Value BotBox]]</f>
        <v>#VALUE!</v>
      </c>
      <c r="BN98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5" s="10" t="e">
        <f>tbl_MTG_Set[[#This Row],[Play Singles CardMarket Profit BotBox]]/tbl_MTG_Set[[#This Row],[Play Booster Cost]]</f>
        <v>#VALUE!</v>
      </c>
      <c r="BP985" s="10" t="b">
        <f>tbl_MTG_Set[[#This Row],[Play Singles CardMarket Profit BotBox]]&gt;0</f>
        <v>0</v>
      </c>
      <c r="BQ985" s="10"/>
      <c r="BR985" s="10"/>
      <c r="BS985" s="10"/>
      <c r="BT985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5" s="19" t="e">
        <f>tbl_MTG_Set[[#This Row],[Collector Singles CardMarket Profit MTG Stocks]]/tbl_MTG_Set[[#This Row],[Collector Booster Cost]]</f>
        <v>#N/A</v>
      </c>
      <c r="BW985" s="10" t="b">
        <f>tbl_MTG_Set[[#This Row],[Collector Singles CardMarket Profit MTG Stocks]]&gt;0</f>
        <v>0</v>
      </c>
      <c r="BX985" s="10"/>
      <c r="BY985" s="10"/>
      <c r="BZ985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5" s="10" t="e">
        <f>tbl_MTG_Set[[#This Row],[Collector Singles CardMarket Profit BotBox]]/tbl_MTG_Set[[#This Row],[Collector Booster Cost]]</f>
        <v>#N/A</v>
      </c>
      <c r="CC985" s="10" t="b">
        <f>tbl_MTG_Set[[#This Row],[Collector Singles CardMarket Profit BotBox]]&gt;0</f>
        <v>0</v>
      </c>
      <c r="CD98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6" spans="1:86" hidden="1">
      <c r="A986">
        <v>1018</v>
      </c>
      <c r="B986" t="s">
        <v>1159</v>
      </c>
      <c r="C986">
        <v>302</v>
      </c>
      <c r="D986" s="3">
        <v>34313</v>
      </c>
      <c r="F986" t="s">
        <v>174</v>
      </c>
      <c r="G986">
        <v>1982</v>
      </c>
      <c r="H986">
        <f ca="1">MONTH(NOW())+12*YEAR(NOW())-MONTH(tbl_MTG_Set[[#This Row],[Released On]])-12*YEAR(tbl_MTG_Set[[#This Row],[Released On]])</f>
        <v>387</v>
      </c>
      <c r="I986" t="str">
        <f>_xlfn.XLOOKUP(tbl_MTG_Set[[#This Row],[Type Name]], tbl_MTG_Set_Type[Set Type], tbl_MTG_Set_Type[Index], "(Set Type not found)")</f>
        <v>(Set Type not found)</v>
      </c>
      <c r="J986" t="str">
        <f>_xlfn.XLOOKUP(tbl_MTG_Set[[#This Row],[Type Name]], tbl_MTG_Set_Type[Set Type], tbl_MTG_Set_Type[Buy Window Month Start], "(Set Type not found)")</f>
        <v>(Set Type not found)</v>
      </c>
      <c r="K986" s="3" t="e">
        <f>tbl_MTG_Set[[#This Row],[Released On]]+tbl_MTG_Set[[#This Row],[Buy Window Month Start]]*365.25/12</f>
        <v>#VALUE!</v>
      </c>
      <c r="L986" t="str">
        <f>_xlfn.XLOOKUP(tbl_MTG_Set[[#This Row],[Type Name]], tbl_MTG_Set_Type[Set Type], tbl_MTG_Set_Type[Buy Window Month End], "(Set Type not found)", 0, 1)</f>
        <v>(Set Type not found)</v>
      </c>
      <c r="M986" s="3" t="e">
        <f>tbl_MTG_Set[[#This Row],[Released On]]+tbl_MTG_Set[[#This Row],[Buy Window Month End]]*365.25/12</f>
        <v>#VALUE!</v>
      </c>
      <c r="N986" s="3" t="e">
        <f ca="1">AND(NOW()&gt;=tbl_MTG_Set[[#This Row],[Buy Window Start]], NOW()&lt;=tbl_MTG_Set[[#This Row],[Buy Window End]])</f>
        <v>#VALUE!</v>
      </c>
      <c r="O986" t="str">
        <f>_xlfn.XLOOKUP(tbl_MTG_Set[[#This Row],[Type Name]], tbl_MTG_Set_Type[Set Type], tbl_MTG_Set_Type[Heavy Printing Window Month Start], "(Set Type not found)", 0, 1)</f>
        <v>(Set Type not found)</v>
      </c>
      <c r="P986" s="3" t="e">
        <f>tbl_MTG_Set[[#This Row],[Released On]]+tbl_MTG_Set[[#This Row],[Heavy Printing Window Month Start]]*365.25/12</f>
        <v>#VALUE!</v>
      </c>
      <c r="Q986" t="str">
        <f>_xlfn.XLOOKUP(tbl_MTG_Set[[#This Row],[Type Name]], tbl_MTG_Set_Type[Set Type], tbl_MTG_Set_Type[Heavy Printing Window Month End], "(Set Type not found)", 0, 1)</f>
        <v>(Set Type not found)</v>
      </c>
      <c r="R986" s="3" t="e">
        <f>tbl_MTG_Set[[#This Row],[Released On]]+tbl_MTG_Set[[#This Row],[Heavy Printing Window Month End]]*365.25/12</f>
        <v>#VALUE!</v>
      </c>
      <c r="S986" s="3" t="e">
        <f ca="1">AND(NOW()&gt;=tbl_MTG_Set[[#This Row],[Heavy Printing Window Start]], NOW()&lt;=tbl_MTG_Set[[#This Row],[Heavy Printing Window End]])</f>
        <v>#VALUE!</v>
      </c>
      <c r="T986" t="str">
        <f>_xlfn.XLOOKUP(tbl_MTG_Set[[#This Row],[Type Name]], tbl_MTG_Set_Type[Set Type], tbl_MTG_Set_Type[Sell Window Month Start], "(Set Type not found)", 0, 1)</f>
        <v>(Set Type not found)</v>
      </c>
      <c r="U986" s="3" t="e">
        <f>tbl_MTG_Set[[#This Row],[Released On]]+tbl_MTG_Set[[#This Row],[Sell Window Month Start]]*365.25/12</f>
        <v>#VALUE!</v>
      </c>
      <c r="V986" t="str">
        <f>_xlfn.XLOOKUP(tbl_MTG_Set[[#This Row],[Type Name]], tbl_MTG_Set_Type[Set Type], tbl_MTG_Set_Type[Sell Window Month End], "(Set Type not found)", 0, 1)</f>
        <v>(Set Type not found)</v>
      </c>
      <c r="W986" s="3" t="e">
        <f>tbl_MTG_Set[[#This Row],[Released On]]+tbl_MTG_Set[[#This Row],[Sell Window Month End]]*365.25/12</f>
        <v>#VALUE!</v>
      </c>
      <c r="X986" s="3" t="e">
        <f ca="1">AND(NOW()&gt;=tbl_MTG_Set[[#This Row],[Sell Window Start]], NOW()&lt;=tbl_MTG_Set[[#This Row],[Sell Window End]])</f>
        <v>#VALUE!</v>
      </c>
      <c r="AG986" s="10"/>
      <c r="AH986" s="10"/>
      <c r="AM986" s="10" t="str" cm="1">
        <f t="array" ref="AM98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6" s="10" t="str" cm="1">
        <f t="array" ref="AN98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6" s="4" t="e">
        <f>_xlfn.XLOOKUP(tbl_MTG_Set[[#This Row],[Play Booster Box Product Id]], tbl_Product[Product Id], tbl_Product[Pack Size])</f>
        <v>#N/A</v>
      </c>
      <c r="AP986" s="10" t="e">
        <f>(tbl_MTG_Set[[#This Row],[Play Booster Box Cost]]+v_Item_Shipping_Cost_In)/tbl_MTG_Set[[#This Row],[Play Booster Box Size]]</f>
        <v>#VALUE!</v>
      </c>
      <c r="AQ986" s="10" t="str" cm="1">
        <f t="array" ref="AQ98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6" s="10"/>
      <c r="AS986" s="10"/>
      <c r="AT986" s="17" t="e">
        <f>tbl_MTG_Set[[#This Row],[Play Booster CardMarket Profit]]/tbl_MTG_Set[[#This Row],[Play Booster Cost]]</f>
        <v>#VALUE!</v>
      </c>
      <c r="AU986" s="10" t="e">
        <f>_xlfn.XLOOKUP(tbl_MTG_Set[[#This Row],[Collector Booster Box Product Id]], tbl_Product[Product Id], tbl_Product[Min Cost])</f>
        <v>#N/A</v>
      </c>
      <c r="AV986" s="10" t="e">
        <f>_xlfn.XLOOKUP(tbl_MTG_Set[[#This Row],[Collector Booster Box Product Id]], tbl_Product[Product Id], tbl_Product[Best Source])</f>
        <v>#N/A</v>
      </c>
      <c r="AW986" s="4" t="e">
        <f>_xlfn.XLOOKUP(tbl_MTG_Set[[#This Row],[Collector Booster Box Product Id]], tbl_Product[Product Id], tbl_Product[Pack Size])</f>
        <v>#N/A</v>
      </c>
      <c r="AX986" s="10" t="e">
        <f>(tbl_MTG_Set[[#This Row],[Collector Booster Box Cost]] + v_Item_Shipping_Cost_In) / tbl_MTG_Set[[#This Row],[Collector Booster Box Size]]</f>
        <v>#N/A</v>
      </c>
      <c r="AY986" s="10" t="str" cm="1">
        <f t="array" ref="AY98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6" s="10"/>
      <c r="BA98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6" s="17" t="e">
        <f>tbl_MTG_Set[[#This Row],[Collector Booster CardMarket Profit]]/tbl_MTG_Set[[#This Row],[Collector Booster Cost]]</f>
        <v>#N/A</v>
      </c>
      <c r="BC986" s="10"/>
      <c r="BF986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6" s="11" t="e">
        <f>tbl_MTG_Set[[#This Row],[Play Singles CardMarket Profit MTG Stocks]]/tbl_MTG_Set[[#This Row],[Play Booster Cost]]</f>
        <v>#VALUE!</v>
      </c>
      <c r="BI986" s="11" t="b">
        <f>tbl_MTG_Set[[#This Row],[Play Singles CardMarket Profit MTG Stocks]]&gt;0</f>
        <v>0</v>
      </c>
      <c r="BM986" s="10" t="e">
        <f>tbl_MTG_Set[[#This Row],[Play Booster Sell Price CardMarket]]*tbl_MTG_Set[[#This Row],[Play Booster Expected Market Value BotBox]]/tbl_MTG_Set[[#This Row],[Play Booster Sealed Market Value BotBox]]</f>
        <v>#VALUE!</v>
      </c>
      <c r="BN98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6" s="10" t="e">
        <f>tbl_MTG_Set[[#This Row],[Play Singles CardMarket Profit BotBox]]/tbl_MTG_Set[[#This Row],[Play Booster Cost]]</f>
        <v>#VALUE!</v>
      </c>
      <c r="BP986" s="10" t="b">
        <f>tbl_MTG_Set[[#This Row],[Play Singles CardMarket Profit BotBox]]&gt;0</f>
        <v>0</v>
      </c>
      <c r="BQ986" s="10"/>
      <c r="BR986" s="10"/>
      <c r="BS986" s="10"/>
      <c r="BT986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6" s="19" t="e">
        <f>tbl_MTG_Set[[#This Row],[Collector Singles CardMarket Profit MTG Stocks]]/tbl_MTG_Set[[#This Row],[Collector Booster Cost]]</f>
        <v>#N/A</v>
      </c>
      <c r="BW986" s="10" t="b">
        <f>tbl_MTG_Set[[#This Row],[Collector Singles CardMarket Profit MTG Stocks]]&gt;0</f>
        <v>0</v>
      </c>
      <c r="BX986" s="10"/>
      <c r="BY986" s="10"/>
      <c r="BZ986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6" s="10" t="e">
        <f>tbl_MTG_Set[[#This Row],[Collector Singles CardMarket Profit BotBox]]/tbl_MTG_Set[[#This Row],[Collector Booster Cost]]</f>
        <v>#N/A</v>
      </c>
      <c r="CC986" s="10" t="b">
        <f>tbl_MTG_Set[[#This Row],[Collector Singles CardMarket Profit BotBox]]&gt;0</f>
        <v>0</v>
      </c>
      <c r="CD98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7" spans="1:86" hidden="1">
      <c r="A987">
        <v>1019</v>
      </c>
      <c r="B987" t="s">
        <v>1160</v>
      </c>
      <c r="C987">
        <v>302</v>
      </c>
      <c r="D987" s="3">
        <v>34313</v>
      </c>
      <c r="F987" t="s">
        <v>174</v>
      </c>
      <c r="G987">
        <v>1984</v>
      </c>
      <c r="H987">
        <f ca="1">MONTH(NOW())+12*YEAR(NOW())-MONTH(tbl_MTG_Set[[#This Row],[Released On]])-12*YEAR(tbl_MTG_Set[[#This Row],[Released On]])</f>
        <v>387</v>
      </c>
      <c r="I987" t="str">
        <f>_xlfn.XLOOKUP(tbl_MTG_Set[[#This Row],[Type Name]], tbl_MTG_Set_Type[Set Type], tbl_MTG_Set_Type[Index], "(Set Type not found)")</f>
        <v>(Set Type not found)</v>
      </c>
      <c r="J987" t="str">
        <f>_xlfn.XLOOKUP(tbl_MTG_Set[[#This Row],[Type Name]], tbl_MTG_Set_Type[Set Type], tbl_MTG_Set_Type[Buy Window Month Start], "(Set Type not found)")</f>
        <v>(Set Type not found)</v>
      </c>
      <c r="K987" s="3" t="e">
        <f>tbl_MTG_Set[[#This Row],[Released On]]+tbl_MTG_Set[[#This Row],[Buy Window Month Start]]*365.25/12</f>
        <v>#VALUE!</v>
      </c>
      <c r="L987" t="str">
        <f>_xlfn.XLOOKUP(tbl_MTG_Set[[#This Row],[Type Name]], tbl_MTG_Set_Type[Set Type], tbl_MTG_Set_Type[Buy Window Month End], "(Set Type not found)", 0, 1)</f>
        <v>(Set Type not found)</v>
      </c>
      <c r="M987" s="3" t="e">
        <f>tbl_MTG_Set[[#This Row],[Released On]]+tbl_MTG_Set[[#This Row],[Buy Window Month End]]*365.25/12</f>
        <v>#VALUE!</v>
      </c>
      <c r="N987" s="3" t="e">
        <f ca="1">AND(NOW()&gt;=tbl_MTG_Set[[#This Row],[Buy Window Start]], NOW()&lt;=tbl_MTG_Set[[#This Row],[Buy Window End]])</f>
        <v>#VALUE!</v>
      </c>
      <c r="O987" t="str">
        <f>_xlfn.XLOOKUP(tbl_MTG_Set[[#This Row],[Type Name]], tbl_MTG_Set_Type[Set Type], tbl_MTG_Set_Type[Heavy Printing Window Month Start], "(Set Type not found)", 0, 1)</f>
        <v>(Set Type not found)</v>
      </c>
      <c r="P987" s="3" t="e">
        <f>tbl_MTG_Set[[#This Row],[Released On]]+tbl_MTG_Set[[#This Row],[Heavy Printing Window Month Start]]*365.25/12</f>
        <v>#VALUE!</v>
      </c>
      <c r="Q987" t="str">
        <f>_xlfn.XLOOKUP(tbl_MTG_Set[[#This Row],[Type Name]], tbl_MTG_Set_Type[Set Type], tbl_MTG_Set_Type[Heavy Printing Window Month End], "(Set Type not found)", 0, 1)</f>
        <v>(Set Type not found)</v>
      </c>
      <c r="R987" s="3" t="e">
        <f>tbl_MTG_Set[[#This Row],[Released On]]+tbl_MTG_Set[[#This Row],[Heavy Printing Window Month End]]*365.25/12</f>
        <v>#VALUE!</v>
      </c>
      <c r="S987" s="3" t="e">
        <f ca="1">AND(NOW()&gt;=tbl_MTG_Set[[#This Row],[Heavy Printing Window Start]], NOW()&lt;=tbl_MTG_Set[[#This Row],[Heavy Printing Window End]])</f>
        <v>#VALUE!</v>
      </c>
      <c r="T987" t="str">
        <f>_xlfn.XLOOKUP(tbl_MTG_Set[[#This Row],[Type Name]], tbl_MTG_Set_Type[Set Type], tbl_MTG_Set_Type[Sell Window Month Start], "(Set Type not found)", 0, 1)</f>
        <v>(Set Type not found)</v>
      </c>
      <c r="U987" s="3" t="e">
        <f>tbl_MTG_Set[[#This Row],[Released On]]+tbl_MTG_Set[[#This Row],[Sell Window Month Start]]*365.25/12</f>
        <v>#VALUE!</v>
      </c>
      <c r="V987" t="str">
        <f>_xlfn.XLOOKUP(tbl_MTG_Set[[#This Row],[Type Name]], tbl_MTG_Set_Type[Set Type], tbl_MTG_Set_Type[Sell Window Month End], "(Set Type not found)", 0, 1)</f>
        <v>(Set Type not found)</v>
      </c>
      <c r="W987" s="3" t="e">
        <f>tbl_MTG_Set[[#This Row],[Released On]]+tbl_MTG_Set[[#This Row],[Sell Window Month End]]*365.25/12</f>
        <v>#VALUE!</v>
      </c>
      <c r="X987" s="3" t="e">
        <f ca="1">AND(NOW()&gt;=tbl_MTG_Set[[#This Row],[Sell Window Start]], NOW()&lt;=tbl_MTG_Set[[#This Row],[Sell Window End]])</f>
        <v>#VALUE!</v>
      </c>
      <c r="AG987" s="10"/>
      <c r="AH987" s="10"/>
      <c r="AM987" s="10" t="str" cm="1">
        <f t="array" ref="AM98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7" s="10" t="str" cm="1">
        <f t="array" ref="AN98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7" s="4" t="e">
        <f>_xlfn.XLOOKUP(tbl_MTG_Set[[#This Row],[Play Booster Box Product Id]], tbl_Product[Product Id], tbl_Product[Pack Size])</f>
        <v>#N/A</v>
      </c>
      <c r="AP987" s="10" t="e">
        <f>(tbl_MTG_Set[[#This Row],[Play Booster Box Cost]]+v_Item_Shipping_Cost_In)/tbl_MTG_Set[[#This Row],[Play Booster Box Size]]</f>
        <v>#VALUE!</v>
      </c>
      <c r="AQ987" s="10" t="str" cm="1">
        <f t="array" ref="AQ98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7" s="10"/>
      <c r="AS987" s="10"/>
      <c r="AT987" s="17" t="e">
        <f>tbl_MTG_Set[[#This Row],[Play Booster CardMarket Profit]]/tbl_MTG_Set[[#This Row],[Play Booster Cost]]</f>
        <v>#VALUE!</v>
      </c>
      <c r="AU987" s="10" t="e">
        <f>_xlfn.XLOOKUP(tbl_MTG_Set[[#This Row],[Collector Booster Box Product Id]], tbl_Product[Product Id], tbl_Product[Min Cost])</f>
        <v>#N/A</v>
      </c>
      <c r="AV987" s="10" t="e">
        <f>_xlfn.XLOOKUP(tbl_MTG_Set[[#This Row],[Collector Booster Box Product Id]], tbl_Product[Product Id], tbl_Product[Best Source])</f>
        <v>#N/A</v>
      </c>
      <c r="AW987" s="4" t="e">
        <f>_xlfn.XLOOKUP(tbl_MTG_Set[[#This Row],[Collector Booster Box Product Id]], tbl_Product[Product Id], tbl_Product[Pack Size])</f>
        <v>#N/A</v>
      </c>
      <c r="AX987" s="10" t="e">
        <f>(tbl_MTG_Set[[#This Row],[Collector Booster Box Cost]] + v_Item_Shipping_Cost_In) / tbl_MTG_Set[[#This Row],[Collector Booster Box Size]]</f>
        <v>#N/A</v>
      </c>
      <c r="AY987" s="10" t="str" cm="1">
        <f t="array" ref="AY98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7" s="10"/>
      <c r="BA98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7" s="17" t="e">
        <f>tbl_MTG_Set[[#This Row],[Collector Booster CardMarket Profit]]/tbl_MTG_Set[[#This Row],[Collector Booster Cost]]</f>
        <v>#N/A</v>
      </c>
      <c r="BC987" s="10"/>
      <c r="BF987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7" s="11" t="e">
        <f>tbl_MTG_Set[[#This Row],[Play Singles CardMarket Profit MTG Stocks]]/tbl_MTG_Set[[#This Row],[Play Booster Cost]]</f>
        <v>#VALUE!</v>
      </c>
      <c r="BI987" s="11" t="b">
        <f>tbl_MTG_Set[[#This Row],[Play Singles CardMarket Profit MTG Stocks]]&gt;0</f>
        <v>0</v>
      </c>
      <c r="BM987" s="10" t="e">
        <f>tbl_MTG_Set[[#This Row],[Play Booster Sell Price CardMarket]]*tbl_MTG_Set[[#This Row],[Play Booster Expected Market Value BotBox]]/tbl_MTG_Set[[#This Row],[Play Booster Sealed Market Value BotBox]]</f>
        <v>#VALUE!</v>
      </c>
      <c r="BN98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7" s="10" t="e">
        <f>tbl_MTG_Set[[#This Row],[Play Singles CardMarket Profit BotBox]]/tbl_MTG_Set[[#This Row],[Play Booster Cost]]</f>
        <v>#VALUE!</v>
      </c>
      <c r="BP987" s="10" t="b">
        <f>tbl_MTG_Set[[#This Row],[Play Singles CardMarket Profit BotBox]]&gt;0</f>
        <v>0</v>
      </c>
      <c r="BQ987" s="10"/>
      <c r="BR987" s="10"/>
      <c r="BS987" s="10"/>
      <c r="BT987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7" s="19" t="e">
        <f>tbl_MTG_Set[[#This Row],[Collector Singles CardMarket Profit MTG Stocks]]/tbl_MTG_Set[[#This Row],[Collector Booster Cost]]</f>
        <v>#N/A</v>
      </c>
      <c r="BW987" s="10" t="b">
        <f>tbl_MTG_Set[[#This Row],[Collector Singles CardMarket Profit MTG Stocks]]&gt;0</f>
        <v>0</v>
      </c>
      <c r="BX987" s="10"/>
      <c r="BY987" s="10"/>
      <c r="BZ987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7" s="10" t="e">
        <f>tbl_MTG_Set[[#This Row],[Collector Singles CardMarket Profit BotBox]]/tbl_MTG_Set[[#This Row],[Collector Booster Cost]]</f>
        <v>#N/A</v>
      </c>
      <c r="CC987" s="10" t="b">
        <f>tbl_MTG_Set[[#This Row],[Collector Singles CardMarket Profit BotBox]]&gt;0</f>
        <v>0</v>
      </c>
      <c r="CD98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8" spans="1:86" hidden="1">
      <c r="A988">
        <v>1020</v>
      </c>
      <c r="B988" t="s">
        <v>1161</v>
      </c>
      <c r="C988">
        <v>302</v>
      </c>
      <c r="D988" s="3">
        <v>34304</v>
      </c>
      <c r="F988" t="s">
        <v>174</v>
      </c>
      <c r="G988">
        <v>1986</v>
      </c>
      <c r="H988">
        <f ca="1">MONTH(NOW())+12*YEAR(NOW())-MONTH(tbl_MTG_Set[[#This Row],[Released On]])-12*YEAR(tbl_MTG_Set[[#This Row],[Released On]])</f>
        <v>387</v>
      </c>
      <c r="I988" t="str">
        <f>_xlfn.XLOOKUP(tbl_MTG_Set[[#This Row],[Type Name]], tbl_MTG_Set_Type[Set Type], tbl_MTG_Set_Type[Index], "(Set Type not found)")</f>
        <v>(Set Type not found)</v>
      </c>
      <c r="J988" t="str">
        <f>_xlfn.XLOOKUP(tbl_MTG_Set[[#This Row],[Type Name]], tbl_MTG_Set_Type[Set Type], tbl_MTG_Set_Type[Buy Window Month Start], "(Set Type not found)")</f>
        <v>(Set Type not found)</v>
      </c>
      <c r="K988" s="3" t="e">
        <f>tbl_MTG_Set[[#This Row],[Released On]]+tbl_MTG_Set[[#This Row],[Buy Window Month Start]]*365.25/12</f>
        <v>#VALUE!</v>
      </c>
      <c r="L988" t="str">
        <f>_xlfn.XLOOKUP(tbl_MTG_Set[[#This Row],[Type Name]], tbl_MTG_Set_Type[Set Type], tbl_MTG_Set_Type[Buy Window Month End], "(Set Type not found)", 0, 1)</f>
        <v>(Set Type not found)</v>
      </c>
      <c r="M988" s="3" t="e">
        <f>tbl_MTG_Set[[#This Row],[Released On]]+tbl_MTG_Set[[#This Row],[Buy Window Month End]]*365.25/12</f>
        <v>#VALUE!</v>
      </c>
      <c r="N988" s="3" t="e">
        <f ca="1">AND(NOW()&gt;=tbl_MTG_Set[[#This Row],[Buy Window Start]], NOW()&lt;=tbl_MTG_Set[[#This Row],[Buy Window End]])</f>
        <v>#VALUE!</v>
      </c>
      <c r="O988" t="str">
        <f>_xlfn.XLOOKUP(tbl_MTG_Set[[#This Row],[Type Name]], tbl_MTG_Set_Type[Set Type], tbl_MTG_Set_Type[Heavy Printing Window Month Start], "(Set Type not found)", 0, 1)</f>
        <v>(Set Type not found)</v>
      </c>
      <c r="P988" s="3" t="e">
        <f>tbl_MTG_Set[[#This Row],[Released On]]+tbl_MTG_Set[[#This Row],[Heavy Printing Window Month Start]]*365.25/12</f>
        <v>#VALUE!</v>
      </c>
      <c r="Q988" t="str">
        <f>_xlfn.XLOOKUP(tbl_MTG_Set[[#This Row],[Type Name]], tbl_MTG_Set_Type[Set Type], tbl_MTG_Set_Type[Heavy Printing Window Month End], "(Set Type not found)", 0, 1)</f>
        <v>(Set Type not found)</v>
      </c>
      <c r="R988" s="3" t="e">
        <f>tbl_MTG_Set[[#This Row],[Released On]]+tbl_MTG_Set[[#This Row],[Heavy Printing Window Month End]]*365.25/12</f>
        <v>#VALUE!</v>
      </c>
      <c r="S988" s="3" t="e">
        <f ca="1">AND(NOW()&gt;=tbl_MTG_Set[[#This Row],[Heavy Printing Window Start]], NOW()&lt;=tbl_MTG_Set[[#This Row],[Heavy Printing Window End]])</f>
        <v>#VALUE!</v>
      </c>
      <c r="T988" t="str">
        <f>_xlfn.XLOOKUP(tbl_MTG_Set[[#This Row],[Type Name]], tbl_MTG_Set_Type[Set Type], tbl_MTG_Set_Type[Sell Window Month Start], "(Set Type not found)", 0, 1)</f>
        <v>(Set Type not found)</v>
      </c>
      <c r="U988" s="3" t="e">
        <f>tbl_MTG_Set[[#This Row],[Released On]]+tbl_MTG_Set[[#This Row],[Sell Window Month Start]]*365.25/12</f>
        <v>#VALUE!</v>
      </c>
      <c r="V988" t="str">
        <f>_xlfn.XLOOKUP(tbl_MTG_Set[[#This Row],[Type Name]], tbl_MTG_Set_Type[Set Type], tbl_MTG_Set_Type[Sell Window Month End], "(Set Type not found)", 0, 1)</f>
        <v>(Set Type not found)</v>
      </c>
      <c r="W988" s="3" t="e">
        <f>tbl_MTG_Set[[#This Row],[Released On]]+tbl_MTG_Set[[#This Row],[Sell Window Month End]]*365.25/12</f>
        <v>#VALUE!</v>
      </c>
      <c r="X988" s="3" t="e">
        <f ca="1">AND(NOW()&gt;=tbl_MTG_Set[[#This Row],[Sell Window Start]], NOW()&lt;=tbl_MTG_Set[[#This Row],[Sell Window End]])</f>
        <v>#VALUE!</v>
      </c>
      <c r="AG988" s="10"/>
      <c r="AH988" s="10"/>
      <c r="AM988" s="10" t="str" cm="1">
        <f t="array" ref="AM98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8" s="10" t="str" cm="1">
        <f t="array" ref="AN98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8" s="4" t="e">
        <f>_xlfn.XLOOKUP(tbl_MTG_Set[[#This Row],[Play Booster Box Product Id]], tbl_Product[Product Id], tbl_Product[Pack Size])</f>
        <v>#N/A</v>
      </c>
      <c r="AP988" s="10" t="e">
        <f>(tbl_MTG_Set[[#This Row],[Play Booster Box Cost]]+v_Item_Shipping_Cost_In)/tbl_MTG_Set[[#This Row],[Play Booster Box Size]]</f>
        <v>#VALUE!</v>
      </c>
      <c r="AQ988" s="10" t="str" cm="1">
        <f t="array" ref="AQ98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8" s="10"/>
      <c r="AS988" s="10"/>
      <c r="AT988" s="17" t="e">
        <f>tbl_MTG_Set[[#This Row],[Play Booster CardMarket Profit]]/tbl_MTG_Set[[#This Row],[Play Booster Cost]]</f>
        <v>#VALUE!</v>
      </c>
      <c r="AU988" s="10" t="e">
        <f>_xlfn.XLOOKUP(tbl_MTG_Set[[#This Row],[Collector Booster Box Product Id]], tbl_Product[Product Id], tbl_Product[Min Cost])</f>
        <v>#N/A</v>
      </c>
      <c r="AV988" s="10" t="e">
        <f>_xlfn.XLOOKUP(tbl_MTG_Set[[#This Row],[Collector Booster Box Product Id]], tbl_Product[Product Id], tbl_Product[Best Source])</f>
        <v>#N/A</v>
      </c>
      <c r="AW988" s="4" t="e">
        <f>_xlfn.XLOOKUP(tbl_MTG_Set[[#This Row],[Collector Booster Box Product Id]], tbl_Product[Product Id], tbl_Product[Pack Size])</f>
        <v>#N/A</v>
      </c>
      <c r="AX988" s="10" t="e">
        <f>(tbl_MTG_Set[[#This Row],[Collector Booster Box Cost]] + v_Item_Shipping_Cost_In) / tbl_MTG_Set[[#This Row],[Collector Booster Box Size]]</f>
        <v>#N/A</v>
      </c>
      <c r="AY988" s="10" t="str" cm="1">
        <f t="array" ref="AY98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8" s="10"/>
      <c r="BA98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8" s="17" t="e">
        <f>tbl_MTG_Set[[#This Row],[Collector Booster CardMarket Profit]]/tbl_MTG_Set[[#This Row],[Collector Booster Cost]]</f>
        <v>#N/A</v>
      </c>
      <c r="BC988" s="10"/>
      <c r="BF988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8" s="11" t="e">
        <f>tbl_MTG_Set[[#This Row],[Play Singles CardMarket Profit MTG Stocks]]/tbl_MTG_Set[[#This Row],[Play Booster Cost]]</f>
        <v>#VALUE!</v>
      </c>
      <c r="BI988" s="11" t="b">
        <f>tbl_MTG_Set[[#This Row],[Play Singles CardMarket Profit MTG Stocks]]&gt;0</f>
        <v>0</v>
      </c>
      <c r="BM988" s="10" t="e">
        <f>tbl_MTG_Set[[#This Row],[Play Booster Sell Price CardMarket]]*tbl_MTG_Set[[#This Row],[Play Booster Expected Market Value BotBox]]/tbl_MTG_Set[[#This Row],[Play Booster Sealed Market Value BotBox]]</f>
        <v>#VALUE!</v>
      </c>
      <c r="BN98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8" s="10" t="e">
        <f>tbl_MTG_Set[[#This Row],[Play Singles CardMarket Profit BotBox]]/tbl_MTG_Set[[#This Row],[Play Booster Cost]]</f>
        <v>#VALUE!</v>
      </c>
      <c r="BP988" s="10" t="b">
        <f>tbl_MTG_Set[[#This Row],[Play Singles CardMarket Profit BotBox]]&gt;0</f>
        <v>0</v>
      </c>
      <c r="BQ988" s="10"/>
      <c r="BR988" s="10"/>
      <c r="BS988" s="10"/>
      <c r="BT988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8" s="19" t="e">
        <f>tbl_MTG_Set[[#This Row],[Collector Singles CardMarket Profit MTG Stocks]]/tbl_MTG_Set[[#This Row],[Collector Booster Cost]]</f>
        <v>#N/A</v>
      </c>
      <c r="BW988" s="10" t="b">
        <f>tbl_MTG_Set[[#This Row],[Collector Singles CardMarket Profit MTG Stocks]]&gt;0</f>
        <v>0</v>
      </c>
      <c r="BX988" s="10"/>
      <c r="BY988" s="10"/>
      <c r="BZ988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8" s="10" t="e">
        <f>tbl_MTG_Set[[#This Row],[Collector Singles CardMarket Profit BotBox]]/tbl_MTG_Set[[#This Row],[Collector Booster Cost]]</f>
        <v>#N/A</v>
      </c>
      <c r="CC988" s="10" t="b">
        <f>tbl_MTG_Set[[#This Row],[Collector Singles CardMarket Profit BotBox]]&gt;0</f>
        <v>0</v>
      </c>
      <c r="CD98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89" spans="1:86" hidden="1">
      <c r="A989">
        <v>1021</v>
      </c>
      <c r="B989" t="s">
        <v>1162</v>
      </c>
      <c r="C989">
        <v>302</v>
      </c>
      <c r="D989" s="3">
        <v>34246</v>
      </c>
      <c r="F989" t="s">
        <v>174</v>
      </c>
      <c r="G989">
        <v>1988</v>
      </c>
      <c r="H989">
        <f ca="1">MONTH(NOW())+12*YEAR(NOW())-MONTH(tbl_MTG_Set[[#This Row],[Released On]])-12*YEAR(tbl_MTG_Set[[#This Row],[Released On]])</f>
        <v>389</v>
      </c>
      <c r="I989" t="str">
        <f>_xlfn.XLOOKUP(tbl_MTG_Set[[#This Row],[Type Name]], tbl_MTG_Set_Type[Set Type], tbl_MTG_Set_Type[Index], "(Set Type not found)")</f>
        <v>(Set Type not found)</v>
      </c>
      <c r="J989" t="str">
        <f>_xlfn.XLOOKUP(tbl_MTG_Set[[#This Row],[Type Name]], tbl_MTG_Set_Type[Set Type], tbl_MTG_Set_Type[Buy Window Month Start], "(Set Type not found)")</f>
        <v>(Set Type not found)</v>
      </c>
      <c r="K989" s="3" t="e">
        <f>tbl_MTG_Set[[#This Row],[Released On]]+tbl_MTG_Set[[#This Row],[Buy Window Month Start]]*365.25/12</f>
        <v>#VALUE!</v>
      </c>
      <c r="L989" t="str">
        <f>_xlfn.XLOOKUP(tbl_MTG_Set[[#This Row],[Type Name]], tbl_MTG_Set_Type[Set Type], tbl_MTG_Set_Type[Buy Window Month End], "(Set Type not found)", 0, 1)</f>
        <v>(Set Type not found)</v>
      </c>
      <c r="M989" s="3" t="e">
        <f>tbl_MTG_Set[[#This Row],[Released On]]+tbl_MTG_Set[[#This Row],[Buy Window Month End]]*365.25/12</f>
        <v>#VALUE!</v>
      </c>
      <c r="N989" s="3" t="e">
        <f ca="1">AND(NOW()&gt;=tbl_MTG_Set[[#This Row],[Buy Window Start]], NOW()&lt;=tbl_MTG_Set[[#This Row],[Buy Window End]])</f>
        <v>#VALUE!</v>
      </c>
      <c r="O989" t="str">
        <f>_xlfn.XLOOKUP(tbl_MTG_Set[[#This Row],[Type Name]], tbl_MTG_Set_Type[Set Type], tbl_MTG_Set_Type[Heavy Printing Window Month Start], "(Set Type not found)", 0, 1)</f>
        <v>(Set Type not found)</v>
      </c>
      <c r="P989" s="3" t="e">
        <f>tbl_MTG_Set[[#This Row],[Released On]]+tbl_MTG_Set[[#This Row],[Heavy Printing Window Month Start]]*365.25/12</f>
        <v>#VALUE!</v>
      </c>
      <c r="Q989" t="str">
        <f>_xlfn.XLOOKUP(tbl_MTG_Set[[#This Row],[Type Name]], tbl_MTG_Set_Type[Set Type], tbl_MTG_Set_Type[Heavy Printing Window Month End], "(Set Type not found)", 0, 1)</f>
        <v>(Set Type not found)</v>
      </c>
      <c r="R989" s="3" t="e">
        <f>tbl_MTG_Set[[#This Row],[Released On]]+tbl_MTG_Set[[#This Row],[Heavy Printing Window Month End]]*365.25/12</f>
        <v>#VALUE!</v>
      </c>
      <c r="S989" s="3" t="e">
        <f ca="1">AND(NOW()&gt;=tbl_MTG_Set[[#This Row],[Heavy Printing Window Start]], NOW()&lt;=tbl_MTG_Set[[#This Row],[Heavy Printing Window End]])</f>
        <v>#VALUE!</v>
      </c>
      <c r="T989" t="str">
        <f>_xlfn.XLOOKUP(tbl_MTG_Set[[#This Row],[Type Name]], tbl_MTG_Set_Type[Set Type], tbl_MTG_Set_Type[Sell Window Month Start], "(Set Type not found)", 0, 1)</f>
        <v>(Set Type not found)</v>
      </c>
      <c r="U989" s="3" t="e">
        <f>tbl_MTG_Set[[#This Row],[Released On]]+tbl_MTG_Set[[#This Row],[Sell Window Month Start]]*365.25/12</f>
        <v>#VALUE!</v>
      </c>
      <c r="V989" t="str">
        <f>_xlfn.XLOOKUP(tbl_MTG_Set[[#This Row],[Type Name]], tbl_MTG_Set_Type[Set Type], tbl_MTG_Set_Type[Sell Window Month End], "(Set Type not found)", 0, 1)</f>
        <v>(Set Type not found)</v>
      </c>
      <c r="W989" s="3" t="e">
        <f>tbl_MTG_Set[[#This Row],[Released On]]+tbl_MTG_Set[[#This Row],[Sell Window Month End]]*365.25/12</f>
        <v>#VALUE!</v>
      </c>
      <c r="X989" s="3" t="e">
        <f ca="1">AND(NOW()&gt;=tbl_MTG_Set[[#This Row],[Sell Window Start]], NOW()&lt;=tbl_MTG_Set[[#This Row],[Sell Window End]])</f>
        <v>#VALUE!</v>
      </c>
      <c r="AG989" s="10"/>
      <c r="AH989" s="10"/>
      <c r="AM989" s="10" t="str" cm="1">
        <f t="array" ref="AM98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89" s="10" t="str" cm="1">
        <f t="array" ref="AN98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89" s="4" t="e">
        <f>_xlfn.XLOOKUP(tbl_MTG_Set[[#This Row],[Play Booster Box Product Id]], tbl_Product[Product Id], tbl_Product[Pack Size])</f>
        <v>#N/A</v>
      </c>
      <c r="AP989" s="10" t="e">
        <f>(tbl_MTG_Set[[#This Row],[Play Booster Box Cost]]+v_Item_Shipping_Cost_In)/tbl_MTG_Set[[#This Row],[Play Booster Box Size]]</f>
        <v>#VALUE!</v>
      </c>
      <c r="AQ989" s="10" t="str" cm="1">
        <f t="array" ref="AQ98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89" s="10"/>
      <c r="AS989" s="10"/>
      <c r="AT989" s="17" t="e">
        <f>tbl_MTG_Set[[#This Row],[Play Booster CardMarket Profit]]/tbl_MTG_Set[[#This Row],[Play Booster Cost]]</f>
        <v>#VALUE!</v>
      </c>
      <c r="AU989" s="10" t="e">
        <f>_xlfn.XLOOKUP(tbl_MTG_Set[[#This Row],[Collector Booster Box Product Id]], tbl_Product[Product Id], tbl_Product[Min Cost])</f>
        <v>#N/A</v>
      </c>
      <c r="AV989" s="10" t="e">
        <f>_xlfn.XLOOKUP(tbl_MTG_Set[[#This Row],[Collector Booster Box Product Id]], tbl_Product[Product Id], tbl_Product[Best Source])</f>
        <v>#N/A</v>
      </c>
      <c r="AW989" s="4" t="e">
        <f>_xlfn.XLOOKUP(tbl_MTG_Set[[#This Row],[Collector Booster Box Product Id]], tbl_Product[Product Id], tbl_Product[Pack Size])</f>
        <v>#N/A</v>
      </c>
      <c r="AX989" s="10" t="e">
        <f>(tbl_MTG_Set[[#This Row],[Collector Booster Box Cost]] + v_Item_Shipping_Cost_In) / tbl_MTG_Set[[#This Row],[Collector Booster Box Size]]</f>
        <v>#N/A</v>
      </c>
      <c r="AY989" s="10" t="str" cm="1">
        <f t="array" ref="AY98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89" s="10"/>
      <c r="BA98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89" s="17" t="e">
        <f>tbl_MTG_Set[[#This Row],[Collector Booster CardMarket Profit]]/tbl_MTG_Set[[#This Row],[Collector Booster Cost]]</f>
        <v>#N/A</v>
      </c>
      <c r="BC989" s="10"/>
      <c r="BF989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8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89" s="11" t="e">
        <f>tbl_MTG_Set[[#This Row],[Play Singles CardMarket Profit MTG Stocks]]/tbl_MTG_Set[[#This Row],[Play Booster Cost]]</f>
        <v>#VALUE!</v>
      </c>
      <c r="BI989" s="11" t="b">
        <f>tbl_MTG_Set[[#This Row],[Play Singles CardMarket Profit MTG Stocks]]&gt;0</f>
        <v>0</v>
      </c>
      <c r="BM989" s="10" t="e">
        <f>tbl_MTG_Set[[#This Row],[Play Booster Sell Price CardMarket]]*tbl_MTG_Set[[#This Row],[Play Booster Expected Market Value BotBox]]/tbl_MTG_Set[[#This Row],[Play Booster Sealed Market Value BotBox]]</f>
        <v>#VALUE!</v>
      </c>
      <c r="BN98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89" s="10" t="e">
        <f>tbl_MTG_Set[[#This Row],[Play Singles CardMarket Profit BotBox]]/tbl_MTG_Set[[#This Row],[Play Booster Cost]]</f>
        <v>#VALUE!</v>
      </c>
      <c r="BP989" s="10" t="b">
        <f>tbl_MTG_Set[[#This Row],[Play Singles CardMarket Profit BotBox]]&gt;0</f>
        <v>0</v>
      </c>
      <c r="BQ989" s="10"/>
      <c r="BR989" s="10"/>
      <c r="BS989" s="10"/>
      <c r="BT989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8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89" s="19" t="e">
        <f>tbl_MTG_Set[[#This Row],[Collector Singles CardMarket Profit MTG Stocks]]/tbl_MTG_Set[[#This Row],[Collector Booster Cost]]</f>
        <v>#N/A</v>
      </c>
      <c r="BW989" s="10" t="b">
        <f>tbl_MTG_Set[[#This Row],[Collector Singles CardMarket Profit MTG Stocks]]&gt;0</f>
        <v>0</v>
      </c>
      <c r="BX989" s="10"/>
      <c r="BY989" s="10"/>
      <c r="BZ989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8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89" s="10" t="e">
        <f>tbl_MTG_Set[[#This Row],[Collector Singles CardMarket Profit BotBox]]/tbl_MTG_Set[[#This Row],[Collector Booster Cost]]</f>
        <v>#N/A</v>
      </c>
      <c r="CC989" s="10" t="b">
        <f>tbl_MTG_Set[[#This Row],[Collector Singles CardMarket Profit BotBox]]&gt;0</f>
        <v>0</v>
      </c>
      <c r="CD98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8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8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8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8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90" spans="1:86" hidden="1">
      <c r="A990">
        <v>1022</v>
      </c>
      <c r="B990" t="s">
        <v>1163</v>
      </c>
      <c r="C990">
        <v>295</v>
      </c>
      <c r="D990" s="3">
        <v>34186</v>
      </c>
      <c r="F990" t="s">
        <v>1164</v>
      </c>
      <c r="G990">
        <v>1990</v>
      </c>
      <c r="H990">
        <f ca="1">MONTH(NOW())+12*YEAR(NOW())-MONTH(tbl_MTG_Set[[#This Row],[Released On]])-12*YEAR(tbl_MTG_Set[[#This Row],[Released On]])</f>
        <v>391</v>
      </c>
      <c r="I990" t="str">
        <f>_xlfn.XLOOKUP(tbl_MTG_Set[[#This Row],[Type Name]], tbl_MTG_Set_Type[Set Type], tbl_MTG_Set_Type[Index], "(Set Type not found)")</f>
        <v>(Set Type not found)</v>
      </c>
      <c r="J990" t="str">
        <f>_xlfn.XLOOKUP(tbl_MTG_Set[[#This Row],[Type Name]], tbl_MTG_Set_Type[Set Type], tbl_MTG_Set_Type[Buy Window Month Start], "(Set Type not found)")</f>
        <v>(Set Type not found)</v>
      </c>
      <c r="K990" s="3" t="e">
        <f>tbl_MTG_Set[[#This Row],[Released On]]+tbl_MTG_Set[[#This Row],[Buy Window Month Start]]*365.25/12</f>
        <v>#VALUE!</v>
      </c>
      <c r="L990" t="str">
        <f>_xlfn.XLOOKUP(tbl_MTG_Set[[#This Row],[Type Name]], tbl_MTG_Set_Type[Set Type], tbl_MTG_Set_Type[Buy Window Month End], "(Set Type not found)", 0, 1)</f>
        <v>(Set Type not found)</v>
      </c>
      <c r="M990" s="3" t="e">
        <f>tbl_MTG_Set[[#This Row],[Released On]]+tbl_MTG_Set[[#This Row],[Buy Window Month End]]*365.25/12</f>
        <v>#VALUE!</v>
      </c>
      <c r="N990" s="3" t="e">
        <f ca="1">AND(NOW()&gt;=tbl_MTG_Set[[#This Row],[Buy Window Start]], NOW()&lt;=tbl_MTG_Set[[#This Row],[Buy Window End]])</f>
        <v>#VALUE!</v>
      </c>
      <c r="O990" t="str">
        <f>_xlfn.XLOOKUP(tbl_MTG_Set[[#This Row],[Type Name]], tbl_MTG_Set_Type[Set Type], tbl_MTG_Set_Type[Heavy Printing Window Month Start], "(Set Type not found)", 0, 1)</f>
        <v>(Set Type not found)</v>
      </c>
      <c r="P990" s="3" t="e">
        <f>tbl_MTG_Set[[#This Row],[Released On]]+tbl_MTG_Set[[#This Row],[Heavy Printing Window Month Start]]*365.25/12</f>
        <v>#VALUE!</v>
      </c>
      <c r="Q990" t="str">
        <f>_xlfn.XLOOKUP(tbl_MTG_Set[[#This Row],[Type Name]], tbl_MTG_Set_Type[Set Type], tbl_MTG_Set_Type[Heavy Printing Window Month End], "(Set Type not found)", 0, 1)</f>
        <v>(Set Type not found)</v>
      </c>
      <c r="R990" s="3" t="e">
        <f>tbl_MTG_Set[[#This Row],[Released On]]+tbl_MTG_Set[[#This Row],[Heavy Printing Window Month End]]*365.25/12</f>
        <v>#VALUE!</v>
      </c>
      <c r="S990" s="3" t="e">
        <f ca="1">AND(NOW()&gt;=tbl_MTG_Set[[#This Row],[Heavy Printing Window Start]], NOW()&lt;=tbl_MTG_Set[[#This Row],[Heavy Printing Window End]])</f>
        <v>#VALUE!</v>
      </c>
      <c r="T990" t="str">
        <f>_xlfn.XLOOKUP(tbl_MTG_Set[[#This Row],[Type Name]], tbl_MTG_Set_Type[Set Type], tbl_MTG_Set_Type[Sell Window Month Start], "(Set Type not found)", 0, 1)</f>
        <v>(Set Type not found)</v>
      </c>
      <c r="U990" s="3" t="e">
        <f>tbl_MTG_Set[[#This Row],[Released On]]+tbl_MTG_Set[[#This Row],[Sell Window Month Start]]*365.25/12</f>
        <v>#VALUE!</v>
      </c>
      <c r="V990" t="str">
        <f>_xlfn.XLOOKUP(tbl_MTG_Set[[#This Row],[Type Name]], tbl_MTG_Set_Type[Set Type], tbl_MTG_Set_Type[Sell Window Month End], "(Set Type not found)", 0, 1)</f>
        <v>(Set Type not found)</v>
      </c>
      <c r="W990" s="3" t="e">
        <f>tbl_MTG_Set[[#This Row],[Released On]]+tbl_MTG_Set[[#This Row],[Sell Window Month End]]*365.25/12</f>
        <v>#VALUE!</v>
      </c>
      <c r="X990" s="3" t="e">
        <f ca="1">AND(NOW()&gt;=tbl_MTG_Set[[#This Row],[Sell Window Start]], NOW()&lt;=tbl_MTG_Set[[#This Row],[Sell Window End]])</f>
        <v>#VALUE!</v>
      </c>
      <c r="AG990" s="10"/>
      <c r="AH990" s="10"/>
      <c r="AM990" s="10" t="str" cm="1">
        <f t="array" ref="AM99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/>
      </c>
      <c r="AN990" s="10" t="str" cm="1">
        <f t="array" ref="AN99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/>
      </c>
      <c r="AO990" s="4" t="e">
        <f>_xlfn.XLOOKUP(tbl_MTG_Set[[#This Row],[Play Booster Box Product Id]], tbl_Product[Product Id], tbl_Product[Pack Size])</f>
        <v>#N/A</v>
      </c>
      <c r="AP990" s="10" t="e">
        <f>(tbl_MTG_Set[[#This Row],[Play Booster Box Cost]]+v_Item_Shipping_Cost_In)/tbl_MTG_Set[[#This Row],[Play Booster Box Size]]</f>
        <v>#VALUE!</v>
      </c>
      <c r="AQ990" s="10" t="str" cm="1">
        <f t="array" ref="AQ99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990" s="10"/>
      <c r="AS990" s="10"/>
      <c r="AT990" s="17" t="e">
        <f>tbl_MTG_Set[[#This Row],[Play Booster CardMarket Profit]]/tbl_MTG_Set[[#This Row],[Play Booster Cost]]</f>
        <v>#VALUE!</v>
      </c>
      <c r="AU990" s="10" t="e">
        <f>_xlfn.XLOOKUP(tbl_MTG_Set[[#This Row],[Collector Booster Box Product Id]], tbl_Product[Product Id], tbl_Product[Min Cost])</f>
        <v>#N/A</v>
      </c>
      <c r="AV990" s="10" t="e">
        <f>_xlfn.XLOOKUP(tbl_MTG_Set[[#This Row],[Collector Booster Box Product Id]], tbl_Product[Product Id], tbl_Product[Best Source])</f>
        <v>#N/A</v>
      </c>
      <c r="AW990" s="4" t="e">
        <f>_xlfn.XLOOKUP(tbl_MTG_Set[[#This Row],[Collector Booster Box Product Id]], tbl_Product[Product Id], tbl_Product[Pack Size])</f>
        <v>#N/A</v>
      </c>
      <c r="AX990" s="10" t="e">
        <f>(tbl_MTG_Set[[#This Row],[Collector Booster Box Cost]] + v_Item_Shipping_Cost_In) / tbl_MTG_Set[[#This Row],[Collector Booster Box Size]]</f>
        <v>#N/A</v>
      </c>
      <c r="AY990" s="10" t="str" cm="1">
        <f t="array" ref="AY99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90" s="10"/>
      <c r="BA99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90" s="17" t="e">
        <f>tbl_MTG_Set[[#This Row],[Collector Booster CardMarket Profit]]/tbl_MTG_Set[[#This Row],[Collector Booster Cost]]</f>
        <v>#N/A</v>
      </c>
      <c r="BC990" s="10"/>
      <c r="BF990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99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90" s="11" t="e">
        <f>tbl_MTG_Set[[#This Row],[Play Singles CardMarket Profit MTG Stocks]]/tbl_MTG_Set[[#This Row],[Play Booster Cost]]</f>
        <v>#VALUE!</v>
      </c>
      <c r="BI990" s="11" t="b">
        <f>tbl_MTG_Set[[#This Row],[Play Singles CardMarket Profit MTG Stocks]]&gt;0</f>
        <v>0</v>
      </c>
      <c r="BM990" s="10" t="e">
        <f>tbl_MTG_Set[[#This Row],[Play Booster Sell Price CardMarket]]*tbl_MTG_Set[[#This Row],[Play Booster Expected Market Value BotBox]]/tbl_MTG_Set[[#This Row],[Play Booster Sealed Market Value BotBox]]</f>
        <v>#VALUE!</v>
      </c>
      <c r="BN99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90" s="10" t="e">
        <f>tbl_MTG_Set[[#This Row],[Play Singles CardMarket Profit BotBox]]/tbl_MTG_Set[[#This Row],[Play Booster Cost]]</f>
        <v>#VALUE!</v>
      </c>
      <c r="BP990" s="10" t="b">
        <f>tbl_MTG_Set[[#This Row],[Play Singles CardMarket Profit BotBox]]&gt;0</f>
        <v>0</v>
      </c>
      <c r="BQ990" s="10"/>
      <c r="BR990" s="10"/>
      <c r="BS990" s="10"/>
      <c r="BT990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9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0" s="19" t="e">
        <f>tbl_MTG_Set[[#This Row],[Collector Singles CardMarket Profit MTG Stocks]]/tbl_MTG_Set[[#This Row],[Collector Booster Cost]]</f>
        <v>#N/A</v>
      </c>
      <c r="BW990" s="10" t="b">
        <f>tbl_MTG_Set[[#This Row],[Collector Singles CardMarket Profit MTG Stocks]]&gt;0</f>
        <v>0</v>
      </c>
      <c r="BX990" s="10"/>
      <c r="BY990" s="10"/>
      <c r="BZ990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9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90" s="10" t="e">
        <f>tbl_MTG_Set[[#This Row],[Collector Singles CardMarket Profit BotBox]]/tbl_MTG_Set[[#This Row],[Collector Booster Cost]]</f>
        <v>#N/A</v>
      </c>
      <c r="CC990" s="10" t="b">
        <f>tbl_MTG_Set[[#This Row],[Collector Singles CardMarket Profit BotBox]]&gt;0</f>
        <v>0</v>
      </c>
      <c r="CD99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9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9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</v>
      </c>
      <c r="CG99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9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91" spans="1:86">
      <c r="A991">
        <v>442</v>
      </c>
      <c r="B991" t="s">
        <v>1165</v>
      </c>
      <c r="C991">
        <v>312</v>
      </c>
      <c r="D991" s="3">
        <v>43588</v>
      </c>
      <c r="E991" t="s">
        <v>59</v>
      </c>
      <c r="F991" t="s">
        <v>174</v>
      </c>
      <c r="G991">
        <v>830</v>
      </c>
      <c r="H991">
        <f ca="1">MONTH(NOW())+12*YEAR(NOW())-MONTH(tbl_MTG_Set[[#This Row],[Released On]])-12*YEAR(tbl_MTG_Set[[#This Row],[Released On]])</f>
        <v>82</v>
      </c>
      <c r="I991">
        <f>_xlfn.XLOOKUP(tbl_MTG_Set[[#This Row],[Type Name]], tbl_MTG_Set_Type[Set Type], tbl_MTG_Set_Type[Index], "(Set Type not found)")</f>
        <v>1</v>
      </c>
      <c r="J991">
        <f>_xlfn.XLOOKUP(tbl_MTG_Set[[#This Row],[Type Name]], tbl_MTG_Set_Type[Set Type], tbl_MTG_Set_Type[Buy Window Month Start], "(Set Type not found)")</f>
        <v>18</v>
      </c>
      <c r="K991" s="3">
        <f>tbl_MTG_Set[[#This Row],[Released On]]+tbl_MTG_Set[[#This Row],[Buy Window Month Start]]*365.25/12</f>
        <v>44135.875</v>
      </c>
      <c r="L991">
        <f>_xlfn.XLOOKUP(tbl_MTG_Set[[#This Row],[Type Name]], tbl_MTG_Set_Type[Set Type], tbl_MTG_Set_Type[Buy Window Month End], "(Set Type not found)", 0, 1)</f>
        <v>24</v>
      </c>
      <c r="M991" s="3">
        <f>tbl_MTG_Set[[#This Row],[Released On]]+tbl_MTG_Set[[#This Row],[Buy Window Month End]]*365.25/12</f>
        <v>44318.5</v>
      </c>
      <c r="N991" s="3" t="b">
        <f ca="1">AND(NOW()&gt;=tbl_MTG_Set[[#This Row],[Buy Window Start]], NOW()&lt;=tbl_MTG_Set[[#This Row],[Buy Window End]])</f>
        <v>0</v>
      </c>
      <c r="O991">
        <f>_xlfn.XLOOKUP(tbl_MTG_Set[[#This Row],[Type Name]], tbl_MTG_Set_Type[Set Type], tbl_MTG_Set_Type[Heavy Printing Window Month Start], "(Set Type not found)", 0, 1)</f>
        <v>1</v>
      </c>
      <c r="P991" s="3">
        <f>tbl_MTG_Set[[#This Row],[Released On]]+tbl_MTG_Set[[#This Row],[Heavy Printing Window Month Start]]*365.25/12</f>
        <v>43618.4375</v>
      </c>
      <c r="Q991">
        <f>_xlfn.XLOOKUP(tbl_MTG_Set[[#This Row],[Type Name]], tbl_MTG_Set_Type[Set Type], tbl_MTG_Set_Type[Heavy Printing Window Month End], "(Set Type not found)", 0, 1)</f>
        <v>18</v>
      </c>
      <c r="R991" s="3">
        <f>tbl_MTG_Set[[#This Row],[Released On]]+tbl_MTG_Set[[#This Row],[Heavy Printing Window Month End]]*365.25/12</f>
        <v>44135.875</v>
      </c>
      <c r="S991" s="3" t="b">
        <f ca="1">AND(NOW()&gt;=tbl_MTG_Set[[#This Row],[Heavy Printing Window Start]], NOW()&lt;=tbl_MTG_Set[[#This Row],[Heavy Printing Window End]])</f>
        <v>0</v>
      </c>
      <c r="T991">
        <f>_xlfn.XLOOKUP(tbl_MTG_Set[[#This Row],[Type Name]], tbl_MTG_Set_Type[Set Type], tbl_MTG_Set_Type[Sell Window Month Start], "(Set Type not found)", 0, 1)</f>
        <v>36</v>
      </c>
      <c r="U991" s="3">
        <f>tbl_MTG_Set[[#This Row],[Released On]]+tbl_MTG_Set[[#This Row],[Sell Window Month Start]]*365.25/12</f>
        <v>44683.75</v>
      </c>
      <c r="V991">
        <f>_xlfn.XLOOKUP(tbl_MTG_Set[[#This Row],[Type Name]], tbl_MTG_Set_Type[Set Type], tbl_MTG_Set_Type[Sell Window Month End], "(Set Type not found)", 0, 1)</f>
        <v>48</v>
      </c>
      <c r="W991" s="3">
        <f>tbl_MTG_Set[[#This Row],[Released On]]+tbl_MTG_Set[[#This Row],[Sell Window Month End]]*365.25/12</f>
        <v>45049</v>
      </c>
      <c r="X991" s="3" t="b">
        <f ca="1">AND(NOW()&gt;=tbl_MTG_Set[[#This Row],[Sell Window Start]], NOW()&lt;=tbl_MTG_Set[[#This Row],[Sell Window End]])</f>
        <v>0</v>
      </c>
      <c r="Y991" s="10">
        <v>128</v>
      </c>
      <c r="Z991" s="10">
        <v>170</v>
      </c>
      <c r="AD991" s="10">
        <f>(Y991+96/20)/36</f>
        <v>3.6888888888888891</v>
      </c>
      <c r="AE991" s="10">
        <f>(Z991+96/20)/36</f>
        <v>4.8555555555555561</v>
      </c>
      <c r="AG991" s="10"/>
      <c r="AH991" s="10"/>
      <c r="AI991" s="4">
        <v>53</v>
      </c>
      <c r="AJ991" s="4">
        <v>8</v>
      </c>
      <c r="AM991" s="10" cm="1">
        <f t="array" ref="AM99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141.24</v>
      </c>
      <c r="AN991" s="10" t="str" cm="1">
        <f t="array" ref="AN99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</v>
      </c>
      <c r="AO991" s="4">
        <f>_xlfn.XLOOKUP(tbl_MTG_Set[[#This Row],[Play Booster Box Product Id]], tbl_Product[Product Id], tbl_Product[Pack Size])</f>
        <v>36</v>
      </c>
      <c r="AP991" s="10">
        <f>(tbl_MTG_Set[[#This Row],[Play Booster Box Cost]]+v_Item_Shipping_Cost_In)/tbl_MTG_Set[[#This Row],[Play Booster Box Size]]</f>
        <v>4.2622222222222224</v>
      </c>
      <c r="AQ991" s="10" cm="1">
        <f t="array" ref="AQ99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5.1761963119999992</v>
      </c>
      <c r="AR991" s="10">
        <v>5</v>
      </c>
      <c r="AS991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6.7820243623930576E-2</v>
      </c>
      <c r="AT991" s="17">
        <f>tbl_MTG_Set[[#This Row],[Play Booster CardMarket Profit]]/tbl_MTG_Set[[#This Row],[Play Booster Cost]]</f>
        <v>1.5911944541589552E-2</v>
      </c>
      <c r="AU991" s="10" t="e">
        <f>_xlfn.XLOOKUP(tbl_MTG_Set[[#This Row],[Collector Booster Box Product Id]], tbl_Product[Product Id], tbl_Product[Min Cost])</f>
        <v>#N/A</v>
      </c>
      <c r="AV991" s="10" t="e">
        <f>_xlfn.XLOOKUP(tbl_MTG_Set[[#This Row],[Collector Booster Box Product Id]], tbl_Product[Product Id], tbl_Product[Best Source])</f>
        <v>#N/A</v>
      </c>
      <c r="AW991" s="4" t="e">
        <f>_xlfn.XLOOKUP(tbl_MTG_Set[[#This Row],[Collector Booster Box Product Id]], tbl_Product[Product Id], tbl_Product[Pack Size])</f>
        <v>#N/A</v>
      </c>
      <c r="AX991" s="10" t="e">
        <f>(tbl_MTG_Set[[#This Row],[Collector Booster Box Cost]] + v_Item_Shipping_Cost_In) / tbl_MTG_Set[[#This Row],[Collector Booster Box Size]]</f>
        <v>#N/A</v>
      </c>
      <c r="AY991" s="10" t="str" cm="1">
        <f t="array" ref="AY99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91" s="10"/>
      <c r="BA99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91" s="17" t="e">
        <f>tbl_MTG_Set[[#This Row],[Collector Booster CardMarket Profit]]/tbl_MTG_Set[[#This Row],[Collector Booster Cost]]</f>
        <v>#N/A</v>
      </c>
      <c r="BC991" s="15" t="s">
        <v>1166</v>
      </c>
      <c r="BD991" s="11">
        <v>2.9</v>
      </c>
      <c r="BE991" s="11">
        <v>5.21</v>
      </c>
      <c r="BF991" s="11">
        <f>tbl_MTG_Set[[#This Row],[Play Booster Sell Price CardMarket]]*tbl_MTG_Set[[#This Row],[Play Booster Expected Market Value MTG Stocks]]/tbl_MTG_Set[[#This Row],[Play Booster Sealed Market Value MTG Stocks]]</f>
        <v>2.8811841276007675</v>
      </c>
      <c r="BG99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-2.2271919407753011</v>
      </c>
      <c r="BH991" s="11">
        <f>tbl_MTG_Set[[#This Row],[Play Singles CardMarket Profit MTG Stocks]]/tbl_MTG_Set[[#This Row],[Play Booster Cost]]</f>
        <v>-0.52254242614644708</v>
      </c>
      <c r="BI991" s="11" t="b">
        <f>tbl_MTG_Set[[#This Row],[Play Singles CardMarket Profit MTG Stocks]]&gt;0</f>
        <v>0</v>
      </c>
      <c r="BJ991" s="21" t="s">
        <v>1167</v>
      </c>
      <c r="BM991" s="10" t="e">
        <f>tbl_MTG_Set[[#This Row],[Play Booster Sell Price CardMarket]]*tbl_MTG_Set[[#This Row],[Play Booster Expected Market Value BotBox]]/tbl_MTG_Set[[#This Row],[Play Booster Sealed Market Value BotBox]]</f>
        <v>#DIV/0!</v>
      </c>
      <c r="BN99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91" s="17">
        <f>tbl_MTG_Set[[#This Row],[Play Singles CardMarket Profit BotBox]]/tbl_MTG_Set[[#This Row],[Play Booster Cost]]</f>
        <v>-234.38477580813347</v>
      </c>
      <c r="BP991" s="10" t="b">
        <f>tbl_MTG_Set[[#This Row],[Play Singles CardMarket Profit BotBox]]&gt;0</f>
        <v>0</v>
      </c>
      <c r="BQ991" s="10"/>
      <c r="BR991" s="10"/>
      <c r="BS991" s="10"/>
      <c r="BT991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9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1" s="19" t="e">
        <f>tbl_MTG_Set[[#This Row],[Collector Singles CardMarket Profit MTG Stocks]]/tbl_MTG_Set[[#This Row],[Collector Booster Cost]]</f>
        <v>#N/A</v>
      </c>
      <c r="BW991" s="10" t="b">
        <f>tbl_MTG_Set[[#This Row],[Collector Singles CardMarket Profit MTG Stocks]]&gt;0</f>
        <v>0</v>
      </c>
      <c r="BX991" s="10"/>
      <c r="BY991" s="10"/>
      <c r="BZ991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9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91" s="17" t="e">
        <f>tbl_MTG_Set[[#This Row],[Collector Singles CardMarket Profit BotBox]]/tbl_MTG_Set[[#This Row],[Collector Booster Cost]]</f>
        <v>#N/A</v>
      </c>
      <c r="CC991" s="10" t="b">
        <f>tbl_MTG_Set[[#This Row],[Collector Singles CardMarket Profit BotBox]]&gt;0</f>
        <v>0</v>
      </c>
      <c r="CD99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9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6.7820243623930576E-2</v>
      </c>
      <c r="CG99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99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1.5911944541589552E-2</v>
      </c>
    </row>
    <row r="992" spans="1:86">
      <c r="A992">
        <v>576</v>
      </c>
      <c r="B992" t="s">
        <v>1168</v>
      </c>
      <c r="C992">
        <v>187</v>
      </c>
      <c r="D992" s="3">
        <v>42391</v>
      </c>
      <c r="E992" t="s">
        <v>59</v>
      </c>
      <c r="F992" t="s">
        <v>174</v>
      </c>
      <c r="G992">
        <v>1098</v>
      </c>
      <c r="H992">
        <f ca="1">MONTH(NOW())+12*YEAR(NOW())-MONTH(tbl_MTG_Set[[#This Row],[Released On]])-12*YEAR(tbl_MTG_Set[[#This Row],[Released On]])</f>
        <v>122</v>
      </c>
      <c r="I992">
        <f>_xlfn.XLOOKUP(tbl_MTG_Set[[#This Row],[Type Name]], tbl_MTG_Set_Type[Set Type], tbl_MTG_Set_Type[Index], "(Set Type not found)")</f>
        <v>1</v>
      </c>
      <c r="J992">
        <f>_xlfn.XLOOKUP(tbl_MTG_Set[[#This Row],[Type Name]], tbl_MTG_Set_Type[Set Type], tbl_MTG_Set_Type[Buy Window Month Start], "(Set Type not found)")</f>
        <v>18</v>
      </c>
      <c r="K992" s="3">
        <f>tbl_MTG_Set[[#This Row],[Released On]]+tbl_MTG_Set[[#This Row],[Buy Window Month Start]]*365.25/12</f>
        <v>42938.875</v>
      </c>
      <c r="L992">
        <f>_xlfn.XLOOKUP(tbl_MTG_Set[[#This Row],[Type Name]], tbl_MTG_Set_Type[Set Type], tbl_MTG_Set_Type[Buy Window Month End], "(Set Type not found)", 0, 1)</f>
        <v>24</v>
      </c>
      <c r="M992" s="3">
        <f>tbl_MTG_Set[[#This Row],[Released On]]+tbl_MTG_Set[[#This Row],[Buy Window Month End]]*365.25/12</f>
        <v>43121.5</v>
      </c>
      <c r="N992" s="3" t="b">
        <f ca="1">AND(NOW()&gt;=tbl_MTG_Set[[#This Row],[Buy Window Start]], NOW()&lt;=tbl_MTG_Set[[#This Row],[Buy Window End]])</f>
        <v>0</v>
      </c>
      <c r="O992">
        <f>_xlfn.XLOOKUP(tbl_MTG_Set[[#This Row],[Type Name]], tbl_MTG_Set_Type[Set Type], tbl_MTG_Set_Type[Heavy Printing Window Month Start], "(Set Type not found)", 0, 1)</f>
        <v>1</v>
      </c>
      <c r="P992" s="3">
        <f>tbl_MTG_Set[[#This Row],[Released On]]+tbl_MTG_Set[[#This Row],[Heavy Printing Window Month Start]]*365.25/12</f>
        <v>42421.4375</v>
      </c>
      <c r="Q992">
        <f>_xlfn.XLOOKUP(tbl_MTG_Set[[#This Row],[Type Name]], tbl_MTG_Set_Type[Set Type], tbl_MTG_Set_Type[Heavy Printing Window Month End], "(Set Type not found)", 0, 1)</f>
        <v>18</v>
      </c>
      <c r="R992" s="3">
        <f>tbl_MTG_Set[[#This Row],[Released On]]+tbl_MTG_Set[[#This Row],[Heavy Printing Window Month End]]*365.25/12</f>
        <v>42938.875</v>
      </c>
      <c r="S992" s="3" t="b">
        <f ca="1">AND(NOW()&gt;=tbl_MTG_Set[[#This Row],[Heavy Printing Window Start]], NOW()&lt;=tbl_MTG_Set[[#This Row],[Heavy Printing Window End]])</f>
        <v>0</v>
      </c>
      <c r="T992">
        <f>_xlfn.XLOOKUP(tbl_MTG_Set[[#This Row],[Type Name]], tbl_MTG_Set_Type[Set Type], tbl_MTG_Set_Type[Sell Window Month Start], "(Set Type not found)", 0, 1)</f>
        <v>36</v>
      </c>
      <c r="U992" s="3">
        <f>tbl_MTG_Set[[#This Row],[Released On]]+tbl_MTG_Set[[#This Row],[Sell Window Month Start]]*365.25/12</f>
        <v>43486.75</v>
      </c>
      <c r="V992">
        <f>_xlfn.XLOOKUP(tbl_MTG_Set[[#This Row],[Type Name]], tbl_MTG_Set_Type[Set Type], tbl_MTG_Set_Type[Sell Window Month End], "(Set Type not found)", 0, 1)</f>
        <v>48</v>
      </c>
      <c r="W992" s="3">
        <f>tbl_MTG_Set[[#This Row],[Released On]]+tbl_MTG_Set[[#This Row],[Sell Window Month End]]*365.25/12</f>
        <v>43852</v>
      </c>
      <c r="X992" s="3" t="b">
        <f ca="1">AND(NOW()&gt;=tbl_MTG_Set[[#This Row],[Sell Window Start]], NOW()&lt;=tbl_MTG_Set[[#This Row],[Sell Window End]])</f>
        <v>0</v>
      </c>
      <c r="Y992" s="10">
        <v>188</v>
      </c>
      <c r="Z992" s="10">
        <v>77</v>
      </c>
      <c r="AD992" s="10">
        <f>(Y992+96/20)/36</f>
        <v>5.3555555555555561</v>
      </c>
      <c r="AE992" s="10">
        <f>(Z992+96/20)/36</f>
        <v>2.2722222222222221</v>
      </c>
      <c r="AG992" s="10"/>
      <c r="AH992" s="10"/>
      <c r="AI992" s="4">
        <v>77</v>
      </c>
      <c r="AJ992" s="4">
        <v>32</v>
      </c>
      <c r="AM992" s="10" cm="1">
        <f t="array" ref="AM99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142.66809900800001</v>
      </c>
      <c r="AN992" s="10" t="str" cm="1">
        <f t="array" ref="AN99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992" s="4">
        <f>_xlfn.XLOOKUP(tbl_MTG_Set[[#This Row],[Play Booster Box Product Id]], tbl_Product[Product Id], tbl_Product[Pack Size])</f>
        <v>36</v>
      </c>
      <c r="AP992" s="10">
        <f>(tbl_MTG_Set[[#This Row],[Play Booster Box Cost]]+v_Item_Shipping_Cost_In)/tbl_MTG_Set[[#This Row],[Play Booster Box Size]]</f>
        <v>4.3018916391111111</v>
      </c>
      <c r="AQ992" s="10" cm="1">
        <f t="array" ref="AQ99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3.7407805280000002</v>
      </c>
      <c r="AR992" s="10">
        <v>5</v>
      </c>
      <c r="AS992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-1.4072649572649572</v>
      </c>
      <c r="AT992" s="17">
        <f>tbl_MTG_Set[[#This Row],[Play Booster CardMarket Profit]]/tbl_MTG_Set[[#This Row],[Play Booster Cost]]</f>
        <v>-0.32712701186395682</v>
      </c>
      <c r="AU992" s="10" t="e">
        <f>_xlfn.XLOOKUP(tbl_MTG_Set[[#This Row],[Collector Booster Box Product Id]], tbl_Product[Product Id], tbl_Product[Min Cost])</f>
        <v>#N/A</v>
      </c>
      <c r="AV992" s="10" t="e">
        <f>_xlfn.XLOOKUP(tbl_MTG_Set[[#This Row],[Collector Booster Box Product Id]], tbl_Product[Product Id], tbl_Product[Best Source])</f>
        <v>#N/A</v>
      </c>
      <c r="AW992" s="4" t="e">
        <f>_xlfn.XLOOKUP(tbl_MTG_Set[[#This Row],[Collector Booster Box Product Id]], tbl_Product[Product Id], tbl_Product[Pack Size])</f>
        <v>#N/A</v>
      </c>
      <c r="AX992" s="10" t="e">
        <f>(tbl_MTG_Set[[#This Row],[Collector Booster Box Cost]] + v_Item_Shipping_Cost_In) / tbl_MTG_Set[[#This Row],[Collector Booster Box Size]]</f>
        <v>#N/A</v>
      </c>
      <c r="AY992" s="10" t="str" cm="1">
        <f t="array" ref="AY99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/>
      </c>
      <c r="AZ992" s="10"/>
      <c r="BA99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-999</v>
      </c>
      <c r="BB992" s="17" t="e">
        <f>tbl_MTG_Set[[#This Row],[Collector Booster CardMarket Profit]]/tbl_MTG_Set[[#This Row],[Collector Booster Cost]]</f>
        <v>#N/A</v>
      </c>
      <c r="BC992" s="15" t="s">
        <v>1169</v>
      </c>
      <c r="BD992" s="11">
        <v>1.55</v>
      </c>
      <c r="BE992" s="11">
        <v>5.92</v>
      </c>
      <c r="BF992" s="11">
        <f>tbl_MTG_Set[[#This Row],[Play Booster Sell Price CardMarket]]*tbl_MTG_Set[[#This Row],[Play Booster Expected Market Value MTG Stocks]]/tbl_MTG_Set[[#This Row],[Play Booster Sealed Market Value MTG Stocks]]</f>
        <v>0.97942733418918926</v>
      </c>
      <c r="BG99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-4.1686181510757674</v>
      </c>
      <c r="BH992" s="11">
        <f>tbl_MTG_Set[[#This Row],[Play Singles CardMarket Profit MTG Stocks]]/tbl_MTG_Set[[#This Row],[Play Booster Cost]]</f>
        <v>-0.96901979426360407</v>
      </c>
      <c r="BI992" s="11" t="b">
        <f>tbl_MTG_Set[[#This Row],[Play Singles CardMarket Profit MTG Stocks]]&gt;0</f>
        <v>0</v>
      </c>
      <c r="BJ992" s="21" t="s">
        <v>1170</v>
      </c>
      <c r="BM992" s="10" t="e">
        <f>tbl_MTG_Set[[#This Row],[Play Booster Sell Price CardMarket]]*tbl_MTG_Set[[#This Row],[Play Booster Expected Market Value BotBox]]/tbl_MTG_Set[[#This Row],[Play Booster Sealed Market Value BotBox]]</f>
        <v>#DIV/0!</v>
      </c>
      <c r="BN99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992" s="17">
        <f>tbl_MTG_Set[[#This Row],[Play Singles CardMarket Profit BotBox]]/tbl_MTG_Set[[#This Row],[Play Booster Cost]]</f>
        <v>-232.22342257937973</v>
      </c>
      <c r="BP992" s="10" t="b">
        <f>tbl_MTG_Set[[#This Row],[Play Singles CardMarket Profit BotBox]]&gt;0</f>
        <v>0</v>
      </c>
      <c r="BQ992" s="10"/>
      <c r="BR992" s="10"/>
      <c r="BS992" s="10"/>
      <c r="BT992" s="10" t="e">
        <f>tbl_MTG_Set[[#This Row],[Collector Booster Sell Price CardMarket]]*tbl_MTG_Set[[#This Row],[Collector Booster Expected Market Value MTG Stocks]]/tbl_MTG_Set[[#This Row],[Collector Booster Sealed Market Value MTG Stocks]]</f>
        <v>#VALUE!</v>
      </c>
      <c r="BU99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2" s="19" t="e">
        <f>tbl_MTG_Set[[#This Row],[Collector Singles CardMarket Profit MTG Stocks]]/tbl_MTG_Set[[#This Row],[Collector Booster Cost]]</f>
        <v>#N/A</v>
      </c>
      <c r="BW992" s="10" t="b">
        <f>tbl_MTG_Set[[#This Row],[Collector Singles CardMarket Profit MTG Stocks]]&gt;0</f>
        <v>0</v>
      </c>
      <c r="BX992" s="10"/>
      <c r="BY992" s="10"/>
      <c r="BZ992" s="10" t="e">
        <f>tbl_MTG_Set[[#This Row],[Collector Booster Sell Price CardMarket]]*tbl_MTG_Set[[#This Row],[Collector Booster Expected Market Value BotBox]]/tbl_MTG_Set[[#This Row],[Collector Booster Sealed Market Value BotBox]]</f>
        <v>#VALUE!</v>
      </c>
      <c r="CA99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992" s="17" t="e">
        <f>tbl_MTG_Set[[#This Row],[Collector Singles CardMarket Profit BotBox]]/tbl_MTG_Set[[#This Row],[Collector Booster Cost]]</f>
        <v>#N/A</v>
      </c>
      <c r="CC992" s="10" t="b">
        <f>tbl_MTG_Set[[#This Row],[Collector Singles CardMarket Profit BotBox]]&gt;0</f>
        <v>0</v>
      </c>
      <c r="CD99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99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99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-1.4072649572649572</v>
      </c>
      <c r="CG99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</v>
      </c>
    </row>
    <row r="993" spans="1:86">
      <c r="A993">
        <v>90</v>
      </c>
      <c r="B993" t="s">
        <v>1171</v>
      </c>
      <c r="C993">
        <v>398</v>
      </c>
      <c r="D993" s="3">
        <v>45506</v>
      </c>
      <c r="E993" t="s">
        <v>59</v>
      </c>
      <c r="F993" t="s">
        <v>174</v>
      </c>
      <c r="G993">
        <v>126</v>
      </c>
      <c r="H993">
        <f ca="1">MONTH(NOW())+12*YEAR(NOW())-MONTH(tbl_MTG_Set[[#This Row],[Released On]])-12*YEAR(tbl_MTG_Set[[#This Row],[Released On]])</f>
        <v>19</v>
      </c>
      <c r="I993">
        <f>_xlfn.XLOOKUP(tbl_MTG_Set[[#This Row],[Type Name]], tbl_MTG_Set_Type[Set Type], tbl_MTG_Set_Type[Index], "(Set Type not found)")</f>
        <v>1</v>
      </c>
      <c r="J993">
        <f>_xlfn.XLOOKUP(tbl_MTG_Set[[#This Row],[Type Name]], tbl_MTG_Set_Type[Set Type], tbl_MTG_Set_Type[Buy Window Month Start], "(Set Type not found)")</f>
        <v>18</v>
      </c>
      <c r="K993" s="3">
        <f>tbl_MTG_Set[[#This Row],[Released On]]+tbl_MTG_Set[[#This Row],[Buy Window Month Start]]*365.25/12</f>
        <v>46053.875</v>
      </c>
      <c r="L993">
        <f>_xlfn.XLOOKUP(tbl_MTG_Set[[#This Row],[Type Name]], tbl_MTG_Set_Type[Set Type], tbl_MTG_Set_Type[Buy Window Month End], "(Set Type not found)", 0, 1)</f>
        <v>24</v>
      </c>
      <c r="M993" s="3">
        <f>tbl_MTG_Set[[#This Row],[Released On]]+tbl_MTG_Set[[#This Row],[Buy Window Month End]]*365.25/12</f>
        <v>46236.5</v>
      </c>
      <c r="N993" s="3" t="b">
        <f ca="1">AND(NOW()&gt;=tbl_MTG_Set[[#This Row],[Buy Window Start]], NOW()&lt;=tbl_MTG_Set[[#This Row],[Buy Window End]])</f>
        <v>1</v>
      </c>
      <c r="O993">
        <f>_xlfn.XLOOKUP(tbl_MTG_Set[[#This Row],[Type Name]], tbl_MTG_Set_Type[Set Type], tbl_MTG_Set_Type[Heavy Printing Window Month Start], "(Set Type not found)", 0, 1)</f>
        <v>1</v>
      </c>
      <c r="P993" s="3">
        <f>tbl_MTG_Set[[#This Row],[Released On]]+tbl_MTG_Set[[#This Row],[Heavy Printing Window Month Start]]*365.25/12</f>
        <v>45536.4375</v>
      </c>
      <c r="Q993">
        <f>_xlfn.XLOOKUP(tbl_MTG_Set[[#This Row],[Type Name]], tbl_MTG_Set_Type[Set Type], tbl_MTG_Set_Type[Heavy Printing Window Month End], "(Set Type not found)", 0, 1)</f>
        <v>18</v>
      </c>
      <c r="R993" s="3">
        <f>tbl_MTG_Set[[#This Row],[Released On]]+tbl_MTG_Set[[#This Row],[Heavy Printing Window Month End]]*365.25/12</f>
        <v>46053.875</v>
      </c>
      <c r="S993" s="3" t="b">
        <f ca="1">AND(NOW()&gt;=tbl_MTG_Set[[#This Row],[Heavy Printing Window Start]], NOW()&lt;=tbl_MTG_Set[[#This Row],[Heavy Printing Window End]])</f>
        <v>0</v>
      </c>
      <c r="T993">
        <f>_xlfn.XLOOKUP(tbl_MTG_Set[[#This Row],[Type Name]], tbl_MTG_Set_Type[Set Type], tbl_MTG_Set_Type[Sell Window Month Start], "(Set Type not found)", 0, 1)</f>
        <v>36</v>
      </c>
      <c r="U993" s="3">
        <f>tbl_MTG_Set[[#This Row],[Released On]]+tbl_MTG_Set[[#This Row],[Sell Window Month Start]]*365.25/12</f>
        <v>46601.75</v>
      </c>
      <c r="V993">
        <f>_xlfn.XLOOKUP(tbl_MTG_Set[[#This Row],[Type Name]], tbl_MTG_Set_Type[Set Type], tbl_MTG_Set_Type[Sell Window Month End], "(Set Type not found)", 0, 1)</f>
        <v>48</v>
      </c>
      <c r="W993" s="3">
        <f>tbl_MTG_Set[[#This Row],[Released On]]+tbl_MTG_Set[[#This Row],[Sell Window Month End]]*365.25/12</f>
        <v>46967</v>
      </c>
      <c r="X993" s="3" t="b">
        <f ca="1">AND(NOW()&gt;=tbl_MTG_Set[[#This Row],[Sell Window Start]], NOW()&lt;=tbl_MTG_Set[[#This Row],[Sell Window End]])</f>
        <v>0</v>
      </c>
      <c r="Y993" s="10">
        <f>20*6+8</f>
        <v>128</v>
      </c>
      <c r="Z993" s="10">
        <v>133</v>
      </c>
      <c r="AD993" s="10">
        <f>(Y993+96/20)/36</f>
        <v>3.6888888888888891</v>
      </c>
      <c r="AE993" s="10">
        <f>(Z993+96/20)/36</f>
        <v>3.8277777777777779</v>
      </c>
      <c r="AG993" s="10"/>
      <c r="AH993" s="10"/>
      <c r="AI993" s="4">
        <v>79</v>
      </c>
      <c r="AJ993" s="4">
        <v>34</v>
      </c>
      <c r="AK993" s="4">
        <v>90</v>
      </c>
      <c r="AL993" s="4">
        <v>89</v>
      </c>
      <c r="AM993" s="10" cm="1">
        <f t="array" ref="AM99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135</v>
      </c>
      <c r="AN993" s="10" t="str" cm="1">
        <f t="array" ref="AN99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Jet Cards</v>
      </c>
      <c r="AO993" s="4">
        <f>_xlfn.XLOOKUP(tbl_MTG_Set[[#This Row],[Play Booster Box Product Id]], tbl_Product[Product Id], tbl_Product[Pack Size])</f>
        <v>36</v>
      </c>
      <c r="AP993" s="10">
        <f>(tbl_MTG_Set[[#This Row],[Play Booster Box Cost]]+v_Item_Shipping_Cost_In)/tbl_MTG_Set[[#This Row],[Play Booster Box Size]]</f>
        <v>4.0888888888888886</v>
      </c>
      <c r="AQ993" s="10" cm="1">
        <f t="array" ref="AQ99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5.1761963119999992</v>
      </c>
      <c r="AR993" s="10">
        <v>6</v>
      </c>
      <c r="AS993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0.24115357695726436</v>
      </c>
      <c r="AT993" s="17">
        <f>tbl_MTG_Set[[#This Row],[Play Booster CardMarket Profit]]/tbl_MTG_Set[[#This Row],[Play Booster Cost]]</f>
        <v>5.8977776973244009E-2</v>
      </c>
      <c r="AU993" s="10">
        <f>_xlfn.XLOOKUP(tbl_MTG_Set[[#This Row],[Collector Booster Box Product Id]], tbl_Product[Product Id], tbl_Product[Min Cost])</f>
        <v>877.34</v>
      </c>
      <c r="AV993" s="10" t="str">
        <f>_xlfn.XLOOKUP(tbl_MTG_Set[[#This Row],[Collector Booster Box Product Id]], tbl_Product[Product Id], tbl_Product[Best Source])</f>
        <v>Card Market</v>
      </c>
      <c r="AW993" s="4">
        <f>_xlfn.XLOOKUP(tbl_MTG_Set[[#This Row],[Collector Booster Box Product Id]], tbl_Product[Product Id], tbl_Product[Pack Size])</f>
        <v>12</v>
      </c>
      <c r="AX993" s="10">
        <f>(tbl_MTG_Set[[#This Row],[Collector Booster Box Cost]] + v_Item_Shipping_Cost_In) / tbl_MTG_Set[[#This Row],[Collector Booster Box Size]]</f>
        <v>74.128333333333345</v>
      </c>
      <c r="AY993" s="10" cm="1">
        <f t="array" ref="AY99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82.688648647999997</v>
      </c>
      <c r="AZ993" s="10"/>
      <c r="BA99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7.7141614685128062</v>
      </c>
      <c r="BB993" s="17">
        <f>tbl_MTG_Set[[#This Row],[Collector Booster CardMarket Profit]]/tbl_MTG_Set[[#This Row],[Collector Booster Cost]]</f>
        <v>0.10406495224740164</v>
      </c>
      <c r="BC993" s="15" t="s">
        <v>1172</v>
      </c>
      <c r="BD993" s="11">
        <v>7.37</v>
      </c>
      <c r="BE993" s="11">
        <v>8.74</v>
      </c>
      <c r="BF993" s="11">
        <f>tbl_MTG_Set[[#This Row],[Play Booster Sell Price CardMarket]]*tbl_MTG_Set[[#This Row],[Play Booster Expected Market Value MTG Stocks]]/tbl_MTG_Set[[#This Row],[Play Booster Sealed Market Value MTG Stocks]]</f>
        <v>4.3648245788832938</v>
      </c>
      <c r="BG99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-0.57021815615944105</v>
      </c>
      <c r="BH993" s="11">
        <f>tbl_MTG_Set[[#This Row],[Play Singles CardMarket Profit MTG Stocks]]/tbl_MTG_Set[[#This Row],[Play Booster Cost]]</f>
        <v>-0.13945552732160243</v>
      </c>
      <c r="BI993" s="11" t="b">
        <f>tbl_MTG_Set[[#This Row],[Play Singles CardMarket Profit MTG Stocks]]&gt;0</f>
        <v>0</v>
      </c>
      <c r="BJ993" s="21" t="s">
        <v>1173</v>
      </c>
      <c r="BK993" s="11">
        <v>4.8</v>
      </c>
      <c r="BL993" s="11">
        <v>8.9700000000000006</v>
      </c>
      <c r="BM993" s="10">
        <f>tbl_MTG_Set[[#This Row],[Play Booster Sell Price CardMarket]]*tbl_MTG_Set[[#This Row],[Play Booster Expected Market Value BotBox]]/tbl_MTG_Set[[#This Row],[Play Booster Sealed Market Value BotBox]]</f>
        <v>2.76987093618729</v>
      </c>
      <c r="BN99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-2.1651717988554449</v>
      </c>
      <c r="BO993" s="17">
        <f>tbl_MTG_Set[[#This Row],[Play Singles CardMarket Profit BotBox]]/tbl_MTG_Set[[#This Row],[Play Booster Cost]]</f>
        <v>-0.52952571167660345</v>
      </c>
      <c r="BP993" s="10" t="b">
        <f>tbl_MTG_Set[[#This Row],[Play Singles CardMarket Profit BotBox]]&gt;0</f>
        <v>0</v>
      </c>
      <c r="BQ993" s="15" t="s">
        <v>1174</v>
      </c>
      <c r="BR993" s="10">
        <v>27.68</v>
      </c>
      <c r="BS993" s="10">
        <v>74.58</v>
      </c>
      <c r="BT993" s="10">
        <f>tbl_MTG_Set[[#This Row],[Collector Booster Sell Price CardMarket]]*tbl_MTG_Set[[#This Row],[Collector Booster Expected Market Value MTG Stocks]]/tbl_MTG_Set[[#This Row],[Collector Booster Sealed Market Value MTG Stocks]]</f>
        <v>30.689485043934567</v>
      </c>
      <c r="BU99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-44.285002135552624</v>
      </c>
      <c r="BV993" s="19">
        <f>tbl_MTG_Set[[#This Row],[Collector Singles CardMarket Profit MTG Stocks]]/tbl_MTG_Set[[#This Row],[Collector Booster Cost]]</f>
        <v>-0.59740992605912202</v>
      </c>
      <c r="BW993" s="10" t="b">
        <f>tbl_MTG_Set[[#This Row],[Collector Singles CardMarket Profit MTG Stocks]]&gt;0</f>
        <v>0</v>
      </c>
      <c r="BX993" s="10">
        <v>29.52</v>
      </c>
      <c r="BY993" s="10">
        <v>84.99</v>
      </c>
      <c r="BZ993" s="10">
        <f>tbl_MTG_Set[[#This Row],[Collector Booster Sell Price CardMarket]]*tbl_MTG_Set[[#This Row],[Collector Booster Expected Market Value BotBox]]/tbl_MTG_Set[[#This Row],[Collector Booster Sealed Market Value BotBox]]</f>
        <v>28.720660172831625</v>
      </c>
      <c r="CA99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-46.253827006655563</v>
      </c>
      <c r="CB993" s="17">
        <f>tbl_MTG_Set[[#This Row],[Collector Singles CardMarket Profit BotBox]]/tbl_MTG_Set[[#This Row],[Collector Booster Cost]]</f>
        <v>-0.62396960685283032</v>
      </c>
      <c r="CC993" s="10" t="b">
        <f>tbl_MTG_Set[[#This Row],[Collector Singles CardMarket Profit BotBox]]&gt;0</f>
        <v>0</v>
      </c>
      <c r="CD99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7.7141614685128062</v>
      </c>
      <c r="CG99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0.10406495224740164</v>
      </c>
    </row>
    <row r="994" spans="1:86">
      <c r="A994">
        <v>163</v>
      </c>
      <c r="B994" t="s">
        <v>1175</v>
      </c>
      <c r="C994">
        <v>1067</v>
      </c>
      <c r="D994" s="3">
        <v>45142</v>
      </c>
      <c r="E994" t="s">
        <v>72</v>
      </c>
      <c r="F994" t="s">
        <v>174</v>
      </c>
      <c r="G994">
        <v>272</v>
      </c>
      <c r="H994">
        <f ca="1">MONTH(NOW())+12*YEAR(NOW())-MONTH(tbl_MTG_Set[[#This Row],[Released On]])-12*YEAR(tbl_MTG_Set[[#This Row],[Released On]])</f>
        <v>31</v>
      </c>
      <c r="I994">
        <f>_xlfn.XLOOKUP(tbl_MTG_Set[[#This Row],[Type Name]], tbl_MTG_Set_Type[Set Type], tbl_MTG_Set_Type[Index], "(Set Type not found)")</f>
        <v>3</v>
      </c>
      <c r="J994">
        <f>_xlfn.XLOOKUP(tbl_MTG_Set[[#This Row],[Type Name]], tbl_MTG_Set_Type[Set Type], tbl_MTG_Set_Type[Buy Window Month Start], "(Set Type not found)")</f>
        <v>0</v>
      </c>
      <c r="K994" s="3">
        <f>tbl_MTG_Set[[#This Row],[Released On]]+tbl_MTG_Set[[#This Row],[Buy Window Month Start]]*365.25/12</f>
        <v>45142</v>
      </c>
      <c r="L994">
        <f>_xlfn.XLOOKUP(tbl_MTG_Set[[#This Row],[Type Name]], tbl_MTG_Set_Type[Set Type], tbl_MTG_Set_Type[Buy Window Month End], "(Set Type not found)", 0, 1)</f>
        <v>0</v>
      </c>
      <c r="M994" s="3">
        <f>tbl_MTG_Set[[#This Row],[Released On]]+tbl_MTG_Set[[#This Row],[Buy Window Month End]]*365.25/12</f>
        <v>45142</v>
      </c>
      <c r="N994" s="3" t="b">
        <f ca="1">AND(NOW()&gt;=tbl_MTG_Set[[#This Row],[Buy Window Start]], NOW()&lt;=tbl_MTG_Set[[#This Row],[Buy Window End]])</f>
        <v>0</v>
      </c>
      <c r="O994">
        <f>_xlfn.XLOOKUP(tbl_MTG_Set[[#This Row],[Type Name]], tbl_MTG_Set_Type[Set Type], tbl_MTG_Set_Type[Heavy Printing Window Month Start], "(Set Type not found)", 0, 1)</f>
        <v>6</v>
      </c>
      <c r="P994" s="3">
        <f>tbl_MTG_Set[[#This Row],[Released On]]+tbl_MTG_Set[[#This Row],[Heavy Printing Window Month Start]]*365.25/12</f>
        <v>45324.625</v>
      </c>
      <c r="Q994">
        <f>_xlfn.XLOOKUP(tbl_MTG_Set[[#This Row],[Type Name]], tbl_MTG_Set_Type[Set Type], tbl_MTG_Set_Type[Heavy Printing Window Month End], "(Set Type not found)", 0, 1)</f>
        <v>12</v>
      </c>
      <c r="R994" s="3">
        <f>tbl_MTG_Set[[#This Row],[Released On]]+tbl_MTG_Set[[#This Row],[Heavy Printing Window Month End]]*365.25/12</f>
        <v>45507.25</v>
      </c>
      <c r="S994" s="3" t="b">
        <f ca="1">AND(NOW()&gt;=tbl_MTG_Set[[#This Row],[Heavy Printing Window Start]], NOW()&lt;=tbl_MTG_Set[[#This Row],[Heavy Printing Window End]])</f>
        <v>0</v>
      </c>
      <c r="T994">
        <f>_xlfn.XLOOKUP(tbl_MTG_Set[[#This Row],[Type Name]], tbl_MTG_Set_Type[Set Type], tbl_MTG_Set_Type[Sell Window Month Start], "(Set Type not found)", 0, 1)</f>
        <v>24</v>
      </c>
      <c r="U994" s="3">
        <f>tbl_MTG_Set[[#This Row],[Released On]]+tbl_MTG_Set[[#This Row],[Sell Window Month Start]]*365.25/12</f>
        <v>45872.5</v>
      </c>
      <c r="V994">
        <f>_xlfn.XLOOKUP(tbl_MTG_Set[[#This Row],[Type Name]], tbl_MTG_Set_Type[Set Type], tbl_MTG_Set_Type[Sell Window Month End], "(Set Type not found)", 0, 1)</f>
        <v>60</v>
      </c>
      <c r="W994" s="3">
        <f>tbl_MTG_Set[[#This Row],[Released On]]+tbl_MTG_Set[[#This Row],[Sell Window Month End]]*365.25/12</f>
        <v>46968.25</v>
      </c>
      <c r="X994" s="3" t="b">
        <f ca="1">AND(NOW()&gt;=tbl_MTG_Set[[#This Row],[Sell Window Start]], NOW()&lt;=tbl_MTG_Set[[#This Row],[Sell Window End]])</f>
        <v>1</v>
      </c>
      <c r="Y994" s="10">
        <v>368</v>
      </c>
      <c r="Z994" s="10">
        <v>395</v>
      </c>
      <c r="AD994" s="10">
        <f>(Y994+96/20)/24</f>
        <v>15.533333333333333</v>
      </c>
      <c r="AE994" s="10">
        <f>(Z994+96/20)/24</f>
        <v>16.658333333333335</v>
      </c>
      <c r="AF994" s="10">
        <f>(AA994+96/20)/24</f>
        <v>0.19999999999999998</v>
      </c>
      <c r="AG994" s="10">
        <f>(AB994+96/20)/24</f>
        <v>0.19999999999999998</v>
      </c>
      <c r="AH994" s="10">
        <f>(AC994+96/20)/24</f>
        <v>0.19999999999999998</v>
      </c>
      <c r="AI994" s="4">
        <v>52</v>
      </c>
      <c r="AJ994" s="4">
        <v>7</v>
      </c>
      <c r="AK994" s="4">
        <v>92</v>
      </c>
      <c r="AL994" s="4">
        <v>91</v>
      </c>
      <c r="AM994" s="10" cm="1">
        <f t="array" ref="AM99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380</v>
      </c>
      <c r="AN994" s="10" t="str" cm="1">
        <f t="array" ref="AN99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Double Sleeved</v>
      </c>
      <c r="AO994" s="4">
        <f>_xlfn.XLOOKUP(tbl_MTG_Set[[#This Row],[Play Booster Box Product Id]], tbl_Product[Product Id], tbl_Product[Pack Size])</f>
        <v>24</v>
      </c>
      <c r="AP994" s="10">
        <f>(tbl_MTG_Set[[#This Row],[Play Booster Box Cost]]+v_Item_Shipping_Cost_In)/tbl_MTG_Set[[#This Row],[Play Booster Box Size]]</f>
        <v>16.341666666666665</v>
      </c>
      <c r="AQ994" s="10" cm="1">
        <f t="array" ref="AQ99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17.572968992</v>
      </c>
      <c r="AR994" s="10">
        <v>20</v>
      </c>
      <c r="AS994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0.38514847917948858</v>
      </c>
      <c r="AT994" s="17">
        <f>tbl_MTG_Set[[#This Row],[Play Booster CardMarket Profit]]/tbl_MTG_Set[[#This Row],[Play Booster Cost]]</f>
        <v>2.356849439140165E-2</v>
      </c>
      <c r="AU994" s="10">
        <f>_xlfn.XLOOKUP(tbl_MTG_Set[[#This Row],[Collector Booster Box Product Id]], tbl_Product[Product Id], tbl_Product[Min Cost])</f>
        <v>318.54484000000002</v>
      </c>
      <c r="AV994" s="10" t="str">
        <f>_xlfn.XLOOKUP(tbl_MTG_Set[[#This Row],[Collector Booster Box Product Id]], tbl_Product[Product Id], tbl_Product[Best Source])</f>
        <v>Card Market</v>
      </c>
      <c r="AW994" s="4">
        <f>_xlfn.XLOOKUP(tbl_MTG_Set[[#This Row],[Collector Booster Box Product Id]], tbl_Product[Product Id], tbl_Product[Pack Size])</f>
        <v>4</v>
      </c>
      <c r="AX994" s="10">
        <f>(tbl_MTG_Set[[#This Row],[Collector Booster Box Cost]] + v_Item_Shipping_Cost_In) / tbl_MTG_Set[[#This Row],[Collector Booster Box Size]]</f>
        <v>82.686210000000003</v>
      </c>
      <c r="AY994" s="10" cm="1">
        <f t="array" ref="AY99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113.76322549919999</v>
      </c>
      <c r="AZ994" s="10"/>
      <c r="BA99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30.230861653046141</v>
      </c>
      <c r="BB994" s="17">
        <f>tbl_MTG_Set[[#This Row],[Collector Booster CardMarket Profit]]/tbl_MTG_Set[[#This Row],[Collector Booster Cost]]</f>
        <v>0.36560947288606094</v>
      </c>
      <c r="BC994" s="10"/>
      <c r="BF994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99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94" s="19">
        <f>tbl_MTG_Set[[#This Row],[Play Singles CardMarket Profit MTG Stocks]]/tbl_MTG_Set[[#This Row],[Play Booster Cost]]</f>
        <v>-61.132075471698123</v>
      </c>
      <c r="BI994" s="11" t="b">
        <f>tbl_MTG_Set[[#This Row],[Play Singles CardMarket Profit MTG Stocks]]&gt;0</f>
        <v>0</v>
      </c>
      <c r="BJ994" s="21" t="s">
        <v>1176</v>
      </c>
      <c r="BK994" s="11">
        <v>17.920000000000002</v>
      </c>
      <c r="BL994" s="11">
        <v>29.94</v>
      </c>
      <c r="BM994" s="10">
        <f>tbl_MTG_Set[[#This Row],[Play Booster Sell Price CardMarket]]*tbl_MTG_Set[[#This Row],[Play Booster Expected Market Value BotBox]]/tbl_MTG_Set[[#This Row],[Play Booster Sealed Market Value BotBox]]</f>
        <v>10.517956056668003</v>
      </c>
      <c r="BN99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-6.6698644561525082</v>
      </c>
      <c r="BO994" s="17">
        <f>tbl_MTG_Set[[#This Row],[Play Singles CardMarket Profit BotBox]]/tbl_MTG_Set[[#This Row],[Play Booster Cost]]</f>
        <v>-0.40815080812763949</v>
      </c>
      <c r="BP994" s="10" t="b">
        <f>tbl_MTG_Set[[#This Row],[Play Singles CardMarket Profit BotBox]]&gt;0</f>
        <v>0</v>
      </c>
      <c r="BQ994" s="15" t="s">
        <v>1177</v>
      </c>
      <c r="BR994" s="10"/>
      <c r="BS994" s="10"/>
      <c r="BT994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99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4" s="19">
        <f>tbl_MTG_Set[[#This Row],[Collector Singles CardMarket Profit MTG Stocks]]/tbl_MTG_Set[[#This Row],[Collector Booster Cost]]</f>
        <v>-12.081821140429582</v>
      </c>
      <c r="BW994" s="10" t="b">
        <f>tbl_MTG_Set[[#This Row],[Collector Singles CardMarket Profit MTG Stocks]]&gt;0</f>
        <v>0</v>
      </c>
      <c r="BX994" s="10">
        <v>60.3</v>
      </c>
      <c r="BY994" s="10">
        <v>83.99</v>
      </c>
      <c r="BZ994" s="10">
        <f>tbl_MTG_Set[[#This Row],[Collector Booster Sell Price CardMarket]]*tbl_MTG_Set[[#This Row],[Collector Booster Expected Market Value BotBox]]/tbl_MTG_Set[[#This Row],[Collector Booster Sealed Market Value BotBox]]</f>
        <v>81.675467288983924</v>
      </c>
      <c r="CA99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-1.8568965571699247</v>
      </c>
      <c r="CB994" s="17">
        <f>tbl_MTG_Set[[#This Row],[Collector Singles CardMarket Profit BotBox]]/tbl_MTG_Set[[#This Row],[Collector Booster Cost]]</f>
        <v>-2.2457149229235741E-2</v>
      </c>
      <c r="CC994" s="10" t="b">
        <f>tbl_MTG_Set[[#This Row],[Collector Singles CardMarket Profit BotBox]]&gt;0</f>
        <v>0</v>
      </c>
      <c r="CD99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30.230861653046141</v>
      </c>
      <c r="CG99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0.36560947288606094</v>
      </c>
    </row>
    <row r="995" spans="1:86">
      <c r="A995">
        <v>20</v>
      </c>
      <c r="B995" t="s">
        <v>1178</v>
      </c>
      <c r="C995">
        <v>286</v>
      </c>
      <c r="D995" s="3">
        <v>45926</v>
      </c>
      <c r="E995" t="s">
        <v>86</v>
      </c>
      <c r="F995" t="s">
        <v>174</v>
      </c>
      <c r="G995">
        <v>21</v>
      </c>
      <c r="H995">
        <f ca="1">MONTH(NOW())+12*YEAR(NOW())-MONTH(tbl_MTG_Set[[#This Row],[Released On]])-12*YEAR(tbl_MTG_Set[[#This Row],[Released On]])</f>
        <v>6</v>
      </c>
      <c r="I995">
        <f>_xlfn.XLOOKUP(tbl_MTG_Set[[#This Row],[Type Name]], tbl_MTG_Set_Type[Set Type], tbl_MTG_Set_Type[Index], "(Set Type not found)")</f>
        <v>6</v>
      </c>
      <c r="J995">
        <f>_xlfn.XLOOKUP(tbl_MTG_Set[[#This Row],[Type Name]], tbl_MTG_Set_Type[Set Type], tbl_MTG_Set_Type[Buy Window Month Start], "(Set Type not found)")</f>
        <v>3</v>
      </c>
      <c r="K995" s="3">
        <f>tbl_MTG_Set[[#This Row],[Released On]]+tbl_MTG_Set[[#This Row],[Buy Window Month Start]]*365.25/12</f>
        <v>46017.3125</v>
      </c>
      <c r="L995">
        <f>_xlfn.XLOOKUP(tbl_MTG_Set[[#This Row],[Type Name]], tbl_MTG_Set_Type[Set Type], tbl_MTG_Set_Type[Buy Window Month End], "(Set Type not found)", 0, 1)</f>
        <v>6</v>
      </c>
      <c r="M995" s="3">
        <f>tbl_MTG_Set[[#This Row],[Released On]]+tbl_MTG_Set[[#This Row],[Buy Window Month End]]*365.25/12</f>
        <v>46108.625</v>
      </c>
      <c r="N995" s="3" t="b">
        <f ca="1">AND(NOW()&gt;=tbl_MTG_Set[[#This Row],[Buy Window Start]], NOW()&lt;=tbl_MTG_Set[[#This Row],[Buy Window End]])</f>
        <v>1</v>
      </c>
      <c r="O995">
        <f>_xlfn.XLOOKUP(tbl_MTG_Set[[#This Row],[Type Name]], tbl_MTG_Set_Type[Set Type], tbl_MTG_Set_Type[Heavy Printing Window Month Start], "(Set Type not found)", 0, 1)</f>
        <v>0</v>
      </c>
      <c r="P995" s="3">
        <f>tbl_MTG_Set[[#This Row],[Released On]]+tbl_MTG_Set[[#This Row],[Heavy Printing Window Month Start]]*365.25/12</f>
        <v>45926</v>
      </c>
      <c r="Q995">
        <f>_xlfn.XLOOKUP(tbl_MTG_Set[[#This Row],[Type Name]], tbl_MTG_Set_Type[Set Type], tbl_MTG_Set_Type[Heavy Printing Window Month End], "(Set Type not found)", 0, 1)</f>
        <v>0</v>
      </c>
      <c r="R995" s="3">
        <f>tbl_MTG_Set[[#This Row],[Released On]]+tbl_MTG_Set[[#This Row],[Heavy Printing Window Month End]]*365.25/12</f>
        <v>45926</v>
      </c>
      <c r="S995" s="3" t="b">
        <f ca="1">AND(NOW()&gt;=tbl_MTG_Set[[#This Row],[Heavy Printing Window Start]], NOW()&lt;=tbl_MTG_Set[[#This Row],[Heavy Printing Window End]])</f>
        <v>0</v>
      </c>
      <c r="T995">
        <f>_xlfn.XLOOKUP(tbl_MTG_Set[[#This Row],[Type Name]], tbl_MTG_Set_Type[Set Type], tbl_MTG_Set_Type[Sell Window Month Start], "(Set Type not found)", 0, 1)</f>
        <v>0</v>
      </c>
      <c r="U995" s="3">
        <f>tbl_MTG_Set[[#This Row],[Released On]]+tbl_MTG_Set[[#This Row],[Sell Window Month Start]]*365.25/12</f>
        <v>45926</v>
      </c>
      <c r="V995">
        <f>_xlfn.XLOOKUP(tbl_MTG_Set[[#This Row],[Type Name]], tbl_MTG_Set_Type[Set Type], tbl_MTG_Set_Type[Sell Window Month End], "(Set Type not found)", 0, 1)</f>
        <v>0</v>
      </c>
      <c r="W995" s="3">
        <f>tbl_MTG_Set[[#This Row],[Released On]]+tbl_MTG_Set[[#This Row],[Sell Window Month End]]*365.25/12</f>
        <v>45926</v>
      </c>
      <c r="X995" s="3" t="b">
        <f ca="1">AND(NOW()&gt;=tbl_MTG_Set[[#This Row],[Sell Window Start]], NOW()&lt;=tbl_MTG_Set[[#This Row],[Sell Window End]])</f>
        <v>0</v>
      </c>
      <c r="Y995" s="10">
        <v>91</v>
      </c>
      <c r="Z995" s="10">
        <v>150</v>
      </c>
      <c r="AA995" s="10">
        <v>100</v>
      </c>
      <c r="AC995" s="10">
        <v>135</v>
      </c>
      <c r="AD995" s="10">
        <f>(Y995+96/20)/30</f>
        <v>3.1933333333333334</v>
      </c>
      <c r="AE995" s="10">
        <f>(Z995+96/20)/30</f>
        <v>5.16</v>
      </c>
      <c r="AF995" s="10">
        <f>($AA$630+96/20)/30</f>
        <v>0.16</v>
      </c>
      <c r="AG995" s="10"/>
      <c r="AH995" s="10"/>
      <c r="AI995" s="4">
        <v>64</v>
      </c>
      <c r="AJ995" s="4">
        <v>19</v>
      </c>
      <c r="AK995" s="4">
        <v>118</v>
      </c>
      <c r="AL995" s="4">
        <v>117</v>
      </c>
      <c r="AM995" s="10" cm="1">
        <f t="array" ref="AM99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80</v>
      </c>
      <c r="AN995" s="10" t="str" cm="1">
        <f t="array" ref="AN99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Travelling Man</v>
      </c>
      <c r="AO995" s="4">
        <f>_xlfn.XLOOKUP(tbl_MTG_Set[[#This Row],[Play Booster Box Product Id]], tbl_Product[Product Id], tbl_Product[Pack Size])</f>
        <v>30</v>
      </c>
      <c r="AP995" s="10">
        <f>(tbl_MTG_Set[[#This Row],[Play Booster Box Cost]]+v_Item_Shipping_Cost_In)/tbl_MTG_Set[[#This Row],[Play Booster Box Size]]</f>
        <v>3.0733333333333333</v>
      </c>
      <c r="AQ995" s="10" cm="1">
        <f t="array" ref="AQ99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3.1579147247999999</v>
      </c>
      <c r="AR995" s="10">
        <v>6.5</v>
      </c>
      <c r="AS995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-0.7615724546871796</v>
      </c>
      <c r="AT995" s="17">
        <f>tbl_MTG_Set[[#This Row],[Play Booster CardMarket Profit]]/tbl_MTG_Set[[#This Row],[Play Booster Cost]]</f>
        <v>-0.24780014794593697</v>
      </c>
      <c r="AU995" s="10">
        <f>_xlfn.XLOOKUP(tbl_MTG_Set[[#This Row],[Collector Booster Box Product Id]], tbl_Product[Product Id], tbl_Product[Min Cost])</f>
        <v>280</v>
      </c>
      <c r="AV995" s="10" t="str">
        <f>_xlfn.XLOOKUP(tbl_MTG_Set[[#This Row],[Collector Booster Box Product Id]], tbl_Product[Product Id], tbl_Product[Best Source])</f>
        <v>Wayland Games</v>
      </c>
      <c r="AW995" s="4">
        <f>_xlfn.XLOOKUP(tbl_MTG_Set[[#This Row],[Collector Booster Box Product Id]], tbl_Product[Product Id], tbl_Product[Pack Size])</f>
        <v>12</v>
      </c>
      <c r="AX995" s="10">
        <f>(tbl_MTG_Set[[#This Row],[Collector Booster Box Cost]] + v_Item_Shipping_Cost_In) / tbl_MTG_Set[[#This Row],[Collector Booster Box Size]]</f>
        <v>24.349999999999998</v>
      </c>
      <c r="AY995" s="10" cm="1">
        <f t="array" ref="AY99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25.228519839999997</v>
      </c>
      <c r="AZ995" s="10"/>
      <c r="BA99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3.2365993846152907E-2</v>
      </c>
      <c r="BB995" s="17">
        <f>tbl_MTG_Set[[#This Row],[Collector Booster CardMarket Profit]]/tbl_MTG_Set[[#This Row],[Collector Booster Cost]]</f>
        <v>1.3291989259200374E-3</v>
      </c>
      <c r="BC995" s="15" t="s">
        <v>1179</v>
      </c>
      <c r="BD995" s="11">
        <v>6.14</v>
      </c>
      <c r="BE995" s="11">
        <v>4.66</v>
      </c>
      <c r="BF995" s="11">
        <f>tbl_MTG_Set[[#This Row],[Play Booster Sell Price CardMarket]]*tbl_MTG_Set[[#This Row],[Play Booster Expected Market Value MTG Stocks]]/tbl_MTG_Set[[#This Row],[Play Booster Sealed Market Value MTG Stocks]]</f>
        <v>4.1608575987708152</v>
      </c>
      <c r="BG99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0.24137041928363567</v>
      </c>
      <c r="BH995" s="11">
        <f>tbl_MTG_Set[[#This Row],[Play Singles CardMarket Profit MTG Stocks]]/tbl_MTG_Set[[#This Row],[Play Booster Cost]]</f>
        <v>7.8537012782094046E-2</v>
      </c>
      <c r="BI995" s="11" t="b">
        <f>tbl_MTG_Set[[#This Row],[Play Singles CardMarket Profit MTG Stocks]]&gt;0</f>
        <v>1</v>
      </c>
      <c r="BJ995" s="21" t="s">
        <v>1180</v>
      </c>
      <c r="BK995" s="11">
        <v>1.87</v>
      </c>
      <c r="BL995" s="11">
        <v>5</v>
      </c>
      <c r="BM995" s="10">
        <f>tbl_MTG_Set[[#This Row],[Play Booster Sell Price CardMarket]]*tbl_MTG_Set[[#This Row],[Play Booster Expected Market Value BotBox]]/tbl_MTG_Set[[#This Row],[Play Booster Sealed Market Value BotBox]]</f>
        <v>1.1810601070752</v>
      </c>
      <c r="BN99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-2.7384270724119792</v>
      </c>
      <c r="BO995" s="17">
        <f>tbl_MTG_Set[[#This Row],[Play Singles CardMarket Profit BotBox]]/tbl_MTG_Set[[#This Row],[Play Booster Cost]]</f>
        <v>-0.8910283315874119</v>
      </c>
      <c r="BP995" s="10" t="b">
        <f>tbl_MTG_Set[[#This Row],[Play Singles CardMarket Profit BotBox]]&gt;0</f>
        <v>0</v>
      </c>
      <c r="BQ995" s="15" t="s">
        <v>1181</v>
      </c>
      <c r="BR995" s="10">
        <v>28.08</v>
      </c>
      <c r="BS995" s="10">
        <v>33.39</v>
      </c>
      <c r="BT995" s="10">
        <f>tbl_MTG_Set[[#This Row],[Collector Booster Sell Price CardMarket]]*tbl_MTG_Set[[#This Row],[Collector Booster Expected Market Value MTG Stocks]]/tbl_MTG_Set[[#This Row],[Collector Booster Sealed Market Value MTG Stocks]]</f>
        <v>21.21643717002695</v>
      </c>
      <c r="BU99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-3.9797166761268943</v>
      </c>
      <c r="BV995" s="19">
        <f>tbl_MTG_Set[[#This Row],[Collector Singles CardMarket Profit MTG Stocks]]/tbl_MTG_Set[[#This Row],[Collector Booster Cost]]</f>
        <v>-0.16343805651445154</v>
      </c>
      <c r="BW995" s="10" t="b">
        <f>tbl_MTG_Set[[#This Row],[Collector Singles CardMarket Profit MTG Stocks]]&gt;0</f>
        <v>0</v>
      </c>
      <c r="BX995" s="10">
        <v>19.21</v>
      </c>
      <c r="BY995" s="10">
        <v>33.99</v>
      </c>
      <c r="BZ995" s="10">
        <f>tbl_MTG_Set[[#This Row],[Collector Booster Sell Price CardMarket]]*tbl_MTG_Set[[#This Row],[Collector Booster Expected Market Value BotBox]]/tbl_MTG_Set[[#This Row],[Collector Booster Sealed Market Value BotBox]]</f>
        <v>14.258307329402763</v>
      </c>
      <c r="CA99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-10.937846516751081</v>
      </c>
      <c r="CB995" s="17">
        <f>tbl_MTG_Set[[#This Row],[Collector Singles CardMarket Profit BotBox]]/tbl_MTG_Set[[#This Row],[Collector Booster Cost]]</f>
        <v>-0.44919287543125597</v>
      </c>
      <c r="CC995" s="10" t="b">
        <f>tbl_MTG_Set[[#This Row],[Collector Singles CardMarket Profit BotBox]]&gt;0</f>
        <v>0</v>
      </c>
      <c r="CD99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Singles</v>
      </c>
      <c r="CF99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0.24137041928363567</v>
      </c>
      <c r="CG99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Singles</v>
      </c>
      <c r="CH99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7.8537012782094046E-2</v>
      </c>
    </row>
    <row r="996" spans="1:86">
      <c r="A996">
        <v>170</v>
      </c>
      <c r="B996" t="s">
        <v>1182</v>
      </c>
      <c r="C996">
        <v>856</v>
      </c>
      <c r="D996" s="3">
        <v>45100</v>
      </c>
      <c r="E996" t="s">
        <v>86</v>
      </c>
      <c r="F996" t="s">
        <v>174</v>
      </c>
      <c r="G996">
        <v>286</v>
      </c>
      <c r="H996">
        <f ca="1">MONTH(NOW())+12*YEAR(NOW())-MONTH(tbl_MTG_Set[[#This Row],[Released On]])-12*YEAR(tbl_MTG_Set[[#This Row],[Released On]])</f>
        <v>33</v>
      </c>
      <c r="I996">
        <f>_xlfn.XLOOKUP(tbl_MTG_Set[[#This Row],[Type Name]], tbl_MTG_Set_Type[Set Type], tbl_MTG_Set_Type[Index], "(Set Type not found)")</f>
        <v>6</v>
      </c>
      <c r="J996">
        <f>_xlfn.XLOOKUP(tbl_MTG_Set[[#This Row],[Type Name]], tbl_MTG_Set_Type[Set Type], tbl_MTG_Set_Type[Buy Window Month Start], "(Set Type not found)")</f>
        <v>3</v>
      </c>
      <c r="K996" s="3">
        <f>tbl_MTG_Set[[#This Row],[Released On]]+tbl_MTG_Set[[#This Row],[Buy Window Month Start]]*365.25/12</f>
        <v>45191.3125</v>
      </c>
      <c r="L996">
        <f>_xlfn.XLOOKUP(tbl_MTG_Set[[#This Row],[Type Name]], tbl_MTG_Set_Type[Set Type], tbl_MTG_Set_Type[Buy Window Month End], "(Set Type not found)", 0, 1)</f>
        <v>6</v>
      </c>
      <c r="M996" s="3">
        <f>tbl_MTG_Set[[#This Row],[Released On]]+tbl_MTG_Set[[#This Row],[Buy Window Month End]]*365.25/12</f>
        <v>45282.625</v>
      </c>
      <c r="N996" s="3" t="b">
        <f ca="1">AND(NOW()&gt;=tbl_MTG_Set[[#This Row],[Buy Window Start]], NOW()&lt;=tbl_MTG_Set[[#This Row],[Buy Window End]])</f>
        <v>0</v>
      </c>
      <c r="O996">
        <f>_xlfn.XLOOKUP(tbl_MTG_Set[[#This Row],[Type Name]], tbl_MTG_Set_Type[Set Type], tbl_MTG_Set_Type[Heavy Printing Window Month Start], "(Set Type not found)", 0, 1)</f>
        <v>0</v>
      </c>
      <c r="P996" s="3">
        <f>tbl_MTG_Set[[#This Row],[Released On]]+tbl_MTG_Set[[#This Row],[Heavy Printing Window Month Start]]*365.25/12</f>
        <v>45100</v>
      </c>
      <c r="Q996">
        <f>_xlfn.XLOOKUP(tbl_MTG_Set[[#This Row],[Type Name]], tbl_MTG_Set_Type[Set Type], tbl_MTG_Set_Type[Heavy Printing Window Month End], "(Set Type not found)", 0, 1)</f>
        <v>0</v>
      </c>
      <c r="R996" s="3">
        <f>tbl_MTG_Set[[#This Row],[Released On]]+tbl_MTG_Set[[#This Row],[Heavy Printing Window Month End]]*365.25/12</f>
        <v>45100</v>
      </c>
      <c r="S996" s="3" t="b">
        <f ca="1">AND(NOW()&gt;=tbl_MTG_Set[[#This Row],[Heavy Printing Window Start]], NOW()&lt;=tbl_MTG_Set[[#This Row],[Heavy Printing Window End]])</f>
        <v>0</v>
      </c>
      <c r="T996">
        <f>_xlfn.XLOOKUP(tbl_MTG_Set[[#This Row],[Type Name]], tbl_MTG_Set_Type[Set Type], tbl_MTG_Set_Type[Sell Window Month Start], "(Set Type not found)", 0, 1)</f>
        <v>0</v>
      </c>
      <c r="U996" s="3">
        <f>tbl_MTG_Set[[#This Row],[Released On]]+tbl_MTG_Set[[#This Row],[Sell Window Month Start]]*365.25/12</f>
        <v>45100</v>
      </c>
      <c r="V996">
        <f>_xlfn.XLOOKUP(tbl_MTG_Set[[#This Row],[Type Name]], tbl_MTG_Set_Type[Set Type], tbl_MTG_Set_Type[Sell Window Month End], "(Set Type not found)", 0, 1)</f>
        <v>0</v>
      </c>
      <c r="W996" s="3">
        <f>tbl_MTG_Set[[#This Row],[Released On]]+tbl_MTG_Set[[#This Row],[Sell Window Month End]]*365.25/12</f>
        <v>45100</v>
      </c>
      <c r="X996" s="3" t="b">
        <f ca="1">AND(NOW()&gt;=tbl_MTG_Set[[#This Row],[Sell Window Start]], NOW()&lt;=tbl_MTG_Set[[#This Row],[Sell Window End]])</f>
        <v>0</v>
      </c>
      <c r="Y996" s="10">
        <v>246</v>
      </c>
      <c r="Z996" s="10">
        <v>175</v>
      </c>
      <c r="AD996" s="10">
        <f>(Y996+96/20)/30</f>
        <v>8.3600000000000012</v>
      </c>
      <c r="AE996" s="10">
        <f>(Z996+96/20)/30</f>
        <v>5.9933333333333341</v>
      </c>
      <c r="AG996" s="10"/>
      <c r="AH996" s="10"/>
      <c r="AI996" s="4">
        <v>66</v>
      </c>
      <c r="AJ996" s="4">
        <v>21</v>
      </c>
      <c r="AK996" s="4">
        <v>140</v>
      </c>
      <c r="AL996" s="4">
        <v>139</v>
      </c>
      <c r="AM996" s="10" cm="1">
        <f t="array" ref="AM99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217.57070446399996</v>
      </c>
      <c r="AN996" s="10" t="str" cm="1">
        <f t="array" ref="AN99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996" s="4">
        <f>_xlfn.XLOOKUP(tbl_MTG_Set[[#This Row],[Play Booster Box Product Id]], tbl_Product[Product Id], tbl_Product[Pack Size])</f>
        <v>30</v>
      </c>
      <c r="AP996" s="10">
        <f>(tbl_MTG_Set[[#This Row],[Play Booster Box Cost]]+v_Item_Shipping_Cost_In)/tbl_MTG_Set[[#This Row],[Play Booster Box Size]]</f>
        <v>7.6590234821333318</v>
      </c>
      <c r="AQ996" s="10" cm="1">
        <f t="array" ref="AQ99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6.9856901487999989</v>
      </c>
      <c r="AR996" s="10">
        <v>9</v>
      </c>
      <c r="AS996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996" s="17">
        <f>tbl_MTG_Set[[#This Row],[Play Booster CardMarket Profit]]/tbl_MTG_Set[[#This Row],[Play Booster Cost]]</f>
        <v>-0.1983917640456096</v>
      </c>
      <c r="AU996" s="10">
        <f>_xlfn.XLOOKUP(tbl_MTG_Set[[#This Row],[Collector Booster Box Product Id]], tbl_Product[Product Id], tbl_Product[Min Cost])</f>
        <v>886</v>
      </c>
      <c r="AV996" s="10" t="str">
        <f>_xlfn.XLOOKUP(tbl_MTG_Set[[#This Row],[Collector Booster Box Product Id]], tbl_Product[Product Id], tbl_Product[Best Source])</f>
        <v>Card Market</v>
      </c>
      <c r="AW996" s="4">
        <f>_xlfn.XLOOKUP(tbl_MTG_Set[[#This Row],[Collector Booster Box Product Id]], tbl_Product[Product Id], tbl_Product[Pack Size])</f>
        <v>12</v>
      </c>
      <c r="AX996" s="10">
        <f>(tbl_MTG_Set[[#This Row],[Collector Booster Box Cost]] + v_Item_Shipping_Cost_In) / tbl_MTG_Set[[#This Row],[Collector Booster Box Size]]</f>
        <v>74.850000000000009</v>
      </c>
      <c r="AY996" s="10" cm="1">
        <f t="array" ref="AY99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102.33209616479999</v>
      </c>
      <c r="AZ996" s="10"/>
      <c r="BA99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26.635942318646137</v>
      </c>
      <c r="BB996" s="17">
        <f>tbl_MTG_Set[[#This Row],[Collector Booster CardMarket Profit]]/tbl_MTG_Set[[#This Row],[Collector Booster Cost]]</f>
        <v>0.35585761280756356</v>
      </c>
      <c r="BC996" s="10"/>
      <c r="BF996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99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96" s="19">
        <f>tbl_MTG_Set[[#This Row],[Play Singles CardMarket Profit MTG Stocks]]/tbl_MTG_Set[[#This Row],[Play Booster Cost]]</f>
        <v>-130.43438270302053</v>
      </c>
      <c r="BI996" s="11" t="b">
        <f>tbl_MTG_Set[[#This Row],[Play Singles CardMarket Profit MTG Stocks]]&gt;0</f>
        <v>0</v>
      </c>
      <c r="BJ996" s="21" t="s">
        <v>1183</v>
      </c>
      <c r="BK996" s="11">
        <v>6.13</v>
      </c>
      <c r="BL996" s="11">
        <v>9.4700000000000006</v>
      </c>
      <c r="BM996" s="10">
        <f>tbl_MTG_Set[[#This Row],[Play Booster Sell Price CardMarket]]*tbl_MTG_Set[[#This Row],[Play Booster Expected Market Value BotBox]]/tbl_MTG_Set[[#This Row],[Play Booster Sealed Market Value BotBox]]</f>
        <v>4.5218881322221742</v>
      </c>
      <c r="BN99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-3.9832891960650039</v>
      </c>
      <c r="BO996" s="17">
        <f>tbl_MTG_Set[[#This Row],[Play Singles CardMarket Profit BotBox]]/tbl_MTG_Set[[#This Row],[Play Booster Cost]]</f>
        <v>-0.52007794536171148</v>
      </c>
      <c r="BP996" s="10" t="b">
        <f>tbl_MTG_Set[[#This Row],[Play Singles CardMarket Profit BotBox]]&gt;0</f>
        <v>0</v>
      </c>
      <c r="BQ996" s="15" t="s">
        <v>1184</v>
      </c>
      <c r="BR996" s="10"/>
      <c r="BS996" s="10"/>
      <c r="BT996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99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6" s="19">
        <f>tbl_MTG_Set[[#This Row],[Collector Singles CardMarket Profit MTG Stocks]]/tbl_MTG_Set[[#This Row],[Collector Booster Cost]]</f>
        <v>-13.346693386773545</v>
      </c>
      <c r="BW996" s="10" t="b">
        <f>tbl_MTG_Set[[#This Row],[Collector Singles CardMarket Profit MTG Stocks]]&gt;0</f>
        <v>0</v>
      </c>
      <c r="BX996" s="10">
        <v>75.87</v>
      </c>
      <c r="BY996" s="10">
        <v>117.99</v>
      </c>
      <c r="BZ996" s="10">
        <f>tbl_MTG_Set[[#This Row],[Collector Booster Sell Price CardMarket]]*tbl_MTG_Set[[#This Row],[Collector Booster Expected Market Value BotBox]]/tbl_MTG_Set[[#This Row],[Collector Booster Sealed Market Value BotBox]]</f>
        <v>65.801645359974373</v>
      </c>
      <c r="CA99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-9.8945084861794825</v>
      </c>
      <c r="CB996" s="17">
        <f>tbl_MTG_Set[[#This Row],[Collector Singles CardMarket Profit BotBox]]/tbl_MTG_Set[[#This Row],[Collector Booster Cost]]</f>
        <v>-0.13219116214000642</v>
      </c>
      <c r="CC996" s="10" t="b">
        <f>tbl_MTG_Set[[#This Row],[Collector Singles CardMarket Profit BotBox]]&gt;0</f>
        <v>0</v>
      </c>
      <c r="CD99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26.635942318646137</v>
      </c>
      <c r="CG99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0.35585761280756356</v>
      </c>
    </row>
    <row r="997" spans="1:86">
      <c r="A997">
        <v>102</v>
      </c>
      <c r="B997" t="s">
        <v>1185</v>
      </c>
      <c r="C997">
        <v>528</v>
      </c>
      <c r="D997" s="3">
        <v>45457</v>
      </c>
      <c r="E997" t="s">
        <v>76</v>
      </c>
      <c r="F997" t="s">
        <v>174</v>
      </c>
      <c r="G997">
        <v>150</v>
      </c>
      <c r="H997">
        <f ca="1">MONTH(NOW())+12*YEAR(NOW())-MONTH(tbl_MTG_Set[[#This Row],[Released On]])-12*YEAR(tbl_MTG_Set[[#This Row],[Released On]])</f>
        <v>21</v>
      </c>
      <c r="I997">
        <f>_xlfn.XLOOKUP(tbl_MTG_Set[[#This Row],[Type Name]], tbl_MTG_Set_Type[Set Type], tbl_MTG_Set_Type[Index], "(Set Type not found)")</f>
        <v>4</v>
      </c>
      <c r="J997">
        <f>_xlfn.XLOOKUP(tbl_MTG_Set[[#This Row],[Type Name]], tbl_MTG_Set_Type[Set Type], tbl_MTG_Set_Type[Buy Window Month Start], "(Set Type not found)")</f>
        <v>6</v>
      </c>
      <c r="K997" s="3">
        <f>tbl_MTG_Set[[#This Row],[Released On]]+tbl_MTG_Set[[#This Row],[Buy Window Month Start]]*365.25/12</f>
        <v>45639.625</v>
      </c>
      <c r="L997">
        <f>_xlfn.XLOOKUP(tbl_MTG_Set[[#This Row],[Type Name]], tbl_MTG_Set_Type[Set Type], tbl_MTG_Set_Type[Buy Window Month End], "(Set Type not found)", 0, 1)</f>
        <v>12</v>
      </c>
      <c r="M997" s="3">
        <f>tbl_MTG_Set[[#This Row],[Released On]]+tbl_MTG_Set[[#This Row],[Buy Window Month End]]*365.25/12</f>
        <v>45822.25</v>
      </c>
      <c r="N997" s="3" t="b">
        <f ca="1">AND(NOW()&gt;=tbl_MTG_Set[[#This Row],[Buy Window Start]], NOW()&lt;=tbl_MTG_Set[[#This Row],[Buy Window End]])</f>
        <v>0</v>
      </c>
      <c r="O997">
        <f>_xlfn.XLOOKUP(tbl_MTG_Set[[#This Row],[Type Name]], tbl_MTG_Set_Type[Set Type], tbl_MTG_Set_Type[Heavy Printing Window Month Start], "(Set Type not found)", 0, 1)</f>
        <v>6</v>
      </c>
      <c r="P997" s="3">
        <f>tbl_MTG_Set[[#This Row],[Released On]]+tbl_MTG_Set[[#This Row],[Heavy Printing Window Month Start]]*365.25/12</f>
        <v>45639.625</v>
      </c>
      <c r="Q997">
        <f>_xlfn.XLOOKUP(tbl_MTG_Set[[#This Row],[Type Name]], tbl_MTG_Set_Type[Set Type], tbl_MTG_Set_Type[Heavy Printing Window Month End], "(Set Type not found)", 0, 1)</f>
        <v>12</v>
      </c>
      <c r="R997" s="3">
        <f>tbl_MTG_Set[[#This Row],[Released On]]+tbl_MTG_Set[[#This Row],[Heavy Printing Window Month End]]*365.25/12</f>
        <v>45822.25</v>
      </c>
      <c r="S997" s="3" t="b">
        <f ca="1">AND(NOW()&gt;=tbl_MTG_Set[[#This Row],[Heavy Printing Window Start]], NOW()&lt;=tbl_MTG_Set[[#This Row],[Heavy Printing Window End]])</f>
        <v>0</v>
      </c>
      <c r="T997">
        <f>_xlfn.XLOOKUP(tbl_MTG_Set[[#This Row],[Type Name]], tbl_MTG_Set_Type[Set Type], tbl_MTG_Set_Type[Sell Window Month Start], "(Set Type not found)", 0, 1)</f>
        <v>24</v>
      </c>
      <c r="U997" s="3">
        <f>tbl_MTG_Set[[#This Row],[Released On]]+tbl_MTG_Set[[#This Row],[Sell Window Month Start]]*365.25/12</f>
        <v>46187.5</v>
      </c>
      <c r="V997">
        <f>_xlfn.XLOOKUP(tbl_MTG_Set[[#This Row],[Type Name]], tbl_MTG_Set_Type[Set Type], tbl_MTG_Set_Type[Sell Window Month End], "(Set Type not found)", 0, 1)</f>
        <v>48</v>
      </c>
      <c r="W997" s="3">
        <f>tbl_MTG_Set[[#This Row],[Released On]]+tbl_MTG_Set[[#This Row],[Sell Window Month End]]*365.25/12</f>
        <v>46918</v>
      </c>
      <c r="X997" s="3" t="b">
        <f ca="1">AND(NOW()&gt;=tbl_MTG_Set[[#This Row],[Sell Window Start]], NOW()&lt;=tbl_MTG_Set[[#This Row],[Sell Window End]])</f>
        <v>0</v>
      </c>
      <c r="Y997" s="10">
        <v>250</v>
      </c>
      <c r="Z997" s="10">
        <v>250</v>
      </c>
      <c r="AC997" s="10">
        <v>250</v>
      </c>
      <c r="AD997" s="10">
        <f>(Y997+96/20)/36</f>
        <v>7.0777777777777784</v>
      </c>
      <c r="AE997" s="10">
        <f>(Z997+96/20)/36</f>
        <v>7.0777777777777784</v>
      </c>
      <c r="AG997" s="10"/>
      <c r="AH997" s="10">
        <f>(AC997+96/20)/36</f>
        <v>7.0777777777777784</v>
      </c>
      <c r="AI997" s="4">
        <v>60</v>
      </c>
      <c r="AJ997" s="4">
        <v>15</v>
      </c>
      <c r="AK997" s="4">
        <v>122</v>
      </c>
      <c r="AL997" s="4">
        <v>121</v>
      </c>
      <c r="AM997" s="10" cm="1">
        <f t="array" ref="AM99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245</v>
      </c>
      <c r="AN997" s="10" t="str" cm="1">
        <f t="array" ref="AN99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The Game Collection</v>
      </c>
      <c r="AO997" s="4">
        <f>_xlfn.XLOOKUP(tbl_MTG_Set[[#This Row],[Play Booster Box Product Id]], tbl_Product[Product Id], tbl_Product[Pack Size])</f>
        <v>36</v>
      </c>
      <c r="AP997" s="10">
        <f>(tbl_MTG_Set[[#This Row],[Play Booster Box Cost]]+v_Item_Shipping_Cost_In)/tbl_MTG_Set[[#This Row],[Play Booster Box Size]]</f>
        <v>7.1444444444444439</v>
      </c>
      <c r="AQ997" s="10" cm="1">
        <f t="array" ref="AQ99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7.4989600351999997</v>
      </c>
      <c r="AR997" s="10">
        <v>10</v>
      </c>
      <c r="AS997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-0.49163825539829054</v>
      </c>
      <c r="AT997" s="17">
        <f>tbl_MTG_Set[[#This Row],[Play Booster CardMarket Profit]]/tbl_MTG_Set[[#This Row],[Play Booster Cost]]</f>
        <v>-6.8814063741595877E-2</v>
      </c>
      <c r="AU997" s="10">
        <f>_xlfn.XLOOKUP(tbl_MTG_Set[[#This Row],[Collector Booster Box Product Id]], tbl_Product[Product Id], tbl_Product[Min Cost])</f>
        <v>431.88</v>
      </c>
      <c r="AV997" s="10" t="str">
        <f>_xlfn.XLOOKUP(tbl_MTG_Set[[#This Row],[Collector Booster Box Product Id]], tbl_Product[Product Id], tbl_Product[Best Source])</f>
        <v>Games Lore Packs x Box Size</v>
      </c>
      <c r="AW997" s="4">
        <f>_xlfn.XLOOKUP(tbl_MTG_Set[[#This Row],[Collector Booster Box Product Id]], tbl_Product[Product Id], tbl_Product[Pack Size])</f>
        <v>12</v>
      </c>
      <c r="AX997" s="10">
        <f>(tbl_MTG_Set[[#This Row],[Collector Booster Box Cost]] + v_Item_Shipping_Cost_In) / tbl_MTG_Set[[#This Row],[Collector Booster Box Size]]</f>
        <v>37.006666666666668</v>
      </c>
      <c r="AY997" s="10" cm="1">
        <f t="array" ref="AY99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48.560550947199999</v>
      </c>
      <c r="AZ997" s="10"/>
      <c r="BA99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10.707730434379485</v>
      </c>
      <c r="BB997" s="17">
        <f>tbl_MTG_Set[[#This Row],[Collector Booster CardMarket Profit]]/tbl_MTG_Set[[#This Row],[Collector Booster Cost]]</f>
        <v>0.28934598543630385</v>
      </c>
      <c r="BC997" s="15" t="s">
        <v>1186</v>
      </c>
      <c r="BD997" s="11">
        <v>16.350000000000001</v>
      </c>
      <c r="BE997" s="11">
        <v>7.61</v>
      </c>
      <c r="BF997" s="11">
        <f>tbl_MTG_Set[[#This Row],[Play Booster Sell Price CardMarket]]*tbl_MTG_Set[[#This Row],[Play Booster Expected Market Value MTG Stocks]]/tbl_MTG_Set[[#This Row],[Play Booster Sealed Market Value MTG Stocks]]</f>
        <v>16.111431875889618</v>
      </c>
      <c r="BG99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8.1208335852913276</v>
      </c>
      <c r="BH997" s="19">
        <f>tbl_MTG_Set[[#This Row],[Play Singles CardMarket Profit MTG Stocks]]/tbl_MTG_Set[[#This Row],[Play Booster Cost]]</f>
        <v>1.1366641099163601</v>
      </c>
      <c r="BI997" s="11" t="b">
        <f>tbl_MTG_Set[[#This Row],[Play Singles CardMarket Profit MTG Stocks]]&gt;0</f>
        <v>1</v>
      </c>
      <c r="BJ997" s="21" t="s">
        <v>1187</v>
      </c>
      <c r="BK997" s="11">
        <v>8.02</v>
      </c>
      <c r="BL997" s="11">
        <v>7.7</v>
      </c>
      <c r="BM997" s="10">
        <f>tbl_MTG_Set[[#This Row],[Play Booster Sell Price CardMarket]]*tbl_MTG_Set[[#This Row],[Play Booster Expected Market Value BotBox]]/tbl_MTG_Set[[#This Row],[Play Booster Sealed Market Value BotBox]]</f>
        <v>7.8106051275719466</v>
      </c>
      <c r="BN99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-0.17999316302634361</v>
      </c>
      <c r="BO997" s="17">
        <f>tbl_MTG_Set[[#This Row],[Play Singles CardMarket Profit BotBox]]/tbl_MTG_Set[[#This Row],[Play Booster Cost]]</f>
        <v>-2.5193444280514659E-2</v>
      </c>
      <c r="BP997" s="10" t="b">
        <f>tbl_MTG_Set[[#This Row],[Play Singles CardMarket Profit BotBox]]&gt;0</f>
        <v>0</v>
      </c>
      <c r="BQ997" s="15" t="s">
        <v>1188</v>
      </c>
      <c r="BR997" s="10"/>
      <c r="BS997" s="10"/>
      <c r="BT997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99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7" s="19">
        <f>tbl_MTG_Set[[#This Row],[Collector Singles CardMarket Profit MTG Stocks]]/tbl_MTG_Set[[#This Row],[Collector Booster Cost]]</f>
        <v>-26.995136011529453</v>
      </c>
      <c r="BW997" s="10" t="b">
        <f>tbl_MTG_Set[[#This Row],[Collector Singles CardMarket Profit MTG Stocks]]&gt;0</f>
        <v>0</v>
      </c>
      <c r="BX997" s="10">
        <v>38.270000000000003</v>
      </c>
      <c r="BY997" s="10">
        <v>53.98</v>
      </c>
      <c r="BZ997" s="10">
        <f>tbl_MTG_Set[[#This Row],[Collector Booster Sell Price CardMarket]]*tbl_MTG_Set[[#This Row],[Collector Booster Expected Market Value BotBox]]/tbl_MTG_Set[[#This Row],[Collector Booster Sealed Market Value BotBox]]</f>
        <v>34.427793344745169</v>
      </c>
      <c r="CA99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-3.4250271680753452</v>
      </c>
      <c r="CB997" s="17">
        <f>tbl_MTG_Set[[#This Row],[Collector Singles CardMarket Profit BotBox]]/tbl_MTG_Set[[#This Row],[Collector Booster Cost]]</f>
        <v>-9.2551625871248738E-2</v>
      </c>
      <c r="CC997" s="10" t="b">
        <f>tbl_MTG_Set[[#This Row],[Collector Singles CardMarket Profit BotBox]]&gt;0</f>
        <v>0</v>
      </c>
      <c r="CD99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10.707730434379485</v>
      </c>
      <c r="CG99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Singles</v>
      </c>
      <c r="CH99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1.1366641099163601</v>
      </c>
    </row>
    <row r="998" spans="1:86">
      <c r="A998">
        <v>38</v>
      </c>
      <c r="B998" t="s">
        <v>1189</v>
      </c>
      <c r="C998">
        <v>599</v>
      </c>
      <c r="D998" s="3">
        <v>45821</v>
      </c>
      <c r="E998" t="s">
        <v>86</v>
      </c>
      <c r="F998" t="s">
        <v>174</v>
      </c>
      <c r="G998">
        <v>39</v>
      </c>
      <c r="H998">
        <f ca="1">MONTH(NOW())+12*YEAR(NOW())-MONTH(tbl_MTG_Set[[#This Row],[Released On]])-12*YEAR(tbl_MTG_Set[[#This Row],[Released On]])</f>
        <v>9</v>
      </c>
      <c r="I998">
        <f>_xlfn.XLOOKUP(tbl_MTG_Set[[#This Row],[Type Name]], tbl_MTG_Set_Type[Set Type], tbl_MTG_Set_Type[Index], "(Set Type not found)")</f>
        <v>6</v>
      </c>
      <c r="J998">
        <f>_xlfn.XLOOKUP(tbl_MTG_Set[[#This Row],[Type Name]], tbl_MTG_Set_Type[Set Type], tbl_MTG_Set_Type[Buy Window Month Start], "(Set Type not found)")</f>
        <v>3</v>
      </c>
      <c r="K998" s="3">
        <f>tbl_MTG_Set[[#This Row],[Released On]]+tbl_MTG_Set[[#This Row],[Buy Window Month Start]]*365.25/12</f>
        <v>45912.3125</v>
      </c>
      <c r="L998">
        <f>_xlfn.XLOOKUP(tbl_MTG_Set[[#This Row],[Type Name]], tbl_MTG_Set_Type[Set Type], tbl_MTG_Set_Type[Buy Window Month End], "(Set Type not found)", 0, 1)</f>
        <v>6</v>
      </c>
      <c r="M998" s="3">
        <f>tbl_MTG_Set[[#This Row],[Released On]]+tbl_MTG_Set[[#This Row],[Buy Window Month End]]*365.25/12</f>
        <v>46003.625</v>
      </c>
      <c r="N998" s="3" t="b">
        <f ca="1">AND(NOW()&gt;=tbl_MTG_Set[[#This Row],[Buy Window Start]], NOW()&lt;=tbl_MTG_Set[[#This Row],[Buy Window End]])</f>
        <v>0</v>
      </c>
      <c r="O998">
        <f>_xlfn.XLOOKUP(tbl_MTG_Set[[#This Row],[Type Name]], tbl_MTG_Set_Type[Set Type], tbl_MTG_Set_Type[Heavy Printing Window Month Start], "(Set Type not found)", 0, 1)</f>
        <v>0</v>
      </c>
      <c r="P998" s="3">
        <f>tbl_MTG_Set[[#This Row],[Released On]]+tbl_MTG_Set[[#This Row],[Heavy Printing Window Month Start]]*365.25/12</f>
        <v>45821</v>
      </c>
      <c r="Q998">
        <f>_xlfn.XLOOKUP(tbl_MTG_Set[[#This Row],[Type Name]], tbl_MTG_Set_Type[Set Type], tbl_MTG_Set_Type[Heavy Printing Window Month End], "(Set Type not found)", 0, 1)</f>
        <v>0</v>
      </c>
      <c r="R998" s="3">
        <f>tbl_MTG_Set[[#This Row],[Released On]]+tbl_MTG_Set[[#This Row],[Heavy Printing Window Month End]]*365.25/12</f>
        <v>45821</v>
      </c>
      <c r="S998" s="3" t="b">
        <f ca="1">AND(NOW()&gt;=tbl_MTG_Set[[#This Row],[Heavy Printing Window Start]], NOW()&lt;=tbl_MTG_Set[[#This Row],[Heavy Printing Window End]])</f>
        <v>0</v>
      </c>
      <c r="T998">
        <f>_xlfn.XLOOKUP(tbl_MTG_Set[[#This Row],[Type Name]], tbl_MTG_Set_Type[Set Type], tbl_MTG_Set_Type[Sell Window Month Start], "(Set Type not found)", 0, 1)</f>
        <v>0</v>
      </c>
      <c r="U998" s="3">
        <f>tbl_MTG_Set[[#This Row],[Released On]]+tbl_MTG_Set[[#This Row],[Sell Window Month Start]]*365.25/12</f>
        <v>45821</v>
      </c>
      <c r="V998">
        <f>_xlfn.XLOOKUP(tbl_MTG_Set[[#This Row],[Type Name]], tbl_MTG_Set_Type[Set Type], tbl_MTG_Set_Type[Sell Window Month End], "(Set Type not found)", 0, 1)</f>
        <v>0</v>
      </c>
      <c r="W998" s="3">
        <f>tbl_MTG_Set[[#This Row],[Released On]]+tbl_MTG_Set[[#This Row],[Sell Window Month End]]*365.25/12</f>
        <v>45821</v>
      </c>
      <c r="X998" s="3" t="b">
        <f ca="1">AND(NOW()&gt;=tbl_MTG_Set[[#This Row],[Sell Window Start]], NOW()&lt;=tbl_MTG_Set[[#This Row],[Sell Window End]])</f>
        <v>0</v>
      </c>
      <c r="Y998" s="10">
        <v>161</v>
      </c>
      <c r="Z998" s="10">
        <v>98</v>
      </c>
      <c r="AC998" s="10">
        <v>207</v>
      </c>
      <c r="AD998" s="10">
        <f>(Y998+96/20)/30</f>
        <v>5.5266666666666673</v>
      </c>
      <c r="AE998" s="10">
        <f>(Z998+96/20)/30</f>
        <v>3.4266666666666667</v>
      </c>
      <c r="AF998" s="10">
        <f>(AA998+96/20)/30</f>
        <v>0.16</v>
      </c>
      <c r="AG998" s="10">
        <f>(AB998+96/20)/30</f>
        <v>0.16</v>
      </c>
      <c r="AH998" s="10">
        <f>(AC998+96/20)/30</f>
        <v>7.0600000000000005</v>
      </c>
      <c r="AI998" s="4">
        <v>78</v>
      </c>
      <c r="AJ998" s="4">
        <v>33</v>
      </c>
      <c r="AK998" s="4">
        <v>100</v>
      </c>
      <c r="AL998" s="4">
        <v>99</v>
      </c>
      <c r="AM998" s="10" cm="1">
        <f t="array" ref="AM99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165</v>
      </c>
      <c r="AN998" s="10" t="str" cm="1">
        <f t="array" ref="AN99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The Game Collection</v>
      </c>
      <c r="AO998" s="4">
        <f>_xlfn.XLOOKUP(tbl_MTG_Set[[#This Row],[Play Booster Box Product Id]], tbl_Product[Product Id], tbl_Product[Pack Size])</f>
        <v>30</v>
      </c>
      <c r="AP998" s="10">
        <f>(tbl_MTG_Set[[#This Row],[Play Booster Box Cost]]+v_Item_Shipping_Cost_In)/tbl_MTG_Set[[#This Row],[Play Booster Box Size]]</f>
        <v>5.9066666666666663</v>
      </c>
      <c r="AQ998" s="10" cm="1">
        <f t="array" ref="AQ99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6.4202233247999994</v>
      </c>
      <c r="AR998" s="10">
        <v>8</v>
      </c>
      <c r="AS998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-0.33259718802051319</v>
      </c>
      <c r="AT998" s="17">
        <f>tbl_MTG_Set[[#This Row],[Play Booster CardMarket Profit]]/tbl_MTG_Set[[#This Row],[Play Booster Cost]]</f>
        <v>-5.6308779010244898E-2</v>
      </c>
      <c r="AU998" s="10">
        <f>_xlfn.XLOOKUP(tbl_MTG_Set[[#This Row],[Collector Booster Box Product Id]], tbl_Product[Product Id], tbl_Product[Min Cost])</f>
        <v>832.30799999999999</v>
      </c>
      <c r="AV998" s="10" t="str">
        <f>_xlfn.XLOOKUP(tbl_MTG_Set[[#This Row],[Collector Booster Box Product Id]], tbl_Product[Product Id], tbl_Product[Best Source])</f>
        <v>Card Market</v>
      </c>
      <c r="AW998" s="4">
        <f>_xlfn.XLOOKUP(tbl_MTG_Set[[#This Row],[Collector Booster Box Product Id]], tbl_Product[Product Id], tbl_Product[Pack Size])</f>
        <v>12</v>
      </c>
      <c r="AX998" s="10">
        <f>(tbl_MTG_Set[[#This Row],[Collector Booster Box Cost]] + v_Item_Shipping_Cost_In) / tbl_MTG_Set[[#This Row],[Collector Booster Box Size]]</f>
        <v>70.375666666666675</v>
      </c>
      <c r="AY998" s="10" cm="1">
        <f t="array" ref="AY99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89.926623995199989</v>
      </c>
      <c r="AZ998" s="10"/>
      <c r="BA99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18.704803482379468</v>
      </c>
      <c r="BB998" s="17">
        <f>tbl_MTG_Set[[#This Row],[Collector Booster CardMarket Profit]]/tbl_MTG_Set[[#This Row],[Collector Booster Cost]]</f>
        <v>0.26578509829220515</v>
      </c>
      <c r="BC998" s="15" t="s">
        <v>1190</v>
      </c>
      <c r="BD998" s="11">
        <v>6.09</v>
      </c>
      <c r="BE998" s="11">
        <v>5.84</v>
      </c>
      <c r="BF998" s="11">
        <f>tbl_MTG_Set[[#This Row],[Play Booster Sell Price CardMarket]]*tbl_MTG_Set[[#This Row],[Play Booster Expected Market Value MTG Stocks]]/tbl_MTG_Set[[#This Row],[Play Booster Sealed Market Value MTG Stocks]]</f>
        <v>6.6950616520602733</v>
      </c>
      <c r="BG99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-5.7758860760239283E-2</v>
      </c>
      <c r="BH998" s="19">
        <f>tbl_MTG_Set[[#This Row],[Play Singles CardMarket Profit MTG Stocks]]/tbl_MTG_Set[[#This Row],[Play Booster Cost]]</f>
        <v>-9.7785881648260638E-3</v>
      </c>
      <c r="BI998" s="11" t="b">
        <f>tbl_MTG_Set[[#This Row],[Play Singles CardMarket Profit MTG Stocks]]&gt;0</f>
        <v>0</v>
      </c>
      <c r="BJ998" s="21" t="s">
        <v>1191</v>
      </c>
      <c r="BK998" s="11">
        <v>3.31</v>
      </c>
      <c r="BL998" s="11">
        <v>5.66</v>
      </c>
      <c r="BM998" s="10">
        <f>tbl_MTG_Set[[#This Row],[Play Booster Sell Price CardMarket]]*tbl_MTG_Set[[#This Row],[Play Booster Expected Market Value BotBox]]/tbl_MTG_Set[[#This Row],[Play Booster Sealed Market Value BotBox]]</f>
        <v>3.7545828984254412</v>
      </c>
      <c r="BN99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-2.9982376143950713</v>
      </c>
      <c r="BO998" s="17">
        <f>tbl_MTG_Set[[#This Row],[Play Singles CardMarket Profit BotBox]]/tbl_MTG_Set[[#This Row],[Play Booster Cost]]</f>
        <v>-0.50760230492015879</v>
      </c>
      <c r="BP998" s="10" t="b">
        <f>tbl_MTG_Set[[#This Row],[Play Singles CardMarket Profit BotBox]]&gt;0</f>
        <v>0</v>
      </c>
      <c r="BQ998" s="15" t="s">
        <v>1192</v>
      </c>
      <c r="BR998" s="10">
        <v>80.760000000000005</v>
      </c>
      <c r="BS998" s="10">
        <v>108.79</v>
      </c>
      <c r="BT998" s="10">
        <f>tbl_MTG_Set[[#This Row],[Collector Booster Sell Price CardMarket]]*tbl_MTG_Set[[#This Row],[Collector Booster Expected Market Value MTG Stocks]]/tbl_MTG_Set[[#This Row],[Collector Booster Sealed Market Value MTG Stocks]]</f>
        <v>66.756817298026945</v>
      </c>
      <c r="BU99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-4.4650032147935761</v>
      </c>
      <c r="BV998" s="19">
        <f>tbl_MTG_Set[[#This Row],[Collector Singles CardMarket Profit MTG Stocks]]/tbl_MTG_Set[[#This Row],[Collector Booster Cost]]</f>
        <v>-6.344527059249043E-2</v>
      </c>
      <c r="BW998" s="10" t="b">
        <f>tbl_MTG_Set[[#This Row],[Collector Singles CardMarket Profit MTG Stocks]]&gt;0</f>
        <v>0</v>
      </c>
      <c r="BX998" s="10">
        <v>50.24</v>
      </c>
      <c r="BY998" s="10">
        <v>105.99</v>
      </c>
      <c r="BZ998" s="10">
        <f>tbl_MTG_Set[[#This Row],[Collector Booster Sell Price CardMarket]]*tbl_MTG_Set[[#This Row],[Collector Booster Expected Market Value BotBox]]/tbl_MTG_Set[[#This Row],[Collector Booster Sealed Market Value BotBox]]</f>
        <v>42.625847622595032</v>
      </c>
      <c r="CA99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-28.595972890225489</v>
      </c>
      <c r="CB998" s="17">
        <f>tbl_MTG_Set[[#This Row],[Collector Singles CardMarket Profit BotBox]]/tbl_MTG_Set[[#This Row],[Collector Booster Cost]]</f>
        <v>-0.40633324335909882</v>
      </c>
      <c r="CC998" s="10" t="b">
        <f>tbl_MTG_Set[[#This Row],[Collector Singles CardMarket Profit BotBox]]&gt;0</f>
        <v>0</v>
      </c>
      <c r="CD99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18.704803482379468</v>
      </c>
      <c r="CG99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0.26578509829220515</v>
      </c>
    </row>
    <row r="999" spans="1:86">
      <c r="A999">
        <v>225</v>
      </c>
      <c r="B999" t="s">
        <v>1193</v>
      </c>
      <c r="C999">
        <v>399</v>
      </c>
      <c r="D999" s="3">
        <v>44883</v>
      </c>
      <c r="E999" t="s">
        <v>59</v>
      </c>
      <c r="F999" t="s">
        <v>174</v>
      </c>
      <c r="G999">
        <v>396</v>
      </c>
      <c r="H999">
        <f ca="1">MONTH(NOW())+12*YEAR(NOW())-MONTH(tbl_MTG_Set[[#This Row],[Released On]])-12*YEAR(tbl_MTG_Set[[#This Row],[Released On]])</f>
        <v>40</v>
      </c>
      <c r="I999">
        <f>_xlfn.XLOOKUP(tbl_MTG_Set[[#This Row],[Type Name]], tbl_MTG_Set_Type[Set Type], tbl_MTG_Set_Type[Index], "(Set Type not found)")</f>
        <v>1</v>
      </c>
      <c r="J999">
        <f>_xlfn.XLOOKUP(tbl_MTG_Set[[#This Row],[Type Name]], tbl_MTG_Set_Type[Set Type], tbl_MTG_Set_Type[Buy Window Month Start], "(Set Type not found)")</f>
        <v>18</v>
      </c>
      <c r="K999" s="3">
        <f>tbl_MTG_Set[[#This Row],[Released On]]+tbl_MTG_Set[[#This Row],[Buy Window Month Start]]*365.25/12</f>
        <v>45430.875</v>
      </c>
      <c r="L999">
        <f>_xlfn.XLOOKUP(tbl_MTG_Set[[#This Row],[Type Name]], tbl_MTG_Set_Type[Set Type], tbl_MTG_Set_Type[Buy Window Month End], "(Set Type not found)", 0, 1)</f>
        <v>24</v>
      </c>
      <c r="M999" s="3">
        <f>tbl_MTG_Set[[#This Row],[Released On]]+tbl_MTG_Set[[#This Row],[Buy Window Month End]]*365.25/12</f>
        <v>45613.5</v>
      </c>
      <c r="N999" s="3" t="b">
        <f ca="1">AND(NOW()&gt;=tbl_MTG_Set[[#This Row],[Buy Window Start]], NOW()&lt;=tbl_MTG_Set[[#This Row],[Buy Window End]])</f>
        <v>0</v>
      </c>
      <c r="O999">
        <f>_xlfn.XLOOKUP(tbl_MTG_Set[[#This Row],[Type Name]], tbl_MTG_Set_Type[Set Type], tbl_MTG_Set_Type[Heavy Printing Window Month Start], "(Set Type not found)", 0, 1)</f>
        <v>1</v>
      </c>
      <c r="P999" s="3">
        <f>tbl_MTG_Set[[#This Row],[Released On]]+tbl_MTG_Set[[#This Row],[Heavy Printing Window Month Start]]*365.25/12</f>
        <v>44913.4375</v>
      </c>
      <c r="Q999">
        <f>_xlfn.XLOOKUP(tbl_MTG_Set[[#This Row],[Type Name]], tbl_MTG_Set_Type[Set Type], tbl_MTG_Set_Type[Heavy Printing Window Month End], "(Set Type not found)", 0, 1)</f>
        <v>18</v>
      </c>
      <c r="R999" s="3">
        <f>tbl_MTG_Set[[#This Row],[Released On]]+tbl_MTG_Set[[#This Row],[Heavy Printing Window Month End]]*365.25/12</f>
        <v>45430.875</v>
      </c>
      <c r="S999" s="3" t="b">
        <f ca="1">AND(NOW()&gt;=tbl_MTG_Set[[#This Row],[Heavy Printing Window Start]], NOW()&lt;=tbl_MTG_Set[[#This Row],[Heavy Printing Window End]])</f>
        <v>0</v>
      </c>
      <c r="T999">
        <f>_xlfn.XLOOKUP(tbl_MTG_Set[[#This Row],[Type Name]], tbl_MTG_Set_Type[Set Type], tbl_MTG_Set_Type[Sell Window Month Start], "(Set Type not found)", 0, 1)</f>
        <v>36</v>
      </c>
      <c r="U999" s="3">
        <f>tbl_MTG_Set[[#This Row],[Released On]]+tbl_MTG_Set[[#This Row],[Sell Window Month Start]]*365.25/12</f>
        <v>45978.75</v>
      </c>
      <c r="V999">
        <f>_xlfn.XLOOKUP(tbl_MTG_Set[[#This Row],[Type Name]], tbl_MTG_Set_Type[Set Type], tbl_MTG_Set_Type[Sell Window Month End], "(Set Type not found)", 0, 1)</f>
        <v>48</v>
      </c>
      <c r="W999" s="3">
        <f>tbl_MTG_Set[[#This Row],[Released On]]+tbl_MTG_Set[[#This Row],[Sell Window Month End]]*365.25/12</f>
        <v>46344</v>
      </c>
      <c r="X999" s="3" t="b">
        <f ca="1">AND(NOW()&gt;=tbl_MTG_Set[[#This Row],[Sell Window Start]], NOW()&lt;=tbl_MTG_Set[[#This Row],[Sell Window End]])</f>
        <v>1</v>
      </c>
      <c r="Y999" s="10">
        <v>126</v>
      </c>
      <c r="Z999" s="10">
        <v>116</v>
      </c>
      <c r="AD999" s="10">
        <f>(Y999+96/20)/30</f>
        <v>4.3600000000000003</v>
      </c>
      <c r="AE999" s="10">
        <f>(Z999+96/20)/30</f>
        <v>4.0266666666666664</v>
      </c>
      <c r="AG999" s="10"/>
      <c r="AH999" s="10"/>
      <c r="AI999" s="4">
        <v>73</v>
      </c>
      <c r="AJ999" s="4">
        <v>28</v>
      </c>
      <c r="AK999" s="4">
        <v>138</v>
      </c>
      <c r="AL999" s="4">
        <v>137</v>
      </c>
      <c r="AM999" s="10" cm="1">
        <f t="array" ref="AM99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131.70674211199997</v>
      </c>
      <c r="AN999" s="10" t="str" cm="1">
        <f t="array" ref="AN99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999" s="4">
        <f>_xlfn.XLOOKUP(tbl_MTG_Set[[#This Row],[Play Booster Box Product Id]], tbl_Product[Product Id], tbl_Product[Pack Size])</f>
        <v>30</v>
      </c>
      <c r="AP999" s="10">
        <f>(tbl_MTG_Set[[#This Row],[Play Booster Box Cost]]+v_Item_Shipping_Cost_In)/tbl_MTG_Set[[#This Row],[Play Booster Box Size]]</f>
        <v>4.7968914037333317</v>
      </c>
      <c r="AQ999" s="10" cm="1">
        <f t="array" ref="AQ99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4.1235580703999997</v>
      </c>
      <c r="AR999" s="10">
        <v>5.5</v>
      </c>
      <c r="AS999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-1.5194871794871783</v>
      </c>
      <c r="AT999" s="17">
        <f>tbl_MTG_Set[[#This Row],[Play Booster CardMarket Profit]]/tbl_MTG_Set[[#This Row],[Play Booster Cost]]</f>
        <v>-0.31676497372956774</v>
      </c>
      <c r="AU999" s="10">
        <f>_xlfn.XLOOKUP(tbl_MTG_Set[[#This Row],[Collector Booster Box Product Id]], tbl_Product[Product Id], tbl_Product[Min Cost])</f>
        <v>405.37</v>
      </c>
      <c r="AV999" s="10" t="str">
        <f>_xlfn.XLOOKUP(tbl_MTG_Set[[#This Row],[Collector Booster Box Product Id]], tbl_Product[Product Id], tbl_Product[Best Source])</f>
        <v>Card Market</v>
      </c>
      <c r="AW999" s="4">
        <f>_xlfn.XLOOKUP(tbl_MTG_Set[[#This Row],[Collector Booster Box Product Id]], tbl_Product[Product Id], tbl_Product[Pack Size])</f>
        <v>12</v>
      </c>
      <c r="AX999" s="10">
        <f>(tbl_MTG_Set[[#This Row],[Collector Booster Box Cost]] + v_Item_Shipping_Cost_In) / tbl_MTG_Set[[#This Row],[Collector Booster Box Size]]</f>
        <v>34.797499999999999</v>
      </c>
      <c r="AY999" s="10" cm="1">
        <f t="array" ref="AY99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44.463091345599999</v>
      </c>
      <c r="AZ999" s="10"/>
      <c r="BA99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8.8194374994461526</v>
      </c>
      <c r="BB999" s="17">
        <f>tbl_MTG_Set[[#This Row],[Collector Booster CardMarket Profit]]/tbl_MTG_Set[[#This Row],[Collector Booster Cost]]</f>
        <v>0.25345031969095921</v>
      </c>
      <c r="BC999" s="10"/>
      <c r="BF999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99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999" s="11">
        <f>tbl_MTG_Set[[#This Row],[Play Singles CardMarket Profit MTG Stocks]]/tbl_MTG_Set[[#This Row],[Play Booster Cost]]</f>
        <v>-208.25987413900944</v>
      </c>
      <c r="BI999" s="11" t="b">
        <f>tbl_MTG_Set[[#This Row],[Play Singles CardMarket Profit MTG Stocks]]&gt;0</f>
        <v>0</v>
      </c>
      <c r="BJ999" s="21" t="s">
        <v>1194</v>
      </c>
      <c r="BK999" s="11">
        <v>5.15</v>
      </c>
      <c r="BL999" s="11">
        <v>11.13</v>
      </c>
      <c r="BM999" s="10">
        <f>tbl_MTG_Set[[#This Row],[Play Booster Sell Price CardMarket]]*tbl_MTG_Set[[#This Row],[Play Booster Expected Market Value BotBox]]/tbl_MTG_Set[[#This Row],[Play Booster Sealed Market Value BotBox]]</f>
        <v>1.9080255222425877</v>
      </c>
      <c r="BN99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-3.7350197276445902</v>
      </c>
      <c r="BO999" s="17">
        <f>tbl_MTG_Set[[#This Row],[Play Singles CardMarket Profit BotBox]]/tbl_MTG_Set[[#This Row],[Play Booster Cost]]</f>
        <v>-0.77863337175773739</v>
      </c>
      <c r="BP999" s="10" t="b">
        <f>tbl_MTG_Set[[#This Row],[Play Singles CardMarket Profit BotBox]]&gt;0</f>
        <v>0</v>
      </c>
      <c r="BQ999" s="15" t="s">
        <v>1195</v>
      </c>
      <c r="BR999" s="10"/>
      <c r="BS999" s="10"/>
      <c r="BT999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99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999" s="19">
        <f>tbl_MTG_Set[[#This Row],[Collector Singles CardMarket Profit MTG Stocks]]/tbl_MTG_Set[[#This Row],[Collector Booster Cost]]</f>
        <v>-28.708958976938</v>
      </c>
      <c r="BW999" s="10" t="b">
        <f>tbl_MTG_Set[[#This Row],[Collector Singles CardMarket Profit MTG Stocks]]&gt;0</f>
        <v>0</v>
      </c>
      <c r="BX999" s="10">
        <v>21.93</v>
      </c>
      <c r="BY999" s="10">
        <v>47.74</v>
      </c>
      <c r="BZ999" s="10">
        <f>tbl_MTG_Set[[#This Row],[Collector Booster Sell Price CardMarket]]*tbl_MTG_Set[[#This Row],[Collector Booster Expected Market Value BotBox]]/tbl_MTG_Set[[#This Row],[Collector Booster Sealed Market Value BotBox]]</f>
        <v>20.42470869729803</v>
      </c>
      <c r="CA99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-15.218945148855816</v>
      </c>
      <c r="CB999" s="17">
        <f>tbl_MTG_Set[[#This Row],[Collector Singles CardMarket Profit BotBox]]/tbl_MTG_Set[[#This Row],[Collector Booster Cost]]</f>
        <v>-0.43735742938015137</v>
      </c>
      <c r="CC999" s="10" t="b">
        <f>tbl_MTG_Set[[#This Row],[Collector Singles CardMarket Profit BotBox]]&gt;0</f>
        <v>0</v>
      </c>
      <c r="CD99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99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99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8.8194374994461526</v>
      </c>
      <c r="CG99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99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0.25345031969095921</v>
      </c>
    </row>
    <row r="1000" spans="1:86">
      <c r="A1000">
        <v>247</v>
      </c>
      <c r="B1000" t="s">
        <v>1196</v>
      </c>
      <c r="C1000">
        <v>453</v>
      </c>
      <c r="D1000" s="3">
        <v>44813</v>
      </c>
      <c r="E1000" t="s">
        <v>59</v>
      </c>
      <c r="F1000" t="s">
        <v>174</v>
      </c>
      <c r="G1000">
        <v>440</v>
      </c>
      <c r="H1000">
        <f ca="1">MONTH(NOW())+12*YEAR(NOW())-MONTH(tbl_MTG_Set[[#This Row],[Released On]])-12*YEAR(tbl_MTG_Set[[#This Row],[Released On]])</f>
        <v>42</v>
      </c>
      <c r="I1000">
        <f>_xlfn.XLOOKUP(tbl_MTG_Set[[#This Row],[Type Name]], tbl_MTG_Set_Type[Set Type], tbl_MTG_Set_Type[Index], "(Set Type not found)")</f>
        <v>1</v>
      </c>
      <c r="J1000">
        <f>_xlfn.XLOOKUP(tbl_MTG_Set[[#This Row],[Type Name]], tbl_MTG_Set_Type[Set Type], tbl_MTG_Set_Type[Buy Window Month Start], "(Set Type not found)")</f>
        <v>18</v>
      </c>
      <c r="K1000" s="3">
        <f>tbl_MTG_Set[[#This Row],[Released On]]+tbl_MTG_Set[[#This Row],[Buy Window Month Start]]*365.25/12</f>
        <v>45360.875</v>
      </c>
      <c r="L1000">
        <f>_xlfn.XLOOKUP(tbl_MTG_Set[[#This Row],[Type Name]], tbl_MTG_Set_Type[Set Type], tbl_MTG_Set_Type[Buy Window Month End], "(Set Type not found)", 0, 1)</f>
        <v>24</v>
      </c>
      <c r="M1000" s="3">
        <f>tbl_MTG_Set[[#This Row],[Released On]]+tbl_MTG_Set[[#This Row],[Buy Window Month End]]*365.25/12</f>
        <v>45543.5</v>
      </c>
      <c r="N1000" s="3" t="b">
        <f ca="1">AND(NOW()&gt;=tbl_MTG_Set[[#This Row],[Buy Window Start]], NOW()&lt;=tbl_MTG_Set[[#This Row],[Buy Window End]])</f>
        <v>0</v>
      </c>
      <c r="O1000">
        <f>_xlfn.XLOOKUP(tbl_MTG_Set[[#This Row],[Type Name]], tbl_MTG_Set_Type[Set Type], tbl_MTG_Set_Type[Heavy Printing Window Month Start], "(Set Type not found)", 0, 1)</f>
        <v>1</v>
      </c>
      <c r="P1000" s="3">
        <f>tbl_MTG_Set[[#This Row],[Released On]]+tbl_MTG_Set[[#This Row],[Heavy Printing Window Month Start]]*365.25/12</f>
        <v>44843.4375</v>
      </c>
      <c r="Q1000">
        <f>_xlfn.XLOOKUP(tbl_MTG_Set[[#This Row],[Type Name]], tbl_MTG_Set_Type[Set Type], tbl_MTG_Set_Type[Heavy Printing Window Month End], "(Set Type not found)", 0, 1)</f>
        <v>18</v>
      </c>
      <c r="R1000" s="3">
        <f>tbl_MTG_Set[[#This Row],[Released On]]+tbl_MTG_Set[[#This Row],[Heavy Printing Window Month End]]*365.25/12</f>
        <v>45360.875</v>
      </c>
      <c r="S1000" s="3" t="b">
        <f ca="1">AND(NOW()&gt;=tbl_MTG_Set[[#This Row],[Heavy Printing Window Start]], NOW()&lt;=tbl_MTG_Set[[#This Row],[Heavy Printing Window End]])</f>
        <v>0</v>
      </c>
      <c r="T1000">
        <f>_xlfn.XLOOKUP(tbl_MTG_Set[[#This Row],[Type Name]], tbl_MTG_Set_Type[Set Type], tbl_MTG_Set_Type[Sell Window Month Start], "(Set Type not found)", 0, 1)</f>
        <v>36</v>
      </c>
      <c r="U1000" s="3">
        <f>tbl_MTG_Set[[#This Row],[Released On]]+tbl_MTG_Set[[#This Row],[Sell Window Month Start]]*365.25/12</f>
        <v>45908.75</v>
      </c>
      <c r="V1000">
        <f>_xlfn.XLOOKUP(tbl_MTG_Set[[#This Row],[Type Name]], tbl_MTG_Set_Type[Set Type], tbl_MTG_Set_Type[Sell Window Month End], "(Set Type not found)", 0, 1)</f>
        <v>48</v>
      </c>
      <c r="W1000" s="3">
        <f>tbl_MTG_Set[[#This Row],[Released On]]+tbl_MTG_Set[[#This Row],[Sell Window Month End]]*365.25/12</f>
        <v>46274</v>
      </c>
      <c r="X1000" s="3" t="b">
        <f ca="1">AND(NOW()&gt;=tbl_MTG_Set[[#This Row],[Sell Window Start]], NOW()&lt;=tbl_MTG_Set[[#This Row],[Sell Window End]])</f>
        <v>1</v>
      </c>
      <c r="Y1000" s="10">
        <v>150</v>
      </c>
      <c r="Z1000" s="10">
        <v>115</v>
      </c>
      <c r="AD1000" s="10">
        <f>(Y1000+96/20)/30</f>
        <v>5.16</v>
      </c>
      <c r="AE1000" s="10">
        <f>(Z1000+96/20)/30</f>
        <v>3.9933333333333332</v>
      </c>
      <c r="AG1000" s="10"/>
      <c r="AH1000" s="10"/>
      <c r="AI1000" s="4">
        <v>76</v>
      </c>
      <c r="AJ1000" s="4">
        <v>31</v>
      </c>
      <c r="AK1000" s="4">
        <v>94</v>
      </c>
      <c r="AL1000" s="4">
        <v>93</v>
      </c>
      <c r="AM1000" s="10" cm="1">
        <f t="array" ref="AM100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130.66280336</v>
      </c>
      <c r="AN1000" s="10" t="str" cm="1">
        <f t="array" ref="AN100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00" s="4">
        <f>_xlfn.XLOOKUP(tbl_MTG_Set[[#This Row],[Play Booster Box Product Id]], tbl_Product[Product Id], tbl_Product[Pack Size])</f>
        <v>30</v>
      </c>
      <c r="AP1000" s="10">
        <f>(tbl_MTG_Set[[#This Row],[Play Booster Box Cost]]+v_Item_Shipping_Cost_In)/tbl_MTG_Set[[#This Row],[Play Booster Box Size]]</f>
        <v>4.762093445333333</v>
      </c>
      <c r="AQ1000" s="10" cm="1">
        <f t="array" ref="AQ100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4.0887601120000001</v>
      </c>
      <c r="AR1000" s="10">
        <v>4</v>
      </c>
      <c r="AS1000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00" s="17">
        <f>tbl_MTG_Set[[#This Row],[Play Booster CardMarket Profit]]/tbl_MTG_Set[[#This Row],[Play Booster Cost]]</f>
        <v>-0.31907966463283449</v>
      </c>
      <c r="AU1000" s="10">
        <f>_xlfn.XLOOKUP(tbl_MTG_Set[[#This Row],[Collector Booster Box Product Id]], tbl_Product[Product Id], tbl_Product[Min Cost])</f>
        <v>230</v>
      </c>
      <c r="AV1000" s="10" t="str">
        <f>_xlfn.XLOOKUP(tbl_MTG_Set[[#This Row],[Collector Booster Box Product Id]], tbl_Product[Product Id], tbl_Product[Best Source])</f>
        <v>Double Sleeved</v>
      </c>
      <c r="AW1000" s="4">
        <f>_xlfn.XLOOKUP(tbl_MTG_Set[[#This Row],[Collector Booster Box Product Id]], tbl_Product[Product Id], tbl_Product[Pack Size])</f>
        <v>12</v>
      </c>
      <c r="AX1000" s="10">
        <f>(tbl_MTG_Set[[#This Row],[Collector Booster Box Cost]] + v_Item_Shipping_Cost_In) / tbl_MTG_Set[[#This Row],[Collector Booster Box Size]]</f>
        <v>20.183333333333334</v>
      </c>
      <c r="AY1000" s="10" cm="1">
        <f t="array" ref="AY100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24.358570879999995</v>
      </c>
      <c r="AZ1000" s="10"/>
      <c r="BA100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3.3290837005128151</v>
      </c>
      <c r="BB1000" s="17">
        <f>tbl_MTG_Set[[#This Row],[Collector Booster CardMarket Profit]]/tbl_MTG_Set[[#This Row],[Collector Booster Cost]]</f>
        <v>0.16494221472400405</v>
      </c>
      <c r="BC1000" s="10"/>
      <c r="BF1000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0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0" s="19">
        <f>tbl_MTG_Set[[#This Row],[Play Singles CardMarket Profit MTG Stocks]]/tbl_MTG_Set[[#This Row],[Play Booster Cost]]</f>
        <v>-209.78168771110137</v>
      </c>
      <c r="BI1000" s="11" t="b">
        <f>tbl_MTG_Set[[#This Row],[Play Singles CardMarket Profit MTG Stocks]]&gt;0</f>
        <v>0</v>
      </c>
      <c r="BJ1000" s="21" t="s">
        <v>1197</v>
      </c>
      <c r="BK1000" s="11">
        <v>3.02</v>
      </c>
      <c r="BL1000" s="11">
        <v>6.5</v>
      </c>
      <c r="BM1000" s="10">
        <f>tbl_MTG_Set[[#This Row],[Play Booster Sell Price CardMarket]]*tbl_MTG_Set[[#This Row],[Play Booster Expected Market Value BotBox]]/tbl_MTG_Set[[#This Row],[Play Booster Sealed Market Value BotBox]]</f>
        <v>1.8997008520369232</v>
      </c>
      <c r="BN100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-3.7085464394502563</v>
      </c>
      <c r="BO1000" s="17">
        <f>tbl_MTG_Set[[#This Row],[Play Singles CardMarket Profit BotBox]]/tbl_MTG_Set[[#This Row],[Play Booster Cost]]</f>
        <v>-0.7787638949177883</v>
      </c>
      <c r="BP1000" s="10" t="b">
        <f>tbl_MTG_Set[[#This Row],[Play Singles CardMarket Profit BotBox]]&gt;0</f>
        <v>0</v>
      </c>
      <c r="BQ1000" s="15" t="s">
        <v>1198</v>
      </c>
      <c r="BR1000" s="10"/>
      <c r="BS1000" s="10"/>
      <c r="BT1000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0" s="19">
        <f>tbl_MTG_Set[[#This Row],[Collector Singles CardMarket Profit MTG Stocks]]/tbl_MTG_Set[[#This Row],[Collector Booster Cost]]</f>
        <v>-49.49628406275805</v>
      </c>
      <c r="BW1000" s="10" t="b">
        <f>tbl_MTG_Set[[#This Row],[Collector Singles CardMarket Profit MTG Stocks]]&gt;0</f>
        <v>0</v>
      </c>
      <c r="BX1000" s="10">
        <v>10.69</v>
      </c>
      <c r="BY1000" s="10">
        <v>31.98</v>
      </c>
      <c r="BZ1000" s="10">
        <f>tbl_MTG_Set[[#This Row],[Collector Booster Sell Price CardMarket]]*tbl_MTG_Set[[#This Row],[Collector Booster Expected Market Value BotBox]]/tbl_MTG_Set[[#This Row],[Collector Booster Sealed Market Value BotBox]]</f>
        <v>8.1423740683927441</v>
      </c>
      <c r="CA100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-12.887113111094436</v>
      </c>
      <c r="CB1000" s="17">
        <f>tbl_MTG_Set[[#This Row],[Collector Singles CardMarket Profit BotBox]]/tbl_MTG_Set[[#This Row],[Collector Booster Cost]]</f>
        <v>-0.63850271400963354</v>
      </c>
      <c r="CC1000" s="10" t="b">
        <f>tbl_MTG_Set[[#This Row],[Collector Singles CardMarket Profit BotBox]]&gt;0</f>
        <v>0</v>
      </c>
      <c r="CD100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3.3290837005128151</v>
      </c>
      <c r="CG100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0.16494221472400405</v>
      </c>
    </row>
    <row r="1001" spans="1:86">
      <c r="A1001">
        <v>154</v>
      </c>
      <c r="B1001" t="s">
        <v>1199</v>
      </c>
      <c r="C1001">
        <v>381</v>
      </c>
      <c r="D1001" s="3">
        <v>45177</v>
      </c>
      <c r="E1001" t="s">
        <v>59</v>
      </c>
      <c r="F1001" t="s">
        <v>174</v>
      </c>
      <c r="G1001">
        <v>254</v>
      </c>
      <c r="H1001">
        <f ca="1">MONTH(NOW())+12*YEAR(NOW())-MONTH(tbl_MTG_Set[[#This Row],[Released On]])-12*YEAR(tbl_MTG_Set[[#This Row],[Released On]])</f>
        <v>30</v>
      </c>
      <c r="I1001">
        <f>_xlfn.XLOOKUP(tbl_MTG_Set[[#This Row],[Type Name]], tbl_MTG_Set_Type[Set Type], tbl_MTG_Set_Type[Index], "(Set Type not found)")</f>
        <v>1</v>
      </c>
      <c r="J1001">
        <f>_xlfn.XLOOKUP(tbl_MTG_Set[[#This Row],[Type Name]], tbl_MTG_Set_Type[Set Type], tbl_MTG_Set_Type[Buy Window Month Start], "(Set Type not found)")</f>
        <v>18</v>
      </c>
      <c r="K1001" s="3">
        <f>tbl_MTG_Set[[#This Row],[Released On]]+tbl_MTG_Set[[#This Row],[Buy Window Month Start]]*365.25/12</f>
        <v>45724.875</v>
      </c>
      <c r="L1001">
        <f>_xlfn.XLOOKUP(tbl_MTG_Set[[#This Row],[Type Name]], tbl_MTG_Set_Type[Set Type], tbl_MTG_Set_Type[Buy Window Month End], "(Set Type not found)", 0, 1)</f>
        <v>24</v>
      </c>
      <c r="M1001" s="3">
        <f>tbl_MTG_Set[[#This Row],[Released On]]+tbl_MTG_Set[[#This Row],[Buy Window Month End]]*365.25/12</f>
        <v>45907.5</v>
      </c>
      <c r="N1001" s="3" t="b">
        <f ca="1">AND(NOW()&gt;=tbl_MTG_Set[[#This Row],[Buy Window Start]], NOW()&lt;=tbl_MTG_Set[[#This Row],[Buy Window End]])</f>
        <v>0</v>
      </c>
      <c r="O1001">
        <f>_xlfn.XLOOKUP(tbl_MTG_Set[[#This Row],[Type Name]], tbl_MTG_Set_Type[Set Type], tbl_MTG_Set_Type[Heavy Printing Window Month Start], "(Set Type not found)", 0, 1)</f>
        <v>1</v>
      </c>
      <c r="P1001" s="3">
        <f>tbl_MTG_Set[[#This Row],[Released On]]+tbl_MTG_Set[[#This Row],[Heavy Printing Window Month Start]]*365.25/12</f>
        <v>45207.4375</v>
      </c>
      <c r="Q1001">
        <f>_xlfn.XLOOKUP(tbl_MTG_Set[[#This Row],[Type Name]], tbl_MTG_Set_Type[Set Type], tbl_MTG_Set_Type[Heavy Printing Window Month End], "(Set Type not found)", 0, 1)</f>
        <v>18</v>
      </c>
      <c r="R1001" s="3">
        <f>tbl_MTG_Set[[#This Row],[Released On]]+tbl_MTG_Set[[#This Row],[Heavy Printing Window Month End]]*365.25/12</f>
        <v>45724.875</v>
      </c>
      <c r="S1001" s="3" t="b">
        <f ca="1">AND(NOW()&gt;=tbl_MTG_Set[[#This Row],[Heavy Printing Window Start]], NOW()&lt;=tbl_MTG_Set[[#This Row],[Heavy Printing Window End]])</f>
        <v>0</v>
      </c>
      <c r="T1001">
        <f>_xlfn.XLOOKUP(tbl_MTG_Set[[#This Row],[Type Name]], tbl_MTG_Set_Type[Set Type], tbl_MTG_Set_Type[Sell Window Month Start], "(Set Type not found)", 0, 1)</f>
        <v>36</v>
      </c>
      <c r="U1001" s="3">
        <f>tbl_MTG_Set[[#This Row],[Released On]]+tbl_MTG_Set[[#This Row],[Sell Window Month Start]]*365.25/12</f>
        <v>46272.75</v>
      </c>
      <c r="V1001">
        <f>_xlfn.XLOOKUP(tbl_MTG_Set[[#This Row],[Type Name]], tbl_MTG_Set_Type[Set Type], tbl_MTG_Set_Type[Sell Window Month End], "(Set Type not found)", 0, 1)</f>
        <v>48</v>
      </c>
      <c r="W1001" s="3">
        <f>tbl_MTG_Set[[#This Row],[Released On]]+tbl_MTG_Set[[#This Row],[Sell Window Month End]]*365.25/12</f>
        <v>46638</v>
      </c>
      <c r="X1001" s="3" t="b">
        <f ca="1">AND(NOW()&gt;=tbl_MTG_Set[[#This Row],[Sell Window Start]], NOW()&lt;=tbl_MTG_Set[[#This Row],[Sell Window End]])</f>
        <v>0</v>
      </c>
      <c r="Y1001" s="10">
        <v>208</v>
      </c>
      <c r="Z1001" s="10">
        <v>116</v>
      </c>
      <c r="AD1001" s="10">
        <f>(Y1001+96/20)/30</f>
        <v>7.0933333333333337</v>
      </c>
      <c r="AE1001" s="10">
        <f>(Z1001+96/20)/30</f>
        <v>4.0266666666666664</v>
      </c>
      <c r="AG1001" s="10"/>
      <c r="AH1001" s="10"/>
      <c r="AI1001" s="4">
        <v>74</v>
      </c>
      <c r="AJ1001" s="4">
        <v>29</v>
      </c>
      <c r="AK1001" s="4">
        <v>148</v>
      </c>
      <c r="AL1001" s="4">
        <v>147</v>
      </c>
      <c r="AM1001" s="10" cm="1">
        <f t="array" ref="AM100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277.31457999999998</v>
      </c>
      <c r="AN1001" s="10" t="str" cm="1">
        <f t="array" ref="AN100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</v>
      </c>
      <c r="AO1001" s="4">
        <f>_xlfn.XLOOKUP(tbl_MTG_Set[[#This Row],[Play Booster Box Product Id]], tbl_Product[Product Id], tbl_Product[Pack Size])</f>
        <v>30</v>
      </c>
      <c r="AP1001" s="10">
        <f>(tbl_MTG_Set[[#This Row],[Play Booster Box Cost]]+v_Item_Shipping_Cost_In)/tbl_MTG_Set[[#This Row],[Play Booster Box Size]]</f>
        <v>9.650485999999999</v>
      </c>
      <c r="AQ1001" s="10" t="str" cm="1">
        <f t="array" ref="AQ100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/>
      </c>
      <c r="AR1001" s="10">
        <v>7</v>
      </c>
      <c r="AS1001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-999</v>
      </c>
      <c r="AT1001" s="17">
        <f>tbl_MTG_Set[[#This Row],[Play Booster CardMarket Profit]]/tbl_MTG_Set[[#This Row],[Play Booster Cost]]</f>
        <v>-103.51810261161978</v>
      </c>
      <c r="AU1001" s="10">
        <f>_xlfn.XLOOKUP(tbl_MTG_Set[[#This Row],[Collector Booster Box Product Id]], tbl_Product[Product Id], tbl_Product[Min Cost])</f>
        <v>843.57465999999999</v>
      </c>
      <c r="AV1001" s="10" t="str">
        <f>_xlfn.XLOOKUP(tbl_MTG_Set[[#This Row],[Collector Booster Box Product Id]], tbl_Product[Product Id], tbl_Product[Best Source])</f>
        <v>Card Market</v>
      </c>
      <c r="AW1001" s="4">
        <f>_xlfn.XLOOKUP(tbl_MTG_Set[[#This Row],[Collector Booster Box Product Id]], tbl_Product[Product Id], tbl_Product[Pack Size])</f>
        <v>12</v>
      </c>
      <c r="AX1001" s="10">
        <f>(tbl_MTG_Set[[#This Row],[Collector Booster Box Cost]] + v_Item_Shipping_Cost_In) / tbl_MTG_Set[[#This Row],[Collector Booster Box Size]]</f>
        <v>71.314554999999999</v>
      </c>
      <c r="AY1001" s="10" cm="1">
        <f t="array" ref="AY100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82.688648647999997</v>
      </c>
      <c r="AZ1001" s="10"/>
      <c r="BA100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10.527939801846152</v>
      </c>
      <c r="BB1001" s="18">
        <f>tbl_MTG_Set[[#This Row],[Collector Booster CardMarket Profit]]/tbl_MTG_Set[[#This Row],[Collector Booster Cost]]</f>
        <v>0.14762680355849031</v>
      </c>
      <c r="BC1001" s="10"/>
      <c r="BF100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0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1" s="11">
        <f>tbl_MTG_Set[[#This Row],[Play Singles CardMarket Profit MTG Stocks]]/tbl_MTG_Set[[#This Row],[Play Booster Cost]]</f>
        <v>-103.51810261161978</v>
      </c>
      <c r="BI1001" s="11" t="b">
        <f>tbl_MTG_Set[[#This Row],[Play Singles CardMarket Profit MTG Stocks]]&gt;0</f>
        <v>0</v>
      </c>
      <c r="BJ1001" s="21" t="s">
        <v>1200</v>
      </c>
      <c r="BK1001" s="11">
        <v>7.43</v>
      </c>
      <c r="BL1001" s="11">
        <v>12.24</v>
      </c>
      <c r="BM1001" s="10" t="e">
        <f>tbl_MTG_Set[[#This Row],[Play Booster Sell Price CardMarket]]*tbl_MTG_Set[[#This Row],[Play Booster Expected Market Value BotBox]]/tbl_MTG_Set[[#This Row],[Play Booster Sealed Market Value BotBox]]</f>
        <v>#VALUE!</v>
      </c>
      <c r="BN100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01" s="17">
        <f>tbl_MTG_Set[[#This Row],[Play Singles CardMarket Profit BotBox]]/tbl_MTG_Set[[#This Row],[Play Booster Cost]]</f>
        <v>-103.51810261161978</v>
      </c>
      <c r="BP1001" s="10" t="b">
        <f>tbl_MTG_Set[[#This Row],[Play Singles CardMarket Profit BotBox]]&gt;0</f>
        <v>0</v>
      </c>
      <c r="BQ1001" s="15" t="s">
        <v>1201</v>
      </c>
      <c r="BR1001" s="10"/>
      <c r="BS1001" s="10"/>
      <c r="BT1001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1" s="19">
        <f>tbl_MTG_Set[[#This Row],[Collector Singles CardMarket Profit MTG Stocks]]/tbl_MTG_Set[[#This Row],[Collector Booster Cost]]</f>
        <v>-14.008360565385285</v>
      </c>
      <c r="BW1001" s="10" t="b">
        <f>tbl_MTG_Set[[#This Row],[Collector Singles CardMarket Profit MTG Stocks]]&gt;0</f>
        <v>0</v>
      </c>
      <c r="BX1001" s="10">
        <v>24.9</v>
      </c>
      <c r="BY1001" s="10">
        <v>88.67</v>
      </c>
      <c r="BZ1001" s="10">
        <f>tbl_MTG_Set[[#This Row],[Collector Booster Sell Price CardMarket]]*tbl_MTG_Set[[#This Row],[Collector Booster Expected Market Value BotBox]]/tbl_MTG_Set[[#This Row],[Collector Booster Sealed Market Value BotBox]]</f>
        <v>23.220337784314875</v>
      </c>
      <c r="CA100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-48.940371061838967</v>
      </c>
      <c r="CB1001" s="17">
        <f>tbl_MTG_Set[[#This Row],[Collector Singles CardMarket Profit BotBox]]/tbl_MTG_Set[[#This Row],[Collector Booster Cost]]</f>
        <v>-0.68626062466265081</v>
      </c>
      <c r="CC1001" s="10" t="b">
        <f>tbl_MTG_Set[[#This Row],[Collector Singles CardMarket Profit BotBox]]&gt;0</f>
        <v>0</v>
      </c>
      <c r="CD100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10.527939801846152</v>
      </c>
      <c r="CG100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0.14762680355849031</v>
      </c>
    </row>
    <row r="1002" spans="1:86">
      <c r="A1002">
        <v>136</v>
      </c>
      <c r="B1002" t="s">
        <v>1202</v>
      </c>
      <c r="C1002">
        <v>531</v>
      </c>
      <c r="D1002" s="3">
        <v>45303</v>
      </c>
      <c r="E1002" t="s">
        <v>66</v>
      </c>
      <c r="F1002" t="s">
        <v>174</v>
      </c>
      <c r="G1002">
        <v>218</v>
      </c>
      <c r="H1002">
        <f ca="1">MONTH(NOW())+12*YEAR(NOW())-MONTH(tbl_MTG_Set[[#This Row],[Released On]])-12*YEAR(tbl_MTG_Set[[#This Row],[Released On]])</f>
        <v>26</v>
      </c>
      <c r="I1002">
        <f>_xlfn.XLOOKUP(tbl_MTG_Set[[#This Row],[Type Name]], tbl_MTG_Set_Type[Set Type], tbl_MTG_Set_Type[Index], "(Set Type not found)")</f>
        <v>2</v>
      </c>
      <c r="J1002">
        <f>_xlfn.XLOOKUP(tbl_MTG_Set[[#This Row],[Type Name]], tbl_MTG_Set_Type[Set Type], tbl_MTG_Set_Type[Buy Window Month Start], "(Set Type not found)")</f>
        <v>3</v>
      </c>
      <c r="K1002" s="3">
        <f>tbl_MTG_Set[[#This Row],[Released On]]+tbl_MTG_Set[[#This Row],[Buy Window Month Start]]*365.25/12</f>
        <v>45394.3125</v>
      </c>
      <c r="L1002">
        <f>_xlfn.XLOOKUP(tbl_MTG_Set[[#This Row],[Type Name]], tbl_MTG_Set_Type[Set Type], tbl_MTG_Set_Type[Buy Window Month End], "(Set Type not found)", 0, 1)</f>
        <v>6</v>
      </c>
      <c r="M1002" s="3">
        <f>tbl_MTG_Set[[#This Row],[Released On]]+tbl_MTG_Set[[#This Row],[Buy Window Month End]]*365.25/12</f>
        <v>45485.625</v>
      </c>
      <c r="N1002" s="3" t="b">
        <f ca="1">AND(NOW()&gt;=tbl_MTG_Set[[#This Row],[Buy Window Start]], NOW()&lt;=tbl_MTG_Set[[#This Row],[Buy Window End]])</f>
        <v>0</v>
      </c>
      <c r="O1002">
        <f>_xlfn.XLOOKUP(tbl_MTG_Set[[#This Row],[Type Name]], tbl_MTG_Set_Type[Set Type], tbl_MTG_Set_Type[Heavy Printing Window Month Start], "(Set Type not found)", 0, 1)</f>
        <v>6</v>
      </c>
      <c r="P1002" s="3">
        <f>tbl_MTG_Set[[#This Row],[Released On]]+tbl_MTG_Set[[#This Row],[Heavy Printing Window Month Start]]*365.25/12</f>
        <v>45485.625</v>
      </c>
      <c r="Q1002">
        <f>_xlfn.XLOOKUP(tbl_MTG_Set[[#This Row],[Type Name]], tbl_MTG_Set_Type[Set Type], tbl_MTG_Set_Type[Heavy Printing Window Month End], "(Set Type not found)", 0, 1)</f>
        <v>12</v>
      </c>
      <c r="R1002" s="3">
        <f>tbl_MTG_Set[[#This Row],[Released On]]+tbl_MTG_Set[[#This Row],[Heavy Printing Window Month End]]*365.25/12</f>
        <v>45668.25</v>
      </c>
      <c r="S1002" s="3" t="b">
        <f ca="1">AND(NOW()&gt;=tbl_MTG_Set[[#This Row],[Heavy Printing Window Start]], NOW()&lt;=tbl_MTG_Set[[#This Row],[Heavy Printing Window End]])</f>
        <v>0</v>
      </c>
      <c r="T1002">
        <f>_xlfn.XLOOKUP(tbl_MTG_Set[[#This Row],[Type Name]], tbl_MTG_Set_Type[Set Type], tbl_MTG_Set_Type[Sell Window Month Start], "(Set Type not found)", 0, 1)</f>
        <v>18</v>
      </c>
      <c r="U1002" s="3">
        <f>tbl_MTG_Set[[#This Row],[Released On]]+tbl_MTG_Set[[#This Row],[Sell Window Month Start]]*365.25/12</f>
        <v>45850.875</v>
      </c>
      <c r="V1002">
        <f>_xlfn.XLOOKUP(tbl_MTG_Set[[#This Row],[Type Name]], tbl_MTG_Set_Type[Set Type], tbl_MTG_Set_Type[Sell Window Month End], "(Set Type not found)", 0, 1)</f>
        <v>36</v>
      </c>
      <c r="W1002" s="3">
        <f>tbl_MTG_Set[[#This Row],[Released On]]+tbl_MTG_Set[[#This Row],[Sell Window Month End]]*365.25/12</f>
        <v>46398.75</v>
      </c>
      <c r="X1002" s="3" t="b">
        <f ca="1">AND(NOW()&gt;=tbl_MTG_Set[[#This Row],[Sell Window Start]], NOW()&lt;=tbl_MTG_Set[[#This Row],[Sell Window End]])</f>
        <v>1</v>
      </c>
      <c r="Y1002" s="10">
        <v>160</v>
      </c>
      <c r="Z1002" s="10">
        <v>180</v>
      </c>
      <c r="AC1002" s="10">
        <v>170</v>
      </c>
      <c r="AD1002" s="10">
        <f>(Y1002+96/20)/36</f>
        <v>4.5777777777777784</v>
      </c>
      <c r="AE1002" s="10">
        <f>(Z1002+96/20)/36</f>
        <v>5.1333333333333337</v>
      </c>
      <c r="AF1002" s="10">
        <f>(AA1002+96/20)/36</f>
        <v>0.13333333333333333</v>
      </c>
      <c r="AG1002" s="10">
        <f>(AB1002+96/20)/36</f>
        <v>0.13333333333333333</v>
      </c>
      <c r="AH1002" s="10">
        <f>(AC1002+96/20)/36</f>
        <v>4.8555555555555561</v>
      </c>
      <c r="AI1002" s="4">
        <v>68</v>
      </c>
      <c r="AJ1002" s="4">
        <v>23</v>
      </c>
      <c r="AK1002" s="4">
        <v>130</v>
      </c>
      <c r="AL1002" s="4">
        <v>129</v>
      </c>
      <c r="AM1002" s="10" cm="1">
        <f t="array" ref="AM100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160</v>
      </c>
      <c r="AN1002" s="10" t="str" cm="1">
        <f t="array" ref="AN100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Wayland Games</v>
      </c>
      <c r="AO1002" s="4">
        <f>_xlfn.XLOOKUP(tbl_MTG_Set[[#This Row],[Play Booster Box Product Id]], tbl_Product[Product Id], tbl_Product[Pack Size])</f>
        <v>36</v>
      </c>
      <c r="AP1002" s="10">
        <f>(tbl_MTG_Set[[#This Row],[Play Booster Box Cost]]+v_Item_Shipping_Cost_In)/tbl_MTG_Set[[#This Row],[Play Booster Box Size]]</f>
        <v>4.7833333333333332</v>
      </c>
      <c r="AQ1002" s="10" cm="1">
        <f t="array" ref="AQ100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5.0631029472</v>
      </c>
      <c r="AR1002" s="10">
        <v>5</v>
      </c>
      <c r="AS1002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-0.56638423228717949</v>
      </c>
      <c r="AT1002" s="17">
        <f>tbl_MTG_Set[[#This Row],[Play Booster CardMarket Profit]]/tbl_MTG_Set[[#This Row],[Play Booster Cost]]</f>
        <v>-0.11840785343982847</v>
      </c>
      <c r="AU1002" s="10">
        <f>_xlfn.XLOOKUP(tbl_MTG_Set[[#This Row],[Collector Booster Box Product Id]], tbl_Product[Product Id], tbl_Product[Min Cost])</f>
        <v>735.42858000000001</v>
      </c>
      <c r="AV1002" s="10" t="str">
        <f>_xlfn.XLOOKUP(tbl_MTG_Set[[#This Row],[Collector Booster Box Product Id]], tbl_Product[Product Id], tbl_Product[Best Source])</f>
        <v>Card Market</v>
      </c>
      <c r="AW1002" s="4">
        <f>_xlfn.XLOOKUP(tbl_MTG_Set[[#This Row],[Collector Booster Box Product Id]], tbl_Product[Product Id], tbl_Product[Pack Size])</f>
        <v>12</v>
      </c>
      <c r="AX1002" s="10">
        <f>(tbl_MTG_Set[[#This Row],[Collector Booster Box Cost]] + v_Item_Shipping_Cost_In) / tbl_MTG_Set[[#This Row],[Collector Booster Box Size]]</f>
        <v>62.302381666666669</v>
      </c>
      <c r="AY1002" s="10" cm="1">
        <f t="array" ref="AY100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70.326673926399991</v>
      </c>
      <c r="AZ1002" s="10"/>
      <c r="BA100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7.1781384135794752</v>
      </c>
      <c r="BB1002" s="17">
        <f>tbl_MTG_Set[[#This Row],[Collector Booster CardMarket Profit]]/tbl_MTG_Set[[#This Row],[Collector Booster Cost]]</f>
        <v>0.11521451061027349</v>
      </c>
      <c r="BC1002" s="10"/>
      <c r="BF1002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0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2" s="11">
        <f>tbl_MTG_Set[[#This Row],[Play Singles CardMarket Profit MTG Stocks]]/tbl_MTG_Set[[#This Row],[Play Booster Cost]]</f>
        <v>-208.85017421602788</v>
      </c>
      <c r="BI1002" s="11" t="b">
        <f>tbl_MTG_Set[[#This Row],[Play Singles CardMarket Profit MTG Stocks]]&gt;0</f>
        <v>0</v>
      </c>
      <c r="BJ1002" s="21" t="s">
        <v>1203</v>
      </c>
      <c r="BK1002" s="11">
        <v>5.0199999999999996</v>
      </c>
      <c r="BL1002" s="11">
        <v>9.1199999999999992</v>
      </c>
      <c r="BM1002" s="10">
        <f>tbl_MTG_Set[[#This Row],[Play Booster Sell Price CardMarket]]*tbl_MTG_Set[[#This Row],[Play Booster Expected Market Value BotBox]]/tbl_MTG_Set[[#This Row],[Play Booster Sealed Market Value BotBox]]</f>
        <v>2.7869272801473683</v>
      </c>
      <c r="BN100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-2.8425598993398111</v>
      </c>
      <c r="BO1002" s="17">
        <f>tbl_MTG_Set[[#This Row],[Play Singles CardMarket Profit BotBox]]/tbl_MTG_Set[[#This Row],[Play Booster Cost]]</f>
        <v>-0.59426339359020441</v>
      </c>
      <c r="BP1002" s="10" t="b">
        <f>tbl_MTG_Set[[#This Row],[Play Singles CardMarket Profit BotBox]]&gt;0</f>
        <v>0</v>
      </c>
      <c r="BQ1002" s="15" t="s">
        <v>1204</v>
      </c>
      <c r="BR1002" s="10"/>
      <c r="BS1002" s="10"/>
      <c r="BT1002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2" s="19">
        <f>tbl_MTG_Set[[#This Row],[Collector Singles CardMarket Profit MTG Stocks]]/tbl_MTG_Set[[#This Row],[Collector Booster Cost]]</f>
        <v>-16.034700011066992</v>
      </c>
      <c r="BW1002" s="10" t="b">
        <f>tbl_MTG_Set[[#This Row],[Collector Singles CardMarket Profit MTG Stocks]]&gt;0</f>
        <v>0</v>
      </c>
      <c r="BX1002" s="10">
        <v>39.76</v>
      </c>
      <c r="BY1002" s="10">
        <v>60.68</v>
      </c>
      <c r="BZ1002" s="10">
        <f>tbl_MTG_Set[[#This Row],[Collector Booster Sell Price CardMarket]]*tbl_MTG_Set[[#This Row],[Collector Booster Expected Market Value BotBox]]/tbl_MTG_Set[[#This Row],[Collector Booster Sealed Market Value BotBox]]</f>
        <v>46.08089247385734</v>
      </c>
      <c r="CA100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-17.067643038963176</v>
      </c>
      <c r="CB1002" s="17">
        <f>tbl_MTG_Set[[#This Row],[Collector Singles CardMarket Profit BotBox]]/tbl_MTG_Set[[#This Row],[Collector Booster Cost]]</f>
        <v>-0.27394848451026055</v>
      </c>
      <c r="CC1002" s="10" t="b">
        <f>tbl_MTG_Set[[#This Row],[Collector Singles CardMarket Profit BotBox]]&gt;0</f>
        <v>0</v>
      </c>
      <c r="CD100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7.1781384135794752</v>
      </c>
      <c r="CG100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0.11521451061027349</v>
      </c>
    </row>
    <row r="1003" spans="1:86">
      <c r="A1003">
        <v>30</v>
      </c>
      <c r="B1003" t="s">
        <v>1205</v>
      </c>
      <c r="C1003">
        <v>399</v>
      </c>
      <c r="D1003" s="3">
        <v>45870</v>
      </c>
      <c r="E1003" t="s">
        <v>59</v>
      </c>
      <c r="F1003" t="s">
        <v>174</v>
      </c>
      <c r="G1003">
        <v>31</v>
      </c>
      <c r="H1003">
        <f ca="1">MONTH(NOW())+12*YEAR(NOW())-MONTH(tbl_MTG_Set[[#This Row],[Released On]])-12*YEAR(tbl_MTG_Set[[#This Row],[Released On]])</f>
        <v>7</v>
      </c>
      <c r="I1003">
        <f>_xlfn.XLOOKUP(tbl_MTG_Set[[#This Row],[Type Name]], tbl_MTG_Set_Type[Set Type], tbl_MTG_Set_Type[Index], "(Set Type not found)")</f>
        <v>1</v>
      </c>
      <c r="J1003">
        <f>_xlfn.XLOOKUP(tbl_MTG_Set[[#This Row],[Type Name]], tbl_MTG_Set_Type[Set Type], tbl_MTG_Set_Type[Buy Window Month Start], "(Set Type not found)")</f>
        <v>18</v>
      </c>
      <c r="K1003" s="3">
        <f>tbl_MTG_Set[[#This Row],[Released On]]+tbl_MTG_Set[[#This Row],[Buy Window Month Start]]*365.25/12</f>
        <v>46417.875</v>
      </c>
      <c r="L1003">
        <f>_xlfn.XLOOKUP(tbl_MTG_Set[[#This Row],[Type Name]], tbl_MTG_Set_Type[Set Type], tbl_MTG_Set_Type[Buy Window Month End], "(Set Type not found)", 0, 1)</f>
        <v>24</v>
      </c>
      <c r="M1003" s="3">
        <f>tbl_MTG_Set[[#This Row],[Released On]]+tbl_MTG_Set[[#This Row],[Buy Window Month End]]*365.25/12</f>
        <v>46600.5</v>
      </c>
      <c r="N1003" s="3" t="b">
        <f ca="1">AND(NOW()&gt;=tbl_MTG_Set[[#This Row],[Buy Window Start]], NOW()&lt;=tbl_MTG_Set[[#This Row],[Buy Window End]])</f>
        <v>0</v>
      </c>
      <c r="O1003">
        <f>_xlfn.XLOOKUP(tbl_MTG_Set[[#This Row],[Type Name]], tbl_MTG_Set_Type[Set Type], tbl_MTG_Set_Type[Heavy Printing Window Month Start], "(Set Type not found)", 0, 1)</f>
        <v>1</v>
      </c>
      <c r="P1003" s="3">
        <f>tbl_MTG_Set[[#This Row],[Released On]]+tbl_MTG_Set[[#This Row],[Heavy Printing Window Month Start]]*365.25/12</f>
        <v>45900.4375</v>
      </c>
      <c r="Q1003">
        <f>_xlfn.XLOOKUP(tbl_MTG_Set[[#This Row],[Type Name]], tbl_MTG_Set_Type[Set Type], tbl_MTG_Set_Type[Heavy Printing Window Month End], "(Set Type not found)", 0, 1)</f>
        <v>18</v>
      </c>
      <c r="R1003" s="3">
        <f>tbl_MTG_Set[[#This Row],[Released On]]+tbl_MTG_Set[[#This Row],[Heavy Printing Window Month End]]*365.25/12</f>
        <v>46417.875</v>
      </c>
      <c r="S1003" s="3" t="b">
        <f ca="1">AND(NOW()&gt;=tbl_MTG_Set[[#This Row],[Heavy Printing Window Start]], NOW()&lt;=tbl_MTG_Set[[#This Row],[Heavy Printing Window End]])</f>
        <v>1</v>
      </c>
      <c r="T1003">
        <f>_xlfn.XLOOKUP(tbl_MTG_Set[[#This Row],[Type Name]], tbl_MTG_Set_Type[Set Type], tbl_MTG_Set_Type[Sell Window Month Start], "(Set Type not found)", 0, 1)</f>
        <v>36</v>
      </c>
      <c r="U1003" s="3">
        <f>tbl_MTG_Set[[#This Row],[Released On]]+tbl_MTG_Set[[#This Row],[Sell Window Month Start]]*365.25/12</f>
        <v>46965.75</v>
      </c>
      <c r="V1003">
        <f>_xlfn.XLOOKUP(tbl_MTG_Set[[#This Row],[Type Name]], tbl_MTG_Set_Type[Set Type], tbl_MTG_Set_Type[Sell Window Month End], "(Set Type not found)", 0, 1)</f>
        <v>48</v>
      </c>
      <c r="W1003" s="3">
        <f>tbl_MTG_Set[[#This Row],[Released On]]+tbl_MTG_Set[[#This Row],[Sell Window Month End]]*365.25/12</f>
        <v>47331</v>
      </c>
      <c r="X1003" s="3" t="b">
        <f ca="1">AND(NOW()&gt;=tbl_MTG_Set[[#This Row],[Sell Window Start]], NOW()&lt;=tbl_MTG_Set[[#This Row],[Sell Window End]])</f>
        <v>0</v>
      </c>
      <c r="Y1003" s="10">
        <v>126</v>
      </c>
      <c r="Z1003" s="10">
        <v>120</v>
      </c>
      <c r="AD1003" s="10">
        <f>(Y1003+96/20)/30</f>
        <v>4.3600000000000003</v>
      </c>
      <c r="AE1003" s="10">
        <f>(Z1003+96/20)/30</f>
        <v>4.16</v>
      </c>
      <c r="AG1003" s="10"/>
      <c r="AH1003" s="10"/>
      <c r="AI1003" s="4">
        <v>65</v>
      </c>
      <c r="AJ1003" s="4">
        <v>20</v>
      </c>
      <c r="AK1003" s="4">
        <v>98</v>
      </c>
      <c r="AL1003" s="4">
        <v>97</v>
      </c>
      <c r="AM1003" s="10" cm="1">
        <f t="array" ref="AM100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163.28588935999997</v>
      </c>
      <c r="AN1003" s="10" t="str" cm="1">
        <f t="array" ref="AN100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03" s="4">
        <f>_xlfn.XLOOKUP(tbl_MTG_Set[[#This Row],[Play Booster Box Product Id]], tbl_Product[Product Id], tbl_Product[Pack Size])</f>
        <v>30</v>
      </c>
      <c r="AP1003" s="10">
        <f>(tbl_MTG_Set[[#This Row],[Play Booster Box Cost]]+v_Item_Shipping_Cost_In)/tbl_MTG_Set[[#This Row],[Play Booster Box Size]]</f>
        <v>5.8495296453333321</v>
      </c>
      <c r="AQ1003" s="10" cm="1">
        <f t="array" ref="AQ100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5.1761963119999992</v>
      </c>
      <c r="AR1003" s="10">
        <v>5</v>
      </c>
      <c r="AS1003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03" s="17">
        <f>tbl_MTG_Set[[#This Row],[Play Booster CardMarket Profit]]/tbl_MTG_Set[[#This Row],[Play Booster Cost]]</f>
        <v>-0.25976228374180538</v>
      </c>
      <c r="AU1003" s="10">
        <f>_xlfn.XLOOKUP(tbl_MTG_Set[[#This Row],[Collector Booster Box Product Id]], tbl_Product[Product Id], tbl_Product[Min Cost])</f>
        <v>380</v>
      </c>
      <c r="AV1003" s="10" t="str">
        <f>_xlfn.XLOOKUP(tbl_MTG_Set[[#This Row],[Collector Booster Box Product Id]], tbl_Product[Product Id], tbl_Product[Best Source])</f>
        <v>The Game Collection</v>
      </c>
      <c r="AW1003" s="4">
        <f>_xlfn.XLOOKUP(tbl_MTG_Set[[#This Row],[Collector Booster Box Product Id]], tbl_Product[Product Id], tbl_Product[Pack Size])</f>
        <v>12</v>
      </c>
      <c r="AX1003" s="10">
        <f>(tbl_MTG_Set[[#This Row],[Collector Booster Box Cost]] + v_Item_Shipping_Cost_In) / tbl_MTG_Set[[#This Row],[Collector Booster Box Size]]</f>
        <v>32.68333333333333</v>
      </c>
      <c r="AY1003" s="10" cm="1">
        <f t="array" ref="AY100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37.181618550400003</v>
      </c>
      <c r="AZ1003" s="10"/>
      <c r="BA100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3.6521313709128269</v>
      </c>
      <c r="BB1003" s="17">
        <f>tbl_MTG_Set[[#This Row],[Collector Booster CardMarket Profit]]/tbl_MTG_Set[[#This Row],[Collector Booster Cost]]</f>
        <v>0.11174292822782746</v>
      </c>
      <c r="BC1003" s="15" t="s">
        <v>1206</v>
      </c>
      <c r="BD1003" s="11">
        <v>5.59</v>
      </c>
      <c r="BE1003" s="11">
        <v>6.73</v>
      </c>
      <c r="BF1003" s="11">
        <f>tbl_MTG_Set[[#This Row],[Play Booster Sell Price CardMarket]]*tbl_MTG_Set[[#This Row],[Play Booster Expected Market Value MTG Stocks]]/tbl_MTG_Set[[#This Row],[Play Booster Sealed Market Value MTG Stocks]]</f>
        <v>4.2993963423595831</v>
      </c>
      <c r="BG100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-2.3962871491275952</v>
      </c>
      <c r="BH1003" s="19">
        <f>tbl_MTG_Set[[#This Row],[Play Singles CardMarket Profit MTG Stocks]]/tbl_MTG_Set[[#This Row],[Play Booster Cost]]</f>
        <v>-0.40965467215630191</v>
      </c>
      <c r="BI1003" s="11" t="b">
        <f>tbl_MTG_Set[[#This Row],[Play Singles CardMarket Profit MTG Stocks]]&gt;0</f>
        <v>0</v>
      </c>
      <c r="BJ1003" s="21" t="s">
        <v>1207</v>
      </c>
      <c r="BK1003" s="11">
        <v>4.12</v>
      </c>
      <c r="BL1003" s="11">
        <v>6.78</v>
      </c>
      <c r="BM1003" s="10">
        <f>tbl_MTG_Set[[#This Row],[Play Booster Sell Price CardMarket]]*tbl_MTG_Set[[#This Row],[Play Booster Expected Market Value BotBox]]/tbl_MTG_Set[[#This Row],[Play Booster Sealed Market Value BotBox]]</f>
        <v>3.1454172279410022</v>
      </c>
      <c r="BN100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-3.5502662635461761</v>
      </c>
      <c r="BO1003" s="17">
        <f>tbl_MTG_Set[[#This Row],[Play Singles CardMarket Profit BotBox]]/tbl_MTG_Set[[#This Row],[Play Booster Cost]]</f>
        <v>-0.60693192082179215</v>
      </c>
      <c r="BP1003" s="10" t="b">
        <f>tbl_MTG_Set[[#This Row],[Play Singles CardMarket Profit BotBox]]&gt;0</f>
        <v>0</v>
      </c>
      <c r="BQ1003" s="15" t="s">
        <v>1208</v>
      </c>
      <c r="BR1003" s="10">
        <v>30.27</v>
      </c>
      <c r="BS1003" s="10">
        <v>39.979999999999997</v>
      </c>
      <c r="BT1003" s="10">
        <f>tbl_MTG_Set[[#This Row],[Collector Booster Sell Price CardMarket]]*tbl_MTG_Set[[#This Row],[Collector Booster Expected Market Value MTG Stocks]]/tbl_MTG_Set[[#This Row],[Collector Booster Sealed Market Value MTG Stocks]]</f>
        <v>28.151265470750577</v>
      </c>
      <c r="BU100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-5.3782217087366</v>
      </c>
      <c r="BV1003" s="19">
        <f>tbl_MTG_Set[[#This Row],[Collector Singles CardMarket Profit MTG Stocks]]/tbl_MTG_Set[[#This Row],[Collector Booster Cost]]</f>
        <v>-0.16455548318418972</v>
      </c>
      <c r="BW1003" s="10" t="b">
        <f>tbl_MTG_Set[[#This Row],[Collector Singles CardMarket Profit MTG Stocks]]&gt;0</f>
        <v>0</v>
      </c>
      <c r="BX1003" s="10">
        <v>29.16</v>
      </c>
      <c r="BY1003" s="10">
        <v>39.950000000000003</v>
      </c>
      <c r="BZ1003" s="10">
        <f>tbl_MTG_Set[[#This Row],[Collector Booster Sell Price CardMarket]]*tbl_MTG_Set[[#This Row],[Collector Booster Expected Market Value BotBox]]/tbl_MTG_Set[[#This Row],[Collector Booster Sealed Market Value BotBox]]</f>
        <v>27.139324078339524</v>
      </c>
      <c r="CA100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-6.3901631011476532</v>
      </c>
      <c r="CB1003" s="17">
        <f>tbl_MTG_Set[[#This Row],[Collector Singles CardMarket Profit BotBox]]/tbl_MTG_Set[[#This Row],[Collector Booster Cost]]</f>
        <v>-0.19551748397188129</v>
      </c>
      <c r="CC1003" s="10" t="b">
        <f>tbl_MTG_Set[[#This Row],[Collector Singles CardMarket Profit BotBox]]&gt;0</f>
        <v>0</v>
      </c>
      <c r="CD100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3.6521313709128269</v>
      </c>
      <c r="CG100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0.11174292822782746</v>
      </c>
    </row>
    <row r="1004" spans="1:86">
      <c r="A1004">
        <v>10</v>
      </c>
      <c r="B1004" t="s">
        <v>1209</v>
      </c>
      <c r="C1004">
        <v>394</v>
      </c>
      <c r="D1004" s="3">
        <v>45982</v>
      </c>
      <c r="E1004" t="s">
        <v>86</v>
      </c>
      <c r="F1004" t="s">
        <v>174</v>
      </c>
      <c r="G1004">
        <v>11</v>
      </c>
      <c r="H1004">
        <f ca="1">MONTH(NOW())+12*YEAR(NOW())-MONTH(tbl_MTG_Set[[#This Row],[Released On]])-12*YEAR(tbl_MTG_Set[[#This Row],[Released On]])</f>
        <v>4</v>
      </c>
      <c r="I1004">
        <f>_xlfn.XLOOKUP(tbl_MTG_Set[[#This Row],[Type Name]], tbl_MTG_Set_Type[Set Type], tbl_MTG_Set_Type[Index], "(Set Type not found)")</f>
        <v>6</v>
      </c>
      <c r="J1004">
        <f>_xlfn.XLOOKUP(tbl_MTG_Set[[#This Row],[Type Name]], tbl_MTG_Set_Type[Set Type], tbl_MTG_Set_Type[Buy Window Month Start], "(Set Type not found)")</f>
        <v>3</v>
      </c>
      <c r="K1004" s="3">
        <f>tbl_MTG_Set[[#This Row],[Released On]]+tbl_MTG_Set[[#This Row],[Buy Window Month Start]]*365.25/12</f>
        <v>46073.3125</v>
      </c>
      <c r="L1004">
        <f>_xlfn.XLOOKUP(tbl_MTG_Set[[#This Row],[Type Name]], tbl_MTG_Set_Type[Set Type], tbl_MTG_Set_Type[Buy Window Month End], "(Set Type not found)", 0, 1)</f>
        <v>6</v>
      </c>
      <c r="M1004" s="3">
        <f>tbl_MTG_Set[[#This Row],[Released On]]+tbl_MTG_Set[[#This Row],[Buy Window Month End]]*365.25/12</f>
        <v>46164.625</v>
      </c>
      <c r="N1004" s="3" t="b">
        <f ca="1">AND(NOW()&gt;=tbl_MTG_Set[[#This Row],[Buy Window Start]], NOW()&lt;=tbl_MTG_Set[[#This Row],[Buy Window End]])</f>
        <v>1</v>
      </c>
      <c r="O1004">
        <f>_xlfn.XLOOKUP(tbl_MTG_Set[[#This Row],[Type Name]], tbl_MTG_Set_Type[Set Type], tbl_MTG_Set_Type[Heavy Printing Window Month Start], "(Set Type not found)", 0, 1)</f>
        <v>0</v>
      </c>
      <c r="P1004" s="3">
        <f>tbl_MTG_Set[[#This Row],[Released On]]+tbl_MTG_Set[[#This Row],[Heavy Printing Window Month Start]]*365.25/12</f>
        <v>45982</v>
      </c>
      <c r="Q1004">
        <f>_xlfn.XLOOKUP(tbl_MTG_Set[[#This Row],[Type Name]], tbl_MTG_Set_Type[Set Type], tbl_MTG_Set_Type[Heavy Printing Window Month End], "(Set Type not found)", 0, 1)</f>
        <v>0</v>
      </c>
      <c r="R1004" s="3">
        <f>tbl_MTG_Set[[#This Row],[Released On]]+tbl_MTG_Set[[#This Row],[Heavy Printing Window Month End]]*365.25/12</f>
        <v>45982</v>
      </c>
      <c r="S1004" s="3" t="b">
        <f ca="1">AND(NOW()&gt;=tbl_MTG_Set[[#This Row],[Heavy Printing Window Start]], NOW()&lt;=tbl_MTG_Set[[#This Row],[Heavy Printing Window End]])</f>
        <v>0</v>
      </c>
      <c r="T1004">
        <f>_xlfn.XLOOKUP(tbl_MTG_Set[[#This Row],[Type Name]], tbl_MTG_Set_Type[Set Type], tbl_MTG_Set_Type[Sell Window Month Start], "(Set Type not found)", 0, 1)</f>
        <v>0</v>
      </c>
      <c r="U1004" s="3">
        <f>tbl_MTG_Set[[#This Row],[Released On]]+tbl_MTG_Set[[#This Row],[Sell Window Month Start]]*365.25/12</f>
        <v>45982</v>
      </c>
      <c r="V1004">
        <f>_xlfn.XLOOKUP(tbl_MTG_Set[[#This Row],[Type Name]], tbl_MTG_Set_Type[Set Type], tbl_MTG_Set_Type[Sell Window Month End], "(Set Type not found)", 0, 1)</f>
        <v>0</v>
      </c>
      <c r="W1004" s="3">
        <f>tbl_MTG_Set[[#This Row],[Released On]]+tbl_MTG_Set[[#This Row],[Sell Window Month End]]*365.25/12</f>
        <v>45982</v>
      </c>
      <c r="X1004" s="3" t="b">
        <f ca="1">AND(NOW()&gt;=tbl_MTG_Set[[#This Row],[Sell Window Start]], NOW()&lt;=tbl_MTG_Set[[#This Row],[Sell Window End]])</f>
        <v>0</v>
      </c>
      <c r="Y1004" s="10">
        <f>4.2*20+8</f>
        <v>92</v>
      </c>
      <c r="Z1004" s="10">
        <v>145</v>
      </c>
      <c r="AC1004" s="10">
        <v>141</v>
      </c>
      <c r="AD1004" s="10">
        <f>(Y1004+96/20)/30</f>
        <v>3.2266666666666666</v>
      </c>
      <c r="AE1004" s="10">
        <f>(Z1004+96/20)/30</f>
        <v>4.9933333333333341</v>
      </c>
      <c r="AG1004" s="10"/>
      <c r="AH1004" s="10"/>
      <c r="AI1004" s="4">
        <v>57</v>
      </c>
      <c r="AJ1004" s="4">
        <v>12</v>
      </c>
      <c r="AK1004" s="4">
        <v>88</v>
      </c>
      <c r="AL1004" s="4">
        <v>87</v>
      </c>
      <c r="AM1004" s="10" cm="1">
        <f t="array" ref="AM100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105</v>
      </c>
      <c r="AN1004" s="10" t="str" cm="1">
        <f t="array" ref="AN100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Travelling Man</v>
      </c>
      <c r="AO1004" s="4">
        <f>_xlfn.XLOOKUP(tbl_MTG_Set[[#This Row],[Play Booster Box Product Id]], tbl_Product[Product Id], tbl_Product[Pack Size])</f>
        <v>30</v>
      </c>
      <c r="AP1004" s="10">
        <f>(tbl_MTG_Set[[#This Row],[Play Booster Box Cost]]+v_Item_Shipping_Cost_In)/tbl_MTG_Set[[#This Row],[Play Booster Box Size]]</f>
        <v>3.9066666666666667</v>
      </c>
      <c r="AQ1004" s="10" cm="1">
        <f t="array" ref="AQ100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4.0887601120000001</v>
      </c>
      <c r="AR1004" s="10">
        <v>7</v>
      </c>
      <c r="AS1004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-0.66406040082051287</v>
      </c>
      <c r="AT1004" s="17">
        <f>tbl_MTG_Set[[#This Row],[Play Booster CardMarket Profit]]/tbl_MTG_Set[[#This Row],[Play Booster Cost]]</f>
        <v>-0.16998133126804937</v>
      </c>
      <c r="AU1004" s="10">
        <f>_xlfn.XLOOKUP(tbl_MTG_Set[[#This Row],[Collector Booster Box Product Id]], tbl_Product[Product Id], tbl_Product[Min Cost])</f>
        <v>308.25675999999999</v>
      </c>
      <c r="AV1004" s="10" t="str">
        <f>_xlfn.XLOOKUP(tbl_MTG_Set[[#This Row],[Collector Booster Box Product Id]], tbl_Product[Product Id], tbl_Product[Best Source])</f>
        <v>Card Market</v>
      </c>
      <c r="AW1004" s="4">
        <f>_xlfn.XLOOKUP(tbl_MTG_Set[[#This Row],[Collector Booster Box Product Id]], tbl_Product[Product Id], tbl_Product[Pack Size])</f>
        <v>12</v>
      </c>
      <c r="AX1004" s="10">
        <f>(tbl_MTG_Set[[#This Row],[Collector Booster Box Cost]] + v_Item_Shipping_Cost_In) / tbl_MTG_Set[[#This Row],[Collector Booster Box Size]]</f>
        <v>26.704729999999998</v>
      </c>
      <c r="AY1004" s="10" cm="1">
        <f t="array" ref="AY100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30.509110027199998</v>
      </c>
      <c r="AZ1004" s="10"/>
      <c r="BA100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2.9582261810461543</v>
      </c>
      <c r="BB1004" s="17">
        <f>tbl_MTG_Set[[#This Row],[Collector Booster CardMarket Profit]]/tbl_MTG_Set[[#This Row],[Collector Booster Cost]]</f>
        <v>0.1107753638043206</v>
      </c>
      <c r="BC1004" s="15" t="s">
        <v>1210</v>
      </c>
      <c r="BD1004" s="11">
        <v>9.3000000000000007</v>
      </c>
      <c r="BE1004" s="11">
        <v>5.45</v>
      </c>
      <c r="BF1004" s="11">
        <f>tbl_MTG_Set[[#This Row],[Play Booster Sell Price CardMarket]]*tbl_MTG_Set[[#This Row],[Play Booster Expected Market Value MTG Stocks]]/tbl_MTG_Set[[#This Row],[Play Booster Sealed Market Value MTG Stocks]]</f>
        <v>6.9771502828623859</v>
      </c>
      <c r="BG100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2.2243297700418729</v>
      </c>
      <c r="BH1004" s="19">
        <f>tbl_MTG_Set[[#This Row],[Play Singles CardMarket Profit MTG Stocks]]/tbl_MTG_Set[[#This Row],[Play Booster Cost]]</f>
        <v>0.56936768857727127</v>
      </c>
      <c r="BI1004" s="11" t="b">
        <f>tbl_MTG_Set[[#This Row],[Play Singles CardMarket Profit MTG Stocks]]&gt;0</f>
        <v>1</v>
      </c>
      <c r="BJ1004" s="21" t="s">
        <v>1211</v>
      </c>
      <c r="BK1004" s="11">
        <v>3.79</v>
      </c>
      <c r="BL1004" s="11">
        <v>6</v>
      </c>
      <c r="BM1004" s="10">
        <f>tbl_MTG_Set[[#This Row],[Play Booster Sell Price CardMarket]]*tbl_MTG_Set[[#This Row],[Play Booster Expected Market Value BotBox]]/tbl_MTG_Set[[#This Row],[Play Booster Sealed Market Value BotBox]]</f>
        <v>2.5827334707466667</v>
      </c>
      <c r="BN100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-2.1700870420738463</v>
      </c>
      <c r="BO1004" s="17">
        <f>tbl_MTG_Set[[#This Row],[Play Singles CardMarket Profit BotBox]]/tbl_MTG_Set[[#This Row],[Play Booster Cost]]</f>
        <v>-0.55548303124757159</v>
      </c>
      <c r="BP1004" s="10" t="b">
        <f>tbl_MTG_Set[[#This Row],[Play Singles CardMarket Profit BotBox]]&gt;0</f>
        <v>0</v>
      </c>
      <c r="BQ1004" s="15" t="s">
        <v>1212</v>
      </c>
      <c r="BR1004" s="10">
        <v>40.46</v>
      </c>
      <c r="BS1004" s="10">
        <v>41.39</v>
      </c>
      <c r="BT1004" s="10">
        <f>tbl_MTG_Set[[#This Row],[Collector Booster Sell Price CardMarket]]*tbl_MTG_Set[[#This Row],[Collector Booster Expected Market Value MTG Stocks]]/tbl_MTG_Set[[#This Row],[Collector Booster Sealed Market Value MTG Stocks]]</f>
        <v>29.823594870754096</v>
      </c>
      <c r="BU100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2.2727110246002522</v>
      </c>
      <c r="BV1004" s="19">
        <f>tbl_MTG_Set[[#This Row],[Collector Singles CardMarket Profit MTG Stocks]]/tbl_MTG_Set[[#This Row],[Collector Booster Cost]]</f>
        <v>8.5105186407061689E-2</v>
      </c>
      <c r="BW1004" s="10" t="b">
        <f>tbl_MTG_Set[[#This Row],[Collector Singles CardMarket Profit MTG Stocks]]&gt;0</f>
        <v>1</v>
      </c>
      <c r="BX1004" s="10">
        <v>29.41</v>
      </c>
      <c r="BY1004" s="10">
        <v>41.26</v>
      </c>
      <c r="BZ1004" s="10">
        <f>tbl_MTG_Set[[#This Row],[Collector Booster Sell Price CardMarket]]*tbl_MTG_Set[[#This Row],[Collector Booster Expected Market Value BotBox]]/tbl_MTG_Set[[#This Row],[Collector Booster Sealed Market Value BotBox]]</f>
        <v>21.746798979640136</v>
      </c>
      <c r="CA100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-5.8040848665137084</v>
      </c>
      <c r="CB1004" s="18">
        <f>tbl_MTG_Set[[#This Row],[Collector Singles CardMarket Profit BotBox]]/tbl_MTG_Set[[#This Row],[Collector Booster Cost]]</f>
        <v>-0.21734295259730052</v>
      </c>
      <c r="CC1004" s="10" t="b">
        <f>tbl_MTG_Set[[#This Row],[Collector Singles CardMarket Profit BotBox]]&gt;0</f>
        <v>0</v>
      </c>
      <c r="CD100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2.9582261810461543</v>
      </c>
      <c r="CG100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Singles</v>
      </c>
      <c r="CH100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0.56936768857727127</v>
      </c>
    </row>
    <row r="1005" spans="1:86">
      <c r="A1005">
        <v>49</v>
      </c>
      <c r="B1005" t="s">
        <v>1213</v>
      </c>
      <c r="C1005">
        <v>427</v>
      </c>
      <c r="D1005" s="3">
        <v>45758</v>
      </c>
      <c r="E1005" t="s">
        <v>59</v>
      </c>
      <c r="F1005" t="s">
        <v>174</v>
      </c>
      <c r="G1005">
        <v>50</v>
      </c>
      <c r="H1005">
        <f ca="1">MONTH(NOW())+12*YEAR(NOW())-MONTH(tbl_MTG_Set[[#This Row],[Released On]])-12*YEAR(tbl_MTG_Set[[#This Row],[Released On]])</f>
        <v>11</v>
      </c>
      <c r="I1005">
        <f>_xlfn.XLOOKUP(tbl_MTG_Set[[#This Row],[Type Name]], tbl_MTG_Set_Type[Set Type], tbl_MTG_Set_Type[Index], "(Set Type not found)")</f>
        <v>1</v>
      </c>
      <c r="J1005">
        <f>_xlfn.XLOOKUP(tbl_MTG_Set[[#This Row],[Type Name]], tbl_MTG_Set_Type[Set Type], tbl_MTG_Set_Type[Buy Window Month Start], "(Set Type not found)")</f>
        <v>18</v>
      </c>
      <c r="K1005" s="3">
        <f>tbl_MTG_Set[[#This Row],[Released On]]+tbl_MTG_Set[[#This Row],[Buy Window Month Start]]*365.25/12</f>
        <v>46305.875</v>
      </c>
      <c r="L1005">
        <f>_xlfn.XLOOKUP(tbl_MTG_Set[[#This Row],[Type Name]], tbl_MTG_Set_Type[Set Type], tbl_MTG_Set_Type[Buy Window Month End], "(Set Type not found)", 0, 1)</f>
        <v>24</v>
      </c>
      <c r="M1005" s="3">
        <f>tbl_MTG_Set[[#This Row],[Released On]]+tbl_MTG_Set[[#This Row],[Buy Window Month End]]*365.25/12</f>
        <v>46488.5</v>
      </c>
      <c r="N1005" s="3" t="b">
        <f ca="1">AND(NOW()&gt;=tbl_MTG_Set[[#This Row],[Buy Window Start]], NOW()&lt;=tbl_MTG_Set[[#This Row],[Buy Window End]])</f>
        <v>0</v>
      </c>
      <c r="O1005">
        <f>_xlfn.XLOOKUP(tbl_MTG_Set[[#This Row],[Type Name]], tbl_MTG_Set_Type[Set Type], tbl_MTG_Set_Type[Heavy Printing Window Month Start], "(Set Type not found)", 0, 1)</f>
        <v>1</v>
      </c>
      <c r="P1005" s="3">
        <f>tbl_MTG_Set[[#This Row],[Released On]]+tbl_MTG_Set[[#This Row],[Heavy Printing Window Month Start]]*365.25/12</f>
        <v>45788.4375</v>
      </c>
      <c r="Q1005">
        <f>_xlfn.XLOOKUP(tbl_MTG_Set[[#This Row],[Type Name]], tbl_MTG_Set_Type[Set Type], tbl_MTG_Set_Type[Heavy Printing Window Month End], "(Set Type not found)", 0, 1)</f>
        <v>18</v>
      </c>
      <c r="R1005" s="3">
        <f>tbl_MTG_Set[[#This Row],[Released On]]+tbl_MTG_Set[[#This Row],[Heavy Printing Window Month End]]*365.25/12</f>
        <v>46305.875</v>
      </c>
      <c r="S1005" s="3" t="b">
        <f ca="1">AND(NOW()&gt;=tbl_MTG_Set[[#This Row],[Heavy Printing Window Start]], NOW()&lt;=tbl_MTG_Set[[#This Row],[Heavy Printing Window End]])</f>
        <v>1</v>
      </c>
      <c r="T1005">
        <f>_xlfn.XLOOKUP(tbl_MTG_Set[[#This Row],[Type Name]], tbl_MTG_Set_Type[Set Type], tbl_MTG_Set_Type[Sell Window Month Start], "(Set Type not found)", 0, 1)</f>
        <v>36</v>
      </c>
      <c r="U1005" s="3">
        <f>tbl_MTG_Set[[#This Row],[Released On]]+tbl_MTG_Set[[#This Row],[Sell Window Month Start]]*365.25/12</f>
        <v>46853.75</v>
      </c>
      <c r="V1005">
        <f>_xlfn.XLOOKUP(tbl_MTG_Set[[#This Row],[Type Name]], tbl_MTG_Set_Type[Set Type], tbl_MTG_Set_Type[Sell Window Month End], "(Set Type not found)", 0, 1)</f>
        <v>48</v>
      </c>
      <c r="W1005" s="3">
        <f>tbl_MTG_Set[[#This Row],[Released On]]+tbl_MTG_Set[[#This Row],[Sell Window Month End]]*365.25/12</f>
        <v>47219</v>
      </c>
      <c r="X1005" s="3" t="b">
        <f ca="1">AND(NOW()&gt;=tbl_MTG_Set[[#This Row],[Sell Window Start]], NOW()&lt;=tbl_MTG_Set[[#This Row],[Sell Window End]])</f>
        <v>0</v>
      </c>
      <c r="Y1005" s="10">
        <v>103</v>
      </c>
      <c r="Z1005" s="10">
        <v>107</v>
      </c>
      <c r="AD1005" s="10">
        <f>(Y1005+ 96/20)/30</f>
        <v>3.5933333333333333</v>
      </c>
      <c r="AE1005" s="10">
        <f>(Z1005+ 96/20)/30</f>
        <v>3.7266666666666666</v>
      </c>
      <c r="AG1005" s="10"/>
      <c r="AH1005" s="10"/>
      <c r="AI1005" s="4">
        <v>42</v>
      </c>
      <c r="AJ1005" s="4">
        <v>27</v>
      </c>
      <c r="AK1005" s="4">
        <v>136</v>
      </c>
      <c r="AL1005" s="4">
        <v>135</v>
      </c>
      <c r="AM1005" s="10" cm="1">
        <f t="array" ref="AM100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109.523043632</v>
      </c>
      <c r="AN1005" s="10" t="str" cm="1">
        <f t="array" ref="AN100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05" s="4">
        <f>_xlfn.XLOOKUP(tbl_MTG_Set[[#This Row],[Play Booster Box Product Id]], tbl_Product[Product Id], tbl_Product[Pack Size])</f>
        <v>30</v>
      </c>
      <c r="AP1005" s="10">
        <f>(tbl_MTG_Set[[#This Row],[Play Booster Box Cost]]+v_Item_Shipping_Cost_In)/tbl_MTG_Set[[#This Row],[Play Booster Box Size]]</f>
        <v>4.0574347877333334</v>
      </c>
      <c r="AQ1005" s="10" cm="1">
        <f t="array" ref="AQ100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3.3841014544000001</v>
      </c>
      <c r="AR1005" s="10">
        <v>5.5</v>
      </c>
      <c r="AS1005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-1.5194871794871796</v>
      </c>
      <c r="AT1005" s="17">
        <f>tbl_MTG_Set[[#This Row],[Play Booster CardMarket Profit]]/tbl_MTG_Set[[#This Row],[Play Booster Cost]]</f>
        <v>-0.37449454125078713</v>
      </c>
      <c r="AU1005" s="10">
        <f>_xlfn.XLOOKUP(tbl_MTG_Set[[#This Row],[Collector Booster Box Product Id]], tbl_Product[Product Id], tbl_Product[Min Cost])</f>
        <v>328.78962000000001</v>
      </c>
      <c r="AV1005" s="10" t="str">
        <f>_xlfn.XLOOKUP(tbl_MTG_Set[[#This Row],[Collector Booster Box Product Id]], tbl_Product[Product Id], tbl_Product[Best Source])</f>
        <v>Card Market</v>
      </c>
      <c r="AW1005" s="4">
        <f>_xlfn.XLOOKUP(tbl_MTG_Set[[#This Row],[Collector Booster Box Product Id]], tbl_Product[Product Id], tbl_Product[Pack Size])</f>
        <v>12</v>
      </c>
      <c r="AX1005" s="10">
        <f>(tbl_MTG_Set[[#This Row],[Collector Booster Box Cost]] + v_Item_Shipping_Cost_In) / tbl_MTG_Set[[#This Row],[Collector Booster Box Size]]</f>
        <v>28.415801666666667</v>
      </c>
      <c r="AY1005" s="10" cm="1">
        <f t="array" ref="AY100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31.0310794032</v>
      </c>
      <c r="AZ1005" s="10"/>
      <c r="BA100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1.7691238903794866</v>
      </c>
      <c r="BB1005" s="17">
        <f>tbl_MTG_Set[[#This Row],[Collector Booster CardMarket Profit]]/tbl_MTG_Set[[#This Row],[Collector Booster Cost]]</f>
        <v>6.2258454332286828E-2</v>
      </c>
      <c r="BC1005" s="15" t="s">
        <v>1214</v>
      </c>
      <c r="BD1005" s="11">
        <v>3.28</v>
      </c>
      <c r="BE1005" s="11">
        <v>4.8600000000000003</v>
      </c>
      <c r="BF1005" s="11">
        <f>tbl_MTG_Set[[#This Row],[Play Booster Sell Price CardMarket]]*tbl_MTG_Set[[#This Row],[Play Booster Expected Market Value MTG Stocks]]/tbl_MTG_Set[[#This Row],[Play Booster Sealed Market Value MTG Stocks]]</f>
        <v>2.283920323134156</v>
      </c>
      <c r="BG100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-2.6196683107530236</v>
      </c>
      <c r="BH1005" s="11">
        <f>tbl_MTG_Set[[#This Row],[Play Singles CardMarket Profit MTG Stocks]]/tbl_MTG_Set[[#This Row],[Play Booster Cost]]</f>
        <v>-0.64564643618498885</v>
      </c>
      <c r="BI1005" s="11" t="b">
        <f>tbl_MTG_Set[[#This Row],[Play Singles CardMarket Profit MTG Stocks]]&gt;0</f>
        <v>0</v>
      </c>
      <c r="BJ1005" s="21" t="s">
        <v>1215</v>
      </c>
      <c r="BK1005" s="11">
        <v>2.5</v>
      </c>
      <c r="BL1005" s="11">
        <v>5</v>
      </c>
      <c r="BM1005" s="10">
        <f>tbl_MTG_Set[[#This Row],[Play Booster Sell Price CardMarket]]*tbl_MTG_Set[[#This Row],[Play Booster Expected Market Value BotBox]]/tbl_MTG_Set[[#This Row],[Play Booster Sealed Market Value BotBox]]</f>
        <v>1.6920507272000003</v>
      </c>
      <c r="BN100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-3.2115379066871794</v>
      </c>
      <c r="BO1005" s="17">
        <f>tbl_MTG_Set[[#This Row],[Play Singles CardMarket Profit BotBox]]/tbl_MTG_Set[[#This Row],[Play Booster Cost]]</f>
        <v>-0.79151929105465424</v>
      </c>
      <c r="BP1005" s="10" t="b">
        <f>tbl_MTG_Set[[#This Row],[Play Singles CardMarket Profit BotBox]]&gt;0</f>
        <v>0</v>
      </c>
      <c r="BQ1005" s="15" t="s">
        <v>1216</v>
      </c>
      <c r="BR1005" s="10">
        <v>22.87</v>
      </c>
      <c r="BS1005" s="10">
        <v>30.67</v>
      </c>
      <c r="BT1005" s="10">
        <f>tbl_MTG_Set[[#This Row],[Collector Booster Sell Price CardMarket]]*tbl_MTG_Set[[#This Row],[Collector Booster Expected Market Value MTG Stocks]]/tbl_MTG_Set[[#This Row],[Collector Booster Sealed Market Value MTG Stocks]]</f>
        <v>23.139249623449103</v>
      </c>
      <c r="BU100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-6.1227058893714101</v>
      </c>
      <c r="BV1005" s="19">
        <f>tbl_MTG_Set[[#This Row],[Collector Singles CardMarket Profit MTG Stocks]]/tbl_MTG_Set[[#This Row],[Collector Booster Cost]]</f>
        <v>-0.21546834965960818</v>
      </c>
      <c r="BW1005" s="10" t="b">
        <f>tbl_MTG_Set[[#This Row],[Collector Singles CardMarket Profit MTG Stocks]]&gt;0</f>
        <v>0</v>
      </c>
      <c r="BX1005" s="10">
        <v>18.96</v>
      </c>
      <c r="BY1005" s="10">
        <v>30.61</v>
      </c>
      <c r="BZ1005" s="10">
        <f>tbl_MTG_Set[[#This Row],[Collector Booster Sell Price CardMarket]]*tbl_MTG_Set[[#This Row],[Collector Booster Expected Market Value BotBox]]/tbl_MTG_Set[[#This Row],[Collector Booster Sealed Market Value BotBox]]</f>
        <v>19.220818865882787</v>
      </c>
      <c r="CA100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-10.041136646937726</v>
      </c>
      <c r="CB1005" s="17">
        <f>tbl_MTG_Set[[#This Row],[Collector Singles CardMarket Profit BotBox]]/tbl_MTG_Set[[#This Row],[Collector Booster Cost]]</f>
        <v>-0.3533645386720356</v>
      </c>
      <c r="CC1005" s="10" t="b">
        <f>tbl_MTG_Set[[#This Row],[Collector Singles CardMarket Profit BotBox]]&gt;0</f>
        <v>0</v>
      </c>
      <c r="CD100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1.7691238903794866</v>
      </c>
      <c r="CG100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6.2258454332286828E-2</v>
      </c>
    </row>
    <row r="1006" spans="1:86">
      <c r="A1006">
        <v>66</v>
      </c>
      <c r="B1006" t="s">
        <v>1217</v>
      </c>
      <c r="C1006">
        <v>495</v>
      </c>
      <c r="D1006" s="3">
        <v>45681</v>
      </c>
      <c r="E1006" t="s">
        <v>66</v>
      </c>
      <c r="F1006" t="s">
        <v>174</v>
      </c>
      <c r="G1006">
        <v>78</v>
      </c>
      <c r="H1006">
        <f ca="1">MONTH(NOW())+12*YEAR(NOW())-MONTH(tbl_MTG_Set[[#This Row],[Released On]])-12*YEAR(tbl_MTG_Set[[#This Row],[Released On]])</f>
        <v>14</v>
      </c>
      <c r="I1006">
        <f>_xlfn.XLOOKUP(tbl_MTG_Set[[#This Row],[Type Name]], tbl_MTG_Set_Type[Set Type], tbl_MTG_Set_Type[Index], "(Set Type not found)")</f>
        <v>2</v>
      </c>
      <c r="J1006">
        <f>_xlfn.XLOOKUP(tbl_MTG_Set[[#This Row],[Type Name]], tbl_MTG_Set_Type[Set Type], tbl_MTG_Set_Type[Buy Window Month Start], "(Set Type not found)")</f>
        <v>3</v>
      </c>
      <c r="K1006" s="3">
        <f>tbl_MTG_Set[[#This Row],[Released On]]+tbl_MTG_Set[[#This Row],[Buy Window Month Start]]*365.25/12</f>
        <v>45772.3125</v>
      </c>
      <c r="L1006">
        <f>_xlfn.XLOOKUP(tbl_MTG_Set[[#This Row],[Type Name]], tbl_MTG_Set_Type[Set Type], tbl_MTG_Set_Type[Buy Window Month End], "(Set Type not found)", 0, 1)</f>
        <v>6</v>
      </c>
      <c r="M1006" s="3">
        <f>tbl_MTG_Set[[#This Row],[Released On]]+tbl_MTG_Set[[#This Row],[Buy Window Month End]]*365.25/12</f>
        <v>45863.625</v>
      </c>
      <c r="N1006" s="3" t="b">
        <f ca="1">AND(NOW()&gt;=tbl_MTG_Set[[#This Row],[Buy Window Start]], NOW()&lt;=tbl_MTG_Set[[#This Row],[Buy Window End]])</f>
        <v>0</v>
      </c>
      <c r="O1006">
        <f>_xlfn.XLOOKUP(tbl_MTG_Set[[#This Row],[Type Name]], tbl_MTG_Set_Type[Set Type], tbl_MTG_Set_Type[Heavy Printing Window Month Start], "(Set Type not found)", 0, 1)</f>
        <v>6</v>
      </c>
      <c r="P1006" s="3">
        <f>tbl_MTG_Set[[#This Row],[Released On]]+tbl_MTG_Set[[#This Row],[Heavy Printing Window Month Start]]*365.25/12</f>
        <v>45863.625</v>
      </c>
      <c r="Q1006">
        <f>_xlfn.XLOOKUP(tbl_MTG_Set[[#This Row],[Type Name]], tbl_MTG_Set_Type[Set Type], tbl_MTG_Set_Type[Heavy Printing Window Month End], "(Set Type not found)", 0, 1)</f>
        <v>12</v>
      </c>
      <c r="R1006" s="3">
        <f>tbl_MTG_Set[[#This Row],[Released On]]+tbl_MTG_Set[[#This Row],[Heavy Printing Window Month End]]*365.25/12</f>
        <v>46046.25</v>
      </c>
      <c r="S1006" s="3" t="b">
        <f ca="1">AND(NOW()&gt;=tbl_MTG_Set[[#This Row],[Heavy Printing Window Start]], NOW()&lt;=tbl_MTG_Set[[#This Row],[Heavy Printing Window End]])</f>
        <v>0</v>
      </c>
      <c r="T1006">
        <f>_xlfn.XLOOKUP(tbl_MTG_Set[[#This Row],[Type Name]], tbl_MTG_Set_Type[Set Type], tbl_MTG_Set_Type[Sell Window Month Start], "(Set Type not found)", 0, 1)</f>
        <v>18</v>
      </c>
      <c r="U1006" s="3">
        <f>tbl_MTG_Set[[#This Row],[Released On]]+tbl_MTG_Set[[#This Row],[Sell Window Month Start]]*365.25/12</f>
        <v>46228.875</v>
      </c>
      <c r="V1006">
        <f>_xlfn.XLOOKUP(tbl_MTG_Set[[#This Row],[Type Name]], tbl_MTG_Set_Type[Set Type], tbl_MTG_Set_Type[Sell Window Month End], "(Set Type not found)", 0, 1)</f>
        <v>36</v>
      </c>
      <c r="W1006" s="3">
        <f>tbl_MTG_Set[[#This Row],[Released On]]+tbl_MTG_Set[[#This Row],[Sell Window Month End]]*365.25/12</f>
        <v>46776.75</v>
      </c>
      <c r="X1006" s="3" t="b">
        <f ca="1">AND(NOW()&gt;=tbl_MTG_Set[[#This Row],[Sell Window Start]], NOW()&lt;=tbl_MTG_Set[[#This Row],[Sell Window End]])</f>
        <v>0</v>
      </c>
      <c r="Y1006" s="10">
        <v>123</v>
      </c>
      <c r="Z1006" s="10">
        <v>195</v>
      </c>
      <c r="AA1006" s="10">
        <v>165</v>
      </c>
      <c r="AC1006" s="10">
        <v>180</v>
      </c>
      <c r="AD1006" s="10">
        <f>(Y1006+96/20)/36</f>
        <v>3.55</v>
      </c>
      <c r="AE1006" s="10">
        <f>(Z1006+96/20)/36</f>
        <v>5.5500000000000007</v>
      </c>
      <c r="AF1006" s="10">
        <f>($AA$447+96/20)/36</f>
        <v>0.13333333333333333</v>
      </c>
      <c r="AG1006" s="10"/>
      <c r="AH1006" s="10"/>
      <c r="AI1006" s="4">
        <v>48</v>
      </c>
      <c r="AJ1006" s="4">
        <v>3</v>
      </c>
      <c r="AK1006" s="4">
        <v>106</v>
      </c>
      <c r="AL1006" s="4">
        <v>105</v>
      </c>
      <c r="AM1006" s="10" cm="1">
        <f t="array" ref="AM100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180</v>
      </c>
      <c r="AN1006" s="10" t="str" cm="1">
        <f t="array" ref="AN100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Plus Marketing</v>
      </c>
      <c r="AO1006" s="4">
        <f>_xlfn.XLOOKUP(tbl_MTG_Set[[#This Row],[Play Booster Box Product Id]], tbl_Product[Product Id], tbl_Product[Pack Size])</f>
        <v>36</v>
      </c>
      <c r="AP1006" s="10">
        <f>(tbl_MTG_Set[[#This Row],[Play Booster Box Cost]]+v_Item_Shipping_Cost_In)/tbl_MTG_Set[[#This Row],[Play Booster Box Size]]</f>
        <v>5.3388888888888886</v>
      </c>
      <c r="AQ1006" s="10" cm="1">
        <f t="array" ref="AQ100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4.9674085615999992</v>
      </c>
      <c r="AR1006" s="10">
        <v>6.5</v>
      </c>
      <c r="AS1006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-1.2176341734427356</v>
      </c>
      <c r="AT1006" s="17">
        <f>tbl_MTG_Set[[#This Row],[Play Booster CardMarket Profit]]/tbl_MTG_Set[[#This Row],[Play Booster Cost]]</f>
        <v>-0.22806883581653739</v>
      </c>
      <c r="AU1006" s="10">
        <f>_xlfn.XLOOKUP(tbl_MTG_Set[[#This Row],[Collector Booster Box Product Id]], tbl_Product[Product Id], tbl_Product[Min Cost])</f>
        <v>330</v>
      </c>
      <c r="AV1006" s="10" t="str">
        <f>_xlfn.XLOOKUP(tbl_MTG_Set[[#This Row],[Collector Booster Box Product Id]], tbl_Product[Product Id], tbl_Product[Best Source])</f>
        <v>Loaded Dice</v>
      </c>
      <c r="AW1006" s="4">
        <f>_xlfn.XLOOKUP(tbl_MTG_Set[[#This Row],[Collector Booster Box Product Id]], tbl_Product[Product Id], tbl_Product[Pack Size])</f>
        <v>12</v>
      </c>
      <c r="AX1006" s="10">
        <f>(tbl_MTG_Set[[#This Row],[Collector Booster Box Cost]] + v_Item_Shipping_Cost_In) / tbl_MTG_Set[[#This Row],[Collector Booster Box Size]]</f>
        <v>28.516666666666666</v>
      </c>
      <c r="AY1006" s="10" cm="1">
        <f t="array" ref="AY100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31.0310794032</v>
      </c>
      <c r="AZ1006" s="10"/>
      <c r="BA100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1.6682588903794877</v>
      </c>
      <c r="BB1006" s="17">
        <f>tbl_MTG_Set[[#This Row],[Collector Booster CardMarket Profit]]/tbl_MTG_Set[[#This Row],[Collector Booster Cost]]</f>
        <v>5.8501188441127568E-2</v>
      </c>
      <c r="BC1006" s="15" t="s">
        <v>1218</v>
      </c>
      <c r="BD1006" s="11">
        <v>4.4400000000000004</v>
      </c>
      <c r="BE1006" s="11">
        <v>6.61</v>
      </c>
      <c r="BF1006" s="11">
        <f>tbl_MTG_Set[[#This Row],[Play Booster Sell Price CardMarket]]*tbl_MTG_Set[[#This Row],[Play Booster Expected Market Value MTG Stocks]]/tbl_MTG_Set[[#This Row],[Play Booster Sealed Market Value MTG Stocks]]</f>
        <v>3.3366556752653551</v>
      </c>
      <c r="BG100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-2.8483870597773797</v>
      </c>
      <c r="BH1006" s="11">
        <f>tbl_MTG_Set[[#This Row],[Play Singles CardMarket Profit MTG Stocks]]/tbl_MTG_Set[[#This Row],[Play Booster Cost]]</f>
        <v>-0.53351682701345304</v>
      </c>
      <c r="BI1006" s="11" t="b">
        <f>tbl_MTG_Set[[#This Row],[Play Singles CardMarket Profit MTG Stocks]]&gt;0</f>
        <v>0</v>
      </c>
      <c r="BJ1006" s="21" t="s">
        <v>1219</v>
      </c>
      <c r="BK1006" s="11">
        <v>3.2</v>
      </c>
      <c r="BL1006" s="11">
        <v>6.69</v>
      </c>
      <c r="BM1006" s="10">
        <f>tbl_MTG_Set[[#This Row],[Play Booster Sell Price CardMarket]]*tbl_MTG_Set[[#This Row],[Play Booster Expected Market Value BotBox]]/tbl_MTG_Set[[#This Row],[Play Booster Sealed Market Value BotBox]]</f>
        <v>2.3760399696741401</v>
      </c>
      <c r="BN100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-3.8090027653685947</v>
      </c>
      <c r="BO1006" s="17">
        <f>tbl_MTG_Set[[#This Row],[Play Singles CardMarket Profit BotBox]]/tbl_MTG_Set[[#This Row],[Play Booster Cost]]</f>
        <v>-0.71344484679120401</v>
      </c>
      <c r="BP1006" s="10" t="b">
        <f>tbl_MTG_Set[[#This Row],[Play Singles CardMarket Profit BotBox]]&gt;0</f>
        <v>0</v>
      </c>
      <c r="BQ1006" s="15" t="s">
        <v>1220</v>
      </c>
      <c r="BR1006" s="10">
        <v>24.25</v>
      </c>
      <c r="BS1006" s="10">
        <v>33.9</v>
      </c>
      <c r="BT1006" s="10">
        <f>tbl_MTG_Set[[#This Row],[Collector Booster Sell Price CardMarket]]*tbl_MTG_Set[[#This Row],[Collector Booster Expected Market Value MTG Stocks]]/tbl_MTG_Set[[#This Row],[Collector Booster Sealed Market Value MTG Stocks]]</f>
        <v>22.197748540637168</v>
      </c>
      <c r="BU100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-7.1650719721833447</v>
      </c>
      <c r="BV1006" s="19">
        <f>tbl_MTG_Set[[#This Row],[Collector Singles CardMarket Profit MTG Stocks]]/tbl_MTG_Set[[#This Row],[Collector Booster Cost]]</f>
        <v>-0.2512590989661021</v>
      </c>
      <c r="BW1006" s="10" t="b">
        <f>tbl_MTG_Set[[#This Row],[Collector Singles CardMarket Profit MTG Stocks]]&gt;0</f>
        <v>0</v>
      </c>
      <c r="BX1006" s="10">
        <v>24.68</v>
      </c>
      <c r="BY1006" s="10">
        <v>35.99</v>
      </c>
      <c r="BZ1006" s="10">
        <f>tbl_MTG_Set[[#This Row],[Collector Booster Sell Price CardMarket]]*tbl_MTG_Set[[#This Row],[Collector Booster Expected Market Value BotBox]]/tbl_MTG_Set[[#This Row],[Collector Booster Sealed Market Value BotBox]]</f>
        <v>21.279439835259126</v>
      </c>
      <c r="CA100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-8.0833806775613866</v>
      </c>
      <c r="CB1006" s="17">
        <f>tbl_MTG_Set[[#This Row],[Collector Singles CardMarket Profit BotBox]]/tbl_MTG_Set[[#This Row],[Collector Booster Cost]]</f>
        <v>-0.28346162516287737</v>
      </c>
      <c r="CC1006" s="10" t="b">
        <f>tbl_MTG_Set[[#This Row],[Collector Singles CardMarket Profit BotBox]]&gt;0</f>
        <v>0</v>
      </c>
      <c r="CD100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1.6682588903794877</v>
      </c>
      <c r="CG100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5.8501188441127568E-2</v>
      </c>
    </row>
    <row r="1007" spans="1:86">
      <c r="A1007">
        <v>334</v>
      </c>
      <c r="B1007" t="s">
        <v>1221</v>
      </c>
      <c r="C1007">
        <v>494</v>
      </c>
      <c r="D1007" s="3">
        <v>44365</v>
      </c>
      <c r="F1007" t="s">
        <v>174</v>
      </c>
      <c r="G1007">
        <v>614</v>
      </c>
      <c r="H1007">
        <f ca="1">MONTH(NOW())+12*YEAR(NOW())-MONTH(tbl_MTG_Set[[#This Row],[Released On]])-12*YEAR(tbl_MTG_Set[[#This Row],[Released On]])</f>
        <v>57</v>
      </c>
      <c r="I1007" t="str">
        <f>_xlfn.XLOOKUP(tbl_MTG_Set[[#This Row],[Type Name]], tbl_MTG_Set_Type[Set Type], tbl_MTG_Set_Type[Index], "(Set Type not found)")</f>
        <v>(Set Type not found)</v>
      </c>
      <c r="J1007" t="str">
        <f>_xlfn.XLOOKUP(tbl_MTG_Set[[#This Row],[Type Name]], tbl_MTG_Set_Type[Set Type], tbl_MTG_Set_Type[Buy Window Month Start], "(Set Type not found)")</f>
        <v>(Set Type not found)</v>
      </c>
      <c r="K1007" s="3" t="e">
        <f>tbl_MTG_Set[[#This Row],[Released On]]+tbl_MTG_Set[[#This Row],[Buy Window Month Start]]*365.25/12</f>
        <v>#VALUE!</v>
      </c>
      <c r="L1007" t="str">
        <f>_xlfn.XLOOKUP(tbl_MTG_Set[[#This Row],[Type Name]], tbl_MTG_Set_Type[Set Type], tbl_MTG_Set_Type[Buy Window Month End], "(Set Type not found)", 0, 1)</f>
        <v>(Set Type not found)</v>
      </c>
      <c r="M1007" s="3" t="e">
        <f>tbl_MTG_Set[[#This Row],[Released On]]+tbl_MTG_Set[[#This Row],[Buy Window Month End]]*365.25/12</f>
        <v>#VALUE!</v>
      </c>
      <c r="N1007" s="3" t="e">
        <f ca="1">AND(NOW()&gt;=tbl_MTG_Set[[#This Row],[Buy Window Start]], NOW()&lt;=tbl_MTG_Set[[#This Row],[Buy Window End]])</f>
        <v>#VALUE!</v>
      </c>
      <c r="O1007" t="str">
        <f>_xlfn.XLOOKUP(tbl_MTG_Set[[#This Row],[Type Name]], tbl_MTG_Set_Type[Set Type], tbl_MTG_Set_Type[Heavy Printing Window Month Start], "(Set Type not found)", 0, 1)</f>
        <v>(Set Type not found)</v>
      </c>
      <c r="P1007" s="3" t="e">
        <f>tbl_MTG_Set[[#This Row],[Released On]]+tbl_MTG_Set[[#This Row],[Heavy Printing Window Month Start]]*365.25/12</f>
        <v>#VALUE!</v>
      </c>
      <c r="Q1007" t="str">
        <f>_xlfn.XLOOKUP(tbl_MTG_Set[[#This Row],[Type Name]], tbl_MTG_Set_Type[Set Type], tbl_MTG_Set_Type[Heavy Printing Window Month End], "(Set Type not found)", 0, 1)</f>
        <v>(Set Type not found)</v>
      </c>
      <c r="R1007" s="3" t="e">
        <f>tbl_MTG_Set[[#This Row],[Released On]]+tbl_MTG_Set[[#This Row],[Heavy Printing Window Month End]]*365.25/12</f>
        <v>#VALUE!</v>
      </c>
      <c r="S1007" s="3" t="e">
        <f ca="1">AND(NOW()&gt;=tbl_MTG_Set[[#This Row],[Heavy Printing Window Start]], NOW()&lt;=tbl_MTG_Set[[#This Row],[Heavy Printing Window End]])</f>
        <v>#VALUE!</v>
      </c>
      <c r="T1007" t="str">
        <f>_xlfn.XLOOKUP(tbl_MTG_Set[[#This Row],[Type Name]], tbl_MTG_Set_Type[Set Type], tbl_MTG_Set_Type[Sell Window Month Start], "(Set Type not found)", 0, 1)</f>
        <v>(Set Type not found)</v>
      </c>
      <c r="U1007" s="3" t="e">
        <f>tbl_MTG_Set[[#This Row],[Released On]]+tbl_MTG_Set[[#This Row],[Sell Window Month Start]]*365.25/12</f>
        <v>#VALUE!</v>
      </c>
      <c r="V1007" t="str">
        <f>_xlfn.XLOOKUP(tbl_MTG_Set[[#This Row],[Type Name]], tbl_MTG_Set_Type[Set Type], tbl_MTG_Set_Type[Sell Window Month End], "(Set Type not found)", 0, 1)</f>
        <v>(Set Type not found)</v>
      </c>
      <c r="W1007" s="3" t="e">
        <f>tbl_MTG_Set[[#This Row],[Released On]]+tbl_MTG_Set[[#This Row],[Sell Window Month End]]*365.25/12</f>
        <v>#VALUE!</v>
      </c>
      <c r="X1007" s="3" t="e">
        <f ca="1">AND(NOW()&gt;=tbl_MTG_Set[[#This Row],[Sell Window Start]], NOW()&lt;=tbl_MTG_Set[[#This Row],[Sell Window End]])</f>
        <v>#VALUE!</v>
      </c>
      <c r="Y1007" s="10">
        <v>300</v>
      </c>
      <c r="Z1007" s="10">
        <v>219</v>
      </c>
      <c r="AD1007" s="10">
        <f>(Y1007+96/10)/36</f>
        <v>8.6000000000000014</v>
      </c>
      <c r="AE1007" s="10">
        <f>(Z1007+96/20)/36</f>
        <v>6.2166666666666668</v>
      </c>
      <c r="AG1007" s="10"/>
      <c r="AH1007" s="10"/>
      <c r="AI1007" s="4">
        <v>46</v>
      </c>
      <c r="AJ1007" s="13">
        <v>1</v>
      </c>
      <c r="AK1007" s="4">
        <v>120</v>
      </c>
      <c r="AL1007" s="4">
        <v>119</v>
      </c>
      <c r="AM1007" s="12" cm="1">
        <f t="array" ref="AM100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266.81</v>
      </c>
      <c r="AN1007" s="10" t="str" cm="1">
        <f t="array" ref="AN100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</v>
      </c>
      <c r="AO1007" s="13">
        <f>_xlfn.XLOOKUP(tbl_MTG_Set[[#This Row],[Play Booster Box Product Id]], tbl_Product[Product Id], tbl_Product[Pack Size])</f>
        <v>36</v>
      </c>
      <c r="AP1007" s="10">
        <f>(tbl_MTG_Set[[#This Row],[Play Booster Box Cost]]+v_Item_Shipping_Cost_In)/tbl_MTG_Set[[#This Row],[Play Booster Box Size]]</f>
        <v>7.7502777777777778</v>
      </c>
      <c r="AQ1007" s="10" cm="1">
        <f t="array" ref="AQ100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12.414171659200001</v>
      </c>
      <c r="AR1007" s="10">
        <v>12</v>
      </c>
      <c r="AS1007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3.8177400352683768</v>
      </c>
      <c r="AT1007" s="17">
        <f>tbl_MTG_Set[[#This Row],[Play Booster CardMarket Profit]]/tbl_MTG_Set[[#This Row],[Play Booster Cost]]</f>
        <v>0.49259396175643011</v>
      </c>
      <c r="AU1007" s="12">
        <f>_xlfn.XLOOKUP(tbl_MTG_Set[[#This Row],[Collector Booster Box Product Id]], tbl_Product[Product Id], tbl_Product[Min Cost])</f>
        <v>453</v>
      </c>
      <c r="AV1007" s="10" t="str">
        <f>_xlfn.XLOOKUP(tbl_MTG_Set[[#This Row],[Collector Booster Box Product Id]], tbl_Product[Product Id], tbl_Product[Best Source])</f>
        <v>Card Market</v>
      </c>
      <c r="AW1007" s="13">
        <f>_xlfn.XLOOKUP(tbl_MTG_Set[[#This Row],[Collector Booster Box Product Id]], tbl_Product[Product Id], tbl_Product[Pack Size])</f>
        <v>12</v>
      </c>
      <c r="AX1007" s="10">
        <f>(tbl_MTG_Set[[#This Row],[Collector Booster Box Cost]] + v_Item_Shipping_Cost_In) / tbl_MTG_Set[[#This Row],[Collector Booster Box Size]]</f>
        <v>38.766666666666666</v>
      </c>
      <c r="AY1007" s="10" cm="1">
        <f t="array" ref="AY100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41.322575599999993</v>
      </c>
      <c r="AZ1007" s="10"/>
      <c r="BA100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1.7097550871794813</v>
      </c>
      <c r="BB1007" s="18">
        <f>tbl_MTG_Set[[#This Row],[Collector Booster CardMarket Profit]]/tbl_MTG_Set[[#This Row],[Collector Booster Cost]]</f>
        <v>4.4103742575567019E-2</v>
      </c>
      <c r="BC1007" s="15" t="s">
        <v>1222</v>
      </c>
      <c r="BF1007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0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7" s="19">
        <f>tbl_MTG_Set[[#This Row],[Play Singles CardMarket Profit MTG Stocks]]/tbl_MTG_Set[[#This Row],[Play Booster Cost]]</f>
        <v>-128.89860578473889</v>
      </c>
      <c r="BI1007" s="11" t="b">
        <f>tbl_MTG_Set[[#This Row],[Play Singles CardMarket Profit MTG Stocks]]&gt;0</f>
        <v>0</v>
      </c>
      <c r="BJ1007" s="21" t="s">
        <v>1223</v>
      </c>
      <c r="BK1007" s="11">
        <v>8.9600000000000009</v>
      </c>
      <c r="BL1007" s="11">
        <v>13.99</v>
      </c>
      <c r="BM1007" s="10">
        <f>tbl_MTG_Set[[#This Row],[Play Booster Sell Price CardMarket]]*tbl_MTG_Set[[#This Row],[Play Booster Expected Market Value BotBox]]/tbl_MTG_Set[[#This Row],[Play Booster Sealed Market Value BotBox]]</f>
        <v>7.950748968293925</v>
      </c>
      <c r="BN100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-0.64568265563769911</v>
      </c>
      <c r="BO1007" s="17">
        <f>tbl_MTG_Set[[#This Row],[Play Singles CardMarket Profit BotBox]]/tbl_MTG_Set[[#This Row],[Play Booster Cost]]</f>
        <v>-8.3310904996083179E-2</v>
      </c>
      <c r="BP1007" s="10" t="b">
        <f>tbl_MTG_Set[[#This Row],[Play Singles CardMarket Profit BotBox]]&gt;0</f>
        <v>0</v>
      </c>
      <c r="BQ1007" s="15" t="s">
        <v>1224</v>
      </c>
      <c r="BR1007" s="10"/>
      <c r="BS1007" s="10"/>
      <c r="BT1007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7" s="19">
        <f>tbl_MTG_Set[[#This Row],[Collector Singles CardMarket Profit MTG Stocks]]/tbl_MTG_Set[[#This Row],[Collector Booster Cost]]</f>
        <v>-25.769561478933792</v>
      </c>
      <c r="BW1007" s="10" t="b">
        <f>tbl_MTG_Set[[#This Row],[Collector Singles CardMarket Profit MTG Stocks]]&gt;0</f>
        <v>0</v>
      </c>
      <c r="BX1007" s="10">
        <v>26.35</v>
      </c>
      <c r="BY1007" s="10">
        <v>48.49</v>
      </c>
      <c r="BZ1007" s="10">
        <f>tbl_MTG_Set[[#This Row],[Collector Booster Sell Price CardMarket]]*tbl_MTG_Set[[#This Row],[Collector Booster Expected Market Value BotBox]]/tbl_MTG_Set[[#This Row],[Collector Booster Sealed Market Value BotBox]]</f>
        <v>22.455142649206021</v>
      </c>
      <c r="CA100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-17.157677863614492</v>
      </c>
      <c r="CB1007" s="17">
        <f>tbl_MTG_Set[[#This Row],[Collector Singles CardMarket Profit BotBox]]/tbl_MTG_Set[[#This Row],[Collector Booster Cost]]</f>
        <v>-0.44258842296512019</v>
      </c>
      <c r="CC1007" s="10" t="b">
        <f>tbl_MTG_Set[[#This Row],[Collector Singles CardMarket Profit BotBox]]&gt;0</f>
        <v>0</v>
      </c>
      <c r="CD100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0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3.8177400352683768</v>
      </c>
      <c r="CG100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0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0.49259396175643011</v>
      </c>
    </row>
    <row r="1008" spans="1:86">
      <c r="A1008">
        <v>8</v>
      </c>
      <c r="B1008" t="s">
        <v>1225</v>
      </c>
      <c r="C1008">
        <v>33</v>
      </c>
      <c r="D1008" s="3">
        <v>46045</v>
      </c>
      <c r="E1008" t="s">
        <v>90</v>
      </c>
      <c r="F1008" t="s">
        <v>174</v>
      </c>
      <c r="G1008">
        <v>9</v>
      </c>
      <c r="H1008">
        <f ca="1">MONTH(NOW())+12*YEAR(NOW())-MONTH(tbl_MTG_Set[[#This Row],[Released On]])-12*YEAR(tbl_MTG_Set[[#This Row],[Released On]])</f>
        <v>2</v>
      </c>
      <c r="I1008">
        <f>_xlfn.XLOOKUP(tbl_MTG_Set[[#This Row],[Type Name]], tbl_MTG_Set_Type[Set Type], tbl_MTG_Set_Type[Index], "(Set Type not found)")</f>
        <v>7</v>
      </c>
      <c r="J1008">
        <f>_xlfn.XLOOKUP(tbl_MTG_Set[[#This Row],[Type Name]], tbl_MTG_Set_Type[Set Type], tbl_MTG_Set_Type[Buy Window Month Start], "(Set Type not found)")</f>
        <v>0</v>
      </c>
      <c r="K1008" s="3">
        <f>tbl_MTG_Set[[#This Row],[Released On]]+tbl_MTG_Set[[#This Row],[Buy Window Month Start]]*365.25/12</f>
        <v>46045</v>
      </c>
      <c r="L1008">
        <f>_xlfn.XLOOKUP(tbl_MTG_Set[[#This Row],[Type Name]], tbl_MTG_Set_Type[Set Type], tbl_MTG_Set_Type[Buy Window Month End], "(Set Type not found)", 0, 1)</f>
        <v>0</v>
      </c>
      <c r="M1008" s="3">
        <f>tbl_MTG_Set[[#This Row],[Released On]]+tbl_MTG_Set[[#This Row],[Buy Window Month End]]*365.25/12</f>
        <v>46045</v>
      </c>
      <c r="N1008" s="3" t="b">
        <f ca="1">AND(NOW()&gt;=tbl_MTG_Set[[#This Row],[Buy Window Start]], NOW()&lt;=tbl_MTG_Set[[#This Row],[Buy Window End]])</f>
        <v>0</v>
      </c>
      <c r="O1008">
        <f>_xlfn.XLOOKUP(tbl_MTG_Set[[#This Row],[Type Name]], tbl_MTG_Set_Type[Set Type], tbl_MTG_Set_Type[Heavy Printing Window Month Start], "(Set Type not found)", 0, 1)</f>
        <v>3</v>
      </c>
      <c r="P1008" s="3">
        <f>tbl_MTG_Set[[#This Row],[Released On]]+tbl_MTG_Set[[#This Row],[Heavy Printing Window Month Start]]*365.25/12</f>
        <v>46136.3125</v>
      </c>
      <c r="Q1008">
        <f>_xlfn.XLOOKUP(tbl_MTG_Set[[#This Row],[Type Name]], tbl_MTG_Set_Type[Set Type], tbl_MTG_Set_Type[Heavy Printing Window Month End], "(Set Type not found)", 0, 1)</f>
        <v>6</v>
      </c>
      <c r="R1008" s="3">
        <f>tbl_MTG_Set[[#This Row],[Released On]]+tbl_MTG_Set[[#This Row],[Heavy Printing Window Month End]]*365.25/12</f>
        <v>46227.625</v>
      </c>
      <c r="S1008" s="3" t="b">
        <f ca="1">AND(NOW()&gt;=tbl_MTG_Set[[#This Row],[Heavy Printing Window Start]], NOW()&lt;=tbl_MTG_Set[[#This Row],[Heavy Printing Window End]])</f>
        <v>0</v>
      </c>
      <c r="T1008">
        <f>_xlfn.XLOOKUP(tbl_MTG_Set[[#This Row],[Type Name]], tbl_MTG_Set_Type[Set Type], tbl_MTG_Set_Type[Sell Window Month Start], "(Set Type not found)", 0, 1)</f>
        <v>0</v>
      </c>
      <c r="U1008" s="3">
        <f>tbl_MTG_Set[[#This Row],[Released On]]+tbl_MTG_Set[[#This Row],[Sell Window Month Start]]*365.25/12</f>
        <v>46045</v>
      </c>
      <c r="V1008">
        <f>_xlfn.XLOOKUP(tbl_MTG_Set[[#This Row],[Type Name]], tbl_MTG_Set_Type[Set Type], tbl_MTG_Set_Type[Sell Window Month End], "(Set Type not found)", 0, 1)</f>
        <v>0</v>
      </c>
      <c r="W1008" s="3">
        <f>tbl_MTG_Set[[#This Row],[Released On]]+tbl_MTG_Set[[#This Row],[Sell Window Month End]]*365.25/12</f>
        <v>46045</v>
      </c>
      <c r="X1008" s="3" t="b">
        <f ca="1">AND(NOW()&gt;=tbl_MTG_Set[[#This Row],[Sell Window Start]], NOW()&lt;=tbl_MTG_Set[[#This Row],[Sell Window End]])</f>
        <v>0</v>
      </c>
      <c r="Y1008" s="10">
        <v>128</v>
      </c>
      <c r="Z1008" s="10">
        <v>120</v>
      </c>
      <c r="AB1008" s="10">
        <v>97</v>
      </c>
      <c r="AD1008" s="10">
        <f>(Y1008+96/20)/30</f>
        <v>4.4266666666666667</v>
      </c>
      <c r="AE1008" s="10">
        <f>(Z1008+96/20)/30</f>
        <v>4.16</v>
      </c>
      <c r="AF1008" s="10">
        <f>(AA1008+96/20)/30</f>
        <v>0.16</v>
      </c>
      <c r="AG1008" s="10">
        <f>(AB1008+96/20)/30</f>
        <v>3.3933333333333331</v>
      </c>
      <c r="AH1008" s="10">
        <f>(AC1008+96/20)/30</f>
        <v>0.16</v>
      </c>
      <c r="AI1008" s="4">
        <v>49</v>
      </c>
      <c r="AJ1008" s="4">
        <v>4</v>
      </c>
      <c r="AK1008" s="4">
        <v>114</v>
      </c>
      <c r="AL1008" s="4">
        <v>113</v>
      </c>
      <c r="AM1008" s="10" cm="1">
        <f t="array" ref="AM100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127.00901772799999</v>
      </c>
      <c r="AN1008" s="10" t="str" cm="1">
        <f t="array" ref="AN100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08" s="4">
        <f>_xlfn.XLOOKUP(tbl_MTG_Set[[#This Row],[Play Booster Box Product Id]], tbl_Product[Product Id], tbl_Product[Pack Size])</f>
        <v>30</v>
      </c>
      <c r="AP1008" s="10">
        <f>(tbl_MTG_Set[[#This Row],[Play Booster Box Cost]]+v_Item_Shipping_Cost_In)/tbl_MTG_Set[[#This Row],[Play Booster Box Size]]</f>
        <v>4.6403005909333332</v>
      </c>
      <c r="AQ1008" s="10" cm="1">
        <f t="array" ref="AQ100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3.9669672575999995</v>
      </c>
      <c r="AR1008" s="10">
        <v>7</v>
      </c>
      <c r="AS1008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-1.51948717948718</v>
      </c>
      <c r="AT1008" s="17">
        <f>tbl_MTG_Set[[#This Row],[Play Booster CardMarket Profit]]/tbl_MTG_Set[[#This Row],[Play Booster Cost]]</f>
        <v>-0.3274544719055702</v>
      </c>
      <c r="AU1008" s="10">
        <f>_xlfn.XLOOKUP(tbl_MTG_Set[[#This Row],[Collector Booster Box Product Id]], tbl_Product[Product Id], tbl_Product[Min Cost])</f>
        <v>330</v>
      </c>
      <c r="AV1008" s="10" t="str">
        <f>_xlfn.XLOOKUP(tbl_MTG_Set[[#This Row],[Collector Booster Box Product Id]], tbl_Product[Product Id], tbl_Product[Best Source])</f>
        <v>The Game Collection</v>
      </c>
      <c r="AW1008" s="4">
        <f>_xlfn.XLOOKUP(tbl_MTG_Set[[#This Row],[Collector Booster Box Product Id]], tbl_Product[Product Id], tbl_Product[Pack Size])</f>
        <v>12</v>
      </c>
      <c r="AX1008" s="10">
        <f>(tbl_MTG_Set[[#This Row],[Collector Booster Box Cost]] + v_Item_Shipping_Cost_In) / tbl_MTG_Set[[#This Row],[Collector Booster Box Size]]</f>
        <v>28.516666666666666</v>
      </c>
      <c r="AY1008" s="10" cm="1">
        <f t="array" ref="AY100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29.995840140799999</v>
      </c>
      <c r="AZ1008" s="10"/>
      <c r="BA100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0.63301962797948663</v>
      </c>
      <c r="BB1008" s="17">
        <f>tbl_MTG_Set[[#This Row],[Collector Booster CardMarket Profit]]/tbl_MTG_Set[[#This Row],[Collector Booster Cost]]</f>
        <v>2.2198233593669899E-2</v>
      </c>
      <c r="BC1008" s="10"/>
      <c r="BF1008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0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8" s="11">
        <f>tbl_MTG_Set[[#This Row],[Play Singles CardMarket Profit MTG Stocks]]/tbl_MTG_Set[[#This Row],[Play Booster Cost]]</f>
        <v>-215.28777725131482</v>
      </c>
      <c r="BI1008" s="11" t="b">
        <f>tbl_MTG_Set[[#This Row],[Play Singles CardMarket Profit MTG Stocks]]&gt;0</f>
        <v>0</v>
      </c>
      <c r="BM1008" s="10" t="e">
        <f>tbl_MTG_Set[[#This Row],[Play Booster Sell Price CardMarket]]*tbl_MTG_Set[[#This Row],[Play Booster Expected Market Value BotBox]]/tbl_MTG_Set[[#This Row],[Play Booster Sealed Market Value BotBox]]</f>
        <v>#DIV/0!</v>
      </c>
      <c r="BN100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-999</v>
      </c>
      <c r="BO1008" s="17">
        <f>tbl_MTG_Set[[#This Row],[Play Singles CardMarket Profit BotBox]]/tbl_MTG_Set[[#This Row],[Play Booster Cost]]</f>
        <v>-215.28777725131482</v>
      </c>
      <c r="BP1008" s="10" t="b">
        <f>tbl_MTG_Set[[#This Row],[Play Singles CardMarket Profit BotBox]]&gt;0</f>
        <v>0</v>
      </c>
      <c r="BQ1008" s="10"/>
      <c r="BR1008" s="10"/>
      <c r="BS1008" s="10"/>
      <c r="BT1008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8" s="19">
        <f>tbl_MTG_Set[[#This Row],[Collector Singles CardMarket Profit MTG Stocks]]/tbl_MTG_Set[[#This Row],[Collector Booster Cost]]</f>
        <v>-35.032144944476919</v>
      </c>
      <c r="BW1008" s="10" t="b">
        <f>tbl_MTG_Set[[#This Row],[Collector Singles CardMarket Profit MTG Stocks]]&gt;0</f>
        <v>0</v>
      </c>
      <c r="BX1008" s="10"/>
      <c r="BY1008" s="10"/>
      <c r="BZ1008" s="10" t="e">
        <f>tbl_MTG_Set[[#This Row],[Collector Booster Sell Price CardMarket]]*tbl_MTG_Set[[#This Row],[Collector Booster Expected Market Value BotBox]]/tbl_MTG_Set[[#This Row],[Collector Booster Sealed Market Value BotBox]]</f>
        <v>#DIV/0!</v>
      </c>
      <c r="CA100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-999</v>
      </c>
      <c r="CB1008" s="17">
        <f>tbl_MTG_Set[[#This Row],[Collector Singles CardMarket Profit BotBox]]/tbl_MTG_Set[[#This Row],[Collector Booster Cost]]</f>
        <v>-35.032144944476919</v>
      </c>
      <c r="CC1008" s="10" t="b">
        <f>tbl_MTG_Set[[#This Row],[Collector Singles CardMarket Profit BotBox]]&gt;0</f>
        <v>0</v>
      </c>
      <c r="CD100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0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0.63301962797948663</v>
      </c>
      <c r="CG100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2.2198233593669899E-2</v>
      </c>
    </row>
    <row r="1009" spans="1:86">
      <c r="A1009">
        <v>423</v>
      </c>
      <c r="B1009" t="s">
        <v>1226</v>
      </c>
      <c r="C1009">
        <v>398</v>
      </c>
      <c r="D1009" s="3">
        <v>43742</v>
      </c>
      <c r="E1009" t="s">
        <v>59</v>
      </c>
      <c r="F1009" t="s">
        <v>174</v>
      </c>
      <c r="G1009">
        <v>792</v>
      </c>
      <c r="H1009">
        <f ca="1">MONTH(NOW())+12*YEAR(NOW())-MONTH(tbl_MTG_Set[[#This Row],[Released On]])-12*YEAR(tbl_MTG_Set[[#This Row],[Released On]])</f>
        <v>77</v>
      </c>
      <c r="I1009">
        <f>_xlfn.XLOOKUP(tbl_MTG_Set[[#This Row],[Type Name]], tbl_MTG_Set_Type[Set Type], tbl_MTG_Set_Type[Index], "(Set Type not found)")</f>
        <v>1</v>
      </c>
      <c r="J1009">
        <f>_xlfn.XLOOKUP(tbl_MTG_Set[[#This Row],[Type Name]], tbl_MTG_Set_Type[Set Type], tbl_MTG_Set_Type[Buy Window Month Start], "(Set Type not found)")</f>
        <v>18</v>
      </c>
      <c r="K1009" s="3">
        <f>tbl_MTG_Set[[#This Row],[Released On]]+tbl_MTG_Set[[#This Row],[Buy Window Month Start]]*365.25/12</f>
        <v>44289.875</v>
      </c>
      <c r="L1009">
        <f>_xlfn.XLOOKUP(tbl_MTG_Set[[#This Row],[Type Name]], tbl_MTG_Set_Type[Set Type], tbl_MTG_Set_Type[Buy Window Month End], "(Set Type not found)", 0, 1)</f>
        <v>24</v>
      </c>
      <c r="M1009" s="3">
        <f>tbl_MTG_Set[[#This Row],[Released On]]+tbl_MTG_Set[[#This Row],[Buy Window Month End]]*365.25/12</f>
        <v>44472.5</v>
      </c>
      <c r="N1009" s="3" t="b">
        <f ca="1">AND(NOW()&gt;=tbl_MTG_Set[[#This Row],[Buy Window Start]], NOW()&lt;=tbl_MTG_Set[[#This Row],[Buy Window End]])</f>
        <v>0</v>
      </c>
      <c r="O1009">
        <f>_xlfn.XLOOKUP(tbl_MTG_Set[[#This Row],[Type Name]], tbl_MTG_Set_Type[Set Type], tbl_MTG_Set_Type[Heavy Printing Window Month Start], "(Set Type not found)", 0, 1)</f>
        <v>1</v>
      </c>
      <c r="P1009" s="3">
        <f>tbl_MTG_Set[[#This Row],[Released On]]+tbl_MTG_Set[[#This Row],[Heavy Printing Window Month Start]]*365.25/12</f>
        <v>43772.4375</v>
      </c>
      <c r="Q1009">
        <f>_xlfn.XLOOKUP(tbl_MTG_Set[[#This Row],[Type Name]], tbl_MTG_Set_Type[Set Type], tbl_MTG_Set_Type[Heavy Printing Window Month End], "(Set Type not found)", 0, 1)</f>
        <v>18</v>
      </c>
      <c r="R1009" s="3">
        <f>tbl_MTG_Set[[#This Row],[Released On]]+tbl_MTG_Set[[#This Row],[Heavy Printing Window Month End]]*365.25/12</f>
        <v>44289.875</v>
      </c>
      <c r="S1009" s="3" t="b">
        <f ca="1">AND(NOW()&gt;=tbl_MTG_Set[[#This Row],[Heavy Printing Window Start]], NOW()&lt;=tbl_MTG_Set[[#This Row],[Heavy Printing Window End]])</f>
        <v>0</v>
      </c>
      <c r="T1009">
        <f>_xlfn.XLOOKUP(tbl_MTG_Set[[#This Row],[Type Name]], tbl_MTG_Set_Type[Set Type], tbl_MTG_Set_Type[Sell Window Month Start], "(Set Type not found)", 0, 1)</f>
        <v>36</v>
      </c>
      <c r="U1009" s="3">
        <f>tbl_MTG_Set[[#This Row],[Released On]]+tbl_MTG_Set[[#This Row],[Sell Window Month Start]]*365.25/12</f>
        <v>44837.75</v>
      </c>
      <c r="V1009">
        <f>_xlfn.XLOOKUP(tbl_MTG_Set[[#This Row],[Type Name]], tbl_MTG_Set_Type[Set Type], tbl_MTG_Set_Type[Sell Window Month End], "(Set Type not found)", 0, 1)</f>
        <v>48</v>
      </c>
      <c r="W1009" s="3">
        <f>tbl_MTG_Set[[#This Row],[Released On]]+tbl_MTG_Set[[#This Row],[Sell Window Month End]]*365.25/12</f>
        <v>45203</v>
      </c>
      <c r="X1009" s="3" t="b">
        <f ca="1">AND(NOW()&gt;=tbl_MTG_Set[[#This Row],[Sell Window Start]], NOW()&lt;=tbl_MTG_Set[[#This Row],[Sell Window End]])</f>
        <v>0</v>
      </c>
      <c r="Y1009" s="10">
        <v>167</v>
      </c>
      <c r="Z1009" s="10">
        <v>93</v>
      </c>
      <c r="AD1009" s="10">
        <f>(Y1009+96/20)/36</f>
        <v>4.7722222222222221</v>
      </c>
      <c r="AE1009" s="10">
        <f>(Z1009+96/20)/36</f>
        <v>2.7166666666666668</v>
      </c>
      <c r="AG1009" s="10"/>
      <c r="AH1009" s="10"/>
      <c r="AI1009" s="4">
        <v>55</v>
      </c>
      <c r="AJ1009" s="4">
        <v>10</v>
      </c>
      <c r="AK1009" s="4">
        <v>144</v>
      </c>
      <c r="AL1009" s="4">
        <v>143</v>
      </c>
      <c r="AM1009" s="10" cm="1">
        <f t="array" ref="AM100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164.59081279999998</v>
      </c>
      <c r="AN1009" s="10" t="str" cm="1">
        <f t="array" ref="AN100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09" s="4">
        <f>_xlfn.XLOOKUP(tbl_MTG_Set[[#This Row],[Play Booster Box Product Id]], tbl_Product[Product Id], tbl_Product[Pack Size])</f>
        <v>36</v>
      </c>
      <c r="AP1009" s="10">
        <f>(tbl_MTG_Set[[#This Row],[Play Booster Box Cost]]+v_Item_Shipping_Cost_In)/tbl_MTG_Set[[#This Row],[Play Booster Box Size]]</f>
        <v>4.9108559111111099</v>
      </c>
      <c r="AQ1009" s="10" cm="1">
        <f t="array" ref="AQ100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4.3497447999999999</v>
      </c>
      <c r="AR1009" s="10">
        <v>6</v>
      </c>
      <c r="AS1009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-1.4072649572649563</v>
      </c>
      <c r="AT1009" s="17">
        <f>tbl_MTG_Set[[#This Row],[Play Booster CardMarket Profit]]/tbl_MTG_Set[[#This Row],[Play Booster Cost]]</f>
        <v>-0.28656205409752172</v>
      </c>
      <c r="AU1009" s="10">
        <f>_xlfn.XLOOKUP(tbl_MTG_Set[[#This Row],[Collector Booster Box Product Id]], tbl_Product[Product Id], tbl_Product[Min Cost])</f>
        <v>193.2</v>
      </c>
      <c r="AV1009" s="10" t="str">
        <f>_xlfn.XLOOKUP(tbl_MTG_Set[[#This Row],[Collector Booster Box Product Id]], tbl_Product[Product Id], tbl_Product[Best Source])</f>
        <v>Card Market</v>
      </c>
      <c r="AW1009" s="4">
        <f>_xlfn.XLOOKUP(tbl_MTG_Set[[#This Row],[Collector Booster Box Product Id]], tbl_Product[Product Id], tbl_Product[Pack Size])</f>
        <v>12</v>
      </c>
      <c r="AX1009" s="10">
        <f>(tbl_MTG_Set[[#This Row],[Collector Booster Box Cost]] + v_Item_Shipping_Cost_In) / tbl_MTG_Set[[#This Row],[Collector Booster Box Size]]</f>
        <v>17.116666666666664</v>
      </c>
      <c r="AY1009" s="10" cm="1">
        <f t="array" ref="AY100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17.572968992</v>
      </c>
      <c r="AZ1009" s="10"/>
      <c r="BA100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-0.38985152082051</v>
      </c>
      <c r="BB1009" s="17">
        <f>tbl_MTG_Set[[#This Row],[Collector Booster CardMarket Profit]]/tbl_MTG_Set[[#This Row],[Collector Booster Cost]]</f>
        <v>-2.2776135588345282E-2</v>
      </c>
      <c r="BC1009" s="10"/>
      <c r="BF1009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0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09" s="11">
        <f>tbl_MTG_Set[[#This Row],[Play Singles CardMarket Profit MTG Stocks]]/tbl_MTG_Set[[#This Row],[Play Booster Cost]]</f>
        <v>-203.42686042563412</v>
      </c>
      <c r="BI1009" s="11" t="b">
        <f>tbl_MTG_Set[[#This Row],[Play Singles CardMarket Profit MTG Stocks]]&gt;0</f>
        <v>0</v>
      </c>
      <c r="BJ1009" s="21" t="s">
        <v>1227</v>
      </c>
      <c r="BK1009" s="11">
        <v>2.2400000000000002</v>
      </c>
      <c r="BL1009" s="11">
        <v>6.37</v>
      </c>
      <c r="BM1009" s="10">
        <f>tbl_MTG_Set[[#This Row],[Play Booster Sell Price CardMarket]]*tbl_MTG_Set[[#This Row],[Play Booster Expected Market Value BotBox]]/tbl_MTG_Set[[#This Row],[Play Booster Sealed Market Value BotBox]]</f>
        <v>1.529580589010989</v>
      </c>
      <c r="BN100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-4.2274291682539671</v>
      </c>
      <c r="BO1009" s="17">
        <f>tbl_MTG_Set[[#This Row],[Play Singles CardMarket Profit BotBox]]/tbl_MTG_Set[[#This Row],[Play Booster Cost]]</f>
        <v>-0.8608334768465008</v>
      </c>
      <c r="BP1009" s="10" t="b">
        <f>tbl_MTG_Set[[#This Row],[Play Singles CardMarket Profit BotBox]]&gt;0</f>
        <v>0</v>
      </c>
      <c r="BQ1009" s="15" t="s">
        <v>1228</v>
      </c>
      <c r="BR1009" s="10"/>
      <c r="BS1009" s="10"/>
      <c r="BT1009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0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09" s="19">
        <f>tbl_MTG_Set[[#This Row],[Collector Singles CardMarket Profit MTG Stocks]]/tbl_MTG_Set[[#This Row],[Collector Booster Cost]]</f>
        <v>-58.364167478091538</v>
      </c>
      <c r="BW1009" s="10" t="b">
        <f>tbl_MTG_Set[[#This Row],[Collector Singles CardMarket Profit MTG Stocks]]&gt;0</f>
        <v>0</v>
      </c>
      <c r="BX1009" s="10">
        <v>11.19</v>
      </c>
      <c r="BY1009" s="10">
        <v>29.98</v>
      </c>
      <c r="BZ1009" s="10">
        <f>tbl_MTG_Set[[#This Row],[Collector Booster Sell Price CardMarket]]*tbl_MTG_Set[[#This Row],[Collector Booster Expected Market Value BotBox]]/tbl_MTG_Set[[#This Row],[Collector Booster Sealed Market Value BotBox]]</f>
        <v>6.5590901607898591</v>
      </c>
      <c r="CA100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-11.403730352030651</v>
      </c>
      <c r="CB1009" s="17">
        <f>tbl_MTG_Set[[#This Row],[Collector Singles CardMarket Profit BotBox]]/tbl_MTG_Set[[#This Row],[Collector Booster Cost]]</f>
        <v>-0.66623546360451724</v>
      </c>
      <c r="CC1009" s="10" t="b">
        <f>tbl_MTG_Set[[#This Row],[Collector Singles CardMarket Profit BotBox]]&gt;0</f>
        <v>0</v>
      </c>
      <c r="CD100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0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0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-0.38985152082051</v>
      </c>
      <c r="CG100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0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-2.2776135588345282E-2</v>
      </c>
    </row>
    <row r="1010" spans="1:86">
      <c r="A1010">
        <v>310</v>
      </c>
      <c r="B1010" t="s">
        <v>1229</v>
      </c>
      <c r="C1010">
        <v>399</v>
      </c>
      <c r="D1010" s="3">
        <v>44463</v>
      </c>
      <c r="E1010" t="s">
        <v>59</v>
      </c>
      <c r="F1010" t="s">
        <v>174</v>
      </c>
      <c r="G1010">
        <v>566</v>
      </c>
      <c r="H1010">
        <f ca="1">MONTH(NOW())+12*YEAR(NOW())-MONTH(tbl_MTG_Set[[#This Row],[Released On]])-12*YEAR(tbl_MTG_Set[[#This Row],[Released On]])</f>
        <v>54</v>
      </c>
      <c r="I1010">
        <f>_xlfn.XLOOKUP(tbl_MTG_Set[[#This Row],[Type Name]], tbl_MTG_Set_Type[Set Type], tbl_MTG_Set_Type[Index], "(Set Type not found)")</f>
        <v>1</v>
      </c>
      <c r="J1010">
        <f>_xlfn.XLOOKUP(tbl_MTG_Set[[#This Row],[Type Name]], tbl_MTG_Set_Type[Set Type], tbl_MTG_Set_Type[Buy Window Month Start], "(Set Type not found)")</f>
        <v>18</v>
      </c>
      <c r="K1010" s="3">
        <f>tbl_MTG_Set[[#This Row],[Released On]]+tbl_MTG_Set[[#This Row],[Buy Window Month Start]]*365.25/12</f>
        <v>45010.875</v>
      </c>
      <c r="L1010">
        <f>_xlfn.XLOOKUP(tbl_MTG_Set[[#This Row],[Type Name]], tbl_MTG_Set_Type[Set Type], tbl_MTG_Set_Type[Buy Window Month End], "(Set Type not found)", 0, 1)</f>
        <v>24</v>
      </c>
      <c r="M1010" s="3">
        <f>tbl_MTG_Set[[#This Row],[Released On]]+tbl_MTG_Set[[#This Row],[Buy Window Month End]]*365.25/12</f>
        <v>45193.5</v>
      </c>
      <c r="N1010" s="3" t="b">
        <f ca="1">AND(NOW()&gt;=tbl_MTG_Set[[#This Row],[Buy Window Start]], NOW()&lt;=tbl_MTG_Set[[#This Row],[Buy Window End]])</f>
        <v>0</v>
      </c>
      <c r="O1010">
        <f>_xlfn.XLOOKUP(tbl_MTG_Set[[#This Row],[Type Name]], tbl_MTG_Set_Type[Set Type], tbl_MTG_Set_Type[Heavy Printing Window Month Start], "(Set Type not found)", 0, 1)</f>
        <v>1</v>
      </c>
      <c r="P1010" s="3">
        <f>tbl_MTG_Set[[#This Row],[Released On]]+tbl_MTG_Set[[#This Row],[Heavy Printing Window Month Start]]*365.25/12</f>
        <v>44493.4375</v>
      </c>
      <c r="Q1010">
        <f>_xlfn.XLOOKUP(tbl_MTG_Set[[#This Row],[Type Name]], tbl_MTG_Set_Type[Set Type], tbl_MTG_Set_Type[Heavy Printing Window Month End], "(Set Type not found)", 0, 1)</f>
        <v>18</v>
      </c>
      <c r="R1010" s="3">
        <f>tbl_MTG_Set[[#This Row],[Released On]]+tbl_MTG_Set[[#This Row],[Heavy Printing Window Month End]]*365.25/12</f>
        <v>45010.875</v>
      </c>
      <c r="S1010" s="3" t="b">
        <f ca="1">AND(NOW()&gt;=tbl_MTG_Set[[#This Row],[Heavy Printing Window Start]], NOW()&lt;=tbl_MTG_Set[[#This Row],[Heavy Printing Window End]])</f>
        <v>0</v>
      </c>
      <c r="T1010">
        <f>_xlfn.XLOOKUP(tbl_MTG_Set[[#This Row],[Type Name]], tbl_MTG_Set_Type[Set Type], tbl_MTG_Set_Type[Sell Window Month Start], "(Set Type not found)", 0, 1)</f>
        <v>36</v>
      </c>
      <c r="U1010" s="3">
        <f>tbl_MTG_Set[[#This Row],[Released On]]+tbl_MTG_Set[[#This Row],[Sell Window Month Start]]*365.25/12</f>
        <v>45558.75</v>
      </c>
      <c r="V1010">
        <f>_xlfn.XLOOKUP(tbl_MTG_Set[[#This Row],[Type Name]], tbl_MTG_Set_Type[Set Type], tbl_MTG_Set_Type[Sell Window Month End], "(Set Type not found)", 0, 1)</f>
        <v>48</v>
      </c>
      <c r="W1010" s="3">
        <f>tbl_MTG_Set[[#This Row],[Released On]]+tbl_MTG_Set[[#This Row],[Sell Window Month End]]*365.25/12</f>
        <v>45924</v>
      </c>
      <c r="X1010" s="3" t="b">
        <f ca="1">AND(NOW()&gt;=tbl_MTG_Set[[#This Row],[Sell Window Start]], NOW()&lt;=tbl_MTG_Set[[#This Row],[Sell Window End]])</f>
        <v>0</v>
      </c>
      <c r="Y1010" s="10">
        <v>98</v>
      </c>
      <c r="Z1010" s="10">
        <v>101</v>
      </c>
      <c r="AD1010" s="10">
        <f>(Y1010+96/20)/30</f>
        <v>3.4266666666666667</v>
      </c>
      <c r="AE1010" s="10">
        <f>(Z1010+96/20)/30</f>
        <v>3.5266666666666664</v>
      </c>
      <c r="AG1010" s="10"/>
      <c r="AH1010" s="10"/>
      <c r="AI1010" s="4">
        <v>50</v>
      </c>
      <c r="AJ1010" s="4">
        <v>5</v>
      </c>
      <c r="AK1010" s="4">
        <v>104</v>
      </c>
      <c r="AL1010" s="4">
        <v>103</v>
      </c>
      <c r="AM1010" s="10" cm="1">
        <f t="array" ref="AM101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159.89308841600001</v>
      </c>
      <c r="AN1010" s="10" t="str" cm="1">
        <f t="array" ref="AN101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0" s="4">
        <f>_xlfn.XLOOKUP(tbl_MTG_Set[[#This Row],[Play Booster Box Product Id]], tbl_Product[Product Id], tbl_Product[Pack Size])</f>
        <v>30</v>
      </c>
      <c r="AP1010" s="10">
        <f>(tbl_MTG_Set[[#This Row],[Play Booster Box Cost]]+v_Item_Shipping_Cost_In)/tbl_MTG_Set[[#This Row],[Play Booster Box Size]]</f>
        <v>5.7364362805333338</v>
      </c>
      <c r="AQ1010" s="10" cm="1">
        <f t="array" ref="AQ101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5.0631029472</v>
      </c>
      <c r="AR1010" s="10">
        <v>5</v>
      </c>
      <c r="AS1010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-1.51948717948718</v>
      </c>
      <c r="AT1010" s="17">
        <f>tbl_MTG_Set[[#This Row],[Play Booster CardMarket Profit]]/tbl_MTG_Set[[#This Row],[Play Booster Cost]]</f>
        <v>-0.2648834755898149</v>
      </c>
      <c r="AU1010" s="10">
        <f>_xlfn.XLOOKUP(tbl_MTG_Set[[#This Row],[Collector Booster Box Product Id]], tbl_Product[Product Id], tbl_Product[Min Cost])</f>
        <v>180.21</v>
      </c>
      <c r="AV1010" s="10" t="str">
        <f>_xlfn.XLOOKUP(tbl_MTG_Set[[#This Row],[Collector Booster Box Product Id]], tbl_Product[Product Id], tbl_Product[Best Source])</f>
        <v>Card Market</v>
      </c>
      <c r="AW1010" s="4">
        <f>_xlfn.XLOOKUP(tbl_MTG_Set[[#This Row],[Collector Booster Box Product Id]], tbl_Product[Product Id], tbl_Product[Pack Size])</f>
        <v>12</v>
      </c>
      <c r="AX1010" s="10">
        <f>(tbl_MTG_Set[[#This Row],[Collector Booster Box Cost]] + v_Item_Shipping_Cost_In) / tbl_MTG_Set[[#This Row],[Collector Booster Box Size]]</f>
        <v>16.034166666666668</v>
      </c>
      <c r="AY1010" s="10" cm="1">
        <f t="array" ref="AY101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16.424636364799998</v>
      </c>
      <c r="AZ1010" s="10"/>
      <c r="BA101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-0.45568414802051604</v>
      </c>
      <c r="BB1010" s="17">
        <f>tbl_MTG_Set[[#This Row],[Collector Booster CardMarket Profit]]/tbl_MTG_Set[[#This Row],[Collector Booster Cost]]</f>
        <v>-2.8419571624376031E-2</v>
      </c>
      <c r="BC1010" s="10"/>
      <c r="BF1010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0" s="19">
        <f>tbl_MTG_Set[[#This Row],[Play Singles CardMarket Profit MTG Stocks]]/tbl_MTG_Set[[#This Row],[Play Booster Cost]]</f>
        <v>-174.14993406099859</v>
      </c>
      <c r="BI1010" s="11" t="b">
        <f>tbl_MTG_Set[[#This Row],[Play Singles CardMarket Profit MTG Stocks]]&gt;0</f>
        <v>0</v>
      </c>
      <c r="BJ1010" s="21" t="s">
        <v>1230</v>
      </c>
      <c r="BK1010" s="11">
        <v>2.48</v>
      </c>
      <c r="BL1010" s="11">
        <v>6.46</v>
      </c>
      <c r="BM1010" s="10">
        <f>tbl_MTG_Set[[#This Row],[Play Booster Sell Price CardMarket]]*tbl_MTG_Set[[#This Row],[Play Booster Expected Market Value BotBox]]/tbl_MTG_Set[[#This Row],[Play Booster Sealed Market Value BotBox]]</f>
        <v>1.9437299240024768</v>
      </c>
      <c r="BN101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-4.6388602026847039</v>
      </c>
      <c r="BO1010" s="17">
        <f>tbl_MTG_Set[[#This Row],[Play Singles CardMarket Profit BotBox]]/tbl_MTG_Set[[#This Row],[Play Booster Cost]]</f>
        <v>-0.80866586428001164</v>
      </c>
      <c r="BP1010" s="10" t="b">
        <f>tbl_MTG_Set[[#This Row],[Play Singles CardMarket Profit BotBox]]&gt;0</f>
        <v>0</v>
      </c>
      <c r="BQ1010" s="15" t="s">
        <v>1231</v>
      </c>
      <c r="BR1010" s="10"/>
      <c r="BS1010" s="10"/>
      <c r="BT1010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0" s="19">
        <f>tbl_MTG_Set[[#This Row],[Collector Singles CardMarket Profit MTG Stocks]]/tbl_MTG_Set[[#This Row],[Collector Booster Cost]]</f>
        <v>-62.304454030455794</v>
      </c>
      <c r="BW1010" s="10" t="b">
        <f>tbl_MTG_Set[[#This Row],[Collector Singles CardMarket Profit MTG Stocks]]&gt;0</f>
        <v>0</v>
      </c>
      <c r="BX1010" s="10">
        <v>6.62</v>
      </c>
      <c r="BY1010" s="10">
        <v>19.95</v>
      </c>
      <c r="BZ1010" s="10">
        <f>tbl_MTG_Set[[#This Row],[Collector Booster Sell Price CardMarket]]*tbl_MTG_Set[[#This Row],[Collector Booster Expected Market Value BotBox]]/tbl_MTG_Set[[#This Row],[Collector Booster Sealed Market Value BotBox]]</f>
        <v>5.4501800869662151</v>
      </c>
      <c r="CA101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-11.430140425854299</v>
      </c>
      <c r="CB1010" s="17">
        <f>tbl_MTG_Set[[#This Row],[Collector Singles CardMarket Profit BotBox]]/tbl_MTG_Set[[#This Row],[Collector Booster Cost]]</f>
        <v>-0.71286152024453808</v>
      </c>
      <c r="CC1010" s="10" t="b">
        <f>tbl_MTG_Set[[#This Row],[Collector Singles CardMarket Profit BotBox]]&gt;0</f>
        <v>0</v>
      </c>
      <c r="CD101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1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-0.45568414802051604</v>
      </c>
      <c r="CG101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-2.8419571624376031E-2</v>
      </c>
    </row>
    <row r="1011" spans="1:86">
      <c r="A1011">
        <v>198</v>
      </c>
      <c r="B1011" t="s">
        <v>1232</v>
      </c>
      <c r="C1011">
        <v>479</v>
      </c>
      <c r="D1011" s="3">
        <v>44967</v>
      </c>
      <c r="E1011" t="s">
        <v>59</v>
      </c>
      <c r="F1011" t="s">
        <v>174</v>
      </c>
      <c r="G1011">
        <v>342</v>
      </c>
      <c r="H1011">
        <f ca="1">MONTH(NOW())+12*YEAR(NOW())-MONTH(tbl_MTG_Set[[#This Row],[Released On]])-12*YEAR(tbl_MTG_Set[[#This Row],[Released On]])</f>
        <v>37</v>
      </c>
      <c r="I1011">
        <f>_xlfn.XLOOKUP(tbl_MTG_Set[[#This Row],[Type Name]], tbl_MTG_Set_Type[Set Type], tbl_MTG_Set_Type[Index], "(Set Type not found)")</f>
        <v>1</v>
      </c>
      <c r="J1011">
        <f>_xlfn.XLOOKUP(tbl_MTG_Set[[#This Row],[Type Name]], tbl_MTG_Set_Type[Set Type], tbl_MTG_Set_Type[Buy Window Month Start], "(Set Type not found)")</f>
        <v>18</v>
      </c>
      <c r="K1011" s="3">
        <f>tbl_MTG_Set[[#This Row],[Released On]]+tbl_MTG_Set[[#This Row],[Buy Window Month Start]]*365.25/12</f>
        <v>45514.875</v>
      </c>
      <c r="L1011">
        <f>_xlfn.XLOOKUP(tbl_MTG_Set[[#This Row],[Type Name]], tbl_MTG_Set_Type[Set Type], tbl_MTG_Set_Type[Buy Window Month End], "(Set Type not found)", 0, 1)</f>
        <v>24</v>
      </c>
      <c r="M1011" s="3">
        <f>tbl_MTG_Set[[#This Row],[Released On]]+tbl_MTG_Set[[#This Row],[Buy Window Month End]]*365.25/12</f>
        <v>45697.5</v>
      </c>
      <c r="N1011" s="3" t="b">
        <f ca="1">AND(NOW()&gt;=tbl_MTG_Set[[#This Row],[Buy Window Start]], NOW()&lt;=tbl_MTG_Set[[#This Row],[Buy Window End]])</f>
        <v>0</v>
      </c>
      <c r="O1011">
        <f>_xlfn.XLOOKUP(tbl_MTG_Set[[#This Row],[Type Name]], tbl_MTG_Set_Type[Set Type], tbl_MTG_Set_Type[Heavy Printing Window Month Start], "(Set Type not found)", 0, 1)</f>
        <v>1</v>
      </c>
      <c r="P1011" s="3">
        <f>tbl_MTG_Set[[#This Row],[Released On]]+tbl_MTG_Set[[#This Row],[Heavy Printing Window Month Start]]*365.25/12</f>
        <v>44997.4375</v>
      </c>
      <c r="Q1011">
        <f>_xlfn.XLOOKUP(tbl_MTG_Set[[#This Row],[Type Name]], tbl_MTG_Set_Type[Set Type], tbl_MTG_Set_Type[Heavy Printing Window Month End], "(Set Type not found)", 0, 1)</f>
        <v>18</v>
      </c>
      <c r="R1011" s="3">
        <f>tbl_MTG_Set[[#This Row],[Released On]]+tbl_MTG_Set[[#This Row],[Heavy Printing Window Month End]]*365.25/12</f>
        <v>45514.875</v>
      </c>
      <c r="S1011" s="3" t="b">
        <f ca="1">AND(NOW()&gt;=tbl_MTG_Set[[#This Row],[Heavy Printing Window Start]], NOW()&lt;=tbl_MTG_Set[[#This Row],[Heavy Printing Window End]])</f>
        <v>0</v>
      </c>
      <c r="T1011">
        <f>_xlfn.XLOOKUP(tbl_MTG_Set[[#This Row],[Type Name]], tbl_MTG_Set_Type[Set Type], tbl_MTG_Set_Type[Sell Window Month Start], "(Set Type not found)", 0, 1)</f>
        <v>36</v>
      </c>
      <c r="U1011" s="3">
        <f>tbl_MTG_Set[[#This Row],[Released On]]+tbl_MTG_Set[[#This Row],[Sell Window Month Start]]*365.25/12</f>
        <v>46062.75</v>
      </c>
      <c r="V1011">
        <f>_xlfn.XLOOKUP(tbl_MTG_Set[[#This Row],[Type Name]], tbl_MTG_Set_Type[Set Type], tbl_MTG_Set_Type[Sell Window Month End], "(Set Type not found)", 0, 1)</f>
        <v>48</v>
      </c>
      <c r="W1011" s="3">
        <f>tbl_MTG_Set[[#This Row],[Released On]]+tbl_MTG_Set[[#This Row],[Sell Window Month End]]*365.25/12</f>
        <v>46428</v>
      </c>
      <c r="X1011" s="3" t="b">
        <f ca="1">AND(NOW()&gt;=tbl_MTG_Set[[#This Row],[Sell Window Start]], NOW()&lt;=tbl_MTG_Set[[#This Row],[Sell Window End]])</f>
        <v>1</v>
      </c>
      <c r="Y1011" s="10">
        <v>158</v>
      </c>
      <c r="Z1011" s="10">
        <v>115</v>
      </c>
      <c r="AD1011" s="10">
        <f>(Y1011+96/20)/30</f>
        <v>5.4266666666666667</v>
      </c>
      <c r="AE1011" s="10">
        <f>(Z1011+96/20)/30</f>
        <v>3.9933333333333332</v>
      </c>
      <c r="AG1011" s="10"/>
      <c r="AH1011" s="10"/>
      <c r="AI1011" s="4">
        <v>67</v>
      </c>
      <c r="AJ1011" s="4">
        <v>22</v>
      </c>
      <c r="AK1011" s="4">
        <v>128</v>
      </c>
      <c r="AL1011" s="4">
        <v>127</v>
      </c>
      <c r="AM1011" s="10" cm="1">
        <f t="array" ref="AM101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180</v>
      </c>
      <c r="AN1011" s="10" t="str" cm="1">
        <f t="array" ref="AN101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Loaded Dice</v>
      </c>
      <c r="AO1011" s="4">
        <f>_xlfn.XLOOKUP(tbl_MTG_Set[[#This Row],[Play Booster Box Product Id]], tbl_Product[Product Id], tbl_Product[Pack Size])</f>
        <v>30</v>
      </c>
      <c r="AP1011" s="10">
        <f>(tbl_MTG_Set[[#This Row],[Play Booster Box Cost]]+v_Item_Shipping_Cost_In)/tbl_MTG_Set[[#This Row],[Play Booster Box Size]]</f>
        <v>6.4066666666666663</v>
      </c>
      <c r="AQ1011" s="10" cm="1">
        <f t="array" ref="AQ101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6.5246171999999998</v>
      </c>
      <c r="AR1011" s="10">
        <v>6</v>
      </c>
      <c r="AS1011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-0.72820331282051276</v>
      </c>
      <c r="AT1011" s="17">
        <f>tbl_MTG_Set[[#This Row],[Play Booster CardMarket Profit]]/tbl_MTG_Set[[#This Row],[Play Booster Cost]]</f>
        <v>-0.1136633682862403</v>
      </c>
      <c r="AU1011" s="10">
        <f>_xlfn.XLOOKUP(tbl_MTG_Set[[#This Row],[Collector Booster Box Product Id]], tbl_Product[Product Id], tbl_Product[Min Cost])</f>
        <v>802.33299639680013</v>
      </c>
      <c r="AV1011" s="10" t="str">
        <f>_xlfn.XLOOKUP(tbl_MTG_Set[[#This Row],[Collector Booster Box Product Id]], tbl_Product[Product Id], tbl_Product[Best Source])</f>
        <v>Card Market Packs x Box Size</v>
      </c>
      <c r="AW1011" s="4">
        <f>_xlfn.XLOOKUP(tbl_MTG_Set[[#This Row],[Collector Booster Box Product Id]], tbl_Product[Product Id], tbl_Product[Pack Size])</f>
        <v>12</v>
      </c>
      <c r="AX1011" s="10">
        <f>(tbl_MTG_Set[[#This Row],[Collector Booster Box Cost]] + v_Item_Shipping_Cost_In) / tbl_MTG_Set[[#This Row],[Collector Booster Box Size]]</f>
        <v>67.877749699733343</v>
      </c>
      <c r="AY1011" s="10" cm="1">
        <f t="array" ref="AY101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66.194416366400006</v>
      </c>
      <c r="AZ1011" s="10"/>
      <c r="BA101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-2.5294871794871834</v>
      </c>
      <c r="BB1011" s="17">
        <f>tbl_MTG_Set[[#This Row],[Collector Booster CardMarket Profit]]/tbl_MTG_Set[[#This Row],[Collector Booster Cost]]</f>
        <v>-3.7265336442011139E-2</v>
      </c>
      <c r="BC1011" s="10"/>
      <c r="BE1011" s="11" t="s">
        <v>1233</v>
      </c>
      <c r="BF1011" s="11" t="e">
        <f>tbl_MTG_Set[[#This Row],[Play Booster Sell Price CardMarket]]*tbl_MTG_Set[[#This Row],[Play Booster Expected Market Value MTG Stocks]]/tbl_MTG_Set[[#This Row],[Play Booster Sealed Market Value MTG Stocks]]</f>
        <v>#VALUE!</v>
      </c>
      <c r="BG101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1" s="19">
        <f>tbl_MTG_Set[[#This Row],[Play Singles CardMarket Profit MTG Stocks]]/tbl_MTG_Set[[#This Row],[Play Booster Cost]]</f>
        <v>-155.93132154006244</v>
      </c>
      <c r="BI1011" s="11" t="b">
        <f>tbl_MTG_Set[[#This Row],[Play Singles CardMarket Profit MTG Stocks]]&gt;0</f>
        <v>0</v>
      </c>
      <c r="BJ1011" s="21" t="s">
        <v>1234</v>
      </c>
      <c r="BK1011" s="11">
        <v>3.94</v>
      </c>
      <c r="BL1011" s="11">
        <v>6.15</v>
      </c>
      <c r="BM1011" s="10">
        <f>tbl_MTG_Set[[#This Row],[Play Booster Sell Price CardMarket]]*tbl_MTG_Set[[#This Row],[Play Booster Expected Market Value BotBox]]/tbl_MTG_Set[[#This Row],[Play Booster Sealed Market Value BotBox]]</f>
        <v>4.1799986614634141</v>
      </c>
      <c r="BN101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-3.0728218513570984</v>
      </c>
      <c r="BO1011" s="17">
        <f>tbl_MTG_Set[[#This Row],[Play Singles CardMarket Profit BotBox]]/tbl_MTG_Set[[#This Row],[Play Booster Cost]]</f>
        <v>-0.47962880094023391</v>
      </c>
      <c r="BP1011" s="10" t="b">
        <f>tbl_MTG_Set[[#This Row],[Play Singles CardMarket Profit BotBox]]&gt;0</f>
        <v>0</v>
      </c>
      <c r="BQ1011" s="15" t="s">
        <v>1235</v>
      </c>
      <c r="BR1011" s="10"/>
      <c r="BS1011" s="10"/>
      <c r="BT1011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1" s="19">
        <f>tbl_MTG_Set[[#This Row],[Collector Singles CardMarket Profit MTG Stocks]]/tbl_MTG_Set[[#This Row],[Collector Booster Cost]]</f>
        <v>-14.717635814669981</v>
      </c>
      <c r="BW1011" s="10" t="b">
        <f>tbl_MTG_Set[[#This Row],[Collector Singles CardMarket Profit MTG Stocks]]&gt;0</f>
        <v>0</v>
      </c>
      <c r="BX1011" s="10">
        <v>16.829999999999998</v>
      </c>
      <c r="BY1011" s="10">
        <v>77.78</v>
      </c>
      <c r="BZ1011" s="10">
        <f>tbl_MTG_Set[[#This Row],[Collector Booster Sell Price CardMarket]]*tbl_MTG_Set[[#This Row],[Collector Booster Expected Market Value BotBox]]/tbl_MTG_Set[[#This Row],[Collector Booster Sealed Market Value BotBox]]</f>
        <v>14.323116835259862</v>
      </c>
      <c r="CA101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-54.40078671062733</v>
      </c>
      <c r="CB1011" s="17">
        <f>tbl_MTG_Set[[#This Row],[Collector Singles CardMarket Profit BotBox]]/tbl_MTG_Set[[#This Row],[Collector Booster Cost]]</f>
        <v>-0.8014524192578093</v>
      </c>
      <c r="CC1011" s="10" t="b">
        <f>tbl_MTG_Set[[#This Row],[Collector Singles CardMarket Profit BotBox]]&gt;0</f>
        <v>0</v>
      </c>
      <c r="CD101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-0.72820331282051276</v>
      </c>
      <c r="CG101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-3.7265336442011139E-2</v>
      </c>
    </row>
    <row r="1012" spans="1:86">
      <c r="A1012">
        <v>141</v>
      </c>
      <c r="B1012" t="s">
        <v>1236</v>
      </c>
      <c r="C1012">
        <v>416</v>
      </c>
      <c r="D1012" s="3">
        <v>45247</v>
      </c>
      <c r="E1012" t="s">
        <v>59</v>
      </c>
      <c r="F1012" t="s">
        <v>174</v>
      </c>
      <c r="G1012">
        <v>228</v>
      </c>
      <c r="H1012">
        <f ca="1">MONTH(NOW())+12*YEAR(NOW())-MONTH(tbl_MTG_Set[[#This Row],[Released On]])-12*YEAR(tbl_MTG_Set[[#This Row],[Released On]])</f>
        <v>28</v>
      </c>
      <c r="I1012">
        <f>_xlfn.XLOOKUP(tbl_MTG_Set[[#This Row],[Type Name]], tbl_MTG_Set_Type[Set Type], tbl_MTG_Set_Type[Index], "(Set Type not found)")</f>
        <v>1</v>
      </c>
      <c r="J1012">
        <f>_xlfn.XLOOKUP(tbl_MTG_Set[[#This Row],[Type Name]], tbl_MTG_Set_Type[Set Type], tbl_MTG_Set_Type[Buy Window Month Start], "(Set Type not found)")</f>
        <v>18</v>
      </c>
      <c r="K1012" s="3">
        <f>tbl_MTG_Set[[#This Row],[Released On]]+tbl_MTG_Set[[#This Row],[Buy Window Month Start]]*365.25/12</f>
        <v>45794.875</v>
      </c>
      <c r="L1012">
        <f>_xlfn.XLOOKUP(tbl_MTG_Set[[#This Row],[Type Name]], tbl_MTG_Set_Type[Set Type], tbl_MTG_Set_Type[Buy Window Month End], "(Set Type not found)", 0, 1)</f>
        <v>24</v>
      </c>
      <c r="M1012" s="3">
        <f>tbl_MTG_Set[[#This Row],[Released On]]+tbl_MTG_Set[[#This Row],[Buy Window Month End]]*365.25/12</f>
        <v>45977.5</v>
      </c>
      <c r="N1012" s="3" t="b">
        <f ca="1">AND(NOW()&gt;=tbl_MTG_Set[[#This Row],[Buy Window Start]], NOW()&lt;=tbl_MTG_Set[[#This Row],[Buy Window End]])</f>
        <v>0</v>
      </c>
      <c r="O1012">
        <f>_xlfn.XLOOKUP(tbl_MTG_Set[[#This Row],[Type Name]], tbl_MTG_Set_Type[Set Type], tbl_MTG_Set_Type[Heavy Printing Window Month Start], "(Set Type not found)", 0, 1)</f>
        <v>1</v>
      </c>
      <c r="P1012" s="3">
        <f>tbl_MTG_Set[[#This Row],[Released On]]+tbl_MTG_Set[[#This Row],[Heavy Printing Window Month Start]]*365.25/12</f>
        <v>45277.4375</v>
      </c>
      <c r="Q1012">
        <f>_xlfn.XLOOKUP(tbl_MTG_Set[[#This Row],[Type Name]], tbl_MTG_Set_Type[Set Type], tbl_MTG_Set_Type[Heavy Printing Window Month End], "(Set Type not found)", 0, 1)</f>
        <v>18</v>
      </c>
      <c r="R1012" s="3">
        <f>tbl_MTG_Set[[#This Row],[Released On]]+tbl_MTG_Set[[#This Row],[Heavy Printing Window Month End]]*365.25/12</f>
        <v>45794.875</v>
      </c>
      <c r="S1012" s="3" t="b">
        <f ca="1">AND(NOW()&gt;=tbl_MTG_Set[[#This Row],[Heavy Printing Window Start]], NOW()&lt;=tbl_MTG_Set[[#This Row],[Heavy Printing Window End]])</f>
        <v>0</v>
      </c>
      <c r="T1012">
        <f>_xlfn.XLOOKUP(tbl_MTG_Set[[#This Row],[Type Name]], tbl_MTG_Set_Type[Set Type], tbl_MTG_Set_Type[Sell Window Month Start], "(Set Type not found)", 0, 1)</f>
        <v>36</v>
      </c>
      <c r="U1012" s="3">
        <f>tbl_MTG_Set[[#This Row],[Released On]]+tbl_MTG_Set[[#This Row],[Sell Window Month Start]]*365.25/12</f>
        <v>46342.75</v>
      </c>
      <c r="V1012">
        <f>_xlfn.XLOOKUP(tbl_MTG_Set[[#This Row],[Type Name]], tbl_MTG_Set_Type[Set Type], tbl_MTG_Set_Type[Sell Window Month End], "(Set Type not found)", 0, 1)</f>
        <v>48</v>
      </c>
      <c r="W1012" s="3">
        <f>tbl_MTG_Set[[#This Row],[Released On]]+tbl_MTG_Set[[#This Row],[Sell Window Month End]]*365.25/12</f>
        <v>46708</v>
      </c>
      <c r="X1012" s="3" t="b">
        <f ca="1">AND(NOW()&gt;=tbl_MTG_Set[[#This Row],[Sell Window Start]], NOW()&lt;=tbl_MTG_Set[[#This Row],[Sell Window End]])</f>
        <v>0</v>
      </c>
      <c r="Y1012" s="10">
        <v>144</v>
      </c>
      <c r="Z1012" s="10">
        <v>116</v>
      </c>
      <c r="AD1012" s="10">
        <f>(Y1012+96/20)/30</f>
        <v>4.96</v>
      </c>
      <c r="AE1012" s="10">
        <f>(Z1012+96/20)/30</f>
        <v>4.0266666666666664</v>
      </c>
      <c r="AG1012" s="10"/>
      <c r="AH1012" s="10"/>
      <c r="AI1012" s="4">
        <v>47</v>
      </c>
      <c r="AJ1012" s="4">
        <v>2</v>
      </c>
      <c r="AK1012" s="4">
        <v>142</v>
      </c>
      <c r="AL1012" s="4">
        <v>141</v>
      </c>
      <c r="AM1012" s="10" cm="1">
        <f t="array" ref="AM101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160</v>
      </c>
      <c r="AN1012" s="10" t="str" cm="1">
        <f t="array" ref="AN101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Loaded Dice</v>
      </c>
      <c r="AO1012" s="4">
        <f>_xlfn.XLOOKUP(tbl_MTG_Set[[#This Row],[Play Booster Box Product Id]], tbl_Product[Product Id], tbl_Product[Pack Size])</f>
        <v>30</v>
      </c>
      <c r="AP1012" s="10">
        <f>(tbl_MTG_Set[[#This Row],[Play Booster Box Cost]]+v_Item_Shipping_Cost_In)/tbl_MTG_Set[[#This Row],[Play Booster Box Size]]</f>
        <v>5.7399999999999993</v>
      </c>
      <c r="AQ1012" s="10" cm="1">
        <f t="array" ref="AQ101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6.0026478239999994</v>
      </c>
      <c r="AR1012" s="10">
        <v>8</v>
      </c>
      <c r="AS1012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-0.58350602215384617</v>
      </c>
      <c r="AT1012" s="17">
        <f>tbl_MTG_Set[[#This Row],[Play Booster CardMarket Profit]]/tbl_MTG_Set[[#This Row],[Play Booster Cost]]</f>
        <v>-0.10165610142053071</v>
      </c>
      <c r="AU1012" s="10">
        <f>_xlfn.XLOOKUP(tbl_MTG_Set[[#This Row],[Collector Booster Box Product Id]], tbl_Product[Product Id], tbl_Product[Min Cost])</f>
        <v>752.64151180160002</v>
      </c>
      <c r="AV1012" s="10" t="str">
        <f>_xlfn.XLOOKUP(tbl_MTG_Set[[#This Row],[Collector Booster Box Product Id]], tbl_Product[Product Id], tbl_Product[Best Source])</f>
        <v>Card Market Packs x Box Size</v>
      </c>
      <c r="AW1012" s="4">
        <f>_xlfn.XLOOKUP(tbl_MTG_Set[[#This Row],[Collector Booster Box Product Id]], tbl_Product[Product Id], tbl_Product[Pack Size])</f>
        <v>12</v>
      </c>
      <c r="AX1012" s="10">
        <f>(tbl_MTG_Set[[#This Row],[Collector Booster Box Cost]] + v_Item_Shipping_Cost_In) / tbl_MTG_Set[[#This Row],[Collector Booster Box Size]]</f>
        <v>63.736792650133339</v>
      </c>
      <c r="AY1012" s="10" cm="1">
        <f t="array" ref="AY101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62.053459316800001</v>
      </c>
      <c r="AZ1012" s="10"/>
      <c r="BA101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-2.5294871794871834</v>
      </c>
      <c r="BB1012" s="17">
        <f>tbl_MTG_Set[[#This Row],[Collector Booster CardMarket Profit]]/tbl_MTG_Set[[#This Row],[Collector Booster Cost]]</f>
        <v>-3.9686452272114633E-2</v>
      </c>
      <c r="BC1012" s="10"/>
      <c r="BF1012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2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2" s="11">
        <f>tbl_MTG_Set[[#This Row],[Play Singles CardMarket Profit MTG Stocks]]/tbl_MTG_Set[[#This Row],[Play Booster Cost]]</f>
        <v>-174.04181184668991</v>
      </c>
      <c r="BI1012" s="11" t="b">
        <f>tbl_MTG_Set[[#This Row],[Play Singles CardMarket Profit MTG Stocks]]&gt;0</f>
        <v>0</v>
      </c>
      <c r="BJ1012" s="21" t="s">
        <v>1237</v>
      </c>
      <c r="BK1012" s="11">
        <v>4.71</v>
      </c>
      <c r="BL1012" s="11">
        <v>7.49</v>
      </c>
      <c r="BM1012" s="10">
        <f>tbl_MTG_Set[[#This Row],[Play Booster Sell Price CardMarket]]*tbl_MTG_Set[[#This Row],[Play Booster Expected Market Value BotBox]]/tbl_MTG_Set[[#This Row],[Play Booster Sealed Market Value BotBox]]</f>
        <v>3.7746957611535374</v>
      </c>
      <c r="BN101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-2.8114580850003081</v>
      </c>
      <c r="BO1012" s="17">
        <f>tbl_MTG_Set[[#This Row],[Play Singles CardMarket Profit BotBox]]/tbl_MTG_Set[[#This Row],[Play Booster Cost]]</f>
        <v>-0.48980106010458335</v>
      </c>
      <c r="BP1012" s="10" t="b">
        <f>tbl_MTG_Set[[#This Row],[Play Singles CardMarket Profit BotBox]]&gt;0</f>
        <v>0</v>
      </c>
      <c r="BQ1012" s="15" t="s">
        <v>1238</v>
      </c>
      <c r="BR1012" s="10"/>
      <c r="BS1012" s="10"/>
      <c r="BT1012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2" s="19">
        <f>tbl_MTG_Set[[#This Row],[Collector Singles CardMarket Profit MTG Stocks]]/tbl_MTG_Set[[#This Row],[Collector Booster Cost]]</f>
        <v>-15.673835448290479</v>
      </c>
      <c r="BW1012" s="10" t="b">
        <f>tbl_MTG_Set[[#This Row],[Collector Singles CardMarket Profit MTG Stocks]]&gt;0</f>
        <v>0</v>
      </c>
      <c r="BX1012" s="10">
        <v>26.76</v>
      </c>
      <c r="BY1012" s="10">
        <v>72.959999999999994</v>
      </c>
      <c r="BZ1012" s="10">
        <f>tbl_MTG_Set[[#This Row],[Collector Booster Sell Price CardMarket]]*tbl_MTG_Set[[#This Row],[Collector Booster Expected Market Value BotBox]]/tbl_MTG_Set[[#This Row],[Collector Booster Sealed Market Value BotBox]]</f>
        <v>22.759739190207895</v>
      </c>
      <c r="CA101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-41.82320730607929</v>
      </c>
      <c r="CB1012" s="17">
        <f>tbl_MTG_Set[[#This Row],[Collector Singles CardMarket Profit BotBox]]/tbl_MTG_Set[[#This Row],[Collector Booster Cost]]</f>
        <v>-0.65618625549071763</v>
      </c>
      <c r="CC1012" s="10" t="b">
        <f>tbl_MTG_Set[[#This Row],[Collector Singles CardMarket Profit BotBox]]&gt;0</f>
        <v>0</v>
      </c>
      <c r="CD101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-0.58350602215384617</v>
      </c>
      <c r="CG101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-3.9686452272114633E-2</v>
      </c>
    </row>
    <row r="1013" spans="1:86">
      <c r="A1013">
        <v>124</v>
      </c>
      <c r="B1013" t="s">
        <v>1239</v>
      </c>
      <c r="C1013">
        <v>451</v>
      </c>
      <c r="D1013" s="3">
        <v>45331</v>
      </c>
      <c r="E1013" t="s">
        <v>59</v>
      </c>
      <c r="F1013" t="s">
        <v>174</v>
      </c>
      <c r="G1013">
        <v>194</v>
      </c>
      <c r="H1013">
        <f ca="1">MONTH(NOW())+12*YEAR(NOW())-MONTH(tbl_MTG_Set[[#This Row],[Released On]])-12*YEAR(tbl_MTG_Set[[#This Row],[Released On]])</f>
        <v>25</v>
      </c>
      <c r="I1013">
        <f>_xlfn.XLOOKUP(tbl_MTG_Set[[#This Row],[Type Name]], tbl_MTG_Set_Type[Set Type], tbl_MTG_Set_Type[Index], "(Set Type not found)")</f>
        <v>1</v>
      </c>
      <c r="J1013">
        <f>_xlfn.XLOOKUP(tbl_MTG_Set[[#This Row],[Type Name]], tbl_MTG_Set_Type[Set Type], tbl_MTG_Set_Type[Buy Window Month Start], "(Set Type not found)")</f>
        <v>18</v>
      </c>
      <c r="K1013" s="3">
        <f>tbl_MTG_Set[[#This Row],[Released On]]+tbl_MTG_Set[[#This Row],[Buy Window Month Start]]*365.25/12</f>
        <v>45878.875</v>
      </c>
      <c r="L1013">
        <f>_xlfn.XLOOKUP(tbl_MTG_Set[[#This Row],[Type Name]], tbl_MTG_Set_Type[Set Type], tbl_MTG_Set_Type[Buy Window Month End], "(Set Type not found)", 0, 1)</f>
        <v>24</v>
      </c>
      <c r="M1013" s="3">
        <f>tbl_MTG_Set[[#This Row],[Released On]]+tbl_MTG_Set[[#This Row],[Buy Window Month End]]*365.25/12</f>
        <v>46061.5</v>
      </c>
      <c r="N1013" s="3" t="b">
        <f ca="1">AND(NOW()&gt;=tbl_MTG_Set[[#This Row],[Buy Window Start]], NOW()&lt;=tbl_MTG_Set[[#This Row],[Buy Window End]])</f>
        <v>0</v>
      </c>
      <c r="O1013">
        <f>_xlfn.XLOOKUP(tbl_MTG_Set[[#This Row],[Type Name]], tbl_MTG_Set_Type[Set Type], tbl_MTG_Set_Type[Heavy Printing Window Month Start], "(Set Type not found)", 0, 1)</f>
        <v>1</v>
      </c>
      <c r="P1013" s="3">
        <f>tbl_MTG_Set[[#This Row],[Released On]]+tbl_MTG_Set[[#This Row],[Heavy Printing Window Month Start]]*365.25/12</f>
        <v>45361.4375</v>
      </c>
      <c r="Q1013">
        <f>_xlfn.XLOOKUP(tbl_MTG_Set[[#This Row],[Type Name]], tbl_MTG_Set_Type[Set Type], tbl_MTG_Set_Type[Heavy Printing Window Month End], "(Set Type not found)", 0, 1)</f>
        <v>18</v>
      </c>
      <c r="R1013" s="3">
        <f>tbl_MTG_Set[[#This Row],[Released On]]+tbl_MTG_Set[[#This Row],[Heavy Printing Window Month End]]*365.25/12</f>
        <v>45878.875</v>
      </c>
      <c r="S1013" s="3" t="b">
        <f ca="1">AND(NOW()&gt;=tbl_MTG_Set[[#This Row],[Heavy Printing Window Start]], NOW()&lt;=tbl_MTG_Set[[#This Row],[Heavy Printing Window End]])</f>
        <v>0</v>
      </c>
      <c r="T1013">
        <f>_xlfn.XLOOKUP(tbl_MTG_Set[[#This Row],[Type Name]], tbl_MTG_Set_Type[Set Type], tbl_MTG_Set_Type[Sell Window Month Start], "(Set Type not found)", 0, 1)</f>
        <v>36</v>
      </c>
      <c r="U1013" s="3">
        <f>tbl_MTG_Set[[#This Row],[Released On]]+tbl_MTG_Set[[#This Row],[Sell Window Month Start]]*365.25/12</f>
        <v>46426.75</v>
      </c>
      <c r="V1013">
        <f>_xlfn.XLOOKUP(tbl_MTG_Set[[#This Row],[Type Name]], tbl_MTG_Set_Type[Set Type], tbl_MTG_Set_Type[Sell Window Month End], "(Set Type not found)", 0, 1)</f>
        <v>48</v>
      </c>
      <c r="W1013" s="3">
        <f>tbl_MTG_Set[[#This Row],[Released On]]+tbl_MTG_Set[[#This Row],[Sell Window Month End]]*365.25/12</f>
        <v>46792</v>
      </c>
      <c r="X1013" s="3" t="b">
        <f ca="1">AND(NOW()&gt;=tbl_MTG_Set[[#This Row],[Sell Window Start]], NOW()&lt;=tbl_MTG_Set[[#This Row],[Sell Window End]])</f>
        <v>0</v>
      </c>
      <c r="Y1013" s="10">
        <v>128</v>
      </c>
      <c r="Z1013" s="10">
        <v>115</v>
      </c>
      <c r="AD1013" s="10">
        <f>(Y1013+96/20)/36</f>
        <v>3.6888888888888891</v>
      </c>
      <c r="AE1013" s="10">
        <f>(Z1013+96/20)/36</f>
        <v>3.3277777777777775</v>
      </c>
      <c r="AG1013" s="10"/>
      <c r="AH1013" s="10"/>
      <c r="AI1013" s="4">
        <v>80</v>
      </c>
      <c r="AJ1013" s="4">
        <v>35</v>
      </c>
      <c r="AK1013" s="4">
        <v>124</v>
      </c>
      <c r="AL1013" s="4">
        <v>123</v>
      </c>
      <c r="AM1013" s="10" cm="1">
        <f t="array" ref="AM101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119.80584033919999</v>
      </c>
      <c r="AN1013" s="10" t="str" cm="1">
        <f t="array" ref="AN101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3" s="4">
        <f>_xlfn.XLOOKUP(tbl_MTG_Set[[#This Row],[Play Booster Box Product Id]], tbl_Product[Product Id], tbl_Product[Pack Size])</f>
        <v>36</v>
      </c>
      <c r="AP1013" s="10">
        <f>(tbl_MTG_Set[[#This Row],[Play Booster Box Cost]]+v_Item_Shipping_Cost_In)/tbl_MTG_Set[[#This Row],[Play Booster Box Size]]</f>
        <v>3.6668288983111106</v>
      </c>
      <c r="AQ1013" s="10" cm="1">
        <f t="array" ref="AQ101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3.1057177871999997</v>
      </c>
      <c r="AR1013" s="10">
        <v>3</v>
      </c>
      <c r="AS1013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-1.4072649572649572</v>
      </c>
      <c r="AT1013" s="17">
        <f>tbl_MTG_Set[[#This Row],[Play Booster CardMarket Profit]]/tbl_MTG_Set[[#This Row],[Play Booster Cost]]</f>
        <v>-0.3837825533427871</v>
      </c>
      <c r="AU1013" s="10">
        <f>_xlfn.XLOOKUP(tbl_MTG_Set[[#This Row],[Collector Booster Box Product Id]], tbl_Product[Product Id], tbl_Product[Min Cost])</f>
        <v>236.13628</v>
      </c>
      <c r="AV1013" s="10" t="str">
        <f>_xlfn.XLOOKUP(tbl_MTG_Set[[#This Row],[Collector Booster Box Product Id]], tbl_Product[Product Id], tbl_Product[Best Source])</f>
        <v>Card Market</v>
      </c>
      <c r="AW1013" s="4">
        <f>_xlfn.XLOOKUP(tbl_MTG_Set[[#This Row],[Collector Booster Box Product Id]], tbl_Product[Product Id], tbl_Product[Pack Size])</f>
        <v>12</v>
      </c>
      <c r="AX1013" s="10">
        <f>(tbl_MTG_Set[[#This Row],[Collector Booster Box Cost]] + v_Item_Shipping_Cost_In) / tbl_MTG_Set[[#This Row],[Collector Booster Box Size]]</f>
        <v>20.694689999999998</v>
      </c>
      <c r="AY1013" s="10" cm="1">
        <f t="array" ref="AY101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20.635189331199999</v>
      </c>
      <c r="AZ1013" s="10"/>
      <c r="BA101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-0.90565451495384464</v>
      </c>
      <c r="BB1013" s="17">
        <f>tbl_MTG_Set[[#This Row],[Collector Booster CardMarket Profit]]/tbl_MTG_Set[[#This Row],[Collector Booster Cost]]</f>
        <v>-4.3762651914759039E-2</v>
      </c>
      <c r="BC1013" s="15" t="s">
        <v>1240</v>
      </c>
      <c r="BD1013" s="11">
        <v>4.43</v>
      </c>
      <c r="BE1013" s="11">
        <v>4.6500000000000004</v>
      </c>
      <c r="BF1013" s="11">
        <f>tbl_MTG_Set[[#This Row],[Play Booster Sell Price CardMarket]]*tbl_MTG_Set[[#This Row],[Play Booster Expected Market Value MTG Stocks]]/tbl_MTG_Set[[#This Row],[Play Booster Sealed Market Value MTG Stocks]]</f>
        <v>2.9587806015690314</v>
      </c>
      <c r="BG101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-1.5542021428959254</v>
      </c>
      <c r="BH1013" s="11">
        <f>tbl_MTG_Set[[#This Row],[Play Singles CardMarket Profit MTG Stocks]]/tbl_MTG_Set[[#This Row],[Play Booster Cost]]</f>
        <v>-0.42385455825652757</v>
      </c>
      <c r="BI1013" s="11" t="b">
        <f>tbl_MTG_Set[[#This Row],[Play Singles CardMarket Profit MTG Stocks]]&gt;0</f>
        <v>0</v>
      </c>
      <c r="BJ1013" s="21" t="s">
        <v>1241</v>
      </c>
      <c r="BK1013" s="11">
        <v>4.04</v>
      </c>
      <c r="BL1013" s="11">
        <v>5</v>
      </c>
      <c r="BM1013" s="10">
        <f>tbl_MTG_Set[[#This Row],[Play Booster Sell Price CardMarket]]*tbl_MTG_Set[[#This Row],[Play Booster Expected Market Value BotBox]]/tbl_MTG_Set[[#This Row],[Play Booster Sealed Market Value BotBox]]</f>
        <v>2.5094199720575996</v>
      </c>
      <c r="BN101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-2.0035627724073573</v>
      </c>
      <c r="BO1013" s="17">
        <f>tbl_MTG_Set[[#This Row],[Play Singles CardMarket Profit BotBox]]/tbl_MTG_Set[[#This Row],[Play Booster Cost]]</f>
        <v>-0.5464020351018205</v>
      </c>
      <c r="BP1013" s="10" t="b">
        <f>tbl_MTG_Set[[#This Row],[Play Singles CardMarket Profit BotBox]]&gt;0</f>
        <v>0</v>
      </c>
      <c r="BQ1013" s="15" t="s">
        <v>1242</v>
      </c>
      <c r="BR1013" s="10">
        <v>15.02</v>
      </c>
      <c r="BS1013" s="10">
        <v>26.73</v>
      </c>
      <c r="BT1013" s="10">
        <f>tbl_MTG_Set[[#This Row],[Collector Booster Sell Price CardMarket]]*tbl_MTG_Set[[#This Row],[Collector Booster Expected Market Value MTG Stocks]]/tbl_MTG_Set[[#This Row],[Collector Booster Sealed Market Value MTG Stocks]]</f>
        <v>11.595231715474149</v>
      </c>
      <c r="BU101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-9.9456121306796952</v>
      </c>
      <c r="BV1013" s="19">
        <f>tbl_MTG_Set[[#This Row],[Collector Singles CardMarket Profit MTG Stocks]]/tbl_MTG_Set[[#This Row],[Collector Booster Cost]]</f>
        <v>-0.48058763531513138</v>
      </c>
      <c r="BW1013" s="10" t="b">
        <f>tbl_MTG_Set[[#This Row],[Collector Singles CardMarket Profit MTG Stocks]]&gt;0</f>
        <v>0</v>
      </c>
      <c r="BX1013" s="10">
        <v>19.41</v>
      </c>
      <c r="BY1013" s="10">
        <v>27.93</v>
      </c>
      <c r="BZ1013" s="10">
        <f>tbl_MTG_Set[[#This Row],[Collector Booster Sell Price CardMarket]]*tbl_MTG_Set[[#This Row],[Collector Booster Expected Market Value BotBox]]/tbl_MTG_Set[[#This Row],[Collector Booster Sealed Market Value BotBox]]</f>
        <v>14.340459180758753</v>
      </c>
      <c r="CA101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-7.2003846653950916</v>
      </c>
      <c r="CB1013" s="17">
        <f>tbl_MTG_Set[[#This Row],[Collector Singles CardMarket Profit BotBox]]/tbl_MTG_Set[[#This Row],[Collector Booster Cost]]</f>
        <v>-0.34793392244073684</v>
      </c>
      <c r="CC1013" s="10" t="b">
        <f>tbl_MTG_Set[[#This Row],[Collector Singles CardMarket Profit BotBox]]&gt;0</f>
        <v>0</v>
      </c>
      <c r="CD101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1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-0.90565451495384464</v>
      </c>
      <c r="CG101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-4.3762651914759039E-2</v>
      </c>
    </row>
    <row r="1014" spans="1:86">
      <c r="A1014">
        <v>73</v>
      </c>
      <c r="B1014" t="s">
        <v>1243</v>
      </c>
      <c r="C1014">
        <v>730</v>
      </c>
      <c r="D1014" s="3">
        <v>45611</v>
      </c>
      <c r="E1014" t="s">
        <v>59</v>
      </c>
      <c r="F1014" t="s">
        <v>174</v>
      </c>
      <c r="G1014">
        <v>92</v>
      </c>
      <c r="H1014">
        <f ca="1">MONTH(NOW())+12*YEAR(NOW())-MONTH(tbl_MTG_Set[[#This Row],[Released On]])-12*YEAR(tbl_MTG_Set[[#This Row],[Released On]])</f>
        <v>16</v>
      </c>
      <c r="I1014">
        <f>_xlfn.XLOOKUP(tbl_MTG_Set[[#This Row],[Type Name]], tbl_MTG_Set_Type[Set Type], tbl_MTG_Set_Type[Index], "(Set Type not found)")</f>
        <v>1</v>
      </c>
      <c r="J1014">
        <f>_xlfn.XLOOKUP(tbl_MTG_Set[[#This Row],[Type Name]], tbl_MTG_Set_Type[Set Type], tbl_MTG_Set_Type[Buy Window Month Start], "(Set Type not found)")</f>
        <v>18</v>
      </c>
      <c r="K1014" s="3">
        <f>tbl_MTG_Set[[#This Row],[Released On]]+tbl_MTG_Set[[#This Row],[Buy Window Month Start]]*365.25/12</f>
        <v>46158.875</v>
      </c>
      <c r="L1014">
        <f>_xlfn.XLOOKUP(tbl_MTG_Set[[#This Row],[Type Name]], tbl_MTG_Set_Type[Set Type], tbl_MTG_Set_Type[Buy Window Month End], "(Set Type not found)", 0, 1)</f>
        <v>24</v>
      </c>
      <c r="M1014" s="3">
        <f>tbl_MTG_Set[[#This Row],[Released On]]+tbl_MTG_Set[[#This Row],[Buy Window Month End]]*365.25/12</f>
        <v>46341.5</v>
      </c>
      <c r="N1014" s="3" t="b">
        <f ca="1">AND(NOW()&gt;=tbl_MTG_Set[[#This Row],[Buy Window Start]], NOW()&lt;=tbl_MTG_Set[[#This Row],[Buy Window End]])</f>
        <v>0</v>
      </c>
      <c r="O1014">
        <f>_xlfn.XLOOKUP(tbl_MTG_Set[[#This Row],[Type Name]], tbl_MTG_Set_Type[Set Type], tbl_MTG_Set_Type[Heavy Printing Window Month Start], "(Set Type not found)", 0, 1)</f>
        <v>1</v>
      </c>
      <c r="P1014" s="3">
        <f>tbl_MTG_Set[[#This Row],[Released On]]+tbl_MTG_Set[[#This Row],[Heavy Printing Window Month Start]]*365.25/12</f>
        <v>45641.4375</v>
      </c>
      <c r="Q1014">
        <f>_xlfn.XLOOKUP(tbl_MTG_Set[[#This Row],[Type Name]], tbl_MTG_Set_Type[Set Type], tbl_MTG_Set_Type[Heavy Printing Window Month End], "(Set Type not found)", 0, 1)</f>
        <v>18</v>
      </c>
      <c r="R1014" s="3">
        <f>tbl_MTG_Set[[#This Row],[Released On]]+tbl_MTG_Set[[#This Row],[Heavy Printing Window Month End]]*365.25/12</f>
        <v>46158.875</v>
      </c>
      <c r="S1014" s="3" t="b">
        <f ca="1">AND(NOW()&gt;=tbl_MTG_Set[[#This Row],[Heavy Printing Window Start]], NOW()&lt;=tbl_MTG_Set[[#This Row],[Heavy Printing Window End]])</f>
        <v>1</v>
      </c>
      <c r="T1014">
        <f>_xlfn.XLOOKUP(tbl_MTG_Set[[#This Row],[Type Name]], tbl_MTG_Set_Type[Set Type], tbl_MTG_Set_Type[Sell Window Month Start], "(Set Type not found)", 0, 1)</f>
        <v>36</v>
      </c>
      <c r="U1014" s="3">
        <f>tbl_MTG_Set[[#This Row],[Released On]]+tbl_MTG_Set[[#This Row],[Sell Window Month Start]]*365.25/12</f>
        <v>46706.75</v>
      </c>
      <c r="V1014">
        <f>_xlfn.XLOOKUP(tbl_MTG_Set[[#This Row],[Type Name]], tbl_MTG_Set_Type[Set Type], tbl_MTG_Set_Type[Sell Window Month End], "(Set Type not found)", 0, 1)</f>
        <v>48</v>
      </c>
      <c r="W1014" s="3">
        <f>tbl_MTG_Set[[#This Row],[Released On]]+tbl_MTG_Set[[#This Row],[Sell Window Month End]]*365.25/12</f>
        <v>47072</v>
      </c>
      <c r="X1014" s="3" t="b">
        <f ca="1">AND(NOW()&gt;=tbl_MTG_Set[[#This Row],[Sell Window Start]], NOW()&lt;=tbl_MTG_Set[[#This Row],[Sell Window End]])</f>
        <v>0</v>
      </c>
      <c r="Y1014" s="10">
        <v>144</v>
      </c>
      <c r="Z1014" s="10">
        <v>130</v>
      </c>
      <c r="AB1014" s="10">
        <f>140-96/20</f>
        <v>135.19999999999999</v>
      </c>
      <c r="AC1014" s="10">
        <v>119</v>
      </c>
      <c r="AD1014" s="10">
        <f>(Y1014+96/20)/30</f>
        <v>4.96</v>
      </c>
      <c r="AE1014" s="10">
        <f>(Z1014+96/20)/30</f>
        <v>4.4933333333333341</v>
      </c>
      <c r="AF1014" s="10">
        <f>(AA1014+96/20)/30</f>
        <v>0.16</v>
      </c>
      <c r="AG1014" s="10">
        <f>(AB1014+96/20)/30</f>
        <v>4.666666666666667</v>
      </c>
      <c r="AH1014" s="10">
        <f>(AC1014+96/20)/30</f>
        <v>4.1266666666666669</v>
      </c>
      <c r="AI1014" s="4">
        <v>61</v>
      </c>
      <c r="AJ1014" s="4">
        <v>16</v>
      </c>
      <c r="AK1014" s="4">
        <v>102</v>
      </c>
      <c r="AL1014" s="4">
        <v>101</v>
      </c>
      <c r="AM1014" s="10" cm="1">
        <f t="array" ref="AM101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138.492344</v>
      </c>
      <c r="AN1014" s="10" t="str" cm="1">
        <f t="array" ref="AN101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4" s="4">
        <f>_xlfn.XLOOKUP(tbl_MTG_Set[[#This Row],[Play Booster Box Product Id]], tbl_Product[Product Id], tbl_Product[Pack Size])</f>
        <v>30</v>
      </c>
      <c r="AP1014" s="10">
        <f>(tbl_MTG_Set[[#This Row],[Play Booster Box Cost]]+v_Item_Shipping_Cost_In)/tbl_MTG_Set[[#This Row],[Play Booster Box Size]]</f>
        <v>5.0230781333333328</v>
      </c>
      <c r="AQ1014" s="10" cm="1">
        <f t="array" ref="AQ101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4.3497447999999999</v>
      </c>
      <c r="AR1014" s="10">
        <v>5</v>
      </c>
      <c r="AS1014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14" s="17">
        <f>tbl_MTG_Set[[#This Row],[Play Booster CardMarket Profit]]/tbl_MTG_Set[[#This Row],[Play Booster Cost]]</f>
        <v>-0.30250120327689228</v>
      </c>
      <c r="AU1014" s="10">
        <f>_xlfn.XLOOKUP(tbl_MTG_Set[[#This Row],[Collector Booster Box Product Id]], tbl_Product[Product Id], tbl_Product[Min Cost])</f>
        <v>616.09432303999984</v>
      </c>
      <c r="AV1014" s="10" t="str">
        <f>_xlfn.XLOOKUP(tbl_MTG_Set[[#This Row],[Collector Booster Box Product Id]], tbl_Product[Product Id], tbl_Product[Best Source])</f>
        <v>Card Market Packs x Box Size</v>
      </c>
      <c r="AW1014" s="4">
        <f>_xlfn.XLOOKUP(tbl_MTG_Set[[#This Row],[Collector Booster Box Product Id]], tbl_Product[Product Id], tbl_Product[Pack Size])</f>
        <v>12</v>
      </c>
      <c r="AX1014" s="10">
        <f>(tbl_MTG_Set[[#This Row],[Collector Booster Box Cost]] + v_Item_Shipping_Cost_In) / tbl_MTG_Set[[#This Row],[Collector Booster Box Size]]</f>
        <v>52.357860253333321</v>
      </c>
      <c r="AY1014" s="10" cm="1">
        <f t="array" ref="AY101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50.674526919999991</v>
      </c>
      <c r="AZ1014" s="10"/>
      <c r="BA101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-2.5294871794871763</v>
      </c>
      <c r="BB1014" s="17">
        <f>tbl_MTG_Set[[#This Row],[Collector Booster CardMarket Profit]]/tbl_MTG_Set[[#This Row],[Collector Booster Cost]]</f>
        <v>-4.8311507904415144E-2</v>
      </c>
      <c r="BC1014" s="10"/>
      <c r="BF1014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4" s="11">
        <f>tbl_MTG_Set[[#This Row],[Play Singles CardMarket Profit MTG Stocks]]/tbl_MTG_Set[[#This Row],[Play Booster Cost]]</f>
        <v>-198.88203477676348</v>
      </c>
      <c r="BI1014" s="11" t="b">
        <f>tbl_MTG_Set[[#This Row],[Play Singles CardMarket Profit MTG Stocks]]&gt;0</f>
        <v>0</v>
      </c>
      <c r="BJ1014" s="21" t="s">
        <v>1244</v>
      </c>
      <c r="BK1014" s="11">
        <v>3.91</v>
      </c>
      <c r="BL1014" s="11">
        <v>5.03</v>
      </c>
      <c r="BM1014" s="10">
        <f>tbl_MTG_Set[[#This Row],[Play Booster Sell Price CardMarket]]*tbl_MTG_Set[[#This Row],[Play Booster Expected Market Value BotBox]]/tbl_MTG_Set[[#This Row],[Play Booster Sealed Market Value BotBox]]</f>
        <v>3.3812131546719679</v>
      </c>
      <c r="BN101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-2.4880188248152111</v>
      </c>
      <c r="BO1014" s="17">
        <f>tbl_MTG_Set[[#This Row],[Play Singles CardMarket Profit BotBox]]/tbl_MTG_Set[[#This Row],[Play Booster Cost]]</f>
        <v>-0.49531756400614713</v>
      </c>
      <c r="BP1014" s="10" t="b">
        <f>tbl_MTG_Set[[#This Row],[Play Singles CardMarket Profit BotBox]]&gt;0</f>
        <v>0</v>
      </c>
      <c r="BQ1014" s="15" t="s">
        <v>1245</v>
      </c>
      <c r="BR1014" s="10"/>
      <c r="BS1014" s="10"/>
      <c r="BT1014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4" s="19">
        <f>tbl_MTG_Set[[#This Row],[Collector Singles CardMarket Profit MTG Stocks]]/tbl_MTG_Set[[#This Row],[Collector Booster Cost]]</f>
        <v>-19.080229695528846</v>
      </c>
      <c r="BW1014" s="10" t="b">
        <f>tbl_MTG_Set[[#This Row],[Collector Singles CardMarket Profit MTG Stocks]]&gt;0</f>
        <v>0</v>
      </c>
      <c r="BX1014" s="10">
        <v>27.63</v>
      </c>
      <c r="BY1014" s="10">
        <v>53</v>
      </c>
      <c r="BZ1014" s="10">
        <f>tbl_MTG_Set[[#This Row],[Collector Booster Sell Price CardMarket]]*tbl_MTG_Set[[#This Row],[Collector Booster Expected Market Value BotBox]]/tbl_MTG_Set[[#This Row],[Collector Booster Sealed Market Value BotBox]]</f>
        <v>26.417682618860372</v>
      </c>
      <c r="CA101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-26.786331480626796</v>
      </c>
      <c r="CB1014" s="17">
        <f>tbl_MTG_Set[[#This Row],[Collector Singles CardMarket Profit BotBox]]/tbl_MTG_Set[[#This Row],[Collector Booster Cost]]</f>
        <v>-0.51160095830924379</v>
      </c>
      <c r="CC1014" s="10" t="b">
        <f>tbl_MTG_Set[[#This Row],[Collector Singles CardMarket Profit BotBox]]&gt;0</f>
        <v>0</v>
      </c>
      <c r="CD101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-1.5194871794871792</v>
      </c>
      <c r="CG101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-4.8311507904415144E-2</v>
      </c>
    </row>
    <row r="1015" spans="1:86">
      <c r="A1015">
        <v>355</v>
      </c>
      <c r="B1015" t="s">
        <v>1246</v>
      </c>
      <c r="C1015">
        <v>426</v>
      </c>
      <c r="D1015" s="3">
        <v>44232</v>
      </c>
      <c r="E1015" t="s">
        <v>59</v>
      </c>
      <c r="F1015" t="s">
        <v>174</v>
      </c>
      <c r="G1015">
        <v>656</v>
      </c>
      <c r="H1015">
        <f ca="1">MONTH(NOW())+12*YEAR(NOW())-MONTH(tbl_MTG_Set[[#This Row],[Released On]])-12*YEAR(tbl_MTG_Set[[#This Row],[Released On]])</f>
        <v>61</v>
      </c>
      <c r="I1015">
        <f>_xlfn.XLOOKUP(tbl_MTG_Set[[#This Row],[Type Name]], tbl_MTG_Set_Type[Set Type], tbl_MTG_Set_Type[Index], "(Set Type not found)")</f>
        <v>1</v>
      </c>
      <c r="J1015">
        <f>_xlfn.XLOOKUP(tbl_MTG_Set[[#This Row],[Type Name]], tbl_MTG_Set_Type[Set Type], tbl_MTG_Set_Type[Buy Window Month Start], "(Set Type not found)")</f>
        <v>18</v>
      </c>
      <c r="K1015" s="3">
        <f>tbl_MTG_Set[[#This Row],[Released On]]+tbl_MTG_Set[[#This Row],[Buy Window Month Start]]*365.25/12</f>
        <v>44779.875</v>
      </c>
      <c r="L1015">
        <f>_xlfn.XLOOKUP(tbl_MTG_Set[[#This Row],[Type Name]], tbl_MTG_Set_Type[Set Type], tbl_MTG_Set_Type[Buy Window Month End], "(Set Type not found)", 0, 1)</f>
        <v>24</v>
      </c>
      <c r="M1015" s="3">
        <f>tbl_MTG_Set[[#This Row],[Released On]]+tbl_MTG_Set[[#This Row],[Buy Window Month End]]*365.25/12</f>
        <v>44962.5</v>
      </c>
      <c r="N1015" s="3" t="b">
        <f ca="1">AND(NOW()&gt;=tbl_MTG_Set[[#This Row],[Buy Window Start]], NOW()&lt;=tbl_MTG_Set[[#This Row],[Buy Window End]])</f>
        <v>0</v>
      </c>
      <c r="O1015">
        <f>_xlfn.XLOOKUP(tbl_MTG_Set[[#This Row],[Type Name]], tbl_MTG_Set_Type[Set Type], tbl_MTG_Set_Type[Heavy Printing Window Month Start], "(Set Type not found)", 0, 1)</f>
        <v>1</v>
      </c>
      <c r="P1015" s="3">
        <f>tbl_MTG_Set[[#This Row],[Released On]]+tbl_MTG_Set[[#This Row],[Heavy Printing Window Month Start]]*365.25/12</f>
        <v>44262.4375</v>
      </c>
      <c r="Q1015">
        <f>_xlfn.XLOOKUP(tbl_MTG_Set[[#This Row],[Type Name]], tbl_MTG_Set_Type[Set Type], tbl_MTG_Set_Type[Heavy Printing Window Month End], "(Set Type not found)", 0, 1)</f>
        <v>18</v>
      </c>
      <c r="R1015" s="3">
        <f>tbl_MTG_Set[[#This Row],[Released On]]+tbl_MTG_Set[[#This Row],[Heavy Printing Window Month End]]*365.25/12</f>
        <v>44779.875</v>
      </c>
      <c r="S1015" s="3" t="b">
        <f ca="1">AND(NOW()&gt;=tbl_MTG_Set[[#This Row],[Heavy Printing Window Start]], NOW()&lt;=tbl_MTG_Set[[#This Row],[Heavy Printing Window End]])</f>
        <v>0</v>
      </c>
      <c r="T1015">
        <f>_xlfn.XLOOKUP(tbl_MTG_Set[[#This Row],[Type Name]], tbl_MTG_Set_Type[Set Type], tbl_MTG_Set_Type[Sell Window Month Start], "(Set Type not found)", 0, 1)</f>
        <v>36</v>
      </c>
      <c r="U1015" s="3">
        <f>tbl_MTG_Set[[#This Row],[Released On]]+tbl_MTG_Set[[#This Row],[Sell Window Month Start]]*365.25/12</f>
        <v>45327.75</v>
      </c>
      <c r="V1015">
        <f>_xlfn.XLOOKUP(tbl_MTG_Set[[#This Row],[Type Name]], tbl_MTG_Set_Type[Set Type], tbl_MTG_Set_Type[Sell Window Month End], "(Set Type not found)", 0, 1)</f>
        <v>48</v>
      </c>
      <c r="W1015" s="3">
        <f>tbl_MTG_Set[[#This Row],[Released On]]+tbl_MTG_Set[[#This Row],[Sell Window Month End]]*365.25/12</f>
        <v>45693</v>
      </c>
      <c r="X1015" s="3" t="b">
        <f ca="1">AND(NOW()&gt;=tbl_MTG_Set[[#This Row],[Sell Window Start]], NOW()&lt;=tbl_MTG_Set[[#This Row],[Sell Window End]])</f>
        <v>0</v>
      </c>
      <c r="Y1015" s="10">
        <v>188</v>
      </c>
      <c r="Z1015" s="10">
        <v>135</v>
      </c>
      <c r="AD1015" s="10">
        <f>(Y1015+96/20)/30</f>
        <v>6.4266666666666667</v>
      </c>
      <c r="AE1015" s="10">
        <f>(Z1015+96/20)/30</f>
        <v>4.66</v>
      </c>
      <c r="AF1015" s="10">
        <f>(AA1015+96/20)/30</f>
        <v>0.16</v>
      </c>
      <c r="AG1015" s="10">
        <f>(AB1015+96/20)/30</f>
        <v>0.16</v>
      </c>
      <c r="AH1015" s="10">
        <f>(AC1015+96/20)/30</f>
        <v>0.16</v>
      </c>
      <c r="AI1015" s="4">
        <v>51</v>
      </c>
      <c r="AJ1015" s="4">
        <v>6</v>
      </c>
      <c r="AK1015" s="4">
        <v>110</v>
      </c>
      <c r="AL1015" s="4">
        <v>109</v>
      </c>
      <c r="AM1015" s="10" cm="1">
        <f t="array" ref="AM1015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195.00994</v>
      </c>
      <c r="AN1015" s="10" t="str" cm="1">
        <f t="array" ref="AN1015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</v>
      </c>
      <c r="AO1015" s="4">
        <f>_xlfn.XLOOKUP(tbl_MTG_Set[[#This Row],[Play Booster Box Product Id]], tbl_Product[Product Id], tbl_Product[Pack Size])</f>
        <v>30</v>
      </c>
      <c r="AP1015" s="10">
        <f>(tbl_MTG_Set[[#This Row],[Play Booster Box Cost]]+v_Item_Shipping_Cost_In)/tbl_MTG_Set[[#This Row],[Play Booster Box Size]]</f>
        <v>6.9069979999999997</v>
      </c>
      <c r="AQ1015" s="10" cm="1">
        <f t="array" ref="AQ1015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8.0209294111999991</v>
      </c>
      <c r="AR1015" s="10">
        <v>8</v>
      </c>
      <c r="AS1015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0.26777756504615313</v>
      </c>
      <c r="AT1015" s="17">
        <f>tbl_MTG_Set[[#This Row],[Play Booster CardMarket Profit]]/tbl_MTG_Set[[#This Row],[Play Booster Cost]]</f>
        <v>3.8769023104705279E-2</v>
      </c>
      <c r="AU1015" s="10">
        <f>_xlfn.XLOOKUP(tbl_MTG_Set[[#This Row],[Collector Booster Box Product Id]], tbl_Product[Product Id], tbl_Product[Min Cost])</f>
        <v>266.81</v>
      </c>
      <c r="AV1015" s="10" t="str">
        <f>_xlfn.XLOOKUP(tbl_MTG_Set[[#This Row],[Collector Booster Box Product Id]], tbl_Product[Product Id], tbl_Product[Best Source])</f>
        <v>Card Market</v>
      </c>
      <c r="AW1015" s="4">
        <f>_xlfn.XLOOKUP(tbl_MTG_Set[[#This Row],[Collector Booster Box Product Id]], tbl_Product[Product Id], tbl_Product[Pack Size])</f>
        <v>12</v>
      </c>
      <c r="AX1015" s="10">
        <f>(tbl_MTG_Set[[#This Row],[Collector Booster Box Cost]] + v_Item_Shipping_Cost_In) / tbl_MTG_Set[[#This Row],[Collector Booster Box Size]]</f>
        <v>23.250833333333333</v>
      </c>
      <c r="AY1015" s="10" cm="1">
        <f t="array" ref="AY1015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22.7578647936</v>
      </c>
      <c r="AZ1015" s="10"/>
      <c r="BA1015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-1.3391223858871792</v>
      </c>
      <c r="BB1015" s="17">
        <f>tbl_MTG_Set[[#This Row],[Collector Booster CardMarket Profit]]/tbl_MTG_Set[[#This Row],[Collector Booster Cost]]</f>
        <v>-5.7594597436099605E-2</v>
      </c>
      <c r="BC1015" s="10"/>
      <c r="BF1015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5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5" s="11">
        <f>tbl_MTG_Set[[#This Row],[Play Singles CardMarket Profit MTG Stocks]]/tbl_MTG_Set[[#This Row],[Play Booster Cost]]</f>
        <v>-144.63591852784668</v>
      </c>
      <c r="BI1015" s="11" t="b">
        <f>tbl_MTG_Set[[#This Row],[Play Singles CardMarket Profit MTG Stocks]]&gt;0</f>
        <v>0</v>
      </c>
      <c r="BJ1015" s="21" t="s">
        <v>1247</v>
      </c>
      <c r="BK1015" s="11">
        <v>4.49</v>
      </c>
      <c r="BL1015" s="11">
        <v>8.8800000000000008</v>
      </c>
      <c r="BM1015" s="10">
        <f>tbl_MTG_Set[[#This Row],[Play Booster Sell Price CardMarket]]*tbl_MTG_Set[[#This Row],[Play Booster Expected Market Value BotBox]]/tbl_MTG_Set[[#This Row],[Play Booster Sealed Market Value BotBox]]</f>
        <v>4.0556275964288275</v>
      </c>
      <c r="BN1015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-3.6975242497250185</v>
      </c>
      <c r="BO1015" s="17">
        <f>tbl_MTG_Set[[#This Row],[Play Singles CardMarket Profit BotBox]]/tbl_MTG_Set[[#This Row],[Play Booster Cost]]</f>
        <v>-0.53533014628424946</v>
      </c>
      <c r="BP1015" s="10" t="b">
        <f>tbl_MTG_Set[[#This Row],[Play Singles CardMarket Profit BotBox]]&gt;0</f>
        <v>0</v>
      </c>
      <c r="BQ1015" s="15" t="s">
        <v>1248</v>
      </c>
      <c r="BR1015" s="10"/>
      <c r="BS1015" s="10"/>
      <c r="BT1015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5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5" s="19">
        <f>tbl_MTG_Set[[#This Row],[Collector Singles CardMarket Profit MTG Stocks]]/tbl_MTG_Set[[#This Row],[Collector Booster Cost]]</f>
        <v>-42.966201928246299</v>
      </c>
      <c r="BW1015" s="10" t="b">
        <f>tbl_MTG_Set[[#This Row],[Collector Singles CardMarket Profit MTG Stocks]]&gt;0</f>
        <v>0</v>
      </c>
      <c r="BX1015" s="10">
        <v>14.32</v>
      </c>
      <c r="BY1015" s="10">
        <v>28.59</v>
      </c>
      <c r="BZ1015" s="10">
        <f>tbl_MTG_Set[[#This Row],[Collector Booster Sell Price CardMarket]]*tbl_MTG_Set[[#This Row],[Collector Booster Expected Market Value BotBox]]/tbl_MTG_Set[[#This Row],[Collector Booster Sealed Market Value BotBox]]</f>
        <v>11.398832593366631</v>
      </c>
      <c r="CA1015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-12.698154586120548</v>
      </c>
      <c r="CB1015" s="17">
        <f>tbl_MTG_Set[[#This Row],[Collector Singles CardMarket Profit BotBox]]/tbl_MTG_Set[[#This Row],[Collector Booster Cost]]</f>
        <v>-0.54613761167501729</v>
      </c>
      <c r="CC1015" s="10" t="b">
        <f>tbl_MTG_Set[[#This Row],[Collector Singles CardMarket Profit BotBox]]&gt;0</f>
        <v>0</v>
      </c>
      <c r="CD1015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15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5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0.26777756504615313</v>
      </c>
      <c r="CG1015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Boosters</v>
      </c>
      <c r="CH1015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3.8769023104705279E-2</v>
      </c>
    </row>
    <row r="1016" spans="1:86">
      <c r="A1016">
        <v>300</v>
      </c>
      <c r="B1016" t="s">
        <v>1249</v>
      </c>
      <c r="C1016">
        <v>423</v>
      </c>
      <c r="D1016" s="3">
        <v>44519</v>
      </c>
      <c r="E1016" t="s">
        <v>59</v>
      </c>
      <c r="F1016" t="s">
        <v>174</v>
      </c>
      <c r="G1016">
        <v>546</v>
      </c>
      <c r="H1016">
        <f ca="1">MONTH(NOW())+12*YEAR(NOW())-MONTH(tbl_MTG_Set[[#This Row],[Released On]])-12*YEAR(tbl_MTG_Set[[#This Row],[Released On]])</f>
        <v>52</v>
      </c>
      <c r="I1016">
        <f>_xlfn.XLOOKUP(tbl_MTG_Set[[#This Row],[Type Name]], tbl_MTG_Set_Type[Set Type], tbl_MTG_Set_Type[Index], "(Set Type not found)")</f>
        <v>1</v>
      </c>
      <c r="J1016">
        <f>_xlfn.XLOOKUP(tbl_MTG_Set[[#This Row],[Type Name]], tbl_MTG_Set_Type[Set Type], tbl_MTG_Set_Type[Buy Window Month Start], "(Set Type not found)")</f>
        <v>18</v>
      </c>
      <c r="K1016" s="3">
        <f>tbl_MTG_Set[[#This Row],[Released On]]+tbl_MTG_Set[[#This Row],[Buy Window Month Start]]*365.25/12</f>
        <v>45066.875</v>
      </c>
      <c r="L1016">
        <f>_xlfn.XLOOKUP(tbl_MTG_Set[[#This Row],[Type Name]], tbl_MTG_Set_Type[Set Type], tbl_MTG_Set_Type[Buy Window Month End], "(Set Type not found)", 0, 1)</f>
        <v>24</v>
      </c>
      <c r="M1016" s="3">
        <f>tbl_MTG_Set[[#This Row],[Released On]]+tbl_MTG_Set[[#This Row],[Buy Window Month End]]*365.25/12</f>
        <v>45249.5</v>
      </c>
      <c r="N1016" s="3" t="b">
        <f ca="1">AND(NOW()&gt;=tbl_MTG_Set[[#This Row],[Buy Window Start]], NOW()&lt;=tbl_MTG_Set[[#This Row],[Buy Window End]])</f>
        <v>0</v>
      </c>
      <c r="O1016">
        <f>_xlfn.XLOOKUP(tbl_MTG_Set[[#This Row],[Type Name]], tbl_MTG_Set_Type[Set Type], tbl_MTG_Set_Type[Heavy Printing Window Month Start], "(Set Type not found)", 0, 1)</f>
        <v>1</v>
      </c>
      <c r="P1016" s="3">
        <f>tbl_MTG_Set[[#This Row],[Released On]]+tbl_MTG_Set[[#This Row],[Heavy Printing Window Month Start]]*365.25/12</f>
        <v>44549.4375</v>
      </c>
      <c r="Q1016">
        <f>_xlfn.XLOOKUP(tbl_MTG_Set[[#This Row],[Type Name]], tbl_MTG_Set_Type[Set Type], tbl_MTG_Set_Type[Heavy Printing Window Month End], "(Set Type not found)", 0, 1)</f>
        <v>18</v>
      </c>
      <c r="R1016" s="3">
        <f>tbl_MTG_Set[[#This Row],[Released On]]+tbl_MTG_Set[[#This Row],[Heavy Printing Window Month End]]*365.25/12</f>
        <v>45066.875</v>
      </c>
      <c r="S1016" s="3" t="b">
        <f ca="1">AND(NOW()&gt;=tbl_MTG_Set[[#This Row],[Heavy Printing Window Start]], NOW()&lt;=tbl_MTG_Set[[#This Row],[Heavy Printing Window End]])</f>
        <v>0</v>
      </c>
      <c r="T1016">
        <f>_xlfn.XLOOKUP(tbl_MTG_Set[[#This Row],[Type Name]], tbl_MTG_Set_Type[Set Type], tbl_MTG_Set_Type[Sell Window Month Start], "(Set Type not found)", 0, 1)</f>
        <v>36</v>
      </c>
      <c r="U1016" s="3">
        <f>tbl_MTG_Set[[#This Row],[Released On]]+tbl_MTG_Set[[#This Row],[Sell Window Month Start]]*365.25/12</f>
        <v>45614.75</v>
      </c>
      <c r="V1016">
        <f>_xlfn.XLOOKUP(tbl_MTG_Set[[#This Row],[Type Name]], tbl_MTG_Set_Type[Set Type], tbl_MTG_Set_Type[Sell Window Month End], "(Set Type not found)", 0, 1)</f>
        <v>48</v>
      </c>
      <c r="W1016" s="3">
        <f>tbl_MTG_Set[[#This Row],[Released On]]+tbl_MTG_Set[[#This Row],[Sell Window Month End]]*365.25/12</f>
        <v>45980</v>
      </c>
      <c r="X1016" s="3" t="b">
        <f ca="1">AND(NOW()&gt;=tbl_MTG_Set[[#This Row],[Sell Window Start]], NOW()&lt;=tbl_MTG_Set[[#This Row],[Sell Window End]])</f>
        <v>0</v>
      </c>
      <c r="Y1016" s="10">
        <v>117</v>
      </c>
      <c r="Z1016" s="10">
        <v>95</v>
      </c>
      <c r="AD1016" s="10">
        <f>(Y1016+96/20)/30</f>
        <v>4.0599999999999996</v>
      </c>
      <c r="AE1016" s="10">
        <f>(Z1016+96/20)/30</f>
        <v>3.3266666666666667</v>
      </c>
      <c r="AG1016" s="10"/>
      <c r="AH1016" s="10"/>
      <c r="AI1016" s="4">
        <v>58</v>
      </c>
      <c r="AJ1016" s="4">
        <v>13</v>
      </c>
      <c r="AK1016" s="4">
        <v>108</v>
      </c>
      <c r="AL1016" s="4">
        <v>107</v>
      </c>
      <c r="AM1016" s="10" cm="1">
        <f t="array" ref="AM1016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112.39387519999998</v>
      </c>
      <c r="AN1016" s="10" t="str" cm="1">
        <f t="array" ref="AN1016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6" s="4">
        <f>_xlfn.XLOOKUP(tbl_MTG_Set[[#This Row],[Play Booster Box Product Id]], tbl_Product[Product Id], tbl_Product[Pack Size])</f>
        <v>30</v>
      </c>
      <c r="AP1016" s="10">
        <f>(tbl_MTG_Set[[#This Row],[Play Booster Box Cost]]+v_Item_Shipping_Cost_In)/tbl_MTG_Set[[#This Row],[Play Booster Box Size]]</f>
        <v>4.1531291733333324</v>
      </c>
      <c r="AQ1016" s="10" cm="1">
        <f t="array" ref="AQ1016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3.4797958399999995</v>
      </c>
      <c r="AR1016" s="10">
        <v>5</v>
      </c>
      <c r="AS1016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16" s="17">
        <f>tbl_MTG_Set[[#This Row],[Play Booster CardMarket Profit]]/tbl_MTG_Set[[#This Row],[Play Booster Cost]]</f>
        <v>-0.36586561989056254</v>
      </c>
      <c r="AU1016" s="10">
        <f>_xlfn.XLOOKUP(tbl_MTG_Set[[#This Row],[Collector Booster Box Product Id]], tbl_Product[Product Id], tbl_Product[Min Cost])</f>
        <v>169.27242000000001</v>
      </c>
      <c r="AV1016" s="10" t="str">
        <f>_xlfn.XLOOKUP(tbl_MTG_Set[[#This Row],[Collector Booster Box Product Id]], tbl_Product[Product Id], tbl_Product[Best Source])</f>
        <v>Card Market</v>
      </c>
      <c r="AW1016" s="4">
        <f>_xlfn.XLOOKUP(tbl_MTG_Set[[#This Row],[Collector Booster Box Product Id]], tbl_Product[Product Id], tbl_Product[Pack Size])</f>
        <v>12</v>
      </c>
      <c r="AX1016" s="10">
        <f>(tbl_MTG_Set[[#This Row],[Collector Booster Box Cost]] + v_Item_Shipping_Cost_In) / tbl_MTG_Set[[#This Row],[Collector Booster Box Size]]</f>
        <v>15.122701666666666</v>
      </c>
      <c r="AY1016" s="10" cm="1">
        <f t="array" ref="AY1016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15.093614455999999</v>
      </c>
      <c r="AZ1016" s="10"/>
      <c r="BA1016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-0.87524105682051312</v>
      </c>
      <c r="BB1016" s="17">
        <f>tbl_MTG_Set[[#This Row],[Collector Booster CardMarket Profit]]/tbl_MTG_Set[[#This Row],[Collector Booster Cost]]</f>
        <v>-5.7875971907170011E-2</v>
      </c>
      <c r="BC1016" s="10"/>
      <c r="BF1016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6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6" s="11">
        <f>tbl_MTG_Set[[#This Row],[Play Singles CardMarket Profit MTG Stocks]]/tbl_MTG_Set[[#This Row],[Play Booster Cost]]</f>
        <v>-240.54151901039842</v>
      </c>
      <c r="BI1016" s="11" t="b">
        <f>tbl_MTG_Set[[#This Row],[Play Singles CardMarket Profit MTG Stocks]]&gt;0</f>
        <v>0</v>
      </c>
      <c r="BJ1016" s="21" t="s">
        <v>1250</v>
      </c>
      <c r="BK1016" s="11">
        <v>2.73</v>
      </c>
      <c r="BL1016" s="11">
        <v>9</v>
      </c>
      <c r="BM1016" s="10">
        <f>tbl_MTG_Set[[#This Row],[Play Booster Sell Price CardMarket]]*tbl_MTG_Set[[#This Row],[Play Booster Expected Market Value BotBox]]/tbl_MTG_Set[[#This Row],[Play Booster Sealed Market Value BotBox]]</f>
        <v>1.0555380714666667</v>
      </c>
      <c r="BN1016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-3.943744948020512</v>
      </c>
      <c r="BO1016" s="17">
        <f>tbl_MTG_Set[[#This Row],[Play Singles CardMarket Profit BotBox]]/tbl_MTG_Set[[#This Row],[Play Booster Cost]]</f>
        <v>-0.94958398437080949</v>
      </c>
      <c r="BP1016" s="10" t="b">
        <f>tbl_MTG_Set[[#This Row],[Play Singles CardMarket Profit BotBox]]&gt;0</f>
        <v>0</v>
      </c>
      <c r="BQ1016" s="15" t="s">
        <v>1251</v>
      </c>
      <c r="BR1016" s="10"/>
      <c r="BS1016" s="10"/>
      <c r="BT1016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6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6" s="19">
        <f>tbl_MTG_Set[[#This Row],[Collector Singles CardMarket Profit MTG Stocks]]/tbl_MTG_Set[[#This Row],[Collector Booster Cost]]</f>
        <v>-66.05962492812958</v>
      </c>
      <c r="BW1016" s="10" t="b">
        <f>tbl_MTG_Set[[#This Row],[Collector Singles CardMarket Profit MTG Stocks]]&gt;0</f>
        <v>0</v>
      </c>
      <c r="BX1016" s="10">
        <v>6.87</v>
      </c>
      <c r="BY1016" s="10">
        <v>21.78</v>
      </c>
      <c r="BZ1016" s="10">
        <f>tbl_MTG_Set[[#This Row],[Collector Booster Sell Price CardMarket]]*tbl_MTG_Set[[#This Row],[Collector Booster Expected Market Value BotBox]]/tbl_MTG_Set[[#This Row],[Collector Booster Sealed Market Value BotBox]]</f>
        <v>4.7609334854325063</v>
      </c>
      <c r="CA1016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-11.207922027388006</v>
      </c>
      <c r="CB1016" s="17">
        <f>tbl_MTG_Set[[#This Row],[Collector Singles CardMarket Profit BotBox]]/tbl_MTG_Set[[#This Row],[Collector Booster Cost]]</f>
        <v>-0.74113225761058388</v>
      </c>
      <c r="CC1016" s="10" t="b">
        <f>tbl_MTG_Set[[#This Row],[Collector Singles CardMarket Profit BotBox]]&gt;0</f>
        <v>0</v>
      </c>
      <c r="CD1016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6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16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-0.87524105682051312</v>
      </c>
      <c r="CG1016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6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-5.7875971907170011E-2</v>
      </c>
    </row>
    <row r="1017" spans="1:86">
      <c r="A1017">
        <v>182</v>
      </c>
      <c r="B1017" t="s">
        <v>1252</v>
      </c>
      <c r="C1017">
        <v>387</v>
      </c>
      <c r="D1017" s="3">
        <v>45037</v>
      </c>
      <c r="E1017" t="s">
        <v>59</v>
      </c>
      <c r="F1017" t="s">
        <v>174</v>
      </c>
      <c r="G1017">
        <v>310</v>
      </c>
      <c r="H1017">
        <f ca="1">MONTH(NOW())+12*YEAR(NOW())-MONTH(tbl_MTG_Set[[#This Row],[Released On]])-12*YEAR(tbl_MTG_Set[[#This Row],[Released On]])</f>
        <v>35</v>
      </c>
      <c r="I1017">
        <f>_xlfn.XLOOKUP(tbl_MTG_Set[[#This Row],[Type Name]], tbl_MTG_Set_Type[Set Type], tbl_MTG_Set_Type[Index], "(Set Type not found)")</f>
        <v>1</v>
      </c>
      <c r="J1017">
        <f>_xlfn.XLOOKUP(tbl_MTG_Set[[#This Row],[Type Name]], tbl_MTG_Set_Type[Set Type], tbl_MTG_Set_Type[Buy Window Month Start], "(Set Type not found)")</f>
        <v>18</v>
      </c>
      <c r="K1017" s="3">
        <f>tbl_MTG_Set[[#This Row],[Released On]]+tbl_MTG_Set[[#This Row],[Buy Window Month Start]]*365.25/12</f>
        <v>45584.875</v>
      </c>
      <c r="L1017">
        <f>_xlfn.XLOOKUP(tbl_MTG_Set[[#This Row],[Type Name]], tbl_MTG_Set_Type[Set Type], tbl_MTG_Set_Type[Buy Window Month End], "(Set Type not found)", 0, 1)</f>
        <v>24</v>
      </c>
      <c r="M1017" s="3">
        <f>tbl_MTG_Set[[#This Row],[Released On]]+tbl_MTG_Set[[#This Row],[Buy Window Month End]]*365.25/12</f>
        <v>45767.5</v>
      </c>
      <c r="N1017" s="3" t="b">
        <f ca="1">AND(NOW()&gt;=tbl_MTG_Set[[#This Row],[Buy Window Start]], NOW()&lt;=tbl_MTG_Set[[#This Row],[Buy Window End]])</f>
        <v>0</v>
      </c>
      <c r="O1017">
        <f>_xlfn.XLOOKUP(tbl_MTG_Set[[#This Row],[Type Name]], tbl_MTG_Set_Type[Set Type], tbl_MTG_Set_Type[Heavy Printing Window Month Start], "(Set Type not found)", 0, 1)</f>
        <v>1</v>
      </c>
      <c r="P1017" s="3">
        <f>tbl_MTG_Set[[#This Row],[Released On]]+tbl_MTG_Set[[#This Row],[Heavy Printing Window Month Start]]*365.25/12</f>
        <v>45067.4375</v>
      </c>
      <c r="Q1017">
        <f>_xlfn.XLOOKUP(tbl_MTG_Set[[#This Row],[Type Name]], tbl_MTG_Set_Type[Set Type], tbl_MTG_Set_Type[Heavy Printing Window Month End], "(Set Type not found)", 0, 1)</f>
        <v>18</v>
      </c>
      <c r="R1017" s="3">
        <f>tbl_MTG_Set[[#This Row],[Released On]]+tbl_MTG_Set[[#This Row],[Heavy Printing Window Month End]]*365.25/12</f>
        <v>45584.875</v>
      </c>
      <c r="S1017" s="3" t="b">
        <f ca="1">AND(NOW()&gt;=tbl_MTG_Set[[#This Row],[Heavy Printing Window Start]], NOW()&lt;=tbl_MTG_Set[[#This Row],[Heavy Printing Window End]])</f>
        <v>0</v>
      </c>
      <c r="T1017">
        <f>_xlfn.XLOOKUP(tbl_MTG_Set[[#This Row],[Type Name]], tbl_MTG_Set_Type[Set Type], tbl_MTG_Set_Type[Sell Window Month Start], "(Set Type not found)", 0, 1)</f>
        <v>36</v>
      </c>
      <c r="U1017" s="3">
        <f>tbl_MTG_Set[[#This Row],[Released On]]+tbl_MTG_Set[[#This Row],[Sell Window Month Start]]*365.25/12</f>
        <v>46132.75</v>
      </c>
      <c r="V1017">
        <f>_xlfn.XLOOKUP(tbl_MTG_Set[[#This Row],[Type Name]], tbl_MTG_Set_Type[Set Type], tbl_MTG_Set_Type[Sell Window Month End], "(Set Type not found)", 0, 1)</f>
        <v>48</v>
      </c>
      <c r="W1017" s="3">
        <f>tbl_MTG_Set[[#This Row],[Released On]]+tbl_MTG_Set[[#This Row],[Sell Window Month End]]*365.25/12</f>
        <v>46498</v>
      </c>
      <c r="X1017" s="3" t="b">
        <f ca="1">AND(NOW()&gt;=tbl_MTG_Set[[#This Row],[Sell Window Start]], NOW()&lt;=tbl_MTG_Set[[#This Row],[Sell Window End]])</f>
        <v>0</v>
      </c>
      <c r="Y1017" s="10">
        <v>117</v>
      </c>
      <c r="Z1017" s="10">
        <v>115</v>
      </c>
      <c r="AD1017" s="10">
        <f>(Y1017+96/20)/30</f>
        <v>4.0599999999999996</v>
      </c>
      <c r="AE1017" s="10">
        <f>(Z1017+96/20)/30</f>
        <v>3.9933333333333332</v>
      </c>
      <c r="AG1017" s="10"/>
      <c r="AH1017" s="10"/>
      <c r="AI1017" s="4">
        <v>59</v>
      </c>
      <c r="AJ1017" s="4">
        <v>14</v>
      </c>
      <c r="AK1017" s="4">
        <v>116</v>
      </c>
      <c r="AL1017" s="4">
        <v>115</v>
      </c>
      <c r="AM1017" s="10" cm="1">
        <f t="array" ref="AM1017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116.83061489599999</v>
      </c>
      <c r="AN1017" s="10" t="str" cm="1">
        <f t="array" ref="AN1017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7" s="4">
        <f>_xlfn.XLOOKUP(tbl_MTG_Set[[#This Row],[Play Booster Box Product Id]], tbl_Product[Product Id], tbl_Product[Pack Size])</f>
        <v>30</v>
      </c>
      <c r="AP1017" s="10">
        <f>(tbl_MTG_Set[[#This Row],[Play Booster Box Cost]]+v_Item_Shipping_Cost_In)/tbl_MTG_Set[[#This Row],[Play Booster Box Size]]</f>
        <v>4.3010204965333321</v>
      </c>
      <c r="AQ1017" s="10" cm="1">
        <f t="array" ref="AQ1017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3.6276871631999996</v>
      </c>
      <c r="AR1017" s="10">
        <v>5</v>
      </c>
      <c r="AS1017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-1.5194871794871787</v>
      </c>
      <c r="AT1017" s="17">
        <f>tbl_MTG_Set[[#This Row],[Play Booster CardMarket Profit]]/tbl_MTG_Set[[#This Row],[Play Booster Cost]]</f>
        <v>-0.35328526816180056</v>
      </c>
      <c r="AU1017" s="10">
        <f>_xlfn.XLOOKUP(tbl_MTG_Set[[#This Row],[Collector Booster Box Product Id]], tbl_Product[Product Id], tbl_Product[Min Cost])</f>
        <v>503.87090719999992</v>
      </c>
      <c r="AV1017" s="10" t="str">
        <f>_xlfn.XLOOKUP(tbl_MTG_Set[[#This Row],[Collector Booster Box Product Id]], tbl_Product[Product Id], tbl_Product[Best Source])</f>
        <v>Card Market Packs x Box Size</v>
      </c>
      <c r="AW1017" s="4">
        <f>_xlfn.XLOOKUP(tbl_MTG_Set[[#This Row],[Collector Booster Box Product Id]], tbl_Product[Product Id], tbl_Product[Pack Size])</f>
        <v>12</v>
      </c>
      <c r="AX1017" s="10">
        <f>(tbl_MTG_Set[[#This Row],[Collector Booster Box Cost]] + v_Item_Shipping_Cost_In) / tbl_MTG_Set[[#This Row],[Collector Booster Box Size]]</f>
        <v>43.00590893333333</v>
      </c>
      <c r="AY1017" s="10" cm="1">
        <f t="array" ref="AY1017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41.322575599999993</v>
      </c>
      <c r="AZ1017" s="10"/>
      <c r="BA1017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-2.5294871794871834</v>
      </c>
      <c r="BB1017" s="17">
        <f>tbl_MTG_Set[[#This Row],[Collector Booster CardMarket Profit]]/tbl_MTG_Set[[#This Row],[Collector Booster Cost]]</f>
        <v>-5.8817200757419877E-2</v>
      </c>
      <c r="BC1017" s="10"/>
      <c r="BF1017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7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7" s="11">
        <f>tbl_MTG_Set[[#This Row],[Play Singles CardMarket Profit MTG Stocks]]/tbl_MTG_Set[[#This Row],[Play Booster Cost]]</f>
        <v>-232.27045786115283</v>
      </c>
      <c r="BI1017" s="11" t="b">
        <f>tbl_MTG_Set[[#This Row],[Play Singles CardMarket Profit MTG Stocks]]&gt;0</f>
        <v>0</v>
      </c>
      <c r="BJ1017" s="21" t="s">
        <v>1253</v>
      </c>
      <c r="BK1017" s="11">
        <v>5.35</v>
      </c>
      <c r="BL1017" s="11">
        <v>8.24</v>
      </c>
      <c r="BM1017" s="10">
        <f>tbl_MTG_Set[[#This Row],[Play Booster Sell Price CardMarket]]*tbl_MTG_Set[[#This Row],[Play Booster Expected Market Value BotBox]]/tbl_MTG_Set[[#This Row],[Play Booster Sealed Market Value BotBox]]</f>
        <v>2.3553551363009704</v>
      </c>
      <c r="BN1017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-2.791819206386208</v>
      </c>
      <c r="BO1017" s="17">
        <f>tbl_MTG_Set[[#This Row],[Play Singles CardMarket Profit BotBox]]/tbl_MTG_Set[[#This Row],[Play Booster Cost]]</f>
        <v>-0.64910623156444935</v>
      </c>
      <c r="BP1017" s="10" t="b">
        <f>tbl_MTG_Set[[#This Row],[Play Singles CardMarket Profit BotBox]]&gt;0</f>
        <v>0</v>
      </c>
      <c r="BQ1017" s="15" t="s">
        <v>1254</v>
      </c>
      <c r="BR1017" s="10"/>
      <c r="BS1017" s="10"/>
      <c r="BT1017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7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7" s="19">
        <f>tbl_MTG_Set[[#This Row],[Collector Singles CardMarket Profit MTG Stocks]]/tbl_MTG_Set[[#This Row],[Collector Booster Cost]]</f>
        <v>-23.22936602848284</v>
      </c>
      <c r="BW1017" s="10" t="b">
        <f>tbl_MTG_Set[[#This Row],[Collector Singles CardMarket Profit MTG Stocks]]&gt;0</f>
        <v>0</v>
      </c>
      <c r="BX1017" s="10">
        <v>31.25</v>
      </c>
      <c r="BY1017" s="10">
        <v>47.98</v>
      </c>
      <c r="BZ1017" s="10">
        <f>tbl_MTG_Set[[#This Row],[Collector Booster Sell Price CardMarket]]*tbl_MTG_Set[[#This Row],[Collector Booster Expected Market Value BotBox]]/tbl_MTG_Set[[#This Row],[Collector Booster Sealed Market Value BotBox]]</f>
        <v>26.913932628178408</v>
      </c>
      <c r="CA1017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-16.938130151308769</v>
      </c>
      <c r="CB1017" s="17">
        <f>tbl_MTG_Set[[#This Row],[Collector Singles CardMarket Profit BotBox]]/tbl_MTG_Set[[#This Row],[Collector Booster Cost]]</f>
        <v>-0.39385588100383667</v>
      </c>
      <c r="CC1017" s="10" t="b">
        <f>tbl_MTG_Set[[#This Row],[Collector Singles CardMarket Profit BotBox]]&gt;0</f>
        <v>0</v>
      </c>
      <c r="CD1017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7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7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-1.5194871794871787</v>
      </c>
      <c r="CG1017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7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-5.8817200757419877E-2</v>
      </c>
    </row>
    <row r="1018" spans="1:86">
      <c r="A1018">
        <v>341</v>
      </c>
      <c r="B1018" t="s">
        <v>1255</v>
      </c>
      <c r="C1018">
        <v>393</v>
      </c>
      <c r="D1018" s="3">
        <v>44309</v>
      </c>
      <c r="E1018" t="s">
        <v>59</v>
      </c>
      <c r="F1018" t="s">
        <v>174</v>
      </c>
      <c r="G1018">
        <v>628</v>
      </c>
      <c r="H1018">
        <f ca="1">MONTH(NOW())+12*YEAR(NOW())-MONTH(tbl_MTG_Set[[#This Row],[Released On]])-12*YEAR(tbl_MTG_Set[[#This Row],[Released On]])</f>
        <v>59</v>
      </c>
      <c r="I1018">
        <f>_xlfn.XLOOKUP(tbl_MTG_Set[[#This Row],[Type Name]], tbl_MTG_Set_Type[Set Type], tbl_MTG_Set_Type[Index], "(Set Type not found)")</f>
        <v>1</v>
      </c>
      <c r="J1018">
        <f>_xlfn.XLOOKUP(tbl_MTG_Set[[#This Row],[Type Name]], tbl_MTG_Set_Type[Set Type], tbl_MTG_Set_Type[Buy Window Month Start], "(Set Type not found)")</f>
        <v>18</v>
      </c>
      <c r="K1018" s="3">
        <f>tbl_MTG_Set[[#This Row],[Released On]]+tbl_MTG_Set[[#This Row],[Buy Window Month Start]]*365.25/12</f>
        <v>44856.875</v>
      </c>
      <c r="L1018">
        <f>_xlfn.XLOOKUP(tbl_MTG_Set[[#This Row],[Type Name]], tbl_MTG_Set_Type[Set Type], tbl_MTG_Set_Type[Buy Window Month End], "(Set Type not found)", 0, 1)</f>
        <v>24</v>
      </c>
      <c r="M1018" s="3">
        <f>tbl_MTG_Set[[#This Row],[Released On]]+tbl_MTG_Set[[#This Row],[Buy Window Month End]]*365.25/12</f>
        <v>45039.5</v>
      </c>
      <c r="N1018" s="3" t="b">
        <f ca="1">AND(NOW()&gt;=tbl_MTG_Set[[#This Row],[Buy Window Start]], NOW()&lt;=tbl_MTG_Set[[#This Row],[Buy Window End]])</f>
        <v>0</v>
      </c>
      <c r="O1018">
        <f>_xlfn.XLOOKUP(tbl_MTG_Set[[#This Row],[Type Name]], tbl_MTG_Set_Type[Set Type], tbl_MTG_Set_Type[Heavy Printing Window Month Start], "(Set Type not found)", 0, 1)</f>
        <v>1</v>
      </c>
      <c r="P1018" s="3">
        <f>tbl_MTG_Set[[#This Row],[Released On]]+tbl_MTG_Set[[#This Row],[Heavy Printing Window Month Start]]*365.25/12</f>
        <v>44339.4375</v>
      </c>
      <c r="Q1018">
        <f>_xlfn.XLOOKUP(tbl_MTG_Set[[#This Row],[Type Name]], tbl_MTG_Set_Type[Set Type], tbl_MTG_Set_Type[Heavy Printing Window Month End], "(Set Type not found)", 0, 1)</f>
        <v>18</v>
      </c>
      <c r="R1018" s="3">
        <f>tbl_MTG_Set[[#This Row],[Released On]]+tbl_MTG_Set[[#This Row],[Heavy Printing Window Month End]]*365.25/12</f>
        <v>44856.875</v>
      </c>
      <c r="S1018" s="3" t="b">
        <f ca="1">AND(NOW()&gt;=tbl_MTG_Set[[#This Row],[Heavy Printing Window Start]], NOW()&lt;=tbl_MTG_Set[[#This Row],[Heavy Printing Window End]])</f>
        <v>0</v>
      </c>
      <c r="T1018">
        <f>_xlfn.XLOOKUP(tbl_MTG_Set[[#This Row],[Type Name]], tbl_MTG_Set_Type[Set Type], tbl_MTG_Set_Type[Sell Window Month Start], "(Set Type not found)", 0, 1)</f>
        <v>36</v>
      </c>
      <c r="U1018" s="3">
        <f>tbl_MTG_Set[[#This Row],[Released On]]+tbl_MTG_Set[[#This Row],[Sell Window Month Start]]*365.25/12</f>
        <v>45404.75</v>
      </c>
      <c r="V1018">
        <f>_xlfn.XLOOKUP(tbl_MTG_Set[[#This Row],[Type Name]], tbl_MTG_Set_Type[Set Type], tbl_MTG_Set_Type[Sell Window Month End], "(Set Type not found)", 0, 1)</f>
        <v>48</v>
      </c>
      <c r="W1018" s="3">
        <f>tbl_MTG_Set[[#This Row],[Released On]]+tbl_MTG_Set[[#This Row],[Sell Window Month End]]*365.25/12</f>
        <v>45770</v>
      </c>
      <c r="X1018" s="3" t="b">
        <f ca="1">AND(NOW()&gt;=tbl_MTG_Set[[#This Row],[Sell Window Start]], NOW()&lt;=tbl_MTG_Set[[#This Row],[Sell Window End]])</f>
        <v>0</v>
      </c>
      <c r="Y1018" s="10">
        <v>138</v>
      </c>
      <c r="Z1018" s="10">
        <v>94</v>
      </c>
      <c r="AD1018" s="10">
        <f>(Y1018+96/20)/30</f>
        <v>4.7600000000000007</v>
      </c>
      <c r="AE1018" s="10">
        <f>(Z1018+96/20)/30</f>
        <v>3.2933333333333334</v>
      </c>
      <c r="AG1018" s="10"/>
      <c r="AH1018" s="10"/>
      <c r="AI1018" s="4">
        <v>54</v>
      </c>
      <c r="AJ1018" s="4">
        <v>9</v>
      </c>
      <c r="AK1018" s="4">
        <v>134</v>
      </c>
      <c r="AL1018" s="4">
        <v>133</v>
      </c>
      <c r="AM1018" s="10" cm="1">
        <f t="array" ref="AM1018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194.34306723199998</v>
      </c>
      <c r="AN1018" s="10" t="str" cm="1">
        <f t="array" ref="AN1018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8" s="4">
        <f>_xlfn.XLOOKUP(tbl_MTG_Set[[#This Row],[Play Booster Box Product Id]], tbl_Product[Product Id], tbl_Product[Pack Size])</f>
        <v>30</v>
      </c>
      <c r="AP1018" s="10">
        <f>(tbl_MTG_Set[[#This Row],[Play Booster Box Cost]]+v_Item_Shipping_Cost_In)/tbl_MTG_Set[[#This Row],[Play Booster Box Size]]</f>
        <v>6.8847689077333323</v>
      </c>
      <c r="AQ1018" s="10" cm="1">
        <f t="array" ref="AQ1018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6.2114355743999994</v>
      </c>
      <c r="AR1018" s="10">
        <v>6</v>
      </c>
      <c r="AS1018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18" s="17">
        <f>tbl_MTG_Set[[#This Row],[Play Booster CardMarket Profit]]/tbl_MTG_Set[[#This Row],[Play Booster Cost]]</f>
        <v>-0.22070271346078324</v>
      </c>
      <c r="AU1018" s="10">
        <f>_xlfn.XLOOKUP(tbl_MTG_Set[[#This Row],[Collector Booster Box Product Id]], tbl_Product[Product Id], tbl_Product[Min Cost])</f>
        <v>479.6515281536</v>
      </c>
      <c r="AV1018" s="10" t="str">
        <f>_xlfn.XLOOKUP(tbl_MTG_Set[[#This Row],[Collector Booster Box Product Id]], tbl_Product[Product Id], tbl_Product[Best Source])</f>
        <v>Card Market Packs x Box Size</v>
      </c>
      <c r="AW1018" s="4">
        <f>_xlfn.XLOOKUP(tbl_MTG_Set[[#This Row],[Collector Booster Box Product Id]], tbl_Product[Product Id], tbl_Product[Pack Size])</f>
        <v>12</v>
      </c>
      <c r="AX1018" s="10">
        <f>(tbl_MTG_Set[[#This Row],[Collector Booster Box Cost]] + v_Item_Shipping_Cost_In) / tbl_MTG_Set[[#This Row],[Collector Booster Box Size]]</f>
        <v>40.98762734613333</v>
      </c>
      <c r="AY1018" s="10" cm="1">
        <f t="array" ref="AY1018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39.3042940128</v>
      </c>
      <c r="AZ1018" s="10"/>
      <c r="BA1018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-2.5294871794871763</v>
      </c>
      <c r="BB1018" s="17">
        <f>tbl_MTG_Set[[#This Row],[Collector Booster CardMarket Profit]]/tbl_MTG_Set[[#This Row],[Collector Booster Cost]]</f>
        <v>-6.1713432644590532E-2</v>
      </c>
      <c r="BC1018" s="10"/>
      <c r="BF1018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8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8" s="11">
        <f>tbl_MTG_Set[[#This Row],[Play Singles CardMarket Profit MTG Stocks]]/tbl_MTG_Set[[#This Row],[Play Booster Cost]]</f>
        <v>-145.10290953671242</v>
      </c>
      <c r="BI1018" s="11" t="b">
        <f>tbl_MTG_Set[[#This Row],[Play Singles CardMarket Profit MTG Stocks]]&gt;0</f>
        <v>0</v>
      </c>
      <c r="BJ1018" s="21" t="s">
        <v>1256</v>
      </c>
      <c r="BK1018" s="11">
        <v>3.37</v>
      </c>
      <c r="BL1018" s="11">
        <v>7.98</v>
      </c>
      <c r="BM1018" s="10">
        <f>tbl_MTG_Set[[#This Row],[Play Booster Sell Price CardMarket]]*tbl_MTG_Set[[#This Row],[Play Booster Expected Market Value BotBox]]/tbl_MTG_Set[[#This Row],[Play Booster Sealed Market Value BotBox]]</f>
        <v>2.623125048336842</v>
      </c>
      <c r="BN1018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-5.1077977055503361</v>
      </c>
      <c r="BO1018" s="17">
        <f>tbl_MTG_Set[[#This Row],[Play Singles CardMarket Profit BotBox]]/tbl_MTG_Set[[#This Row],[Play Booster Cost]]</f>
        <v>-0.74189820660690453</v>
      </c>
      <c r="BP1018" s="10" t="b">
        <f>tbl_MTG_Set[[#This Row],[Play Singles CardMarket Profit BotBox]]&gt;0</f>
        <v>0</v>
      </c>
      <c r="BQ1018" s="15" t="s">
        <v>1257</v>
      </c>
      <c r="BR1018" s="10"/>
      <c r="BS1018" s="10"/>
      <c r="BT1018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8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8" s="19">
        <f>tbl_MTG_Set[[#This Row],[Collector Singles CardMarket Profit MTG Stocks]]/tbl_MTG_Set[[#This Row],[Collector Booster Cost]]</f>
        <v>-24.373208811615761</v>
      </c>
      <c r="BW1018" s="10" t="b">
        <f>tbl_MTG_Set[[#This Row],[Collector Singles CardMarket Profit MTG Stocks]]&gt;0</f>
        <v>0</v>
      </c>
      <c r="BX1018" s="10">
        <v>12.5</v>
      </c>
      <c r="BY1018" s="10">
        <v>54.7</v>
      </c>
      <c r="BZ1018" s="10">
        <f>tbl_MTG_Set[[#This Row],[Collector Booster Sell Price CardMarket]]*tbl_MTG_Set[[#This Row],[Collector Booster Expected Market Value BotBox]]/tbl_MTG_Set[[#This Row],[Collector Booster Sealed Market Value BotBox]]</f>
        <v>8.9817856519195605</v>
      </c>
      <c r="CA1018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-32.851995540367618</v>
      </c>
      <c r="CB1018" s="17">
        <f>tbl_MTG_Set[[#This Row],[Collector Singles CardMarket Profit BotBox]]/tbl_MTG_Set[[#This Row],[Collector Booster Cost]]</f>
        <v>-0.80151005724089064</v>
      </c>
      <c r="CC1018" s="10" t="b">
        <f>tbl_MTG_Set[[#This Row],[Collector Singles CardMarket Profit BotBox]]&gt;0</f>
        <v>0</v>
      </c>
      <c r="CD1018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8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8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-1.5194871794871792</v>
      </c>
      <c r="CG1018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8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-6.1713432644590532E-2</v>
      </c>
    </row>
    <row r="1019" spans="1:86">
      <c r="A1019">
        <v>287</v>
      </c>
      <c r="B1019" t="s">
        <v>1258</v>
      </c>
      <c r="C1019">
        <v>531</v>
      </c>
      <c r="D1019" s="3">
        <v>44610</v>
      </c>
      <c r="E1019" t="s">
        <v>59</v>
      </c>
      <c r="F1019" t="s">
        <v>174</v>
      </c>
      <c r="G1019">
        <v>520</v>
      </c>
      <c r="H1019">
        <f ca="1">MONTH(NOW())+12*YEAR(NOW())-MONTH(tbl_MTG_Set[[#This Row],[Released On]])-12*YEAR(tbl_MTG_Set[[#This Row],[Released On]])</f>
        <v>49</v>
      </c>
      <c r="I1019">
        <f>_xlfn.XLOOKUP(tbl_MTG_Set[[#This Row],[Type Name]], tbl_MTG_Set_Type[Set Type], tbl_MTG_Set_Type[Index], "(Set Type not found)")</f>
        <v>1</v>
      </c>
      <c r="J1019">
        <f>_xlfn.XLOOKUP(tbl_MTG_Set[[#This Row],[Type Name]], tbl_MTG_Set_Type[Set Type], tbl_MTG_Set_Type[Buy Window Month Start], "(Set Type not found)")</f>
        <v>18</v>
      </c>
      <c r="K1019" s="3">
        <f>tbl_MTG_Set[[#This Row],[Released On]]+tbl_MTG_Set[[#This Row],[Buy Window Month Start]]*365.25/12</f>
        <v>45157.875</v>
      </c>
      <c r="L1019">
        <f>_xlfn.XLOOKUP(tbl_MTG_Set[[#This Row],[Type Name]], tbl_MTG_Set_Type[Set Type], tbl_MTG_Set_Type[Buy Window Month End], "(Set Type not found)", 0, 1)</f>
        <v>24</v>
      </c>
      <c r="M1019" s="3">
        <f>tbl_MTG_Set[[#This Row],[Released On]]+tbl_MTG_Set[[#This Row],[Buy Window Month End]]*365.25/12</f>
        <v>45340.5</v>
      </c>
      <c r="N1019" s="3" t="b">
        <f ca="1">AND(NOW()&gt;=tbl_MTG_Set[[#This Row],[Buy Window Start]], NOW()&lt;=tbl_MTG_Set[[#This Row],[Buy Window End]])</f>
        <v>0</v>
      </c>
      <c r="O1019">
        <f>_xlfn.XLOOKUP(tbl_MTG_Set[[#This Row],[Type Name]], tbl_MTG_Set_Type[Set Type], tbl_MTG_Set_Type[Heavy Printing Window Month Start], "(Set Type not found)", 0, 1)</f>
        <v>1</v>
      </c>
      <c r="P1019" s="3">
        <f>tbl_MTG_Set[[#This Row],[Released On]]+tbl_MTG_Set[[#This Row],[Heavy Printing Window Month Start]]*365.25/12</f>
        <v>44640.4375</v>
      </c>
      <c r="Q1019">
        <f>_xlfn.XLOOKUP(tbl_MTG_Set[[#This Row],[Type Name]], tbl_MTG_Set_Type[Set Type], tbl_MTG_Set_Type[Heavy Printing Window Month End], "(Set Type not found)", 0, 1)</f>
        <v>18</v>
      </c>
      <c r="R1019" s="3">
        <f>tbl_MTG_Set[[#This Row],[Released On]]+tbl_MTG_Set[[#This Row],[Heavy Printing Window Month End]]*365.25/12</f>
        <v>45157.875</v>
      </c>
      <c r="S1019" s="3" t="b">
        <f ca="1">AND(NOW()&gt;=tbl_MTG_Set[[#This Row],[Heavy Printing Window Start]], NOW()&lt;=tbl_MTG_Set[[#This Row],[Heavy Printing Window End]])</f>
        <v>0</v>
      </c>
      <c r="T1019">
        <f>_xlfn.XLOOKUP(tbl_MTG_Set[[#This Row],[Type Name]], tbl_MTG_Set_Type[Set Type], tbl_MTG_Set_Type[Sell Window Month Start], "(Set Type not found)", 0, 1)</f>
        <v>36</v>
      </c>
      <c r="U1019" s="3">
        <f>tbl_MTG_Set[[#This Row],[Released On]]+tbl_MTG_Set[[#This Row],[Sell Window Month Start]]*365.25/12</f>
        <v>45705.75</v>
      </c>
      <c r="V1019">
        <f>_xlfn.XLOOKUP(tbl_MTG_Set[[#This Row],[Type Name]], tbl_MTG_Set_Type[Set Type], tbl_MTG_Set_Type[Sell Window Month End], "(Set Type not found)", 0, 1)</f>
        <v>48</v>
      </c>
      <c r="W1019" s="3">
        <f>tbl_MTG_Set[[#This Row],[Released On]]+tbl_MTG_Set[[#This Row],[Sell Window Month End]]*365.25/12</f>
        <v>46071</v>
      </c>
      <c r="X1019" s="3" t="b">
        <f ca="1">AND(NOW()&gt;=tbl_MTG_Set[[#This Row],[Sell Window Start]], NOW()&lt;=tbl_MTG_Set[[#This Row],[Sell Window End]])</f>
        <v>0</v>
      </c>
      <c r="Y1019" s="10">
        <v>193</v>
      </c>
      <c r="Z1019" s="10">
        <v>117</v>
      </c>
      <c r="AD1019" s="10">
        <f>(Y1019+96/20)/30</f>
        <v>6.5933333333333337</v>
      </c>
      <c r="AE1019" s="10">
        <f>(Z1019+96/20)/30</f>
        <v>4.0599999999999996</v>
      </c>
      <c r="AF1019" s="10">
        <f>(AA1019+96/20)/30</f>
        <v>0.16</v>
      </c>
      <c r="AG1019" s="10">
        <f>(AB1019+96/20)/30</f>
        <v>0.16</v>
      </c>
      <c r="AH1019" s="10">
        <f>(AC1019+96/20)/30</f>
        <v>0.16</v>
      </c>
      <c r="AI1019" s="4">
        <v>69</v>
      </c>
      <c r="AJ1019" s="4">
        <v>24</v>
      </c>
      <c r="AK1019" s="4">
        <v>112</v>
      </c>
      <c r="AL1019" s="4">
        <v>111</v>
      </c>
      <c r="AM1019" s="10" cm="1">
        <f t="array" ref="AM1019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190.68928159999996</v>
      </c>
      <c r="AN1019" s="10" t="str" cm="1">
        <f t="array" ref="AN1019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19" s="4">
        <f>_xlfn.XLOOKUP(tbl_MTG_Set[[#This Row],[Play Booster Box Product Id]], tbl_Product[Product Id], tbl_Product[Pack Size])</f>
        <v>30</v>
      </c>
      <c r="AP1019" s="10">
        <f>(tbl_MTG_Set[[#This Row],[Play Booster Box Cost]]+v_Item_Shipping_Cost_In)/tbl_MTG_Set[[#This Row],[Play Booster Box Size]]</f>
        <v>6.7629760533333316</v>
      </c>
      <c r="AQ1019" s="10" cm="1">
        <f t="array" ref="AQ1019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6.0896427199999987</v>
      </c>
      <c r="AR1019" s="10">
        <v>7</v>
      </c>
      <c r="AS1019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-1.5194871794871792</v>
      </c>
      <c r="AT1019" s="17">
        <f>tbl_MTG_Set[[#This Row],[Play Booster CardMarket Profit]]/tbl_MTG_Set[[#This Row],[Play Booster Cost]]</f>
        <v>-0.22467729702196051</v>
      </c>
      <c r="AU1019" s="10">
        <f>_xlfn.XLOOKUP(tbl_MTG_Set[[#This Row],[Collector Booster Box Product Id]], tbl_Product[Product Id], tbl_Product[Min Cost])</f>
        <v>405.21869513599995</v>
      </c>
      <c r="AV1019" s="10" t="str">
        <f>_xlfn.XLOOKUP(tbl_MTG_Set[[#This Row],[Collector Booster Box Product Id]], tbl_Product[Product Id], tbl_Product[Best Source])</f>
        <v>Card Market Packs x Box Size</v>
      </c>
      <c r="AW1019" s="4">
        <f>_xlfn.XLOOKUP(tbl_MTG_Set[[#This Row],[Collector Booster Box Product Id]], tbl_Product[Product Id], tbl_Product[Pack Size])</f>
        <v>12</v>
      </c>
      <c r="AX1019" s="10">
        <f>(tbl_MTG_Set[[#This Row],[Collector Booster Box Cost]] + v_Item_Shipping_Cost_In) / tbl_MTG_Set[[#This Row],[Collector Booster Box Size]]</f>
        <v>34.784891261333328</v>
      </c>
      <c r="AY1019" s="10" cm="1">
        <f t="array" ref="AY1019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33.101557927999998</v>
      </c>
      <c r="AZ1019" s="10"/>
      <c r="BA1019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-2.5294871794871763</v>
      </c>
      <c r="BB1019" s="17">
        <f>tbl_MTG_Set[[#This Row],[Collector Booster CardMarket Profit]]/tbl_MTG_Set[[#This Row],[Collector Booster Cost]]</f>
        <v>-7.2717984382459133E-2</v>
      </c>
      <c r="BC1019" s="10"/>
      <c r="BF1019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19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19" s="11">
        <f>tbl_MTG_Set[[#This Row],[Play Singles CardMarket Profit MTG Stocks]]/tbl_MTG_Set[[#This Row],[Play Booster Cost]]</f>
        <v>-147.71603390605139</v>
      </c>
      <c r="BI1019" s="11" t="b">
        <f>tbl_MTG_Set[[#This Row],[Play Singles CardMarket Profit MTG Stocks]]&gt;0</f>
        <v>0</v>
      </c>
      <c r="BJ1019" s="21" t="s">
        <v>1259</v>
      </c>
      <c r="BK1019" s="11">
        <v>4.04</v>
      </c>
      <c r="BL1019" s="11">
        <v>11.5</v>
      </c>
      <c r="BM1019" s="10">
        <f>tbl_MTG_Set[[#This Row],[Play Booster Sell Price CardMarket]]*tbl_MTG_Set[[#This Row],[Play Booster Expected Market Value BotBox]]/tbl_MTG_Set[[#This Row],[Play Booster Sealed Market Value BotBox]]</f>
        <v>2.1393179642434781</v>
      </c>
      <c r="BN1019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-5.4698119352436994</v>
      </c>
      <c r="BO1019" s="17">
        <f>tbl_MTG_Set[[#This Row],[Play Singles CardMarket Profit BotBox]]/tbl_MTG_Set[[#This Row],[Play Booster Cost]]</f>
        <v>-0.80878771299918206</v>
      </c>
      <c r="BP1019" s="10" t="b">
        <f>tbl_MTG_Set[[#This Row],[Play Singles CardMarket Profit BotBox]]&gt;0</f>
        <v>0</v>
      </c>
      <c r="BQ1019" s="15" t="s">
        <v>1260</v>
      </c>
      <c r="BR1019" s="10"/>
      <c r="BS1019" s="10"/>
      <c r="BT1019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19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19" s="19">
        <f>tbl_MTG_Set[[#This Row],[Collector Singles CardMarket Profit MTG Stocks]]/tbl_MTG_Set[[#This Row],[Collector Booster Cost]]</f>
        <v>-28.719365327166692</v>
      </c>
      <c r="BW1019" s="10" t="b">
        <f>tbl_MTG_Set[[#This Row],[Collector Singles CardMarket Profit MTG Stocks]]&gt;0</f>
        <v>0</v>
      </c>
      <c r="BX1019" s="10">
        <v>16.329999999999998</v>
      </c>
      <c r="BY1019" s="10">
        <v>45</v>
      </c>
      <c r="BZ1019" s="10">
        <f>tbl_MTG_Set[[#This Row],[Collector Booster Sell Price CardMarket]]*tbl_MTG_Set[[#This Row],[Collector Booster Expected Market Value BotBox]]/tbl_MTG_Set[[#This Row],[Collector Booster Sealed Market Value BotBox]]</f>
        <v>12.012187576983109</v>
      </c>
      <c r="CA1019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-23.618857530504066</v>
      </c>
      <c r="CB1019" s="17">
        <f>tbl_MTG_Set[[#This Row],[Collector Singles CardMarket Profit BotBox]]/tbl_MTG_Set[[#This Row],[Collector Booster Cost]]</f>
        <v>-0.67899759562447282</v>
      </c>
      <c r="CC1019" s="10" t="b">
        <f>tbl_MTG_Set[[#This Row],[Collector Singles CardMarket Profit BotBox]]&gt;0</f>
        <v>0</v>
      </c>
      <c r="CD1019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19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19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-1.5194871794871792</v>
      </c>
      <c r="CG1019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19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-7.2717984382459133E-2</v>
      </c>
    </row>
    <row r="1020" spans="1:86">
      <c r="A1020">
        <v>81</v>
      </c>
      <c r="B1020" t="s">
        <v>1261</v>
      </c>
      <c r="C1020">
        <v>418</v>
      </c>
      <c r="D1020" s="3">
        <v>45562</v>
      </c>
      <c r="E1020" t="s">
        <v>59</v>
      </c>
      <c r="F1020" t="s">
        <v>174</v>
      </c>
      <c r="G1020">
        <v>108</v>
      </c>
      <c r="H1020">
        <f ca="1">MONTH(NOW())+12*YEAR(NOW())-MONTH(tbl_MTG_Set[[#This Row],[Released On]])-12*YEAR(tbl_MTG_Set[[#This Row],[Released On]])</f>
        <v>18</v>
      </c>
      <c r="I1020">
        <f>_xlfn.XLOOKUP(tbl_MTG_Set[[#This Row],[Type Name]], tbl_MTG_Set_Type[Set Type], tbl_MTG_Set_Type[Index], "(Set Type not found)")</f>
        <v>1</v>
      </c>
      <c r="J1020">
        <f>_xlfn.XLOOKUP(tbl_MTG_Set[[#This Row],[Type Name]], tbl_MTG_Set_Type[Set Type], tbl_MTG_Set_Type[Buy Window Month Start], "(Set Type not found)")</f>
        <v>18</v>
      </c>
      <c r="K1020" s="3">
        <f>tbl_MTG_Set[[#This Row],[Released On]]+tbl_MTG_Set[[#This Row],[Buy Window Month Start]]*365.25/12</f>
        <v>46109.875</v>
      </c>
      <c r="L1020">
        <f>_xlfn.XLOOKUP(tbl_MTG_Set[[#This Row],[Type Name]], tbl_MTG_Set_Type[Set Type], tbl_MTG_Set_Type[Buy Window Month End], "(Set Type not found)", 0, 1)</f>
        <v>24</v>
      </c>
      <c r="M1020" s="3">
        <f>tbl_MTG_Set[[#This Row],[Released On]]+tbl_MTG_Set[[#This Row],[Buy Window Month End]]*365.25/12</f>
        <v>46292.5</v>
      </c>
      <c r="N1020" s="3" t="b">
        <f ca="1">AND(NOW()&gt;=tbl_MTG_Set[[#This Row],[Buy Window Start]], NOW()&lt;=tbl_MTG_Set[[#This Row],[Buy Window End]])</f>
        <v>0</v>
      </c>
      <c r="O1020">
        <f>_xlfn.XLOOKUP(tbl_MTG_Set[[#This Row],[Type Name]], tbl_MTG_Set_Type[Set Type], tbl_MTG_Set_Type[Heavy Printing Window Month Start], "(Set Type not found)", 0, 1)</f>
        <v>1</v>
      </c>
      <c r="P1020" s="3">
        <f>tbl_MTG_Set[[#This Row],[Released On]]+tbl_MTG_Set[[#This Row],[Heavy Printing Window Month Start]]*365.25/12</f>
        <v>45592.4375</v>
      </c>
      <c r="Q1020">
        <f>_xlfn.XLOOKUP(tbl_MTG_Set[[#This Row],[Type Name]], tbl_MTG_Set_Type[Set Type], tbl_MTG_Set_Type[Heavy Printing Window Month End], "(Set Type not found)", 0, 1)</f>
        <v>18</v>
      </c>
      <c r="R1020" s="3">
        <f>tbl_MTG_Set[[#This Row],[Released On]]+tbl_MTG_Set[[#This Row],[Heavy Printing Window Month End]]*365.25/12</f>
        <v>46109.875</v>
      </c>
      <c r="S1020" s="3" t="b">
        <f ca="1">AND(NOW()&gt;=tbl_MTG_Set[[#This Row],[Heavy Printing Window Start]], NOW()&lt;=tbl_MTG_Set[[#This Row],[Heavy Printing Window End]])</f>
        <v>1</v>
      </c>
      <c r="T1020">
        <f>_xlfn.XLOOKUP(tbl_MTG_Set[[#This Row],[Type Name]], tbl_MTG_Set_Type[Set Type], tbl_MTG_Set_Type[Sell Window Month Start], "(Set Type not found)", 0, 1)</f>
        <v>36</v>
      </c>
      <c r="U1020" s="3">
        <f>tbl_MTG_Set[[#This Row],[Released On]]+tbl_MTG_Set[[#This Row],[Sell Window Month Start]]*365.25/12</f>
        <v>46657.75</v>
      </c>
      <c r="V1020">
        <f>_xlfn.XLOOKUP(tbl_MTG_Set[[#This Row],[Type Name]], tbl_MTG_Set_Type[Set Type], tbl_MTG_Set_Type[Sell Window Month End], "(Set Type not found)", 0, 1)</f>
        <v>48</v>
      </c>
      <c r="W1020" s="3">
        <f>tbl_MTG_Set[[#This Row],[Released On]]+tbl_MTG_Set[[#This Row],[Sell Window Month End]]*365.25/12</f>
        <v>47023</v>
      </c>
      <c r="X1020" s="3" t="b">
        <f ca="1">AND(NOW()&gt;=tbl_MTG_Set[[#This Row],[Sell Window Start]], NOW()&lt;=tbl_MTG_Set[[#This Row],[Sell Window End]])</f>
        <v>0</v>
      </c>
      <c r="Y1020" s="10">
        <v>132</v>
      </c>
      <c r="Z1020" s="10">
        <v>136</v>
      </c>
      <c r="AC1020" s="10">
        <v>132</v>
      </c>
      <c r="AD1020" s="10">
        <f>(Y1020+96/20)/36</f>
        <v>3.8000000000000003</v>
      </c>
      <c r="AE1020" s="10">
        <f>(Z1020+96/20)/36</f>
        <v>3.9111111111111114</v>
      </c>
      <c r="AF1020" s="10">
        <f>(AA1020+96/20)/36</f>
        <v>0.13333333333333333</v>
      </c>
      <c r="AG1020" s="10">
        <f>(AB1020+96/20)/36</f>
        <v>0.13333333333333333</v>
      </c>
      <c r="AH1020" s="10">
        <f>(AC1020+96/20)/36</f>
        <v>3.8000000000000003</v>
      </c>
      <c r="AI1020" s="4">
        <v>71</v>
      </c>
      <c r="AJ1020" s="4">
        <v>26</v>
      </c>
      <c r="AK1020" s="4">
        <v>96</v>
      </c>
      <c r="AL1020" s="4">
        <v>95</v>
      </c>
      <c r="AM1020" s="10" cm="1">
        <f t="array" ref="AM1020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133.27265023999999</v>
      </c>
      <c r="AN1020" s="10" t="str" cm="1">
        <f t="array" ref="AN1020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20" s="4">
        <f>_xlfn.XLOOKUP(tbl_MTG_Set[[#This Row],[Play Booster Box Product Id]], tbl_Product[Product Id], tbl_Product[Pack Size])</f>
        <v>36</v>
      </c>
      <c r="AP1020" s="10">
        <f>(tbl_MTG_Set[[#This Row],[Play Booster Box Cost]]+v_Item_Shipping_Cost_In)/tbl_MTG_Set[[#This Row],[Play Booster Box Size]]</f>
        <v>4.0409069511111104</v>
      </c>
      <c r="AQ1020" s="10" cm="1">
        <f t="array" ref="AQ1020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3.4797958399999995</v>
      </c>
      <c r="AR1020" s="10">
        <v>4</v>
      </c>
      <c r="AS1020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-1.4072649572649572</v>
      </c>
      <c r="AT1020" s="17">
        <f>tbl_MTG_Set[[#This Row],[Play Booster CardMarket Profit]]/tbl_MTG_Set[[#This Row],[Play Booster Cost]]</f>
        <v>-0.34825472951759201</v>
      </c>
      <c r="AU1020" s="10">
        <f>_xlfn.XLOOKUP(tbl_MTG_Set[[#This Row],[Collector Booster Box Product Id]], tbl_Product[Product Id], tbl_Product[Min Cost])</f>
        <v>349.367971904</v>
      </c>
      <c r="AV1020" s="10" t="str">
        <f>_xlfn.XLOOKUP(tbl_MTG_Set[[#This Row],[Collector Booster Box Product Id]], tbl_Product[Product Id], tbl_Product[Best Source])</f>
        <v>Card Market Packs x Box Size</v>
      </c>
      <c r="AW1020" s="4">
        <f>_xlfn.XLOOKUP(tbl_MTG_Set[[#This Row],[Collector Booster Box Product Id]], tbl_Product[Product Id], tbl_Product[Pack Size])</f>
        <v>12</v>
      </c>
      <c r="AX1020" s="10">
        <f>(tbl_MTG_Set[[#This Row],[Collector Booster Box Cost]] + v_Item_Shipping_Cost_In) / tbl_MTG_Set[[#This Row],[Collector Booster Box Size]]</f>
        <v>30.130664325333331</v>
      </c>
      <c r="AY1020" s="10" cm="1">
        <f t="array" ref="AY1020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28.447330991999998</v>
      </c>
      <c r="AZ1020" s="10"/>
      <c r="BA1020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-2.5294871794871798</v>
      </c>
      <c r="BB1020" s="17">
        <f>tbl_MTG_Set[[#This Row],[Collector Booster CardMarket Profit]]/tbl_MTG_Set[[#This Row],[Collector Booster Cost]]</f>
        <v>-8.3950594390327843E-2</v>
      </c>
      <c r="BC1020" s="15" t="s">
        <v>1262</v>
      </c>
      <c r="BD1020" s="11">
        <v>5.33</v>
      </c>
      <c r="BE1020" s="11">
        <v>4.3499999999999996</v>
      </c>
      <c r="BF1020" s="11">
        <f>tbl_MTG_Set[[#This Row],[Play Booster Sell Price CardMarket]]*tbl_MTG_Set[[#This Row],[Play Booster Expected Market Value MTG Stocks]]/tbl_MTG_Set[[#This Row],[Play Booster Sealed Market Value MTG Stocks]]</f>
        <v>4.2637498453333329</v>
      </c>
      <c r="BG1020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-0.62331095193162378</v>
      </c>
      <c r="BH1020" s="11">
        <f>tbl_MTG_Set[[#This Row],[Play Singles CardMarket Profit MTG Stocks]]/tbl_MTG_Set[[#This Row],[Play Booster Cost]]</f>
        <v>-0.15425026101138872</v>
      </c>
      <c r="BI1020" s="11" t="b">
        <f>tbl_MTG_Set[[#This Row],[Play Singles CardMarket Profit MTG Stocks]]&gt;0</f>
        <v>0</v>
      </c>
      <c r="BJ1020" s="21" t="s">
        <v>1263</v>
      </c>
      <c r="BK1020" s="11">
        <v>3.4</v>
      </c>
      <c r="BL1020" s="11">
        <v>5</v>
      </c>
      <c r="BM1020" s="10">
        <f>tbl_MTG_Set[[#This Row],[Play Booster Sell Price CardMarket]]*tbl_MTG_Set[[#This Row],[Play Booster Expected Market Value BotBox]]/tbl_MTG_Set[[#This Row],[Play Booster Sealed Market Value BotBox]]</f>
        <v>2.3662611711999997</v>
      </c>
      <c r="BN1020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-2.520799626064957</v>
      </c>
      <c r="BO1020" s="17">
        <f>tbl_MTG_Set[[#This Row],[Play Singles CardMarket Profit BotBox]]/tbl_MTG_Set[[#This Row],[Play Booster Cost]]</f>
        <v>-0.62382026029375015</v>
      </c>
      <c r="BP1020" s="10" t="b">
        <f>tbl_MTG_Set[[#This Row],[Play Singles CardMarket Profit BotBox]]&gt;0</f>
        <v>0</v>
      </c>
      <c r="BQ1020" s="15" t="s">
        <v>1264</v>
      </c>
      <c r="BR1020" s="10">
        <v>19.16</v>
      </c>
      <c r="BS1020" s="10">
        <v>47.38</v>
      </c>
      <c r="BT1020" s="10">
        <f>tbl_MTG_Set[[#This Row],[Collector Booster Sell Price CardMarket]]*tbl_MTG_Set[[#This Row],[Collector Booster Expected Market Value MTG Stocks]]/tbl_MTG_Set[[#This Row],[Collector Booster Sealed Market Value MTG Stocks]]</f>
        <v>11.503817260589276</v>
      </c>
      <c r="BU1020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-19.473000910897902</v>
      </c>
      <c r="BV1020" s="19">
        <f>tbl_MTG_Set[[#This Row],[Collector Singles CardMarket Profit MTG Stocks]]/tbl_MTG_Set[[#This Row],[Collector Booster Cost]]</f>
        <v>-0.64628514992699138</v>
      </c>
      <c r="BW1020" s="10" t="b">
        <f>tbl_MTG_Set[[#This Row],[Collector Singles CardMarket Profit MTG Stocks]]&gt;0</f>
        <v>0</v>
      </c>
      <c r="BX1020" s="10">
        <v>18.88</v>
      </c>
      <c r="BY1020" s="10">
        <v>49.39</v>
      </c>
      <c r="BZ1020" s="10">
        <f>tbl_MTG_Set[[#This Row],[Collector Booster Sell Price CardMarket]]*tbl_MTG_Set[[#This Row],[Collector Booster Expected Market Value BotBox]]/tbl_MTG_Set[[#This Row],[Collector Booster Sealed Market Value BotBox]]</f>
        <v>10.874379613868394</v>
      </c>
      <c r="CA1020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-20.102438557618783</v>
      </c>
      <c r="CB1020" s="17">
        <f>tbl_MTG_Set[[#This Row],[Collector Singles CardMarket Profit BotBox]]/tbl_MTG_Set[[#This Row],[Collector Booster Cost]]</f>
        <v>-0.66717541772608735</v>
      </c>
      <c r="CC1020" s="10" t="b">
        <f>tbl_MTG_Set[[#This Row],[Collector Singles CardMarket Profit BotBox]]&gt;0</f>
        <v>0</v>
      </c>
      <c r="CD1020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20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Singles</v>
      </c>
      <c r="CF1020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-0.62331095193162378</v>
      </c>
      <c r="CG1020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20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-8.3950594390327843E-2</v>
      </c>
    </row>
    <row r="1021" spans="1:86">
      <c r="A1021">
        <v>273</v>
      </c>
      <c r="B1021" t="s">
        <v>1265</v>
      </c>
      <c r="C1021">
        <v>513</v>
      </c>
      <c r="D1021" s="3">
        <v>44680</v>
      </c>
      <c r="E1021" t="s">
        <v>59</v>
      </c>
      <c r="F1021" t="s">
        <v>174</v>
      </c>
      <c r="G1021">
        <v>492</v>
      </c>
      <c r="H1021">
        <f ca="1">MONTH(NOW())+12*YEAR(NOW())-MONTH(tbl_MTG_Set[[#This Row],[Released On]])-12*YEAR(tbl_MTG_Set[[#This Row],[Released On]])</f>
        <v>47</v>
      </c>
      <c r="I1021">
        <f>_xlfn.XLOOKUP(tbl_MTG_Set[[#This Row],[Type Name]], tbl_MTG_Set_Type[Set Type], tbl_MTG_Set_Type[Index], "(Set Type not found)")</f>
        <v>1</v>
      </c>
      <c r="J1021">
        <f>_xlfn.XLOOKUP(tbl_MTG_Set[[#This Row],[Type Name]], tbl_MTG_Set_Type[Set Type], tbl_MTG_Set_Type[Buy Window Month Start], "(Set Type not found)")</f>
        <v>18</v>
      </c>
      <c r="K1021" s="3">
        <f>tbl_MTG_Set[[#This Row],[Released On]]+tbl_MTG_Set[[#This Row],[Buy Window Month Start]]*365.25/12</f>
        <v>45227.875</v>
      </c>
      <c r="L1021">
        <f>_xlfn.XLOOKUP(tbl_MTG_Set[[#This Row],[Type Name]], tbl_MTG_Set_Type[Set Type], tbl_MTG_Set_Type[Buy Window Month End], "(Set Type not found)", 0, 1)</f>
        <v>24</v>
      </c>
      <c r="M1021" s="3">
        <f>tbl_MTG_Set[[#This Row],[Released On]]+tbl_MTG_Set[[#This Row],[Buy Window Month End]]*365.25/12</f>
        <v>45410.5</v>
      </c>
      <c r="N1021" s="3" t="b">
        <f ca="1">AND(NOW()&gt;=tbl_MTG_Set[[#This Row],[Buy Window Start]], NOW()&lt;=tbl_MTG_Set[[#This Row],[Buy Window End]])</f>
        <v>0</v>
      </c>
      <c r="O1021">
        <f>_xlfn.XLOOKUP(tbl_MTG_Set[[#This Row],[Type Name]], tbl_MTG_Set_Type[Set Type], tbl_MTG_Set_Type[Heavy Printing Window Month Start], "(Set Type not found)", 0, 1)</f>
        <v>1</v>
      </c>
      <c r="P1021" s="3">
        <f>tbl_MTG_Set[[#This Row],[Released On]]+tbl_MTG_Set[[#This Row],[Heavy Printing Window Month Start]]*365.25/12</f>
        <v>44710.4375</v>
      </c>
      <c r="Q1021">
        <f>_xlfn.XLOOKUP(tbl_MTG_Set[[#This Row],[Type Name]], tbl_MTG_Set_Type[Set Type], tbl_MTG_Set_Type[Heavy Printing Window Month End], "(Set Type not found)", 0, 1)</f>
        <v>18</v>
      </c>
      <c r="R1021" s="3">
        <f>tbl_MTG_Set[[#This Row],[Released On]]+tbl_MTG_Set[[#This Row],[Heavy Printing Window Month End]]*365.25/12</f>
        <v>45227.875</v>
      </c>
      <c r="S1021" s="3" t="b">
        <f ca="1">AND(NOW()&gt;=tbl_MTG_Set[[#This Row],[Heavy Printing Window Start]], NOW()&lt;=tbl_MTG_Set[[#This Row],[Heavy Printing Window End]])</f>
        <v>0</v>
      </c>
      <c r="T1021">
        <f>_xlfn.XLOOKUP(tbl_MTG_Set[[#This Row],[Type Name]], tbl_MTG_Set_Type[Set Type], tbl_MTG_Set_Type[Sell Window Month Start], "(Set Type not found)", 0, 1)</f>
        <v>36</v>
      </c>
      <c r="U1021" s="3">
        <f>tbl_MTG_Set[[#This Row],[Released On]]+tbl_MTG_Set[[#This Row],[Sell Window Month Start]]*365.25/12</f>
        <v>45775.75</v>
      </c>
      <c r="V1021">
        <f>_xlfn.XLOOKUP(tbl_MTG_Set[[#This Row],[Type Name]], tbl_MTG_Set_Type[Set Type], tbl_MTG_Set_Type[Sell Window Month End], "(Set Type not found)", 0, 1)</f>
        <v>48</v>
      </c>
      <c r="W1021" s="3">
        <f>tbl_MTG_Set[[#This Row],[Released On]]+tbl_MTG_Set[[#This Row],[Sell Window Month End]]*365.25/12</f>
        <v>46141</v>
      </c>
      <c r="X1021" s="3" t="b">
        <f ca="1">AND(NOW()&gt;=tbl_MTG_Set[[#This Row],[Sell Window Start]], NOW()&lt;=tbl_MTG_Set[[#This Row],[Sell Window End]])</f>
        <v>1</v>
      </c>
      <c r="Y1021" s="10">
        <v>117</v>
      </c>
      <c r="Z1021" s="10">
        <v>95</v>
      </c>
      <c r="AD1021" s="10">
        <f>(Y1021+96/20)/30</f>
        <v>4.0599999999999996</v>
      </c>
      <c r="AE1021" s="10">
        <f>(Z1021+96/20)/30</f>
        <v>3.3266666666666667</v>
      </c>
      <c r="AG1021" s="10"/>
      <c r="AH1021" s="10"/>
      <c r="AI1021" s="4">
        <v>75</v>
      </c>
      <c r="AJ1021" s="4">
        <v>30</v>
      </c>
      <c r="AK1021" s="4">
        <v>132</v>
      </c>
      <c r="AL1021" s="4">
        <v>131</v>
      </c>
      <c r="AM1021" s="10" cm="1">
        <f t="array" ref="AM1021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118.91849239999999</v>
      </c>
      <c r="AN1021" s="10" t="str" cm="1">
        <f t="array" ref="AN1021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21" s="4">
        <f>_xlfn.XLOOKUP(tbl_MTG_Set[[#This Row],[Play Booster Box Product Id]], tbl_Product[Product Id], tbl_Product[Pack Size])</f>
        <v>30</v>
      </c>
      <c r="AP1021" s="10">
        <f>(tbl_MTG_Set[[#This Row],[Play Booster Box Cost]]+v_Item_Shipping_Cost_In)/tbl_MTG_Set[[#This Row],[Play Booster Box Size]]</f>
        <v>4.370616413333333</v>
      </c>
      <c r="AQ1021" s="10" cm="1">
        <f t="array" ref="AQ1021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3.6972830799999996</v>
      </c>
      <c r="AR1021" s="10">
        <v>4</v>
      </c>
      <c r="AS1021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-1.5194871794871796</v>
      </c>
      <c r="AT1021" s="17">
        <f>tbl_MTG_Set[[#This Row],[Play Booster CardMarket Profit]]/tbl_MTG_Set[[#This Row],[Play Booster Cost]]</f>
        <v>-0.34765969734880348</v>
      </c>
      <c r="AU1021" s="10">
        <f>_xlfn.XLOOKUP(tbl_MTG_Set[[#This Row],[Collector Booster Box Product Id]], tbl_Product[Product Id], tbl_Product[Min Cost])</f>
        <v>194.499</v>
      </c>
      <c r="AV1021" s="10" t="str">
        <f>_xlfn.XLOOKUP(tbl_MTG_Set[[#This Row],[Collector Booster Box Product Id]], tbl_Product[Product Id], tbl_Product[Best Source])</f>
        <v>Card Market</v>
      </c>
      <c r="AW1021" s="4">
        <f>_xlfn.XLOOKUP(tbl_MTG_Set[[#This Row],[Collector Booster Box Product Id]], tbl_Product[Product Id], tbl_Product[Pack Size])</f>
        <v>12</v>
      </c>
      <c r="AX1021" s="10">
        <f>(tbl_MTG_Set[[#This Row],[Collector Booster Box Cost]] + v_Item_Shipping_Cost_In) / tbl_MTG_Set[[#This Row],[Collector Booster Box Size]]</f>
        <v>17.224916666666665</v>
      </c>
      <c r="AY1021" s="10" cm="1">
        <f t="array" ref="AY1021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16.555128708799998</v>
      </c>
      <c r="AZ1021" s="10"/>
      <c r="BA1021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-1.5159418040205135</v>
      </c>
      <c r="BB1021" s="17">
        <f>tbl_MTG_Set[[#This Row],[Collector Booster CardMarket Profit]]/tbl_MTG_Set[[#This Row],[Collector Booster Cost]]</f>
        <v>-8.8008658233693263E-2</v>
      </c>
      <c r="BC1021" s="10"/>
      <c r="BF1021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21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21" s="11">
        <f>tbl_MTG_Set[[#This Row],[Play Singles CardMarket Profit MTG Stocks]]/tbl_MTG_Set[[#This Row],[Play Booster Cost]]</f>
        <v>-228.57187763089323</v>
      </c>
      <c r="BI1021" s="11" t="b">
        <f>tbl_MTG_Set[[#This Row],[Play Singles CardMarket Profit MTG Stocks]]&gt;0</f>
        <v>0</v>
      </c>
      <c r="BJ1021" s="21" t="s">
        <v>1266</v>
      </c>
      <c r="BK1021" s="11">
        <v>3.09</v>
      </c>
      <c r="BL1021" s="11">
        <v>7.44</v>
      </c>
      <c r="BM1021" s="10">
        <f>tbl_MTG_Set[[#This Row],[Play Booster Sell Price CardMarket]]*tbl_MTG_Set[[#This Row],[Play Booster Expected Market Value BotBox]]/tbl_MTG_Set[[#This Row],[Play Booster Sealed Market Value BotBox]]</f>
        <v>1.5355651501612899</v>
      </c>
      <c r="BN1021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-3.6812051093258895</v>
      </c>
      <c r="BO1021" s="17">
        <f>tbl_MTG_Set[[#This Row],[Play Singles CardMarket Profit BotBox]]/tbl_MTG_Set[[#This Row],[Play Booster Cost]]</f>
        <v>-0.8422622260090652</v>
      </c>
      <c r="BP1021" s="10" t="b">
        <f>tbl_MTG_Set[[#This Row],[Play Singles CardMarket Profit BotBox]]&gt;0</f>
        <v>0</v>
      </c>
      <c r="BQ1021" s="15" t="s">
        <v>1267</v>
      </c>
      <c r="BR1021" s="10"/>
      <c r="BS1021" s="10"/>
      <c r="BT1021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21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21" s="19">
        <f>tbl_MTG_Set[[#This Row],[Collector Singles CardMarket Profit MTG Stocks]]/tbl_MTG_Set[[#This Row],[Collector Booster Cost]]</f>
        <v>-57.997377829597632</v>
      </c>
      <c r="BW1021" s="10" t="b">
        <f>tbl_MTG_Set[[#This Row],[Collector Singles CardMarket Profit MTG Stocks]]&gt;0</f>
        <v>0</v>
      </c>
      <c r="BX1021" s="10">
        <v>10.6</v>
      </c>
      <c r="BY1021" s="10">
        <v>22.44</v>
      </c>
      <c r="BZ1021" s="10">
        <f>tbl_MTG_Set[[#This Row],[Collector Booster Sell Price CardMarket]]*tbl_MTG_Set[[#This Row],[Collector Booster Expected Market Value BotBox]]/tbl_MTG_Set[[#This Row],[Collector Booster Sealed Market Value BotBox]]</f>
        <v>7.8201588374901938</v>
      </c>
      <c r="CA1021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-10.250911675330318</v>
      </c>
      <c r="CB1021" s="17">
        <f>tbl_MTG_Set[[#This Row],[Collector Singles CardMarket Profit BotBox]]/tbl_MTG_Set[[#This Row],[Collector Booster Cost]]</f>
        <v>-0.59512111865061679</v>
      </c>
      <c r="CC1021" s="10" t="b">
        <f>tbl_MTG_Set[[#This Row],[Collector Singles CardMarket Profit BotBox]]&gt;0</f>
        <v>0</v>
      </c>
      <c r="CD1021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21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Boosters</v>
      </c>
      <c r="CF1021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-1.5159418040205135</v>
      </c>
      <c r="CG1021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21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-8.8008658233693263E-2</v>
      </c>
    </row>
    <row r="1022" spans="1:86">
      <c r="A1022">
        <v>58</v>
      </c>
      <c r="B1022" t="s">
        <v>1268</v>
      </c>
      <c r="C1022">
        <v>553</v>
      </c>
      <c r="D1022" s="3">
        <v>45702</v>
      </c>
      <c r="E1022" t="s">
        <v>59</v>
      </c>
      <c r="F1022" t="s">
        <v>174</v>
      </c>
      <c r="G1022">
        <v>62</v>
      </c>
      <c r="H1022">
        <f ca="1">MONTH(NOW())+12*YEAR(NOW())-MONTH(tbl_MTG_Set[[#This Row],[Released On]])-12*YEAR(tbl_MTG_Set[[#This Row],[Released On]])</f>
        <v>13</v>
      </c>
      <c r="I1022">
        <f>_xlfn.XLOOKUP(tbl_MTG_Set[[#This Row],[Type Name]], tbl_MTG_Set_Type[Set Type], tbl_MTG_Set_Type[Index], "(Set Type not found)")</f>
        <v>1</v>
      </c>
      <c r="J1022">
        <f>_xlfn.XLOOKUP(tbl_MTG_Set[[#This Row],[Type Name]], tbl_MTG_Set_Type[Set Type], tbl_MTG_Set_Type[Buy Window Month Start], "(Set Type not found)")</f>
        <v>18</v>
      </c>
      <c r="K1022" s="3">
        <f>tbl_MTG_Set[[#This Row],[Released On]]+tbl_MTG_Set[[#This Row],[Buy Window Month Start]]*365.25/12</f>
        <v>46249.875</v>
      </c>
      <c r="L1022">
        <f>_xlfn.XLOOKUP(tbl_MTG_Set[[#This Row],[Type Name]], tbl_MTG_Set_Type[Set Type], tbl_MTG_Set_Type[Buy Window Month End], "(Set Type not found)", 0, 1)</f>
        <v>24</v>
      </c>
      <c r="M1022" s="3">
        <f>tbl_MTG_Set[[#This Row],[Released On]]+tbl_MTG_Set[[#This Row],[Buy Window Month End]]*365.25/12</f>
        <v>46432.5</v>
      </c>
      <c r="N1022" s="3" t="b">
        <f ca="1">AND(NOW()&gt;=tbl_MTG_Set[[#This Row],[Buy Window Start]], NOW()&lt;=tbl_MTG_Set[[#This Row],[Buy Window End]])</f>
        <v>0</v>
      </c>
      <c r="O1022">
        <f>_xlfn.XLOOKUP(tbl_MTG_Set[[#This Row],[Type Name]], tbl_MTG_Set_Type[Set Type], tbl_MTG_Set_Type[Heavy Printing Window Month Start], "(Set Type not found)", 0, 1)</f>
        <v>1</v>
      </c>
      <c r="P1022" s="3">
        <f>tbl_MTG_Set[[#This Row],[Released On]]+tbl_MTG_Set[[#This Row],[Heavy Printing Window Month Start]]*365.25/12</f>
        <v>45732.4375</v>
      </c>
      <c r="Q1022">
        <f>_xlfn.XLOOKUP(tbl_MTG_Set[[#This Row],[Type Name]], tbl_MTG_Set_Type[Set Type], tbl_MTG_Set_Type[Heavy Printing Window Month End], "(Set Type not found)", 0, 1)</f>
        <v>18</v>
      </c>
      <c r="R1022" s="3">
        <f>tbl_MTG_Set[[#This Row],[Released On]]+tbl_MTG_Set[[#This Row],[Heavy Printing Window Month End]]*365.25/12</f>
        <v>46249.875</v>
      </c>
      <c r="S1022" s="3" t="b">
        <f ca="1">AND(NOW()&gt;=tbl_MTG_Set[[#This Row],[Heavy Printing Window Start]], NOW()&lt;=tbl_MTG_Set[[#This Row],[Heavy Printing Window End]])</f>
        <v>1</v>
      </c>
      <c r="T1022">
        <f>_xlfn.XLOOKUP(tbl_MTG_Set[[#This Row],[Type Name]], tbl_MTG_Set_Type[Set Type], tbl_MTG_Set_Type[Sell Window Month Start], "(Set Type not found)", 0, 1)</f>
        <v>36</v>
      </c>
      <c r="U1022" s="3">
        <f>tbl_MTG_Set[[#This Row],[Released On]]+tbl_MTG_Set[[#This Row],[Sell Window Month Start]]*365.25/12</f>
        <v>46797.75</v>
      </c>
      <c r="V1022">
        <f>_xlfn.XLOOKUP(tbl_MTG_Set[[#This Row],[Type Name]], tbl_MTG_Set_Type[Set Type], tbl_MTG_Set_Type[Sell Window Month End], "(Set Type not found)", 0, 1)</f>
        <v>48</v>
      </c>
      <c r="W1022" s="3">
        <f>tbl_MTG_Set[[#This Row],[Released On]]+tbl_MTG_Set[[#This Row],[Sell Window Month End]]*365.25/12</f>
        <v>47163</v>
      </c>
      <c r="X1022" s="3" t="b">
        <f ca="1">AND(NOW()&gt;=tbl_MTG_Set[[#This Row],[Sell Window Start]], NOW()&lt;=tbl_MTG_Set[[#This Row],[Sell Window End]])</f>
        <v>0</v>
      </c>
      <c r="Y1022" s="10">
        <v>83</v>
      </c>
      <c r="Z1022" s="10">
        <v>113</v>
      </c>
      <c r="AA1022" s="10">
        <v>100</v>
      </c>
      <c r="AC1022" s="10">
        <v>107</v>
      </c>
      <c r="AD1022" s="10">
        <f>(Y1022+96/20)/30</f>
        <v>2.9266666666666667</v>
      </c>
      <c r="AE1022" s="10">
        <f>(Z1022+96/20)/30</f>
        <v>3.9266666666666667</v>
      </c>
      <c r="AF1022" s="10">
        <f>($AA$30+96/20)/30</f>
        <v>0.16</v>
      </c>
      <c r="AG1022" s="10"/>
      <c r="AH1022" s="10"/>
      <c r="AI1022" s="4">
        <v>70</v>
      </c>
      <c r="AJ1022" s="4">
        <v>25</v>
      </c>
      <c r="AK1022" s="4">
        <v>84</v>
      </c>
      <c r="AL1022" s="4">
        <v>83</v>
      </c>
      <c r="AM1022" s="10" cm="1">
        <f t="array" ref="AM1022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80</v>
      </c>
      <c r="AN1022" s="10" t="str" cm="1">
        <f t="array" ref="AN1022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Jet Cards</v>
      </c>
      <c r="AO1022" s="4">
        <f>_xlfn.XLOOKUP(tbl_MTG_Set[[#This Row],[Play Booster Box Product Id]], tbl_Product[Product Id], tbl_Product[Pack Size])</f>
        <v>30</v>
      </c>
      <c r="AP1022" s="10">
        <f>(tbl_MTG_Set[[#This Row],[Play Booster Box Cost]]+v_Item_Shipping_Cost_In)/tbl_MTG_Set[[#This Row],[Play Booster Box Size]]</f>
        <v>3.0733333333333333</v>
      </c>
      <c r="AQ1022" s="10" cm="1">
        <f t="array" ref="AQ1022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2.566349432</v>
      </c>
      <c r="AR1022" s="10">
        <v>4.5</v>
      </c>
      <c r="AS1022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-1.3531377474871795</v>
      </c>
      <c r="AT1022" s="17">
        <f>tbl_MTG_Set[[#This Row],[Play Booster CardMarket Profit]]/tbl_MTG_Set[[#This Row],[Play Booster Cost]]</f>
        <v>-0.44028343193726016</v>
      </c>
      <c r="AU1022" s="12">
        <f>_xlfn.XLOOKUP(tbl_MTG_Set[[#This Row],[Collector Booster Box Product Id]], tbl_Product[Product Id], tbl_Product[Min Cost])</f>
        <v>215.60342</v>
      </c>
      <c r="AV1022" s="10" t="str">
        <f>_xlfn.XLOOKUP(tbl_MTG_Set[[#This Row],[Collector Booster Box Product Id]], tbl_Product[Product Id], tbl_Product[Best Source])</f>
        <v>Card Market</v>
      </c>
      <c r="AW1022" s="4">
        <f>_xlfn.XLOOKUP(tbl_MTG_Set[[#This Row],[Collector Booster Box Product Id]], tbl_Product[Product Id], tbl_Product[Pack Size])</f>
        <v>12</v>
      </c>
      <c r="AX1022" s="10">
        <f>(tbl_MTG_Set[[#This Row],[Collector Booster Box Cost]] + v_Item_Shipping_Cost_In) / tbl_MTG_Set[[#This Row],[Collector Booster Box Size]]</f>
        <v>18.983618333333332</v>
      </c>
      <c r="AY1022" s="12" cm="1">
        <f t="array" ref="AY1022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18.103637857599999</v>
      </c>
      <c r="AZ1022" s="10"/>
      <c r="BA1022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-1.7261343218871796</v>
      </c>
      <c r="BB1022" s="17">
        <f>tbl_MTG_Set[[#This Row],[Collector Booster CardMarket Profit]]/tbl_MTG_Set[[#This Row],[Collector Booster Cost]]</f>
        <v>-9.0927571950614947E-2</v>
      </c>
      <c r="BC1022" s="15" t="s">
        <v>1269</v>
      </c>
      <c r="BD1022" s="11">
        <v>4.63</v>
      </c>
      <c r="BE1022" s="11">
        <v>3.67</v>
      </c>
      <c r="BF1022" s="10">
        <f>tbl_MTG_Set[[#This Row],[Play Booster Sell Price CardMarket]]*tbl_MTG_Set[[#This Row],[Play Booster Expected Market Value MTG Stocks]]/tbl_MTG_Set[[#This Row],[Play Booster Sealed Market Value MTG Stocks]]</f>
        <v>3.2376560954114439</v>
      </c>
      <c r="BG1022" s="10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-0.68183108407573556</v>
      </c>
      <c r="BH1022" s="17">
        <f>tbl_MTG_Set[[#This Row],[Play Singles CardMarket Profit MTG Stocks]]/tbl_MTG_Set[[#This Row],[Play Booster Cost]]</f>
        <v>-0.22185393191184455</v>
      </c>
      <c r="BI1022" s="10" t="b">
        <f>tbl_MTG_Set[[#This Row],[Play Singles CardMarket Profit MTG Stocks]]&gt;0</f>
        <v>0</v>
      </c>
      <c r="BJ1022" s="21" t="s">
        <v>1270</v>
      </c>
      <c r="BK1022" s="11">
        <v>2.68</v>
      </c>
      <c r="BL1022" s="11">
        <v>4.9800000000000004</v>
      </c>
      <c r="BM1022" s="10">
        <f>tbl_MTG_Set[[#This Row],[Play Booster Sell Price CardMarket]]*tbl_MTG_Set[[#This Row],[Play Booster Expected Market Value BotBox]]/tbl_MTG_Set[[#This Row],[Play Booster Sealed Market Value BotBox]]</f>
        <v>1.3810876461365462</v>
      </c>
      <c r="BN1022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-2.5383995333506331</v>
      </c>
      <c r="BO1022" s="17">
        <f>tbl_MTG_Set[[#This Row],[Play Singles CardMarket Profit BotBox]]/tbl_MTG_Set[[#This Row],[Play Booster Cost]]</f>
        <v>-0.82594344902949013</v>
      </c>
      <c r="BP1022" s="10" t="b">
        <f>tbl_MTG_Set[[#This Row],[Play Singles CardMarket Profit BotBox]]&gt;0</f>
        <v>0</v>
      </c>
      <c r="BQ1022" s="15" t="s">
        <v>1271</v>
      </c>
      <c r="BR1022" s="10">
        <v>11.09</v>
      </c>
      <c r="BS1022" s="10">
        <v>18</v>
      </c>
      <c r="BT1022" s="12">
        <f>tbl_MTG_Set[[#This Row],[Collector Booster Sell Price CardMarket]]*tbl_MTG_Set[[#This Row],[Collector Booster Expected Market Value MTG Stocks]]/tbl_MTG_Set[[#This Row],[Collector Booster Sealed Market Value MTG Stocks]]</f>
        <v>11.153852435599111</v>
      </c>
      <c r="BU1022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-8.675919743888068</v>
      </c>
      <c r="BV1022" s="19">
        <f>tbl_MTG_Set[[#This Row],[Collector Singles CardMarket Profit MTG Stocks]]/tbl_MTG_Set[[#This Row],[Collector Booster Cost]]</f>
        <v>-0.45702139558158006</v>
      </c>
      <c r="BW1022" s="10" t="b">
        <f>tbl_MTG_Set[[#This Row],[Collector Singles CardMarket Profit MTG Stocks]]&gt;0</f>
        <v>0</v>
      </c>
      <c r="BX1022" s="10">
        <v>19.399999999999999</v>
      </c>
      <c r="BY1022" s="10">
        <v>18.079999999999998</v>
      </c>
      <c r="BZ1022" s="12">
        <f>tbl_MTG_Set[[#This Row],[Collector Booster Sell Price CardMarket]]*tbl_MTG_Set[[#This Row],[Collector Booster Expected Market Value BotBox]]/tbl_MTG_Set[[#This Row],[Collector Booster Sealed Market Value BotBox]]</f>
        <v>19.425363630389381</v>
      </c>
      <c r="CA1022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-0.404408549097798</v>
      </c>
      <c r="CB1022" s="17">
        <f>tbl_MTG_Set[[#This Row],[Collector Singles CardMarket Profit BotBox]]/tbl_MTG_Set[[#This Row],[Collector Booster Cost]]</f>
        <v>-2.1303027799905623E-2</v>
      </c>
      <c r="CC1022" s="10" t="b">
        <f>tbl_MTG_Set[[#This Row],[Collector Singles CardMarket Profit BotBox]]&gt;0</f>
        <v>0</v>
      </c>
      <c r="CD1022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22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Collector Singles</v>
      </c>
      <c r="CF1022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-0.404408549097798</v>
      </c>
      <c r="CG1022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Singles</v>
      </c>
      <c r="CH1022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-2.1303027799905623E-2</v>
      </c>
    </row>
    <row r="1023" spans="1:86">
      <c r="A1023">
        <v>110</v>
      </c>
      <c r="B1023" t="s">
        <v>1272</v>
      </c>
      <c r="C1023">
        <v>374</v>
      </c>
      <c r="D1023" s="3">
        <v>45401</v>
      </c>
      <c r="E1023" t="s">
        <v>59</v>
      </c>
      <c r="F1023" t="s">
        <v>174</v>
      </c>
      <c r="G1023">
        <v>166</v>
      </c>
      <c r="H1023">
        <f ca="1">MONTH(NOW())+12*YEAR(NOW())-MONTH(tbl_MTG_Set[[#This Row],[Released On]])-12*YEAR(tbl_MTG_Set[[#This Row],[Released On]])</f>
        <v>23</v>
      </c>
      <c r="I1023">
        <f>_xlfn.XLOOKUP(tbl_MTG_Set[[#This Row],[Type Name]], tbl_MTG_Set_Type[Set Type], tbl_MTG_Set_Type[Index], "(Set Type not found)")</f>
        <v>1</v>
      </c>
      <c r="J1023">
        <f>_xlfn.XLOOKUP(tbl_MTG_Set[[#This Row],[Type Name]], tbl_MTG_Set_Type[Set Type], tbl_MTG_Set_Type[Buy Window Month Start], "(Set Type not found)")</f>
        <v>18</v>
      </c>
      <c r="K1023" s="3">
        <f>tbl_MTG_Set[[#This Row],[Released On]]+tbl_MTG_Set[[#This Row],[Buy Window Month Start]]*365.25/12</f>
        <v>45948.875</v>
      </c>
      <c r="L1023">
        <f>_xlfn.XLOOKUP(tbl_MTG_Set[[#This Row],[Type Name]], tbl_MTG_Set_Type[Set Type], tbl_MTG_Set_Type[Buy Window Month End], "(Set Type not found)", 0, 1)</f>
        <v>24</v>
      </c>
      <c r="M1023" s="3">
        <f>tbl_MTG_Set[[#This Row],[Released On]]+tbl_MTG_Set[[#This Row],[Buy Window Month End]]*365.25/12</f>
        <v>46131.5</v>
      </c>
      <c r="N1023" s="3" t="b">
        <f ca="1">AND(NOW()&gt;=tbl_MTG_Set[[#This Row],[Buy Window Start]], NOW()&lt;=tbl_MTG_Set[[#This Row],[Buy Window End]])</f>
        <v>1</v>
      </c>
      <c r="O1023">
        <f>_xlfn.XLOOKUP(tbl_MTG_Set[[#This Row],[Type Name]], tbl_MTG_Set_Type[Set Type], tbl_MTG_Set_Type[Heavy Printing Window Month Start], "(Set Type not found)", 0, 1)</f>
        <v>1</v>
      </c>
      <c r="P1023" s="3">
        <f>tbl_MTG_Set[[#This Row],[Released On]]+tbl_MTG_Set[[#This Row],[Heavy Printing Window Month Start]]*365.25/12</f>
        <v>45431.4375</v>
      </c>
      <c r="Q1023">
        <f>_xlfn.XLOOKUP(tbl_MTG_Set[[#This Row],[Type Name]], tbl_MTG_Set_Type[Set Type], tbl_MTG_Set_Type[Heavy Printing Window Month End], "(Set Type not found)", 0, 1)</f>
        <v>18</v>
      </c>
      <c r="R1023" s="3">
        <f>tbl_MTG_Set[[#This Row],[Released On]]+tbl_MTG_Set[[#This Row],[Heavy Printing Window Month End]]*365.25/12</f>
        <v>45948.875</v>
      </c>
      <c r="S1023" s="3" t="b">
        <f ca="1">AND(NOW()&gt;=tbl_MTG_Set[[#This Row],[Heavy Printing Window Start]], NOW()&lt;=tbl_MTG_Set[[#This Row],[Heavy Printing Window End]])</f>
        <v>0</v>
      </c>
      <c r="T1023">
        <f>_xlfn.XLOOKUP(tbl_MTG_Set[[#This Row],[Type Name]], tbl_MTG_Set_Type[Set Type], tbl_MTG_Set_Type[Sell Window Month Start], "(Set Type not found)", 0, 1)</f>
        <v>36</v>
      </c>
      <c r="U1023" s="3">
        <f>tbl_MTG_Set[[#This Row],[Released On]]+tbl_MTG_Set[[#This Row],[Sell Window Month Start]]*365.25/12</f>
        <v>46496.75</v>
      </c>
      <c r="V1023">
        <f>_xlfn.XLOOKUP(tbl_MTG_Set[[#This Row],[Type Name]], tbl_MTG_Set_Type[Set Type], tbl_MTG_Set_Type[Sell Window Month End], "(Set Type not found)", 0, 1)</f>
        <v>48</v>
      </c>
      <c r="W1023" s="3">
        <f>tbl_MTG_Set[[#This Row],[Released On]]+tbl_MTG_Set[[#This Row],[Sell Window Month End]]*365.25/12</f>
        <v>46862</v>
      </c>
      <c r="X1023" s="3" t="b">
        <f ca="1">AND(NOW()&gt;=tbl_MTG_Set[[#This Row],[Sell Window Start]], NOW()&lt;=tbl_MTG_Set[[#This Row],[Sell Window End]])</f>
        <v>0</v>
      </c>
      <c r="Y1023" s="10">
        <v>116</v>
      </c>
      <c r="Z1023" s="10">
        <v>137</v>
      </c>
      <c r="AD1023" s="10">
        <f>(Y1023+96/20)/36</f>
        <v>3.3555555555555556</v>
      </c>
      <c r="AE1023" s="10">
        <f>(Z1023+96/20)/36</f>
        <v>3.9388888888888891</v>
      </c>
      <c r="AG1023" s="10"/>
      <c r="AH1023" s="10"/>
      <c r="AI1023" s="4">
        <v>56</v>
      </c>
      <c r="AJ1023" s="4">
        <v>11</v>
      </c>
      <c r="AK1023" s="4">
        <v>126</v>
      </c>
      <c r="AL1023" s="4">
        <v>125</v>
      </c>
      <c r="AM1023" s="10" cm="1">
        <f t="array" ref="AM1023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132.95946861440001</v>
      </c>
      <c r="AN1023" s="10" t="str" cm="1">
        <f t="array" ref="AN1023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Card Market Packs x Box Size</v>
      </c>
      <c r="AO1023" s="4">
        <f>_xlfn.XLOOKUP(tbl_MTG_Set[[#This Row],[Play Booster Box Product Id]], tbl_Product[Product Id], tbl_Product[Pack Size])</f>
        <v>36</v>
      </c>
      <c r="AP1023" s="10">
        <f>(tbl_MTG_Set[[#This Row],[Play Booster Box Cost]]+v_Item_Shipping_Cost_In)/tbl_MTG_Set[[#This Row],[Play Booster Box Size]]</f>
        <v>4.0322074615111108</v>
      </c>
      <c r="AQ1023" s="10" cm="1">
        <f t="array" ref="AQ1023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3.4710963503999999</v>
      </c>
      <c r="AR1023" s="10">
        <v>5</v>
      </c>
      <c r="AS1023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-1.4072649572649572</v>
      </c>
      <c r="AT1023" s="17">
        <f>tbl_MTG_Set[[#This Row],[Play Booster CardMarket Profit]]/tbl_MTG_Set[[#This Row],[Play Booster Cost]]</f>
        <v>-0.34900608926941729</v>
      </c>
      <c r="AU1023" s="10">
        <f>_xlfn.XLOOKUP(tbl_MTG_Set[[#This Row],[Collector Booster Box Product Id]], tbl_Product[Product Id], tbl_Product[Min Cost])</f>
        <v>318.25859709439999</v>
      </c>
      <c r="AV1023" s="10" t="str">
        <f>_xlfn.XLOOKUP(tbl_MTG_Set[[#This Row],[Collector Booster Box Product Id]], tbl_Product[Product Id], tbl_Product[Best Source])</f>
        <v>Card Market Packs x Box Size</v>
      </c>
      <c r="AW1023" s="4">
        <f>_xlfn.XLOOKUP(tbl_MTG_Set[[#This Row],[Collector Booster Box Product Id]], tbl_Product[Product Id], tbl_Product[Pack Size])</f>
        <v>12</v>
      </c>
      <c r="AX1023" s="10">
        <f>(tbl_MTG_Set[[#This Row],[Collector Booster Box Cost]] + v_Item_Shipping_Cost_In) / tbl_MTG_Set[[#This Row],[Collector Booster Box Size]]</f>
        <v>27.538216424533331</v>
      </c>
      <c r="AY1023" s="10" cm="1">
        <f t="array" ref="AY1023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25.854883091199998</v>
      </c>
      <c r="AZ1023" s="10"/>
      <c r="BA1023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-2.5294871794871798</v>
      </c>
      <c r="BB1023" s="17">
        <f>tbl_MTG_Set[[#This Row],[Collector Booster CardMarket Profit]]/tbl_MTG_Set[[#This Row],[Collector Booster Cost]]</f>
        <v>-9.1853703976039008E-2</v>
      </c>
      <c r="BC1023" s="15" t="s">
        <v>1273</v>
      </c>
      <c r="BD1023" s="11">
        <v>10.44</v>
      </c>
      <c r="BE1023" s="11">
        <v>4.82</v>
      </c>
      <c r="BF1023" s="11">
        <f>tbl_MTG_Set[[#This Row],[Play Booster Sell Price CardMarket]]*tbl_MTG_Set[[#This Row],[Play Booster Expected Market Value MTG Stocks]]/tbl_MTG_Set[[#This Row],[Play Booster Sealed Market Value MTG Stocks]]</f>
        <v>7.518308277629874</v>
      </c>
      <c r="BG1023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2.639946969964917</v>
      </c>
      <c r="BH1023" s="19">
        <f>tbl_MTG_Set[[#This Row],[Play Singles CardMarket Profit MTG Stocks]]/tbl_MTG_Set[[#This Row],[Play Booster Cost]]</f>
        <v>0.65471506492762899</v>
      </c>
      <c r="BI1023" s="11" t="b">
        <f>tbl_MTG_Set[[#This Row],[Play Singles CardMarket Profit MTG Stocks]]&gt;0</f>
        <v>1</v>
      </c>
      <c r="BJ1023" s="21" t="s">
        <v>1274</v>
      </c>
      <c r="BK1023" s="11">
        <v>4.16</v>
      </c>
      <c r="BL1023" s="11">
        <v>5.18</v>
      </c>
      <c r="BM1023" s="10">
        <f>tbl_MTG_Set[[#This Row],[Play Booster Sell Price CardMarket]]*tbl_MTG_Set[[#This Row],[Play Booster Expected Market Value BotBox]]/tbl_MTG_Set[[#This Row],[Play Booster Sealed Market Value BotBox]]</f>
        <v>2.7875986134486488</v>
      </c>
      <c r="BN1023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-2.0907626942163082</v>
      </c>
      <c r="BO1023" s="17">
        <f>tbl_MTG_Set[[#This Row],[Play Singles CardMarket Profit BotBox]]/tbl_MTG_Set[[#This Row],[Play Booster Cost]]</f>
        <v>-0.5185156553013206</v>
      </c>
      <c r="BP1023" s="10" t="b">
        <f>tbl_MTG_Set[[#This Row],[Play Singles CardMarket Profit BotBox]]&gt;0</f>
        <v>0</v>
      </c>
      <c r="BQ1023" s="15" t="s">
        <v>1275</v>
      </c>
      <c r="BR1023" s="10">
        <v>19.43</v>
      </c>
      <c r="BS1023" s="10">
        <v>29.56</v>
      </c>
      <c r="BT1023" s="10">
        <f>tbl_MTG_Set[[#This Row],[Collector Booster Sell Price CardMarket]]*tbl_MTG_Set[[#This Row],[Collector Booster Expected Market Value MTG Stocks]]/tbl_MTG_Set[[#This Row],[Collector Booster Sealed Market Value MTG Stocks]]</f>
        <v>16.994600083288766</v>
      </c>
      <c r="BU1023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-11.389770187398412</v>
      </c>
      <c r="BV1023" s="19">
        <f>tbl_MTG_Set[[#This Row],[Collector Singles CardMarket Profit MTG Stocks]]/tbl_MTG_Set[[#This Row],[Collector Booster Cost]]</f>
        <v>-0.41359868815801221</v>
      </c>
      <c r="BW1023" s="10" t="b">
        <f>tbl_MTG_Set[[#This Row],[Collector Singles CardMarket Profit MTG Stocks]]&gt;0</f>
        <v>0</v>
      </c>
      <c r="BX1023" s="10">
        <v>16.13</v>
      </c>
      <c r="BY1023" s="10">
        <v>33.979999999999997</v>
      </c>
      <c r="BZ1023" s="10">
        <f>tbl_MTG_Set[[#This Row],[Collector Booster Sell Price CardMarket]]*tbl_MTG_Set[[#This Row],[Collector Booster Expected Market Value BotBox]]/tbl_MTG_Set[[#This Row],[Collector Booster Sealed Market Value BotBox]]</f>
        <v>12.273080172485463</v>
      </c>
      <c r="CA1023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-16.111290098201714</v>
      </c>
      <c r="CB1023" s="17">
        <f>tbl_MTG_Set[[#This Row],[Collector Singles CardMarket Profit BotBox]]/tbl_MTG_Set[[#This Row],[Collector Booster Cost]]</f>
        <v>-0.58505205456401443</v>
      </c>
      <c r="CC1023" s="10" t="b">
        <f>tbl_MTG_Set[[#This Row],[Collector Singles CardMarket Profit BotBox]]&gt;0</f>
        <v>0</v>
      </c>
      <c r="CD1023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1</v>
      </c>
      <c r="CE1023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Singles</v>
      </c>
      <c r="CF1023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2.639946969964917</v>
      </c>
      <c r="CG1023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Play Singles</v>
      </c>
      <c r="CH1023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0.65471506492762899</v>
      </c>
    </row>
    <row r="1024" spans="1:86">
      <c r="A1024">
        <v>98</v>
      </c>
      <c r="B1024" t="s">
        <v>1276</v>
      </c>
      <c r="C1024">
        <v>309</v>
      </c>
      <c r="D1024" s="3">
        <v>45478</v>
      </c>
      <c r="E1024" t="s">
        <v>86</v>
      </c>
      <c r="F1024" t="s">
        <v>174</v>
      </c>
      <c r="G1024">
        <v>142</v>
      </c>
      <c r="H1024">
        <f ca="1">MONTH(NOW())+12*YEAR(NOW())-MONTH(tbl_MTG_Set[[#This Row],[Released On]])-12*YEAR(tbl_MTG_Set[[#This Row],[Released On]])</f>
        <v>20</v>
      </c>
      <c r="I1024">
        <f>_xlfn.XLOOKUP(tbl_MTG_Set[[#This Row],[Type Name]], tbl_MTG_Set_Type[Set Type], tbl_MTG_Set_Type[Index], "(Set Type not found)")</f>
        <v>6</v>
      </c>
      <c r="J1024">
        <f>_xlfn.XLOOKUP(tbl_MTG_Set[[#This Row],[Type Name]], tbl_MTG_Set_Type[Set Type], tbl_MTG_Set_Type[Buy Window Month Start], "(Set Type not found)")</f>
        <v>3</v>
      </c>
      <c r="K1024" s="3">
        <f>tbl_MTG_Set[[#This Row],[Released On]]+tbl_MTG_Set[[#This Row],[Buy Window Month Start]]*365.25/12</f>
        <v>45569.3125</v>
      </c>
      <c r="L1024">
        <f>_xlfn.XLOOKUP(tbl_MTG_Set[[#This Row],[Type Name]], tbl_MTG_Set_Type[Set Type], tbl_MTG_Set_Type[Buy Window Month End], "(Set Type not found)", 0, 1)</f>
        <v>6</v>
      </c>
      <c r="M1024" s="3">
        <f>tbl_MTG_Set[[#This Row],[Released On]]+tbl_MTG_Set[[#This Row],[Buy Window Month End]]*365.25/12</f>
        <v>45660.625</v>
      </c>
      <c r="N1024" s="3" t="b">
        <f ca="1">AND(NOW()&gt;=tbl_MTG_Set[[#This Row],[Buy Window Start]], NOW()&lt;=tbl_MTG_Set[[#This Row],[Buy Window End]])</f>
        <v>0</v>
      </c>
      <c r="O1024">
        <f>_xlfn.XLOOKUP(tbl_MTG_Set[[#This Row],[Type Name]], tbl_MTG_Set_Type[Set Type], tbl_MTG_Set_Type[Heavy Printing Window Month Start], "(Set Type not found)", 0, 1)</f>
        <v>0</v>
      </c>
      <c r="P1024" s="3">
        <f>tbl_MTG_Set[[#This Row],[Released On]]+tbl_MTG_Set[[#This Row],[Heavy Printing Window Month Start]]*365.25/12</f>
        <v>45478</v>
      </c>
      <c r="Q1024">
        <f>_xlfn.XLOOKUP(tbl_MTG_Set[[#This Row],[Type Name]], tbl_MTG_Set_Type[Set Type], tbl_MTG_Set_Type[Heavy Printing Window Month End], "(Set Type not found)", 0, 1)</f>
        <v>0</v>
      </c>
      <c r="R1024" s="3">
        <f>tbl_MTG_Set[[#This Row],[Released On]]+tbl_MTG_Set[[#This Row],[Heavy Printing Window Month End]]*365.25/12</f>
        <v>45478</v>
      </c>
      <c r="S1024" s="3" t="b">
        <f ca="1">AND(NOW()&gt;=tbl_MTG_Set[[#This Row],[Heavy Printing Window Start]], NOW()&lt;=tbl_MTG_Set[[#This Row],[Heavy Printing Window End]])</f>
        <v>0</v>
      </c>
      <c r="T1024">
        <f>_xlfn.XLOOKUP(tbl_MTG_Set[[#This Row],[Type Name]], tbl_MTG_Set_Type[Set Type], tbl_MTG_Set_Type[Sell Window Month Start], "(Set Type not found)", 0, 1)</f>
        <v>0</v>
      </c>
      <c r="U1024" s="3">
        <f>tbl_MTG_Set[[#This Row],[Released On]]+tbl_MTG_Set[[#This Row],[Sell Window Month Start]]*365.25/12</f>
        <v>45478</v>
      </c>
      <c r="V1024">
        <f>_xlfn.XLOOKUP(tbl_MTG_Set[[#This Row],[Type Name]], tbl_MTG_Set_Type[Set Type], tbl_MTG_Set_Type[Sell Window Month End], "(Set Type not found)", 0, 1)</f>
        <v>0</v>
      </c>
      <c r="W1024" s="3">
        <f>tbl_MTG_Set[[#This Row],[Released On]]+tbl_MTG_Set[[#This Row],[Sell Window Month End]]*365.25/12</f>
        <v>45478</v>
      </c>
      <c r="X1024" s="3" t="b">
        <f ca="1">AND(NOW()&gt;=tbl_MTG_Set[[#This Row],[Sell Window Start]], NOW()&lt;=tbl_MTG_Set[[#This Row],[Sell Window End]])</f>
        <v>0</v>
      </c>
      <c r="Y1024" s="10">
        <v>98</v>
      </c>
      <c r="Z1024" s="10">
        <v>115</v>
      </c>
      <c r="AC1024" s="10">
        <v>113</v>
      </c>
      <c r="AD1024" s="10">
        <f>(Y1024+96/20)/24</f>
        <v>4.2833333333333332</v>
      </c>
      <c r="AE1024" s="10">
        <f>(Z1024+96/20)/24</f>
        <v>4.9916666666666663</v>
      </c>
      <c r="AF1024" s="10">
        <f>(AA1024+96/20)/24</f>
        <v>0.19999999999999998</v>
      </c>
      <c r="AG1024" s="10">
        <f>(AB1024+96/20)/24</f>
        <v>0.19999999999999998</v>
      </c>
      <c r="AH1024" s="10">
        <f>(AC1024+96/20)/24</f>
        <v>4.9083333333333332</v>
      </c>
      <c r="AI1024" s="4">
        <v>63</v>
      </c>
      <c r="AJ1024" s="4">
        <v>18</v>
      </c>
      <c r="AK1024" s="4">
        <v>86</v>
      </c>
      <c r="AL1024" s="4">
        <v>85</v>
      </c>
      <c r="AM1024" s="10" cm="1">
        <f t="array" ref="AM1024">IF(ISERROR(MIN(_xlfn._xlws.FILTER(tbl_Sourcing[Source Unit Cost], (tbl_Sourcing[Product Id]=tbl_MTG_Set[[#This Row],[Play Booster Box Product Id]])*(tbl_Sourcing[Active]=TRUE)))), "", MIN(_xlfn._xlws.FILTER(tbl_Sourcing[Source Unit Cost], (tbl_Sourcing[Product Id]=tbl_MTG_Set[[#This Row],[Play Booster Box Product Id]])*(tbl_Sourcing[Active]=TRUE))))</f>
        <v>124.99</v>
      </c>
      <c r="AN1024" s="10" t="str" cm="1">
        <f t="array" ref="AN1024">IF(ISERROR(INDEX(_xlfn._xlws.FILTER(tbl_Sourcing[Source Name], (tbl_Sourcing[Product Id]=tbl_MTG_Set[[#This Row],[Play Booster Box Product Id]])*(tbl_Sourcing[Active]=TRUE)*(tbl_Sourcing[Source Unit Cost]=tbl_MTG_Set[[#This Row],[Play Booster Box Cost]])), 1)), "", INDEX(_xlfn._xlws.FILTER(tbl_Sourcing[Source Name], (tbl_Sourcing[Product Id]=tbl_MTG_Set[[#This Row],[Play Booster Box Product Id]])*(tbl_Sourcing[Active]=TRUE)*(tbl_Sourcing[Source Unit Cost]=tbl_MTG_Set[[#This Row],[Play Booster Box Cost]])), 1))</f>
        <v>Games Lore</v>
      </c>
      <c r="AO1024" s="4">
        <f>_xlfn.XLOOKUP(tbl_MTG_Set[[#This Row],[Play Booster Box Product Id]], tbl_Product[Product Id], tbl_Product[Pack Size])</f>
        <v>24</v>
      </c>
      <c r="AP1024" s="10">
        <f>(tbl_MTG_Set[[#This Row],[Play Booster Box Cost]]+v_Item_Shipping_Cost_In)/tbl_MTG_Set[[#This Row],[Play Booster Box Size]]</f>
        <v>5.7162499999999996</v>
      </c>
      <c r="AQ1024" s="10" cm="1">
        <f t="array" ref="AQ1024">IF(ISERROR(MIN(_xlfn._xlws.FILTER(tbl_Sourcing[Sale Price], (tbl_Sourcing[Product Id]=tbl_MTG_Set[[#This Row],[Play Booster Product Id]])*(tbl_Sourcing[Active]=TRUE)*(tbl_Sourcing[Source Name]="Card Market")))), "", MIN(_xlfn._xlws.FILTER(tbl_Sourcing[Sale Price], (tbl_Sourcing[Product Id]=tbl_MTG_Set[[#This Row],[Play Booster Product Id]])*(tbl_Sourcing[Active]=TRUE)*(tbl_Sourcing[Source Name]="Card Market"))))</f>
        <v>5.1239993743999994</v>
      </c>
      <c r="AR1024" s="10">
        <v>5</v>
      </c>
      <c r="AS1024" s="10">
        <f>IF(ISERROR(tbl_MTG_Set[[#This Row],[Play Booster Sell Price CardMarket]]-tbl_MTG_Set[[#This Row],[Play Booster Cost]]-v_Item_Shipping_Cost_Out), -999, tbl_MTG_Set[[#This Row],[Play Booster Sell Price CardMarket]]-tbl_MTG_Set[[#This Row],[Play Booster Cost]]-v_Item_Shipping_Cost_Out)</f>
        <v>-1.4384044717538464</v>
      </c>
      <c r="AT1024" s="17">
        <f>tbl_MTG_Set[[#This Row],[Play Booster CardMarket Profit]]/tbl_MTG_Set[[#This Row],[Play Booster Cost]]</f>
        <v>-0.2516342832720484</v>
      </c>
      <c r="AU1024" s="10">
        <f>_xlfn.XLOOKUP(tbl_MTG_Set[[#This Row],[Collector Booster Box Product Id]], tbl_Product[Product Id], tbl_Product[Min Cost])</f>
        <v>312.09935845759998</v>
      </c>
      <c r="AV1024" s="10" t="str">
        <f>_xlfn.XLOOKUP(tbl_MTG_Set[[#This Row],[Collector Booster Box Product Id]], tbl_Product[Product Id], tbl_Product[Best Source])</f>
        <v>Card Market Packs x Box Size</v>
      </c>
      <c r="AW1024" s="4">
        <f>_xlfn.XLOOKUP(tbl_MTG_Set[[#This Row],[Collector Booster Box Product Id]], tbl_Product[Product Id], tbl_Product[Pack Size])</f>
        <v>12</v>
      </c>
      <c r="AX1024" s="10">
        <f>(tbl_MTG_Set[[#This Row],[Collector Booster Box Cost]] + v_Item_Shipping_Cost_In) / tbl_MTG_Set[[#This Row],[Collector Booster Box Size]]</f>
        <v>27.024946538133332</v>
      </c>
      <c r="AY1024" s="10" cm="1">
        <f t="array" ref="AY1024">IF(ISERROR(_xlfn._xlws.FILTER(tbl_Sourcing[Sale Price], (tbl_Sourcing[Product Id]=tbl_MTG_Set[[#This Row],[Collector Booster Product Id]])*(tbl_Sourcing[Active]=TRUE)*(tbl_Sourcing[Source Name]="Card Market"))), "", _xlfn._xlws.FILTER(tbl_Sourcing[Sale Price], (tbl_Sourcing[Product Id]=tbl_MTG_Set[[#This Row],[Collector Booster Product Id]])*(tbl_Sourcing[Active]=TRUE)*(tbl_Sourcing[Source Name]="Card Market")))</f>
        <v>25.341613204799998</v>
      </c>
      <c r="AZ1024" s="10"/>
      <c r="BA1024" s="10">
        <f>IF(ISERROR(tbl_MTG_Set[[#This Row],[Collector Booster Sell Price CardMarket]]-tbl_MTG_Set[[#This Row],[Collector Booster Cost]]-v_Item_Shipping_Cost_Out), -999, tbl_MTG_Set[[#This Row],[Collector Booster Sell Price CardMarket]]-tbl_MTG_Set[[#This Row],[Collector Booster Cost]]-v_Item_Shipping_Cost_Out)</f>
        <v>-2.5294871794871798</v>
      </c>
      <c r="BB1024" s="17">
        <f>tbl_MTG_Set[[#This Row],[Collector Booster CardMarket Profit]]/tbl_MTG_Set[[#This Row],[Collector Booster Cost]]</f>
        <v>-9.3598230653961417E-2</v>
      </c>
      <c r="BC1024" s="10"/>
      <c r="BF1024" s="11" t="e">
        <f>tbl_MTG_Set[[#This Row],[Play Booster Sell Price CardMarket]]*tbl_MTG_Set[[#This Row],[Play Booster Expected Market Value MTG Stocks]]/tbl_MTG_Set[[#This Row],[Play Booster Sealed Market Value MTG Stocks]]</f>
        <v>#DIV/0!</v>
      </c>
      <c r="BG1024" s="11">
        <f>IF(ISERROR(tbl_MTG_Set[[#This Row],[Play Booster Expected Value MTG Stocks]] - tbl_MTG_Set[[#This Row],[Play Booster Cost]] - v_Item_Shipping_Cost_Out), -999, tbl_MTG_Set[[#This Row],[Play Booster Expected Value MTG Stocks]] - tbl_MTG_Set[[#This Row],[Play Booster Cost]] - v_Item_Shipping_Cost_Out)</f>
        <v>-999</v>
      </c>
      <c r="BH1024" s="11">
        <f>tbl_MTG_Set[[#This Row],[Play Singles CardMarket Profit MTG Stocks]]/tbl_MTG_Set[[#This Row],[Play Booster Cost]]</f>
        <v>-174.76492455718349</v>
      </c>
      <c r="BI1024" s="11" t="b">
        <f>tbl_MTG_Set[[#This Row],[Play Singles CardMarket Profit MTG Stocks]]&gt;0</f>
        <v>0</v>
      </c>
      <c r="BJ1024" s="21" t="s">
        <v>1277</v>
      </c>
      <c r="BK1024" s="11">
        <v>4.9800000000000004</v>
      </c>
      <c r="BL1024" s="11">
        <v>7.64</v>
      </c>
      <c r="BM1024" s="10">
        <f>tbl_MTG_Set[[#This Row],[Play Booster Sell Price CardMarket]]*tbl_MTG_Set[[#This Row],[Play Booster Expected Market Value BotBox]]/tbl_MTG_Set[[#This Row],[Play Booster Sealed Market Value BotBox]]</f>
        <v>3.3399891210094239</v>
      </c>
      <c r="BN1024" s="10">
        <f>IF(ISERROR(tbl_MTG_Set[[#This Row],[Play Booster Expected Value BotBox]]-tbl_MTG_Set[[#This Row],[Play Booster Cost]]-v_Item_Shipping_Cost_Out), -999, tbl_MTG_Set[[#This Row],[Play Booster Expected Value BotBox]]-tbl_MTG_Set[[#This Row],[Play Booster Cost]]-v_Item_Shipping_Cost_Out)</f>
        <v>-3.222414725144422</v>
      </c>
      <c r="BO1024" s="17">
        <f>tbl_MTG_Set[[#This Row],[Play Singles CardMarket Profit BotBox]]/tbl_MTG_Set[[#This Row],[Play Booster Cost]]</f>
        <v>-0.56372879512694896</v>
      </c>
      <c r="BP1024" s="10" t="b">
        <f>tbl_MTG_Set[[#This Row],[Play Singles CardMarket Profit BotBox]]&gt;0</f>
        <v>0</v>
      </c>
      <c r="BQ1024" s="15" t="s">
        <v>1278</v>
      </c>
      <c r="BR1024" s="10"/>
      <c r="BS1024" s="10"/>
      <c r="BT1024" s="10" t="e">
        <f>tbl_MTG_Set[[#This Row],[Collector Booster Sell Price CardMarket]]*tbl_MTG_Set[[#This Row],[Collector Booster Expected Market Value MTG Stocks]]/tbl_MTG_Set[[#This Row],[Collector Booster Sealed Market Value MTG Stocks]]</f>
        <v>#DIV/0!</v>
      </c>
      <c r="BU1024" s="10">
        <f>IF(ISERROR(tbl_MTG_Set[[#This Row],[Collector Booster Expected Value MTG Stocks]] - tbl_MTG_Set[[#This Row],[Collector Booster Cost]] - v_Item_Shipping_Cost_Out), -999, tbl_MTG_Set[[#This Row],[Collector Booster Expected Value MTG Stocks]] - tbl_MTG_Set[[#This Row],[Collector Booster Cost]] - v_Item_Shipping_Cost_Out)</f>
        <v>-999</v>
      </c>
      <c r="BV1024" s="19">
        <f>tbl_MTG_Set[[#This Row],[Collector Singles CardMarket Profit MTG Stocks]]/tbl_MTG_Set[[#This Row],[Collector Booster Cost]]</f>
        <v>-36.965845560151955</v>
      </c>
      <c r="BW1024" s="10" t="b">
        <f>tbl_MTG_Set[[#This Row],[Collector Singles CardMarket Profit MTG Stocks]]&gt;0</f>
        <v>0</v>
      </c>
      <c r="BX1024" s="10">
        <v>35.4</v>
      </c>
      <c r="BY1024" s="10">
        <v>40.200000000000003</v>
      </c>
      <c r="BZ1024" s="10">
        <f>tbl_MTG_Set[[#This Row],[Collector Booster Sell Price CardMarket]]*tbl_MTG_Set[[#This Row],[Collector Booster Expected Market Value BotBox]]/tbl_MTG_Set[[#This Row],[Collector Booster Sealed Market Value BotBox]]</f>
        <v>22.315748941540296</v>
      </c>
      <c r="CA1024" s="10">
        <f>IF(ISERROR(tbl_MTG_Set[[#This Row],[Collector Booster Expected Value BotBox]] - tbl_MTG_Set[[#This Row],[Collector Booster Cost]] - v_Item_Shipping_Cost_Out), -999, tbl_MTG_Set[[#This Row],[Collector Booster Expected Value BotBox]] - tbl_MTG_Set[[#This Row],[Collector Booster Cost]] - v_Item_Shipping_Cost_Out)</f>
        <v>-5.5553514427468826</v>
      </c>
      <c r="CB1024" s="17">
        <f>tbl_MTG_Set[[#This Row],[Collector Singles CardMarket Profit BotBox]]/tbl_MTG_Set[[#This Row],[Collector Booster Cost]]</f>
        <v>-0.20556382729224085</v>
      </c>
      <c r="CC1024" s="10" t="b">
        <f>tbl_MTG_Set[[#This Row],[Collector Singles CardMarket Profit BotBox]]&gt;0</f>
        <v>0</v>
      </c>
      <c r="CD1024" s="10" t="b">
        <f>OR(tbl_MTG_Set[[#This Row],[Split Collector? MTG Stocks]], tbl_MTG_Set[[#This Row],[Split Collector? BotBox]], tbl_MTG_Set[[#This Row],[Split Play? MTG Stocks]], tbl_MTG_Set[[#This Row],[Split Play? BotBox]], tbl_MTG_Set[[#This Row],[Collector Booster CardMarket Profit]]&gt;0, tbl_MTG_Set[[#This Row],[Play Booster CardMarket Profit]]&gt;0)</f>
        <v>0</v>
      </c>
      <c r="CE1024" s="10" t="str">
        <f>IF(IFERROR(tbl_MTG_Set[[#This Row],[Play Booster CardMarket Profit]], -999)=tbl_MTG_Set[[#This Row],[Max Profit]], "Play Boosters", IF(IFERROR(tbl_MTG_Set[[#This Row],[Collector Booster CardMarket Profit]]=tbl_MTG_Set[[#This Row],[Max Profit]], -999), "Collector Boosters", IF(OR(IFERROR(tbl_MTG_Set[[#This Row],[Play Singles CardMarket Profit MTG Stocks]], -999)=tbl_MTG_Set[[#This Row],[Max Profit]], IFERROR(tbl_MTG_Set[[#This Row],[Play Singles CardMarket Profit BotBox]], -999)=tbl_MTG_Set[[#This Row],[Max Profit]]), "Play Singles", "Collector Singles")))</f>
        <v>Play Boosters</v>
      </c>
      <c r="CF1024" s="10">
        <f>MAX(IFERROR(tbl_MTG_Set[[#This Row],[Play Booster CardMarket Profit]], -999), IFERROR(tbl_MTG_Set[[#This Row],[Collector Booster CardMarket Profit]], -999), IFERROR(tbl_MTG_Set[[#This Row],[Play Singles CardMarket Profit MTG Stocks]], -999), IFERROR(tbl_MTG_Set[[#This Row],[Play Singles CardMarket Profit BotBox]], -999), IFERROR(tbl_MTG_Set[[#This Row],[Collector Singles CardMarket Profit MTG Stocks]], -999), IFERROR(tbl_MTG_Set[[#This Row],[Collector Singles CardMarket Profit BotBox]], -999))</f>
        <v>-1.4384044717538464</v>
      </c>
      <c r="CG1024" s="10" t="str">
        <f>IF(IFERROR(tbl_MTG_Set[[#This Row],[Play Booster CardMarket Profit Margin (%)]], 0)=tbl_MTG_Set[[#This Row],[Max Profit Margin (%)]], "Play Boosters", IF(IFERROR(tbl_MTG_Set[[#This Row],[Collector Booster CardMarket Profit Margin (%)]], 0)=tbl_MTG_Set[[#This Row],[Max Profit Margin (%)]], "Collector Boosters", IF(OR(IFERROR(tbl_MTG_Set[[#This Row],[Play Singles CardMarket Profit Margin (%) MTG Stocks]], 0)=tbl_MTG_Set[[#This Row],[Max Profit Margin (%)]], IFERROR(tbl_MTG_Set[[#This Row],[Play Singles CardMarket Profit Margin (%) BotBox]], 0)=tbl_MTG_Set[[#This Row],[Max Profit Margin (%)]]), "Play Singles", "Collector Singles")))</f>
        <v>Collector Boosters</v>
      </c>
      <c r="CH1024" s="19">
        <f>MAX(IFERROR(tbl_MTG_Set[[#This Row],[Play Booster CardMarket Profit Margin (%)]], 0), IFERROR(tbl_MTG_Set[[#This Row],[Collector Booster CardMarket Profit Margin (%)]], 0), IFERROR(tbl_MTG_Set[[#This Row],[Play Singles CardMarket Profit Margin (%) MTG Stocks]], 0), IFERROR(tbl_MTG_Set[[#This Row],[Play Singles CardMarket Profit Margin (%) BotBox]], 0), IFERROR(tbl_MTG_Set[[#This Row],[Collector Singles CardMarket Profit Margin (%) MTG Stocks]], 0), IFERROR(tbl_MTG_Set[[#This Row],[Collector Singles CardMarket Profit Margin (%) BotBox]], 0))</f>
        <v>-9.3598230653961417E-2</v>
      </c>
    </row>
  </sheetData>
  <phoneticPr fontId="3" alignment="center"/>
  <conditionalFormatting sqref="AS3:AT1048576">
    <cfRule type="cellIs" dxfId="149" priority="25" operator="greaterThan">
      <formula>0</formula>
    </cfRule>
  </conditionalFormatting>
  <conditionalFormatting sqref="BA3:BB1048576">
    <cfRule type="cellIs" dxfId="148" priority="20" operator="greaterThan">
      <formula>0</formula>
    </cfRule>
  </conditionalFormatting>
  <conditionalFormatting sqref="BG3:BH3">
    <cfRule type="cellIs" dxfId="147" priority="7" operator="greaterThan">
      <formula>0</formula>
    </cfRule>
  </conditionalFormatting>
  <conditionalFormatting sqref="BI1:BI1048576">
    <cfRule type="cellIs" dxfId="146" priority="6" operator="equal">
      <formula>TRUE</formula>
    </cfRule>
  </conditionalFormatting>
  <conditionalFormatting sqref="BI3">
    <cfRule type="cellIs" dxfId="145" priority="9" operator="equal">
      <formula>TRUE</formula>
    </cfRule>
  </conditionalFormatting>
  <conditionalFormatting sqref="BN3:BO3">
    <cfRule type="cellIs" dxfId="144" priority="22" operator="greaterThan">
      <formula>0</formula>
    </cfRule>
  </conditionalFormatting>
  <conditionalFormatting sqref="BN3:BO1048576">
    <cfRule type="cellIs" dxfId="143" priority="21" operator="greaterThan">
      <formula>0</formula>
    </cfRule>
  </conditionalFormatting>
  <conditionalFormatting sqref="BP1:BQ18 N1:N1048576 S1:S1048576 X1:X1048576 BP19 BP20:BQ1048576">
    <cfRule type="cellIs" dxfId="142" priority="27" operator="equal">
      <formula>TRUE</formula>
    </cfRule>
  </conditionalFormatting>
  <conditionalFormatting sqref="BU3">
    <cfRule type="cellIs" dxfId="141" priority="4" operator="greaterThan">
      <formula>0</formula>
    </cfRule>
  </conditionalFormatting>
  <conditionalFormatting sqref="BV3">
    <cfRule type="cellIs" dxfId="140" priority="2" operator="greaterThan">
      <formula>0</formula>
    </cfRule>
  </conditionalFormatting>
  <conditionalFormatting sqref="BW1:BW1048576">
    <cfRule type="cellIs" dxfId="139" priority="1" operator="equal">
      <formula>TRUE</formula>
    </cfRule>
  </conditionalFormatting>
  <conditionalFormatting sqref="BW3">
    <cfRule type="cellIs" dxfId="138" priority="3" operator="equal">
      <formula>TRUE</formula>
    </cfRule>
  </conditionalFormatting>
  <conditionalFormatting sqref="CA1:CB1048576">
    <cfRule type="cellIs" dxfId="137" priority="12" operator="greaterThan">
      <formula>0</formula>
    </cfRule>
  </conditionalFormatting>
  <conditionalFormatting sqref="CC2:CC3">
    <cfRule type="cellIs" dxfId="136" priority="18" operator="equal">
      <formula>TRUE</formula>
    </cfRule>
  </conditionalFormatting>
  <conditionalFormatting sqref="CC1:CD1048576">
    <cfRule type="cellIs" dxfId="135" priority="14" operator="equal">
      <formula>TRUE</formula>
    </cfRule>
  </conditionalFormatting>
  <conditionalFormatting sqref="CF1:CF1048576">
    <cfRule type="cellIs" dxfId="134" priority="11" operator="greaterThan">
      <formula>0</formula>
    </cfRule>
  </conditionalFormatting>
  <conditionalFormatting sqref="CH1:CH1048576">
    <cfRule type="cellIs" dxfId="133" priority="10" operator="greaterThan">
      <formula>0</formula>
    </cfRule>
  </conditionalFormatting>
  <hyperlinks>
    <hyperlink ref="BC1003" r:id="rId1" location="ev" xr:uid="{544D7A26-7DC4-4F42-BE73-08AE92F0503D}"/>
    <hyperlink ref="BC1022" r:id="rId2" location="ev" xr:uid="{0B9C44BF-845F-4915-89C9-4E9222C0EAD6}"/>
    <hyperlink ref="BC993" r:id="rId3" location="ev" xr:uid="{7FBA07EF-DD3E-44BD-9665-AD0A92CB1CE1}"/>
    <hyperlink ref="BC1004" r:id="rId4" location="ev" xr:uid="{5FAC2638-63D3-4CA1-978E-052CBD100555}"/>
    <hyperlink ref="BC3" r:id="rId5" location="ev" xr:uid="{10CD2EA7-B159-400F-8C99-CEC6D91D40D9}"/>
    <hyperlink ref="BC1020" r:id="rId6" location="ev" xr:uid="{BC73F0D4-A7FE-4ADA-BBB1-2EB3F9DC5916}"/>
    <hyperlink ref="BC998" r:id="rId7" location="ev" xr:uid="{738367B3-7B92-4D8B-A8AB-72A984F37105}"/>
    <hyperlink ref="BC1006" r:id="rId8" location="ev" xr:uid="{C1B507C5-7C9D-44AA-A948-4076A7C69AF1}"/>
    <hyperlink ref="BC995" r:id="rId9" location="ev" xr:uid="{8A056148-B845-4B71-BED0-822AF7472366}"/>
    <hyperlink ref="BC1007" r:id="rId10" location="ev" xr:uid="{BC5F6CFD-A83E-44FA-9881-96AC82284C42}"/>
    <hyperlink ref="BC997" r:id="rId11" location="ev" xr:uid="{DF0CE409-EFC9-4EB3-BD24-16C166C49DE4}"/>
    <hyperlink ref="BC1013" r:id="rId12" location="ev" xr:uid="{1DA1F116-67A6-4EFA-90C6-65C658D81347}"/>
    <hyperlink ref="BC992" r:id="rId13" location="ev" xr:uid="{3D7ED17C-9129-4CB7-92CB-45FECA9BD32C}"/>
    <hyperlink ref="BC1023" r:id="rId14" location="ev" xr:uid="{6AC0D18D-1E94-4866-91EA-C4E46818B76D}"/>
    <hyperlink ref="BC1005" r:id="rId15" location="ev" xr:uid="{29F3A422-2A1F-4EBF-96C0-3E24E1458236}"/>
    <hyperlink ref="BC991" r:id="rId16" location="ev" xr:uid="{49FB0FC3-0C6D-45E3-AE7F-4F0BE861F7A6}"/>
    <hyperlink ref="BJ997" r:id="rId17" xr:uid="{E0FD397F-022F-46F2-85C3-13CE49164BA0}"/>
    <hyperlink ref="BJ1007" r:id="rId18" xr:uid="{9985BD1F-AF98-41F1-8D4B-B45C8755CF64}"/>
    <hyperlink ref="BJ1022" r:id="rId19" xr:uid="{71FAB705-5189-49CF-AE44-802CD00DE5CF}"/>
    <hyperlink ref="BJ1024" r:id="rId20" xr:uid="{5EE5BAEA-43F0-4465-82A1-FED572DF4286}"/>
    <hyperlink ref="BJ1004" r:id="rId21" xr:uid="{E301C792-DB14-4D78-A07B-069478F54D37}"/>
    <hyperlink ref="BJ993" r:id="rId22" xr:uid="{6734C8C7-9C31-4ED7-9CCE-FAD7B6078B90}"/>
    <hyperlink ref="BJ994" r:id="rId23" xr:uid="{A35C6763-8D59-4B07-ACAA-154723E1F15F}"/>
    <hyperlink ref="BJ3" r:id="rId24" xr:uid="{8B5D020A-F009-4348-B5C1-F1403EA27721}"/>
    <hyperlink ref="BJ1000" r:id="rId25" xr:uid="{7591C4D9-E54F-4D59-BC4B-FC6BB761DB02}"/>
    <hyperlink ref="BJ1020" r:id="rId26" xr:uid="{E4F76D4E-3214-498A-B865-FFD37ED779C1}"/>
    <hyperlink ref="BJ1003" r:id="rId27" xr:uid="{E6E97FFE-9005-4CB7-9E9C-9D4FD5C70ABA}"/>
    <hyperlink ref="BJ998" r:id="rId28" xr:uid="{7B14CDE2-A905-41D6-9B63-8FFDCBA73DDA}"/>
    <hyperlink ref="BJ1014" r:id="rId29" xr:uid="{86A51A73-9C82-45A0-A1BE-E65AD2ACD114}"/>
    <hyperlink ref="BJ1006" r:id="rId30" xr:uid="{2F206F0E-0FD7-42CB-9DC2-3BD306805306}"/>
    <hyperlink ref="BJ1010" r:id="rId31" xr:uid="{466CE15F-6B6E-4E56-AC74-49455FE0CB88}"/>
    <hyperlink ref="BJ1016" r:id="rId32" xr:uid="{47E7FCFE-A8BB-4117-B075-EB25BDD85FB1}"/>
    <hyperlink ref="BJ1015" r:id="rId33" xr:uid="{78FB0F1B-D5A0-48AB-9F66-AFD9BE5C0740}"/>
    <hyperlink ref="BJ1019" r:id="rId34" xr:uid="{AA6F50B4-9113-4CCE-A7B6-53A03FD0EA9E}"/>
    <hyperlink ref="BJ1017" r:id="rId35" xr:uid="{4D66EAC8-876C-4169-84CB-11199F6213F4}"/>
    <hyperlink ref="BJ995" r:id="rId36" xr:uid="{ED8B8700-3E78-4C2E-BDEA-B94728E682FC}"/>
    <hyperlink ref="BJ1013" r:id="rId37" xr:uid="{7A5428F5-9770-4BAC-8860-64CAFC0C97EE}"/>
    <hyperlink ref="BJ992" r:id="rId38" xr:uid="{B7AEACC6-137F-4EA4-9010-94AE58B8CDCF}"/>
    <hyperlink ref="BJ1023" r:id="rId39" xr:uid="{80505E17-2348-4D1E-A81B-57DC3105F9E3}"/>
    <hyperlink ref="BJ1011" r:id="rId40" xr:uid="{97FA9061-8055-45CA-B2FE-D34D0036070E}"/>
    <hyperlink ref="BJ1002" r:id="rId41" xr:uid="{C09ED041-50DB-4831-919B-A3B9236DBC71}"/>
    <hyperlink ref="BJ1021" r:id="rId42" xr:uid="{83995480-0729-4E0B-9B6A-D1E412C549E5}"/>
    <hyperlink ref="BJ1018" r:id="rId43" xr:uid="{465E2FD8-DEAF-41C6-8225-34CC716A5165}"/>
    <hyperlink ref="BJ1005" r:id="rId44" xr:uid="{3F4EDFB8-1600-4EAA-BD5C-7A51E96483E6}"/>
    <hyperlink ref="BJ999" r:id="rId45" xr:uid="{75A15C1F-6EE1-4259-B4E5-EA70BAC97195}"/>
    <hyperlink ref="BJ996" r:id="rId46" xr:uid="{A46051DD-F6C0-40B8-84A6-FFC447963D1D}"/>
    <hyperlink ref="BJ1012" r:id="rId47" xr:uid="{95DA5E02-B221-4AFA-B7C1-C71C960AB62A}"/>
    <hyperlink ref="BJ1009" r:id="rId48" xr:uid="{42DC8CC0-9708-4E76-9AB6-E96E4FE6AB3A}"/>
    <hyperlink ref="BJ991" r:id="rId49" xr:uid="{A8F8FC38-8CEE-4E51-A05C-CE3238E84E85}"/>
    <hyperlink ref="BJ1001" r:id="rId50" xr:uid="{155644AD-8900-4B6D-BD0F-A1FCA7680811}"/>
    <hyperlink ref="BQ1001" r:id="rId51" xr:uid="{B856FCD9-13DB-417D-99D6-E83767BDFFEE}"/>
    <hyperlink ref="BQ1022" r:id="rId52" xr:uid="{4D6CB5DB-FDA1-4BCA-91CD-B8D1157D2F3F}"/>
    <hyperlink ref="BQ1024" r:id="rId53" xr:uid="{B0356AD8-81F5-4F8B-AB7A-59D9FF281520}"/>
    <hyperlink ref="BQ1004" r:id="rId54" xr:uid="{67626997-6C25-4AA8-A3C3-82E8AF0DACF8}"/>
    <hyperlink ref="BQ1023" r:id="rId55" xr:uid="{3E69D417-97D9-4091-BBA6-3DCD1C5E80A1}"/>
    <hyperlink ref="BQ993" r:id="rId56" xr:uid="{FED6DF2B-0951-423D-8B48-AF7AC69D1DD2}"/>
    <hyperlink ref="BQ994" r:id="rId57" xr:uid="{539FDCAF-3B5D-4A88-A2DF-4E6498AF2EAA}"/>
    <hyperlink ref="BQ1000" r:id="rId58" xr:uid="{8EDF56EC-2B53-4BC7-83F7-36846C17732D}"/>
    <hyperlink ref="BQ1020" r:id="rId59" xr:uid="{B54B1330-028B-45BC-BF7B-A46D0074AE73}"/>
    <hyperlink ref="BQ1003" r:id="rId60" xr:uid="{4AF9F58F-3016-41AD-90AB-E2277DDE2D98}"/>
    <hyperlink ref="BQ998" r:id="rId61" xr:uid="{7D7E5865-11A5-4C4D-AB54-6DA42D7446E6}"/>
    <hyperlink ref="BQ1014" r:id="rId62" xr:uid="{CAA2C4E6-ABFF-43F9-9E8A-A46E6A3DD21A}"/>
    <hyperlink ref="BQ1006" r:id="rId63" xr:uid="{05340366-380F-4FF9-AB38-CF9B42F37F2F}"/>
    <hyperlink ref="BQ1010" r:id="rId64" xr:uid="{3760ED7E-2877-4430-9CF9-D5E17B8A2A1E}"/>
    <hyperlink ref="BQ1016" r:id="rId65" xr:uid="{DE0ED5FD-3DC2-487B-B724-9B42958FB23D}"/>
    <hyperlink ref="BQ1015" r:id="rId66" xr:uid="{275C7530-8681-4480-B05E-834F97ED5DC5}"/>
    <hyperlink ref="BQ1019" r:id="rId67" xr:uid="{6506ECD1-195D-4AD4-B084-B72E9A6A86F3}"/>
    <hyperlink ref="BQ1017" r:id="rId68" xr:uid="{E7432AC9-38FD-4990-9749-DA7DFD8DE455}"/>
    <hyperlink ref="BQ995" r:id="rId69" xr:uid="{6DE94E0A-F571-4CA7-A959-035305CB2537}"/>
    <hyperlink ref="BQ1007" r:id="rId70" xr:uid="{7EBED0DE-27C9-4B0A-8167-3CB66792057E}"/>
    <hyperlink ref="BQ997" r:id="rId71" xr:uid="{31CB9989-19D5-4B14-B31E-57388BD83F69}"/>
    <hyperlink ref="BQ1013" r:id="rId72" xr:uid="{63D06CEA-73C1-4838-A9A7-2BBA42D5C5AF}"/>
    <hyperlink ref="BQ1011" r:id="rId73" xr:uid="{CDB6D7F8-5F40-43E6-BDA3-ECD9E0A80134}"/>
    <hyperlink ref="BQ1002" r:id="rId74" xr:uid="{C9915AF6-16AB-4C94-A9F0-B6950B25D974}"/>
    <hyperlink ref="BQ1021" r:id="rId75" xr:uid="{38866791-BE6E-40DD-82CC-BEE30F1C8B1A}"/>
    <hyperlink ref="BQ1018" r:id="rId76" xr:uid="{B25C3FDE-438F-4BD2-9A9D-1547E804C0F6}"/>
    <hyperlink ref="BQ1005" r:id="rId77" xr:uid="{A0D6CDCB-21E9-482E-BD0E-B4E4D4170C48}"/>
    <hyperlink ref="BQ999" r:id="rId78" xr:uid="{DDAC8BBB-128F-4BD3-9F6F-EE09F2977965}"/>
    <hyperlink ref="BQ996" r:id="rId79" xr:uid="{7AA89BAF-B7AE-42AF-AABF-F2FC30F9B4C9}"/>
    <hyperlink ref="BQ1012" r:id="rId80" xr:uid="{5D33501B-B738-46B8-AF34-060E90B61E98}"/>
    <hyperlink ref="BQ1009" r:id="rId81" xr:uid="{C0C8DC8F-97E4-4E3C-9983-5EFB729AE8FE}"/>
  </hyperlinks>
  <pageMargins left="0.7" right="0.7" top="0.75" bottom="0.75" header="0.3" footer="0.3"/>
  <legacyDrawing r:id="rId82"/>
  <tableParts count="1">
    <tablePart r:id="rId8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9E56C-5A75-6643-9D24-796D8CB5BAD6}">
  <dimension ref="A1:H16"/>
  <sheetViews>
    <sheetView zoomScaleNormal="150" zoomScaleSheetLayoutView="100" workbookViewId="0"/>
  </sheetViews>
  <sheetFormatPr defaultRowHeight="15"/>
  <cols>
    <col min="1" max="1" width="10.5703125" bestFit="1" customWidth="1"/>
    <col min="2" max="2" width="16.85546875" bestFit="1" customWidth="1"/>
    <col min="3" max="3" width="10.5703125" bestFit="1" customWidth="1"/>
    <col min="4" max="4" width="17.28515625" bestFit="1" customWidth="1"/>
    <col min="5" max="5" width="12.42578125" customWidth="1"/>
    <col min="6" max="6" width="19.42578125" bestFit="1" customWidth="1"/>
    <col min="7" max="7" width="16.28515625" bestFit="1" customWidth="1"/>
  </cols>
  <sheetData>
    <row r="1" spans="1:8">
      <c r="A1" t="s">
        <v>1279</v>
      </c>
      <c r="B1" t="s">
        <v>1280</v>
      </c>
      <c r="C1" t="s">
        <v>1281</v>
      </c>
      <c r="D1" t="s">
        <v>1282</v>
      </c>
      <c r="E1" t="s">
        <v>1283</v>
      </c>
      <c r="F1" t="s">
        <v>1284</v>
      </c>
      <c r="G1" t="s">
        <v>1285</v>
      </c>
      <c r="H1" t="s">
        <v>1286</v>
      </c>
    </row>
    <row r="2" spans="1:8">
      <c r="A2">
        <v>1</v>
      </c>
      <c r="B2" t="s">
        <v>1287</v>
      </c>
      <c r="C2" t="s">
        <v>2</v>
      </c>
      <c r="D2" t="s">
        <v>1288</v>
      </c>
      <c r="E2" s="3">
        <v>45992</v>
      </c>
      <c r="F2">
        <v>1244091248</v>
      </c>
      <c r="G2">
        <v>6.49</v>
      </c>
    </row>
    <row r="3" spans="1:8" ht="54.75">
      <c r="A3">
        <v>2</v>
      </c>
      <c r="B3" t="s">
        <v>1287</v>
      </c>
      <c r="C3" t="s">
        <v>2</v>
      </c>
      <c r="D3" s="1" t="s">
        <v>1289</v>
      </c>
      <c r="E3" s="3">
        <v>45995</v>
      </c>
      <c r="F3">
        <v>1244511206</v>
      </c>
      <c r="G3">
        <v>14.79</v>
      </c>
    </row>
    <row r="4" spans="1:8">
      <c r="A4">
        <v>3</v>
      </c>
      <c r="B4" t="s">
        <v>1287</v>
      </c>
      <c r="C4" t="s">
        <v>2</v>
      </c>
      <c r="D4" t="s">
        <v>1288</v>
      </c>
      <c r="E4" s="3">
        <v>45996</v>
      </c>
      <c r="F4">
        <v>1244684674</v>
      </c>
      <c r="G4">
        <v>6.49</v>
      </c>
    </row>
    <row r="5" spans="1:8" ht="54.75">
      <c r="A5">
        <v>4</v>
      </c>
      <c r="B5" t="s">
        <v>1287</v>
      </c>
      <c r="C5" t="s">
        <v>2</v>
      </c>
      <c r="D5" s="1" t="s">
        <v>1289</v>
      </c>
      <c r="E5" s="3">
        <v>45997</v>
      </c>
      <c r="F5">
        <v>1244900348</v>
      </c>
      <c r="G5">
        <v>13.29</v>
      </c>
    </row>
    <row r="6" spans="1:8">
      <c r="A6">
        <v>5</v>
      </c>
      <c r="B6" t="s">
        <v>1290</v>
      </c>
      <c r="C6" t="s">
        <v>2</v>
      </c>
      <c r="E6" s="3">
        <v>45997</v>
      </c>
      <c r="F6">
        <v>1244517093</v>
      </c>
      <c r="G6">
        <v>117.82</v>
      </c>
      <c r="H6" t="b">
        <v>1</v>
      </c>
    </row>
    <row r="7" spans="1:8">
      <c r="A7">
        <v>6</v>
      </c>
      <c r="B7" t="s">
        <v>1291</v>
      </c>
      <c r="C7" t="s">
        <v>2</v>
      </c>
      <c r="E7" s="3">
        <v>45999</v>
      </c>
      <c r="F7">
        <v>1244525204</v>
      </c>
      <c r="G7">
        <v>19.93</v>
      </c>
      <c r="H7" t="b">
        <v>1</v>
      </c>
    </row>
    <row r="8" spans="1:8">
      <c r="A8">
        <v>7</v>
      </c>
      <c r="B8" t="s">
        <v>1287</v>
      </c>
      <c r="C8" t="s">
        <v>2</v>
      </c>
      <c r="E8" s="3">
        <v>46002</v>
      </c>
      <c r="F8">
        <v>1245062013</v>
      </c>
      <c r="G8">
        <v>6.49</v>
      </c>
    </row>
    <row r="9" spans="1:8">
      <c r="A9">
        <v>8</v>
      </c>
      <c r="B9" t="s">
        <v>1292</v>
      </c>
      <c r="C9" t="s">
        <v>2</v>
      </c>
      <c r="E9" s="3">
        <v>46004</v>
      </c>
      <c r="F9">
        <v>1244288521</v>
      </c>
      <c r="G9">
        <v>9.89</v>
      </c>
      <c r="H9" t="b">
        <v>1</v>
      </c>
    </row>
    <row r="10" spans="1:8">
      <c r="A10">
        <v>9</v>
      </c>
      <c r="B10" t="s">
        <v>1293</v>
      </c>
      <c r="C10" t="s">
        <v>2</v>
      </c>
      <c r="E10" s="3">
        <v>46006</v>
      </c>
      <c r="F10">
        <v>1245657893</v>
      </c>
      <c r="G10">
        <v>6.38</v>
      </c>
      <c r="H10" t="b">
        <v>1</v>
      </c>
    </row>
    <row r="11" spans="1:8">
      <c r="A11">
        <v>10</v>
      </c>
      <c r="B11" t="s">
        <v>1287</v>
      </c>
      <c r="C11" t="s">
        <v>2</v>
      </c>
      <c r="E11" s="3">
        <v>46008</v>
      </c>
      <c r="F11">
        <v>1246666429</v>
      </c>
      <c r="G11">
        <v>6.18</v>
      </c>
    </row>
    <row r="12" spans="1:8">
      <c r="A12">
        <v>11</v>
      </c>
      <c r="B12" t="s">
        <v>1294</v>
      </c>
      <c r="C12" t="s">
        <v>2</v>
      </c>
      <c r="E12" s="3">
        <v>46008</v>
      </c>
      <c r="F12">
        <v>1245983428</v>
      </c>
      <c r="G12">
        <v>56.58</v>
      </c>
      <c r="H12" t="b">
        <v>1</v>
      </c>
    </row>
    <row r="13" spans="1:8">
      <c r="A13">
        <v>12</v>
      </c>
      <c r="B13" t="s">
        <v>1295</v>
      </c>
      <c r="C13" t="s">
        <v>2</v>
      </c>
      <c r="E13" s="3">
        <v>46010</v>
      </c>
      <c r="F13">
        <v>1245339901</v>
      </c>
      <c r="G13">
        <v>16.399999999999999</v>
      </c>
      <c r="H13" t="b">
        <v>1</v>
      </c>
    </row>
    <row r="14" spans="1:8">
      <c r="A14">
        <v>13</v>
      </c>
      <c r="B14" t="s">
        <v>1296</v>
      </c>
      <c r="C14" t="s">
        <v>2</v>
      </c>
      <c r="E14" s="3">
        <v>46011</v>
      </c>
      <c r="F14">
        <v>1244607604</v>
      </c>
      <c r="G14">
        <v>40.78</v>
      </c>
      <c r="H14" t="b">
        <v>1</v>
      </c>
    </row>
    <row r="15" spans="1:8">
      <c r="A15">
        <v>14</v>
      </c>
      <c r="B15" t="s">
        <v>1297</v>
      </c>
      <c r="C15" t="s">
        <v>2</v>
      </c>
      <c r="E15" s="3"/>
      <c r="F15">
        <v>1244625524</v>
      </c>
      <c r="G15">
        <v>10.59</v>
      </c>
      <c r="H15" t="b">
        <v>1</v>
      </c>
    </row>
    <row r="16" spans="1:8">
      <c r="A16">
        <v>15</v>
      </c>
      <c r="B16" t="s">
        <v>1298</v>
      </c>
      <c r="C16" t="s">
        <v>2</v>
      </c>
      <c r="E16" s="3">
        <v>46012</v>
      </c>
      <c r="F16">
        <v>1247162536</v>
      </c>
      <c r="G16">
        <v>13.77</v>
      </c>
      <c r="H16" t="b">
        <v>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C145B-D93B-864A-B301-E385C0D72288}">
  <dimension ref="A1:H48"/>
  <sheetViews>
    <sheetView zoomScaleNormal="150" zoomScaleSheetLayoutView="100" workbookViewId="0">
      <selection activeCell="A2" sqref="A2:H48"/>
    </sheetView>
  </sheetViews>
  <sheetFormatPr defaultRowHeight="15"/>
  <cols>
    <col min="1" max="1" width="14.140625" customWidth="1"/>
    <col min="2" max="2" width="10.140625" bestFit="1" customWidth="1"/>
    <col min="3" max="3" width="12" bestFit="1" customWidth="1"/>
    <col min="4" max="4" width="10.28515625" bestFit="1" customWidth="1"/>
    <col min="5" max="5" width="12.28515625" customWidth="1"/>
    <col min="6" max="6" width="52" customWidth="1"/>
  </cols>
  <sheetData>
    <row r="1" spans="1:8">
      <c r="A1" t="s">
        <v>1299</v>
      </c>
      <c r="B1" t="s">
        <v>1300</v>
      </c>
      <c r="C1" t="s">
        <v>1301</v>
      </c>
      <c r="D1" t="s">
        <v>1302</v>
      </c>
      <c r="E1" t="s">
        <v>1303</v>
      </c>
      <c r="F1" t="s">
        <v>1304</v>
      </c>
      <c r="G1" t="s">
        <v>1305</v>
      </c>
      <c r="H1" t="s">
        <v>1306</v>
      </c>
    </row>
    <row r="2" spans="1:8">
      <c r="A2">
        <v>1</v>
      </c>
      <c r="B2">
        <v>1</v>
      </c>
      <c r="C2">
        <v>36</v>
      </c>
      <c r="D2">
        <v>1</v>
      </c>
      <c r="E2">
        <f>_xlfn.XLOOKUP(tbl_Sales_Order_Item[[#This Row],[Order Id]], 'Sales Order'!A:A, 'Sales Order'!F:F)</f>
        <v>1244091248</v>
      </c>
      <c r="F2" t="str">
        <f>_xlfn.XLOOKUP(tbl_Sales_Order_Item[[#This Row],[Product Id]],Product!A:A,Product!B:B)</f>
        <v>Dragon Shield Perfect-Fit Inner Sleeves Top-Loading Clear Standard Size Pack of 100</v>
      </c>
      <c r="H2" t="b">
        <f>IF(_xlfn.XLOOKUP(tbl_Sales_Order_Item[[#This Row],[Order Id]], 'Sales Order'!A:A, 'Sales Order'!H:H)=0, FALSE, TRUE)</f>
        <v>0</v>
      </c>
    </row>
    <row r="3" spans="1:8">
      <c r="A3">
        <v>2</v>
      </c>
      <c r="B3">
        <v>2</v>
      </c>
      <c r="C3">
        <v>38</v>
      </c>
      <c r="D3">
        <v>1</v>
      </c>
      <c r="E3">
        <f>_xlfn.XLOOKUP(tbl_Sales_Order_Item[[#This Row],[Order Id]], 'Sales Order'!A:A, 'Sales Order'!F:F)</f>
        <v>1244511206</v>
      </c>
      <c r="F3" t="str">
        <f>_xlfn.XLOOKUP(tbl_Sales_Order_Item[[#This Row],[Product Id]],Product!A:A,Product!B:B)</f>
        <v>Pokémon Scarlet &amp; Violet Paradox Rift Booster</v>
      </c>
      <c r="H3" t="b">
        <f>IF(_xlfn.XLOOKUP(tbl_Sales_Order_Item[[#This Row],[Order Id]], 'Sales Order'!A:A, 'Sales Order'!H:H)=0, FALSE, TRUE)</f>
        <v>0</v>
      </c>
    </row>
    <row r="4" spans="1:8">
      <c r="A4">
        <v>3</v>
      </c>
      <c r="B4">
        <v>2</v>
      </c>
      <c r="C4">
        <v>39</v>
      </c>
      <c r="D4">
        <v>1</v>
      </c>
      <c r="E4">
        <f>_xlfn.XLOOKUP(tbl_Sales_Order_Item[[#This Row],[Order Id]], 'Sales Order'!A:A, 'Sales Order'!F:F)</f>
        <v>1244511206</v>
      </c>
      <c r="F4" s="6" t="str">
        <f>_xlfn.XLOOKUP(tbl_Sales_Order_Item[[#This Row],[Product Id]],Product!A:A,Product!B:B)</f>
        <v>Pokémon Mega Evolution Phantasmal Flames: Hydrapple Premium Checklane Blister</v>
      </c>
      <c r="H4" t="b">
        <f>IF(_xlfn.XLOOKUP(tbl_Sales_Order_Item[[#This Row],[Order Id]], 'Sales Order'!A:A, 'Sales Order'!H:H)=0, FALSE, TRUE)</f>
        <v>0</v>
      </c>
    </row>
    <row r="5" spans="1:8">
      <c r="A5">
        <v>4</v>
      </c>
      <c r="B5">
        <v>3</v>
      </c>
      <c r="C5">
        <v>36</v>
      </c>
      <c r="D5">
        <v>1</v>
      </c>
      <c r="E5">
        <f>_xlfn.XLOOKUP(tbl_Sales_Order_Item[[#This Row],[Order Id]], 'Sales Order'!A:A, 'Sales Order'!F:F)</f>
        <v>1244684674</v>
      </c>
      <c r="F5" s="6" t="str">
        <f>_xlfn.XLOOKUP(tbl_Sales_Order_Item[[#This Row],[Product Id]],Product!A:A,Product!B:B)</f>
        <v>Dragon Shield Perfect-Fit Inner Sleeves Top-Loading Clear Standard Size Pack of 100</v>
      </c>
      <c r="H5" t="b">
        <f>IF(_xlfn.XLOOKUP(tbl_Sales_Order_Item[[#This Row],[Order Id]], 'Sales Order'!A:A, 'Sales Order'!H:H)=0, FALSE, TRUE)</f>
        <v>0</v>
      </c>
    </row>
    <row r="6" spans="1:8">
      <c r="A6">
        <v>5</v>
      </c>
      <c r="B6">
        <v>4</v>
      </c>
      <c r="C6">
        <v>40</v>
      </c>
      <c r="D6">
        <v>1</v>
      </c>
      <c r="E6">
        <f>_xlfn.XLOOKUP(tbl_Sales_Order_Item[[#This Row],[Order Id]], 'Sales Order'!A:A, 'Sales Order'!F:F)</f>
        <v>1244900348</v>
      </c>
      <c r="F6" s="6" t="str">
        <f>_xlfn.XLOOKUP(tbl_Sales_Order_Item[[#This Row],[Product Id]],Product!A:A,Product!B:B)</f>
        <v>Pokémon Scarlet &amp; Violet Paldea Evolved Booster</v>
      </c>
      <c r="H6" t="b">
        <f>IF(_xlfn.XLOOKUP(tbl_Sales_Order_Item[[#This Row],[Order Id]], 'Sales Order'!A:A, 'Sales Order'!H:H)=0, FALSE, TRUE)</f>
        <v>0</v>
      </c>
    </row>
    <row r="7" spans="1:8">
      <c r="A7">
        <v>6</v>
      </c>
      <c r="B7">
        <v>4</v>
      </c>
      <c r="C7">
        <v>41</v>
      </c>
      <c r="D7">
        <v>1</v>
      </c>
      <c r="E7" s="6">
        <f>_xlfn.XLOOKUP(tbl_Sales_Order_Item[[#This Row],[Order Id]], 'Sales Order'!A:A, 'Sales Order'!F:F)</f>
        <v>1244900348</v>
      </c>
      <c r="F7" s="6" t="str">
        <f>_xlfn.XLOOKUP(tbl_Sales_Order_Item[[#This Row],[Product Id]],Product!A:A,Product!B:B)</f>
        <v>Pokémon Scarlet &amp; Violet Temporal Forces Booster</v>
      </c>
      <c r="H7" t="b">
        <f>IF(_xlfn.XLOOKUP(tbl_Sales_Order_Item[[#This Row],[Order Id]], 'Sales Order'!A:A, 'Sales Order'!H:H)=0, FALSE, TRUE)</f>
        <v>0</v>
      </c>
    </row>
    <row r="8" spans="1:8">
      <c r="A8">
        <v>7</v>
      </c>
      <c r="B8">
        <v>5</v>
      </c>
      <c r="C8">
        <v>17</v>
      </c>
      <c r="D8">
        <v>1</v>
      </c>
      <c r="E8" s="6">
        <f>_xlfn.XLOOKUP(tbl_Sales_Order_Item[[#This Row],[Order Id]], 'Sales Order'!A:A, 'Sales Order'!F:F)</f>
        <v>1244517093</v>
      </c>
      <c r="F8" s="6" t="str">
        <f>_xlfn.XLOOKUP(tbl_Sales_Order_Item[[#This Row],[Product Id]],Product!A:A,Product!B:B)</f>
        <v>MTG Dominaria DOM Booster</v>
      </c>
      <c r="G8">
        <v>3.8</v>
      </c>
      <c r="H8" t="b">
        <f>IF(_xlfn.XLOOKUP(tbl_Sales_Order_Item[[#This Row],[Order Id]], 'Sales Order'!A:A, 'Sales Order'!H:H)=0, FALSE, TRUE)</f>
        <v>1</v>
      </c>
    </row>
    <row r="9" spans="1:8">
      <c r="A9">
        <v>8</v>
      </c>
      <c r="B9">
        <v>5</v>
      </c>
      <c r="C9">
        <v>35</v>
      </c>
      <c r="D9">
        <v>1</v>
      </c>
      <c r="E9" s="6">
        <f>_xlfn.XLOOKUP(tbl_Sales_Order_Item[[#This Row],[Order Id]], 'Sales Order'!A:A, 'Sales Order'!F:F)</f>
        <v>1244517093</v>
      </c>
      <c r="F9" s="6" t="str">
        <f>_xlfn.XLOOKUP(tbl_Sales_Order_Item[[#This Row],[Product Id]],Product!A:A,Product!B:B)</f>
        <v>MTG Murders at Karlov Manor Play Booster</v>
      </c>
      <c r="G9">
        <v>2.8</v>
      </c>
      <c r="H9" t="b">
        <f>IF(_xlfn.XLOOKUP(tbl_Sales_Order_Item[[#This Row],[Order Id]], 'Sales Order'!A:A, 'Sales Order'!H:H)=0, FALSE, TRUE)</f>
        <v>1</v>
      </c>
    </row>
    <row r="10" spans="1:8">
      <c r="A10">
        <v>9</v>
      </c>
      <c r="B10">
        <v>5</v>
      </c>
      <c r="C10">
        <v>11</v>
      </c>
      <c r="D10">
        <v>2</v>
      </c>
      <c r="E10" s="6">
        <f>_xlfn.XLOOKUP(tbl_Sales_Order_Item[[#This Row],[Order Id]], 'Sales Order'!A:A, 'Sales Order'!F:F)</f>
        <v>1244517093</v>
      </c>
      <c r="F10" s="6" t="str">
        <f>_xlfn.XLOOKUP(tbl_Sales_Order_Item[[#This Row],[Product Id]],Product!A:A,Product!B:B)</f>
        <v>MTG Outlaws of Thunder Junction Play Booster</v>
      </c>
      <c r="G10">
        <v>6.8</v>
      </c>
      <c r="H10" t="b">
        <f>IF(_xlfn.XLOOKUP(tbl_Sales_Order_Item[[#This Row],[Order Id]], 'Sales Order'!A:A, 'Sales Order'!H:H)=0, FALSE, TRUE)</f>
        <v>1</v>
      </c>
    </row>
    <row r="11" spans="1:8">
      <c r="A11">
        <v>10</v>
      </c>
      <c r="B11">
        <v>5</v>
      </c>
      <c r="C11">
        <v>26</v>
      </c>
      <c r="D11">
        <v>1</v>
      </c>
      <c r="E11" s="6">
        <f>_xlfn.XLOOKUP(tbl_Sales_Order_Item[[#This Row],[Order Id]], 'Sales Order'!A:A, 'Sales Order'!F:F)</f>
        <v>1244517093</v>
      </c>
      <c r="F11" s="6" t="str">
        <f>_xlfn.XLOOKUP(tbl_Sales_Order_Item[[#This Row],[Product Id]],Product!A:A,Product!B:B)</f>
        <v>MTG Duskmourn: House of Horror Play Booster</v>
      </c>
      <c r="G11">
        <v>3.3</v>
      </c>
      <c r="H11" t="b">
        <f>IF(_xlfn.XLOOKUP(tbl_Sales_Order_Item[[#This Row],[Order Id]], 'Sales Order'!A:A, 'Sales Order'!H:H)=0, FALSE, TRUE)</f>
        <v>1</v>
      </c>
    </row>
    <row r="12" spans="1:8">
      <c r="A12">
        <v>11</v>
      </c>
      <c r="B12">
        <v>5</v>
      </c>
      <c r="C12">
        <v>25</v>
      </c>
      <c r="D12">
        <v>1</v>
      </c>
      <c r="E12" s="6">
        <f>_xlfn.XLOOKUP(tbl_Sales_Order_Item[[#This Row],[Order Id]], 'Sales Order'!A:A, 'Sales Order'!F:F)</f>
        <v>1244517093</v>
      </c>
      <c r="F12" s="6" t="str">
        <f>_xlfn.XLOOKUP(tbl_Sales_Order_Item[[#This Row],[Product Id]],Product!A:A,Product!B:B)</f>
        <v>MTG Aetherdrift Play Booster</v>
      </c>
      <c r="G12">
        <v>2.4</v>
      </c>
      <c r="H12" t="b">
        <f>IF(_xlfn.XLOOKUP(tbl_Sales_Order_Item[[#This Row],[Order Id]], 'Sales Order'!A:A, 'Sales Order'!H:H)=0, FALSE, TRUE)</f>
        <v>1</v>
      </c>
    </row>
    <row r="13" spans="1:8">
      <c r="A13">
        <v>12</v>
      </c>
      <c r="B13">
        <v>5</v>
      </c>
      <c r="C13">
        <v>42</v>
      </c>
      <c r="D13">
        <v>1</v>
      </c>
      <c r="E13" s="6">
        <f>_xlfn.XLOOKUP(tbl_Sales_Order_Item[[#This Row],[Order Id]], 'Sales Order'!A:A, 'Sales Order'!F:F)</f>
        <v>1244517093</v>
      </c>
      <c r="F13" s="6" t="str">
        <f>_xlfn.XLOOKUP(tbl_Sales_Order_Item[[#This Row],[Product Id]],Product!A:A,Product!B:B)</f>
        <v>MTG Tarkir: Dragonstorm TDM Play Booster Box</v>
      </c>
      <c r="G13">
        <v>91.25</v>
      </c>
      <c r="H13" t="b">
        <f>IF(_xlfn.XLOOKUP(tbl_Sales_Order_Item[[#This Row],[Order Id]], 'Sales Order'!A:A, 'Sales Order'!H:H)=0, FALSE, TRUE)</f>
        <v>1</v>
      </c>
    </row>
    <row r="14" spans="1:8">
      <c r="A14">
        <v>13</v>
      </c>
      <c r="B14">
        <v>6</v>
      </c>
      <c r="C14">
        <v>33</v>
      </c>
      <c r="D14">
        <v>1</v>
      </c>
      <c r="E14" s="6">
        <f>_xlfn.XLOOKUP(tbl_Sales_Order_Item[[#This Row],[Order Id]], 'Sales Order'!A:A, 'Sales Order'!F:F)</f>
        <v>1244525204</v>
      </c>
      <c r="F14" s="6" t="str">
        <f>_xlfn.XLOOKUP(tbl_Sales_Order_Item[[#This Row],[Product Id]],Product!A:A,Product!B:B)</f>
        <v>MTG Final Fantasy Play Booster</v>
      </c>
      <c r="G14">
        <v>6.2</v>
      </c>
      <c r="H14" t="b">
        <f>IF(_xlfn.XLOOKUP(tbl_Sales_Order_Item[[#This Row],[Order Id]], 'Sales Order'!A:A, 'Sales Order'!H:H)=0, FALSE, TRUE)</f>
        <v>1</v>
      </c>
    </row>
    <row r="15" spans="1:8">
      <c r="A15">
        <v>14</v>
      </c>
      <c r="B15">
        <v>6</v>
      </c>
      <c r="C15">
        <v>20</v>
      </c>
      <c r="D15">
        <v>1</v>
      </c>
      <c r="E15" s="6">
        <f>_xlfn.XLOOKUP(tbl_Sales_Order_Item[[#This Row],[Order Id]], 'Sales Order'!A:A, 'Sales Order'!F:F)</f>
        <v>1244525204</v>
      </c>
      <c r="F15" s="6" t="str">
        <f>_xlfn.XLOOKUP(tbl_Sales_Order_Item[[#This Row],[Product Id]],Product!A:A,Product!B:B)</f>
        <v>MTG Edge of Eternities Play Booster</v>
      </c>
      <c r="G15">
        <v>4.3</v>
      </c>
      <c r="H15" t="b">
        <f>IF(_xlfn.XLOOKUP(tbl_Sales_Order_Item[[#This Row],[Order Id]], 'Sales Order'!A:A, 'Sales Order'!H:H)=0, FALSE, TRUE)</f>
        <v>1</v>
      </c>
    </row>
    <row r="16" spans="1:8">
      <c r="A16">
        <v>15</v>
      </c>
      <c r="B16">
        <v>6</v>
      </c>
      <c r="C16">
        <v>19</v>
      </c>
      <c r="D16">
        <v>1</v>
      </c>
      <c r="E16" s="6">
        <f>_xlfn.XLOOKUP(tbl_Sales_Order_Item[[#This Row],[Order Id]], 'Sales Order'!A:A, 'Sales Order'!F:F)</f>
        <v>1244525204</v>
      </c>
      <c r="F16" s="6" t="str">
        <f>_xlfn.XLOOKUP(tbl_Sales_Order_Item[[#This Row],[Product Id]],Product!A:A,Product!B:B)</f>
        <v>MTG Marvel's Spider-Man Play Booster</v>
      </c>
      <c r="G16">
        <v>2.99</v>
      </c>
      <c r="H16" t="b">
        <f>IF(_xlfn.XLOOKUP(tbl_Sales_Order_Item[[#This Row],[Order Id]], 'Sales Order'!A:A, 'Sales Order'!H:H)=0, FALSE, TRUE)</f>
        <v>1</v>
      </c>
    </row>
    <row r="17" spans="1:8">
      <c r="A17">
        <v>16</v>
      </c>
      <c r="B17">
        <v>6</v>
      </c>
      <c r="C17">
        <v>12</v>
      </c>
      <c r="D17">
        <v>1</v>
      </c>
      <c r="E17" s="6">
        <f>_xlfn.XLOOKUP(tbl_Sales_Order_Item[[#This Row],[Order Id]], 'Sales Order'!A:A, 'Sales Order'!F:F)</f>
        <v>1244525204</v>
      </c>
      <c r="F17" s="6" t="str">
        <f>_xlfn.XLOOKUP(tbl_Sales_Order_Item[[#This Row],[Product Id]],Product!A:A,Product!B:B)</f>
        <v>MTG Avatar: The Last Airbender Play Booster</v>
      </c>
      <c r="G17">
        <v>4</v>
      </c>
      <c r="H17" t="b">
        <f>IF(_xlfn.XLOOKUP(tbl_Sales_Order_Item[[#This Row],[Order Id]], 'Sales Order'!A:A, 'Sales Order'!H:H)=0, FALSE, TRUE)</f>
        <v>1</v>
      </c>
    </row>
    <row r="18" spans="1:8">
      <c r="A18">
        <v>17</v>
      </c>
      <c r="B18">
        <v>7</v>
      </c>
      <c r="C18">
        <v>36</v>
      </c>
      <c r="D18">
        <v>1</v>
      </c>
      <c r="E18" s="6">
        <f>_xlfn.XLOOKUP(tbl_Sales_Order_Item[[#This Row],[Order Id]], 'Sales Order'!A:A, 'Sales Order'!F:F)</f>
        <v>1245062013</v>
      </c>
      <c r="F18" s="6" t="str">
        <f>_xlfn.XLOOKUP(tbl_Sales_Order_Item[[#This Row],[Product Id]],Product!A:A,Product!B:B)</f>
        <v>Dragon Shield Perfect-Fit Inner Sleeves Top-Loading Clear Standard Size Pack of 100</v>
      </c>
      <c r="G18">
        <v>4.5</v>
      </c>
      <c r="H18" t="b">
        <f>IF(_xlfn.XLOOKUP(tbl_Sales_Order_Item[[#This Row],[Order Id]], 'Sales Order'!A:A, 'Sales Order'!H:H)=0, FALSE, TRUE)</f>
        <v>0</v>
      </c>
    </row>
    <row r="19" spans="1:8">
      <c r="A19">
        <v>18</v>
      </c>
      <c r="B19">
        <v>8</v>
      </c>
      <c r="C19">
        <v>27</v>
      </c>
      <c r="D19">
        <v>2</v>
      </c>
      <c r="E19" s="6">
        <f>_xlfn.XLOOKUP(tbl_Sales_Order_Item[[#This Row],[Order Id]], 'Sales Order'!A:A, 'Sales Order'!F:F)</f>
        <v>1244288521</v>
      </c>
      <c r="F19" s="6" t="str">
        <f>_xlfn.XLOOKUP(tbl_Sales_Order_Item[[#This Row],[Product Id]],Product!A:A,Product!B:B)</f>
        <v>MTG Tarkir: Dragonstorm TDM Play Booster</v>
      </c>
      <c r="G19">
        <v>6</v>
      </c>
      <c r="H19" t="b">
        <f>IF(_xlfn.XLOOKUP(tbl_Sales_Order_Item[[#This Row],[Order Id]], 'Sales Order'!A:A, 'Sales Order'!H:H)=0, FALSE, TRUE)</f>
        <v>1</v>
      </c>
    </row>
    <row r="20" spans="1:8">
      <c r="A20">
        <v>19</v>
      </c>
      <c r="B20">
        <v>9</v>
      </c>
      <c r="C20">
        <v>37</v>
      </c>
      <c r="D20">
        <v>1</v>
      </c>
      <c r="E20" s="6">
        <f>_xlfn.XLOOKUP(tbl_Sales_Order_Item[[#This Row],[Order Id]], 'Sales Order'!A:A, 'Sales Order'!F:F)</f>
        <v>1245657893</v>
      </c>
      <c r="F20" s="6" t="str">
        <f>_xlfn.XLOOKUP(tbl_Sales_Order_Item[[#This Row],[Product Id]],Product!A:A,Product!B:B)</f>
        <v>Pokémon Mega Evolution Phantasmal Flames Booster</v>
      </c>
      <c r="G20">
        <v>4.3899999999999997</v>
      </c>
      <c r="H20" t="b">
        <f>IF(_xlfn.XLOOKUP(tbl_Sales_Order_Item[[#This Row],[Order Id]], 'Sales Order'!A:A, 'Sales Order'!H:H)=0, FALSE, TRUE)</f>
        <v>1</v>
      </c>
    </row>
    <row r="21" spans="1:8">
      <c r="A21">
        <v>20</v>
      </c>
      <c r="B21">
        <v>10</v>
      </c>
      <c r="C21">
        <v>12</v>
      </c>
      <c r="D21">
        <v>1</v>
      </c>
      <c r="E21" s="6">
        <f>_xlfn.XLOOKUP(tbl_Sales_Order_Item[[#This Row],[Order Id]], 'Sales Order'!A:A, 'Sales Order'!F:F)</f>
        <v>1246666429</v>
      </c>
      <c r="F21" s="6" t="str">
        <f>_xlfn.XLOOKUP(tbl_Sales_Order_Item[[#This Row],[Product Id]],Product!A:A,Product!B:B)</f>
        <v>MTG Avatar: The Last Airbender Play Booster</v>
      </c>
      <c r="G21">
        <v>4.1900000000000004</v>
      </c>
      <c r="H21" t="b">
        <f>IF(_xlfn.XLOOKUP(tbl_Sales_Order_Item[[#This Row],[Order Id]], 'Sales Order'!A:A, 'Sales Order'!H:H)=0, FALSE, TRUE)</f>
        <v>0</v>
      </c>
    </row>
    <row r="22" spans="1:8">
      <c r="A22">
        <v>21</v>
      </c>
      <c r="B22">
        <v>11</v>
      </c>
      <c r="C22">
        <v>32</v>
      </c>
      <c r="D22">
        <v>1</v>
      </c>
      <c r="E22" s="6">
        <f>_xlfn.XLOOKUP(tbl_Sales_Order_Item[[#This Row],[Order Id]], 'Sales Order'!A:A, 'Sales Order'!F:F)</f>
        <v>1245983428</v>
      </c>
      <c r="F22" s="6" t="str">
        <f>_xlfn.XLOOKUP(tbl_Sales_Order_Item[[#This Row],[Product Id]],Product!A:A,Product!B:B)</f>
        <v>MTG Oath of the Gatewatch Booster</v>
      </c>
      <c r="G22">
        <v>3.7</v>
      </c>
      <c r="H22" t="b">
        <f>IF(_xlfn.XLOOKUP(tbl_Sales_Order_Item[[#This Row],[Order Id]], 'Sales Order'!A:A, 'Sales Order'!H:H)=0, FALSE, TRUE)</f>
        <v>1</v>
      </c>
    </row>
    <row r="23" spans="1:8">
      <c r="A23">
        <v>22</v>
      </c>
      <c r="B23">
        <v>11</v>
      </c>
      <c r="C23">
        <v>43</v>
      </c>
      <c r="D23">
        <v>1</v>
      </c>
      <c r="E23" s="6">
        <f>_xlfn.XLOOKUP(tbl_Sales_Order_Item[[#This Row],[Order Id]], 'Sales Order'!A:A, 'Sales Order'!F:F)</f>
        <v>1245983428</v>
      </c>
      <c r="F23" s="6" t="str">
        <f>_xlfn.XLOOKUP(tbl_Sales_Order_Item[[#This Row],[Product Id]],Product!A:A,Product!B:B)</f>
        <v>MTG Rivals of Ixalan Booster</v>
      </c>
      <c r="G23">
        <v>3.3</v>
      </c>
      <c r="H23" t="b">
        <f>IF(_xlfn.XLOOKUP(tbl_Sales_Order_Item[[#This Row],[Order Id]], 'Sales Order'!A:A, 'Sales Order'!H:H)=0, FALSE, TRUE)</f>
        <v>1</v>
      </c>
    </row>
    <row r="24" spans="1:8">
      <c r="A24">
        <v>23</v>
      </c>
      <c r="B24">
        <v>11</v>
      </c>
      <c r="C24">
        <v>17</v>
      </c>
      <c r="D24">
        <v>1</v>
      </c>
      <c r="E24" s="6">
        <f>_xlfn.XLOOKUP(tbl_Sales_Order_Item[[#This Row],[Order Id]], 'Sales Order'!A:A, 'Sales Order'!F:F)</f>
        <v>1245983428</v>
      </c>
      <c r="F24" s="6" t="str">
        <f>_xlfn.XLOOKUP(tbl_Sales_Order_Item[[#This Row],[Product Id]],Product!A:A,Product!B:B)</f>
        <v>MTG Dominaria DOM Booster</v>
      </c>
      <c r="G24">
        <v>4.2</v>
      </c>
      <c r="H24" t="b">
        <f>IF(_xlfn.XLOOKUP(tbl_Sales_Order_Item[[#This Row],[Order Id]], 'Sales Order'!A:A, 'Sales Order'!H:H)=0, FALSE, TRUE)</f>
        <v>1</v>
      </c>
    </row>
    <row r="25" spans="1:8">
      <c r="A25">
        <v>24</v>
      </c>
      <c r="B25">
        <v>11</v>
      </c>
      <c r="C25">
        <v>44</v>
      </c>
      <c r="D25">
        <v>1</v>
      </c>
      <c r="E25" s="6">
        <f>_xlfn.XLOOKUP(tbl_Sales_Order_Item[[#This Row],[Order Id]], 'Sales Order'!A:A, 'Sales Order'!F:F)</f>
        <v>1245983428</v>
      </c>
      <c r="F25" s="6" t="str">
        <f>_xlfn.XLOOKUP(tbl_Sales_Order_Item[[#This Row],[Product Id]],Product!A:A,Product!B:B)</f>
        <v>MTG Guilds of Ravnica Booster</v>
      </c>
      <c r="G25">
        <v>4.8</v>
      </c>
      <c r="H25" t="b">
        <f>IF(_xlfn.XLOOKUP(tbl_Sales_Order_Item[[#This Row],[Order Id]], 'Sales Order'!A:A, 'Sales Order'!H:H)=0, FALSE, TRUE)</f>
        <v>1</v>
      </c>
    </row>
    <row r="26" spans="1:8">
      <c r="A26">
        <v>25</v>
      </c>
      <c r="B26">
        <v>11</v>
      </c>
      <c r="C26">
        <v>8</v>
      </c>
      <c r="D26">
        <v>1</v>
      </c>
      <c r="E26" s="6">
        <f>_xlfn.XLOOKUP(tbl_Sales_Order_Item[[#This Row],[Order Id]], 'Sales Order'!A:A, 'Sales Order'!F:F)</f>
        <v>1245983428</v>
      </c>
      <c r="F26" s="6" t="str">
        <f>_xlfn.XLOOKUP(tbl_Sales_Order_Item[[#This Row],[Product Id]],Product!A:A,Product!B:B)</f>
        <v>MTG War of the Spark Booster</v>
      </c>
      <c r="G26">
        <v>5.8</v>
      </c>
      <c r="H26" t="b">
        <f>IF(_xlfn.XLOOKUP(tbl_Sales_Order_Item[[#This Row],[Order Id]], 'Sales Order'!A:A, 'Sales Order'!H:H)=0, FALSE, TRUE)</f>
        <v>1</v>
      </c>
    </row>
    <row r="27" spans="1:8">
      <c r="A27">
        <v>26</v>
      </c>
      <c r="B27">
        <v>11</v>
      </c>
      <c r="C27">
        <v>45</v>
      </c>
      <c r="D27">
        <v>1</v>
      </c>
      <c r="E27" s="6">
        <f>_xlfn.XLOOKUP(tbl_Sales_Order_Item[[#This Row],[Order Id]], 'Sales Order'!A:A, 'Sales Order'!F:F)</f>
        <v>1245983428</v>
      </c>
      <c r="F27" s="6" t="str">
        <f>_xlfn.XLOOKUP(tbl_Sales_Order_Item[[#This Row],[Product Id]],Product!A:A,Product!B:B)</f>
        <v>MTG Theros Beyond Death THB Booster</v>
      </c>
      <c r="G27">
        <v>3.4</v>
      </c>
      <c r="H27" t="b">
        <f>IF(_xlfn.XLOOKUP(tbl_Sales_Order_Item[[#This Row],[Order Id]], 'Sales Order'!A:A, 'Sales Order'!H:H)=0, FALSE, TRUE)</f>
        <v>1</v>
      </c>
    </row>
    <row r="28" spans="1:8">
      <c r="A28">
        <v>27</v>
      </c>
      <c r="B28">
        <v>11</v>
      </c>
      <c r="C28">
        <v>5</v>
      </c>
      <c r="D28">
        <v>1</v>
      </c>
      <c r="E28" s="6">
        <f>_xlfn.XLOOKUP(tbl_Sales_Order_Item[[#This Row],[Order Id]], 'Sales Order'!A:A, 'Sales Order'!F:F)</f>
        <v>1245983428</v>
      </c>
      <c r="F28" s="6" t="str">
        <f>_xlfn.XLOOKUP(tbl_Sales_Order_Item[[#This Row],[Product Id]],Product!A:A,Product!B:B)</f>
        <v>MTG Innistrad: Midnight Hunt Set Booster</v>
      </c>
      <c r="G28">
        <v>3.3</v>
      </c>
      <c r="H28" t="b">
        <f>IF(_xlfn.XLOOKUP(tbl_Sales_Order_Item[[#This Row],[Order Id]], 'Sales Order'!A:A, 'Sales Order'!H:H)=0, FALSE, TRUE)</f>
        <v>1</v>
      </c>
    </row>
    <row r="29" spans="1:8">
      <c r="A29">
        <v>28</v>
      </c>
      <c r="B29">
        <v>11</v>
      </c>
      <c r="C29">
        <v>31</v>
      </c>
      <c r="D29">
        <v>1</v>
      </c>
      <c r="E29" s="6">
        <f>_xlfn.XLOOKUP(tbl_Sales_Order_Item[[#This Row],[Order Id]], 'Sales Order'!A:A, 'Sales Order'!F:F)</f>
        <v>1245983428</v>
      </c>
      <c r="F29" s="6" t="str">
        <f>_xlfn.XLOOKUP(tbl_Sales_Order_Item[[#This Row],[Product Id]],Product!A:A,Product!B:B)</f>
        <v>MTG Dominaria United DMU Set Booster</v>
      </c>
      <c r="G29">
        <v>3.79</v>
      </c>
      <c r="H29" t="b">
        <f>IF(_xlfn.XLOOKUP(tbl_Sales_Order_Item[[#This Row],[Order Id]], 'Sales Order'!A:A, 'Sales Order'!H:H)=0, FALSE, TRUE)</f>
        <v>1</v>
      </c>
    </row>
    <row r="30" spans="1:8">
      <c r="A30">
        <v>29</v>
      </c>
      <c r="B30">
        <v>11</v>
      </c>
      <c r="C30">
        <v>35</v>
      </c>
      <c r="D30">
        <v>1</v>
      </c>
      <c r="E30" s="6">
        <f>_xlfn.XLOOKUP(tbl_Sales_Order_Item[[#This Row],[Order Id]], 'Sales Order'!A:A, 'Sales Order'!F:F)</f>
        <v>1245983428</v>
      </c>
      <c r="F30" s="6" t="str">
        <f>_xlfn.XLOOKUP(tbl_Sales_Order_Item[[#This Row],[Product Id]],Product!A:A,Product!B:B)</f>
        <v>MTG Murders at Karlov Manor Play Booster</v>
      </c>
      <c r="G30">
        <v>2.89</v>
      </c>
      <c r="H30" t="b">
        <f>IF(_xlfn.XLOOKUP(tbl_Sales_Order_Item[[#This Row],[Order Id]], 'Sales Order'!A:A, 'Sales Order'!H:H)=0, FALSE, TRUE)</f>
        <v>1</v>
      </c>
    </row>
    <row r="31" spans="1:8">
      <c r="A31">
        <v>30</v>
      </c>
      <c r="B31">
        <v>11</v>
      </c>
      <c r="C31">
        <v>11</v>
      </c>
      <c r="D31">
        <v>1</v>
      </c>
      <c r="E31" s="6">
        <f>_xlfn.XLOOKUP(tbl_Sales_Order_Item[[#This Row],[Order Id]], 'Sales Order'!A:A, 'Sales Order'!F:F)</f>
        <v>1245983428</v>
      </c>
      <c r="F31" s="6" t="str">
        <f>_xlfn.XLOOKUP(tbl_Sales_Order_Item[[#This Row],[Product Id]],Product!A:A,Product!B:B)</f>
        <v>MTG Outlaws of Thunder Junction Play Booster</v>
      </c>
      <c r="G31">
        <v>3.4</v>
      </c>
      <c r="H31" t="b">
        <f>IF(_xlfn.XLOOKUP(tbl_Sales_Order_Item[[#This Row],[Order Id]], 'Sales Order'!A:A, 'Sales Order'!H:H)=0, FALSE, TRUE)</f>
        <v>1</v>
      </c>
    </row>
    <row r="32" spans="1:8">
      <c r="A32">
        <v>31</v>
      </c>
      <c r="B32">
        <v>11</v>
      </c>
      <c r="C32">
        <v>26</v>
      </c>
      <c r="D32">
        <v>1</v>
      </c>
      <c r="E32" s="6">
        <f>_xlfn.XLOOKUP(tbl_Sales_Order_Item[[#This Row],[Order Id]], 'Sales Order'!A:A, 'Sales Order'!F:F)</f>
        <v>1245983428</v>
      </c>
      <c r="F32" s="6" t="str">
        <f>_xlfn.XLOOKUP(tbl_Sales_Order_Item[[#This Row],[Product Id]],Product!A:A,Product!B:B)</f>
        <v>MTG Duskmourn: House of Horror Play Booster</v>
      </c>
      <c r="G32">
        <v>3.39</v>
      </c>
      <c r="H32" t="b">
        <f>IF(_xlfn.XLOOKUP(tbl_Sales_Order_Item[[#This Row],[Order Id]], 'Sales Order'!A:A, 'Sales Order'!H:H)=0, FALSE, TRUE)</f>
        <v>1</v>
      </c>
    </row>
    <row r="33" spans="1:8">
      <c r="A33">
        <v>32</v>
      </c>
      <c r="B33">
        <v>11</v>
      </c>
      <c r="C33">
        <v>25</v>
      </c>
      <c r="D33">
        <v>1</v>
      </c>
      <c r="E33" s="6">
        <f>_xlfn.XLOOKUP(tbl_Sales_Order_Item[[#This Row],[Order Id]], 'Sales Order'!A:A, 'Sales Order'!F:F)</f>
        <v>1245983428</v>
      </c>
      <c r="F33" s="6" t="str">
        <f>_xlfn.XLOOKUP(tbl_Sales_Order_Item[[#This Row],[Product Id]],Product!A:A,Product!B:B)</f>
        <v>MTG Aetherdrift Play Booster</v>
      </c>
      <c r="G33">
        <v>2.4900000000000002</v>
      </c>
      <c r="H33" t="b">
        <f>IF(_xlfn.XLOOKUP(tbl_Sales_Order_Item[[#This Row],[Order Id]], 'Sales Order'!A:A, 'Sales Order'!H:H)=0, FALSE, TRUE)</f>
        <v>1</v>
      </c>
    </row>
    <row r="34" spans="1:8">
      <c r="A34">
        <v>33</v>
      </c>
      <c r="B34">
        <v>11</v>
      </c>
      <c r="C34">
        <v>20</v>
      </c>
      <c r="D34">
        <v>1</v>
      </c>
      <c r="E34" s="6">
        <f>_xlfn.XLOOKUP(tbl_Sales_Order_Item[[#This Row],[Order Id]], 'Sales Order'!A:A, 'Sales Order'!F:F)</f>
        <v>1245983428</v>
      </c>
      <c r="F34" s="6" t="str">
        <f>_xlfn.XLOOKUP(tbl_Sales_Order_Item[[#This Row],[Product Id]],Product!A:A,Product!B:B)</f>
        <v>MTG Edge of Eternities Play Booster</v>
      </c>
      <c r="G34">
        <v>4.3899999999999997</v>
      </c>
      <c r="H34" t="b">
        <f>IF(_xlfn.XLOOKUP(tbl_Sales_Order_Item[[#This Row],[Order Id]], 'Sales Order'!A:A, 'Sales Order'!H:H)=0, FALSE, TRUE)</f>
        <v>1</v>
      </c>
    </row>
    <row r="35" spans="1:8">
      <c r="A35">
        <v>34</v>
      </c>
      <c r="B35">
        <v>11</v>
      </c>
      <c r="C35">
        <v>19</v>
      </c>
      <c r="D35">
        <v>1</v>
      </c>
      <c r="E35" s="6">
        <f>_xlfn.XLOOKUP(tbl_Sales_Order_Item[[#This Row],[Order Id]], 'Sales Order'!A:A, 'Sales Order'!F:F)</f>
        <v>1245983428</v>
      </c>
      <c r="F35" s="6" t="str">
        <f>_xlfn.XLOOKUP(tbl_Sales_Order_Item[[#This Row],[Product Id]],Product!A:A,Product!B:B)</f>
        <v>MTG Marvel's Spider-Man Play Booster</v>
      </c>
      <c r="G35">
        <v>2.99</v>
      </c>
      <c r="H35" t="b">
        <f>IF(_xlfn.XLOOKUP(tbl_Sales_Order_Item[[#This Row],[Order Id]], 'Sales Order'!A:A, 'Sales Order'!H:H)=0, FALSE, TRUE)</f>
        <v>1</v>
      </c>
    </row>
    <row r="36" spans="1:8">
      <c r="A36">
        <v>35</v>
      </c>
      <c r="B36">
        <v>12</v>
      </c>
      <c r="C36">
        <v>27</v>
      </c>
      <c r="D36">
        <v>4</v>
      </c>
      <c r="E36" s="6">
        <f>_xlfn.XLOOKUP(tbl_Sales_Order_Item[[#This Row],[Order Id]], 'Sales Order'!A:A, 'Sales Order'!F:F)</f>
        <v>1245339901</v>
      </c>
      <c r="F36" s="6" t="str">
        <f>_xlfn.XLOOKUP(tbl_Sales_Order_Item[[#This Row],[Product Id]],Product!A:A,Product!B:B)</f>
        <v>MTG Tarkir: Dragonstorm TDM Play Booster</v>
      </c>
      <c r="G36">
        <v>13.96</v>
      </c>
      <c r="H36" t="b">
        <f>IF(_xlfn.XLOOKUP(tbl_Sales_Order_Item[[#This Row],[Order Id]], 'Sales Order'!A:A, 'Sales Order'!H:H)=0, FALSE, TRUE)</f>
        <v>1</v>
      </c>
    </row>
    <row r="37" spans="1:8">
      <c r="A37">
        <v>36</v>
      </c>
      <c r="B37">
        <v>13</v>
      </c>
      <c r="C37">
        <v>13</v>
      </c>
      <c r="D37">
        <v>1</v>
      </c>
      <c r="E37" s="6">
        <f>_xlfn.XLOOKUP(tbl_Sales_Order_Item[[#This Row],[Order Id]], 'Sales Order'!A:A, 'Sales Order'!F:F)</f>
        <v>1244607604</v>
      </c>
      <c r="F37" s="6" t="str">
        <f>_xlfn.XLOOKUP(tbl_Sales_Order_Item[[#This Row],[Product Id]],Product!A:A,Product!B:B)</f>
        <v>MTG Innistrad: Crimson Vow Set Booster</v>
      </c>
      <c r="G37">
        <v>3.4</v>
      </c>
      <c r="H37" t="b">
        <f>IF(_xlfn.XLOOKUP(tbl_Sales_Order_Item[[#This Row],[Order Id]], 'Sales Order'!A:A, 'Sales Order'!H:H)=0, FALSE, TRUE)</f>
        <v>1</v>
      </c>
    </row>
    <row r="38" spans="1:8">
      <c r="A38">
        <v>37</v>
      </c>
      <c r="B38">
        <v>13</v>
      </c>
      <c r="C38">
        <v>22</v>
      </c>
      <c r="D38">
        <v>1</v>
      </c>
      <c r="E38" s="6">
        <f>_xlfn.XLOOKUP(tbl_Sales_Order_Item[[#This Row],[Order Id]], 'Sales Order'!A:A, 'Sales Order'!F:F)</f>
        <v>1244607604</v>
      </c>
      <c r="F38" s="6" t="str">
        <f>_xlfn.XLOOKUP(tbl_Sales_Order_Item[[#This Row],[Product Id]],Product!A:A,Product!B:B)</f>
        <v>MTG Phyrexia: All Will Be One Set Booster</v>
      </c>
      <c r="G38">
        <v>5.8</v>
      </c>
      <c r="H38" t="b">
        <f>IF(_xlfn.XLOOKUP(tbl_Sales_Order_Item[[#This Row],[Order Id]], 'Sales Order'!A:A, 'Sales Order'!H:H)=0, FALSE, TRUE)</f>
        <v>1</v>
      </c>
    </row>
    <row r="39" spans="1:8">
      <c r="A39">
        <v>38</v>
      </c>
      <c r="B39">
        <v>13</v>
      </c>
      <c r="C39">
        <v>35</v>
      </c>
      <c r="D39">
        <v>1</v>
      </c>
      <c r="E39" s="6">
        <f>_xlfn.XLOOKUP(tbl_Sales_Order_Item[[#This Row],[Order Id]], 'Sales Order'!A:A, 'Sales Order'!F:F)</f>
        <v>1244607604</v>
      </c>
      <c r="F39" s="6" t="str">
        <f>_xlfn.XLOOKUP(tbl_Sales_Order_Item[[#This Row],[Product Id]],Product!A:A,Product!B:B)</f>
        <v>MTG Murders at Karlov Manor Play Booster</v>
      </c>
      <c r="G39">
        <v>2.8</v>
      </c>
      <c r="H39" t="b">
        <f>IF(_xlfn.XLOOKUP(tbl_Sales_Order_Item[[#This Row],[Order Id]], 'Sales Order'!A:A, 'Sales Order'!H:H)=0, FALSE, TRUE)</f>
        <v>1</v>
      </c>
    </row>
    <row r="40" spans="1:8">
      <c r="A40">
        <v>39</v>
      </c>
      <c r="B40">
        <v>13</v>
      </c>
      <c r="C40">
        <v>26</v>
      </c>
      <c r="D40">
        <v>1</v>
      </c>
      <c r="E40" s="6">
        <f>_xlfn.XLOOKUP(tbl_Sales_Order_Item[[#This Row],[Order Id]], 'Sales Order'!A:A, 'Sales Order'!F:F)</f>
        <v>1244607604</v>
      </c>
      <c r="F40" s="6" t="str">
        <f>_xlfn.XLOOKUP(tbl_Sales_Order_Item[[#This Row],[Product Id]],Product!A:A,Product!B:B)</f>
        <v>MTG Duskmourn: House of Horror Play Booster</v>
      </c>
      <c r="G40">
        <v>3.3</v>
      </c>
      <c r="H40" t="b">
        <f>IF(_xlfn.XLOOKUP(tbl_Sales_Order_Item[[#This Row],[Order Id]], 'Sales Order'!A:A, 'Sales Order'!H:H)=0, FALSE, TRUE)</f>
        <v>1</v>
      </c>
    </row>
    <row r="41" spans="1:8">
      <c r="A41">
        <v>40</v>
      </c>
      <c r="B41">
        <v>13</v>
      </c>
      <c r="C41">
        <v>16</v>
      </c>
      <c r="D41">
        <v>1</v>
      </c>
      <c r="E41" s="6">
        <f>_xlfn.XLOOKUP(tbl_Sales_Order_Item[[#This Row],[Order Id]], 'Sales Order'!A:A, 'Sales Order'!F:F)</f>
        <v>1244607604</v>
      </c>
      <c r="F41" s="6" t="str">
        <f>_xlfn.XLOOKUP(tbl_Sales_Order_Item[[#This Row],[Product Id]],Product!A:A,Product!B:B)</f>
        <v>MTG Foundations Play Booster</v>
      </c>
      <c r="G41">
        <v>3.9</v>
      </c>
      <c r="H41" t="b">
        <f>IF(_xlfn.XLOOKUP(tbl_Sales_Order_Item[[#This Row],[Order Id]], 'Sales Order'!A:A, 'Sales Order'!H:H)=0, FALSE, TRUE)</f>
        <v>1</v>
      </c>
    </row>
    <row r="42" spans="1:8">
      <c r="A42">
        <v>41</v>
      </c>
      <c r="B42">
        <v>13</v>
      </c>
      <c r="C42">
        <v>25</v>
      </c>
      <c r="D42">
        <v>1</v>
      </c>
      <c r="E42" s="6">
        <f>_xlfn.XLOOKUP(tbl_Sales_Order_Item[[#This Row],[Order Id]], 'Sales Order'!A:A, 'Sales Order'!F:F)</f>
        <v>1244607604</v>
      </c>
      <c r="F42" s="6" t="str">
        <f>_xlfn.XLOOKUP(tbl_Sales_Order_Item[[#This Row],[Product Id]],Product!A:A,Product!B:B)</f>
        <v>MTG Aetherdrift Play Booster</v>
      </c>
      <c r="G42">
        <v>2.4</v>
      </c>
      <c r="H42" t="b">
        <f>IF(_xlfn.XLOOKUP(tbl_Sales_Order_Item[[#This Row],[Order Id]], 'Sales Order'!A:A, 'Sales Order'!H:H)=0, FALSE, TRUE)</f>
        <v>1</v>
      </c>
    </row>
    <row r="43" spans="1:8">
      <c r="A43">
        <v>42</v>
      </c>
      <c r="B43">
        <v>13</v>
      </c>
      <c r="C43">
        <v>27</v>
      </c>
      <c r="D43">
        <v>1</v>
      </c>
      <c r="E43" s="6">
        <f>_xlfn.XLOOKUP(tbl_Sales_Order_Item[[#This Row],[Order Id]], 'Sales Order'!A:A, 'Sales Order'!F:F)</f>
        <v>1244607604</v>
      </c>
      <c r="F43" s="6" t="str">
        <f>_xlfn.XLOOKUP(tbl_Sales_Order_Item[[#This Row],[Product Id]],Product!A:A,Product!B:B)</f>
        <v>MTG Tarkir: Dragonstorm TDM Play Booster</v>
      </c>
      <c r="G43">
        <v>3</v>
      </c>
      <c r="H43" t="b">
        <f>IF(_xlfn.XLOOKUP(tbl_Sales_Order_Item[[#This Row],[Order Id]], 'Sales Order'!A:A, 'Sales Order'!H:H)=0, FALSE, TRUE)</f>
        <v>1</v>
      </c>
    </row>
    <row r="44" spans="1:8">
      <c r="A44">
        <v>43</v>
      </c>
      <c r="B44">
        <v>13</v>
      </c>
      <c r="C44">
        <v>20</v>
      </c>
      <c r="D44">
        <v>1</v>
      </c>
      <c r="E44" s="6">
        <f>_xlfn.XLOOKUP(tbl_Sales_Order_Item[[#This Row],[Order Id]], 'Sales Order'!A:A, 'Sales Order'!F:F)</f>
        <v>1244607604</v>
      </c>
      <c r="F44" s="6" t="str">
        <f>_xlfn.XLOOKUP(tbl_Sales_Order_Item[[#This Row],[Product Id]],Product!A:A,Product!B:B)</f>
        <v>MTG Edge of Eternities Play Booster</v>
      </c>
      <c r="G44">
        <v>4.25</v>
      </c>
      <c r="H44" t="b">
        <f>IF(_xlfn.XLOOKUP(tbl_Sales_Order_Item[[#This Row],[Order Id]], 'Sales Order'!A:A, 'Sales Order'!H:H)=0, FALSE, TRUE)</f>
        <v>1</v>
      </c>
    </row>
    <row r="45" spans="1:8">
      <c r="A45">
        <v>44</v>
      </c>
      <c r="B45">
        <v>13</v>
      </c>
      <c r="C45">
        <v>19</v>
      </c>
      <c r="D45">
        <v>1</v>
      </c>
      <c r="E45" s="6">
        <f>_xlfn.XLOOKUP(tbl_Sales_Order_Item[[#This Row],[Order Id]], 'Sales Order'!A:A, 'Sales Order'!F:F)</f>
        <v>1244607604</v>
      </c>
      <c r="F45" s="6" t="str">
        <f>_xlfn.XLOOKUP(tbl_Sales_Order_Item[[#This Row],[Product Id]],Product!A:A,Product!B:B)</f>
        <v>MTG Marvel's Spider-Man Play Booster</v>
      </c>
      <c r="G45">
        <v>2.99</v>
      </c>
      <c r="H45" t="b">
        <f>IF(_xlfn.XLOOKUP(tbl_Sales_Order_Item[[#This Row],[Order Id]], 'Sales Order'!A:A, 'Sales Order'!H:H)=0, FALSE, TRUE)</f>
        <v>1</v>
      </c>
    </row>
    <row r="46" spans="1:8">
      <c r="A46">
        <v>45</v>
      </c>
      <c r="B46">
        <v>13</v>
      </c>
      <c r="C46">
        <v>12</v>
      </c>
      <c r="D46">
        <v>1</v>
      </c>
      <c r="E46" s="6">
        <f>_xlfn.XLOOKUP(tbl_Sales_Order_Item[[#This Row],[Order Id]], 'Sales Order'!A:A, 'Sales Order'!F:F)</f>
        <v>1244607604</v>
      </c>
      <c r="F46" s="6" t="str">
        <f>_xlfn.XLOOKUP(tbl_Sales_Order_Item[[#This Row],[Product Id]],Product!A:A,Product!B:B)</f>
        <v>MTG Avatar: The Last Airbender Play Booster</v>
      </c>
      <c r="G46">
        <v>4.2</v>
      </c>
      <c r="H46" t="b">
        <f>IF(_xlfn.XLOOKUP(tbl_Sales_Order_Item[[#This Row],[Order Id]], 'Sales Order'!A:A, 'Sales Order'!H:H)=0, FALSE, TRUE)</f>
        <v>1</v>
      </c>
    </row>
    <row r="47" spans="1:8">
      <c r="A47">
        <v>46</v>
      </c>
      <c r="B47">
        <v>14</v>
      </c>
      <c r="C47">
        <v>37</v>
      </c>
      <c r="D47">
        <v>2</v>
      </c>
      <c r="E47" s="6">
        <f>_xlfn.XLOOKUP(tbl_Sales_Order_Item[[#This Row],[Order Id]], 'Sales Order'!A:A, 'Sales Order'!F:F)</f>
        <v>1244625524</v>
      </c>
      <c r="F47" s="6" t="str">
        <f>_xlfn.XLOOKUP(tbl_Sales_Order_Item[[#This Row],[Product Id]],Product!A:A,Product!B:B)</f>
        <v>Pokémon Mega Evolution Phantasmal Flames Booster</v>
      </c>
      <c r="G47">
        <v>8.6</v>
      </c>
      <c r="H47" t="b">
        <f>IF(_xlfn.XLOOKUP(tbl_Sales_Order_Item[[#This Row],[Order Id]], 'Sales Order'!A:A, 'Sales Order'!H:H)=0, FALSE, TRUE)</f>
        <v>1</v>
      </c>
    </row>
    <row r="48" spans="1:8">
      <c r="A48">
        <v>47</v>
      </c>
      <c r="B48">
        <v>15</v>
      </c>
      <c r="C48">
        <v>3</v>
      </c>
      <c r="D48">
        <v>2</v>
      </c>
      <c r="E48" s="6">
        <f>_xlfn.XLOOKUP(tbl_Sales_Order_Item[[#This Row],[Order Id]], 'Sales Order'!A:A, 'Sales Order'!F:F)</f>
        <v>1247162536</v>
      </c>
      <c r="F48" s="6" t="str">
        <f>_xlfn.XLOOKUP(tbl_Sales_Order_Item[[#This Row],[Product Id]],Product!A:A,Product!B:B)</f>
        <v>MTG Innistrad Remastered INR Play Booster</v>
      </c>
      <c r="G48">
        <v>11.78</v>
      </c>
      <c r="H48" t="b">
        <f>IF(_xlfn.XLOOKUP(tbl_Sales_Order_Item[[#This Row],[Order Id]], 'Sales Order'!A:A, 'Sales Order'!H:H)=0, FALSE, TRUE)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E846E-C984-7746-838F-6F18D4759F55}">
  <dimension ref="A1:K256"/>
  <sheetViews>
    <sheetView zoomScaleNormal="60" zoomScaleSheetLayoutView="100" workbookViewId="0">
      <selection activeCell="F1" sqref="F1"/>
    </sheetView>
  </sheetViews>
  <sheetFormatPr defaultRowHeight="15"/>
  <cols>
    <col min="1" max="1" width="12" bestFit="1" customWidth="1"/>
    <col min="2" max="2" width="46" customWidth="1"/>
    <col min="3" max="3" width="11.5703125" bestFit="1" customWidth="1"/>
    <col min="4" max="4" width="15.5703125" bestFit="1" customWidth="1"/>
    <col min="5" max="5" width="11" customWidth="1"/>
    <col min="6" max="6" width="21.7109375" bestFit="1" customWidth="1"/>
    <col min="7" max="7" width="13.42578125" bestFit="1" customWidth="1"/>
    <col min="8" max="8" width="11.42578125" bestFit="1" customWidth="1"/>
    <col min="9" max="9" width="10.85546875" bestFit="1" customWidth="1"/>
    <col min="10" max="10" width="13.7109375" bestFit="1" customWidth="1"/>
    <col min="11" max="11" width="22.85546875" bestFit="1" customWidth="1"/>
  </cols>
  <sheetData>
    <row r="1" spans="1:11">
      <c r="A1" t="s">
        <v>1301</v>
      </c>
      <c r="B1" t="s">
        <v>1</v>
      </c>
      <c r="C1" t="s">
        <v>1307</v>
      </c>
      <c r="D1" t="s">
        <v>1308</v>
      </c>
      <c r="E1" t="s">
        <v>1309</v>
      </c>
      <c r="F1" t="s">
        <v>1310</v>
      </c>
      <c r="G1" t="s">
        <v>1311</v>
      </c>
      <c r="H1" t="s">
        <v>1312</v>
      </c>
      <c r="I1" t="s">
        <v>1313</v>
      </c>
      <c r="J1" t="s">
        <v>1314</v>
      </c>
      <c r="K1" t="s">
        <v>1315</v>
      </c>
    </row>
    <row r="2" spans="1:11">
      <c r="A2">
        <v>36</v>
      </c>
      <c r="B2" t="s">
        <v>1316</v>
      </c>
      <c r="C2">
        <v>100</v>
      </c>
      <c r="D2" t="b">
        <v>0</v>
      </c>
      <c r="E2" t="b">
        <v>0</v>
      </c>
      <c r="F2" t="b">
        <v>0</v>
      </c>
      <c r="G2" t="b">
        <v>0</v>
      </c>
      <c r="H2" t="b">
        <v>0</v>
      </c>
      <c r="I2" s="10" t="str" cm="1">
        <f t="array" ref="I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" s="10" t="str" cm="1">
        <f t="array" ref="J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" s="10" t="e" cm="1">
        <f t="array" ref="K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3" spans="1:11">
      <c r="A3">
        <v>83</v>
      </c>
      <c r="B3" t="s">
        <v>1317</v>
      </c>
      <c r="D3" t="b">
        <v>0</v>
      </c>
      <c r="E3" t="b">
        <v>1</v>
      </c>
      <c r="F3" t="b">
        <v>0</v>
      </c>
      <c r="G3" t="b">
        <v>1</v>
      </c>
      <c r="H3" t="b">
        <v>0</v>
      </c>
      <c r="I3" s="10" cm="1">
        <f t="array" ref="I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21.99</v>
      </c>
      <c r="J3" s="10" t="str" cm="1">
        <f t="array" ref="J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3" s="10" cm="1">
        <f t="array" ref="K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-3.8863621423999994</v>
      </c>
    </row>
    <row r="4" spans="1:11">
      <c r="A4">
        <v>84</v>
      </c>
      <c r="B4" t="s">
        <v>1318</v>
      </c>
      <c r="C4">
        <v>12</v>
      </c>
      <c r="D4" t="b">
        <v>1</v>
      </c>
      <c r="E4" t="b">
        <v>0</v>
      </c>
      <c r="F4" t="b">
        <v>0</v>
      </c>
      <c r="G4" t="b">
        <v>1</v>
      </c>
      <c r="H4" t="b">
        <v>0</v>
      </c>
      <c r="I4" s="10" cm="1">
        <f t="array" ref="I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215.60342</v>
      </c>
      <c r="J4" s="10" t="str" cm="1">
        <f t="array" ref="J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" s="10" t="e" cm="1">
        <f t="array" ref="K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5" spans="1:11">
      <c r="A5">
        <v>160</v>
      </c>
      <c r="B5" t="s">
        <v>1319</v>
      </c>
      <c r="D5" t="b">
        <v>0</v>
      </c>
      <c r="E5" t="b">
        <v>0</v>
      </c>
      <c r="F5" t="b">
        <v>0</v>
      </c>
      <c r="G5" t="b">
        <v>0</v>
      </c>
      <c r="H5" t="b">
        <v>1</v>
      </c>
      <c r="I5" s="10" cm="1">
        <f t="array" ref="I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38.31</v>
      </c>
      <c r="J5" s="10" t="str" cm="1">
        <f t="array" ref="J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" s="10" cm="1">
        <f t="array" ref="K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2.3319339999999968</v>
      </c>
    </row>
    <row r="6" spans="1:11">
      <c r="A6">
        <v>161</v>
      </c>
      <c r="B6" t="s">
        <v>1320</v>
      </c>
      <c r="D6" t="b">
        <v>0</v>
      </c>
      <c r="E6" t="b">
        <v>0</v>
      </c>
      <c r="F6" t="b">
        <v>0</v>
      </c>
      <c r="G6" t="b">
        <v>0</v>
      </c>
      <c r="H6" t="b">
        <v>1</v>
      </c>
      <c r="I6" s="10" cm="1">
        <f t="array" ref="I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29.64134</v>
      </c>
      <c r="J6" s="10" t="str" cm="1">
        <f t="array" ref="J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" s="10" cm="1">
        <f t="array" ref="K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-2.1533536000000026</v>
      </c>
    </row>
    <row r="7" spans="1:11">
      <c r="A7">
        <v>25</v>
      </c>
      <c r="B7" t="s">
        <v>1321</v>
      </c>
      <c r="C7">
        <v>1</v>
      </c>
      <c r="D7" t="b">
        <v>0</v>
      </c>
      <c r="E7" t="b">
        <v>1</v>
      </c>
      <c r="F7" t="b">
        <v>1</v>
      </c>
      <c r="G7" t="b">
        <v>0</v>
      </c>
      <c r="H7" t="b">
        <v>0</v>
      </c>
      <c r="I7" s="10" cm="1">
        <f t="array" ref="I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4.5547000000000004</v>
      </c>
      <c r="J7" s="10" t="str" cm="1">
        <f t="array" ref="J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" s="10" cm="1">
        <f t="array" ref="K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-1.9883505680000004</v>
      </c>
    </row>
    <row r="8" spans="1:11">
      <c r="A8">
        <v>70</v>
      </c>
      <c r="B8" t="s">
        <v>1322</v>
      </c>
      <c r="C8">
        <v>30</v>
      </c>
      <c r="D8" t="b">
        <v>1</v>
      </c>
      <c r="E8" t="b">
        <v>0</v>
      </c>
      <c r="F8" t="b">
        <v>1</v>
      </c>
      <c r="G8" t="b">
        <v>0</v>
      </c>
      <c r="H8" t="b">
        <v>0</v>
      </c>
      <c r="I8" s="10" cm="1">
        <f t="array" ref="I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80</v>
      </c>
      <c r="J8" s="10" t="str" cm="1">
        <f t="array" ref="J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Jet Cards</v>
      </c>
      <c r="K8" s="10" t="e" cm="1">
        <f t="array" ref="K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9" spans="1:11">
      <c r="A9">
        <v>18</v>
      </c>
      <c r="B9" t="s">
        <v>1323</v>
      </c>
      <c r="C9">
        <v>1</v>
      </c>
      <c r="D9" t="b">
        <v>0</v>
      </c>
      <c r="E9" t="b">
        <v>1</v>
      </c>
      <c r="F9" t="b">
        <v>1</v>
      </c>
      <c r="G9" t="b">
        <v>0</v>
      </c>
      <c r="H9" t="b">
        <v>0</v>
      </c>
      <c r="I9" s="10" cm="1">
        <f t="array" ref="I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5.49</v>
      </c>
      <c r="J9" s="10" t="str" cm="1">
        <f t="array" ref="J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9" s="10" cm="1">
        <f t="array" ref="K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-0.3660006256000008</v>
      </c>
    </row>
    <row r="10" spans="1:11">
      <c r="A10">
        <v>63</v>
      </c>
      <c r="B10" t="s">
        <v>1324</v>
      </c>
      <c r="C10">
        <v>24</v>
      </c>
      <c r="D10" t="b">
        <v>1</v>
      </c>
      <c r="E10" t="b">
        <v>0</v>
      </c>
      <c r="F10" t="b">
        <v>1</v>
      </c>
      <c r="G10" t="b">
        <v>0</v>
      </c>
      <c r="H10" t="b">
        <v>0</v>
      </c>
      <c r="I10" s="10" cm="1">
        <f t="array" ref="I1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124.99</v>
      </c>
      <c r="J10" s="10" t="str" cm="1">
        <f t="array" ref="J1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0" s="10" t="e" cm="1">
        <f t="array" ref="K1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1" spans="1:11">
      <c r="A11">
        <v>85</v>
      </c>
      <c r="B11" t="s">
        <v>1325</v>
      </c>
      <c r="C11" s="1"/>
      <c r="D11" t="b">
        <v>0</v>
      </c>
      <c r="E11" t="b">
        <v>1</v>
      </c>
      <c r="F11" t="b">
        <v>0</v>
      </c>
      <c r="G11" t="b">
        <v>1</v>
      </c>
      <c r="H11" t="b">
        <v>0</v>
      </c>
      <c r="I11" s="10" cm="1">
        <f t="array" ref="I1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33.226579999999998</v>
      </c>
      <c r="J11" s="10" t="str" cm="1">
        <f t="array" ref="J1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" s="10" cm="1">
        <f t="array" ref="K1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-7.8849667952000004</v>
      </c>
    </row>
    <row r="12" spans="1:11">
      <c r="A12">
        <v>86</v>
      </c>
      <c r="B12" t="s">
        <v>1326</v>
      </c>
      <c r="C12" s="1">
        <v>12</v>
      </c>
      <c r="D12" t="b">
        <v>1</v>
      </c>
      <c r="E12" t="b">
        <v>0</v>
      </c>
      <c r="F12" t="b">
        <v>0</v>
      </c>
      <c r="G12" t="b">
        <v>1</v>
      </c>
      <c r="H12" t="b">
        <v>0</v>
      </c>
      <c r="I12" s="10" cm="1">
        <f t="array" ref="I1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312.09935845759998</v>
      </c>
      <c r="J12" s="10" t="str" cm="1">
        <f t="array" ref="J1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2" s="10" t="e" cm="1">
        <f t="array" ref="K1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" spans="1:11">
      <c r="A13">
        <v>87</v>
      </c>
      <c r="B13" t="s">
        <v>1327</v>
      </c>
      <c r="C13" s="1"/>
      <c r="D13" t="b">
        <v>0</v>
      </c>
      <c r="E13" t="b">
        <v>1</v>
      </c>
      <c r="F13" t="b">
        <v>0</v>
      </c>
      <c r="G13" t="b">
        <v>1</v>
      </c>
      <c r="H13" t="b">
        <v>0</v>
      </c>
      <c r="I13" s="10" cm="1">
        <f t="array" ref="I1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38.370620000000002</v>
      </c>
      <c r="J13" s="10" t="str" cm="1">
        <f t="array" ref="J1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3" s="10" cm="1">
        <f t="array" ref="K1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-7.861509972800004</v>
      </c>
    </row>
    <row r="14" spans="1:11">
      <c r="A14">
        <v>88</v>
      </c>
      <c r="B14" t="s">
        <v>1328</v>
      </c>
      <c r="C14" s="1">
        <v>12</v>
      </c>
      <c r="D14" t="b">
        <v>1</v>
      </c>
      <c r="E14" t="b">
        <v>0</v>
      </c>
      <c r="F14" t="b">
        <v>0</v>
      </c>
      <c r="G14" t="b">
        <v>1</v>
      </c>
      <c r="H14" t="b">
        <v>0</v>
      </c>
      <c r="I14" s="10" cm="1">
        <f t="array" ref="I1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308.25675999999999</v>
      </c>
      <c r="J14" s="10" t="str" cm="1">
        <f t="array" ref="J1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" s="10" t="e" cm="1">
        <f t="array" ref="K1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5" spans="1:11">
      <c r="A15">
        <v>12</v>
      </c>
      <c r="B15" t="s">
        <v>1329</v>
      </c>
      <c r="C15">
        <v>1</v>
      </c>
      <c r="D15" t="b">
        <v>0</v>
      </c>
      <c r="E15" t="b">
        <v>1</v>
      </c>
      <c r="F15" t="b">
        <v>1</v>
      </c>
      <c r="G15" t="b">
        <v>0</v>
      </c>
      <c r="H15" t="b">
        <v>0</v>
      </c>
      <c r="I15" s="10" cm="1">
        <f t="array" ref="I1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6.0701999999999998</v>
      </c>
      <c r="J15" s="10" t="str" cm="1">
        <f t="array" ref="J1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" s="10" cm="1">
        <f t="array" ref="K1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-1.9814398879999997</v>
      </c>
    </row>
    <row r="16" spans="1:11">
      <c r="A16">
        <v>57</v>
      </c>
      <c r="B16" t="s">
        <v>1330</v>
      </c>
      <c r="C16">
        <v>30</v>
      </c>
      <c r="D16" t="b">
        <v>1</v>
      </c>
      <c r="E16" t="b">
        <v>0</v>
      </c>
      <c r="F16" t="b">
        <v>1</v>
      </c>
      <c r="G16" t="b">
        <v>0</v>
      </c>
      <c r="H16" t="b">
        <v>0</v>
      </c>
      <c r="I16" s="10" cm="1">
        <f t="array" ref="I1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105</v>
      </c>
      <c r="J16" s="10" t="str" cm="1">
        <f t="array" ref="J1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Travelling Man</v>
      </c>
      <c r="K16" s="10" t="e" cm="1">
        <f t="array" ref="K1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7" spans="1:11">
      <c r="A17">
        <v>167</v>
      </c>
      <c r="B17" t="s">
        <v>1331</v>
      </c>
      <c r="D17" t="b">
        <v>0</v>
      </c>
      <c r="E17" t="b">
        <v>0</v>
      </c>
      <c r="F17" t="b">
        <v>0</v>
      </c>
      <c r="G17" t="b">
        <v>0</v>
      </c>
      <c r="H17" t="b">
        <v>1</v>
      </c>
      <c r="I17" s="10" cm="1">
        <f t="array" ref="I1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42.596699999999998</v>
      </c>
      <c r="J17" s="10" t="str" cm="1">
        <f t="array" ref="J1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" s="10" cm="1">
        <f t="array" ref="K1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-1.9547659999999993</v>
      </c>
    </row>
    <row r="18" spans="1:11">
      <c r="A18">
        <v>89</v>
      </c>
      <c r="B18" t="s">
        <v>1332</v>
      </c>
      <c r="D18" t="b">
        <v>0</v>
      </c>
      <c r="E18" t="b">
        <v>1</v>
      </c>
      <c r="F18" t="b">
        <v>0</v>
      </c>
      <c r="G18" t="b">
        <v>1</v>
      </c>
      <c r="H18" t="b">
        <v>0</v>
      </c>
      <c r="I18" s="10" cm="1">
        <f t="array" ref="I1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90.313299999999998</v>
      </c>
      <c r="J18" s="10" t="str" cm="1">
        <f t="array" ref="J1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" s="10" cm="1">
        <f t="array" ref="K1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-7.6246513520000008</v>
      </c>
    </row>
    <row r="19" spans="1:11">
      <c r="A19">
        <v>90</v>
      </c>
      <c r="B19" t="s">
        <v>1333</v>
      </c>
      <c r="C19">
        <v>12</v>
      </c>
      <c r="D19" t="b">
        <v>1</v>
      </c>
      <c r="E19" t="b">
        <v>0</v>
      </c>
      <c r="F19" t="b">
        <v>0</v>
      </c>
      <c r="G19" t="b">
        <v>1</v>
      </c>
      <c r="H19" t="b">
        <v>0</v>
      </c>
      <c r="I19" s="10" cm="1">
        <f t="array" ref="I1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877.34</v>
      </c>
      <c r="J19" s="10" t="str" cm="1">
        <f t="array" ref="J1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" s="10" t="e" cm="1">
        <f t="array" ref="K1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" spans="1:11">
      <c r="A20">
        <v>169</v>
      </c>
      <c r="B20" t="s">
        <v>1334</v>
      </c>
      <c r="D20" t="b">
        <v>0</v>
      </c>
      <c r="E20" t="b">
        <v>0</v>
      </c>
      <c r="F20" t="b">
        <v>0</v>
      </c>
      <c r="G20" t="b">
        <v>0</v>
      </c>
      <c r="H20" t="b">
        <v>1</v>
      </c>
      <c r="I20" s="10" cm="1">
        <f t="array" ref="I2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36.733879999999999</v>
      </c>
      <c r="J20" s="10" t="str" cm="1">
        <f t="array" ref="J2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" s="10" cm="1">
        <f t="array" ref="K2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3.2569692000000003</v>
      </c>
    </row>
    <row r="21" spans="1:11">
      <c r="A21">
        <v>168</v>
      </c>
      <c r="B21" t="s">
        <v>1335</v>
      </c>
      <c r="D21" t="b">
        <v>0</v>
      </c>
      <c r="E21" t="b">
        <v>0</v>
      </c>
      <c r="F21" t="b">
        <v>0</v>
      </c>
      <c r="G21" t="b">
        <v>0</v>
      </c>
      <c r="H21" t="b">
        <v>1</v>
      </c>
      <c r="I21" s="10" cm="1">
        <f t="array" ref="I2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42.631340000000002</v>
      </c>
      <c r="J21" s="10" t="str" cm="1">
        <f t="array" ref="J2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" s="10" cm="1">
        <f t="array" ref="K2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3.0361547999999985</v>
      </c>
    </row>
    <row r="22" spans="1:11">
      <c r="A22">
        <v>34</v>
      </c>
      <c r="B22" t="s">
        <v>1336</v>
      </c>
      <c r="C22">
        <v>1</v>
      </c>
      <c r="D22" t="b">
        <v>0</v>
      </c>
      <c r="E22" t="b">
        <v>1</v>
      </c>
      <c r="F22" t="b">
        <v>1</v>
      </c>
      <c r="G22" t="b">
        <v>0</v>
      </c>
      <c r="H22" t="b">
        <v>0</v>
      </c>
      <c r="I22" s="10" cm="1">
        <f t="array" ref="I2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7.1527000000000003</v>
      </c>
      <c r="J22" s="10" t="str" cm="1">
        <f t="array" ref="J2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" s="10" cm="1">
        <f t="array" ref="K2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-1.9765036880000011</v>
      </c>
    </row>
    <row r="23" spans="1:11">
      <c r="A23">
        <v>79</v>
      </c>
      <c r="B23" t="s">
        <v>1337</v>
      </c>
      <c r="C23">
        <v>36</v>
      </c>
      <c r="D23" t="b">
        <v>1</v>
      </c>
      <c r="E23" t="b">
        <v>0</v>
      </c>
      <c r="F23" t="b">
        <v>1</v>
      </c>
      <c r="G23" t="b">
        <v>0</v>
      </c>
      <c r="H23" t="b">
        <v>0</v>
      </c>
      <c r="I23" s="10" cm="1">
        <f t="array" ref="I2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135</v>
      </c>
      <c r="J23" s="10" t="str" cm="1">
        <f t="array" ref="J2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Jet Cards</v>
      </c>
      <c r="K23" s="10" t="e" cm="1">
        <f t="array" ref="K2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4" spans="1:11">
      <c r="A24">
        <v>166</v>
      </c>
      <c r="B24" t="s">
        <v>1338</v>
      </c>
      <c r="D24" t="b">
        <v>0</v>
      </c>
      <c r="E24" t="b">
        <v>0</v>
      </c>
      <c r="F24" t="b">
        <v>0</v>
      </c>
      <c r="G24" t="b">
        <v>0</v>
      </c>
      <c r="H24" t="b">
        <v>1</v>
      </c>
      <c r="I24" s="10" cm="1">
        <f t="array" ref="I2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49.559339999999999</v>
      </c>
      <c r="J24" s="10" t="str" cm="1">
        <f t="array" ref="J2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" s="10" cm="1">
        <f t="array" ref="K2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0.27916679999999872</v>
      </c>
    </row>
    <row r="25" spans="1:11" ht="27.75">
      <c r="A25">
        <v>226</v>
      </c>
      <c r="B25" s="1" t="s">
        <v>1339</v>
      </c>
      <c r="D25" t="b">
        <v>0</v>
      </c>
      <c r="E25" t="b">
        <v>0</v>
      </c>
      <c r="F25" t="b">
        <v>0</v>
      </c>
      <c r="G25" t="b">
        <v>0</v>
      </c>
      <c r="H25" t="b">
        <v>1</v>
      </c>
      <c r="I25" s="10" cm="1">
        <f t="array" ref="I2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90.252679999999998</v>
      </c>
      <c r="J25" s="10" t="str" cm="1">
        <f t="array" ref="J2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5" s="10" cm="1">
        <f t="array" ref="K2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6.3723736000000031</v>
      </c>
    </row>
    <row r="26" spans="1:11" ht="27.75">
      <c r="A26">
        <v>227</v>
      </c>
      <c r="B26" s="1" t="s">
        <v>1340</v>
      </c>
      <c r="D26" t="b">
        <v>0</v>
      </c>
      <c r="E26" t="b">
        <v>0</v>
      </c>
      <c r="F26" t="b">
        <v>0</v>
      </c>
      <c r="G26" t="b">
        <v>0</v>
      </c>
      <c r="H26" t="b">
        <v>1</v>
      </c>
      <c r="I26" s="10" cm="1">
        <f t="array" ref="I2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85.931340000000006</v>
      </c>
      <c r="J26" s="10" t="str" cm="1">
        <f t="array" ref="J2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6" s="10" cm="1">
        <f t="array" ref="K2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5.617286799999988</v>
      </c>
    </row>
    <row r="27" spans="1:11" ht="27.75">
      <c r="A27">
        <v>225</v>
      </c>
      <c r="B27" s="1" t="s">
        <v>1341</v>
      </c>
      <c r="D27" t="b">
        <v>0</v>
      </c>
      <c r="E27" t="b">
        <v>0</v>
      </c>
      <c r="F27" t="b">
        <v>0</v>
      </c>
      <c r="G27" t="b">
        <v>0</v>
      </c>
      <c r="H27" t="b">
        <v>1</v>
      </c>
      <c r="I27" s="10" cm="1">
        <f t="array" ref="I2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210.52</v>
      </c>
      <c r="J27" s="10" t="str" cm="1">
        <f t="array" ref="J2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7" s="10" cm="1">
        <f t="array" ref="K2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27.210399999999964</v>
      </c>
    </row>
    <row r="28" spans="1:11" ht="27.75">
      <c r="A28">
        <v>224</v>
      </c>
      <c r="B28" s="1" t="s">
        <v>1342</v>
      </c>
      <c r="D28" t="b">
        <v>0</v>
      </c>
      <c r="E28" t="b">
        <v>0</v>
      </c>
      <c r="F28" t="b">
        <v>0</v>
      </c>
      <c r="G28" t="b">
        <v>0</v>
      </c>
      <c r="H28" t="b">
        <v>1</v>
      </c>
      <c r="I28" s="10" cm="1">
        <f t="array" ref="I2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123.91134</v>
      </c>
      <c r="J28" s="10" t="str" cm="1">
        <f t="array" ref="J2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8" s="10" cm="1">
        <f t="array" ref="K2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12.076886799999983</v>
      </c>
    </row>
    <row r="29" spans="1:11">
      <c r="A29">
        <v>91</v>
      </c>
      <c r="B29" t="s">
        <v>1343</v>
      </c>
      <c r="D29" t="b">
        <v>0</v>
      </c>
      <c r="E29" t="b">
        <v>1</v>
      </c>
      <c r="F29" t="b">
        <v>0</v>
      </c>
      <c r="G29" t="b">
        <v>1</v>
      </c>
      <c r="H29" t="b">
        <v>0</v>
      </c>
      <c r="I29" s="10" cm="1">
        <f t="array" ref="I2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133.24682000000001</v>
      </c>
      <c r="J29" s="10" t="str" cm="1">
        <f t="array" ref="J2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9" s="10" cm="1">
        <f t="array" ref="K2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-19.483594500800024</v>
      </c>
    </row>
    <row r="30" spans="1:11">
      <c r="A30">
        <v>92</v>
      </c>
      <c r="B30" t="s">
        <v>1344</v>
      </c>
      <c r="C30">
        <v>4</v>
      </c>
      <c r="D30" t="b">
        <v>1</v>
      </c>
      <c r="E30" t="b">
        <v>0</v>
      </c>
      <c r="F30" t="b">
        <v>0</v>
      </c>
      <c r="G30" t="b">
        <v>1</v>
      </c>
      <c r="H30" t="b">
        <v>0</v>
      </c>
      <c r="I30" s="10" cm="1">
        <f t="array" ref="I3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318.54484000000002</v>
      </c>
      <c r="J30" s="10" t="str" cm="1">
        <f t="array" ref="J3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0" s="10" t="e" cm="1">
        <f t="array" ref="K3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31" spans="1:11">
      <c r="A31">
        <v>199</v>
      </c>
      <c r="B31" t="s">
        <v>1345</v>
      </c>
      <c r="D31" t="b">
        <v>0</v>
      </c>
      <c r="E31" t="b">
        <v>0</v>
      </c>
      <c r="F31" t="b">
        <v>0</v>
      </c>
      <c r="G31" t="b">
        <v>0</v>
      </c>
      <c r="H31" t="b">
        <v>1</v>
      </c>
      <c r="I31" s="10" cm="1">
        <f t="array" ref="I3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271.14</v>
      </c>
      <c r="J31" s="10" t="str" cm="1">
        <f t="array" ref="J3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1" s="10" cm="1">
        <f t="array" ref="K3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47.965826800000002</v>
      </c>
    </row>
    <row r="32" spans="1:11" ht="27.75">
      <c r="A32">
        <v>198</v>
      </c>
      <c r="B32" s="1" t="s">
        <v>1346</v>
      </c>
      <c r="D32" t="b">
        <v>0</v>
      </c>
      <c r="E32" t="b">
        <v>0</v>
      </c>
      <c r="F32" t="b">
        <v>0</v>
      </c>
      <c r="G32" t="b">
        <v>0</v>
      </c>
      <c r="H32" t="b">
        <v>1</v>
      </c>
      <c r="I32" s="10" cm="1">
        <f t="array" ref="I3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81.177000000000007</v>
      </c>
      <c r="J32" s="10" t="str" cm="1">
        <f t="array" ref="J3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2" s="10" cm="1">
        <f t="array" ref="K3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14.45107999999999</v>
      </c>
    </row>
    <row r="33" spans="1:11">
      <c r="A33">
        <v>197</v>
      </c>
      <c r="B33" s="1" t="s">
        <v>1347</v>
      </c>
      <c r="D33" t="b">
        <v>0</v>
      </c>
      <c r="E33" t="b">
        <v>0</v>
      </c>
      <c r="F33" t="b">
        <v>0</v>
      </c>
      <c r="G33" t="b">
        <v>0</v>
      </c>
      <c r="H33" t="b">
        <v>1</v>
      </c>
      <c r="I33" s="10" cm="1">
        <f t="array" ref="I3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60</v>
      </c>
      <c r="J33" s="10" t="str" cm="1">
        <f t="array" ref="J3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Wayland Games</v>
      </c>
      <c r="K33" s="10" cm="1">
        <f t="array" ref="K3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9.1777599999999921</v>
      </c>
    </row>
    <row r="34" spans="1:11">
      <c r="A34">
        <v>7</v>
      </c>
      <c r="B34" t="s">
        <v>1348</v>
      </c>
      <c r="C34">
        <v>1</v>
      </c>
      <c r="D34" t="b">
        <v>0</v>
      </c>
      <c r="E34" t="b">
        <v>1</v>
      </c>
      <c r="F34" t="b">
        <v>1</v>
      </c>
      <c r="G34" t="b">
        <v>0</v>
      </c>
      <c r="H34" t="b">
        <v>0</v>
      </c>
      <c r="I34" s="10" cm="1">
        <f t="array" ref="I3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18.489999999999998</v>
      </c>
      <c r="J34" s="10" t="str" cm="1">
        <f t="array" ref="J3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34" s="10" cm="1">
        <f t="array" ref="K3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-0.91703100799999859</v>
      </c>
    </row>
    <row r="35" spans="1:11">
      <c r="A35">
        <v>52</v>
      </c>
      <c r="B35" t="s">
        <v>1349</v>
      </c>
      <c r="C35">
        <v>24</v>
      </c>
      <c r="D35" t="b">
        <v>1</v>
      </c>
      <c r="E35" t="b">
        <v>0</v>
      </c>
      <c r="F35" t="b">
        <v>1</v>
      </c>
      <c r="G35" t="b">
        <v>0</v>
      </c>
      <c r="H35" t="b">
        <v>0</v>
      </c>
      <c r="I35" s="10" cm="1">
        <f t="array" ref="I3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380</v>
      </c>
      <c r="J35" s="10" t="str" cm="1">
        <f t="array" ref="J3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Double Sleeved</v>
      </c>
      <c r="K35" s="10" t="e" cm="1">
        <f t="array" ref="K3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36" spans="1:11">
      <c r="A36">
        <v>196</v>
      </c>
      <c r="B36" t="s">
        <v>1350</v>
      </c>
      <c r="D36" t="b">
        <v>0</v>
      </c>
      <c r="E36" t="b">
        <v>0</v>
      </c>
      <c r="F36" t="b">
        <v>0</v>
      </c>
      <c r="G36" t="b">
        <v>0</v>
      </c>
      <c r="H36" t="b">
        <v>1</v>
      </c>
      <c r="I36" s="10" cm="1">
        <f t="array" ref="I3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188.87</v>
      </c>
      <c r="J36" s="10" t="str" cm="1">
        <f t="array" ref="J3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6" s="10" cm="1">
        <f t="array" ref="K3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52.095477599999981</v>
      </c>
    </row>
    <row r="37" spans="1:11">
      <c r="A37">
        <v>190</v>
      </c>
      <c r="B37" t="s">
        <v>1351</v>
      </c>
      <c r="D37" t="b">
        <v>0</v>
      </c>
      <c r="E37" t="b">
        <v>0</v>
      </c>
      <c r="F37" t="b">
        <v>0</v>
      </c>
      <c r="G37" t="b">
        <v>0</v>
      </c>
      <c r="H37" t="b">
        <v>1</v>
      </c>
      <c r="I37" s="10" cm="1">
        <f t="array" ref="I3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25.311340000000001</v>
      </c>
      <c r="J37" s="10" t="str" cm="1">
        <f t="array" ref="J3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7" s="10" cm="1">
        <f t="array" ref="K3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-4.9751132000000027</v>
      </c>
    </row>
    <row r="38" spans="1:11">
      <c r="A38">
        <v>193</v>
      </c>
      <c r="B38" t="s">
        <v>1352</v>
      </c>
      <c r="D38" t="b">
        <v>0</v>
      </c>
      <c r="E38" t="b">
        <v>0</v>
      </c>
      <c r="F38" t="b">
        <v>0</v>
      </c>
      <c r="G38" t="b">
        <v>0</v>
      </c>
      <c r="H38" t="b">
        <v>1</v>
      </c>
      <c r="I38" s="10" cm="1">
        <f t="array" ref="I3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51.291339999999998</v>
      </c>
      <c r="J38" s="10" t="str" cm="1">
        <f t="array" ref="J3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8" s="10" cm="1">
        <f t="array" ref="K3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-0.43551319999999549</v>
      </c>
    </row>
    <row r="39" spans="1:11">
      <c r="A39">
        <v>192</v>
      </c>
      <c r="B39" t="s">
        <v>1353</v>
      </c>
      <c r="D39" t="b">
        <v>0</v>
      </c>
      <c r="E39" t="b">
        <v>0</v>
      </c>
      <c r="F39" t="b">
        <v>0</v>
      </c>
      <c r="G39" t="b">
        <v>0</v>
      </c>
      <c r="H39" t="b">
        <v>1</v>
      </c>
      <c r="I39" s="10" cm="1">
        <f t="array" ref="I3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29.64134</v>
      </c>
      <c r="J39" s="10" t="str" cm="1">
        <f t="array" ref="J3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39" s="10" cm="1">
        <f t="array" ref="K3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-4.2185132000000038</v>
      </c>
    </row>
    <row r="40" spans="1:11">
      <c r="A40">
        <v>191</v>
      </c>
      <c r="B40" t="s">
        <v>1354</v>
      </c>
      <c r="D40" t="b">
        <v>0</v>
      </c>
      <c r="E40" t="b">
        <v>0</v>
      </c>
      <c r="F40" t="b">
        <v>0</v>
      </c>
      <c r="G40" t="b">
        <v>0</v>
      </c>
      <c r="H40" t="b">
        <v>1</v>
      </c>
      <c r="I40" s="10" cm="1">
        <f t="array" ref="I4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59.449060000000003</v>
      </c>
      <c r="J40" s="10" t="str" cm="1">
        <f t="array" ref="J4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0" s="10" cm="1">
        <f t="array" ref="K4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1.0102675999999917</v>
      </c>
    </row>
    <row r="41" spans="1:11">
      <c r="A41">
        <v>17</v>
      </c>
      <c r="B41" t="s">
        <v>1355</v>
      </c>
      <c r="C41">
        <v>1</v>
      </c>
      <c r="D41" t="b">
        <v>0</v>
      </c>
      <c r="E41" t="b">
        <v>1</v>
      </c>
      <c r="F41" t="b">
        <v>1</v>
      </c>
      <c r="G41" t="b">
        <v>0</v>
      </c>
      <c r="H41" t="b">
        <v>0</v>
      </c>
      <c r="I41" s="10" cm="1">
        <f t="array" ref="I4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5.8623599999999998</v>
      </c>
      <c r="J41" s="10" t="str" cm="1">
        <f t="array" ref="J4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1" s="10" cm="1">
        <f t="array" ref="K4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-1.9823876384000001</v>
      </c>
    </row>
    <row r="42" spans="1:11">
      <c r="A42">
        <v>62</v>
      </c>
      <c r="B42" t="s">
        <v>1356</v>
      </c>
      <c r="D42" t="b">
        <v>1</v>
      </c>
      <c r="E42" t="b">
        <v>0</v>
      </c>
      <c r="F42" t="b">
        <v>1</v>
      </c>
      <c r="G42" t="b">
        <v>0</v>
      </c>
      <c r="H42" t="b">
        <v>0</v>
      </c>
      <c r="I42" s="10" cm="1">
        <f t="array" ref="I4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</v>
      </c>
      <c r="J42" s="10" t="str" cm="1">
        <f t="array" ref="J4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42" s="10" t="e" cm="1">
        <f t="array" ref="K4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43" spans="1:11">
      <c r="A43">
        <v>93</v>
      </c>
      <c r="B43" t="s">
        <v>1357</v>
      </c>
      <c r="D43" t="b">
        <v>0</v>
      </c>
      <c r="E43" t="b">
        <v>1</v>
      </c>
      <c r="F43" t="b">
        <v>0</v>
      </c>
      <c r="G43" t="b">
        <v>1</v>
      </c>
      <c r="H43" t="b">
        <v>0</v>
      </c>
      <c r="I43" s="10" cm="1">
        <f t="array" ref="I4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21.99</v>
      </c>
      <c r="J43" s="10" t="str" cm="1">
        <f t="array" ref="J4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43" s="10" cm="1">
        <f t="array" ref="K4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2.3685708799999965</v>
      </c>
    </row>
    <row r="44" spans="1:11">
      <c r="A44">
        <v>94</v>
      </c>
      <c r="B44" t="s">
        <v>1358</v>
      </c>
      <c r="C44">
        <v>12</v>
      </c>
      <c r="D44" t="b">
        <v>1</v>
      </c>
      <c r="E44" t="b">
        <v>0</v>
      </c>
      <c r="F44" t="b">
        <v>0</v>
      </c>
      <c r="G44" t="b">
        <v>1</v>
      </c>
      <c r="H44" t="b">
        <v>0</v>
      </c>
      <c r="I44" s="10" cm="1">
        <f t="array" ref="I4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230</v>
      </c>
      <c r="J44" s="10" t="str" cm="1">
        <f t="array" ref="J4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Double Sleeved</v>
      </c>
      <c r="K44" s="10" t="e" cm="1">
        <f t="array" ref="K4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45" spans="1:11">
      <c r="A45">
        <v>31</v>
      </c>
      <c r="B45" t="s">
        <v>1359</v>
      </c>
      <c r="C45">
        <v>1</v>
      </c>
      <c r="D45" t="b">
        <v>0</v>
      </c>
      <c r="E45" t="b">
        <v>1</v>
      </c>
      <c r="F45" t="b">
        <v>1</v>
      </c>
      <c r="G45" t="b">
        <v>0</v>
      </c>
      <c r="H45" t="b">
        <v>0</v>
      </c>
      <c r="I45" s="10" cm="1">
        <f t="array" ref="I4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6.0701999999999998</v>
      </c>
      <c r="J45" s="10" t="str" cm="1">
        <f t="array" ref="J4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5" s="10" cm="1">
        <f t="array" ref="K4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-1.9814398879999997</v>
      </c>
    </row>
    <row r="46" spans="1:11">
      <c r="A46">
        <v>76</v>
      </c>
      <c r="B46" t="s">
        <v>1360</v>
      </c>
      <c r="C46">
        <v>30</v>
      </c>
      <c r="D46" t="b">
        <v>1</v>
      </c>
      <c r="E46" t="b">
        <v>0</v>
      </c>
      <c r="F46" t="b">
        <v>1</v>
      </c>
      <c r="G46" t="b">
        <v>0</v>
      </c>
      <c r="H46" t="b">
        <v>0</v>
      </c>
      <c r="I46" s="10" cm="1">
        <f t="array" ref="I4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130.66280336</v>
      </c>
      <c r="J46" s="10" t="str" cm="1">
        <f t="array" ref="J4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46" s="10" t="e" cm="1">
        <f t="array" ref="K4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47" spans="1:11">
      <c r="A47">
        <v>223</v>
      </c>
      <c r="B47" t="s">
        <v>1361</v>
      </c>
      <c r="D47" t="b">
        <v>0</v>
      </c>
      <c r="E47" t="b">
        <v>0</v>
      </c>
      <c r="F47" t="b">
        <v>0</v>
      </c>
      <c r="G47" t="b">
        <v>0</v>
      </c>
      <c r="H47" t="b">
        <v>1</v>
      </c>
      <c r="I47" s="10" cm="1">
        <f t="array" ref="I4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71.114080000000001</v>
      </c>
      <c r="J47" s="10" t="str" cm="1">
        <f t="array" ref="J4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7" s="10" cm="1">
        <f t="array" ref="K4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12.560490000000001</v>
      </c>
    </row>
    <row r="48" spans="1:11">
      <c r="A48">
        <v>222</v>
      </c>
      <c r="B48" t="s">
        <v>1362</v>
      </c>
      <c r="D48" t="b">
        <v>0</v>
      </c>
      <c r="E48" t="b">
        <v>0</v>
      </c>
      <c r="F48" t="b">
        <v>0</v>
      </c>
      <c r="G48" t="b">
        <v>0</v>
      </c>
      <c r="H48" t="b">
        <v>1</v>
      </c>
      <c r="I48" s="10" cm="1">
        <f t="array" ref="I4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55.5867</v>
      </c>
      <c r="J48" s="10" t="str" cm="1">
        <f t="array" ref="J4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8" s="10" cm="1">
        <f t="array" ref="K4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0.31503399999999715</v>
      </c>
    </row>
    <row r="49" spans="1:11">
      <c r="A49">
        <v>95</v>
      </c>
      <c r="B49" t="s">
        <v>1363</v>
      </c>
      <c r="D49" t="b">
        <v>0</v>
      </c>
      <c r="E49" t="b">
        <v>1</v>
      </c>
      <c r="F49" t="b">
        <v>0</v>
      </c>
      <c r="G49" t="b">
        <v>1</v>
      </c>
      <c r="H49" t="b">
        <v>0</v>
      </c>
      <c r="I49" s="10" cm="1">
        <f t="array" ref="I4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36.318199999999997</v>
      </c>
      <c r="J49" s="10" t="str" cm="1">
        <f t="array" ref="J4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49" s="10" cm="1">
        <f t="array" ref="K4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-7.8708690079999997</v>
      </c>
    </row>
    <row r="50" spans="1:11">
      <c r="A50">
        <v>96</v>
      </c>
      <c r="B50" t="s">
        <v>1364</v>
      </c>
      <c r="C50">
        <v>12</v>
      </c>
      <c r="D50" t="b">
        <v>1</v>
      </c>
      <c r="E50" t="b">
        <v>0</v>
      </c>
      <c r="F50" t="b">
        <v>0</v>
      </c>
      <c r="G50" t="b">
        <v>1</v>
      </c>
      <c r="H50" t="b">
        <v>0</v>
      </c>
      <c r="I50" s="10" cm="1">
        <f t="array" ref="I5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349.367971904</v>
      </c>
      <c r="J50" s="10" t="str" cm="1">
        <f t="array" ref="J5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50" s="10" t="e" cm="1">
        <f t="array" ref="K5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51" spans="1:11">
      <c r="A51">
        <v>165</v>
      </c>
      <c r="B51" t="s">
        <v>1365</v>
      </c>
      <c r="D51" t="b">
        <v>0</v>
      </c>
      <c r="E51" t="b">
        <v>0</v>
      </c>
      <c r="F51" t="b">
        <v>0</v>
      </c>
      <c r="G51" t="b">
        <v>0</v>
      </c>
      <c r="H51" t="b">
        <v>1</v>
      </c>
      <c r="I51" s="10" cm="1">
        <f t="array" ref="I5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35.712000000000003</v>
      </c>
      <c r="J51" s="10" t="str" cm="1">
        <f t="array" ref="J5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1" s="10" cm="1">
        <f t="array" ref="K5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-3.1577600000000032</v>
      </c>
    </row>
    <row r="52" spans="1:11" ht="27.75">
      <c r="A52">
        <v>164</v>
      </c>
      <c r="B52" s="1" t="s">
        <v>1366</v>
      </c>
      <c r="D52" t="b">
        <v>0</v>
      </c>
      <c r="E52" t="b">
        <v>0</v>
      </c>
      <c r="F52" t="b">
        <v>0</v>
      </c>
      <c r="G52" t="b">
        <v>0</v>
      </c>
      <c r="H52" t="b">
        <v>1</v>
      </c>
      <c r="I52" s="10" cm="1">
        <f t="array" ref="I5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123.92</v>
      </c>
      <c r="J52" s="10" t="str" cm="1">
        <f t="array" ref="J5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2" s="10" cm="1">
        <f t="array" ref="K5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1.9051999999999936</v>
      </c>
    </row>
    <row r="53" spans="1:11">
      <c r="A53">
        <v>163</v>
      </c>
      <c r="B53" s="1" t="s">
        <v>1367</v>
      </c>
      <c r="D53" t="b">
        <v>0</v>
      </c>
      <c r="E53" t="b">
        <v>0</v>
      </c>
      <c r="F53" t="b">
        <v>0</v>
      </c>
      <c r="G53" t="b">
        <v>0</v>
      </c>
      <c r="H53" t="b">
        <v>1</v>
      </c>
      <c r="I53" s="10" cm="1">
        <f t="array" ref="I5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46.97</v>
      </c>
      <c r="J53" s="10" t="str" cm="1">
        <f t="array" ref="J5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3" s="10" cm="1">
        <f t="array" ref="K5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-1.1905999999999963</v>
      </c>
    </row>
    <row r="54" spans="1:11">
      <c r="A54">
        <v>162</v>
      </c>
      <c r="B54" s="1" t="s">
        <v>1368</v>
      </c>
      <c r="D54" t="b">
        <v>0</v>
      </c>
      <c r="E54" t="b">
        <v>0</v>
      </c>
      <c r="F54" t="b">
        <v>0</v>
      </c>
      <c r="G54" t="b">
        <v>0</v>
      </c>
      <c r="H54" t="b">
        <v>1</v>
      </c>
      <c r="I54" s="10" cm="1">
        <f t="array" ref="I5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46.97</v>
      </c>
      <c r="J54" s="10" t="str" cm="1">
        <f t="array" ref="J5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4" s="10" cm="1">
        <f t="array" ref="K5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-1.1905999999999963</v>
      </c>
    </row>
    <row r="55" spans="1:11">
      <c r="A55">
        <v>26</v>
      </c>
      <c r="B55" t="s">
        <v>1369</v>
      </c>
      <c r="C55">
        <v>1</v>
      </c>
      <c r="D55" t="b">
        <v>0</v>
      </c>
      <c r="E55" t="b">
        <v>1</v>
      </c>
      <c r="F55" t="b">
        <v>1</v>
      </c>
      <c r="G55" t="b">
        <v>0</v>
      </c>
      <c r="H55" t="b">
        <v>0</v>
      </c>
      <c r="I55" s="10" cm="1">
        <f t="array" ref="I5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4.25</v>
      </c>
      <c r="J55" s="10" t="str" cm="1">
        <f t="array" ref="J5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55" s="10" cm="1">
        <f t="array" ref="K5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-0.77020416000000047</v>
      </c>
    </row>
    <row r="56" spans="1:11">
      <c r="A56">
        <v>71</v>
      </c>
      <c r="B56" t="s">
        <v>1370</v>
      </c>
      <c r="C56">
        <v>36</v>
      </c>
      <c r="D56" t="b">
        <v>1</v>
      </c>
      <c r="E56" t="b">
        <v>0</v>
      </c>
      <c r="F56" t="b">
        <v>1</v>
      </c>
      <c r="G56" t="b">
        <v>0</v>
      </c>
      <c r="H56" t="b">
        <v>0</v>
      </c>
      <c r="I56" s="10" cm="1">
        <f t="array" ref="I5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133.27265023999999</v>
      </c>
      <c r="J56" s="10" t="str" cm="1">
        <f t="array" ref="J5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56" s="10" t="e" cm="1">
        <f t="array" ref="K5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57" spans="1:11">
      <c r="A57">
        <v>97</v>
      </c>
      <c r="B57" t="s">
        <v>1371</v>
      </c>
      <c r="D57" t="b">
        <v>0</v>
      </c>
      <c r="E57" t="b">
        <v>1</v>
      </c>
      <c r="F57" t="b">
        <v>0</v>
      </c>
      <c r="G57" t="b">
        <v>1</v>
      </c>
      <c r="H57" t="b">
        <v>0</v>
      </c>
      <c r="I57" s="10" cm="1">
        <f t="array" ref="I5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45.012839999999997</v>
      </c>
      <c r="J57" s="10" t="str" cm="1">
        <f t="array" ref="J5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7" s="10" cm="1">
        <f t="array" ref="K5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-7.8312214495999939</v>
      </c>
    </row>
    <row r="58" spans="1:11">
      <c r="A58">
        <v>98</v>
      </c>
      <c r="B58" t="s">
        <v>1372</v>
      </c>
      <c r="C58">
        <v>12</v>
      </c>
      <c r="D58" t="b">
        <v>1</v>
      </c>
      <c r="E58" t="b">
        <v>0</v>
      </c>
      <c r="F58" t="b">
        <v>0</v>
      </c>
      <c r="G58" t="b">
        <v>1</v>
      </c>
      <c r="H58" t="b">
        <v>0</v>
      </c>
      <c r="I58" s="10" cm="1">
        <f t="array" ref="I5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380</v>
      </c>
      <c r="J58" s="10" t="str" cm="1">
        <f t="array" ref="J5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58" s="10" t="e" cm="1">
        <f t="array" ref="K5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59" spans="1:11">
      <c r="A59">
        <v>150</v>
      </c>
      <c r="B59" t="s">
        <v>1373</v>
      </c>
      <c r="D59" t="b">
        <v>0</v>
      </c>
      <c r="E59" t="b">
        <v>0</v>
      </c>
      <c r="F59" t="b">
        <v>0</v>
      </c>
      <c r="G59" t="b">
        <v>0</v>
      </c>
      <c r="H59" t="b">
        <v>1</v>
      </c>
      <c r="I59" s="10" cm="1">
        <f t="array" ref="I5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33.113999999999997</v>
      </c>
      <c r="J59" s="10" t="str" cm="1">
        <f t="array" ref="J5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59" s="10" cm="1">
        <f t="array" ref="K5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-3.6320663999999994</v>
      </c>
    </row>
    <row r="60" spans="1:11">
      <c r="A60">
        <v>20</v>
      </c>
      <c r="B60" t="s">
        <v>1374</v>
      </c>
      <c r="C60">
        <v>1</v>
      </c>
      <c r="D60" t="b">
        <v>0</v>
      </c>
      <c r="E60" t="b">
        <v>1</v>
      </c>
      <c r="F60" t="b">
        <v>1</v>
      </c>
      <c r="G60" t="b">
        <v>0</v>
      </c>
      <c r="H60" t="b">
        <v>0</v>
      </c>
      <c r="I60" s="10" cm="1">
        <f t="array" ref="I6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7.1527000000000003</v>
      </c>
      <c r="J60" s="10" t="str" cm="1">
        <f t="array" ref="J6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0" s="10" cm="1">
        <f t="array" ref="K6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-1.9765036880000011</v>
      </c>
    </row>
    <row r="61" spans="1:11">
      <c r="A61">
        <v>65</v>
      </c>
      <c r="B61" t="s">
        <v>1375</v>
      </c>
      <c r="C61">
        <v>30</v>
      </c>
      <c r="D61" t="b">
        <v>1</v>
      </c>
      <c r="E61" t="b">
        <v>0</v>
      </c>
      <c r="F61" t="b">
        <v>1</v>
      </c>
      <c r="G61" t="b">
        <v>0</v>
      </c>
      <c r="H61" t="b">
        <v>0</v>
      </c>
      <c r="I61" s="10" cm="1">
        <f t="array" ref="I6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163.28588935999997</v>
      </c>
      <c r="J61" s="10" t="str" cm="1">
        <f t="array" ref="J6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61" s="10" t="e" cm="1">
        <f t="array" ref="K6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62" spans="1:11">
      <c r="A62">
        <v>149</v>
      </c>
      <c r="B62" t="s">
        <v>1376</v>
      </c>
      <c r="D62" t="b">
        <v>0</v>
      </c>
      <c r="E62" t="b">
        <v>0</v>
      </c>
      <c r="F62" t="b">
        <v>0</v>
      </c>
      <c r="G62" t="b">
        <v>0</v>
      </c>
      <c r="H62" t="b">
        <v>1</v>
      </c>
      <c r="I62" s="10" cm="1">
        <f t="array" ref="I6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42.631340000000002</v>
      </c>
      <c r="J62" s="10" t="str" cm="1">
        <f t="array" ref="J6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2" s="10" cm="1">
        <f t="array" ref="K6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9.6099999999999852E-2</v>
      </c>
    </row>
    <row r="63" spans="1:11">
      <c r="A63">
        <v>180</v>
      </c>
      <c r="B63" t="s">
        <v>1377</v>
      </c>
      <c r="D63" t="b">
        <v>0</v>
      </c>
      <c r="E63" t="b">
        <v>0</v>
      </c>
      <c r="F63" t="b">
        <v>0</v>
      </c>
      <c r="G63" t="b">
        <v>0</v>
      </c>
      <c r="H63" t="b">
        <v>1</v>
      </c>
      <c r="I63" s="10" cm="1">
        <f t="array" ref="I6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59.47504</v>
      </c>
      <c r="J63" s="10" t="str" cm="1">
        <f t="array" ref="J6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3" s="10" cm="1">
        <f t="array" ref="K6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1.553986799999997</v>
      </c>
    </row>
    <row r="64" spans="1:11">
      <c r="A64">
        <v>181</v>
      </c>
      <c r="B64" t="s">
        <v>1378</v>
      </c>
      <c r="D64" t="b">
        <v>0</v>
      </c>
      <c r="E64" t="b">
        <v>0</v>
      </c>
      <c r="F64" t="b">
        <v>0</v>
      </c>
      <c r="G64" t="b">
        <v>0</v>
      </c>
      <c r="H64" t="b">
        <v>1</v>
      </c>
      <c r="I64" s="10" cm="1">
        <f t="array" ref="I6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144.94999999999999</v>
      </c>
      <c r="J64" s="10" t="str" cm="1">
        <f t="array" ref="J6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Magic Madhouse</v>
      </c>
      <c r="K64" s="10" t="e" cm="1">
        <f t="array" ref="K6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65" spans="1:11">
      <c r="A65">
        <v>179</v>
      </c>
      <c r="B65" t="s">
        <v>1379</v>
      </c>
      <c r="D65" t="b">
        <v>0</v>
      </c>
      <c r="E65" t="b">
        <v>0</v>
      </c>
      <c r="F65" t="b">
        <v>0</v>
      </c>
      <c r="G65" t="b">
        <v>0</v>
      </c>
      <c r="H65" t="b">
        <v>1</v>
      </c>
      <c r="I65" s="10" cm="1">
        <f t="array" ref="I6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56.95</v>
      </c>
      <c r="J65" s="10" t="str" cm="1">
        <f t="array" ref="J6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Magic Madhouse</v>
      </c>
      <c r="K65" s="10" t="e" cm="1">
        <f t="array" ref="K6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66" spans="1:11">
      <c r="A66">
        <v>178</v>
      </c>
      <c r="B66" t="s">
        <v>1380</v>
      </c>
      <c r="D66" t="b">
        <v>0</v>
      </c>
      <c r="E66" t="b">
        <v>0</v>
      </c>
      <c r="F66" t="b">
        <v>0</v>
      </c>
      <c r="G66" t="b">
        <v>0</v>
      </c>
      <c r="H66" t="b">
        <v>1</v>
      </c>
      <c r="I66" s="10" cm="1">
        <f t="array" ref="I6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71.95</v>
      </c>
      <c r="J66" s="10" t="str" cm="1">
        <f t="array" ref="J6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Magic Madhouse</v>
      </c>
      <c r="K66" s="10" t="e" cm="1">
        <f t="array" ref="K6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67" spans="1:11">
      <c r="A67">
        <v>99</v>
      </c>
      <c r="B67" t="s">
        <v>1381</v>
      </c>
      <c r="C67" s="1"/>
      <c r="D67" t="b">
        <v>0</v>
      </c>
      <c r="E67" t="b">
        <v>1</v>
      </c>
      <c r="F67" t="b">
        <v>0</v>
      </c>
      <c r="G67" t="b">
        <v>1</v>
      </c>
      <c r="H67" t="b">
        <v>0</v>
      </c>
      <c r="I67" s="10" cm="1">
        <f t="array" ref="I6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109.51842000000001</v>
      </c>
      <c r="J67" s="10" t="str" cm="1">
        <f t="array" ref="J6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7" s="10" cm="1">
        <f t="array" ref="K6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-19.591796004800017</v>
      </c>
    </row>
    <row r="68" spans="1:11">
      <c r="A68">
        <v>100</v>
      </c>
      <c r="B68" t="s">
        <v>1382</v>
      </c>
      <c r="C68" s="1">
        <v>12</v>
      </c>
      <c r="D68" t="b">
        <v>1</v>
      </c>
      <c r="E68" t="b">
        <v>0</v>
      </c>
      <c r="F68" t="b">
        <v>0</v>
      </c>
      <c r="G68" t="b">
        <v>1</v>
      </c>
      <c r="H68" t="b">
        <v>0</v>
      </c>
      <c r="I68" s="10" cm="1">
        <f t="array" ref="I6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832.30799999999999</v>
      </c>
      <c r="J68" s="10" t="str" cm="1">
        <f t="array" ref="J6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8" s="10" t="e" cm="1">
        <f t="array" ref="K6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69" spans="1:11">
      <c r="A69">
        <v>153</v>
      </c>
      <c r="B69" t="s">
        <v>1383</v>
      </c>
      <c r="D69" t="b">
        <v>0</v>
      </c>
      <c r="E69" t="b">
        <v>0</v>
      </c>
      <c r="F69" t="b">
        <v>0</v>
      </c>
      <c r="G69" t="b">
        <v>0</v>
      </c>
      <c r="H69" t="b">
        <v>1</v>
      </c>
      <c r="I69" s="10" cm="1">
        <f t="array" ref="I6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37.444000000000003</v>
      </c>
      <c r="J69" s="10" t="str" cm="1">
        <f t="array" ref="J6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69" s="10" cm="1">
        <f t="array" ref="K6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-2.8551200000000065</v>
      </c>
    </row>
    <row r="70" spans="1:11">
      <c r="A70">
        <v>152</v>
      </c>
      <c r="B70" t="s">
        <v>1384</v>
      </c>
      <c r="D70" t="b">
        <v>0</v>
      </c>
      <c r="E70" t="b">
        <v>0</v>
      </c>
      <c r="F70" t="b">
        <v>0</v>
      </c>
      <c r="G70" t="b">
        <v>0</v>
      </c>
      <c r="H70" t="b">
        <v>1</v>
      </c>
      <c r="I70" s="10" cm="1">
        <f t="array" ref="I7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70</v>
      </c>
      <c r="J70" s="10" t="str" cm="1">
        <f t="array" ref="J7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Ashdown Gaming</v>
      </c>
      <c r="K70" s="10" t="e" cm="1">
        <f t="array" ref="K7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71" spans="1:11">
      <c r="A71">
        <v>33</v>
      </c>
      <c r="B71" t="s">
        <v>1385</v>
      </c>
      <c r="C71">
        <v>1</v>
      </c>
      <c r="D71" t="b">
        <v>0</v>
      </c>
      <c r="E71" t="b">
        <v>1</v>
      </c>
      <c r="F71" t="b">
        <v>1</v>
      </c>
      <c r="G71" t="b">
        <v>0</v>
      </c>
      <c r="H71" t="b">
        <v>0</v>
      </c>
      <c r="I71" s="10" cm="1">
        <f t="array" ref="I7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8.3910800000000005</v>
      </c>
      <c r="J71" s="10" t="str" cm="1">
        <f t="array" ref="J7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1" s="10" cm="1">
        <f t="array" ref="K7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-1.9708566752000012</v>
      </c>
    </row>
    <row r="72" spans="1:11">
      <c r="A72">
        <v>78</v>
      </c>
      <c r="B72" t="s">
        <v>1386</v>
      </c>
      <c r="C72">
        <v>30</v>
      </c>
      <c r="D72" t="b">
        <v>1</v>
      </c>
      <c r="E72" t="b">
        <v>0</v>
      </c>
      <c r="F72" t="b">
        <v>1</v>
      </c>
      <c r="G72" t="b">
        <v>0</v>
      </c>
      <c r="H72" t="b">
        <v>0</v>
      </c>
      <c r="I72" s="10" cm="1">
        <f t="array" ref="I7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165</v>
      </c>
      <c r="J72" s="10" t="str" cm="1">
        <f t="array" ref="J7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72" s="10" t="e" cm="1">
        <f t="array" ref="K7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73" spans="1:11">
      <c r="A73">
        <v>151</v>
      </c>
      <c r="B73" t="s">
        <v>1387</v>
      </c>
      <c r="D73" t="b">
        <v>0</v>
      </c>
      <c r="E73" t="b">
        <v>0</v>
      </c>
      <c r="F73" t="b">
        <v>0</v>
      </c>
      <c r="G73" t="b">
        <v>0</v>
      </c>
      <c r="H73" t="b">
        <v>1</v>
      </c>
      <c r="I73" s="10" cm="1">
        <f t="array" ref="I7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46</v>
      </c>
      <c r="J73" s="10" t="str" cm="1">
        <f t="array" ref="J7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Firestorm Games</v>
      </c>
      <c r="K73" s="10" t="e" cm="1">
        <f t="array" ref="K7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74" spans="1:11">
      <c r="A74">
        <v>154</v>
      </c>
      <c r="B74" t="s">
        <v>1388</v>
      </c>
      <c r="D74" t="b">
        <v>0</v>
      </c>
      <c r="E74" t="b">
        <v>0</v>
      </c>
      <c r="F74" t="b">
        <v>0</v>
      </c>
      <c r="G74" t="b">
        <v>0</v>
      </c>
      <c r="H74" t="b">
        <v>1</v>
      </c>
      <c r="I74" s="10" cm="1">
        <f t="array" ref="I7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44.372</v>
      </c>
      <c r="J74" s="10" t="str" cm="1">
        <f t="array" ref="J7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4" s="10" cm="1">
        <f t="array" ref="K7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-0.62724000000000757</v>
      </c>
    </row>
    <row r="75" spans="1:11">
      <c r="A75">
        <v>101</v>
      </c>
      <c r="B75" t="s">
        <v>1389</v>
      </c>
      <c r="C75" s="1"/>
      <c r="D75" t="b">
        <v>0</v>
      </c>
      <c r="E75" t="b">
        <v>1</v>
      </c>
      <c r="F75" t="b">
        <v>0</v>
      </c>
      <c r="G75" t="b">
        <v>1</v>
      </c>
      <c r="H75" t="b">
        <v>0</v>
      </c>
      <c r="I75" s="10" cm="1">
        <f t="array" ref="I7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58.444499999999998</v>
      </c>
      <c r="J75" s="10" t="str" cm="1">
        <f t="array" ref="J7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5" s="10" cm="1">
        <f t="array" ref="K7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-7.7699730800000069</v>
      </c>
    </row>
    <row r="76" spans="1:11">
      <c r="A76">
        <v>102</v>
      </c>
      <c r="B76" t="s">
        <v>1390</v>
      </c>
      <c r="C76" s="1">
        <v>12</v>
      </c>
      <c r="D76" t="b">
        <v>1</v>
      </c>
      <c r="E76" t="b">
        <v>0</v>
      </c>
      <c r="F76" t="b">
        <v>0</v>
      </c>
      <c r="G76" t="b">
        <v>1</v>
      </c>
      <c r="H76" t="b">
        <v>0</v>
      </c>
      <c r="I76" s="10" cm="1">
        <f t="array" ref="I7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616.09432303999984</v>
      </c>
      <c r="J76" s="10" t="str" cm="1">
        <f t="array" ref="J7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76" s="10" t="e" cm="1">
        <f t="array" ref="K7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77" spans="1:11">
      <c r="A77">
        <v>16</v>
      </c>
      <c r="B77" t="s">
        <v>1391</v>
      </c>
      <c r="C77">
        <v>1</v>
      </c>
      <c r="D77" t="b">
        <v>0</v>
      </c>
      <c r="E77" t="b">
        <v>1</v>
      </c>
      <c r="F77" t="b">
        <v>1</v>
      </c>
      <c r="G77" t="b">
        <v>0</v>
      </c>
      <c r="H77" t="b">
        <v>0</v>
      </c>
      <c r="I77" s="10" cm="1">
        <f t="array" ref="I7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6.33</v>
      </c>
      <c r="J77" s="10" t="str" cm="1">
        <f t="array" ref="J7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7" s="10" cm="1">
        <f t="array" ref="K7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-1.9802552000000002</v>
      </c>
    </row>
    <row r="78" spans="1:11">
      <c r="A78">
        <v>61</v>
      </c>
      <c r="B78" t="s">
        <v>1392</v>
      </c>
      <c r="C78">
        <v>30</v>
      </c>
      <c r="D78" t="b">
        <v>1</v>
      </c>
      <c r="E78" t="b">
        <v>0</v>
      </c>
      <c r="F78" t="b">
        <v>1</v>
      </c>
      <c r="G78" t="b">
        <v>0</v>
      </c>
      <c r="H78" t="b">
        <v>0</v>
      </c>
      <c r="I78" s="10" cm="1">
        <f t="array" ref="I7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138.492344</v>
      </c>
      <c r="J78" s="10" t="str" cm="1">
        <f t="array" ref="J7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78" s="10" t="e" cm="1">
        <f t="array" ref="K7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79" spans="1:11">
      <c r="A79">
        <v>44</v>
      </c>
      <c r="B79" t="s">
        <v>1393</v>
      </c>
      <c r="C79">
        <v>1</v>
      </c>
      <c r="D79" t="b">
        <v>0</v>
      </c>
      <c r="E79" t="b">
        <v>1</v>
      </c>
      <c r="F79" t="b">
        <v>1</v>
      </c>
      <c r="G79" t="b">
        <v>0</v>
      </c>
      <c r="H79" t="b">
        <v>0</v>
      </c>
      <c r="I79" s="10" cm="1">
        <f t="array" ref="I7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5.3514200000000001</v>
      </c>
      <c r="J79" s="10" t="str" cm="1">
        <f t="array" ref="J7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79" s="10" cm="1">
        <f t="array" ref="K7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-1.9847175248000002</v>
      </c>
    </row>
    <row r="80" spans="1:11">
      <c r="A80">
        <v>82</v>
      </c>
      <c r="B80" t="s">
        <v>1394</v>
      </c>
      <c r="D80" t="b">
        <v>1</v>
      </c>
      <c r="E80" t="b">
        <v>0</v>
      </c>
      <c r="F80" t="b">
        <v>1</v>
      </c>
      <c r="G80" t="b">
        <v>0</v>
      </c>
      <c r="H80" t="b">
        <v>0</v>
      </c>
      <c r="I80" s="10" cm="1">
        <f t="array" ref="I8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</v>
      </c>
      <c r="J80" s="10" t="str" cm="1">
        <f t="array" ref="J8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80" s="10" t="e" cm="1">
        <f t="array" ref="K8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81" spans="1:11">
      <c r="A81">
        <v>105</v>
      </c>
      <c r="B81" t="s">
        <v>1395</v>
      </c>
      <c r="D81" t="b">
        <v>0</v>
      </c>
      <c r="E81" t="b">
        <v>1</v>
      </c>
      <c r="F81" t="b">
        <v>0</v>
      </c>
      <c r="G81" t="b">
        <v>1</v>
      </c>
      <c r="H81" t="b">
        <v>0</v>
      </c>
      <c r="I81" s="10" cm="1">
        <f t="array" ref="I8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27.99</v>
      </c>
      <c r="J81" s="10" t="str" cm="1">
        <f t="array" ref="J8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81" s="10" cm="1">
        <f t="array" ref="K8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3.0410794032000013</v>
      </c>
    </row>
    <row r="82" spans="1:11">
      <c r="A82">
        <v>106</v>
      </c>
      <c r="B82" t="s">
        <v>1396</v>
      </c>
      <c r="C82">
        <v>12</v>
      </c>
      <c r="D82" t="b">
        <v>1</v>
      </c>
      <c r="E82" t="b">
        <v>0</v>
      </c>
      <c r="F82" t="b">
        <v>0</v>
      </c>
      <c r="G82" t="b">
        <v>1</v>
      </c>
      <c r="H82" t="b">
        <v>0</v>
      </c>
      <c r="I82" s="10" cm="1">
        <f t="array" ref="I8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330</v>
      </c>
      <c r="J82" s="10" t="str" cm="1">
        <f t="array" ref="J8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Loaded Dice</v>
      </c>
      <c r="K82" s="10" t="e" cm="1">
        <f t="array" ref="K8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83" spans="1:11">
      <c r="A83">
        <v>3</v>
      </c>
      <c r="B83" s="1" t="s">
        <v>1397</v>
      </c>
      <c r="C83">
        <v>1</v>
      </c>
      <c r="D83" t="b">
        <v>0</v>
      </c>
      <c r="E83" t="b">
        <v>1</v>
      </c>
      <c r="F83" t="b">
        <v>1</v>
      </c>
      <c r="G83" t="b">
        <v>0</v>
      </c>
      <c r="H83" t="b">
        <v>0</v>
      </c>
      <c r="I83" s="10" cm="1">
        <f t="array" ref="I8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6.25</v>
      </c>
      <c r="J83" s="10" t="str" cm="1">
        <f t="array" ref="J8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83" s="10" cm="1">
        <f t="array" ref="K8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-1.2825914384000008</v>
      </c>
    </row>
    <row r="84" spans="1:11">
      <c r="A84">
        <v>48</v>
      </c>
      <c r="B84" t="s">
        <v>1398</v>
      </c>
      <c r="C84">
        <v>36</v>
      </c>
      <c r="D84" t="b">
        <v>1</v>
      </c>
      <c r="E84" t="b">
        <v>0</v>
      </c>
      <c r="F84" t="b">
        <v>1</v>
      </c>
      <c r="G84" t="b">
        <v>0</v>
      </c>
      <c r="H84" t="b">
        <v>0</v>
      </c>
      <c r="I84" s="10" cm="1">
        <f t="array" ref="I8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180</v>
      </c>
      <c r="J84" s="10" t="str" cm="1">
        <f t="array" ref="J8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Plus Marketing</v>
      </c>
      <c r="K84" s="10" t="e" cm="1">
        <f t="array" ref="K8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85" spans="1:11">
      <c r="A85">
        <v>107</v>
      </c>
      <c r="B85" t="s">
        <v>1399</v>
      </c>
      <c r="D85" t="b">
        <v>0</v>
      </c>
      <c r="E85" t="b">
        <v>1</v>
      </c>
      <c r="F85" t="b">
        <v>0</v>
      </c>
      <c r="G85" t="b">
        <v>1</v>
      </c>
      <c r="H85" t="b">
        <v>0</v>
      </c>
      <c r="I85" s="10" cm="1">
        <f t="array" ref="I8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23.025099999999998</v>
      </c>
      <c r="J85" s="10" t="str" cm="1">
        <f t="array" ref="J8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85" s="10" cm="1">
        <f t="array" ref="K8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-7.9314855439999992</v>
      </c>
    </row>
    <row r="86" spans="1:11">
      <c r="A86">
        <v>108</v>
      </c>
      <c r="B86" t="s">
        <v>1400</v>
      </c>
      <c r="C86">
        <v>12</v>
      </c>
      <c r="D86" t="b">
        <v>1</v>
      </c>
      <c r="E86" t="b">
        <v>0</v>
      </c>
      <c r="F86" t="b">
        <v>0</v>
      </c>
      <c r="G86" t="b">
        <v>1</v>
      </c>
      <c r="H86" t="b">
        <v>0</v>
      </c>
      <c r="I86" s="10" cm="1">
        <f t="array" ref="I8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169.27242000000001</v>
      </c>
      <c r="J86" s="10" t="str" cm="1">
        <f t="array" ref="J8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86" s="10" t="e" cm="1">
        <f t="array" ref="K8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87" spans="1:11">
      <c r="A87">
        <v>13</v>
      </c>
      <c r="B87" t="s">
        <v>1401</v>
      </c>
      <c r="C87">
        <v>1</v>
      </c>
      <c r="D87" t="b">
        <v>0</v>
      </c>
      <c r="E87" t="b">
        <v>1</v>
      </c>
      <c r="F87" t="b">
        <v>1</v>
      </c>
      <c r="G87" t="b">
        <v>0</v>
      </c>
      <c r="H87" t="b">
        <v>0</v>
      </c>
      <c r="I87" s="10" cm="1">
        <f t="array" ref="I8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5.4640000000000004</v>
      </c>
      <c r="J87" s="10" t="str" cm="1">
        <f t="array" ref="J8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87" s="10" cm="1">
        <f t="array" ref="K8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-1.9842041600000009</v>
      </c>
    </row>
    <row r="88" spans="1:11">
      <c r="A88">
        <v>58</v>
      </c>
      <c r="B88" t="s">
        <v>1402</v>
      </c>
      <c r="C88">
        <v>30</v>
      </c>
      <c r="D88" t="b">
        <v>1</v>
      </c>
      <c r="E88" t="b">
        <v>0</v>
      </c>
      <c r="F88" t="b">
        <v>1</v>
      </c>
      <c r="G88" t="b">
        <v>0</v>
      </c>
      <c r="H88" t="b">
        <v>0</v>
      </c>
      <c r="I88" s="10" cm="1">
        <f t="array" ref="I8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112.39387519999998</v>
      </c>
      <c r="J88" s="10" t="str" cm="1">
        <f t="array" ref="J8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88" s="10" t="e" cm="1">
        <f t="array" ref="K8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89" spans="1:11">
      <c r="A89">
        <v>103</v>
      </c>
      <c r="B89" t="s">
        <v>1403</v>
      </c>
      <c r="D89" t="b">
        <v>0</v>
      </c>
      <c r="E89" t="b">
        <v>1</v>
      </c>
      <c r="F89" t="b">
        <v>0</v>
      </c>
      <c r="G89" t="b">
        <v>1</v>
      </c>
      <c r="H89" t="b">
        <v>0</v>
      </c>
      <c r="I89" s="10" cm="1">
        <f t="array" ref="I8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15.99</v>
      </c>
      <c r="J89" s="10" t="str" cm="1">
        <f t="array" ref="J8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89" s="10" cm="1">
        <f t="array" ref="K8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0.43463636479999757</v>
      </c>
    </row>
    <row r="90" spans="1:11">
      <c r="A90">
        <v>104</v>
      </c>
      <c r="B90" t="s">
        <v>1404</v>
      </c>
      <c r="C90">
        <v>12</v>
      </c>
      <c r="D90" t="b">
        <v>1</v>
      </c>
      <c r="E90" t="b">
        <v>0</v>
      </c>
      <c r="F90" t="b">
        <v>0</v>
      </c>
      <c r="G90" t="b">
        <v>1</v>
      </c>
      <c r="H90" t="b">
        <v>0</v>
      </c>
      <c r="I90" s="10" cm="1">
        <f t="array" ref="I9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180.21</v>
      </c>
      <c r="J90" s="10" t="str" cm="1">
        <f t="array" ref="J9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0" s="10" t="e" cm="1">
        <f t="array" ref="K9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91" spans="1:11">
      <c r="A91">
        <v>5</v>
      </c>
      <c r="B91" t="s">
        <v>1405</v>
      </c>
      <c r="C91">
        <v>1</v>
      </c>
      <c r="D91" t="b">
        <v>0</v>
      </c>
      <c r="E91" t="b">
        <v>1</v>
      </c>
      <c r="F91" t="b">
        <v>1</v>
      </c>
      <c r="G91" t="b">
        <v>0</v>
      </c>
      <c r="H91" t="b">
        <v>0</v>
      </c>
      <c r="I91" s="10" cm="1">
        <f t="array" ref="I9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7.0401199999999999</v>
      </c>
      <c r="J91" s="10" t="str" cm="1">
        <f t="array" ref="J9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1" s="10" cm="1">
        <f t="array" ref="K9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-1.9770170528</v>
      </c>
    </row>
    <row r="92" spans="1:11">
      <c r="A92">
        <v>50</v>
      </c>
      <c r="B92" t="s">
        <v>1406</v>
      </c>
      <c r="C92">
        <v>30</v>
      </c>
      <c r="D92" t="b">
        <v>1</v>
      </c>
      <c r="E92" t="b">
        <v>0</v>
      </c>
      <c r="F92" t="b">
        <v>1</v>
      </c>
      <c r="G92" t="b">
        <v>0</v>
      </c>
      <c r="H92" t="b">
        <v>0</v>
      </c>
      <c r="I92" s="10" cm="1">
        <f t="array" ref="I9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159.89308841600001</v>
      </c>
      <c r="J92" s="10" t="str" cm="1">
        <f t="array" ref="J9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92" s="10" t="e" cm="1">
        <f t="array" ref="K9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93" spans="1:11">
      <c r="A93">
        <v>109</v>
      </c>
      <c r="B93" t="s">
        <v>1407</v>
      </c>
      <c r="D93" t="b">
        <v>0</v>
      </c>
      <c r="E93" t="b">
        <v>1</v>
      </c>
      <c r="F93" t="b">
        <v>0</v>
      </c>
      <c r="G93" t="b">
        <v>1</v>
      </c>
      <c r="H93" t="b">
        <v>0</v>
      </c>
      <c r="I93" s="10" cm="1">
        <f t="array" ref="I9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30.65456</v>
      </c>
      <c r="J93" s="10" t="str" cm="1">
        <f t="array" ref="J9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3" s="10" cm="1">
        <f t="array" ref="K9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-7.8966952064000004</v>
      </c>
    </row>
    <row r="94" spans="1:11">
      <c r="A94">
        <v>110</v>
      </c>
      <c r="B94" t="s">
        <v>1408</v>
      </c>
      <c r="C94">
        <v>12</v>
      </c>
      <c r="D94" t="b">
        <v>1</v>
      </c>
      <c r="E94" t="b">
        <v>0</v>
      </c>
      <c r="F94" t="b">
        <v>0</v>
      </c>
      <c r="G94" t="b">
        <v>1</v>
      </c>
      <c r="H94" t="b">
        <v>0</v>
      </c>
      <c r="I94" s="10" cm="1">
        <f t="array" ref="I9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266.81</v>
      </c>
      <c r="J94" s="10" t="str" cm="1">
        <f t="array" ref="J9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4" s="10" t="e" cm="1">
        <f t="array" ref="K9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95" spans="1:11">
      <c r="A95">
        <v>6</v>
      </c>
      <c r="B95" t="s">
        <v>1409</v>
      </c>
      <c r="C95">
        <v>1</v>
      </c>
      <c r="D95" t="b">
        <v>0</v>
      </c>
      <c r="E95" t="b">
        <v>1</v>
      </c>
      <c r="F95" t="b">
        <v>1</v>
      </c>
      <c r="G95" t="b">
        <v>0</v>
      </c>
      <c r="H95" t="b">
        <v>0</v>
      </c>
      <c r="I95" s="10" cm="1">
        <f t="array" ref="I9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9.9845199999999998</v>
      </c>
      <c r="J95" s="10" t="str" cm="1">
        <f t="array" ref="J9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5" s="10" cm="1">
        <f t="array" ref="K9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-1.9635905888000007</v>
      </c>
    </row>
    <row r="96" spans="1:11">
      <c r="A96">
        <v>51</v>
      </c>
      <c r="B96" t="s">
        <v>1410</v>
      </c>
      <c r="C96">
        <v>30</v>
      </c>
      <c r="D96" t="b">
        <v>1</v>
      </c>
      <c r="E96" t="b">
        <v>0</v>
      </c>
      <c r="F96" t="b">
        <v>1</v>
      </c>
      <c r="G96" t="b">
        <v>0</v>
      </c>
      <c r="H96" t="b">
        <v>0</v>
      </c>
      <c r="I96" s="10" cm="1">
        <f t="array" ref="I9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195.00994</v>
      </c>
      <c r="J96" s="10" t="str" cm="1">
        <f t="array" ref="J9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6" s="10" t="e" cm="1">
        <f t="array" ref="K9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97" spans="1:11">
      <c r="A97">
        <v>233</v>
      </c>
      <c r="B97" t="s">
        <v>1411</v>
      </c>
      <c r="D97" t="b">
        <v>0</v>
      </c>
      <c r="E97" t="b">
        <v>0</v>
      </c>
      <c r="F97" t="b">
        <v>0</v>
      </c>
      <c r="G97" t="b">
        <v>0</v>
      </c>
      <c r="H97" t="b">
        <v>1</v>
      </c>
      <c r="I97" s="10" cm="1">
        <f t="array" ref="I9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34.577539999999999</v>
      </c>
      <c r="J97" s="10" t="str" cm="1">
        <f t="array" ref="J9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7" s="10" cm="1">
        <f t="array" ref="K9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-3.3559891999999998</v>
      </c>
    </row>
    <row r="98" spans="1:11">
      <c r="A98">
        <v>111</v>
      </c>
      <c r="B98" t="s">
        <v>1412</v>
      </c>
      <c r="D98" t="b">
        <v>0</v>
      </c>
      <c r="E98" t="b">
        <v>1</v>
      </c>
      <c r="F98" t="b">
        <v>0</v>
      </c>
      <c r="G98" t="b">
        <v>1</v>
      </c>
      <c r="H98" t="b">
        <v>0</v>
      </c>
      <c r="I98" s="10" cm="1">
        <f t="array" ref="I9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40.951300000000003</v>
      </c>
      <c r="J98" s="10" t="str" cm="1">
        <f t="array" ref="J9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98" s="10" cm="1">
        <f t="array" ref="K9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-7.8497420720000051</v>
      </c>
    </row>
    <row r="99" spans="1:11">
      <c r="A99">
        <v>112</v>
      </c>
      <c r="B99" t="s">
        <v>1413</v>
      </c>
      <c r="C99">
        <v>12</v>
      </c>
      <c r="D99" t="b">
        <v>1</v>
      </c>
      <c r="E99" t="b">
        <v>0</v>
      </c>
      <c r="F99" t="b">
        <v>0</v>
      </c>
      <c r="G99" t="b">
        <v>1</v>
      </c>
      <c r="H99" t="b">
        <v>0</v>
      </c>
      <c r="I99" s="10" cm="1">
        <f t="array" ref="I9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405.21869513599995</v>
      </c>
      <c r="J99" s="10" t="str" cm="1">
        <f t="array" ref="J9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99" s="10" t="e" cm="1">
        <f t="array" ref="K9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0" spans="1:11">
      <c r="A100">
        <v>24</v>
      </c>
      <c r="B100" t="s">
        <v>1414</v>
      </c>
      <c r="C100">
        <v>1</v>
      </c>
      <c r="D100" t="b">
        <v>0</v>
      </c>
      <c r="E100" t="b">
        <v>1</v>
      </c>
      <c r="F100" t="b">
        <v>1</v>
      </c>
      <c r="G100" t="b">
        <v>0</v>
      </c>
      <c r="H100" t="b">
        <v>0</v>
      </c>
      <c r="I100" s="10" cm="1">
        <f t="array" ref="I10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8.0619999999999994</v>
      </c>
      <c r="J100" s="10" t="str" cm="1">
        <f t="array" ref="J10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00" s="10" cm="1">
        <f t="array" ref="K10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-1.9723572800000007</v>
      </c>
    </row>
    <row r="101" spans="1:11">
      <c r="A101">
        <v>69</v>
      </c>
      <c r="B101" t="s">
        <v>1415</v>
      </c>
      <c r="C101">
        <v>30</v>
      </c>
      <c r="D101" t="b">
        <v>1</v>
      </c>
      <c r="E101" t="b">
        <v>0</v>
      </c>
      <c r="F101" t="b">
        <v>1</v>
      </c>
      <c r="G101" t="b">
        <v>0</v>
      </c>
      <c r="H101" t="b">
        <v>0</v>
      </c>
      <c r="I101" s="10" cm="1">
        <f t="array" ref="I10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190.68928159999996</v>
      </c>
      <c r="J101" s="10" t="str" cm="1">
        <f t="array" ref="J10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01" s="10" t="e" cm="1">
        <f t="array" ref="K10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2" spans="1:11" ht="27.75">
      <c r="A102">
        <v>234</v>
      </c>
      <c r="B102" s="1" t="s">
        <v>1416</v>
      </c>
      <c r="D102" t="b">
        <v>0</v>
      </c>
      <c r="E102" t="b">
        <v>0</v>
      </c>
      <c r="F102" t="b">
        <v>0</v>
      </c>
      <c r="G102" t="b">
        <v>0</v>
      </c>
      <c r="H102" t="b">
        <v>1</v>
      </c>
      <c r="I102" s="10" cm="1">
        <f t="array" ref="I10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30.247540000000001</v>
      </c>
      <c r="J102" s="10" t="str" cm="1">
        <f t="array" ref="J10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02" s="10" cm="1">
        <f t="array" ref="K10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-4.1125892000000022</v>
      </c>
    </row>
    <row r="103" spans="1:11">
      <c r="A103">
        <v>236</v>
      </c>
      <c r="B103" t="s">
        <v>1417</v>
      </c>
      <c r="D103" t="b">
        <v>0</v>
      </c>
      <c r="E103" t="b">
        <v>0</v>
      </c>
      <c r="F103" t="b">
        <v>0</v>
      </c>
      <c r="G103" t="b">
        <v>0</v>
      </c>
      <c r="H103" t="b">
        <v>1</v>
      </c>
      <c r="I103" s="10" cm="1">
        <f t="array" ref="I10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45</v>
      </c>
      <c r="J103" s="10" t="str" cm="1">
        <f t="array" ref="J10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03" s="10" t="e" cm="1">
        <f t="array" ref="K10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4" spans="1:11">
      <c r="A104">
        <v>113</v>
      </c>
      <c r="B104" t="s">
        <v>1418</v>
      </c>
      <c r="D104" t="b">
        <v>0</v>
      </c>
      <c r="E104" t="b">
        <v>1</v>
      </c>
      <c r="F104" t="b">
        <v>0</v>
      </c>
      <c r="G104" t="b">
        <v>1</v>
      </c>
      <c r="H104" t="b">
        <v>0</v>
      </c>
      <c r="I104" s="10" cm="1">
        <f t="array" ref="I10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37.859679999999997</v>
      </c>
      <c r="J104" s="10" t="str" cm="1">
        <f t="array" ref="J10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04" s="10" cm="1">
        <f t="array" ref="K10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-7.8638398591999987</v>
      </c>
    </row>
    <row r="105" spans="1:11">
      <c r="A105">
        <v>114</v>
      </c>
      <c r="B105" t="s">
        <v>1419</v>
      </c>
      <c r="C105">
        <v>12</v>
      </c>
      <c r="D105" t="b">
        <v>1</v>
      </c>
      <c r="E105" t="b">
        <v>0</v>
      </c>
      <c r="F105" t="b">
        <v>0</v>
      </c>
      <c r="G105" t="b">
        <v>1</v>
      </c>
      <c r="H105" t="b">
        <v>0</v>
      </c>
      <c r="I105" s="10" cm="1">
        <f t="array" ref="I10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330</v>
      </c>
      <c r="J105" s="10" t="str" cm="1">
        <f t="array" ref="J10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05" s="10" t="e" cm="1">
        <f t="array" ref="K10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6" spans="1:11">
      <c r="A106">
        <v>237</v>
      </c>
      <c r="B106" t="s">
        <v>1420</v>
      </c>
      <c r="D106" t="b">
        <v>0</v>
      </c>
      <c r="E106" t="b">
        <v>0</v>
      </c>
      <c r="F106" t="b">
        <v>0</v>
      </c>
      <c r="G106" t="b">
        <v>0</v>
      </c>
      <c r="H106" t="b">
        <v>1</v>
      </c>
      <c r="I106" s="10" cm="1">
        <f t="array" ref="I10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37</v>
      </c>
      <c r="J106" s="10" t="str" cm="1">
        <f t="array" ref="J10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Wayland Games</v>
      </c>
      <c r="K106" s="10" t="e" cm="1">
        <f t="array" ref="K10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7" spans="1:11">
      <c r="A107">
        <v>4</v>
      </c>
      <c r="B107" t="s">
        <v>1421</v>
      </c>
      <c r="C107">
        <v>1</v>
      </c>
      <c r="D107" t="b">
        <v>0</v>
      </c>
      <c r="E107" t="b">
        <v>1</v>
      </c>
      <c r="F107" t="b">
        <v>1</v>
      </c>
      <c r="G107" t="b">
        <v>0</v>
      </c>
      <c r="H107" t="b">
        <v>0</v>
      </c>
      <c r="I107" s="10" cm="1">
        <f t="array" ref="I10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5.9489599999999996</v>
      </c>
      <c r="J107" s="10" t="str" cm="1">
        <f t="array" ref="J10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07" s="10" cm="1">
        <f t="array" ref="K10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-1.9819927424000001</v>
      </c>
    </row>
    <row r="108" spans="1:11">
      <c r="A108">
        <v>49</v>
      </c>
      <c r="B108" t="s">
        <v>1422</v>
      </c>
      <c r="C108">
        <v>30</v>
      </c>
      <c r="D108" t="b">
        <v>1</v>
      </c>
      <c r="E108" t="b">
        <v>0</v>
      </c>
      <c r="F108" t="b">
        <v>1</v>
      </c>
      <c r="G108" t="b">
        <v>0</v>
      </c>
      <c r="H108" t="b">
        <v>0</v>
      </c>
      <c r="I108" s="10" cm="1">
        <f t="array" ref="I10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127.00901772799999</v>
      </c>
      <c r="J108" s="10" t="str" cm="1">
        <f t="array" ref="J10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08" s="10" t="e" cm="1">
        <f t="array" ref="K10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09" spans="1:11">
      <c r="A109">
        <v>206</v>
      </c>
      <c r="B109" t="s">
        <v>1423</v>
      </c>
      <c r="D109" t="b">
        <v>0</v>
      </c>
      <c r="E109" t="b">
        <v>0</v>
      </c>
      <c r="F109" t="b">
        <v>0</v>
      </c>
      <c r="G109" t="b">
        <v>0</v>
      </c>
      <c r="H109" t="b">
        <v>1</v>
      </c>
      <c r="I109" s="10" cm="1">
        <f t="array" ref="I10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46.96134</v>
      </c>
      <c r="J109" s="10" t="str" cm="1">
        <f t="array" ref="J10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09" s="10" cm="1">
        <f t="array" ref="K10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-1.1921132000000085</v>
      </c>
    </row>
    <row r="110" spans="1:11">
      <c r="A110">
        <v>205</v>
      </c>
      <c r="B110" t="s">
        <v>1424</v>
      </c>
      <c r="D110" t="b">
        <v>0</v>
      </c>
      <c r="E110" t="b">
        <v>0</v>
      </c>
      <c r="F110" t="b">
        <v>0</v>
      </c>
      <c r="G110" t="b">
        <v>0</v>
      </c>
      <c r="H110" t="b">
        <v>1</v>
      </c>
      <c r="I110" s="10" cm="1">
        <f t="array" ref="I11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123.92</v>
      </c>
      <c r="J110" s="10" t="str" cm="1">
        <f t="array" ref="J11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0" s="10" cm="1">
        <f t="array" ref="K11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1.9051999999999936</v>
      </c>
    </row>
    <row r="111" spans="1:11">
      <c r="A111">
        <v>207</v>
      </c>
      <c r="B111" s="1" t="s">
        <v>1425</v>
      </c>
      <c r="D111" t="b">
        <v>0</v>
      </c>
      <c r="E111" t="b">
        <v>0</v>
      </c>
      <c r="F111" t="b">
        <v>0</v>
      </c>
      <c r="G111" t="b">
        <v>0</v>
      </c>
      <c r="H111" t="b">
        <v>1</v>
      </c>
      <c r="I111" s="10" cm="1">
        <f t="array" ref="I11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51.248040000000003</v>
      </c>
      <c r="J111" s="10" t="str" cm="1">
        <f t="array" ref="J11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1" s="10" cm="1">
        <f t="array" ref="K11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-0.44307920000000678</v>
      </c>
    </row>
    <row r="112" spans="1:11">
      <c r="A112">
        <v>204</v>
      </c>
      <c r="B112" t="s">
        <v>1426</v>
      </c>
      <c r="D112" t="b">
        <v>0</v>
      </c>
      <c r="E112" t="b">
        <v>0</v>
      </c>
      <c r="F112" t="b">
        <v>0</v>
      </c>
      <c r="G112" t="b">
        <v>0</v>
      </c>
      <c r="H112" t="b">
        <v>1</v>
      </c>
      <c r="I112" s="10" cm="1">
        <f t="array" ref="I11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68.62</v>
      </c>
      <c r="J112" s="10" t="str" cm="1">
        <f t="array" ref="J11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2" s="10" cm="1">
        <f t="array" ref="K11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2.5923999999999978</v>
      </c>
    </row>
    <row r="113" spans="1:11">
      <c r="A113">
        <v>115</v>
      </c>
      <c r="B113" t="s">
        <v>1427</v>
      </c>
      <c r="D113" t="b">
        <v>0</v>
      </c>
      <c r="E113" t="b">
        <v>1</v>
      </c>
      <c r="F113" t="b">
        <v>0</v>
      </c>
      <c r="G113" t="b">
        <v>1</v>
      </c>
      <c r="H113" t="b">
        <v>0</v>
      </c>
      <c r="I113" s="10" cm="1">
        <f t="array" ref="I11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49.134999999999998</v>
      </c>
      <c r="J113" s="10" t="str" cm="1">
        <f t="array" ref="J11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3" s="10" cm="1">
        <f t="array" ref="K11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-7.8124244000000047</v>
      </c>
    </row>
    <row r="114" spans="1:11">
      <c r="A114">
        <v>116</v>
      </c>
      <c r="B114" t="s">
        <v>1428</v>
      </c>
      <c r="C114">
        <v>12</v>
      </c>
      <c r="D114" t="b">
        <v>1</v>
      </c>
      <c r="E114" t="b">
        <v>0</v>
      </c>
      <c r="F114" t="b">
        <v>0</v>
      </c>
      <c r="G114" t="b">
        <v>1</v>
      </c>
      <c r="H114" t="b">
        <v>0</v>
      </c>
      <c r="I114" s="10" cm="1">
        <f t="array" ref="I11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503.87090719999992</v>
      </c>
      <c r="J114" s="10" t="str" cm="1">
        <f t="array" ref="J11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14" s="10" t="e" cm="1">
        <f t="array" ref="K11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15" spans="1:11">
      <c r="A115">
        <v>14</v>
      </c>
      <c r="B115" t="s">
        <v>1429</v>
      </c>
      <c r="C115">
        <v>1</v>
      </c>
      <c r="D115" t="b">
        <v>0</v>
      </c>
      <c r="E115" t="b">
        <v>1</v>
      </c>
      <c r="F115" t="b">
        <v>1</v>
      </c>
      <c r="G115" t="b">
        <v>0</v>
      </c>
      <c r="H115" t="b">
        <v>0</v>
      </c>
      <c r="I115" s="10" cm="1">
        <f t="array" ref="I11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5.6112200000000003</v>
      </c>
      <c r="J115" s="10" t="str" cm="1">
        <f t="array" ref="J11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5" s="10" cm="1">
        <f t="array" ref="K11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-1.9835328368000007</v>
      </c>
    </row>
    <row r="116" spans="1:11">
      <c r="A116">
        <v>59</v>
      </c>
      <c r="B116" s="1" t="s">
        <v>1430</v>
      </c>
      <c r="C116">
        <v>30</v>
      </c>
      <c r="D116" t="b">
        <v>1</v>
      </c>
      <c r="E116" t="b">
        <v>0</v>
      </c>
      <c r="F116" t="b">
        <v>1</v>
      </c>
      <c r="G116" t="b">
        <v>0</v>
      </c>
      <c r="H116" t="b">
        <v>0</v>
      </c>
      <c r="I116" s="10" cm="1">
        <f t="array" ref="I11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116.83061489599999</v>
      </c>
      <c r="J116" s="10" t="str" cm="1">
        <f t="array" ref="J11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16" s="10" t="e" cm="1">
        <f t="array" ref="K11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17" spans="1:11">
      <c r="A117">
        <v>208</v>
      </c>
      <c r="B117" t="s">
        <v>1431</v>
      </c>
      <c r="D117" t="b">
        <v>0</v>
      </c>
      <c r="E117" t="b">
        <v>0</v>
      </c>
      <c r="F117" t="b">
        <v>0</v>
      </c>
      <c r="G117" t="b">
        <v>0</v>
      </c>
      <c r="H117" t="b">
        <v>1</v>
      </c>
      <c r="I117" s="10" cm="1">
        <f t="array" ref="I11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27.917999999999999</v>
      </c>
      <c r="J117" s="10" t="str" cm="1">
        <f t="array" ref="J11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7" s="10" cm="1">
        <f t="array" ref="K11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-4.5196400000000025</v>
      </c>
    </row>
    <row r="118" spans="1:11">
      <c r="A118">
        <v>117</v>
      </c>
      <c r="B118" t="s">
        <v>1432</v>
      </c>
      <c r="D118" t="b">
        <v>0</v>
      </c>
      <c r="E118" t="b">
        <v>1</v>
      </c>
      <c r="F118" t="b">
        <v>0</v>
      </c>
      <c r="G118" t="b">
        <v>1</v>
      </c>
      <c r="H118" t="b">
        <v>0</v>
      </c>
      <c r="I118" s="10" cm="1">
        <f t="array" ref="I11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33.113999999999997</v>
      </c>
      <c r="J118" s="10" t="str" cm="1">
        <f t="array" ref="J11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18" s="10" cm="1">
        <f t="array" ref="K11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-7.8854801600000002</v>
      </c>
    </row>
    <row r="119" spans="1:11">
      <c r="A119">
        <v>118</v>
      </c>
      <c r="B119" t="s">
        <v>1433</v>
      </c>
      <c r="C119">
        <v>12</v>
      </c>
      <c r="D119" t="b">
        <v>1</v>
      </c>
      <c r="E119" t="b">
        <v>0</v>
      </c>
      <c r="F119" t="b">
        <v>0</v>
      </c>
      <c r="G119" t="b">
        <v>1</v>
      </c>
      <c r="H119" t="b">
        <v>0</v>
      </c>
      <c r="I119" s="10" cm="1">
        <f t="array" ref="I11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280</v>
      </c>
      <c r="J119" s="10" t="str" cm="1">
        <f t="array" ref="J11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Wayland Games</v>
      </c>
      <c r="K119" s="10" t="e" cm="1">
        <f t="array" ref="K11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0" spans="1:11">
      <c r="A120">
        <v>19</v>
      </c>
      <c r="B120" t="s">
        <v>1434</v>
      </c>
      <c r="C120">
        <v>1</v>
      </c>
      <c r="D120" t="b">
        <v>0</v>
      </c>
      <c r="E120" t="b">
        <v>1</v>
      </c>
      <c r="F120" t="b">
        <v>1</v>
      </c>
      <c r="G120" t="b">
        <v>0</v>
      </c>
      <c r="H120" t="b">
        <v>0</v>
      </c>
      <c r="I120" s="10" cm="1">
        <f t="array" ref="I12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5.14358</v>
      </c>
      <c r="J120" s="10" t="str" cm="1">
        <f t="array" ref="J12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20" s="10" cm="1">
        <f t="array" ref="K12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-1.9856652752000001</v>
      </c>
    </row>
    <row r="121" spans="1:11">
      <c r="A121">
        <v>64</v>
      </c>
      <c r="B121" t="s">
        <v>1435</v>
      </c>
      <c r="C121">
        <v>30</v>
      </c>
      <c r="D121" t="b">
        <v>1</v>
      </c>
      <c r="E121" t="b">
        <v>0</v>
      </c>
      <c r="F121" t="b">
        <v>1</v>
      </c>
      <c r="G121" t="b">
        <v>0</v>
      </c>
      <c r="H121" t="b">
        <v>0</v>
      </c>
      <c r="I121" s="10" cm="1">
        <f t="array" ref="I12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80</v>
      </c>
      <c r="J121" s="10" t="str" cm="1">
        <f t="array" ref="J12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Travelling Man</v>
      </c>
      <c r="K121" s="10" t="e" cm="1">
        <f t="array" ref="K12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2" spans="1:11" ht="27.75">
      <c r="A122">
        <v>242</v>
      </c>
      <c r="B122" s="1" t="s">
        <v>1436</v>
      </c>
      <c r="D122" t="b">
        <v>0</v>
      </c>
      <c r="E122" t="b">
        <v>0</v>
      </c>
      <c r="F122" t="b">
        <v>0</v>
      </c>
      <c r="G122" t="b">
        <v>1</v>
      </c>
      <c r="H122" t="b">
        <v>1</v>
      </c>
      <c r="I122" s="10" cm="1">
        <f t="array" ref="I12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141</v>
      </c>
      <c r="J122" s="10" t="str" cm="1">
        <f t="array" ref="J12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2" s="10" t="e" cm="1">
        <f t="array" ref="K12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3" spans="1:11">
      <c r="A123">
        <v>238</v>
      </c>
      <c r="B123" s="1" t="s">
        <v>1437</v>
      </c>
      <c r="D123" t="b">
        <v>0</v>
      </c>
      <c r="E123" t="b">
        <v>0</v>
      </c>
      <c r="F123" t="b">
        <v>0</v>
      </c>
      <c r="G123" t="b">
        <v>0</v>
      </c>
      <c r="H123" t="b">
        <v>1</v>
      </c>
      <c r="I123" s="10" cm="1">
        <f t="array" ref="I12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60</v>
      </c>
      <c r="J123" s="10" t="str" cm="1">
        <f t="array" ref="J12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3" s="10" t="e" cm="1">
        <f t="array" ref="K12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4" spans="1:11">
      <c r="A124">
        <v>251</v>
      </c>
      <c r="B124" t="s">
        <v>1438</v>
      </c>
      <c r="D124" t="b">
        <v>0</v>
      </c>
      <c r="E124" t="b">
        <v>1</v>
      </c>
      <c r="F124" t="b">
        <v>0</v>
      </c>
      <c r="G124" t="b">
        <v>1</v>
      </c>
      <c r="H124" t="b">
        <v>0</v>
      </c>
      <c r="I124" s="10" t="str" cm="1">
        <f t="array" ref="I12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124" s="10" t="str" cm="1">
        <f t="array" ref="J12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124" s="10" t="e" cm="1">
        <f t="array" ref="K12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5" spans="1:11">
      <c r="A125">
        <v>248</v>
      </c>
      <c r="B125" t="s">
        <v>1439</v>
      </c>
      <c r="C125">
        <v>12</v>
      </c>
      <c r="D125" t="b">
        <v>1</v>
      </c>
      <c r="E125" t="b">
        <v>0</v>
      </c>
      <c r="F125" t="b">
        <v>0</v>
      </c>
      <c r="G125" t="b">
        <v>1</v>
      </c>
      <c r="H125" t="b">
        <v>0</v>
      </c>
      <c r="I125" s="10" cm="1">
        <f t="array" ref="I12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450</v>
      </c>
      <c r="J125" s="10" t="str" cm="1">
        <f t="array" ref="J12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5" s="10" t="e" cm="1">
        <f t="array" ref="K12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6" spans="1:11" ht="27.75">
      <c r="A126">
        <v>243</v>
      </c>
      <c r="B126" s="1" t="s">
        <v>1440</v>
      </c>
      <c r="D126" t="b">
        <v>0</v>
      </c>
      <c r="E126" t="b">
        <v>0</v>
      </c>
      <c r="F126" t="b">
        <v>0</v>
      </c>
      <c r="G126" t="b">
        <v>1</v>
      </c>
      <c r="H126" t="b">
        <v>1</v>
      </c>
      <c r="I126" s="10" cm="1">
        <f t="array" ref="I12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141</v>
      </c>
      <c r="J126" s="10" t="str" cm="1">
        <f t="array" ref="J12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6" s="10" t="e" cm="1">
        <f t="array" ref="K12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7" spans="1:11">
      <c r="A127">
        <v>239</v>
      </c>
      <c r="B127" t="s">
        <v>1441</v>
      </c>
      <c r="D127" t="b">
        <v>0</v>
      </c>
      <c r="E127" t="b">
        <v>0</v>
      </c>
      <c r="F127" t="b">
        <v>0</v>
      </c>
      <c r="G127" t="b">
        <v>0</v>
      </c>
      <c r="H127" t="b">
        <v>1</v>
      </c>
      <c r="I127" s="10" cm="1">
        <f t="array" ref="I12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60</v>
      </c>
      <c r="J127" s="10" t="str" cm="1">
        <f t="array" ref="J12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7" s="10" t="e" cm="1">
        <f t="array" ref="K12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8" spans="1:11">
      <c r="A128">
        <v>249</v>
      </c>
      <c r="B128" t="s">
        <v>1442</v>
      </c>
      <c r="D128" t="b">
        <v>0</v>
      </c>
      <c r="E128" t="b">
        <v>1</v>
      </c>
      <c r="F128" t="b">
        <v>0</v>
      </c>
      <c r="G128" t="b">
        <v>0</v>
      </c>
      <c r="H128" t="b">
        <v>0</v>
      </c>
      <c r="I128" s="10" t="str" cm="1">
        <f t="array" ref="I12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128" s="10" t="str" cm="1">
        <f t="array" ref="J12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128" s="10" t="e" cm="1">
        <f t="array" ref="K12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29" spans="1:11">
      <c r="A129">
        <v>246</v>
      </c>
      <c r="B129" t="s">
        <v>1443</v>
      </c>
      <c r="C129">
        <v>24</v>
      </c>
      <c r="D129" t="b">
        <v>1</v>
      </c>
      <c r="E129" t="b">
        <v>0</v>
      </c>
      <c r="F129" t="b">
        <v>0</v>
      </c>
      <c r="G129" t="b">
        <v>0</v>
      </c>
      <c r="H129" t="b">
        <v>0</v>
      </c>
      <c r="I129" s="10" cm="1">
        <f t="array" ref="I12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140</v>
      </c>
      <c r="J129" s="10" t="str" cm="1">
        <f t="array" ref="J12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29" s="10" t="e" cm="1">
        <f t="array" ref="K12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0" spans="1:11">
      <c r="A130">
        <v>250</v>
      </c>
      <c r="B130" t="s">
        <v>1444</v>
      </c>
      <c r="D130" t="b">
        <v>0</v>
      </c>
      <c r="E130" t="b">
        <v>1</v>
      </c>
      <c r="F130" t="b">
        <v>1</v>
      </c>
      <c r="G130" t="b">
        <v>0</v>
      </c>
      <c r="H130" t="b">
        <v>0</v>
      </c>
      <c r="I130" s="10" t="str" cm="1">
        <f t="array" ref="I13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130" s="10" t="str" cm="1">
        <f t="array" ref="J13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130" s="10" t="e" cm="1">
        <f t="array" ref="K13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1" spans="1:11">
      <c r="A131">
        <v>247</v>
      </c>
      <c r="B131" t="s">
        <v>1445</v>
      </c>
      <c r="C131">
        <v>30</v>
      </c>
      <c r="D131" t="b">
        <v>1</v>
      </c>
      <c r="E131" t="b">
        <v>0</v>
      </c>
      <c r="F131" t="b">
        <v>1</v>
      </c>
      <c r="G131" t="b">
        <v>0</v>
      </c>
      <c r="H131" t="b">
        <v>0</v>
      </c>
      <c r="I131" s="10" cm="1">
        <f t="array" ref="I13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150</v>
      </c>
      <c r="J131" s="10" t="str" cm="1">
        <f t="array" ref="J13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31" s="10" t="e" cm="1">
        <f t="array" ref="K13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2" spans="1:11" ht="27.75">
      <c r="A132">
        <v>244</v>
      </c>
      <c r="B132" s="1" t="s">
        <v>1446</v>
      </c>
      <c r="D132" t="b">
        <v>0</v>
      </c>
      <c r="E132" t="b">
        <v>0</v>
      </c>
      <c r="F132" t="b">
        <v>0</v>
      </c>
      <c r="G132" t="b">
        <v>1</v>
      </c>
      <c r="H132" t="b">
        <v>1</v>
      </c>
      <c r="I132" s="10" cm="1">
        <f t="array" ref="I13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141</v>
      </c>
      <c r="J132" s="10" t="str" cm="1">
        <f t="array" ref="J13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32" s="10" t="e" cm="1">
        <f t="array" ref="K13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3" spans="1:11">
      <c r="A133">
        <v>240</v>
      </c>
      <c r="B133" s="1" t="s">
        <v>1447</v>
      </c>
      <c r="D133" t="b">
        <v>0</v>
      </c>
      <c r="E133" t="b">
        <v>0</v>
      </c>
      <c r="F133" t="b">
        <v>0</v>
      </c>
      <c r="G133" t="b">
        <v>0</v>
      </c>
      <c r="H133" t="b">
        <v>1</v>
      </c>
      <c r="I133" s="10" cm="1">
        <f t="array" ref="I13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60</v>
      </c>
      <c r="J133" s="10" t="str" cm="1">
        <f t="array" ref="J13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33" s="10" t="e" cm="1">
        <f t="array" ref="K13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4" spans="1:11" ht="27.75">
      <c r="A134">
        <v>245</v>
      </c>
      <c r="B134" s="1" t="s">
        <v>1448</v>
      </c>
      <c r="D134" t="b">
        <v>0</v>
      </c>
      <c r="E134" t="b">
        <v>0</v>
      </c>
      <c r="F134" t="b">
        <v>0</v>
      </c>
      <c r="G134" t="b">
        <v>1</v>
      </c>
      <c r="H134" t="b">
        <v>1</v>
      </c>
      <c r="I134" s="10" cm="1">
        <f t="array" ref="I13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141</v>
      </c>
      <c r="J134" s="10" t="str" cm="1">
        <f t="array" ref="J13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34" s="10" t="e" cm="1">
        <f t="array" ref="K13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5" spans="1:11">
      <c r="A135">
        <v>241</v>
      </c>
      <c r="B135" t="s">
        <v>1449</v>
      </c>
      <c r="D135" t="b">
        <v>0</v>
      </c>
      <c r="E135" t="b">
        <v>0</v>
      </c>
      <c r="F135" t="b">
        <v>0</v>
      </c>
      <c r="G135" t="b">
        <v>0</v>
      </c>
      <c r="H135" t="b">
        <v>1</v>
      </c>
      <c r="I135" s="10" cm="1">
        <f t="array" ref="I13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60</v>
      </c>
      <c r="J135" s="10" t="str" cm="1">
        <f t="array" ref="J13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35" s="10" t="e" cm="1">
        <f t="array" ref="K13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6" spans="1:11">
      <c r="A136">
        <v>119</v>
      </c>
      <c r="B136" t="s">
        <v>1450</v>
      </c>
      <c r="C136" s="1"/>
      <c r="D136" t="b">
        <v>0</v>
      </c>
      <c r="E136" t="b">
        <v>1</v>
      </c>
      <c r="F136" t="b">
        <v>0</v>
      </c>
      <c r="G136" t="b">
        <v>1</v>
      </c>
      <c r="H136" t="b">
        <v>0</v>
      </c>
      <c r="I136" s="10" cm="1">
        <f t="array" ref="I13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49.134999999999998</v>
      </c>
      <c r="J136" s="10" t="str" cm="1">
        <f t="array" ref="J13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36" s="10" cm="1">
        <f t="array" ref="K13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-7.8124244000000047</v>
      </c>
    </row>
    <row r="137" spans="1:11">
      <c r="A137">
        <v>120</v>
      </c>
      <c r="B137" t="s">
        <v>1451</v>
      </c>
      <c r="C137">
        <v>12</v>
      </c>
      <c r="D137" t="b">
        <v>1</v>
      </c>
      <c r="E137" t="b">
        <v>0</v>
      </c>
      <c r="F137" t="b">
        <v>0</v>
      </c>
      <c r="G137" t="b">
        <v>1</v>
      </c>
      <c r="H137" t="b">
        <v>0</v>
      </c>
      <c r="I137" s="10" cm="1">
        <f t="array" ref="I13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453</v>
      </c>
      <c r="J137" s="10" t="str" cm="1">
        <f t="array" ref="J13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37" s="10" t="e" cm="1">
        <f t="array" ref="K13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38" spans="1:11">
      <c r="A138">
        <v>1</v>
      </c>
      <c r="B138" t="s">
        <v>1452</v>
      </c>
      <c r="C138">
        <v>1</v>
      </c>
      <c r="D138" t="b">
        <v>0</v>
      </c>
      <c r="E138" t="b">
        <v>1</v>
      </c>
      <c r="F138" t="b">
        <v>1</v>
      </c>
      <c r="G138" t="b">
        <v>0</v>
      </c>
      <c r="H138" t="b">
        <v>0</v>
      </c>
      <c r="I138" s="12" cm="1">
        <f t="array" ref="I13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20.35782</v>
      </c>
      <c r="J138" s="10" t="str" cm="1">
        <f t="array" ref="J13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38" s="10" cm="1">
        <f t="array" ref="K13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-7.9436483407999994</v>
      </c>
    </row>
    <row r="139" spans="1:11">
      <c r="A139">
        <v>46</v>
      </c>
      <c r="B139" t="s">
        <v>1453</v>
      </c>
      <c r="C139">
        <v>36</v>
      </c>
      <c r="D139" t="b">
        <v>1</v>
      </c>
      <c r="E139" t="b">
        <v>0</v>
      </c>
      <c r="F139" t="b">
        <v>1</v>
      </c>
      <c r="G139" t="b">
        <v>0</v>
      </c>
      <c r="H139" t="b">
        <v>0</v>
      </c>
      <c r="I139" s="10" cm="1">
        <f t="array" ref="I13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266.81</v>
      </c>
      <c r="J139" s="10" t="str" cm="1">
        <f t="array" ref="J13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39" s="10" t="e" cm="1">
        <f t="array" ref="K13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40" spans="1:11">
      <c r="A140">
        <v>173</v>
      </c>
      <c r="B140" t="s">
        <v>1454</v>
      </c>
      <c r="D140" t="b">
        <v>0</v>
      </c>
      <c r="E140" t="b">
        <v>0</v>
      </c>
      <c r="F140" t="b">
        <v>0</v>
      </c>
      <c r="G140" t="b">
        <v>0</v>
      </c>
      <c r="H140" t="b">
        <v>1</v>
      </c>
      <c r="I140" s="10" cm="1">
        <f t="array" ref="I14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36.578000000000003</v>
      </c>
      <c r="J140" s="10" t="str" cm="1">
        <f t="array" ref="J14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0" s="10" cm="1">
        <f t="array" ref="K14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-3.0064400000000049</v>
      </c>
    </row>
    <row r="141" spans="1:11">
      <c r="A141">
        <v>170</v>
      </c>
      <c r="B141" t="s">
        <v>1455</v>
      </c>
      <c r="D141" t="b">
        <v>0</v>
      </c>
      <c r="E141" t="b">
        <v>0</v>
      </c>
      <c r="F141" t="b">
        <v>0</v>
      </c>
      <c r="G141" t="b">
        <v>0</v>
      </c>
      <c r="H141" t="b">
        <v>1</v>
      </c>
      <c r="I141" s="10" cm="1">
        <f t="array" ref="I14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76.050280000000001</v>
      </c>
      <c r="J141" s="10" t="str" cm="1">
        <f t="array" ref="J14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1" s="10" cm="1">
        <f t="array" ref="K14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3.9212451999999871</v>
      </c>
    </row>
    <row r="142" spans="1:11">
      <c r="A142">
        <v>171</v>
      </c>
      <c r="B142" t="s">
        <v>1456</v>
      </c>
      <c r="D142" t="b">
        <v>0</v>
      </c>
      <c r="E142" t="b">
        <v>0</v>
      </c>
      <c r="F142" t="b">
        <v>0</v>
      </c>
      <c r="G142" t="b">
        <v>0</v>
      </c>
      <c r="H142" t="b">
        <v>1</v>
      </c>
      <c r="I142" s="10" cm="1">
        <f t="array" ref="I14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40</v>
      </c>
      <c r="J142" s="10" t="str" cm="1">
        <f t="array" ref="J14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Wayland Games</v>
      </c>
      <c r="K142" s="10" cm="1">
        <f t="array" ref="K14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-1.9522320000000022</v>
      </c>
    </row>
    <row r="143" spans="1:11">
      <c r="A143">
        <v>121</v>
      </c>
      <c r="B143" t="s">
        <v>1457</v>
      </c>
      <c r="D143" t="b">
        <v>0</v>
      </c>
      <c r="E143" t="b">
        <v>1</v>
      </c>
      <c r="F143" t="b">
        <v>0</v>
      </c>
      <c r="G143" t="b">
        <v>1</v>
      </c>
      <c r="H143" t="b">
        <v>0</v>
      </c>
      <c r="I143" s="10" cm="1">
        <f t="array" ref="I14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35.99</v>
      </c>
      <c r="J143" s="10" t="str" cm="1">
        <f t="array" ref="J14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43" s="10" cm="1">
        <f t="array" ref="K14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12.570550947199997</v>
      </c>
    </row>
    <row r="144" spans="1:11">
      <c r="A144">
        <v>122</v>
      </c>
      <c r="B144" t="s">
        <v>1458</v>
      </c>
      <c r="C144">
        <v>12</v>
      </c>
      <c r="D144" t="b">
        <v>1</v>
      </c>
      <c r="E144" t="b">
        <v>0</v>
      </c>
      <c r="F144" t="b">
        <v>0</v>
      </c>
      <c r="G144" t="b">
        <v>1</v>
      </c>
      <c r="H144" t="b">
        <v>0</v>
      </c>
      <c r="I144" s="10" cm="1">
        <f t="array" ref="I14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431.88</v>
      </c>
      <c r="J144" s="10" t="str" cm="1">
        <f t="array" ref="J14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 Packs x Box Size</v>
      </c>
      <c r="K144" s="10" t="e" cm="1">
        <f t="array" ref="K14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45" spans="1:11">
      <c r="A145">
        <v>15</v>
      </c>
      <c r="B145" t="s">
        <v>1459</v>
      </c>
      <c r="C145">
        <v>1</v>
      </c>
      <c r="D145" t="b">
        <v>0</v>
      </c>
      <c r="E145" t="b">
        <v>1</v>
      </c>
      <c r="F145" t="b">
        <v>1</v>
      </c>
      <c r="G145" t="b">
        <v>0</v>
      </c>
      <c r="H145" t="b">
        <v>0</v>
      </c>
      <c r="I145" s="10" cm="1">
        <f t="array" ref="I14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9.4649199999999993</v>
      </c>
      <c r="J145" s="10" t="str" cm="1">
        <f t="array" ref="J14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5" s="10" cm="1">
        <f t="array" ref="K14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-1.9659599647999997</v>
      </c>
    </row>
    <row r="146" spans="1:11">
      <c r="A146">
        <v>60</v>
      </c>
      <c r="B146" t="s">
        <v>1460</v>
      </c>
      <c r="C146">
        <v>36</v>
      </c>
      <c r="D146" t="b">
        <v>1</v>
      </c>
      <c r="E146" t="b">
        <v>0</v>
      </c>
      <c r="F146" t="b">
        <v>1</v>
      </c>
      <c r="G146" t="b">
        <v>0</v>
      </c>
      <c r="H146" t="b">
        <v>0</v>
      </c>
      <c r="I146" s="10" cm="1">
        <f t="array" ref="I14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245</v>
      </c>
      <c r="J146" s="10" t="str" cm="1">
        <f t="array" ref="J14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The Game Collection</v>
      </c>
      <c r="K146" s="10" t="e" cm="1">
        <f t="array" ref="K14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47" spans="1:11">
      <c r="A147">
        <v>172</v>
      </c>
      <c r="B147" t="s">
        <v>1461</v>
      </c>
      <c r="D147" t="b">
        <v>0</v>
      </c>
      <c r="E147" t="b">
        <v>0</v>
      </c>
      <c r="F147" t="b">
        <v>0</v>
      </c>
      <c r="G147" t="b">
        <v>0</v>
      </c>
      <c r="H147" t="b">
        <v>1</v>
      </c>
      <c r="I147" s="10" cm="1">
        <f t="array" ref="I14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49.98368</v>
      </c>
      <c r="J147" s="10" t="str" cm="1">
        <f t="array" ref="J14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7" s="10" cm="1">
        <f t="array" ref="K14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-0.66400640000000521</v>
      </c>
    </row>
    <row r="148" spans="1:11">
      <c r="A148">
        <v>182</v>
      </c>
      <c r="B148" t="s">
        <v>1462</v>
      </c>
      <c r="D148" t="b">
        <v>0</v>
      </c>
      <c r="E148" t="b">
        <v>0</v>
      </c>
      <c r="F148" t="b">
        <v>0</v>
      </c>
      <c r="G148" t="b">
        <v>0</v>
      </c>
      <c r="H148" t="b">
        <v>1</v>
      </c>
      <c r="I148" s="10" cm="1">
        <f t="array" ref="I14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53.898000000000003</v>
      </c>
      <c r="J148" s="10" t="str" cm="1">
        <f t="array" ref="J14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48" s="10" cm="1">
        <f t="array" ref="K14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-0.18350400000000633</v>
      </c>
    </row>
    <row r="149" spans="1:11">
      <c r="A149">
        <v>123</v>
      </c>
      <c r="B149" t="s">
        <v>1463</v>
      </c>
      <c r="D149" t="b">
        <v>0</v>
      </c>
      <c r="E149" t="b">
        <v>1</v>
      </c>
      <c r="F149" t="b">
        <v>0</v>
      </c>
      <c r="G149" t="b">
        <v>1</v>
      </c>
      <c r="H149" t="b">
        <v>0</v>
      </c>
      <c r="I149" s="10" cm="1">
        <f t="array" ref="I14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23.49</v>
      </c>
      <c r="J149" s="10" t="str" cm="1">
        <f t="array" ref="J14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49" s="10" cm="1">
        <f t="array" ref="K14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-2.854810668799999</v>
      </c>
    </row>
    <row r="150" spans="1:11">
      <c r="A150">
        <v>124</v>
      </c>
      <c r="B150" t="s">
        <v>1464</v>
      </c>
      <c r="C150">
        <v>12</v>
      </c>
      <c r="D150" t="b">
        <v>1</v>
      </c>
      <c r="E150" t="b">
        <v>0</v>
      </c>
      <c r="F150" t="b">
        <v>0</v>
      </c>
      <c r="G150" t="b">
        <v>1</v>
      </c>
      <c r="H150" t="b">
        <v>0</v>
      </c>
      <c r="I150" s="10" cm="1">
        <f t="array" ref="I15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236.13628</v>
      </c>
      <c r="J150" s="10" t="str" cm="1">
        <f t="array" ref="J15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0" s="10" t="e" cm="1">
        <f t="array" ref="K15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51" spans="1:11">
      <c r="A151">
        <v>184</v>
      </c>
      <c r="B151" s="1" t="s">
        <v>1465</v>
      </c>
      <c r="D151" t="b">
        <v>0</v>
      </c>
      <c r="E151" t="b">
        <v>0</v>
      </c>
      <c r="F151" t="b">
        <v>0</v>
      </c>
      <c r="G151" t="b">
        <v>0</v>
      </c>
      <c r="H151" t="b">
        <v>1</v>
      </c>
      <c r="I151" s="10" cm="1">
        <f t="array" ref="I15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44.372</v>
      </c>
      <c r="J151" s="10" t="str" cm="1">
        <f t="array" ref="J15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1" s="10" cm="1">
        <f t="array" ref="K15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-1.6445599999999985</v>
      </c>
    </row>
    <row r="152" spans="1:11">
      <c r="A152">
        <v>185</v>
      </c>
      <c r="B152" t="s">
        <v>1466</v>
      </c>
      <c r="D152" t="b">
        <v>0</v>
      </c>
      <c r="E152" t="b">
        <v>0</v>
      </c>
      <c r="F152" t="b">
        <v>0</v>
      </c>
      <c r="G152" t="b">
        <v>0</v>
      </c>
      <c r="H152" t="b">
        <v>1</v>
      </c>
      <c r="I152" s="10" cm="1">
        <f t="array" ref="I15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41.150480000000002</v>
      </c>
      <c r="J152" s="10" t="str" cm="1">
        <f t="array" ref="J15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2" s="10" cm="1">
        <f t="array" ref="K15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-1.9938332000000045</v>
      </c>
    </row>
    <row r="153" spans="1:11">
      <c r="A153">
        <v>35</v>
      </c>
      <c r="B153" t="s">
        <v>1467</v>
      </c>
      <c r="C153">
        <v>1</v>
      </c>
      <c r="D153" t="b">
        <v>0</v>
      </c>
      <c r="E153" t="b">
        <v>1</v>
      </c>
      <c r="F153" t="b">
        <v>1</v>
      </c>
      <c r="G153" t="b">
        <v>0</v>
      </c>
      <c r="H153" t="b">
        <v>0</v>
      </c>
      <c r="I153" s="10" cm="1">
        <f t="array" ref="I15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4.49</v>
      </c>
      <c r="J153" s="10" t="str" cm="1">
        <f t="array" ref="J15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53" s="10" cm="1">
        <f t="array" ref="K15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-1.3842822128000005</v>
      </c>
    </row>
    <row r="154" spans="1:11">
      <c r="A154">
        <v>80</v>
      </c>
      <c r="B154" t="s">
        <v>1468</v>
      </c>
      <c r="C154">
        <v>36</v>
      </c>
      <c r="D154" t="b">
        <v>1</v>
      </c>
      <c r="E154" t="b">
        <v>0</v>
      </c>
      <c r="F154" t="b">
        <v>1</v>
      </c>
      <c r="G154" t="b">
        <v>0</v>
      </c>
      <c r="H154" t="b">
        <v>0</v>
      </c>
      <c r="I154" s="10" cm="1">
        <f t="array" ref="I15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119.80584033919999</v>
      </c>
      <c r="J154" s="10" t="str" cm="1">
        <f t="array" ref="J15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54" s="10" t="e" cm="1">
        <f t="array" ref="K15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55" spans="1:11">
      <c r="A155">
        <v>183</v>
      </c>
      <c r="B155" s="1" t="s">
        <v>1469</v>
      </c>
      <c r="D155" t="b">
        <v>0</v>
      </c>
      <c r="E155" t="b">
        <v>0</v>
      </c>
      <c r="F155" t="b">
        <v>0</v>
      </c>
      <c r="G155" t="b">
        <v>0</v>
      </c>
      <c r="H155" t="b">
        <v>1</v>
      </c>
      <c r="I155" s="10" cm="1">
        <f t="array" ref="I15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58.219340000000003</v>
      </c>
      <c r="J155" s="10" t="str" cm="1">
        <f t="array" ref="J15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5" s="10" cm="1">
        <f t="array" ref="K15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0.77504679999999837</v>
      </c>
    </row>
    <row r="156" spans="1:11">
      <c r="A156">
        <v>32</v>
      </c>
      <c r="B156" t="s">
        <v>1470</v>
      </c>
      <c r="C156">
        <v>1</v>
      </c>
      <c r="D156" t="b">
        <v>0</v>
      </c>
      <c r="E156" t="b">
        <v>1</v>
      </c>
      <c r="F156" t="b">
        <v>1</v>
      </c>
      <c r="G156" t="b">
        <v>0</v>
      </c>
      <c r="H156" t="b">
        <v>0</v>
      </c>
      <c r="I156" s="10" cm="1">
        <f t="array" ref="I15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5.7237999999999998</v>
      </c>
      <c r="J156" s="10" t="str" cm="1">
        <f t="array" ref="J15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6" s="10" cm="1">
        <f t="array" ref="K15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-1.9830194719999996</v>
      </c>
    </row>
    <row r="157" spans="1:11">
      <c r="A157">
        <v>77</v>
      </c>
      <c r="B157" t="s">
        <v>1471</v>
      </c>
      <c r="C157">
        <v>36</v>
      </c>
      <c r="D157" t="b">
        <v>1</v>
      </c>
      <c r="E157" t="b">
        <v>0</v>
      </c>
      <c r="F157" t="b">
        <v>1</v>
      </c>
      <c r="G157" t="b">
        <v>0</v>
      </c>
      <c r="H157" t="b">
        <v>0</v>
      </c>
      <c r="I157" s="10" cm="1">
        <f t="array" ref="I15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142.66809900800001</v>
      </c>
      <c r="J157" s="10" t="str" cm="1">
        <f t="array" ref="J15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57" s="10" t="e" cm="1">
        <f t="array" ref="K15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58" spans="1:11">
      <c r="A158">
        <v>125</v>
      </c>
      <c r="B158" t="s">
        <v>1472</v>
      </c>
      <c r="D158" t="b">
        <v>0</v>
      </c>
      <c r="E158" t="b">
        <v>1</v>
      </c>
      <c r="F158" t="b">
        <v>0</v>
      </c>
      <c r="G158" t="b">
        <v>1</v>
      </c>
      <c r="H158" t="b">
        <v>0</v>
      </c>
      <c r="I158" s="10" cm="1">
        <f t="array" ref="I15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33.737520000000004</v>
      </c>
      <c r="J158" s="10" t="str" cm="1">
        <f t="array" ref="J15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58" s="10" cm="1">
        <f t="array" ref="K15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-7.8826369088000057</v>
      </c>
    </row>
    <row r="159" spans="1:11">
      <c r="A159">
        <v>126</v>
      </c>
      <c r="B159" t="s">
        <v>1473</v>
      </c>
      <c r="C159">
        <v>12</v>
      </c>
      <c r="D159" t="b">
        <v>1</v>
      </c>
      <c r="E159" t="b">
        <v>0</v>
      </c>
      <c r="F159" t="b">
        <v>0</v>
      </c>
      <c r="G159" t="b">
        <v>1</v>
      </c>
      <c r="H159" t="b">
        <v>0</v>
      </c>
      <c r="I159" s="10" cm="1">
        <f t="array" ref="I15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318.25859709439999</v>
      </c>
      <c r="J159" s="10" t="str" cm="1">
        <f t="array" ref="J15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59" s="10" t="e" cm="1">
        <f t="array" ref="K15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60" spans="1:11">
      <c r="A160">
        <v>175</v>
      </c>
      <c r="B160" s="1" t="s">
        <v>1474</v>
      </c>
      <c r="D160" t="b">
        <v>0</v>
      </c>
      <c r="E160" t="b">
        <v>0</v>
      </c>
      <c r="F160" t="b">
        <v>0</v>
      </c>
      <c r="G160" t="b">
        <v>0</v>
      </c>
      <c r="H160" t="b">
        <v>1</v>
      </c>
      <c r="I160" s="10" cm="1">
        <f t="array" ref="I16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46.97</v>
      </c>
      <c r="J160" s="10" t="str" cm="1">
        <f t="array" ref="J16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0" s="10" cm="1">
        <f t="array" ref="K16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-2.2079200000000014</v>
      </c>
    </row>
    <row r="161" spans="1:11">
      <c r="A161">
        <v>176</v>
      </c>
      <c r="B161" s="1" t="s">
        <v>1475</v>
      </c>
      <c r="D161" t="b">
        <v>0</v>
      </c>
      <c r="E161" t="b">
        <v>0</v>
      </c>
      <c r="F161" t="b">
        <v>0</v>
      </c>
      <c r="G161" t="b">
        <v>0</v>
      </c>
      <c r="H161" t="b">
        <v>1</v>
      </c>
      <c r="I161" s="10" cm="1">
        <f t="array" ref="I16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72.941339999999997</v>
      </c>
      <c r="J161" s="10" t="str" cm="1">
        <f t="array" ref="J16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1" s="10" cm="1">
        <f t="array" ref="K16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4.6801759999999888</v>
      </c>
    </row>
    <row r="162" spans="1:11">
      <c r="A162">
        <v>177</v>
      </c>
      <c r="B162" s="1" t="s">
        <v>1476</v>
      </c>
      <c r="D162" t="b">
        <v>0</v>
      </c>
      <c r="E162" t="b">
        <v>0</v>
      </c>
      <c r="F162" t="b">
        <v>0</v>
      </c>
      <c r="G162" t="b">
        <v>0</v>
      </c>
      <c r="H162" t="b">
        <v>1</v>
      </c>
      <c r="I162" s="10" cm="1">
        <f t="array" ref="I16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64.722999999999999</v>
      </c>
      <c r="J162" s="10" t="str" cm="1">
        <f t="array" ref="J16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2" s="10" cm="1">
        <f t="array" ref="K16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1.4027999999999992</v>
      </c>
    </row>
    <row r="163" spans="1:11">
      <c r="A163">
        <v>11</v>
      </c>
      <c r="B163" t="s">
        <v>1477</v>
      </c>
      <c r="C163">
        <v>1</v>
      </c>
      <c r="D163" t="b">
        <v>0</v>
      </c>
      <c r="E163" t="b">
        <v>1</v>
      </c>
      <c r="F163" t="b">
        <v>1</v>
      </c>
      <c r="G163" t="b">
        <v>0</v>
      </c>
      <c r="H163" t="b">
        <v>0</v>
      </c>
      <c r="I163" s="10" cm="1">
        <f t="array" ref="I16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4.25</v>
      </c>
      <c r="J163" s="10" t="str" cm="1">
        <f t="array" ref="J16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63" s="10" cm="1">
        <f t="array" ref="K16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-0.77890364960000014</v>
      </c>
    </row>
    <row r="164" spans="1:11">
      <c r="A164">
        <v>56</v>
      </c>
      <c r="B164" t="s">
        <v>1478</v>
      </c>
      <c r="C164">
        <v>36</v>
      </c>
      <c r="D164" t="b">
        <v>1</v>
      </c>
      <c r="E164" t="b">
        <v>0</v>
      </c>
      <c r="F164" t="b">
        <v>1</v>
      </c>
      <c r="G164" t="b">
        <v>0</v>
      </c>
      <c r="H164" t="b">
        <v>0</v>
      </c>
      <c r="I164" s="10" cm="1">
        <f t="array" ref="I16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132.95946861440001</v>
      </c>
      <c r="J164" s="10" t="str" cm="1">
        <f t="array" ref="J16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64" s="10" t="e" cm="1">
        <f t="array" ref="K16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65" spans="1:11">
      <c r="A165">
        <v>174</v>
      </c>
      <c r="B165" t="s">
        <v>1479</v>
      </c>
      <c r="D165" t="b">
        <v>0</v>
      </c>
      <c r="E165" t="b">
        <v>0</v>
      </c>
      <c r="F165" t="b">
        <v>0</v>
      </c>
      <c r="G165" t="b">
        <v>0</v>
      </c>
      <c r="H165" t="b">
        <v>1</v>
      </c>
      <c r="I165" s="10" cm="1">
        <f t="array" ref="I16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58.124079999999999</v>
      </c>
      <c r="J165" s="10" t="str" cm="1">
        <f t="array" ref="J16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5" s="10" cm="1">
        <f t="array" ref="K16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0.75840159999999202</v>
      </c>
    </row>
    <row r="166" spans="1:11">
      <c r="A166">
        <v>127</v>
      </c>
      <c r="B166" t="s">
        <v>1480</v>
      </c>
      <c r="D166" t="b">
        <v>0</v>
      </c>
      <c r="E166" t="b">
        <v>1</v>
      </c>
      <c r="F166" t="b">
        <v>0</v>
      </c>
      <c r="G166" t="b">
        <v>1</v>
      </c>
      <c r="H166" t="b">
        <v>0</v>
      </c>
      <c r="I166" s="10" cm="1">
        <f t="array" ref="I16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73.893940000000001</v>
      </c>
      <c r="J166" s="10" t="str" cm="1">
        <f t="array" ref="J16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6" s="10" cm="1">
        <f t="array" ref="K16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-7.6995236335999948</v>
      </c>
    </row>
    <row r="167" spans="1:11">
      <c r="A167">
        <v>128</v>
      </c>
      <c r="B167" t="s">
        <v>1481</v>
      </c>
      <c r="C167">
        <v>12</v>
      </c>
      <c r="D167" t="b">
        <v>1</v>
      </c>
      <c r="E167" t="b">
        <v>0</v>
      </c>
      <c r="F167" t="b">
        <v>0</v>
      </c>
      <c r="G167" t="b">
        <v>1</v>
      </c>
      <c r="H167" t="b">
        <v>0</v>
      </c>
      <c r="I167" s="10" cm="1">
        <f t="array" ref="I16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802.33299639680013</v>
      </c>
      <c r="J167" s="10" t="str" cm="1">
        <f t="array" ref="J16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67" s="10" t="e" cm="1">
        <f t="array" ref="K16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68" spans="1:11">
      <c r="A168">
        <v>209</v>
      </c>
      <c r="B168" s="1" t="s">
        <v>1482</v>
      </c>
      <c r="D168" t="b">
        <v>0</v>
      </c>
      <c r="E168" t="b">
        <v>0</v>
      </c>
      <c r="F168" t="b">
        <v>0</v>
      </c>
      <c r="G168" t="b">
        <v>0</v>
      </c>
      <c r="H168" t="b">
        <v>1</v>
      </c>
      <c r="I168" s="10" cm="1">
        <f t="array" ref="I16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128.20670000000001</v>
      </c>
      <c r="J168" s="10" t="str" cm="1">
        <f t="array" ref="J16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8" s="10" cm="1">
        <f t="array" ref="K16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7.7408339999999782</v>
      </c>
    </row>
    <row r="169" spans="1:11">
      <c r="A169">
        <v>210</v>
      </c>
      <c r="B169" s="1" t="s">
        <v>1483</v>
      </c>
      <c r="D169" t="b">
        <v>0</v>
      </c>
      <c r="E169" t="b">
        <v>0</v>
      </c>
      <c r="F169" t="b">
        <v>0</v>
      </c>
      <c r="G169" t="b">
        <v>0</v>
      </c>
      <c r="H169" t="b">
        <v>1</v>
      </c>
      <c r="I169" s="10" cm="1">
        <f t="array" ref="I16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33.971339999999998</v>
      </c>
      <c r="J169" s="10" t="str" cm="1">
        <f t="array" ref="J16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69" s="10" cm="1">
        <f t="array" ref="K16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-3.4619131999999979</v>
      </c>
    </row>
    <row r="170" spans="1:11">
      <c r="A170">
        <v>22</v>
      </c>
      <c r="B170" t="s">
        <v>1484</v>
      </c>
      <c r="C170">
        <v>1</v>
      </c>
      <c r="D170" t="b">
        <v>0</v>
      </c>
      <c r="E170" t="b">
        <v>1</v>
      </c>
      <c r="F170" t="b">
        <v>1</v>
      </c>
      <c r="G170" t="b">
        <v>0</v>
      </c>
      <c r="H170" t="b">
        <v>0</v>
      </c>
      <c r="I170" s="10" cm="1">
        <f t="array" ref="I17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8.4949999999999992</v>
      </c>
      <c r="J170" s="10" t="str" cm="1">
        <f t="array" ref="J17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0" s="10" cm="1">
        <f t="array" ref="K17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-1.9703827999999994</v>
      </c>
    </row>
    <row r="171" spans="1:11">
      <c r="A171">
        <v>67</v>
      </c>
      <c r="B171" t="s">
        <v>1485</v>
      </c>
      <c r="C171">
        <v>30</v>
      </c>
      <c r="D171" t="b">
        <v>1</v>
      </c>
      <c r="E171" t="b">
        <v>0</v>
      </c>
      <c r="F171" t="b">
        <v>1</v>
      </c>
      <c r="G171" t="b">
        <v>0</v>
      </c>
      <c r="H171" t="b">
        <v>0</v>
      </c>
      <c r="I171" s="10" cm="1">
        <f t="array" ref="I17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180</v>
      </c>
      <c r="J171" s="10" t="str" cm="1">
        <f t="array" ref="J17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Loaded Dice</v>
      </c>
      <c r="K171" s="10" t="e" cm="1">
        <f t="array" ref="K17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72" spans="1:11">
      <c r="A172">
        <v>129</v>
      </c>
      <c r="B172" t="s">
        <v>1486</v>
      </c>
      <c r="D172" t="b">
        <v>0</v>
      </c>
      <c r="E172" t="b">
        <v>1</v>
      </c>
      <c r="F172" t="b">
        <v>0</v>
      </c>
      <c r="G172" t="b">
        <v>1</v>
      </c>
      <c r="H172" t="b">
        <v>0</v>
      </c>
      <c r="I172" s="10" cm="1">
        <f t="array" ref="I17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78.007440000000003</v>
      </c>
      <c r="J172" s="10" t="str" cm="1">
        <f t="array" ref="J17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2" s="10" cm="1">
        <f t="array" ref="K17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-7.6807660736000116</v>
      </c>
    </row>
    <row r="173" spans="1:11">
      <c r="A173">
        <v>130</v>
      </c>
      <c r="B173" t="s">
        <v>1487</v>
      </c>
      <c r="C173">
        <v>12</v>
      </c>
      <c r="D173" t="b">
        <v>1</v>
      </c>
      <c r="E173" t="b">
        <v>0</v>
      </c>
      <c r="F173" t="b">
        <v>0</v>
      </c>
      <c r="G173" t="b">
        <v>1</v>
      </c>
      <c r="H173" t="b">
        <v>0</v>
      </c>
      <c r="I173" s="10" cm="1">
        <f t="array" ref="I17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735.42858000000001</v>
      </c>
      <c r="J173" s="10" t="str" cm="1">
        <f t="array" ref="J17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3" s="10" t="e" cm="1">
        <f t="array" ref="K17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74" spans="1:11">
      <c r="A174">
        <v>23</v>
      </c>
      <c r="B174" t="s">
        <v>1488</v>
      </c>
      <c r="C174">
        <v>1</v>
      </c>
      <c r="D174" t="b">
        <v>0</v>
      </c>
      <c r="E174" t="b">
        <v>1</v>
      </c>
      <c r="F174" t="b">
        <v>1</v>
      </c>
      <c r="G174" t="b">
        <v>0</v>
      </c>
      <c r="H174" t="b">
        <v>0</v>
      </c>
      <c r="I174" s="10" cm="1">
        <f t="array" ref="I17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5.99</v>
      </c>
      <c r="J174" s="10" t="str" cm="1">
        <f t="array" ref="J17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74" s="10" cm="1">
        <f t="array" ref="K17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-0.92689705280000023</v>
      </c>
    </row>
    <row r="175" spans="1:11">
      <c r="A175">
        <v>68</v>
      </c>
      <c r="B175" s="1" t="s">
        <v>1489</v>
      </c>
      <c r="C175">
        <v>36</v>
      </c>
      <c r="D175" t="b">
        <v>1</v>
      </c>
      <c r="E175" t="b">
        <v>0</v>
      </c>
      <c r="F175" t="b">
        <v>1</v>
      </c>
      <c r="G175" t="b">
        <v>0</v>
      </c>
      <c r="H175" t="b">
        <v>0</v>
      </c>
      <c r="I175" s="10" cm="1">
        <f t="array" ref="I17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160</v>
      </c>
      <c r="J175" s="10" t="str" cm="1">
        <f t="array" ref="J17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Wayland Games</v>
      </c>
      <c r="K175" s="10" t="e" cm="1">
        <f t="array" ref="K17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76" spans="1:11">
      <c r="A176">
        <v>43</v>
      </c>
      <c r="B176" t="s">
        <v>1490</v>
      </c>
      <c r="C176">
        <v>1</v>
      </c>
      <c r="D176" t="b">
        <v>0</v>
      </c>
      <c r="E176" t="b">
        <v>1</v>
      </c>
      <c r="F176" t="b">
        <v>1</v>
      </c>
      <c r="G176" t="b">
        <v>0</v>
      </c>
      <c r="H176" t="b">
        <v>0</v>
      </c>
      <c r="I176" s="10" cm="1">
        <f t="array" ref="I17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5.6112200000000003</v>
      </c>
      <c r="J176" s="10" t="str" cm="1">
        <f t="array" ref="J17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6" s="10" cm="1">
        <f t="array" ref="K17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-1.9835328368000007</v>
      </c>
    </row>
    <row r="177" spans="1:11">
      <c r="A177">
        <v>81</v>
      </c>
      <c r="B177" t="s">
        <v>1491</v>
      </c>
      <c r="D177" t="b">
        <v>1</v>
      </c>
      <c r="E177" t="b">
        <v>0</v>
      </c>
      <c r="F177" t="b">
        <v>1</v>
      </c>
      <c r="G177" t="b">
        <v>0</v>
      </c>
      <c r="H177" t="b">
        <v>0</v>
      </c>
      <c r="I177" s="10" cm="1">
        <f t="array" ref="I17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</v>
      </c>
      <c r="J177" s="10" t="str" cm="1">
        <f t="array" ref="J17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77" s="10" t="e" cm="1">
        <f t="array" ref="K17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78" spans="1:11">
      <c r="A178">
        <v>213</v>
      </c>
      <c r="B178" t="s">
        <v>1492</v>
      </c>
      <c r="D178" t="b">
        <v>0</v>
      </c>
      <c r="E178" t="b">
        <v>0</v>
      </c>
      <c r="F178" t="b">
        <v>0</v>
      </c>
      <c r="G178" t="b">
        <v>0</v>
      </c>
      <c r="H178" t="b">
        <v>1</v>
      </c>
      <c r="I178" s="10" cm="1">
        <f t="array" ref="I17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45.887500000000003</v>
      </c>
      <c r="J178" s="10" t="str" cm="1">
        <f t="array" ref="J17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8" s="10" cm="1">
        <f t="array" ref="K17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12.089566799999993</v>
      </c>
    </row>
    <row r="179" spans="1:11">
      <c r="A179">
        <v>214</v>
      </c>
      <c r="B179" s="1" t="s">
        <v>1493</v>
      </c>
      <c r="D179" t="b">
        <v>0</v>
      </c>
      <c r="E179" t="b">
        <v>0</v>
      </c>
      <c r="F179" t="b">
        <v>0</v>
      </c>
      <c r="G179" t="b">
        <v>0</v>
      </c>
      <c r="H179" t="b">
        <v>1</v>
      </c>
      <c r="I179" s="10" cm="1">
        <f t="array" ref="I17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40.882019999999997</v>
      </c>
      <c r="J179" s="10" t="str" cm="1">
        <f t="array" ref="J17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79" s="10" cm="1">
        <f t="array" ref="K17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6.9218468000000044</v>
      </c>
    </row>
    <row r="180" spans="1:11">
      <c r="A180">
        <v>211</v>
      </c>
      <c r="B180" t="s">
        <v>1494</v>
      </c>
      <c r="D180" t="b">
        <v>0</v>
      </c>
      <c r="E180" t="b">
        <v>0</v>
      </c>
      <c r="F180" t="b">
        <v>0</v>
      </c>
      <c r="G180" t="b">
        <v>0</v>
      </c>
      <c r="H180" t="b">
        <v>1</v>
      </c>
      <c r="I180" s="10" cm="1">
        <f t="array" ref="I18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30.7758</v>
      </c>
      <c r="J180" s="10" t="str" cm="1">
        <f t="array" ref="J18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0" s="10" cm="1">
        <f t="array" ref="K18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-3.5217972000000017</v>
      </c>
    </row>
    <row r="181" spans="1:11">
      <c r="A181">
        <v>212</v>
      </c>
      <c r="B181" t="s">
        <v>1495</v>
      </c>
      <c r="D181" t="b">
        <v>0</v>
      </c>
      <c r="E181" t="b">
        <v>0</v>
      </c>
      <c r="F181" t="b">
        <v>0</v>
      </c>
      <c r="G181" t="b">
        <v>0</v>
      </c>
      <c r="H181" t="b">
        <v>1</v>
      </c>
      <c r="I181" s="10" cm="1">
        <f t="array" ref="I18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41.1678</v>
      </c>
      <c r="J181" s="10" t="str" cm="1">
        <f t="array" ref="J18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1" s="10" cm="1">
        <f t="array" ref="K18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8.467242799999994</v>
      </c>
    </row>
    <row r="182" spans="1:11">
      <c r="A182">
        <v>215</v>
      </c>
      <c r="B182" t="s">
        <v>1496</v>
      </c>
      <c r="D182" t="b">
        <v>0</v>
      </c>
      <c r="E182" t="b">
        <v>0</v>
      </c>
      <c r="F182" t="b">
        <v>0</v>
      </c>
      <c r="G182" t="b">
        <v>0</v>
      </c>
      <c r="H182" t="b">
        <v>1</v>
      </c>
      <c r="I182" s="10" cm="1">
        <f t="array" ref="I18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32.758940000000003</v>
      </c>
      <c r="J182" s="10" t="str" cm="1">
        <f t="array" ref="J18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2" s="10" cm="1">
        <f t="array" ref="K18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4.6275699999999986</v>
      </c>
    </row>
    <row r="183" spans="1:11">
      <c r="A183">
        <v>232</v>
      </c>
      <c r="B183" s="1" t="s">
        <v>1497</v>
      </c>
      <c r="D183" t="b">
        <v>0</v>
      </c>
      <c r="E183" t="b">
        <v>0</v>
      </c>
      <c r="F183" t="b">
        <v>0</v>
      </c>
      <c r="G183" t="b">
        <v>0</v>
      </c>
      <c r="H183" t="b">
        <v>1</v>
      </c>
      <c r="I183" s="10" cm="1">
        <f t="array" ref="I18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29.65</v>
      </c>
      <c r="J183" s="10" t="str" cm="1">
        <f t="array" ref="J18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3" s="10" cm="1">
        <f t="array" ref="K18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-4.2169999999999987</v>
      </c>
    </row>
    <row r="184" spans="1:11" ht="27.75">
      <c r="A184">
        <v>231</v>
      </c>
      <c r="B184" s="1" t="s">
        <v>1498</v>
      </c>
      <c r="D184" t="b">
        <v>0</v>
      </c>
      <c r="E184" t="b">
        <v>0</v>
      </c>
      <c r="F184" t="b">
        <v>0</v>
      </c>
      <c r="G184" t="b">
        <v>0</v>
      </c>
      <c r="H184" t="b">
        <v>1</v>
      </c>
      <c r="I184" s="10" cm="1">
        <f t="array" ref="I18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42.596699999999998</v>
      </c>
      <c r="J184" s="10" t="str" cm="1">
        <f t="array" ref="J18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4" s="10" cm="1">
        <f t="array" ref="K18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-1.9547659999999993</v>
      </c>
    </row>
    <row r="185" spans="1:11">
      <c r="A185">
        <v>131</v>
      </c>
      <c r="B185" t="s">
        <v>1499</v>
      </c>
      <c r="D185" t="b">
        <v>0</v>
      </c>
      <c r="E185" t="b">
        <v>1</v>
      </c>
      <c r="F185" t="b">
        <v>0</v>
      </c>
      <c r="G185" t="b">
        <v>1</v>
      </c>
      <c r="H185" t="b">
        <v>0</v>
      </c>
      <c r="I185" s="10" cm="1">
        <f t="array" ref="I18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19.989999999999998</v>
      </c>
      <c r="J185" s="10" t="str" cm="1">
        <f t="array" ref="J18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85" s="10" cm="1">
        <f t="array" ref="K18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-3.4348712912000003</v>
      </c>
    </row>
    <row r="186" spans="1:11">
      <c r="A186">
        <v>132</v>
      </c>
      <c r="B186" t="s">
        <v>1500</v>
      </c>
      <c r="C186">
        <v>12</v>
      </c>
      <c r="D186" t="b">
        <v>1</v>
      </c>
      <c r="E186" t="b">
        <v>0</v>
      </c>
      <c r="F186" t="b">
        <v>0</v>
      </c>
      <c r="G186" t="b">
        <v>1</v>
      </c>
      <c r="H186" t="b">
        <v>0</v>
      </c>
      <c r="I186" s="10" cm="1">
        <f t="array" ref="I18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194.499</v>
      </c>
      <c r="J186" s="10" t="str" cm="1">
        <f t="array" ref="J18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6" s="10" t="e" cm="1">
        <f t="array" ref="K18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87" spans="1:11">
      <c r="A187">
        <v>229</v>
      </c>
      <c r="B187" s="1" t="s">
        <v>1501</v>
      </c>
      <c r="D187" t="b">
        <v>0</v>
      </c>
      <c r="E187" t="b">
        <v>0</v>
      </c>
      <c r="F187" t="b">
        <v>0</v>
      </c>
      <c r="G187" t="b">
        <v>0</v>
      </c>
      <c r="H187" t="b">
        <v>1</v>
      </c>
      <c r="I187" s="10" cm="1">
        <f t="array" ref="I18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42.596699999999998</v>
      </c>
      <c r="J187" s="10" t="str" cm="1">
        <f t="array" ref="J18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7" s="10" cm="1">
        <f t="array" ref="K18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-1.9547659999999993</v>
      </c>
    </row>
    <row r="188" spans="1:11">
      <c r="A188">
        <v>228</v>
      </c>
      <c r="B188" s="1" t="s">
        <v>1502</v>
      </c>
      <c r="D188" t="b">
        <v>0</v>
      </c>
      <c r="E188" t="b">
        <v>0</v>
      </c>
      <c r="F188" t="b">
        <v>0</v>
      </c>
      <c r="G188" t="b">
        <v>0</v>
      </c>
      <c r="H188" t="b">
        <v>1</v>
      </c>
      <c r="I188" s="10" cm="1">
        <f t="array" ref="I18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41.765340000000002</v>
      </c>
      <c r="J188" s="10" t="str" cm="1">
        <f t="array" ref="J18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8" s="10" cm="1">
        <f t="array" ref="K18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-4.1346732000000017</v>
      </c>
    </row>
    <row r="189" spans="1:11">
      <c r="A189">
        <v>230</v>
      </c>
      <c r="B189" s="1" t="s">
        <v>1503</v>
      </c>
      <c r="D189" t="b">
        <v>0</v>
      </c>
      <c r="E189" t="b">
        <v>0</v>
      </c>
      <c r="F189" t="b">
        <v>0</v>
      </c>
      <c r="G189" t="b">
        <v>0</v>
      </c>
      <c r="H189" t="b">
        <v>1</v>
      </c>
      <c r="I189" s="10" cm="1">
        <f t="array" ref="I18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55.63</v>
      </c>
      <c r="J189" s="10" t="str" cm="1">
        <f t="array" ref="J18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89" s="10" cm="1">
        <f t="array" ref="K18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0.32259999999999422</v>
      </c>
    </row>
    <row r="190" spans="1:11">
      <c r="A190">
        <v>30</v>
      </c>
      <c r="B190" t="s">
        <v>1504</v>
      </c>
      <c r="C190">
        <v>1</v>
      </c>
      <c r="D190" t="b">
        <v>0</v>
      </c>
      <c r="E190" t="b">
        <v>1</v>
      </c>
      <c r="F190" t="b">
        <v>1</v>
      </c>
      <c r="G190" t="b">
        <v>0</v>
      </c>
      <c r="H190" t="b">
        <v>0</v>
      </c>
      <c r="I190" s="10" cm="1">
        <f t="array" ref="I19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3.99</v>
      </c>
      <c r="J190" s="10" t="str" cm="1">
        <f t="array" ref="J19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Games Lore</v>
      </c>
      <c r="K190" s="10" cm="1">
        <f t="array" ref="K19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-0.2927169200000006</v>
      </c>
    </row>
    <row r="191" spans="1:11">
      <c r="A191">
        <v>75</v>
      </c>
      <c r="B191" t="s">
        <v>1505</v>
      </c>
      <c r="C191">
        <v>30</v>
      </c>
      <c r="D191" t="b">
        <v>1</v>
      </c>
      <c r="E191" t="b">
        <v>0</v>
      </c>
      <c r="F191" t="b">
        <v>1</v>
      </c>
      <c r="G191" t="b">
        <v>0</v>
      </c>
      <c r="H191" t="b">
        <v>0</v>
      </c>
      <c r="I191" s="10" cm="1">
        <f t="array" ref="I19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118.91849239999999</v>
      </c>
      <c r="J191" s="10" t="str" cm="1">
        <f t="array" ref="J19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91" s="10" t="e" cm="1">
        <f t="array" ref="K19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92" spans="1:11">
      <c r="A192">
        <v>133</v>
      </c>
      <c r="B192" t="s">
        <v>1506</v>
      </c>
      <c r="D192" t="b">
        <v>0</v>
      </c>
      <c r="E192" t="b">
        <v>1</v>
      </c>
      <c r="F192" t="b">
        <v>0</v>
      </c>
      <c r="G192" t="b">
        <v>1</v>
      </c>
      <c r="H192" t="b">
        <v>0</v>
      </c>
      <c r="I192" s="10" cm="1">
        <f t="array" ref="I19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47.125880000000002</v>
      </c>
      <c r="J192" s="10" t="str" cm="1">
        <f t="array" ref="J19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2" s="10" cm="1">
        <f t="array" ref="K19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-7.8215859872000024</v>
      </c>
    </row>
    <row r="193" spans="1:11">
      <c r="A193">
        <v>134</v>
      </c>
      <c r="B193" t="s">
        <v>1507</v>
      </c>
      <c r="C193">
        <v>12</v>
      </c>
      <c r="D193" t="b">
        <v>1</v>
      </c>
      <c r="E193" t="b">
        <v>0</v>
      </c>
      <c r="F193" t="b">
        <v>0</v>
      </c>
      <c r="G193" t="b">
        <v>1</v>
      </c>
      <c r="H193" t="b">
        <v>0</v>
      </c>
      <c r="I193" s="10" cm="1">
        <f t="array" ref="I19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479.6515281536</v>
      </c>
      <c r="J193" s="10" t="str" cm="1">
        <f t="array" ref="J19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93" s="10" t="e" cm="1">
        <f t="array" ref="K19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94" spans="1:11">
      <c r="A194">
        <v>9</v>
      </c>
      <c r="B194" t="s">
        <v>1508</v>
      </c>
      <c r="C194">
        <v>1</v>
      </c>
      <c r="D194" t="b">
        <v>0</v>
      </c>
      <c r="E194" t="b">
        <v>1</v>
      </c>
      <c r="F194" t="b">
        <v>1</v>
      </c>
      <c r="G194" t="b">
        <v>0</v>
      </c>
      <c r="H194" t="b">
        <v>0</v>
      </c>
      <c r="I194" s="10" cm="1">
        <f t="array" ref="I19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8.1832399999999996</v>
      </c>
      <c r="J194" s="10" t="str" cm="1">
        <f t="array" ref="J19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4" s="10" cm="1">
        <f t="array" ref="K19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-1.9718044256000002</v>
      </c>
    </row>
    <row r="195" spans="1:11">
      <c r="A195">
        <v>54</v>
      </c>
      <c r="B195" t="s">
        <v>1509</v>
      </c>
      <c r="C195">
        <v>30</v>
      </c>
      <c r="D195" t="b">
        <v>1</v>
      </c>
      <c r="E195" t="b">
        <v>0</v>
      </c>
      <c r="F195" t="b">
        <v>1</v>
      </c>
      <c r="G195" t="b">
        <v>0</v>
      </c>
      <c r="H195" t="b">
        <v>0</v>
      </c>
      <c r="I195" s="10" cm="1">
        <f t="array" ref="I19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194.34306723199998</v>
      </c>
      <c r="J195" s="10" t="str" cm="1">
        <f t="array" ref="J19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195" s="10" t="e" cm="1">
        <f t="array" ref="K19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196" spans="1:11">
      <c r="A196">
        <v>155</v>
      </c>
      <c r="B196" t="s">
        <v>1510</v>
      </c>
      <c r="D196" t="b">
        <v>0</v>
      </c>
      <c r="E196" t="b">
        <v>0</v>
      </c>
      <c r="F196" t="b">
        <v>0</v>
      </c>
      <c r="G196" t="b">
        <v>0</v>
      </c>
      <c r="H196" t="b">
        <v>1</v>
      </c>
      <c r="I196" s="10" cm="1">
        <f t="array" ref="I19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36.534700000000001</v>
      </c>
      <c r="J196" s="10" t="str" cm="1">
        <f t="array" ref="J19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6" s="10" cm="1">
        <f t="array" ref="K19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-3.014006000000002</v>
      </c>
    </row>
    <row r="197" spans="1:11">
      <c r="A197">
        <v>157</v>
      </c>
      <c r="B197" t="s">
        <v>1511</v>
      </c>
      <c r="D197" t="b">
        <v>0</v>
      </c>
      <c r="E197" t="b">
        <v>0</v>
      </c>
      <c r="F197" t="b">
        <v>0</v>
      </c>
      <c r="G197" t="b">
        <v>0</v>
      </c>
      <c r="H197" t="b">
        <v>1</v>
      </c>
      <c r="I197" s="10" cm="1">
        <f t="array" ref="I19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32.247999999999998</v>
      </c>
      <c r="J197" s="10" t="str" cm="1">
        <f t="array" ref="J19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7" s="10" cm="1">
        <f t="array" ref="K19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-3.7630400000000002</v>
      </c>
    </row>
    <row r="198" spans="1:11">
      <c r="A198">
        <v>156</v>
      </c>
      <c r="B198" t="s">
        <v>1512</v>
      </c>
      <c r="D198" t="b">
        <v>0</v>
      </c>
      <c r="E198" t="b">
        <v>0</v>
      </c>
      <c r="F198" t="b">
        <v>0</v>
      </c>
      <c r="G198" t="b">
        <v>0</v>
      </c>
      <c r="H198" t="b">
        <v>1</v>
      </c>
      <c r="I198" s="10" cm="1">
        <f t="array" ref="I19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38.2667</v>
      </c>
      <c r="J198" s="10" t="str" cm="1">
        <f t="array" ref="J19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8" s="10" cm="1">
        <f t="array" ref="K19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-2.7113659999999982</v>
      </c>
    </row>
    <row r="199" spans="1:11">
      <c r="A199">
        <v>159</v>
      </c>
      <c r="B199" t="s">
        <v>1513</v>
      </c>
      <c r="D199" t="b">
        <v>0</v>
      </c>
      <c r="E199" t="b">
        <v>0</v>
      </c>
      <c r="F199" t="b">
        <v>0</v>
      </c>
      <c r="G199" t="b">
        <v>0</v>
      </c>
      <c r="H199" t="b">
        <v>1</v>
      </c>
      <c r="I199" s="10" cm="1">
        <f t="array" ref="I19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59.96</v>
      </c>
      <c r="J199" s="10" t="str" cm="1">
        <f t="array" ref="J19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199" s="10" cm="1">
        <f t="array" ref="K19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1.0791999999999931</v>
      </c>
    </row>
    <row r="200" spans="1:11">
      <c r="A200">
        <v>158</v>
      </c>
      <c r="B200" t="s">
        <v>1514</v>
      </c>
      <c r="D200" t="b">
        <v>0</v>
      </c>
      <c r="E200" t="b">
        <v>0</v>
      </c>
      <c r="F200" t="b">
        <v>0</v>
      </c>
      <c r="G200" t="b">
        <v>0</v>
      </c>
      <c r="H200" t="b">
        <v>1</v>
      </c>
      <c r="I200" s="10" cm="1">
        <f t="array" ref="I20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55.63</v>
      </c>
      <c r="J200" s="10" t="str" cm="1">
        <f t="array" ref="J20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0" s="10" cm="1">
        <f t="array" ref="K20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0.32259999999999422</v>
      </c>
    </row>
    <row r="201" spans="1:11">
      <c r="A201">
        <v>135</v>
      </c>
      <c r="B201" t="s">
        <v>1515</v>
      </c>
      <c r="D201" t="b">
        <v>0</v>
      </c>
      <c r="E201" t="b">
        <v>1</v>
      </c>
      <c r="F201" t="b">
        <v>0</v>
      </c>
      <c r="G201" t="b">
        <v>1</v>
      </c>
      <c r="H201" t="b">
        <v>0</v>
      </c>
      <c r="I201" s="10" cm="1">
        <f t="array" ref="I20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38.890219999999999</v>
      </c>
      <c r="J201" s="10" t="str" cm="1">
        <f t="array" ref="J20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1" s="10" cm="1">
        <f t="array" ref="K20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-7.8591405967999997</v>
      </c>
    </row>
    <row r="202" spans="1:11">
      <c r="A202">
        <v>136</v>
      </c>
      <c r="B202" t="s">
        <v>1516</v>
      </c>
      <c r="C202">
        <v>12</v>
      </c>
      <c r="D202" t="b">
        <v>1</v>
      </c>
      <c r="E202" t="b">
        <v>0</v>
      </c>
      <c r="F202" t="b">
        <v>0</v>
      </c>
      <c r="G202" t="b">
        <v>1</v>
      </c>
      <c r="H202" t="b">
        <v>0</v>
      </c>
      <c r="I202" s="10" cm="1">
        <f t="array" ref="I20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328.78962000000001</v>
      </c>
      <c r="J202" s="10" t="str" cm="1">
        <f t="array" ref="J20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2" s="10" t="e" cm="1">
        <f t="array" ref="K20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3" spans="1:11">
      <c r="A203">
        <v>27</v>
      </c>
      <c r="B203" t="s">
        <v>1517</v>
      </c>
      <c r="C203">
        <v>1</v>
      </c>
      <c r="D203" t="b">
        <v>0</v>
      </c>
      <c r="E203" t="b">
        <v>1</v>
      </c>
      <c r="F203" t="b">
        <v>1</v>
      </c>
      <c r="G203" t="b">
        <v>0</v>
      </c>
      <c r="H203" t="b">
        <v>0</v>
      </c>
      <c r="I203" s="10" cm="1">
        <f t="array" ref="I20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5.3687399999999998</v>
      </c>
      <c r="J203" s="10" t="str" cm="1">
        <f t="array" ref="J20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3" s="10" cm="1">
        <f t="array" ref="K20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-1.9846385455999997</v>
      </c>
    </row>
    <row r="204" spans="1:11">
      <c r="A204">
        <v>42</v>
      </c>
      <c r="B204" t="s">
        <v>1518</v>
      </c>
      <c r="C204">
        <v>30</v>
      </c>
      <c r="D204" t="b">
        <v>1</v>
      </c>
      <c r="E204" t="b">
        <v>0</v>
      </c>
      <c r="F204" t="b">
        <v>1</v>
      </c>
      <c r="G204" t="b">
        <v>0</v>
      </c>
      <c r="H204" t="b">
        <v>0</v>
      </c>
      <c r="I204" s="10" cm="1">
        <f t="array" ref="I20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109.523043632</v>
      </c>
      <c r="J204" s="10" t="str" cm="1">
        <f t="array" ref="J20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04" s="10" t="e" cm="1">
        <f t="array" ref="K20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5" spans="1:11">
      <c r="A205">
        <v>254</v>
      </c>
      <c r="B205" s="1" t="s">
        <v>1519</v>
      </c>
      <c r="D205" t="b">
        <v>0</v>
      </c>
      <c r="E205" t="b">
        <v>1</v>
      </c>
      <c r="F205" t="b">
        <v>0</v>
      </c>
      <c r="G205" t="b">
        <v>1</v>
      </c>
      <c r="H205" t="b">
        <v>0</v>
      </c>
      <c r="I205" s="10" t="str" cm="1">
        <f t="array" ref="I20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05" s="10" t="str" cm="1">
        <f t="array" ref="J20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05" s="10" t="e" cm="1">
        <f t="array" ref="K20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6" spans="1:11">
      <c r="A206">
        <v>252</v>
      </c>
      <c r="B206" s="1" t="s">
        <v>1520</v>
      </c>
      <c r="C206">
        <v>12</v>
      </c>
      <c r="D206" t="b">
        <v>1</v>
      </c>
      <c r="E206" t="b">
        <v>0</v>
      </c>
      <c r="F206" t="b">
        <v>0</v>
      </c>
      <c r="G206" t="b">
        <v>1</v>
      </c>
      <c r="H206" t="b">
        <v>0</v>
      </c>
      <c r="I206" s="10" cm="1">
        <f t="array" ref="I20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336</v>
      </c>
      <c r="J206" s="10" t="str" cm="1">
        <f t="array" ref="J20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Distro GG</v>
      </c>
      <c r="K206" s="10" t="e" cm="1">
        <f t="array" ref="K20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7" spans="1:11">
      <c r="A207">
        <v>255</v>
      </c>
      <c r="B207" s="1" t="s">
        <v>1521</v>
      </c>
      <c r="D207" t="b">
        <v>0</v>
      </c>
      <c r="E207" t="b">
        <v>1</v>
      </c>
      <c r="F207" t="b">
        <v>1</v>
      </c>
      <c r="G207" t="b">
        <v>0</v>
      </c>
      <c r="H207" t="b">
        <v>0</v>
      </c>
      <c r="I207" s="10" t="str" cm="1">
        <f t="array" ref="I20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07" s="10" t="str" cm="1">
        <f t="array" ref="J20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07" s="10" t="e" cm="1">
        <f t="array" ref="K20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8" spans="1:11">
      <c r="A208">
        <v>253</v>
      </c>
      <c r="B208" s="1" t="s">
        <v>1522</v>
      </c>
      <c r="C208">
        <v>30</v>
      </c>
      <c r="D208" t="b">
        <v>1</v>
      </c>
      <c r="E208" t="b">
        <v>0</v>
      </c>
      <c r="F208" t="b">
        <v>1</v>
      </c>
      <c r="G208" t="b">
        <v>0</v>
      </c>
      <c r="H208" t="b">
        <v>0</v>
      </c>
      <c r="I208" s="10" cm="1">
        <f t="array" ref="I20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130</v>
      </c>
      <c r="J208" s="10" t="str" cm="1">
        <f t="array" ref="J20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Gathering Games</v>
      </c>
      <c r="K208" s="10" t="e" cm="1">
        <f t="array" ref="K20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09" spans="1:11">
      <c r="A209">
        <v>137</v>
      </c>
      <c r="B209" t="s">
        <v>1523</v>
      </c>
      <c r="D209" t="b">
        <v>0</v>
      </c>
      <c r="E209" t="b">
        <v>1</v>
      </c>
      <c r="F209" t="b">
        <v>0</v>
      </c>
      <c r="G209" t="b">
        <v>1</v>
      </c>
      <c r="H209" t="b">
        <v>0</v>
      </c>
      <c r="I209" s="10" cm="1">
        <f t="array" ref="I20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52.26126</v>
      </c>
      <c r="J209" s="10" t="str" cm="1">
        <f t="array" ref="J20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09" s="10" cm="1">
        <f t="array" ref="K20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-7.7981686544000013</v>
      </c>
    </row>
    <row r="210" spans="1:11">
      <c r="A210">
        <v>138</v>
      </c>
      <c r="B210" t="s">
        <v>1524</v>
      </c>
      <c r="C210">
        <v>12</v>
      </c>
      <c r="D210" t="b">
        <v>1</v>
      </c>
      <c r="E210" t="b">
        <v>0</v>
      </c>
      <c r="F210" t="b">
        <v>0</v>
      </c>
      <c r="G210" t="b">
        <v>1</v>
      </c>
      <c r="H210" t="b">
        <v>0</v>
      </c>
      <c r="I210" s="10" cm="1">
        <f t="array" ref="I21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405.37</v>
      </c>
      <c r="J210" s="10" t="str" cm="1">
        <f t="array" ref="J21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0" s="10" t="e" cm="1">
        <f t="array" ref="K21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11" spans="1:11">
      <c r="A211">
        <v>217</v>
      </c>
      <c r="B211" s="1" t="s">
        <v>1525</v>
      </c>
      <c r="D211" t="b">
        <v>0</v>
      </c>
      <c r="E211" t="b">
        <v>0</v>
      </c>
      <c r="F211" t="b">
        <v>0</v>
      </c>
      <c r="G211" t="b">
        <v>0</v>
      </c>
      <c r="H211" t="b">
        <v>1</v>
      </c>
      <c r="I211" s="10" cm="1">
        <f t="array" ref="I21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44.363340000000001</v>
      </c>
      <c r="J211" s="10" t="str" cm="1">
        <f t="array" ref="J21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1" s="10" cm="1">
        <f t="array" ref="K21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-3.6705400000000026</v>
      </c>
    </row>
    <row r="212" spans="1:11">
      <c r="A212">
        <v>28</v>
      </c>
      <c r="B212" t="s">
        <v>1526</v>
      </c>
      <c r="C212">
        <v>1</v>
      </c>
      <c r="D212" t="b">
        <v>0</v>
      </c>
      <c r="E212" t="b">
        <v>1</v>
      </c>
      <c r="F212" t="b">
        <v>1</v>
      </c>
      <c r="G212" t="b">
        <v>0</v>
      </c>
      <c r="H212" t="b">
        <v>0</v>
      </c>
      <c r="I212" s="10" cm="1">
        <f t="array" ref="I21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6.1048400000000003</v>
      </c>
      <c r="J212" s="10" t="str" cm="1">
        <f t="array" ref="J21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2" s="10" cm="1">
        <f t="array" ref="K21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-1.9812819296000006</v>
      </c>
    </row>
    <row r="213" spans="1:11">
      <c r="A213">
        <v>73</v>
      </c>
      <c r="B213" t="s">
        <v>1527</v>
      </c>
      <c r="C213">
        <v>30</v>
      </c>
      <c r="D213" t="b">
        <v>1</v>
      </c>
      <c r="E213" t="b">
        <v>0</v>
      </c>
      <c r="F213" t="b">
        <v>1</v>
      </c>
      <c r="G213" t="b">
        <v>0</v>
      </c>
      <c r="H213" t="b">
        <v>0</v>
      </c>
      <c r="I213" s="10" cm="1">
        <f t="array" ref="I21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131.70674211199997</v>
      </c>
      <c r="J213" s="10" t="str" cm="1">
        <f t="array" ref="J21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13" s="10" t="e" cm="1">
        <f t="array" ref="K21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14" spans="1:11">
      <c r="A214">
        <v>216</v>
      </c>
      <c r="B214" t="s">
        <v>1528</v>
      </c>
      <c r="D214" t="b">
        <v>0</v>
      </c>
      <c r="E214" t="b">
        <v>0</v>
      </c>
      <c r="F214" t="b">
        <v>0</v>
      </c>
      <c r="G214" t="b">
        <v>0</v>
      </c>
      <c r="H214" t="b">
        <v>1</v>
      </c>
      <c r="I214" s="10" cm="1">
        <f t="array" ref="I21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90.867540000000005</v>
      </c>
      <c r="J214" s="10" t="str" cm="1">
        <f t="array" ref="J21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4" s="10" cm="1">
        <f t="array" ref="K21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6.4798107999999814</v>
      </c>
    </row>
    <row r="215" spans="1:11" ht="27.75">
      <c r="A215">
        <v>201</v>
      </c>
      <c r="B215" s="1" t="s">
        <v>1529</v>
      </c>
      <c r="D215" t="b">
        <v>0</v>
      </c>
      <c r="E215" t="b">
        <v>0</v>
      </c>
      <c r="F215" t="b">
        <v>0</v>
      </c>
      <c r="G215" t="b">
        <v>0</v>
      </c>
      <c r="H215" t="b">
        <v>1</v>
      </c>
      <c r="I215" s="10" cm="1">
        <f t="array" ref="I21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55.63</v>
      </c>
      <c r="J215" s="10" t="str" cm="1">
        <f t="array" ref="J21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5" s="10" cm="1">
        <f t="array" ref="K21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0.32259999999999422</v>
      </c>
    </row>
    <row r="216" spans="1:11" ht="27.75">
      <c r="A216">
        <v>200</v>
      </c>
      <c r="B216" s="1" t="s">
        <v>1530</v>
      </c>
      <c r="D216" t="b">
        <v>0</v>
      </c>
      <c r="E216" t="b">
        <v>0</v>
      </c>
      <c r="F216" t="b">
        <v>0</v>
      </c>
      <c r="G216" t="b">
        <v>0</v>
      </c>
      <c r="H216" t="b">
        <v>1</v>
      </c>
      <c r="I216" s="10" cm="1">
        <f t="array" ref="I21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72.906700000000001</v>
      </c>
      <c r="J216" s="10" t="str" cm="1">
        <f t="array" ref="J21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6" s="10" cm="1">
        <f t="array" ref="K21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-1.8977640000000093</v>
      </c>
    </row>
    <row r="217" spans="1:11">
      <c r="A217">
        <v>139</v>
      </c>
      <c r="B217" t="s">
        <v>1531</v>
      </c>
      <c r="D217" t="b">
        <v>0</v>
      </c>
      <c r="E217" t="b">
        <v>1</v>
      </c>
      <c r="F217" t="b">
        <v>0</v>
      </c>
      <c r="G217" t="b">
        <v>1</v>
      </c>
      <c r="H217" t="b">
        <v>0</v>
      </c>
      <c r="I217" s="10" cm="1">
        <f t="array" ref="I21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121.86758</v>
      </c>
      <c r="J217" s="10" t="str" cm="1">
        <f t="array" ref="J21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7" s="10" cm="1">
        <f t="array" ref="K21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-19.535483835200012</v>
      </c>
    </row>
    <row r="218" spans="1:11">
      <c r="A218">
        <v>140</v>
      </c>
      <c r="B218" t="s">
        <v>1532</v>
      </c>
      <c r="C218">
        <v>12</v>
      </c>
      <c r="D218" t="b">
        <v>1</v>
      </c>
      <c r="E218" t="b">
        <v>0</v>
      </c>
      <c r="F218" t="b">
        <v>0</v>
      </c>
      <c r="G218" t="b">
        <v>1</v>
      </c>
      <c r="H218" t="b">
        <v>0</v>
      </c>
      <c r="I218" s="10" cm="1">
        <f t="array" ref="I21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886</v>
      </c>
      <c r="J218" s="10" t="str" cm="1">
        <f t="array" ref="J21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8" s="10" t="e" cm="1">
        <f t="array" ref="K21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19" spans="1:11" ht="27.75">
      <c r="A219">
        <v>21</v>
      </c>
      <c r="B219" s="1" t="s">
        <v>1533</v>
      </c>
      <c r="C219">
        <v>1</v>
      </c>
      <c r="D219" t="b">
        <v>0</v>
      </c>
      <c r="E219" t="b">
        <v>1</v>
      </c>
      <c r="F219" t="b">
        <v>1</v>
      </c>
      <c r="G219" t="b">
        <v>0</v>
      </c>
      <c r="H219" t="b">
        <v>0</v>
      </c>
      <c r="I219" s="10" cm="1">
        <f t="array" ref="I21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8.9539799999999996</v>
      </c>
      <c r="J219" s="10" t="str" cm="1">
        <f t="array" ref="J21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19" s="10" cm="1">
        <f t="array" ref="K21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-1.9682898512000007</v>
      </c>
    </row>
    <row r="220" spans="1:11" ht="27.75">
      <c r="A220">
        <v>66</v>
      </c>
      <c r="B220" s="1" t="s">
        <v>1534</v>
      </c>
      <c r="C220">
        <v>30</v>
      </c>
      <c r="D220" t="b">
        <v>1</v>
      </c>
      <c r="E220" t="b">
        <v>0</v>
      </c>
      <c r="F220" t="b">
        <v>1</v>
      </c>
      <c r="G220" t="b">
        <v>0</v>
      </c>
      <c r="H220" t="b">
        <v>0</v>
      </c>
      <c r="I220" s="10" cm="1">
        <f t="array" ref="I22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217.57070446399996</v>
      </c>
      <c r="J220" s="10" t="str" cm="1">
        <f t="array" ref="J22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20" s="10" t="e" cm="1">
        <f t="array" ref="K22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21" spans="1:11" ht="27.75">
      <c r="A221">
        <v>202</v>
      </c>
      <c r="B221" s="1" t="s">
        <v>1535</v>
      </c>
      <c r="D221" t="b">
        <v>0</v>
      </c>
      <c r="E221" t="b">
        <v>0</v>
      </c>
      <c r="F221" t="b">
        <v>0</v>
      </c>
      <c r="G221" t="b">
        <v>0</v>
      </c>
      <c r="H221" t="b">
        <v>1</v>
      </c>
      <c r="I221" s="10" cm="1">
        <f t="array" ref="I22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65.580340000000007</v>
      </c>
      <c r="J221" s="10" t="str" cm="1">
        <f t="array" ref="J22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1" s="10" cm="1">
        <f t="array" ref="K22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2.2749039999999923</v>
      </c>
    </row>
    <row r="222" spans="1:11" ht="27.75">
      <c r="A222">
        <v>203</v>
      </c>
      <c r="B222" s="1" t="s">
        <v>1536</v>
      </c>
      <c r="D222" t="b">
        <v>0</v>
      </c>
      <c r="E222" t="b">
        <v>0</v>
      </c>
      <c r="F222" t="b">
        <v>0</v>
      </c>
      <c r="G222" t="b">
        <v>0</v>
      </c>
      <c r="H222" t="b">
        <v>1</v>
      </c>
      <c r="I222" s="10" cm="1">
        <f t="array" ref="I22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123.48699999999999</v>
      </c>
      <c r="J222" s="10" t="str" cm="1">
        <f t="array" ref="J22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2" s="10" cm="1">
        <f t="array" ref="K22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17.597999999999985</v>
      </c>
    </row>
    <row r="223" spans="1:11">
      <c r="A223">
        <v>188</v>
      </c>
      <c r="B223" t="s">
        <v>1537</v>
      </c>
      <c r="D223" t="b">
        <v>0</v>
      </c>
      <c r="E223" t="b">
        <v>0</v>
      </c>
      <c r="F223" t="b">
        <v>0</v>
      </c>
      <c r="G223" t="b">
        <v>0</v>
      </c>
      <c r="H223" t="b">
        <v>1</v>
      </c>
      <c r="I223" s="10" cm="1">
        <f t="array" ref="I22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38.31</v>
      </c>
      <c r="J223" s="10" t="str" cm="1">
        <f t="array" ref="J22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3" s="10" cm="1">
        <f t="array" ref="K22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6.9912595999999922</v>
      </c>
    </row>
    <row r="224" spans="1:11">
      <c r="A224">
        <v>187</v>
      </c>
      <c r="B224" t="s">
        <v>1538</v>
      </c>
      <c r="D224" t="b">
        <v>0</v>
      </c>
      <c r="E224" t="b">
        <v>0</v>
      </c>
      <c r="F224" t="b">
        <v>0</v>
      </c>
      <c r="G224" t="b">
        <v>0</v>
      </c>
      <c r="H224" t="b">
        <v>1</v>
      </c>
      <c r="I224" s="10" cm="1">
        <f t="array" ref="I22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69.451359999999994</v>
      </c>
      <c r="J224" s="10" t="str" cm="1">
        <f t="array" ref="J22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4" s="10" cm="1">
        <f t="array" ref="K22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3.4090984000000049</v>
      </c>
    </row>
    <row r="225" spans="1:11" ht="27.75">
      <c r="A225">
        <v>189</v>
      </c>
      <c r="B225" s="1" t="s">
        <v>1539</v>
      </c>
      <c r="D225" t="b">
        <v>0</v>
      </c>
      <c r="E225" t="b">
        <v>0</v>
      </c>
      <c r="F225" t="b">
        <v>0</v>
      </c>
      <c r="G225" t="b">
        <v>0</v>
      </c>
      <c r="H225" t="b">
        <v>1</v>
      </c>
      <c r="I225" s="10" cm="1">
        <f t="array" ref="I22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70.352000000000004</v>
      </c>
      <c r="J225" s="10" t="str" cm="1">
        <f t="array" ref="J22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5" s="10" cm="1">
        <f t="array" ref="K22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8.4190875999999832</v>
      </c>
    </row>
    <row r="226" spans="1:11">
      <c r="A226">
        <v>141</v>
      </c>
      <c r="B226" t="s">
        <v>1540</v>
      </c>
      <c r="D226" t="b">
        <v>0</v>
      </c>
      <c r="E226" t="b">
        <v>1</v>
      </c>
      <c r="F226" t="b">
        <v>0</v>
      </c>
      <c r="G226" t="b">
        <v>1</v>
      </c>
      <c r="H226" t="b">
        <v>0</v>
      </c>
      <c r="I226" s="10" cm="1">
        <f t="array" ref="I22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69.771780000000007</v>
      </c>
      <c r="J226" s="10" t="str" cm="1">
        <f t="array" ref="J22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6" s="10" cm="1">
        <f t="array" ref="K22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-7.7183206832000053</v>
      </c>
    </row>
    <row r="227" spans="1:11">
      <c r="A227">
        <v>142</v>
      </c>
      <c r="B227" t="s">
        <v>1541</v>
      </c>
      <c r="C227">
        <v>12</v>
      </c>
      <c r="D227" t="b">
        <v>1</v>
      </c>
      <c r="E227" t="b">
        <v>0</v>
      </c>
      <c r="F227" t="b">
        <v>0</v>
      </c>
      <c r="G227" t="b">
        <v>1</v>
      </c>
      <c r="H227" t="b">
        <v>0</v>
      </c>
      <c r="I227" s="10" cm="1">
        <f t="array" ref="I22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752.64151180160002</v>
      </c>
      <c r="J227" s="10" t="str" cm="1">
        <f t="array" ref="J22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27" s="10" t="e" cm="1">
        <f t="array" ref="K22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28" spans="1:11">
      <c r="A228">
        <v>2</v>
      </c>
      <c r="B228" s="1" t="s">
        <v>1542</v>
      </c>
      <c r="C228">
        <v>1</v>
      </c>
      <c r="D228" t="b">
        <v>0</v>
      </c>
      <c r="E228" t="b">
        <v>1</v>
      </c>
      <c r="F228" t="b">
        <v>1</v>
      </c>
      <c r="G228" t="b">
        <v>0</v>
      </c>
      <c r="H228" t="b">
        <v>0</v>
      </c>
      <c r="I228" s="10" cm="1">
        <f t="array" ref="I22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7.9753999999999996</v>
      </c>
      <c r="J228" s="10" t="str" cm="1">
        <f t="array" ref="J22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28" s="10" cm="1">
        <f t="array" ref="K22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-1.9727521760000002</v>
      </c>
    </row>
    <row r="229" spans="1:11">
      <c r="A229">
        <v>47</v>
      </c>
      <c r="B229" t="s">
        <v>1543</v>
      </c>
      <c r="C229">
        <v>30</v>
      </c>
      <c r="D229" t="b">
        <v>1</v>
      </c>
      <c r="E229" t="b">
        <v>0</v>
      </c>
      <c r="F229" t="b">
        <v>1</v>
      </c>
      <c r="G229" t="b">
        <v>0</v>
      </c>
      <c r="H229" t="b">
        <v>0</v>
      </c>
      <c r="I229" s="10" cm="1">
        <f t="array" ref="I22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160</v>
      </c>
      <c r="J229" s="10" t="str" cm="1">
        <f t="array" ref="J22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Loaded Dice</v>
      </c>
      <c r="K229" s="10" t="e" cm="1">
        <f t="array" ref="K22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30" spans="1:11">
      <c r="A230">
        <v>186</v>
      </c>
      <c r="B230" s="1" t="s">
        <v>1544</v>
      </c>
      <c r="D230" t="b">
        <v>0</v>
      </c>
      <c r="E230" t="b">
        <v>0</v>
      </c>
      <c r="F230" t="b">
        <v>0</v>
      </c>
      <c r="G230" t="b">
        <v>0</v>
      </c>
      <c r="H230" t="b">
        <v>1</v>
      </c>
      <c r="I230" s="10" cm="1">
        <f t="array" ref="I23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93.863900000000001</v>
      </c>
      <c r="J230" s="10" t="str" cm="1">
        <f t="array" ref="J23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0" s="10" cm="1">
        <f t="array" ref="K23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25.246987999999988</v>
      </c>
    </row>
    <row r="231" spans="1:11">
      <c r="A231">
        <v>45</v>
      </c>
      <c r="B231" t="s">
        <v>1545</v>
      </c>
      <c r="C231">
        <v>1</v>
      </c>
      <c r="D231" t="b">
        <v>0</v>
      </c>
      <c r="E231" t="b">
        <v>1</v>
      </c>
      <c r="F231" t="b">
        <v>1</v>
      </c>
      <c r="G231" t="b">
        <v>0</v>
      </c>
      <c r="H231" t="b">
        <v>0</v>
      </c>
      <c r="I231" s="10" cm="1">
        <f t="array" ref="I23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6.33</v>
      </c>
      <c r="J231" s="10" t="str" cm="1">
        <f t="array" ref="J23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1" s="10" cm="1">
        <f t="array" ref="K23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-1.9802552000000002</v>
      </c>
    </row>
    <row r="232" spans="1:11">
      <c r="A232">
        <v>72</v>
      </c>
      <c r="B232" t="s">
        <v>1546</v>
      </c>
      <c r="D232" t="b">
        <v>1</v>
      </c>
      <c r="E232" t="b">
        <v>0</v>
      </c>
      <c r="F232" t="b">
        <v>1</v>
      </c>
      <c r="G232" t="b">
        <v>0</v>
      </c>
      <c r="H232" t="b">
        <v>0</v>
      </c>
      <c r="I232" s="10" cm="1">
        <f t="array" ref="I23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</v>
      </c>
      <c r="J232" s="10" t="str" cm="1">
        <f t="array" ref="J23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32" s="10" t="e" cm="1">
        <f t="array" ref="K23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33" spans="1:11">
      <c r="A233">
        <v>143</v>
      </c>
      <c r="B233" t="s">
        <v>1547</v>
      </c>
      <c r="D233" t="b">
        <v>0</v>
      </c>
      <c r="E233" t="b">
        <v>1</v>
      </c>
      <c r="F233" t="b">
        <v>0</v>
      </c>
      <c r="G233" t="b">
        <v>1</v>
      </c>
      <c r="H233" t="b">
        <v>0</v>
      </c>
      <c r="I233" s="10" cm="1">
        <f t="array" ref="I23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25.493200000000002</v>
      </c>
      <c r="J233" s="10" t="str" cm="1">
        <f t="array" ref="J23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3" s="10" cm="1">
        <f t="array" ref="K23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-7.9202310080000018</v>
      </c>
    </row>
    <row r="234" spans="1:11">
      <c r="A234">
        <v>144</v>
      </c>
      <c r="B234" t="s">
        <v>1548</v>
      </c>
      <c r="C234">
        <v>12</v>
      </c>
      <c r="D234" t="b">
        <v>1</v>
      </c>
      <c r="E234" t="b">
        <v>0</v>
      </c>
      <c r="F234" t="b">
        <v>0</v>
      </c>
      <c r="G234" t="b">
        <v>1</v>
      </c>
      <c r="H234" t="b">
        <v>0</v>
      </c>
      <c r="I234" s="10" cm="1">
        <f t="array" ref="I23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193.2</v>
      </c>
      <c r="J234" s="10" t="str" cm="1">
        <f t="array" ref="J23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4" s="10" t="e" cm="1">
        <f t="array" ref="K23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35" spans="1:11">
      <c r="A235">
        <v>10</v>
      </c>
      <c r="B235" t="s">
        <v>1549</v>
      </c>
      <c r="C235">
        <v>1</v>
      </c>
      <c r="D235" t="b">
        <v>0</v>
      </c>
      <c r="E235" t="b">
        <v>1</v>
      </c>
      <c r="F235" t="b">
        <v>1</v>
      </c>
      <c r="G235" t="b">
        <v>0</v>
      </c>
      <c r="H235" t="b">
        <v>0</v>
      </c>
      <c r="I235" s="10" cm="1">
        <f t="array" ref="I23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6.33</v>
      </c>
      <c r="J235" s="10" t="str" cm="1">
        <f t="array" ref="J23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5" s="10" cm="1">
        <f t="array" ref="K23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-1.9802552000000002</v>
      </c>
    </row>
    <row r="236" spans="1:11">
      <c r="A236">
        <v>55</v>
      </c>
      <c r="B236" t="s">
        <v>1550</v>
      </c>
      <c r="C236">
        <v>36</v>
      </c>
      <c r="D236" t="b">
        <v>1</v>
      </c>
      <c r="E236" t="b">
        <v>0</v>
      </c>
      <c r="F236" t="b">
        <v>1</v>
      </c>
      <c r="G236" t="b">
        <v>0</v>
      </c>
      <c r="H236" t="b">
        <v>0</v>
      </c>
      <c r="I236" s="10" cm="1">
        <f t="array" ref="I23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164.59081279999998</v>
      </c>
      <c r="J236" s="10" t="str" cm="1">
        <f t="array" ref="J23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36" s="10" t="e" cm="1">
        <f t="array" ref="K23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37" spans="1:11">
      <c r="A237">
        <v>145</v>
      </c>
      <c r="B237" t="s">
        <v>1551</v>
      </c>
      <c r="D237" t="b">
        <v>0</v>
      </c>
      <c r="E237" t="b">
        <v>1</v>
      </c>
      <c r="F237" t="b">
        <v>0</v>
      </c>
      <c r="G237" t="b">
        <v>1</v>
      </c>
      <c r="H237" t="b">
        <v>0</v>
      </c>
      <c r="I237" s="10" cm="1">
        <f t="array" ref="I23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33.737520000000004</v>
      </c>
      <c r="J237" s="10" t="str" cm="1">
        <f t="array" ref="J23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7" s="10" cm="1">
        <f t="array" ref="K23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-7.8826369088000057</v>
      </c>
    </row>
    <row r="238" spans="1:11">
      <c r="A238">
        <v>146</v>
      </c>
      <c r="B238" t="s">
        <v>1552</v>
      </c>
      <c r="C238">
        <v>12</v>
      </c>
      <c r="D238" t="b">
        <v>1</v>
      </c>
      <c r="E238" t="b">
        <v>0</v>
      </c>
      <c r="F238" t="b">
        <v>0</v>
      </c>
      <c r="G238" t="b">
        <v>1</v>
      </c>
      <c r="H238" t="b">
        <v>0</v>
      </c>
      <c r="I238" s="10" cm="1">
        <f t="array" ref="I23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318.25859709439999</v>
      </c>
      <c r="J238" s="10" t="str" cm="1">
        <f t="array" ref="J23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 Packs x Box Size</v>
      </c>
      <c r="K238" s="10" t="e" cm="1">
        <f t="array" ref="K23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39" spans="1:11">
      <c r="A239">
        <v>8</v>
      </c>
      <c r="B239" t="s">
        <v>1553</v>
      </c>
      <c r="C239">
        <v>1</v>
      </c>
      <c r="D239" t="b">
        <v>0</v>
      </c>
      <c r="E239" t="b">
        <v>1</v>
      </c>
      <c r="F239" t="b">
        <v>1</v>
      </c>
      <c r="G239" t="b">
        <v>0</v>
      </c>
      <c r="H239" t="b">
        <v>0</v>
      </c>
      <c r="I239" s="10" cm="1">
        <f t="array" ref="I23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7.1527000000000003</v>
      </c>
      <c r="J239" s="10" t="str" cm="1">
        <f t="array" ref="J23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39" s="10" cm="1">
        <f t="array" ref="K23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-1.9765036880000011</v>
      </c>
    </row>
    <row r="240" spans="1:11">
      <c r="A240">
        <v>53</v>
      </c>
      <c r="B240" t="s">
        <v>1554</v>
      </c>
      <c r="C240">
        <v>36</v>
      </c>
      <c r="D240" t="b">
        <v>1</v>
      </c>
      <c r="E240" t="b">
        <v>0</v>
      </c>
      <c r="F240" t="b">
        <v>1</v>
      </c>
      <c r="G240" t="b">
        <v>0</v>
      </c>
      <c r="H240" t="b">
        <v>0</v>
      </c>
      <c r="I240" s="10" cm="1">
        <f t="array" ref="I24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141.24</v>
      </c>
      <c r="J240" s="10" t="str" cm="1">
        <f t="array" ref="J24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0" s="10" t="e" cm="1">
        <f t="array" ref="K24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41" spans="1:11">
      <c r="A241">
        <v>220</v>
      </c>
      <c r="B241" t="s">
        <v>1555</v>
      </c>
      <c r="D241" t="b">
        <v>0</v>
      </c>
      <c r="E241" t="b">
        <v>0</v>
      </c>
      <c r="F241" t="b">
        <v>0</v>
      </c>
      <c r="G241" t="b">
        <v>0</v>
      </c>
      <c r="H241" t="b">
        <v>1</v>
      </c>
      <c r="I241" s="10" cm="1">
        <f t="array" ref="I24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149.9</v>
      </c>
      <c r="J241" s="10" t="str" cm="1">
        <f t="array" ref="J24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1" s="10" cm="1">
        <f t="array" ref="K24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16.617999999999995</v>
      </c>
    </row>
    <row r="242" spans="1:11">
      <c r="A242">
        <v>221</v>
      </c>
      <c r="B242" t="s">
        <v>1556</v>
      </c>
      <c r="D242" t="b">
        <v>0</v>
      </c>
      <c r="E242" t="b">
        <v>0</v>
      </c>
      <c r="F242" t="b">
        <v>0</v>
      </c>
      <c r="G242" t="b">
        <v>0</v>
      </c>
      <c r="H242" t="b">
        <v>1</v>
      </c>
      <c r="I242" s="10" cm="1">
        <f t="array" ref="I24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201.86</v>
      </c>
      <c r="J242" s="10" t="str" cm="1">
        <f t="array" ref="J24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2" s="10" cm="1">
        <f t="array" ref="K24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51.120026799999977</v>
      </c>
    </row>
    <row r="243" spans="1:11">
      <c r="A243">
        <v>218</v>
      </c>
      <c r="B243" t="s">
        <v>1557</v>
      </c>
      <c r="D243" t="b">
        <v>0</v>
      </c>
      <c r="E243" t="b">
        <v>0</v>
      </c>
      <c r="F243" t="b">
        <v>0</v>
      </c>
      <c r="G243" t="b">
        <v>0</v>
      </c>
      <c r="H243" t="b">
        <v>1</v>
      </c>
      <c r="I243" s="10" cm="1">
        <f t="array" ref="I24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136.91</v>
      </c>
      <c r="J243" s="10" t="str" cm="1">
        <f t="array" ref="J24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3" s="10" cm="1">
        <f t="array" ref="K24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9.2615999999999872</v>
      </c>
    </row>
    <row r="244" spans="1:11">
      <c r="A244">
        <v>219</v>
      </c>
      <c r="B244" t="s">
        <v>1558</v>
      </c>
      <c r="D244" t="b">
        <v>0</v>
      </c>
      <c r="E244" t="b">
        <v>0</v>
      </c>
      <c r="F244" t="b">
        <v>0</v>
      </c>
      <c r="G244" t="b">
        <v>0</v>
      </c>
      <c r="H244" t="b">
        <v>1</v>
      </c>
      <c r="I244" s="10" cm="1">
        <f t="array" ref="I24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158.56</v>
      </c>
      <c r="J244" s="10" t="str" cm="1">
        <f t="array" ref="J24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4" s="10" cm="1">
        <f t="array" ref="K24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52.587828399999978</v>
      </c>
    </row>
    <row r="245" spans="1:11">
      <c r="A245">
        <v>147</v>
      </c>
      <c r="B245" t="s">
        <v>1559</v>
      </c>
      <c r="D245" t="b">
        <v>0</v>
      </c>
      <c r="E245" t="b">
        <v>1</v>
      </c>
      <c r="F245" t="b">
        <v>0</v>
      </c>
      <c r="G245" t="b">
        <v>1</v>
      </c>
      <c r="H245" t="b">
        <v>0</v>
      </c>
      <c r="I245" s="10" cm="1">
        <f t="array" ref="I24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90.313299999999998</v>
      </c>
      <c r="J245" s="10" t="str" cm="1">
        <f t="array" ref="J24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5" s="10" cm="1">
        <f t="array" ref="K24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-7.6246513520000008</v>
      </c>
    </row>
    <row r="246" spans="1:11">
      <c r="A246">
        <v>148</v>
      </c>
      <c r="B246" t="s">
        <v>1560</v>
      </c>
      <c r="C246">
        <v>12</v>
      </c>
      <c r="D246" t="b">
        <v>1</v>
      </c>
      <c r="E246" t="b">
        <v>0</v>
      </c>
      <c r="F246" t="b">
        <v>0</v>
      </c>
      <c r="G246" t="b">
        <v>1</v>
      </c>
      <c r="H246" t="b">
        <v>0</v>
      </c>
      <c r="I246" s="10" cm="1">
        <f t="array" ref="I24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843.57465999999999</v>
      </c>
      <c r="J246" s="10" t="str" cm="1">
        <f t="array" ref="J24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6" s="10" t="e" cm="1">
        <f t="array" ref="K24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47" spans="1:11">
      <c r="A247">
        <v>195</v>
      </c>
      <c r="B247" t="s">
        <v>1561</v>
      </c>
      <c r="D247" t="b">
        <v>0</v>
      </c>
      <c r="E247" t="b">
        <v>0</v>
      </c>
      <c r="F247" t="b">
        <v>0</v>
      </c>
      <c r="G247" t="b">
        <v>0</v>
      </c>
      <c r="H247" t="b">
        <v>1</v>
      </c>
      <c r="I247" s="10" cm="1">
        <f t="array" ref="I247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91.127340000000004</v>
      </c>
      <c r="J247" s="10" t="str" cm="1">
        <f t="array" ref="J247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7" s="10" cm="1">
        <f t="array" ref="K247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6.5252067999999781</v>
      </c>
    </row>
    <row r="248" spans="1:11">
      <c r="A248">
        <v>29</v>
      </c>
      <c r="B248" t="s">
        <v>1562</v>
      </c>
      <c r="C248">
        <v>1</v>
      </c>
      <c r="D248" t="b">
        <v>0</v>
      </c>
      <c r="E248" t="b">
        <v>1</v>
      </c>
      <c r="F248" t="b">
        <v>1</v>
      </c>
      <c r="G248" t="b">
        <v>0</v>
      </c>
      <c r="H248" t="b">
        <v>0</v>
      </c>
      <c r="I248" s="10" t="str" cm="1">
        <f t="array" ref="I248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48" s="10" t="str" cm="1">
        <f t="array" ref="J248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48" s="10" t="e" cm="1">
        <f t="array" ref="K248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49" spans="1:11">
      <c r="A249">
        <v>74</v>
      </c>
      <c r="B249" t="s">
        <v>1563</v>
      </c>
      <c r="C249">
        <v>30</v>
      </c>
      <c r="D249" t="b">
        <v>1</v>
      </c>
      <c r="E249" t="b">
        <v>0</v>
      </c>
      <c r="F249" t="b">
        <v>1</v>
      </c>
      <c r="G249" t="b">
        <v>0</v>
      </c>
      <c r="H249" t="b">
        <v>0</v>
      </c>
      <c r="I249" s="10" cm="1">
        <f t="array" ref="I249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277.31457999999998</v>
      </c>
      <c r="J249" s="10" t="str" cm="1">
        <f t="array" ref="J249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49" s="10" t="e" cm="1">
        <f t="array" ref="K249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0" spans="1:11">
      <c r="A250">
        <v>194</v>
      </c>
      <c r="B250" t="s">
        <v>1564</v>
      </c>
      <c r="D250" t="b">
        <v>0</v>
      </c>
      <c r="E250" t="b">
        <v>0</v>
      </c>
      <c r="F250" t="b">
        <v>0</v>
      </c>
      <c r="G250" t="b">
        <v>0</v>
      </c>
      <c r="H250" t="b">
        <v>1</v>
      </c>
      <c r="I250" s="10" cm="1">
        <f t="array" ref="I250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>38.31</v>
      </c>
      <c r="J250" s="10" t="str" cm="1">
        <f t="array" ref="J250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>Card Market</v>
      </c>
      <c r="K250" s="10" cm="1">
        <f t="array" ref="K250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-2.7038000000000011</v>
      </c>
    </row>
    <row r="251" spans="1:11">
      <c r="A251">
        <v>37</v>
      </c>
      <c r="B251" t="s">
        <v>1565</v>
      </c>
      <c r="C251">
        <v>1</v>
      </c>
      <c r="D251" t="b">
        <v>0</v>
      </c>
      <c r="E251" t="b">
        <v>1</v>
      </c>
      <c r="F251" t="b">
        <v>1</v>
      </c>
      <c r="G251" t="b">
        <v>0</v>
      </c>
      <c r="H251" t="b">
        <v>0</v>
      </c>
      <c r="I251" s="10" t="str" cm="1">
        <f t="array" ref="I251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1" s="10" t="str" cm="1">
        <f t="array" ref="J251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1" s="10" t="e" cm="1">
        <f t="array" ref="K251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2" spans="1:11">
      <c r="A252">
        <v>235</v>
      </c>
      <c r="B252" t="s">
        <v>1566</v>
      </c>
      <c r="D252" t="b">
        <v>1</v>
      </c>
      <c r="E252" t="b">
        <v>0</v>
      </c>
      <c r="F252" t="b">
        <v>1</v>
      </c>
      <c r="G252" t="b">
        <v>0</v>
      </c>
      <c r="H252" t="b">
        <v>0</v>
      </c>
      <c r="I252" s="10" t="str" cm="1">
        <f t="array" ref="I252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2" s="10" t="str" cm="1">
        <f t="array" ref="J252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2" s="10" t="e" cm="1">
        <f t="array" ref="K252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3" spans="1:11">
      <c r="A253">
        <v>39</v>
      </c>
      <c r="B253" t="s">
        <v>1567</v>
      </c>
      <c r="C253">
        <v>1</v>
      </c>
      <c r="D253" t="b">
        <v>0</v>
      </c>
      <c r="E253" t="b">
        <v>0</v>
      </c>
      <c r="F253" t="b">
        <v>0</v>
      </c>
      <c r="G253" t="b">
        <v>0</v>
      </c>
      <c r="H253" t="b">
        <v>0</v>
      </c>
      <c r="I253" s="10" t="str" cm="1">
        <f t="array" ref="I253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3" s="10" t="str" cm="1">
        <f t="array" ref="J253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3" s="10" t="e" cm="1">
        <f t="array" ref="K253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4" spans="1:11">
      <c r="A254">
        <v>40</v>
      </c>
      <c r="B254" t="s">
        <v>1568</v>
      </c>
      <c r="C254">
        <v>1</v>
      </c>
      <c r="D254" t="b">
        <v>0</v>
      </c>
      <c r="E254" t="b">
        <v>1</v>
      </c>
      <c r="F254" t="b">
        <v>1</v>
      </c>
      <c r="G254" t="b">
        <v>0</v>
      </c>
      <c r="H254" t="b">
        <v>0</v>
      </c>
      <c r="I254" s="10" t="str" cm="1">
        <f t="array" ref="I254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4" s="10" t="str" cm="1">
        <f t="array" ref="J254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4" s="10" t="e" cm="1">
        <f t="array" ref="K254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5" spans="1:11">
      <c r="A255">
        <v>38</v>
      </c>
      <c r="B255" t="s">
        <v>1569</v>
      </c>
      <c r="C255">
        <v>1</v>
      </c>
      <c r="D255" t="b">
        <v>0</v>
      </c>
      <c r="E255" t="b">
        <v>1</v>
      </c>
      <c r="F255" t="b">
        <v>1</v>
      </c>
      <c r="G255" t="b">
        <v>0</v>
      </c>
      <c r="H255" t="b">
        <v>0</v>
      </c>
      <c r="I255" s="10" t="str" cm="1">
        <f t="array" ref="I255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5" s="10" t="str" cm="1">
        <f t="array" ref="J255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5" s="10" t="e" cm="1">
        <f t="array" ref="K255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  <row r="256" spans="1:11">
      <c r="A256">
        <v>41</v>
      </c>
      <c r="B256" t="s">
        <v>1570</v>
      </c>
      <c r="C256">
        <v>1</v>
      </c>
      <c r="D256" t="b">
        <v>0</v>
      </c>
      <c r="E256" t="b">
        <v>1</v>
      </c>
      <c r="F256" t="b">
        <v>1</v>
      </c>
      <c r="G256" t="b">
        <v>0</v>
      </c>
      <c r="H256" t="b">
        <v>0</v>
      </c>
      <c r="I256" s="10" t="str" cm="1">
        <f t="array" ref="I256">IF(ISERROR(MIN(_xlfn._xlws.FILTER(tbl_Sourcing[Source Unit Cost], (tbl_Sourcing[Product Id]=tbl_Product[[#This Row],[Product Id]])*(tbl_Sourcing[Active]=TRUE)))), "", MIN(_xlfn._xlws.FILTER(tbl_Sourcing[Source Unit Cost], (tbl_Sourcing[Product Id]=tbl_Product[[#This Row],[Product Id]])*(tbl_Sourcing[Active]=TRUE))))</f>
        <v/>
      </c>
      <c r="J256" s="10" t="str" cm="1">
        <f t="array" ref="J256">IF(ISERROR(INDEX(_xlfn._xlws.FILTER(tbl_Sourcing[Source Name], (tbl_Sourcing[Product Id]=tbl_Product[[#This Row],[Product Id]])*(tbl_Sourcing[Active]=TRUE)*(tbl_Sourcing[Source Unit Cost]=tbl_Product[[#This Row],[Min Cost]])), 1)), "", INDEX(_xlfn._xlws.FILTER(tbl_Sourcing[Source Name], (tbl_Sourcing[Product Id]=tbl_Product[[#This Row],[Product Id]])*(tbl_Sourcing[Active]=TRUE)*(tbl_Sourcing[Source Unit Cost]=tbl_Product[[#This Row],[Min Cost]])), 1))</f>
        <v/>
      </c>
      <c r="K256" s="10" t="e" cm="1">
        <f t="array" ref="K256">IF(ISERROR(INDEX(_xlfn._xlws.FILTER(tbl_Sourcing[Sale Price], (tbl_Sourcing[Product Id]=tbl_Product[[#This Row],[Product Id]])*(tbl_Sourcing[Active]=TRUE)*(tbl_Sourcing[Source Name]="Card Market")), 1)), "", INDEX(_xlfn._xlws.FILTER(tbl_Sourcing[Sale Price], (tbl_Sourcing[Product Id]=tbl_Product[[#This Row],[Product Id]])*(tbl_Sourcing[Active]=TRUE)*(tbl_Sourcing[Source Name]="Card Market")), 1))-MAX(0, tbl_Product[[#This Row],[Min Cost]])</f>
        <v>#VALUE!</v>
      </c>
    </row>
  </sheetData>
  <conditionalFormatting sqref="K2:K1048576">
    <cfRule type="cellIs" dxfId="47" priority="1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D5E4-2ADB-AE43-98D2-E0B379BE2948}">
  <dimension ref="A1:AX1020"/>
  <sheetViews>
    <sheetView tabSelected="1" topLeftCell="A322" zoomScaleNormal="150" zoomScaleSheetLayoutView="100" workbookViewId="0">
      <selection activeCell="D339" sqref="D339"/>
    </sheetView>
  </sheetViews>
  <sheetFormatPr defaultRowHeight="15"/>
  <cols>
    <col min="1" max="1" width="14.140625" bestFit="1" customWidth="1"/>
    <col min="2" max="2" width="12.28515625" bestFit="1" customWidth="1"/>
    <col min="3" max="3" width="19.5703125" bestFit="1" customWidth="1"/>
    <col min="4" max="4" width="36.5703125" bestFit="1" customWidth="1"/>
    <col min="5" max="5" width="18" bestFit="1" customWidth="1"/>
    <col min="7" max="8" width="14.28515625" customWidth="1"/>
    <col min="10" max="10" width="43.85546875" customWidth="1"/>
    <col min="11" max="11" width="19.28515625" hidden="1" customWidth="1"/>
    <col min="12" max="12" width="19.7109375" hidden="1" customWidth="1"/>
    <col min="13" max="47" width="23.28515625" hidden="1" customWidth="1"/>
    <col min="48" max="48" width="36.5703125" hidden="1" customWidth="1"/>
    <col min="49" max="49" width="12" bestFit="1" customWidth="1"/>
    <col min="50" max="50" width="11.42578125" bestFit="1" customWidth="1"/>
  </cols>
  <sheetData>
    <row r="1" spans="1:50">
      <c r="A1" t="s">
        <v>1571</v>
      </c>
      <c r="B1" t="s">
        <v>1301</v>
      </c>
      <c r="C1" t="s">
        <v>1572</v>
      </c>
      <c r="D1" t="s">
        <v>1573</v>
      </c>
      <c r="E1" t="s">
        <v>1574</v>
      </c>
      <c r="F1" t="s">
        <v>1575</v>
      </c>
      <c r="G1" t="s">
        <v>1576</v>
      </c>
      <c r="H1" t="s">
        <v>1577</v>
      </c>
      <c r="I1" t="s">
        <v>7</v>
      </c>
      <c r="J1" t="s">
        <v>1304</v>
      </c>
      <c r="K1" t="s">
        <v>1578</v>
      </c>
      <c r="L1" t="s">
        <v>1579</v>
      </c>
      <c r="M1" t="s">
        <v>1580</v>
      </c>
      <c r="N1" t="s">
        <v>1581</v>
      </c>
      <c r="O1" s="1" t="s">
        <v>1582</v>
      </c>
      <c r="P1" s="1" t="s">
        <v>1583</v>
      </c>
      <c r="Q1" s="1" t="s">
        <v>1584</v>
      </c>
      <c r="R1" s="1" t="s">
        <v>1585</v>
      </c>
      <c r="S1" s="1" t="s">
        <v>1586</v>
      </c>
      <c r="T1" s="1" t="s">
        <v>1587</v>
      </c>
      <c r="U1" s="1" t="s">
        <v>1588</v>
      </c>
      <c r="V1" s="1" t="s">
        <v>1589</v>
      </c>
      <c r="W1" s="1" t="s">
        <v>1590</v>
      </c>
      <c r="X1" s="1" t="s">
        <v>1591</v>
      </c>
      <c r="Y1" s="1" t="s">
        <v>1592</v>
      </c>
      <c r="Z1" s="1" t="s">
        <v>1593</v>
      </c>
      <c r="AA1" s="1" t="s">
        <v>1594</v>
      </c>
      <c r="AB1" s="1" t="s">
        <v>1595</v>
      </c>
      <c r="AC1" s="1" t="s">
        <v>1596</v>
      </c>
      <c r="AD1" s="1" t="s">
        <v>1597</v>
      </c>
      <c r="AE1" s="1" t="s">
        <v>1598</v>
      </c>
      <c r="AF1" s="1" t="s">
        <v>1599</v>
      </c>
      <c r="AG1" s="1" t="s">
        <v>1600</v>
      </c>
      <c r="AH1" s="1" t="s">
        <v>1601</v>
      </c>
      <c r="AI1" s="1" t="s">
        <v>1602</v>
      </c>
      <c r="AJ1" s="1" t="s">
        <v>1603</v>
      </c>
      <c r="AK1" s="1" t="s">
        <v>1604</v>
      </c>
      <c r="AL1" s="1" t="s">
        <v>1605</v>
      </c>
      <c r="AM1" s="1" t="s">
        <v>1606</v>
      </c>
      <c r="AN1" s="1" t="s">
        <v>1607</v>
      </c>
      <c r="AO1" s="1" t="s">
        <v>1608</v>
      </c>
      <c r="AP1" s="1" t="s">
        <v>1609</v>
      </c>
      <c r="AQ1" s="1" t="s">
        <v>1610</v>
      </c>
      <c r="AR1" s="1" t="s">
        <v>1611</v>
      </c>
      <c r="AS1" s="1" t="s">
        <v>1612</v>
      </c>
      <c r="AT1" s="1" t="s">
        <v>1613</v>
      </c>
      <c r="AU1" s="1" t="s">
        <v>1614</v>
      </c>
      <c r="AV1" t="s">
        <v>1615</v>
      </c>
      <c r="AW1" t="s">
        <v>1309</v>
      </c>
      <c r="AX1" t="s">
        <v>1312</v>
      </c>
    </row>
    <row r="2" spans="1:50">
      <c r="A2">
        <v>773</v>
      </c>
      <c r="B2">
        <v>161</v>
      </c>
      <c r="C2" t="s">
        <v>1616</v>
      </c>
      <c r="D2" s="8" t="s">
        <v>1617</v>
      </c>
      <c r="E2">
        <v>30</v>
      </c>
      <c r="F2" t="b">
        <v>1</v>
      </c>
      <c r="G2" s="6"/>
      <c r="J2" s="6" t="str">
        <f>_xlfn.XLOOKUP(tbl_Sourcing[[#This Row],[Product Id]], tbl_Product[Product Id], tbl_Product[Name])</f>
        <v>MTG Aetherdrift Living Energy Precon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" s="6" t="b">
        <f>_xlfn.XLOOKUP(tbl_Sourcing[[#This Row],[Product Id]], tbl_Product[Product Id], tbl_Product[Is Set or Play Booster])</f>
        <v>0</v>
      </c>
      <c r="AX2" s="6" t="b">
        <f>_xlfn.XLOOKUP(tbl_Sourcing[[#This Row],[Product Id]], tbl_Product[Product Id], tbl_Product[Is Precon])</f>
        <v>1</v>
      </c>
    </row>
    <row r="3" spans="1:50">
      <c r="A3">
        <v>774</v>
      </c>
      <c r="B3">
        <v>70</v>
      </c>
      <c r="C3" t="s">
        <v>1616</v>
      </c>
      <c r="D3" s="8" t="s">
        <v>1618</v>
      </c>
      <c r="E3">
        <v>100</v>
      </c>
      <c r="F3" t="b">
        <v>1</v>
      </c>
      <c r="G3" s="6"/>
      <c r="J3" s="6" t="str">
        <f>_xlfn.XLOOKUP(tbl_Sourcing[[#This Row],[Product Id]], tbl_Product[Product Id], tbl_Product[Name])</f>
        <v>MTG Aetherdrift Play Booster Box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3" s="6" t="b">
        <f>_xlfn.XLOOKUP(tbl_Sourcing[[#This Row],[Product Id]], tbl_Product[Product Id], tbl_Product[Is Set or Play Booster])</f>
        <v>1</v>
      </c>
      <c r="AX3" s="6" t="b">
        <f>_xlfn.XLOOKUP(tbl_Sourcing[[#This Row],[Product Id]], tbl_Product[Product Id], tbl_Product[Is Precon])</f>
        <v>0</v>
      </c>
    </row>
    <row r="4" spans="1:50">
      <c r="A4">
        <v>775</v>
      </c>
      <c r="B4">
        <v>88</v>
      </c>
      <c r="C4" t="s">
        <v>1616</v>
      </c>
      <c r="D4" s="8" t="s">
        <v>1619</v>
      </c>
      <c r="E4">
        <v>350</v>
      </c>
      <c r="F4" t="b">
        <v>1</v>
      </c>
      <c r="G4" s="6"/>
      <c r="J4" s="6" t="str">
        <f>_xlfn.XLOOKUP(tbl_Sourcing[[#This Row],[Product Id]], tbl_Product[Product Id], tbl_Product[Name])</f>
        <v>MTG Avatar: The Last Airbender Collector Booster Box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" s="6" t="b">
        <f>_xlfn.XLOOKUP(tbl_Sourcing[[#This Row],[Product Id]], tbl_Product[Product Id], tbl_Product[Is Set or Play Booster])</f>
        <v>0</v>
      </c>
      <c r="AX4" s="6" t="b">
        <f>_xlfn.XLOOKUP(tbl_Sourcing[[#This Row],[Product Id]], tbl_Product[Product Id], tbl_Product[Is Precon])</f>
        <v>0</v>
      </c>
    </row>
    <row r="5" spans="1:50">
      <c r="A5">
        <v>776</v>
      </c>
      <c r="B5">
        <v>153</v>
      </c>
      <c r="C5" t="s">
        <v>1616</v>
      </c>
      <c r="D5" s="8" t="s">
        <v>1620</v>
      </c>
      <c r="E5">
        <v>60</v>
      </c>
      <c r="F5" t="b">
        <v>1</v>
      </c>
      <c r="G5" s="6"/>
      <c r="J5" s="6" t="str">
        <f>_xlfn.XLOOKUP(tbl_Sourcing[[#This Row],[Product Id]], tbl_Product[Product Id], tbl_Product[Name])</f>
        <v>MTG Final Fantasy Counter Blitz Precon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" s="6" t="b">
        <f>_xlfn.XLOOKUP(tbl_Sourcing[[#This Row],[Product Id]], tbl_Product[Product Id], tbl_Product[Is Set or Play Booster])</f>
        <v>0</v>
      </c>
      <c r="AX5" s="6" t="b">
        <f>_xlfn.XLOOKUP(tbl_Sourcing[[#This Row],[Product Id]], tbl_Product[Product Id], tbl_Product[Is Precon])</f>
        <v>1</v>
      </c>
    </row>
    <row r="6" spans="1:50">
      <c r="A6">
        <v>777</v>
      </c>
      <c r="B6">
        <v>152</v>
      </c>
      <c r="C6" t="s">
        <v>1616</v>
      </c>
      <c r="D6" s="8" t="s">
        <v>1621</v>
      </c>
      <c r="E6">
        <v>70</v>
      </c>
      <c r="F6" t="b">
        <v>1</v>
      </c>
      <c r="G6" s="6"/>
      <c r="J6" s="6" t="str">
        <f>_xlfn.XLOOKUP(tbl_Sourcing[[#This Row],[Product Id]], tbl_Product[Product Id], tbl_Product[Name])</f>
        <v>MTG Final Fantasy Limit Break Precon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" s="6" t="b">
        <f>_xlfn.XLOOKUP(tbl_Sourcing[[#This Row],[Product Id]], tbl_Product[Product Id], tbl_Product[Is Set or Play Booster])</f>
        <v>0</v>
      </c>
      <c r="AX6" s="6" t="b">
        <f>_xlfn.XLOOKUP(tbl_Sourcing[[#This Row],[Product Id]], tbl_Product[Product Id], tbl_Product[Is Precon])</f>
        <v>1</v>
      </c>
    </row>
    <row r="7" spans="1:50">
      <c r="A7">
        <v>780</v>
      </c>
      <c r="B7">
        <v>78</v>
      </c>
      <c r="C7" t="s">
        <v>1616</v>
      </c>
      <c r="D7" s="8" t="s">
        <v>1622</v>
      </c>
      <c r="E7">
        <v>180</v>
      </c>
      <c r="F7" t="b">
        <v>1</v>
      </c>
      <c r="G7" s="6"/>
      <c r="J7" s="6" t="str">
        <f>_xlfn.XLOOKUP(tbl_Sourcing[[#This Row],[Product Id]], tbl_Product[Product Id], tbl_Product[Name])</f>
        <v>MTG Final Fantasy Play Booster Box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" s="6" t="b">
        <f>_xlfn.XLOOKUP(tbl_Sourcing[[#This Row],[Product Id]], tbl_Product[Product Id], tbl_Product[Is Set or Play Booster])</f>
        <v>1</v>
      </c>
      <c r="AX7" s="6" t="b">
        <f>_xlfn.XLOOKUP(tbl_Sourcing[[#This Row],[Product Id]], tbl_Product[Product Id], tbl_Product[Is Precon])</f>
        <v>0</v>
      </c>
    </row>
    <row r="8" spans="1:50">
      <c r="A8">
        <v>778</v>
      </c>
      <c r="B8">
        <v>151</v>
      </c>
      <c r="C8" t="s">
        <v>1616</v>
      </c>
      <c r="D8" s="8" t="s">
        <v>1623</v>
      </c>
      <c r="E8">
        <v>55</v>
      </c>
      <c r="F8" t="b">
        <v>1</v>
      </c>
      <c r="G8" s="6"/>
      <c r="J8" s="6" t="str">
        <f>_xlfn.XLOOKUP(tbl_Sourcing[[#This Row],[Product Id]], tbl_Product[Product Id], tbl_Product[Name])</f>
        <v>MTG Final Fantasy Revival Trance Precon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" s="6" t="b">
        <f>_xlfn.XLOOKUP(tbl_Sourcing[[#This Row],[Product Id]], tbl_Product[Product Id], tbl_Product[Is Set or Play Booster])</f>
        <v>0</v>
      </c>
      <c r="AX8" s="6" t="b">
        <f>_xlfn.XLOOKUP(tbl_Sourcing[[#This Row],[Product Id]], tbl_Product[Product Id], tbl_Product[Is Precon])</f>
        <v>1</v>
      </c>
    </row>
    <row r="9" spans="1:50">
      <c r="A9">
        <v>779</v>
      </c>
      <c r="B9">
        <v>154</v>
      </c>
      <c r="C9" t="s">
        <v>1616</v>
      </c>
      <c r="D9" s="8" t="s">
        <v>1624</v>
      </c>
      <c r="E9">
        <v>65</v>
      </c>
      <c r="F9" t="b">
        <v>1</v>
      </c>
      <c r="G9" s="6"/>
      <c r="J9" s="6" t="str">
        <f>_xlfn.XLOOKUP(tbl_Sourcing[[#This Row],[Product Id]], tbl_Product[Product Id], tbl_Product[Name])</f>
        <v>MTG Final Fantasy Scions &amp; Spellcraft Precon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" s="6" t="b">
        <f>_xlfn.XLOOKUP(tbl_Sourcing[[#This Row],[Product Id]], tbl_Product[Product Id], tbl_Product[Is Set or Play Booster])</f>
        <v>0</v>
      </c>
      <c r="AX9" s="6" t="b">
        <f>_xlfn.XLOOKUP(tbl_Sourcing[[#This Row],[Product Id]], tbl_Product[Product Id], tbl_Product[Is Precon])</f>
        <v>1</v>
      </c>
    </row>
    <row r="10" spans="1:50">
      <c r="A10">
        <v>781</v>
      </c>
      <c r="B10">
        <v>48</v>
      </c>
      <c r="C10" t="s">
        <v>1616</v>
      </c>
      <c r="D10" s="8" t="s">
        <v>1625</v>
      </c>
      <c r="E10">
        <v>205</v>
      </c>
      <c r="F10" t="b">
        <v>1</v>
      </c>
      <c r="G10" s="6"/>
      <c r="J10" s="6" t="str">
        <f>_xlfn.XLOOKUP(tbl_Sourcing[[#This Row],[Product Id]], tbl_Product[Product Id], tbl_Product[Name])</f>
        <v>MTG Innistrad Remastered INR Play Booster Box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" s="6" t="b">
        <f>_xlfn.XLOOKUP(tbl_Sourcing[[#This Row],[Product Id]], tbl_Product[Product Id], tbl_Product[Is Set or Play Booster])</f>
        <v>1</v>
      </c>
      <c r="AX10" s="6" t="b">
        <f>_xlfn.XLOOKUP(tbl_Sourcing[[#This Row],[Product Id]], tbl_Product[Product Id], tbl_Product[Is Precon])</f>
        <v>0</v>
      </c>
    </row>
    <row r="11" spans="1:50">
      <c r="A11">
        <v>772</v>
      </c>
      <c r="B11">
        <v>237</v>
      </c>
      <c r="C11" t="s">
        <v>1616</v>
      </c>
      <c r="D11" s="8" t="s">
        <v>1626</v>
      </c>
      <c r="E11">
        <v>45</v>
      </c>
      <c r="F11" t="b">
        <v>1</v>
      </c>
      <c r="G11" s="6"/>
      <c r="J11" s="6" t="str">
        <f>_xlfn.XLOOKUP(tbl_Sourcing[[#This Row],[Product Id]], tbl_Product[Product Id], tbl_Product[Name])</f>
        <v>MTG Lorwyn Eclipsed Dance of the Elements Precon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1" s="6" t="b">
        <f>_xlfn.XLOOKUP(tbl_Sourcing[[#This Row],[Product Id]], tbl_Product[Product Id], tbl_Product[Is Set or Play Booster])</f>
        <v>0</v>
      </c>
      <c r="AX11" s="6" t="b">
        <f>_xlfn.XLOOKUP(tbl_Sourcing[[#This Row],[Product Id]], tbl_Product[Product Id], tbl_Product[Is Precon])</f>
        <v>1</v>
      </c>
    </row>
    <row r="12" spans="1:50">
      <c r="A12">
        <v>785</v>
      </c>
      <c r="B12">
        <v>118</v>
      </c>
      <c r="C12" t="s">
        <v>1616</v>
      </c>
      <c r="D12" s="8" t="s">
        <v>1627</v>
      </c>
      <c r="E12">
        <v>350</v>
      </c>
      <c r="F12" t="b">
        <v>1</v>
      </c>
      <c r="G12" s="6"/>
      <c r="J12" s="6" t="str">
        <f>_xlfn.XLOOKUP(tbl_Sourcing[[#This Row],[Product Id]], tbl_Product[Product Id], tbl_Product[Name])</f>
        <v>MTG Marvel's Spider-Man Collector Booster Box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2" s="6" t="b">
        <f>_xlfn.XLOOKUP(tbl_Sourcing[[#This Row],[Product Id]], tbl_Product[Product Id], tbl_Product[Is Set or Play Booster])</f>
        <v>0</v>
      </c>
      <c r="AX12" s="6" t="b">
        <f>_xlfn.XLOOKUP(tbl_Sourcing[[#This Row],[Product Id]], tbl_Product[Product Id], tbl_Product[Is Precon])</f>
        <v>0</v>
      </c>
    </row>
    <row r="13" spans="1:50">
      <c r="A13">
        <v>782</v>
      </c>
      <c r="B13">
        <v>173</v>
      </c>
      <c r="C13" t="s">
        <v>1616</v>
      </c>
      <c r="D13" s="8" t="s">
        <v>1628</v>
      </c>
      <c r="E13">
        <v>55</v>
      </c>
      <c r="F13" t="b">
        <v>1</v>
      </c>
      <c r="G13" s="6"/>
      <c r="J13" s="6" t="str">
        <f>_xlfn.XLOOKUP(tbl_Sourcing[[#This Row],[Product Id]], tbl_Product[Product Id], tbl_Product[Name])</f>
        <v>MTG Modern Horizons 3 Creative Energy Precon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3" s="6" t="b">
        <f>_xlfn.XLOOKUP(tbl_Sourcing[[#This Row],[Product Id]], tbl_Product[Product Id], tbl_Product[Is Set or Play Booster])</f>
        <v>0</v>
      </c>
      <c r="AX13" s="6" t="b">
        <f>_xlfn.XLOOKUP(tbl_Sourcing[[#This Row],[Product Id]], tbl_Product[Product Id], tbl_Product[Is Precon])</f>
        <v>1</v>
      </c>
    </row>
    <row r="14" spans="1:50">
      <c r="A14">
        <v>783</v>
      </c>
      <c r="B14">
        <v>171</v>
      </c>
      <c r="C14" t="s">
        <v>1616</v>
      </c>
      <c r="D14" s="8" t="s">
        <v>1629</v>
      </c>
      <c r="E14">
        <v>55</v>
      </c>
      <c r="F14" t="b">
        <v>1</v>
      </c>
      <c r="G14" s="6"/>
      <c r="J14" s="6" t="str">
        <f>_xlfn.XLOOKUP(tbl_Sourcing[[#This Row],[Product Id]], tbl_Product[Product Id], tbl_Product[Name])</f>
        <v>MTG Modern Horizons 3 Graveyard Overdrive Precon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4" s="6" t="b">
        <f>_xlfn.XLOOKUP(tbl_Sourcing[[#This Row],[Product Id]], tbl_Product[Product Id], tbl_Product[Is Set or Play Booster])</f>
        <v>0</v>
      </c>
      <c r="AX14" s="6" t="b">
        <f>_xlfn.XLOOKUP(tbl_Sourcing[[#This Row],[Product Id]], tbl_Product[Product Id], tbl_Product[Is Precon])</f>
        <v>1</v>
      </c>
    </row>
    <row r="15" spans="1:50">
      <c r="A15">
        <v>784</v>
      </c>
      <c r="B15">
        <v>172</v>
      </c>
      <c r="C15" t="s">
        <v>1616</v>
      </c>
      <c r="D15" s="8" t="s">
        <v>1630</v>
      </c>
      <c r="E15">
        <v>55</v>
      </c>
      <c r="F15" t="b">
        <v>1</v>
      </c>
      <c r="G15" s="6"/>
      <c r="J15" s="6" t="str">
        <f>_xlfn.XLOOKUP(tbl_Sourcing[[#This Row],[Product Id]], tbl_Product[Product Id], tbl_Product[Name])</f>
        <v>MTG Modern Horizons 3 Tricky Terrain Precon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5" s="6" t="b">
        <f>_xlfn.XLOOKUP(tbl_Sourcing[[#This Row],[Product Id]], tbl_Product[Product Id], tbl_Product[Is Set or Play Booster])</f>
        <v>0</v>
      </c>
      <c r="AX15" s="6" t="b">
        <f>_xlfn.XLOOKUP(tbl_Sourcing[[#This Row],[Product Id]], tbl_Product[Product Id], tbl_Product[Is Precon])</f>
        <v>1</v>
      </c>
    </row>
    <row r="16" spans="1:50">
      <c r="A16">
        <v>786</v>
      </c>
      <c r="B16">
        <v>157</v>
      </c>
      <c r="C16" t="s">
        <v>1616</v>
      </c>
      <c r="D16" s="8" t="s">
        <v>1631</v>
      </c>
      <c r="E16">
        <v>40</v>
      </c>
      <c r="F16" t="b">
        <v>1</v>
      </c>
      <c r="G16" s="6"/>
      <c r="J16" s="6" t="str">
        <f>_xlfn.XLOOKUP(tbl_Sourcing[[#This Row],[Product Id]], tbl_Product[Product Id], tbl_Product[Name])</f>
        <v>MTG Tarkir Dragonstorm Jeskai Striker Precon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6" s="6" t="b">
        <f>_xlfn.XLOOKUP(tbl_Sourcing[[#This Row],[Product Id]], tbl_Product[Product Id], tbl_Product[Is Set or Play Booster])</f>
        <v>0</v>
      </c>
      <c r="AX16" s="6" t="b">
        <f>_xlfn.XLOOKUP(tbl_Sourcing[[#This Row],[Product Id]], tbl_Product[Product Id], tbl_Product[Is Precon])</f>
        <v>1</v>
      </c>
    </row>
    <row r="17" spans="1:50">
      <c r="A17">
        <v>787</v>
      </c>
      <c r="B17">
        <v>252</v>
      </c>
      <c r="C17" t="s">
        <v>1616</v>
      </c>
      <c r="D17" s="8" t="s">
        <v>1632</v>
      </c>
      <c r="E17">
        <v>375</v>
      </c>
      <c r="F17" t="b">
        <v>1</v>
      </c>
      <c r="G17" s="6"/>
      <c r="J17" s="6" t="str">
        <f>_xlfn.XLOOKUP(tbl_Sourcing[[#This Row],[Product Id]], tbl_Product[Product Id], tbl_Product[Name])</f>
        <v>MTG Teenage Mutant Ninja Turtles Collector Booster Box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7" s="6" t="b">
        <f>_xlfn.XLOOKUP(tbl_Sourcing[[#This Row],[Product Id]], tbl_Product[Product Id], tbl_Product[Is Set or Play Booster])</f>
        <v>0</v>
      </c>
      <c r="AX17" s="6" t="b">
        <f>_xlfn.XLOOKUP(tbl_Sourcing[[#This Row],[Product Id]], tbl_Product[Product Id], tbl_Product[Is Precon])</f>
        <v>0</v>
      </c>
    </row>
    <row r="18" spans="1:50">
      <c r="A18">
        <v>788</v>
      </c>
      <c r="B18">
        <v>253</v>
      </c>
      <c r="C18" t="s">
        <v>1616</v>
      </c>
      <c r="D18" s="8" t="s">
        <v>1633</v>
      </c>
      <c r="E18">
        <v>175</v>
      </c>
      <c r="F18" t="b">
        <v>1</v>
      </c>
      <c r="G18" s="6"/>
      <c r="J18" s="6" t="str">
        <f>_xlfn.XLOOKUP(tbl_Sourcing[[#This Row],[Product Id]], tbl_Product[Product Id], tbl_Product[Name])</f>
        <v>MTG Teenage Mutant Ninja Turtles Play Booster Box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8" s="6" t="b">
        <f>_xlfn.XLOOKUP(tbl_Sourcing[[#This Row],[Product Id]], tbl_Product[Product Id], tbl_Product[Is Set or Play Booster])</f>
        <v>1</v>
      </c>
      <c r="AX18" s="6" t="b">
        <f>_xlfn.XLOOKUP(tbl_Sourcing[[#This Row],[Product Id]], tbl_Product[Product Id], tbl_Product[Is Precon])</f>
        <v>0</v>
      </c>
    </row>
    <row r="19" spans="1:50">
      <c r="A19">
        <v>659</v>
      </c>
      <c r="B19">
        <v>84</v>
      </c>
      <c r="C19" t="s">
        <v>1634</v>
      </c>
      <c r="D19" s="8" t="s">
        <v>1635</v>
      </c>
      <c r="E19">
        <v>220</v>
      </c>
      <c r="F19" t="b">
        <v>1</v>
      </c>
      <c r="G19" s="6"/>
      <c r="J19" s="6" t="str">
        <f>_xlfn.XLOOKUP(tbl_Sourcing[[#This Row],[Product Id]], tbl_Product[Product Id], tbl_Product[Name])</f>
        <v>MTG Aetherdrift Collector Booster Box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9" s="6" t="b">
        <f>_xlfn.XLOOKUP(tbl_Sourcing[[#This Row],[Product Id]], tbl_Product[Product Id], tbl_Product[Is Set or Play Booster])</f>
        <v>0</v>
      </c>
      <c r="AX19" s="6" t="b">
        <f>_xlfn.XLOOKUP(tbl_Sourcing[[#This Row],[Product Id]], tbl_Product[Product Id], tbl_Product[Is Precon])</f>
        <v>0</v>
      </c>
    </row>
    <row r="20" spans="1:50">
      <c r="A20">
        <v>655</v>
      </c>
      <c r="B20">
        <v>70</v>
      </c>
      <c r="C20" t="s">
        <v>1634</v>
      </c>
      <c r="D20" s="8" t="s">
        <v>1636</v>
      </c>
      <c r="E20">
        <v>100</v>
      </c>
      <c r="F20" t="b">
        <v>1</v>
      </c>
      <c r="G20" s="6"/>
      <c r="J20" s="6" t="str">
        <f>_xlfn.XLOOKUP(tbl_Sourcing[[#This Row],[Product Id]], tbl_Product[Product Id], tbl_Product[Name])</f>
        <v>MTG Aetherdrift Play Booster Box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0" s="6" t="b">
        <f>_xlfn.XLOOKUP(tbl_Sourcing[[#This Row],[Product Id]], tbl_Product[Product Id], tbl_Product[Is Set or Play Booster])</f>
        <v>1</v>
      </c>
      <c r="AX20" s="6" t="b">
        <f>_xlfn.XLOOKUP(tbl_Sourcing[[#This Row],[Product Id]], tbl_Product[Product Id], tbl_Product[Is Precon])</f>
        <v>0</v>
      </c>
    </row>
    <row r="21" spans="1:50">
      <c r="A21">
        <v>660</v>
      </c>
      <c r="B21">
        <v>88</v>
      </c>
      <c r="C21" t="s">
        <v>1634</v>
      </c>
      <c r="D21" s="8" t="s">
        <v>1637</v>
      </c>
      <c r="E21">
        <v>400</v>
      </c>
      <c r="F21" t="b">
        <v>1</v>
      </c>
      <c r="G21" s="6"/>
      <c r="J21" s="6" t="str">
        <f>_xlfn.XLOOKUP(tbl_Sourcing[[#This Row],[Product Id]], tbl_Product[Product Id], tbl_Product[Name])</f>
        <v>MTG Avatar: The Last Airbender Collector Booster Box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1" s="6" t="b">
        <f>_xlfn.XLOOKUP(tbl_Sourcing[[#This Row],[Product Id]], tbl_Product[Product Id], tbl_Product[Is Set or Play Booster])</f>
        <v>0</v>
      </c>
      <c r="AX21" s="6" t="b">
        <f>_xlfn.XLOOKUP(tbl_Sourcing[[#This Row],[Product Id]], tbl_Product[Product Id], tbl_Product[Is Precon])</f>
        <v>0</v>
      </c>
    </row>
    <row r="22" spans="1:50">
      <c r="A22">
        <v>656</v>
      </c>
      <c r="B22">
        <v>57</v>
      </c>
      <c r="C22" t="s">
        <v>1634</v>
      </c>
      <c r="D22" s="8" t="s">
        <v>1638</v>
      </c>
      <c r="E22">
        <v>140</v>
      </c>
      <c r="F22" t="b">
        <v>1</v>
      </c>
      <c r="G22" s="6"/>
      <c r="J22" s="6" t="str">
        <f>_xlfn.XLOOKUP(tbl_Sourcing[[#This Row],[Product Id]], tbl_Product[Product Id], tbl_Product[Name])</f>
        <v>MTG Avatar: The Last Airbender Play Booster Box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2" s="6" t="b">
        <f>_xlfn.XLOOKUP(tbl_Sourcing[[#This Row],[Product Id]], tbl_Product[Product Id], tbl_Product[Is Set or Play Booster])</f>
        <v>1</v>
      </c>
      <c r="AX22" s="6" t="b">
        <f>_xlfn.XLOOKUP(tbl_Sourcing[[#This Row],[Product Id]], tbl_Product[Product Id], tbl_Product[Is Precon])</f>
        <v>0</v>
      </c>
    </row>
    <row r="23" spans="1:50">
      <c r="A23">
        <v>654</v>
      </c>
      <c r="B23">
        <v>100</v>
      </c>
      <c r="C23" t="s">
        <v>1634</v>
      </c>
      <c r="D23" s="8" t="s">
        <v>1639</v>
      </c>
      <c r="E23">
        <v>880</v>
      </c>
      <c r="F23" t="b">
        <v>1</v>
      </c>
      <c r="G23" s="6"/>
      <c r="J23" s="6" t="str">
        <f>_xlfn.XLOOKUP(tbl_Sourcing[[#This Row],[Product Id]], tbl_Product[Product Id], tbl_Product[Name])</f>
        <v>MTG Final Fantasy Collector Booster Box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3" s="6" t="b">
        <f>_xlfn.XLOOKUP(tbl_Sourcing[[#This Row],[Product Id]], tbl_Product[Product Id], tbl_Product[Is Set or Play Booster])</f>
        <v>0</v>
      </c>
      <c r="AX23" s="6" t="b">
        <f>_xlfn.XLOOKUP(tbl_Sourcing[[#This Row],[Product Id]], tbl_Product[Product Id], tbl_Product[Is Precon])</f>
        <v>0</v>
      </c>
    </row>
    <row r="24" spans="1:50">
      <c r="A24">
        <v>652</v>
      </c>
      <c r="B24">
        <v>78</v>
      </c>
      <c r="C24" t="s">
        <v>1634</v>
      </c>
      <c r="D24" s="8" t="s">
        <v>1640</v>
      </c>
      <c r="E24">
        <v>180</v>
      </c>
      <c r="F24" t="b">
        <v>1</v>
      </c>
      <c r="G24" s="6"/>
      <c r="J24" s="6" t="str">
        <f>_xlfn.XLOOKUP(tbl_Sourcing[[#This Row],[Product Id]], tbl_Product[Product Id], tbl_Product[Name])</f>
        <v>MTG Final Fantasy Play Booster Box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4" s="6" t="b">
        <f>_xlfn.XLOOKUP(tbl_Sourcing[[#This Row],[Product Id]], tbl_Product[Product Id], tbl_Product[Is Set or Play Booster])</f>
        <v>1</v>
      </c>
      <c r="AX24" s="6" t="b">
        <f>_xlfn.XLOOKUP(tbl_Sourcing[[#This Row],[Product Id]], tbl_Product[Product Id], tbl_Product[Is Precon])</f>
        <v>0</v>
      </c>
    </row>
    <row r="25" spans="1:50">
      <c r="A25">
        <v>658</v>
      </c>
      <c r="B25">
        <v>48</v>
      </c>
      <c r="C25" t="s">
        <v>1634</v>
      </c>
      <c r="D25" s="8" t="s">
        <v>1641</v>
      </c>
      <c r="E25">
        <v>200</v>
      </c>
      <c r="F25" t="b">
        <v>1</v>
      </c>
      <c r="G25" s="6"/>
      <c r="J25" s="6" t="str">
        <f>_xlfn.XLOOKUP(tbl_Sourcing[[#This Row],[Product Id]], tbl_Product[Product Id], tbl_Product[Name])</f>
        <v>MTG Innistrad Remastered INR Play Booster Box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5" s="6" t="b">
        <f>_xlfn.XLOOKUP(tbl_Sourcing[[#This Row],[Product Id]], tbl_Product[Product Id], tbl_Product[Is Set or Play Booster])</f>
        <v>1</v>
      </c>
      <c r="AX25" s="6" t="b">
        <f>_xlfn.XLOOKUP(tbl_Sourcing[[#This Row],[Product Id]], tbl_Product[Product Id], tbl_Product[Is Precon])</f>
        <v>0</v>
      </c>
    </row>
    <row r="26" spans="1:50">
      <c r="A26">
        <v>657</v>
      </c>
      <c r="B26">
        <v>64</v>
      </c>
      <c r="C26" t="s">
        <v>1634</v>
      </c>
      <c r="D26" s="8" t="s">
        <v>1642</v>
      </c>
      <c r="E26">
        <v>130</v>
      </c>
      <c r="F26" t="b">
        <v>1</v>
      </c>
      <c r="G26" s="6"/>
      <c r="J26" s="6" t="str">
        <f>_xlfn.XLOOKUP(tbl_Sourcing[[#This Row],[Product Id]], tbl_Product[Product Id], tbl_Product[Name])</f>
        <v>MTG Marvel's Spider-Man Play Booster Box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6" s="6" t="b">
        <f>_xlfn.XLOOKUP(tbl_Sourcing[[#This Row],[Product Id]], tbl_Product[Product Id], tbl_Product[Is Set or Play Booster])</f>
        <v>1</v>
      </c>
      <c r="AX26" s="6" t="b">
        <f>_xlfn.XLOOKUP(tbl_Sourcing[[#This Row],[Product Id]], tbl_Product[Product Id], tbl_Product[Is Precon])</f>
        <v>0</v>
      </c>
    </row>
    <row r="27" spans="1:50">
      <c r="A27">
        <v>653</v>
      </c>
      <c r="B27">
        <v>42</v>
      </c>
      <c r="C27" t="s">
        <v>1634</v>
      </c>
      <c r="D27" s="8" t="s">
        <v>1643</v>
      </c>
      <c r="E27">
        <v>130</v>
      </c>
      <c r="F27" t="b">
        <v>1</v>
      </c>
      <c r="G27" s="6"/>
      <c r="J27" s="6" t="str">
        <f>_xlfn.XLOOKUP(tbl_Sourcing[[#This Row],[Product Id]], tbl_Product[Product Id], tbl_Product[Name])</f>
        <v>MTG Tarkir: Dragonstorm TDM Play Booster Box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7" s="6" t="b">
        <f>_xlfn.XLOOKUP(tbl_Sourcing[[#This Row],[Product Id]], tbl_Product[Product Id], tbl_Product[Is Set or Play Booster])</f>
        <v>1</v>
      </c>
      <c r="AX27" s="6" t="b">
        <f>_xlfn.XLOOKUP(tbl_Sourcing[[#This Row],[Product Id]], tbl_Product[Product Id], tbl_Product[Is Precon])</f>
        <v>0</v>
      </c>
    </row>
    <row r="28" spans="1:50">
      <c r="A28">
        <v>661</v>
      </c>
      <c r="B28">
        <v>252</v>
      </c>
      <c r="C28" t="s">
        <v>1634</v>
      </c>
      <c r="D28" s="8" t="s">
        <v>1644</v>
      </c>
      <c r="E28">
        <v>385</v>
      </c>
      <c r="F28" t="b">
        <v>1</v>
      </c>
      <c r="G28" s="6"/>
      <c r="J28" s="6" t="str">
        <f>_xlfn.XLOOKUP(tbl_Sourcing[[#This Row],[Product Id]], tbl_Product[Product Id], tbl_Product[Name])</f>
        <v>MTG Teenage Mutant Ninja Turtles Collector Booster Box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8" s="6" t="b">
        <f>_xlfn.XLOOKUP(tbl_Sourcing[[#This Row],[Product Id]], tbl_Product[Product Id], tbl_Product[Is Set or Play Booster])</f>
        <v>0</v>
      </c>
      <c r="AX28" s="6" t="b">
        <f>_xlfn.XLOOKUP(tbl_Sourcing[[#This Row],[Product Id]], tbl_Product[Product Id], tbl_Product[Is Precon])</f>
        <v>0</v>
      </c>
    </row>
    <row r="29" spans="1:50">
      <c r="A29">
        <v>662</v>
      </c>
      <c r="B29">
        <v>253</v>
      </c>
      <c r="C29" t="s">
        <v>1634</v>
      </c>
      <c r="D29" s="8" t="s">
        <v>1645</v>
      </c>
      <c r="E29">
        <v>150</v>
      </c>
      <c r="F29" t="b">
        <v>1</v>
      </c>
      <c r="G29" s="6"/>
      <c r="J29" s="6" t="str">
        <f>_xlfn.XLOOKUP(tbl_Sourcing[[#This Row],[Product Id]], tbl_Product[Product Id], tbl_Product[Name])</f>
        <v>MTG Teenage Mutant Ninja Turtles Play Booster Box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29" s="6" t="b">
        <f>_xlfn.XLOOKUP(tbl_Sourcing[[#This Row],[Product Id]], tbl_Product[Product Id], tbl_Product[Is Set or Play Booster])</f>
        <v>1</v>
      </c>
      <c r="AX29" s="6" t="b">
        <f>_xlfn.XLOOKUP(tbl_Sourcing[[#This Row],[Product Id]], tbl_Product[Product Id], tbl_Product[Is Precon])</f>
        <v>0</v>
      </c>
    </row>
    <row r="30" spans="1:50">
      <c r="A30">
        <v>413</v>
      </c>
      <c r="B30">
        <v>235</v>
      </c>
      <c r="C30" t="s">
        <v>1646</v>
      </c>
      <c r="D30" s="8" t="s">
        <v>1647</v>
      </c>
      <c r="E30" s="23">
        <v>141</v>
      </c>
      <c r="F30" s="23" t="b">
        <v>0</v>
      </c>
      <c r="G30" s="24"/>
      <c r="H30" s="24"/>
      <c r="J30" s="6" t="str">
        <f>_xlfn.XLOOKUP(tbl_Sourcing[[#This Row],[Product Id]], tbl_Product[Product Id], tbl_Product[Name])</f>
        <v>Pokémon Mega Evolution Phantasmal Flames Booster Box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" s="6" t="b">
        <f>_xlfn.XLOOKUP(tbl_Sourcing[[#This Row],[Product Id]], tbl_Product[Product Id], tbl_Product[Is Set or Play Booster])</f>
        <v>1</v>
      </c>
      <c r="AX30" s="6" t="b">
        <f>_xlfn.XLOOKUP(tbl_Sourcing[[#This Row],[Product Id]], tbl_Product[Product Id], tbl_Product[Is Precon])</f>
        <v>0</v>
      </c>
    </row>
    <row r="31" spans="1:50">
      <c r="A31">
        <v>190</v>
      </c>
      <c r="B31">
        <v>83</v>
      </c>
      <c r="C31" t="s">
        <v>1648</v>
      </c>
      <c r="D31" s="8" t="s">
        <v>1649</v>
      </c>
      <c r="E31" s="23">
        <v>26.021460000000001</v>
      </c>
      <c r="F31" s="23" t="b">
        <v>1</v>
      </c>
      <c r="G31" s="24"/>
      <c r="H31" s="23">
        <v>18.103637857599999</v>
      </c>
      <c r="J31" s="6" t="str">
        <f>_xlfn.XLOOKUP(tbl_Sourcing[[#This Row],[Product Id]], tbl_Product[Product Id], tbl_Product[Name])</f>
        <v>MTG Aetherdrift Collector Booster</v>
      </c>
      <c r="K31" s="6">
        <v>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</v>
      </c>
      <c r="AW31" s="6" t="b">
        <f>_xlfn.XLOOKUP(tbl_Sourcing[[#This Row],[Product Id]], tbl_Product[Product Id], tbl_Product[Is Set or Play Booster])</f>
        <v>0</v>
      </c>
      <c r="AX31" s="6" t="b">
        <f>_xlfn.XLOOKUP(tbl_Sourcing[[#This Row],[Product Id]], tbl_Product[Product Id], tbl_Product[Is Precon])</f>
        <v>0</v>
      </c>
    </row>
    <row r="32" spans="1:50">
      <c r="A32">
        <v>119</v>
      </c>
      <c r="B32">
        <v>84</v>
      </c>
      <c r="C32" t="s">
        <v>1648</v>
      </c>
      <c r="D32" s="8" t="s">
        <v>1650</v>
      </c>
      <c r="E32" s="23">
        <v>215.60342</v>
      </c>
      <c r="F32" s="23" t="b">
        <v>1</v>
      </c>
      <c r="G32" s="24"/>
      <c r="H32" s="24" t="s">
        <v>1651</v>
      </c>
      <c r="J32" s="6" t="str">
        <f>_xlfn.XLOOKUP(tbl_Sourcing[[#This Row],[Product Id]], tbl_Product[Product Id], tbl_Product[Name])</f>
        <v>MTG Aetherdrift Collector Booster Box</v>
      </c>
      <c r="K32" s="6">
        <v>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</v>
      </c>
      <c r="AW32" s="6" t="b">
        <f>_xlfn.XLOOKUP(tbl_Sourcing[[#This Row],[Product Id]], tbl_Product[Product Id], tbl_Product[Is Set or Play Booster])</f>
        <v>0</v>
      </c>
      <c r="AX32" s="6" t="b">
        <f>_xlfn.XLOOKUP(tbl_Sourcing[[#This Row],[Product Id]], tbl_Product[Product Id], tbl_Product[Is Precon])</f>
        <v>0</v>
      </c>
    </row>
    <row r="33" spans="1:50">
      <c r="A33">
        <v>268</v>
      </c>
      <c r="B33">
        <v>160</v>
      </c>
      <c r="C33" t="s">
        <v>1648</v>
      </c>
      <c r="D33" s="25" t="s">
        <v>1652</v>
      </c>
      <c r="E33" s="23">
        <v>38.31</v>
      </c>
      <c r="F33" s="23" t="b">
        <v>1</v>
      </c>
      <c r="G33" s="24"/>
      <c r="H33" s="23">
        <v>40.641933999999999</v>
      </c>
      <c r="J33" s="6" t="str">
        <f>_xlfn.XLOOKUP(tbl_Sourcing[[#This Row],[Product Id]], tbl_Product[Product Id], tbl_Product[Name])</f>
        <v>MTG Aetherdrift Eternal Might Precon</v>
      </c>
      <c r="K33" s="6">
        <v>139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691</v>
      </c>
      <c r="AW33" s="6" t="b">
        <f>_xlfn.XLOOKUP(tbl_Sourcing[[#This Row],[Product Id]], tbl_Product[Product Id], tbl_Product[Is Set or Play Booster])</f>
        <v>0</v>
      </c>
      <c r="AX33" s="6" t="b">
        <f>_xlfn.XLOOKUP(tbl_Sourcing[[#This Row],[Product Id]], tbl_Product[Product Id], tbl_Product[Is Precon])</f>
        <v>1</v>
      </c>
    </row>
    <row r="34" spans="1:50">
      <c r="A34">
        <v>269</v>
      </c>
      <c r="B34">
        <v>161</v>
      </c>
      <c r="C34" t="s">
        <v>1648</v>
      </c>
      <c r="D34" s="25" t="s">
        <v>1653</v>
      </c>
      <c r="E34" s="23">
        <v>29.64134</v>
      </c>
      <c r="F34" s="23" t="b">
        <v>1</v>
      </c>
      <c r="G34" s="24"/>
      <c r="H34" s="23">
        <v>27.487986399999997</v>
      </c>
      <c r="J34" s="6" t="str">
        <f>_xlfn.XLOOKUP(tbl_Sourcing[[#This Row],[Product Id]], tbl_Product[Product Id], tbl_Product[Name])</f>
        <v>MTG Aetherdrift Living Energy Precon</v>
      </c>
      <c r="K34" s="6">
        <v>140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696</v>
      </c>
      <c r="AW34" s="6" t="b">
        <f>_xlfn.XLOOKUP(tbl_Sourcing[[#This Row],[Product Id]], tbl_Product[Product Id], tbl_Product[Is Set or Play Booster])</f>
        <v>0</v>
      </c>
      <c r="AX34" s="6" t="b">
        <f>_xlfn.XLOOKUP(tbl_Sourcing[[#This Row],[Product Id]], tbl_Product[Product Id], tbl_Product[Is Precon])</f>
        <v>1</v>
      </c>
    </row>
    <row r="35" spans="1:50">
      <c r="A35">
        <v>176</v>
      </c>
      <c r="B35">
        <v>25</v>
      </c>
      <c r="C35" t="s">
        <v>1648</v>
      </c>
      <c r="D35" s="8" t="s">
        <v>1654</v>
      </c>
      <c r="E35" s="23">
        <v>4.5547000000000004</v>
      </c>
      <c r="F35" s="23" t="b">
        <v>1</v>
      </c>
      <c r="G35" s="24"/>
      <c r="H35" s="23">
        <v>2.566349432</v>
      </c>
      <c r="J35" s="6" t="str">
        <f>_xlfn.XLOOKUP(tbl_Sourcing[[#This Row],[Product Id]], tbl_Product[Product Id], tbl_Product[Name])</f>
        <v>MTG Aetherdrift Play Booster</v>
      </c>
      <c r="K35" s="6"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</v>
      </c>
      <c r="AW35" s="6" t="b">
        <f>_xlfn.XLOOKUP(tbl_Sourcing[[#This Row],[Product Id]], tbl_Product[Product Id], tbl_Product[Is Set or Play Booster])</f>
        <v>1</v>
      </c>
      <c r="AX35" s="6" t="b">
        <f>_xlfn.XLOOKUP(tbl_Sourcing[[#This Row],[Product Id]], tbl_Product[Product Id], tbl_Product[Is Precon])</f>
        <v>0</v>
      </c>
    </row>
    <row r="36" spans="1:50">
      <c r="A36">
        <v>59</v>
      </c>
      <c r="B36">
        <v>70</v>
      </c>
      <c r="C36" t="s">
        <v>1648</v>
      </c>
      <c r="D36" s="8" t="s">
        <v>1655</v>
      </c>
      <c r="E36" s="23">
        <v>87.784580000000005</v>
      </c>
      <c r="F36" s="23" t="b">
        <v>1</v>
      </c>
      <c r="G36" s="24"/>
      <c r="H36" s="24" t="s">
        <v>1651</v>
      </c>
      <c r="J36" s="6" t="str">
        <f>_xlfn.XLOOKUP(tbl_Sourcing[[#This Row],[Product Id]], tbl_Product[Product Id], tbl_Product[Name])</f>
        <v>MTG Aetherdrift Play Booster Box</v>
      </c>
      <c r="K36" s="6"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</v>
      </c>
      <c r="AW36" s="6" t="b">
        <f>_xlfn.XLOOKUP(tbl_Sourcing[[#This Row],[Product Id]], tbl_Product[Product Id], tbl_Product[Is Set or Play Booster])</f>
        <v>1</v>
      </c>
      <c r="AX36" s="6" t="b">
        <f>_xlfn.XLOOKUP(tbl_Sourcing[[#This Row],[Product Id]], tbl_Product[Product Id], tbl_Product[Is Precon])</f>
        <v>0</v>
      </c>
    </row>
    <row r="37" spans="1:50">
      <c r="A37">
        <v>169</v>
      </c>
      <c r="B37">
        <v>18</v>
      </c>
      <c r="C37" t="s">
        <v>1648</v>
      </c>
      <c r="D37" s="8" t="s">
        <v>1656</v>
      </c>
      <c r="E37" s="23">
        <v>7.1007400000000001</v>
      </c>
      <c r="F37" s="23" t="b">
        <v>1</v>
      </c>
      <c r="G37" s="24"/>
      <c r="H37" s="23">
        <v>5.1239993743999994</v>
      </c>
      <c r="J37" s="6" t="str">
        <f>_xlfn.XLOOKUP(tbl_Sourcing[[#This Row],[Product Id]], tbl_Product[Product Id], tbl_Product[Name])</f>
        <v>MTG Assassin's Creed Beyond Booster</v>
      </c>
      <c r="K37" s="6">
        <v>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</v>
      </c>
      <c r="AW37" s="6" t="b">
        <f>_xlfn.XLOOKUP(tbl_Sourcing[[#This Row],[Product Id]], tbl_Product[Product Id], tbl_Product[Is Set or Play Booster])</f>
        <v>1</v>
      </c>
      <c r="AX37" s="6" t="b">
        <f>_xlfn.XLOOKUP(tbl_Sourcing[[#This Row],[Product Id]], tbl_Product[Product Id], tbl_Product[Is Precon])</f>
        <v>0</v>
      </c>
    </row>
    <row r="38" spans="1:50">
      <c r="A38">
        <v>41</v>
      </c>
      <c r="B38">
        <v>63</v>
      </c>
      <c r="C38" t="s">
        <v>1648</v>
      </c>
      <c r="D38" s="8" t="s">
        <v>1657</v>
      </c>
      <c r="E38" s="23">
        <v>153.29472000000001</v>
      </c>
      <c r="F38" s="23" t="b">
        <v>1</v>
      </c>
      <c r="G38" s="24"/>
      <c r="H38" s="24" t="s">
        <v>1651</v>
      </c>
      <c r="J38" s="6" t="str">
        <f>_xlfn.XLOOKUP(tbl_Sourcing[[#This Row],[Product Id]], tbl_Product[Product Id], tbl_Product[Name])</f>
        <v>MTG Assassin's Creed Beyond Booster Box</v>
      </c>
      <c r="K38" s="6">
        <v>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</v>
      </c>
      <c r="AW38" s="6" t="b">
        <f>_xlfn.XLOOKUP(tbl_Sourcing[[#This Row],[Product Id]], tbl_Product[Product Id], tbl_Product[Is Set or Play Booster])</f>
        <v>1</v>
      </c>
      <c r="AX38" s="6" t="b">
        <f>_xlfn.XLOOKUP(tbl_Sourcing[[#This Row],[Product Id]], tbl_Product[Product Id], tbl_Product[Is Precon])</f>
        <v>0</v>
      </c>
    </row>
    <row r="39" spans="1:50">
      <c r="A39">
        <v>191</v>
      </c>
      <c r="B39">
        <v>85</v>
      </c>
      <c r="C39" t="s">
        <v>1648</v>
      </c>
      <c r="D39" s="8" t="s">
        <v>1658</v>
      </c>
      <c r="E39" s="23">
        <v>33.226579999999998</v>
      </c>
      <c r="F39" s="23" t="b">
        <v>1</v>
      </c>
      <c r="G39" s="24"/>
      <c r="H39" s="23">
        <v>25.341613204799998</v>
      </c>
      <c r="J39" s="6" t="str">
        <f>_xlfn.XLOOKUP(tbl_Sourcing[[#This Row],[Product Id]], tbl_Product[Product Id], tbl_Product[Name])</f>
        <v>MTG Assassin's Creed Beyond Collector Booster</v>
      </c>
      <c r="K39" s="6">
        <v>7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31</v>
      </c>
      <c r="AW39" s="6" t="b">
        <f>_xlfn.XLOOKUP(tbl_Sourcing[[#This Row],[Product Id]], tbl_Product[Product Id], tbl_Product[Is Set or Play Booster])</f>
        <v>0</v>
      </c>
      <c r="AX39" s="6" t="b">
        <f>_xlfn.XLOOKUP(tbl_Sourcing[[#This Row],[Product Id]], tbl_Product[Product Id], tbl_Product[Is Precon])</f>
        <v>0</v>
      </c>
    </row>
    <row r="40" spans="1:50">
      <c r="A40">
        <v>120</v>
      </c>
      <c r="B40">
        <v>86</v>
      </c>
      <c r="C40" t="s">
        <v>1648</v>
      </c>
      <c r="D40" s="8" t="s">
        <v>1659</v>
      </c>
      <c r="E40" s="23">
        <v>318.49288000000001</v>
      </c>
      <c r="F40" s="23" t="b">
        <v>1</v>
      </c>
      <c r="G40" s="24"/>
      <c r="H40" s="24" t="s">
        <v>1651</v>
      </c>
      <c r="J40" s="6" t="str">
        <f>_xlfn.XLOOKUP(tbl_Sourcing[[#This Row],[Product Id]], tbl_Product[Product Id], tbl_Product[Name])</f>
        <v>MTG Assassin's Creed Beyond Collector Booster Box</v>
      </c>
      <c r="K40" s="6"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36</v>
      </c>
      <c r="AW40" s="6" t="b">
        <f>_xlfn.XLOOKUP(tbl_Sourcing[[#This Row],[Product Id]], tbl_Product[Product Id], tbl_Product[Is Set or Play Booster])</f>
        <v>0</v>
      </c>
      <c r="AX40" s="6" t="b">
        <f>_xlfn.XLOOKUP(tbl_Sourcing[[#This Row],[Product Id]], tbl_Product[Product Id], tbl_Product[Is Precon])</f>
        <v>0</v>
      </c>
    </row>
    <row r="41" spans="1:50">
      <c r="A41">
        <v>192</v>
      </c>
      <c r="B41">
        <v>87</v>
      </c>
      <c r="C41" t="s">
        <v>1648</v>
      </c>
      <c r="D41" s="8" t="s">
        <v>1660</v>
      </c>
      <c r="E41" s="23">
        <v>38.370620000000002</v>
      </c>
      <c r="F41" s="23" t="b">
        <v>1</v>
      </c>
      <c r="G41" s="24"/>
      <c r="H41" s="23">
        <v>30.509110027199998</v>
      </c>
      <c r="J41" s="6" t="str">
        <f>_xlfn.XLOOKUP(tbl_Sourcing[[#This Row],[Product Id]], tbl_Product[Product Id], tbl_Product[Name])</f>
        <v>MTG Avatar: The Last Airbender Collector Booster</v>
      </c>
      <c r="K41" s="6"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41</v>
      </c>
      <c r="AW41" s="6" t="b">
        <f>_xlfn.XLOOKUP(tbl_Sourcing[[#This Row],[Product Id]], tbl_Product[Product Id], tbl_Product[Is Set or Play Booster])</f>
        <v>0</v>
      </c>
      <c r="AX41" s="6" t="b">
        <f>_xlfn.XLOOKUP(tbl_Sourcing[[#This Row],[Product Id]], tbl_Product[Product Id], tbl_Product[Is Precon])</f>
        <v>0</v>
      </c>
    </row>
    <row r="42" spans="1:50">
      <c r="A42">
        <v>121</v>
      </c>
      <c r="B42">
        <v>88</v>
      </c>
      <c r="C42" t="s">
        <v>1648</v>
      </c>
      <c r="D42" s="8" t="s">
        <v>1661</v>
      </c>
      <c r="E42" s="23">
        <v>308.25675999999999</v>
      </c>
      <c r="F42" s="23" t="b">
        <v>1</v>
      </c>
      <c r="G42" s="24"/>
      <c r="H42" s="24" t="s">
        <v>1651</v>
      </c>
      <c r="J42" s="6" t="str">
        <f>_xlfn.XLOOKUP(tbl_Sourcing[[#This Row],[Product Id]], tbl_Product[Product Id], tbl_Product[Name])</f>
        <v>MTG Avatar: The Last Airbender Collector Booster Box</v>
      </c>
      <c r="K42" s="6">
        <v>10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46</v>
      </c>
      <c r="AW42" s="6" t="b">
        <f>_xlfn.XLOOKUP(tbl_Sourcing[[#This Row],[Product Id]], tbl_Product[Product Id], tbl_Product[Is Set or Play Booster])</f>
        <v>0</v>
      </c>
      <c r="AX42" s="6" t="b">
        <f>_xlfn.XLOOKUP(tbl_Sourcing[[#This Row],[Product Id]], tbl_Product[Product Id], tbl_Product[Is Precon])</f>
        <v>0</v>
      </c>
    </row>
    <row r="43" spans="1:50">
      <c r="A43">
        <v>163</v>
      </c>
      <c r="B43">
        <v>12</v>
      </c>
      <c r="C43" t="s">
        <v>1648</v>
      </c>
      <c r="D43" s="8" t="s">
        <v>1662</v>
      </c>
      <c r="E43" s="23">
        <v>6.0701999999999998</v>
      </c>
      <c r="F43" s="23" t="b">
        <v>1</v>
      </c>
      <c r="G43" s="24"/>
      <c r="H43" s="23">
        <v>4.0887601120000001</v>
      </c>
      <c r="J43" s="6" t="str">
        <f>_xlfn.XLOOKUP(tbl_Sourcing[[#This Row],[Product Id]], tbl_Product[Product Id], tbl_Product[Name])</f>
        <v>MTG Avatar: The Last Airbender Play Booster</v>
      </c>
      <c r="K43" s="6"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51</v>
      </c>
      <c r="AW43" s="6" t="b">
        <f>_xlfn.XLOOKUP(tbl_Sourcing[[#This Row],[Product Id]], tbl_Product[Product Id], tbl_Product[Is Set or Play Booster])</f>
        <v>1</v>
      </c>
      <c r="AX43" s="6" t="b">
        <f>_xlfn.XLOOKUP(tbl_Sourcing[[#This Row],[Product Id]], tbl_Product[Product Id], tbl_Product[Is Precon])</f>
        <v>0</v>
      </c>
    </row>
    <row r="44" spans="1:50">
      <c r="A44">
        <v>26</v>
      </c>
      <c r="B44">
        <v>57</v>
      </c>
      <c r="C44" t="s">
        <v>1648</v>
      </c>
      <c r="D44" s="8" t="s">
        <v>1663</v>
      </c>
      <c r="E44" s="23">
        <v>127.99885999999999</v>
      </c>
      <c r="F44" s="23" t="b">
        <v>1</v>
      </c>
      <c r="G44" s="24"/>
      <c r="H44" s="24" t="s">
        <v>1651</v>
      </c>
      <c r="J44" s="6" t="str">
        <f>_xlfn.XLOOKUP(tbl_Sourcing[[#This Row],[Product Id]], tbl_Product[Product Id], tbl_Product[Name])</f>
        <v>MTG Avatar: The Last Airbender Play Booster Box</v>
      </c>
      <c r="K44" s="6">
        <v>12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56</v>
      </c>
      <c r="AW44" s="6" t="b">
        <f>_xlfn.XLOOKUP(tbl_Sourcing[[#This Row],[Product Id]], tbl_Product[Product Id], tbl_Product[Is Set or Play Booster])</f>
        <v>1</v>
      </c>
      <c r="AX44" s="6" t="b">
        <f>_xlfn.XLOOKUP(tbl_Sourcing[[#This Row],[Product Id]], tbl_Product[Product Id], tbl_Product[Is Precon])</f>
        <v>0</v>
      </c>
    </row>
    <row r="45" spans="1:50">
      <c r="A45">
        <v>275</v>
      </c>
      <c r="B45">
        <v>167</v>
      </c>
      <c r="C45" t="s">
        <v>1648</v>
      </c>
      <c r="D45" s="25" t="s">
        <v>1664</v>
      </c>
      <c r="E45" s="23">
        <v>42.596699999999998</v>
      </c>
      <c r="F45" s="23" t="b">
        <v>1</v>
      </c>
      <c r="G45" s="24"/>
      <c r="H45" s="23">
        <v>40.641933999999999</v>
      </c>
      <c r="J45" s="6" t="str">
        <f>_xlfn.XLOOKUP(tbl_Sourcing[[#This Row],[Product Id]], tbl_Product[Product Id], tbl_Product[Name])</f>
        <v>MTG Bloomburrow Animated Army Precon</v>
      </c>
      <c r="K45" s="6">
        <v>141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701</v>
      </c>
      <c r="AW45" s="6" t="b">
        <f>_xlfn.XLOOKUP(tbl_Sourcing[[#This Row],[Product Id]], tbl_Product[Product Id], tbl_Product[Is Set or Play Booster])</f>
        <v>0</v>
      </c>
      <c r="AX45" s="6" t="b">
        <f>_xlfn.XLOOKUP(tbl_Sourcing[[#This Row],[Product Id]], tbl_Product[Product Id], tbl_Product[Is Precon])</f>
        <v>1</v>
      </c>
    </row>
    <row r="46" spans="1:50">
      <c r="A46">
        <v>193</v>
      </c>
      <c r="B46">
        <v>89</v>
      </c>
      <c r="C46" t="s">
        <v>1648</v>
      </c>
      <c r="D46" s="8" t="s">
        <v>1665</v>
      </c>
      <c r="E46" s="24">
        <v>90.313299999999998</v>
      </c>
      <c r="F46" s="23" t="b">
        <v>1</v>
      </c>
      <c r="G46" s="24"/>
      <c r="H46" s="23">
        <v>82.688648647999997</v>
      </c>
      <c r="J46" s="6" t="str">
        <f>_xlfn.XLOOKUP(tbl_Sourcing[[#This Row],[Product Id]], tbl_Product[Product Id], tbl_Product[Name])</f>
        <v>MTG Bloomburrow Collector Booster</v>
      </c>
      <c r="K46" s="6"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61</v>
      </c>
      <c r="AW46" s="6" t="b">
        <f>_xlfn.XLOOKUP(tbl_Sourcing[[#This Row],[Product Id]], tbl_Product[Product Id], tbl_Product[Is Set or Play Booster])</f>
        <v>0</v>
      </c>
      <c r="AX46" s="6" t="b">
        <f>_xlfn.XLOOKUP(tbl_Sourcing[[#This Row],[Product Id]], tbl_Product[Product Id], tbl_Product[Is Precon])</f>
        <v>0</v>
      </c>
    </row>
    <row r="47" spans="1:50">
      <c r="A47">
        <v>122</v>
      </c>
      <c r="B47">
        <v>90</v>
      </c>
      <c r="C47" t="s">
        <v>1648</v>
      </c>
      <c r="D47" s="8" t="s">
        <v>1666</v>
      </c>
      <c r="E47" s="23">
        <v>877.34</v>
      </c>
      <c r="F47" s="23" t="b">
        <v>1</v>
      </c>
      <c r="G47" s="24"/>
      <c r="H47" s="24" t="s">
        <v>1651</v>
      </c>
      <c r="J47" s="6" t="str">
        <f>_xlfn.XLOOKUP(tbl_Sourcing[[#This Row],[Product Id]], tbl_Product[Product Id], tbl_Product[Name])</f>
        <v>MTG Bloomburrow Collector Booster Box</v>
      </c>
      <c r="K47" s="6">
        <v>14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66</v>
      </c>
      <c r="AW47" s="6" t="b">
        <f>_xlfn.XLOOKUP(tbl_Sourcing[[#This Row],[Product Id]], tbl_Product[Product Id], tbl_Product[Is Set or Play Booster])</f>
        <v>0</v>
      </c>
      <c r="AX47" s="6" t="b">
        <f>_xlfn.XLOOKUP(tbl_Sourcing[[#This Row],[Product Id]], tbl_Product[Product Id], tbl_Product[Is Precon])</f>
        <v>0</v>
      </c>
    </row>
    <row r="48" spans="1:50">
      <c r="A48">
        <v>277</v>
      </c>
      <c r="B48">
        <v>169</v>
      </c>
      <c r="C48" t="s">
        <v>1648</v>
      </c>
      <c r="D48" s="25" t="s">
        <v>1667</v>
      </c>
      <c r="E48" s="23">
        <v>36.733879999999999</v>
      </c>
      <c r="F48" s="23" t="b">
        <v>1</v>
      </c>
      <c r="G48" s="24"/>
      <c r="H48" s="23">
        <v>39.9908492</v>
      </c>
      <c r="J48" s="6" t="str">
        <f>_xlfn.XLOOKUP(tbl_Sourcing[[#This Row],[Product Id]], tbl_Product[Product Id], tbl_Product[Name])</f>
        <v>MTG Bloomburrow Family Matters Precon</v>
      </c>
      <c r="K48" s="6">
        <v>142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706</v>
      </c>
      <c r="AW48" s="6" t="b">
        <f>_xlfn.XLOOKUP(tbl_Sourcing[[#This Row],[Product Id]], tbl_Product[Product Id], tbl_Product[Is Set or Play Booster])</f>
        <v>0</v>
      </c>
      <c r="AX48" s="6" t="b">
        <f>_xlfn.XLOOKUP(tbl_Sourcing[[#This Row],[Product Id]], tbl_Product[Product Id], tbl_Product[Is Precon])</f>
        <v>1</v>
      </c>
    </row>
    <row r="49" spans="1:50">
      <c r="A49">
        <v>276</v>
      </c>
      <c r="B49">
        <v>168</v>
      </c>
      <c r="C49" t="s">
        <v>1648</v>
      </c>
      <c r="D49" s="25" t="s">
        <v>1668</v>
      </c>
      <c r="E49" s="23">
        <v>42.631340000000002</v>
      </c>
      <c r="F49" s="23" t="b">
        <v>1</v>
      </c>
      <c r="G49" s="24"/>
      <c r="H49" s="23">
        <v>45.6674948</v>
      </c>
      <c r="J49" s="6" t="str">
        <f>_xlfn.XLOOKUP(tbl_Sourcing[[#This Row],[Product Id]], tbl_Product[Product Id], tbl_Product[Name])</f>
        <v>MTG Bloomburrow Peace Offering Precon</v>
      </c>
      <c r="K49" s="6">
        <v>143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711</v>
      </c>
      <c r="AW49" s="6" t="b">
        <f>_xlfn.XLOOKUP(tbl_Sourcing[[#This Row],[Product Id]], tbl_Product[Product Id], tbl_Product[Is Set or Play Booster])</f>
        <v>0</v>
      </c>
      <c r="AX49" s="6" t="b">
        <f>_xlfn.XLOOKUP(tbl_Sourcing[[#This Row],[Product Id]], tbl_Product[Product Id], tbl_Product[Is Precon])</f>
        <v>1</v>
      </c>
    </row>
    <row r="50" spans="1:50">
      <c r="A50">
        <v>185</v>
      </c>
      <c r="B50">
        <v>34</v>
      </c>
      <c r="C50" t="s">
        <v>1648</v>
      </c>
      <c r="D50" s="8" t="s">
        <v>1669</v>
      </c>
      <c r="E50" s="23">
        <v>7.1527000000000003</v>
      </c>
      <c r="F50" s="23" t="b">
        <v>1</v>
      </c>
      <c r="G50" s="24"/>
      <c r="H50" s="23">
        <v>5.1761963119999992</v>
      </c>
      <c r="J50" s="6" t="str">
        <f>_xlfn.XLOOKUP(tbl_Sourcing[[#This Row],[Product Id]], tbl_Product[Product Id], tbl_Product[Name])</f>
        <v>MTG Bloomburrow Play Booster</v>
      </c>
      <c r="K50" s="6">
        <v>15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71</v>
      </c>
      <c r="AW50" s="6" t="b">
        <f>_xlfn.XLOOKUP(tbl_Sourcing[[#This Row],[Product Id]], tbl_Product[Product Id], tbl_Product[Is Set or Play Booster])</f>
        <v>1</v>
      </c>
      <c r="AX50" s="6" t="b">
        <f>_xlfn.XLOOKUP(tbl_Sourcing[[#This Row],[Product Id]], tbl_Product[Product Id], tbl_Product[Is Precon])</f>
        <v>0</v>
      </c>
    </row>
    <row r="51" spans="1:50">
      <c r="A51">
        <v>81</v>
      </c>
      <c r="B51">
        <v>79</v>
      </c>
      <c r="C51" t="s">
        <v>1648</v>
      </c>
      <c r="D51" s="8" t="s">
        <v>1670</v>
      </c>
      <c r="E51" s="23">
        <v>169.27242000000001</v>
      </c>
      <c r="F51" s="23" t="b">
        <v>1</v>
      </c>
      <c r="G51" s="24"/>
      <c r="H51" s="24" t="s">
        <v>1651</v>
      </c>
      <c r="J51" s="6" t="str">
        <f>_xlfn.XLOOKUP(tbl_Sourcing[[#This Row],[Product Id]], tbl_Product[Product Id], tbl_Product[Name])</f>
        <v>MTG Bloomburrow Play Booster Box</v>
      </c>
      <c r="K51" s="6">
        <v>16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76</v>
      </c>
      <c r="AW51" s="6" t="b">
        <f>_xlfn.XLOOKUP(tbl_Sourcing[[#This Row],[Product Id]], tbl_Product[Product Id], tbl_Product[Is Set or Play Booster])</f>
        <v>1</v>
      </c>
      <c r="AX51" s="6" t="b">
        <f>_xlfn.XLOOKUP(tbl_Sourcing[[#This Row],[Product Id]], tbl_Product[Product Id], tbl_Product[Is Precon])</f>
        <v>0</v>
      </c>
    </row>
    <row r="52" spans="1:50">
      <c r="A52">
        <v>274</v>
      </c>
      <c r="B52">
        <v>166</v>
      </c>
      <c r="C52" t="s">
        <v>1648</v>
      </c>
      <c r="D52" s="25" t="s">
        <v>1671</v>
      </c>
      <c r="E52" s="23">
        <v>49.559339999999999</v>
      </c>
      <c r="F52" s="23" t="b">
        <v>1</v>
      </c>
      <c r="G52" s="24"/>
      <c r="H52" s="23">
        <v>49.838506799999998</v>
      </c>
      <c r="J52" s="6" t="str">
        <f>_xlfn.XLOOKUP(tbl_Sourcing[[#This Row],[Product Id]], tbl_Product[Product Id], tbl_Product[Name])</f>
        <v>MTG Bloomburrow Squirreled Away Precon</v>
      </c>
      <c r="K52" s="6">
        <v>144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716</v>
      </c>
      <c r="AW52" s="6" t="b">
        <f>_xlfn.XLOOKUP(tbl_Sourcing[[#This Row],[Product Id]], tbl_Product[Product Id], tbl_Product[Is Set or Play Booster])</f>
        <v>0</v>
      </c>
      <c r="AX52" s="6" t="b">
        <f>_xlfn.XLOOKUP(tbl_Sourcing[[#This Row],[Product Id]], tbl_Product[Product Id], tbl_Product[Is Precon])</f>
        <v>1</v>
      </c>
    </row>
    <row r="53" spans="1:50">
      <c r="A53">
        <v>334</v>
      </c>
      <c r="B53">
        <v>226</v>
      </c>
      <c r="C53" t="s">
        <v>1648</v>
      </c>
      <c r="D53" s="25" t="s">
        <v>1672</v>
      </c>
      <c r="E53" s="23">
        <v>90.252679999999998</v>
      </c>
      <c r="F53" s="23" t="b">
        <v>1</v>
      </c>
      <c r="G53" s="24"/>
      <c r="H53" s="23">
        <v>96.625053600000001</v>
      </c>
      <c r="J53" s="6" t="str">
        <f>_xlfn.XLOOKUP(tbl_Sourcing[[#This Row],[Product Id]], tbl_Product[Product Id], tbl_Product[Name])</f>
        <v>MTG Commander Legends: Battle for Baldur's Gate Draconic Dissent Precon</v>
      </c>
      <c r="K53" s="6">
        <v>145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721</v>
      </c>
      <c r="AW53" s="6" t="b">
        <f>_xlfn.XLOOKUP(tbl_Sourcing[[#This Row],[Product Id]], tbl_Product[Product Id], tbl_Product[Is Set or Play Booster])</f>
        <v>0</v>
      </c>
      <c r="AX53" s="6" t="b">
        <f>_xlfn.XLOOKUP(tbl_Sourcing[[#This Row],[Product Id]], tbl_Product[Product Id], tbl_Product[Is Precon])</f>
        <v>1</v>
      </c>
    </row>
    <row r="54" spans="1:50">
      <c r="A54">
        <v>335</v>
      </c>
      <c r="B54">
        <v>227</v>
      </c>
      <c r="C54" t="s">
        <v>1648</v>
      </c>
      <c r="D54" s="25" t="s">
        <v>1673</v>
      </c>
      <c r="E54" s="23">
        <v>85.931340000000006</v>
      </c>
      <c r="F54" s="23" t="b">
        <v>1</v>
      </c>
      <c r="G54" s="24"/>
      <c r="H54" s="23">
        <v>91.548626799999994</v>
      </c>
      <c r="J54" s="6" t="str">
        <f>_xlfn.XLOOKUP(tbl_Sourcing[[#This Row],[Product Id]], tbl_Product[Product Id], tbl_Product[Name])</f>
        <v>MTG Commander Legends: Battle for Baldur's Gate Exit from Exile Precon</v>
      </c>
      <c r="K54" s="6">
        <v>146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726</v>
      </c>
      <c r="AW54" s="6" t="b">
        <f>_xlfn.XLOOKUP(tbl_Sourcing[[#This Row],[Product Id]], tbl_Product[Product Id], tbl_Product[Is Set or Play Booster])</f>
        <v>0</v>
      </c>
      <c r="AX54" s="6" t="b">
        <f>_xlfn.XLOOKUP(tbl_Sourcing[[#This Row],[Product Id]], tbl_Product[Product Id], tbl_Product[Is Precon])</f>
        <v>1</v>
      </c>
    </row>
    <row r="55" spans="1:50">
      <c r="A55">
        <v>333</v>
      </c>
      <c r="B55">
        <v>225</v>
      </c>
      <c r="C55" t="s">
        <v>1648</v>
      </c>
      <c r="D55" s="25" t="s">
        <v>1674</v>
      </c>
      <c r="E55" s="23">
        <v>210.52</v>
      </c>
      <c r="F55" s="23" t="b">
        <v>1</v>
      </c>
      <c r="G55" s="24"/>
      <c r="H55" s="23">
        <v>237.73039999999997</v>
      </c>
      <c r="J55" s="6" t="str">
        <f>_xlfn.XLOOKUP(tbl_Sourcing[[#This Row],[Product Id]], tbl_Product[Product Id], tbl_Product[Name])</f>
        <v>MTG Commander Legends: Battle for Baldur's Gate Mind Flayarrrs Precon</v>
      </c>
      <c r="K55" s="6">
        <v>147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731</v>
      </c>
      <c r="AW55" s="6" t="b">
        <f>_xlfn.XLOOKUP(tbl_Sourcing[[#This Row],[Product Id]], tbl_Product[Product Id], tbl_Product[Is Set or Play Booster])</f>
        <v>0</v>
      </c>
      <c r="AX55" s="6" t="b">
        <f>_xlfn.XLOOKUP(tbl_Sourcing[[#This Row],[Product Id]], tbl_Product[Product Id], tbl_Product[Is Precon])</f>
        <v>1</v>
      </c>
    </row>
    <row r="56" spans="1:50">
      <c r="A56">
        <v>332</v>
      </c>
      <c r="B56">
        <v>224</v>
      </c>
      <c r="C56" t="s">
        <v>1648</v>
      </c>
      <c r="D56" s="25" t="s">
        <v>1675</v>
      </c>
      <c r="E56" s="23">
        <v>123.91134</v>
      </c>
      <c r="F56" s="23" t="b">
        <v>1</v>
      </c>
      <c r="G56" s="24"/>
      <c r="H56" s="23">
        <v>135.98822679999998</v>
      </c>
      <c r="J56" s="6" t="str">
        <f>_xlfn.XLOOKUP(tbl_Sourcing[[#This Row],[Product Id]], tbl_Product[Product Id], tbl_Product[Name])</f>
        <v>MTG Commander Legends: Battle for Baldur's Gate Party Time Precon</v>
      </c>
      <c r="K56" s="6">
        <v>148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736</v>
      </c>
      <c r="AW56" s="6" t="b">
        <f>_xlfn.XLOOKUP(tbl_Sourcing[[#This Row],[Product Id]], tbl_Product[Product Id], tbl_Product[Is Set or Play Booster])</f>
        <v>0</v>
      </c>
      <c r="AX56" s="6" t="b">
        <f>_xlfn.XLOOKUP(tbl_Sourcing[[#This Row],[Product Id]], tbl_Product[Product Id], tbl_Product[Is Precon])</f>
        <v>1</v>
      </c>
    </row>
    <row r="57" spans="1:50">
      <c r="A57">
        <v>194</v>
      </c>
      <c r="B57">
        <v>91</v>
      </c>
      <c r="C57" t="s">
        <v>1648</v>
      </c>
      <c r="D57" s="8" t="s">
        <v>1676</v>
      </c>
      <c r="E57" s="23">
        <v>133.24682000000001</v>
      </c>
      <c r="F57" s="23" t="b">
        <v>1</v>
      </c>
      <c r="G57" s="24"/>
      <c r="H57" s="23">
        <v>113.76322549919999</v>
      </c>
      <c r="J57" s="6" t="str">
        <f>_xlfn.XLOOKUP(tbl_Sourcing[[#This Row],[Product Id]], tbl_Product[Product Id], tbl_Product[Name])</f>
        <v>MTG Commander Masters Collector Booster</v>
      </c>
      <c r="K57" s="6">
        <v>17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81</v>
      </c>
      <c r="AW57" s="6" t="b">
        <f>_xlfn.XLOOKUP(tbl_Sourcing[[#This Row],[Product Id]], tbl_Product[Product Id], tbl_Product[Is Set or Play Booster])</f>
        <v>0</v>
      </c>
      <c r="AX57" s="6" t="b">
        <f>_xlfn.XLOOKUP(tbl_Sourcing[[#This Row],[Product Id]], tbl_Product[Product Id], tbl_Product[Is Precon])</f>
        <v>0</v>
      </c>
    </row>
    <row r="58" spans="1:50">
      <c r="A58">
        <v>123</v>
      </c>
      <c r="B58">
        <v>92</v>
      </c>
      <c r="C58" t="s">
        <v>1648</v>
      </c>
      <c r="D58" s="8" t="s">
        <v>1677</v>
      </c>
      <c r="E58" s="23">
        <v>318.54484000000002</v>
      </c>
      <c r="F58" s="23" t="b">
        <v>1</v>
      </c>
      <c r="G58" s="24"/>
      <c r="H58" s="24" t="s">
        <v>1651</v>
      </c>
      <c r="J58" s="6" t="str">
        <f>_xlfn.XLOOKUP(tbl_Sourcing[[#This Row],[Product Id]], tbl_Product[Product Id], tbl_Product[Name])</f>
        <v>MTG Commander Masters Collector Booster Box</v>
      </c>
      <c r="K58" s="6">
        <v>18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86</v>
      </c>
      <c r="AW58" s="6" t="b">
        <f>_xlfn.XLOOKUP(tbl_Sourcing[[#This Row],[Product Id]], tbl_Product[Product Id], tbl_Product[Is Set or Play Booster])</f>
        <v>0</v>
      </c>
      <c r="AX58" s="6" t="b">
        <f>_xlfn.XLOOKUP(tbl_Sourcing[[#This Row],[Product Id]], tbl_Product[Product Id], tbl_Product[Is Precon])</f>
        <v>0</v>
      </c>
    </row>
    <row r="59" spans="1:50">
      <c r="A59">
        <v>307</v>
      </c>
      <c r="B59">
        <v>199</v>
      </c>
      <c r="C59" t="s">
        <v>1648</v>
      </c>
      <c r="D59" s="25" t="s">
        <v>1678</v>
      </c>
      <c r="E59" s="23">
        <v>271.14</v>
      </c>
      <c r="F59" s="23" t="b">
        <v>1</v>
      </c>
      <c r="G59" s="24"/>
      <c r="H59" s="23">
        <v>319.10582679999999</v>
      </c>
      <c r="J59" s="6" t="str">
        <f>_xlfn.XLOOKUP(tbl_Sourcing[[#This Row],[Product Id]], tbl_Product[Product Id], tbl_Product[Name])</f>
        <v>MTG Commander Masters Eldrazi Unbound Precon</v>
      </c>
      <c r="K59" s="6">
        <v>149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741</v>
      </c>
      <c r="AW59" s="6" t="b">
        <f>_xlfn.XLOOKUP(tbl_Sourcing[[#This Row],[Product Id]], tbl_Product[Product Id], tbl_Product[Is Set or Play Booster])</f>
        <v>0</v>
      </c>
      <c r="AX59" s="6" t="b">
        <f>_xlfn.XLOOKUP(tbl_Sourcing[[#This Row],[Product Id]], tbl_Product[Product Id], tbl_Product[Is Precon])</f>
        <v>1</v>
      </c>
    </row>
    <row r="60" spans="1:50">
      <c r="A60">
        <v>306</v>
      </c>
      <c r="B60">
        <v>198</v>
      </c>
      <c r="C60" t="s">
        <v>1648</v>
      </c>
      <c r="D60" s="25" t="s">
        <v>1679</v>
      </c>
      <c r="E60" s="23">
        <v>81.177000000000007</v>
      </c>
      <c r="F60" s="23" t="b">
        <v>1</v>
      </c>
      <c r="G60" s="24"/>
      <c r="H60" s="23">
        <v>95.628079999999997</v>
      </c>
      <c r="J60" s="6" t="str">
        <f>_xlfn.XLOOKUP(tbl_Sourcing[[#This Row],[Product Id]], tbl_Product[Product Id], tbl_Product[Name])</f>
        <v>MTG Commander Masters Enduring Enchantments Precon</v>
      </c>
      <c r="K60" s="6">
        <v>150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746</v>
      </c>
      <c r="AW60" s="6" t="b">
        <f>_xlfn.XLOOKUP(tbl_Sourcing[[#This Row],[Product Id]], tbl_Product[Product Id], tbl_Product[Is Set or Play Booster])</f>
        <v>0</v>
      </c>
      <c r="AX60" s="6" t="b">
        <f>_xlfn.XLOOKUP(tbl_Sourcing[[#This Row],[Product Id]], tbl_Product[Product Id], tbl_Product[Is Precon])</f>
        <v>1</v>
      </c>
    </row>
    <row r="61" spans="1:50">
      <c r="A61">
        <v>305</v>
      </c>
      <c r="B61">
        <v>197</v>
      </c>
      <c r="C61" t="s">
        <v>1648</v>
      </c>
      <c r="D61" s="25" t="s">
        <v>1680</v>
      </c>
      <c r="E61" s="23">
        <v>64.290000000000006</v>
      </c>
      <c r="F61" s="23" t="b">
        <v>1</v>
      </c>
      <c r="G61" s="24"/>
      <c r="H61" s="23">
        <v>69.177759999999992</v>
      </c>
      <c r="J61" s="6" t="str">
        <f>_xlfn.XLOOKUP(tbl_Sourcing[[#This Row],[Product Id]], tbl_Product[Product Id], tbl_Product[Name])</f>
        <v>MTG Commander Masters Planeswalker Party Precon</v>
      </c>
      <c r="K61" s="6">
        <v>151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751</v>
      </c>
      <c r="AW61" s="6" t="b">
        <f>_xlfn.XLOOKUP(tbl_Sourcing[[#This Row],[Product Id]], tbl_Product[Product Id], tbl_Product[Is Set or Play Booster])</f>
        <v>0</v>
      </c>
      <c r="AX61" s="6" t="b">
        <f>_xlfn.XLOOKUP(tbl_Sourcing[[#This Row],[Product Id]], tbl_Product[Product Id], tbl_Product[Is Precon])</f>
        <v>1</v>
      </c>
    </row>
    <row r="62" spans="1:50">
      <c r="A62">
        <v>158</v>
      </c>
      <c r="B62">
        <v>7</v>
      </c>
      <c r="C62" t="s">
        <v>1648</v>
      </c>
      <c r="D62" s="8" t="s">
        <v>1681</v>
      </c>
      <c r="E62" s="23">
        <v>25.493200000000002</v>
      </c>
      <c r="F62" s="23" t="b">
        <v>1</v>
      </c>
      <c r="G62" s="24"/>
      <c r="H62" s="23">
        <v>17.572968992</v>
      </c>
      <c r="J62" s="6" t="str">
        <f>_xlfn.XLOOKUP(tbl_Sourcing[[#This Row],[Product Id]], tbl_Product[Product Id], tbl_Product[Name])</f>
        <v>MTG Commander Masters Set Booster</v>
      </c>
      <c r="K62" s="6">
        <v>19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91</v>
      </c>
      <c r="AW62" s="6" t="b">
        <f>_xlfn.XLOOKUP(tbl_Sourcing[[#This Row],[Product Id]], tbl_Product[Product Id], tbl_Product[Is Set or Play Booster])</f>
        <v>1</v>
      </c>
      <c r="AX62" s="6" t="b">
        <f>_xlfn.XLOOKUP(tbl_Sourcing[[#This Row],[Product Id]], tbl_Product[Product Id], tbl_Product[Is Precon])</f>
        <v>0</v>
      </c>
    </row>
    <row r="63" spans="1:50">
      <c r="A63">
        <v>16</v>
      </c>
      <c r="B63">
        <v>52</v>
      </c>
      <c r="C63" t="s">
        <v>1648</v>
      </c>
      <c r="D63" s="8" t="s">
        <v>1682</v>
      </c>
      <c r="E63" s="23">
        <v>380.31662</v>
      </c>
      <c r="F63" s="23" t="b">
        <v>1</v>
      </c>
      <c r="G63" s="24"/>
      <c r="H63" s="24" t="s">
        <v>1651</v>
      </c>
      <c r="J63" s="6" t="str">
        <f>_xlfn.XLOOKUP(tbl_Sourcing[[#This Row],[Product Id]], tbl_Product[Product Id], tbl_Product[Name])</f>
        <v>MTG Commander Masters Set Booster Box</v>
      </c>
      <c r="K63" s="6">
        <v>20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96</v>
      </c>
      <c r="AW63" s="6" t="b">
        <f>_xlfn.XLOOKUP(tbl_Sourcing[[#This Row],[Product Id]], tbl_Product[Product Id], tbl_Product[Is Set or Play Booster])</f>
        <v>1</v>
      </c>
      <c r="AX63" s="6" t="b">
        <f>_xlfn.XLOOKUP(tbl_Sourcing[[#This Row],[Product Id]], tbl_Product[Product Id], tbl_Product[Is Precon])</f>
        <v>0</v>
      </c>
    </row>
    <row r="64" spans="1:50">
      <c r="A64">
        <v>304</v>
      </c>
      <c r="B64">
        <v>196</v>
      </c>
      <c r="C64" t="s">
        <v>1648</v>
      </c>
      <c r="D64" s="25" t="s">
        <v>1683</v>
      </c>
      <c r="E64" s="23">
        <v>188.87</v>
      </c>
      <c r="F64" s="23" t="b">
        <v>1</v>
      </c>
      <c r="G64" s="24"/>
      <c r="H64" s="23">
        <v>240.96547759999999</v>
      </c>
      <c r="J64" s="6" t="str">
        <f>_xlfn.XLOOKUP(tbl_Sourcing[[#This Row],[Product Id]], tbl_Product[Product Id], tbl_Product[Name])</f>
        <v>MTG Commander Masters Sliver Swarm Precon</v>
      </c>
      <c r="K64" s="6">
        <v>152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756</v>
      </c>
      <c r="AW64" s="6" t="b">
        <f>_xlfn.XLOOKUP(tbl_Sourcing[[#This Row],[Product Id]], tbl_Product[Product Id], tbl_Product[Is Set or Play Booster])</f>
        <v>0</v>
      </c>
      <c r="AX64" s="6" t="b">
        <f>_xlfn.XLOOKUP(tbl_Sourcing[[#This Row],[Product Id]], tbl_Product[Product Id], tbl_Product[Is Precon])</f>
        <v>1</v>
      </c>
    </row>
    <row r="65" spans="1:50">
      <c r="A65">
        <v>298</v>
      </c>
      <c r="B65">
        <v>190</v>
      </c>
      <c r="C65" t="s">
        <v>1648</v>
      </c>
      <c r="D65" s="25" t="s">
        <v>1684</v>
      </c>
      <c r="E65" s="23">
        <v>25.311340000000001</v>
      </c>
      <c r="F65" s="23" t="b">
        <v>1</v>
      </c>
      <c r="G65" s="24"/>
      <c r="H65" s="23">
        <v>20.336226799999999</v>
      </c>
      <c r="J65" s="6" t="str">
        <f>_xlfn.XLOOKUP(tbl_Sourcing[[#This Row],[Product Id]], tbl_Product[Product Id], tbl_Product[Name])</f>
        <v>MTG Doctor Who Blast from the Past Precon</v>
      </c>
      <c r="K65" s="6">
        <v>153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761</v>
      </c>
      <c r="AW65" s="6" t="b">
        <f>_xlfn.XLOOKUP(tbl_Sourcing[[#This Row],[Product Id]], tbl_Product[Product Id], tbl_Product[Is Set or Play Booster])</f>
        <v>0</v>
      </c>
      <c r="AX65" s="6" t="b">
        <f>_xlfn.XLOOKUP(tbl_Sourcing[[#This Row],[Product Id]], tbl_Product[Product Id], tbl_Product[Is Precon])</f>
        <v>1</v>
      </c>
    </row>
    <row r="66" spans="1:50">
      <c r="A66">
        <v>301</v>
      </c>
      <c r="B66">
        <v>193</v>
      </c>
      <c r="C66" t="s">
        <v>1648</v>
      </c>
      <c r="D66" s="25" t="s">
        <v>1685</v>
      </c>
      <c r="E66" s="23">
        <v>51.291339999999998</v>
      </c>
      <c r="F66" s="23" t="b">
        <v>1</v>
      </c>
      <c r="G66" s="24"/>
      <c r="H66" s="23">
        <v>50.855826800000003</v>
      </c>
      <c r="J66" s="6" t="str">
        <f>_xlfn.XLOOKUP(tbl_Sourcing[[#This Row],[Product Id]], tbl_Product[Product Id], tbl_Product[Name])</f>
        <v>MTG Doctor Who Masters of Evil Precon</v>
      </c>
      <c r="K66" s="6">
        <v>154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766</v>
      </c>
      <c r="AW66" s="6" t="b">
        <f>_xlfn.XLOOKUP(tbl_Sourcing[[#This Row],[Product Id]], tbl_Product[Product Id], tbl_Product[Is Set or Play Booster])</f>
        <v>0</v>
      </c>
      <c r="AX66" s="6" t="b">
        <f>_xlfn.XLOOKUP(tbl_Sourcing[[#This Row],[Product Id]], tbl_Product[Product Id], tbl_Product[Is Precon])</f>
        <v>1</v>
      </c>
    </row>
    <row r="67" spans="1:50">
      <c r="A67">
        <v>300</v>
      </c>
      <c r="B67">
        <v>192</v>
      </c>
      <c r="C67" t="s">
        <v>1648</v>
      </c>
      <c r="D67" s="25" t="s">
        <v>1686</v>
      </c>
      <c r="E67" s="23">
        <v>29.64134</v>
      </c>
      <c r="F67" s="23" t="b">
        <v>1</v>
      </c>
      <c r="G67" s="24"/>
      <c r="H67" s="23">
        <v>25.422826799999996</v>
      </c>
      <c r="J67" s="6" t="str">
        <f>_xlfn.XLOOKUP(tbl_Sourcing[[#This Row],[Product Id]], tbl_Product[Product Id], tbl_Product[Name])</f>
        <v>MTG Doctor Who Paradox Power Precon</v>
      </c>
      <c r="K67" s="6">
        <v>155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771</v>
      </c>
      <c r="AW67" s="6" t="b">
        <f>_xlfn.XLOOKUP(tbl_Sourcing[[#This Row],[Product Id]], tbl_Product[Product Id], tbl_Product[Is Set or Play Booster])</f>
        <v>0</v>
      </c>
      <c r="AX67" s="6" t="b">
        <f>_xlfn.XLOOKUP(tbl_Sourcing[[#This Row],[Product Id]], tbl_Product[Product Id], tbl_Product[Is Precon])</f>
        <v>1</v>
      </c>
    </row>
    <row r="68" spans="1:50">
      <c r="A68">
        <v>299</v>
      </c>
      <c r="B68">
        <v>191</v>
      </c>
      <c r="C68" t="s">
        <v>1648</v>
      </c>
      <c r="D68" s="25" t="s">
        <v>1687</v>
      </c>
      <c r="E68" s="23">
        <v>59.449060000000003</v>
      </c>
      <c r="F68" s="23" t="b">
        <v>1</v>
      </c>
      <c r="G68" s="24"/>
      <c r="H68" s="23">
        <v>60.459327599999995</v>
      </c>
      <c r="J68" s="6" t="str">
        <f>_xlfn.XLOOKUP(tbl_Sourcing[[#This Row],[Product Id]], tbl_Product[Product Id], tbl_Product[Name])</f>
        <v>MTG Doctor Who Timey-Wimey Precon</v>
      </c>
      <c r="K68" s="6">
        <v>156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776</v>
      </c>
      <c r="AW68" s="6" t="b">
        <f>_xlfn.XLOOKUP(tbl_Sourcing[[#This Row],[Product Id]], tbl_Product[Product Id], tbl_Product[Is Set or Play Booster])</f>
        <v>0</v>
      </c>
      <c r="AX68" s="6" t="b">
        <f>_xlfn.XLOOKUP(tbl_Sourcing[[#This Row],[Product Id]], tbl_Product[Product Id], tbl_Product[Is Precon])</f>
        <v>1</v>
      </c>
    </row>
    <row r="69" spans="1:50">
      <c r="A69">
        <v>168</v>
      </c>
      <c r="B69">
        <v>17</v>
      </c>
      <c r="C69" t="s">
        <v>1648</v>
      </c>
      <c r="D69" s="8" t="s">
        <v>1688</v>
      </c>
      <c r="E69" s="23">
        <v>5.8623599999999998</v>
      </c>
      <c r="F69" s="23" t="b">
        <v>1</v>
      </c>
      <c r="G69" s="24"/>
      <c r="H69" s="23">
        <v>3.8799723615999997</v>
      </c>
      <c r="J69" s="6" t="str">
        <f>_xlfn.XLOOKUP(tbl_Sourcing[[#This Row],[Product Id]], tbl_Product[Product Id], tbl_Product[Name])</f>
        <v>MTG Dominaria DOM Booster</v>
      </c>
      <c r="K69" s="6">
        <v>21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101</v>
      </c>
      <c r="AW69" s="6" t="b">
        <f>_xlfn.XLOOKUP(tbl_Sourcing[[#This Row],[Product Id]], tbl_Product[Product Id], tbl_Product[Is Set or Play Booster])</f>
        <v>1</v>
      </c>
      <c r="AX69" s="6" t="b">
        <f>_xlfn.XLOOKUP(tbl_Sourcing[[#This Row],[Product Id]], tbl_Product[Product Id], tbl_Product[Is Precon])</f>
        <v>0</v>
      </c>
    </row>
    <row r="70" spans="1:50">
      <c r="A70">
        <v>195</v>
      </c>
      <c r="B70">
        <v>93</v>
      </c>
      <c r="C70" t="s">
        <v>1648</v>
      </c>
      <c r="D70" s="8" t="s">
        <v>1689</v>
      </c>
      <c r="E70" s="23">
        <v>32.247999999999998</v>
      </c>
      <c r="F70" s="23" t="b">
        <v>1</v>
      </c>
      <c r="G70" s="24"/>
      <c r="H70" s="23">
        <v>24.358570879999995</v>
      </c>
      <c r="J70" s="6" t="str">
        <f>_xlfn.XLOOKUP(tbl_Sourcing[[#This Row],[Product Id]], tbl_Product[Product Id], tbl_Product[Name])</f>
        <v>MTG Dominaria United DMU Collector Booster</v>
      </c>
      <c r="K70" s="6">
        <v>22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106</v>
      </c>
      <c r="AW70" s="6" t="b">
        <f>_xlfn.XLOOKUP(tbl_Sourcing[[#This Row],[Product Id]], tbl_Product[Product Id], tbl_Product[Is Set or Play Booster])</f>
        <v>0</v>
      </c>
      <c r="AX70" s="6" t="b">
        <f>_xlfn.XLOOKUP(tbl_Sourcing[[#This Row],[Product Id]], tbl_Product[Product Id], tbl_Product[Is Precon])</f>
        <v>0</v>
      </c>
    </row>
    <row r="71" spans="1:50">
      <c r="A71">
        <v>124</v>
      </c>
      <c r="B71">
        <v>94</v>
      </c>
      <c r="C71" t="s">
        <v>1648</v>
      </c>
      <c r="D71" s="8" t="s">
        <v>1690</v>
      </c>
      <c r="E71" s="23">
        <v>241.34093999999999</v>
      </c>
      <c r="F71" s="23" t="b">
        <v>1</v>
      </c>
      <c r="G71" s="24"/>
      <c r="H71" s="24" t="s">
        <v>1651</v>
      </c>
      <c r="J71" s="6" t="str">
        <f>_xlfn.XLOOKUP(tbl_Sourcing[[#This Row],[Product Id]], tbl_Product[Product Id], tbl_Product[Name])</f>
        <v>MTG Dominaria United DMU Collector Booster Box</v>
      </c>
      <c r="K71" s="6">
        <v>23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111</v>
      </c>
      <c r="AW71" s="6" t="b">
        <f>_xlfn.XLOOKUP(tbl_Sourcing[[#This Row],[Product Id]], tbl_Product[Product Id], tbl_Product[Is Set or Play Booster])</f>
        <v>0</v>
      </c>
      <c r="AX71" s="6" t="b">
        <f>_xlfn.XLOOKUP(tbl_Sourcing[[#This Row],[Product Id]], tbl_Product[Product Id], tbl_Product[Is Precon])</f>
        <v>0</v>
      </c>
    </row>
    <row r="72" spans="1:50">
      <c r="A72">
        <v>182</v>
      </c>
      <c r="B72">
        <v>31</v>
      </c>
      <c r="C72" t="s">
        <v>1648</v>
      </c>
      <c r="D72" s="8" t="s">
        <v>1691</v>
      </c>
      <c r="E72" s="23">
        <v>6.0701999999999998</v>
      </c>
      <c r="F72" s="23" t="b">
        <v>1</v>
      </c>
      <c r="G72" s="24"/>
      <c r="H72" s="23">
        <v>4.0887601120000001</v>
      </c>
      <c r="J72" s="6" t="str">
        <f>_xlfn.XLOOKUP(tbl_Sourcing[[#This Row],[Product Id]], tbl_Product[Product Id], tbl_Product[Name])</f>
        <v>MTG Dominaria United DMU Set Booster</v>
      </c>
      <c r="K72" s="6">
        <v>24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116</v>
      </c>
      <c r="AW72" s="6" t="b">
        <f>_xlfn.XLOOKUP(tbl_Sourcing[[#This Row],[Product Id]], tbl_Product[Product Id], tbl_Product[Is Set or Play Booster])</f>
        <v>1</v>
      </c>
      <c r="AX72" s="6" t="b">
        <f>_xlfn.XLOOKUP(tbl_Sourcing[[#This Row],[Product Id]], tbl_Product[Product Id], tbl_Product[Is Precon])</f>
        <v>0</v>
      </c>
    </row>
    <row r="73" spans="1:50">
      <c r="A73">
        <v>74</v>
      </c>
      <c r="B73">
        <v>76</v>
      </c>
      <c r="C73" t="s">
        <v>1648</v>
      </c>
      <c r="D73" s="8" t="s">
        <v>1692</v>
      </c>
      <c r="E73" s="23">
        <v>145.57</v>
      </c>
      <c r="F73" s="23" t="b">
        <v>1</v>
      </c>
      <c r="G73" s="24"/>
      <c r="H73" s="24" t="s">
        <v>1651</v>
      </c>
      <c r="J73" s="6" t="str">
        <f>_xlfn.XLOOKUP(tbl_Sourcing[[#This Row],[Product Id]], tbl_Product[Product Id], tbl_Product[Name])</f>
        <v>MTG Dominaria United DMU Set Booster Box</v>
      </c>
      <c r="K73" s="6">
        <v>25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121</v>
      </c>
      <c r="AW73" s="6" t="b">
        <f>_xlfn.XLOOKUP(tbl_Sourcing[[#This Row],[Product Id]], tbl_Product[Product Id], tbl_Product[Is Set or Play Booster])</f>
        <v>1</v>
      </c>
      <c r="AX73" s="6" t="b">
        <f>_xlfn.XLOOKUP(tbl_Sourcing[[#This Row],[Product Id]], tbl_Product[Product Id], tbl_Product[Is Precon])</f>
        <v>0</v>
      </c>
    </row>
    <row r="74" spans="1:50">
      <c r="A74">
        <v>331</v>
      </c>
      <c r="B74">
        <v>223</v>
      </c>
      <c r="C74" t="s">
        <v>1648</v>
      </c>
      <c r="D74" s="25" t="s">
        <v>1693</v>
      </c>
      <c r="E74" s="23">
        <v>71.114080000000001</v>
      </c>
      <c r="F74" s="23" t="b">
        <v>1</v>
      </c>
      <c r="G74" s="24"/>
      <c r="H74" s="23">
        <v>83.674570000000003</v>
      </c>
      <c r="J74" s="6" t="str">
        <f>_xlfn.XLOOKUP(tbl_Sourcing[[#This Row],[Product Id]], tbl_Product[Product Id], tbl_Product[Name])</f>
        <v>MTG Dominaria United Legends' Legacy Precon</v>
      </c>
      <c r="K74" s="6">
        <v>157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781</v>
      </c>
      <c r="AW74" s="6" t="b">
        <f>_xlfn.XLOOKUP(tbl_Sourcing[[#This Row],[Product Id]], tbl_Product[Product Id], tbl_Product[Is Set or Play Booster])</f>
        <v>0</v>
      </c>
      <c r="AX74" s="6" t="b">
        <f>_xlfn.XLOOKUP(tbl_Sourcing[[#This Row],[Product Id]], tbl_Product[Product Id], tbl_Product[Is Precon])</f>
        <v>1</v>
      </c>
    </row>
    <row r="75" spans="1:50">
      <c r="A75">
        <v>330</v>
      </c>
      <c r="B75">
        <v>222</v>
      </c>
      <c r="C75" t="s">
        <v>1648</v>
      </c>
      <c r="D75" s="25" t="s">
        <v>1694</v>
      </c>
      <c r="E75" s="23">
        <v>55.5867</v>
      </c>
      <c r="F75" s="23" t="b">
        <v>1</v>
      </c>
      <c r="G75" s="24"/>
      <c r="H75" s="23">
        <v>55.901733999999998</v>
      </c>
      <c r="J75" s="6" t="str">
        <f>_xlfn.XLOOKUP(tbl_Sourcing[[#This Row],[Product Id]], tbl_Product[Product Id], tbl_Product[Name])</f>
        <v>MTG Dominaria United Painbow Precon</v>
      </c>
      <c r="K75" s="6">
        <v>158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786</v>
      </c>
      <c r="AW75" s="6" t="b">
        <f>_xlfn.XLOOKUP(tbl_Sourcing[[#This Row],[Product Id]], tbl_Product[Product Id], tbl_Product[Is Set or Play Booster])</f>
        <v>0</v>
      </c>
      <c r="AX75" s="6" t="b">
        <f>_xlfn.XLOOKUP(tbl_Sourcing[[#This Row],[Product Id]], tbl_Product[Product Id], tbl_Product[Is Precon])</f>
        <v>1</v>
      </c>
    </row>
    <row r="76" spans="1:50">
      <c r="A76">
        <v>196</v>
      </c>
      <c r="B76">
        <v>95</v>
      </c>
      <c r="C76" t="s">
        <v>1648</v>
      </c>
      <c r="D76" s="8" t="s">
        <v>1695</v>
      </c>
      <c r="E76" s="23">
        <v>36.318199999999997</v>
      </c>
      <c r="F76" s="23" t="b">
        <v>1</v>
      </c>
      <c r="G76" s="24"/>
      <c r="H76" s="23">
        <v>28.447330991999998</v>
      </c>
      <c r="J76" s="6" t="str">
        <f>_xlfn.XLOOKUP(tbl_Sourcing[[#This Row],[Product Id]], tbl_Product[Product Id], tbl_Product[Name])</f>
        <v>MTG Duskmourn: House of Horror Collector Booster</v>
      </c>
      <c r="K76" s="6">
        <v>26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126</v>
      </c>
      <c r="AW76" s="6" t="b">
        <f>_xlfn.XLOOKUP(tbl_Sourcing[[#This Row],[Product Id]], tbl_Product[Product Id], tbl_Product[Is Set or Play Booster])</f>
        <v>0</v>
      </c>
      <c r="AX76" s="6" t="b">
        <f>_xlfn.XLOOKUP(tbl_Sourcing[[#This Row],[Product Id]], tbl_Product[Product Id], tbl_Product[Is Precon])</f>
        <v>0</v>
      </c>
    </row>
    <row r="77" spans="1:50">
      <c r="A77">
        <v>125</v>
      </c>
      <c r="B77">
        <v>96</v>
      </c>
      <c r="C77" t="s">
        <v>1648</v>
      </c>
      <c r="D77" s="8" t="s">
        <v>1696</v>
      </c>
      <c r="E77" s="23">
        <v>401.04</v>
      </c>
      <c r="F77" s="23" t="b">
        <v>1</v>
      </c>
      <c r="G77" s="24"/>
      <c r="H77" s="24" t="s">
        <v>1651</v>
      </c>
      <c r="J77" s="6" t="str">
        <f>_xlfn.XLOOKUP(tbl_Sourcing[[#This Row],[Product Id]], tbl_Product[Product Id], tbl_Product[Name])</f>
        <v>MTG Duskmourn: House of Horror Collector Booster Box</v>
      </c>
      <c r="K77" s="6">
        <v>27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131</v>
      </c>
      <c r="AW77" s="6" t="b">
        <f>_xlfn.XLOOKUP(tbl_Sourcing[[#This Row],[Product Id]], tbl_Product[Product Id], tbl_Product[Is Set or Play Booster])</f>
        <v>0</v>
      </c>
      <c r="AX77" s="6" t="b">
        <f>_xlfn.XLOOKUP(tbl_Sourcing[[#This Row],[Product Id]], tbl_Product[Product Id], tbl_Product[Is Precon])</f>
        <v>0</v>
      </c>
    </row>
    <row r="78" spans="1:50">
      <c r="A78">
        <v>273</v>
      </c>
      <c r="B78">
        <v>165</v>
      </c>
      <c r="C78" t="s">
        <v>1648</v>
      </c>
      <c r="D78" s="25" t="s">
        <v>1697</v>
      </c>
      <c r="E78" s="23">
        <v>35.712000000000003</v>
      </c>
      <c r="F78" s="23" t="b">
        <v>1</v>
      </c>
      <c r="G78" s="24"/>
      <c r="H78" s="23">
        <v>32.55424</v>
      </c>
      <c r="J78" s="6" t="str">
        <f>_xlfn.XLOOKUP(tbl_Sourcing[[#This Row],[Product Id]], tbl_Product[Product Id], tbl_Product[Name])</f>
        <v>MTG Duskmourn: House of Horror Death Toll Precon</v>
      </c>
      <c r="K78" s="6">
        <v>159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791</v>
      </c>
      <c r="AW78" s="6" t="b">
        <f>_xlfn.XLOOKUP(tbl_Sourcing[[#This Row],[Product Id]], tbl_Product[Product Id], tbl_Product[Is Set or Play Booster])</f>
        <v>0</v>
      </c>
      <c r="AX78" s="6" t="b">
        <f>_xlfn.XLOOKUP(tbl_Sourcing[[#This Row],[Product Id]], tbl_Product[Product Id], tbl_Product[Is Precon])</f>
        <v>1</v>
      </c>
    </row>
    <row r="79" spans="1:50">
      <c r="A79">
        <v>272</v>
      </c>
      <c r="B79">
        <v>164</v>
      </c>
      <c r="C79" t="s">
        <v>1648</v>
      </c>
      <c r="D79" s="25" t="s">
        <v>1698</v>
      </c>
      <c r="E79" s="23">
        <v>123.92</v>
      </c>
      <c r="F79" s="23" t="b">
        <v>1</v>
      </c>
      <c r="G79" s="24"/>
      <c r="H79" s="23">
        <v>125.8252</v>
      </c>
      <c r="J79" s="6" t="str">
        <f>_xlfn.XLOOKUP(tbl_Sourcing[[#This Row],[Product Id]], tbl_Product[Product Id], tbl_Product[Name])</f>
        <v>MTG Duskmourn: House of Horror Endless Punishment Precon</v>
      </c>
      <c r="K79" s="6">
        <v>160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796</v>
      </c>
      <c r="AW79" s="6" t="b">
        <f>_xlfn.XLOOKUP(tbl_Sourcing[[#This Row],[Product Id]], tbl_Product[Product Id], tbl_Product[Is Set or Play Booster])</f>
        <v>0</v>
      </c>
      <c r="AX79" s="6" t="b">
        <f>_xlfn.XLOOKUP(tbl_Sourcing[[#This Row],[Product Id]], tbl_Product[Product Id], tbl_Product[Is Precon])</f>
        <v>1</v>
      </c>
    </row>
    <row r="80" spans="1:50">
      <c r="A80">
        <v>271</v>
      </c>
      <c r="B80">
        <v>163</v>
      </c>
      <c r="C80" t="s">
        <v>1648</v>
      </c>
      <c r="D80" s="25" t="s">
        <v>1699</v>
      </c>
      <c r="E80" s="23">
        <v>46.97</v>
      </c>
      <c r="F80" s="23" t="b">
        <v>1</v>
      </c>
      <c r="G80" s="24"/>
      <c r="H80" s="23">
        <v>45.779400000000003</v>
      </c>
      <c r="J80" s="6" t="str">
        <f>_xlfn.XLOOKUP(tbl_Sourcing[[#This Row],[Product Id]], tbl_Product[Product Id], tbl_Product[Name])</f>
        <v>MTG Duskmourn: House of Horror Jump Scare Precon</v>
      </c>
      <c r="K80" s="6">
        <v>161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801</v>
      </c>
      <c r="AW80" s="6" t="b">
        <f>_xlfn.XLOOKUP(tbl_Sourcing[[#This Row],[Product Id]], tbl_Product[Product Id], tbl_Product[Is Set or Play Booster])</f>
        <v>0</v>
      </c>
      <c r="AX80" s="6" t="b">
        <f>_xlfn.XLOOKUP(tbl_Sourcing[[#This Row],[Product Id]], tbl_Product[Product Id], tbl_Product[Is Precon])</f>
        <v>1</v>
      </c>
    </row>
    <row r="81" spans="1:50">
      <c r="A81">
        <v>270</v>
      </c>
      <c r="B81">
        <v>162</v>
      </c>
      <c r="C81" t="s">
        <v>1648</v>
      </c>
      <c r="D81" s="25" t="s">
        <v>1700</v>
      </c>
      <c r="E81" s="23">
        <v>46.97</v>
      </c>
      <c r="F81" s="23" t="b">
        <v>1</v>
      </c>
      <c r="G81" s="24"/>
      <c r="H81" s="23">
        <v>45.779400000000003</v>
      </c>
      <c r="J81" s="6" t="str">
        <f>_xlfn.XLOOKUP(tbl_Sourcing[[#This Row],[Product Id]], tbl_Product[Product Id], tbl_Product[Name])</f>
        <v>MTG Duskmourn: House of Horror Miracle Worker Precon</v>
      </c>
      <c r="K81" s="6">
        <v>162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806</v>
      </c>
      <c r="AW81" s="6" t="b">
        <f>_xlfn.XLOOKUP(tbl_Sourcing[[#This Row],[Product Id]], tbl_Product[Product Id], tbl_Product[Is Set or Play Booster])</f>
        <v>0</v>
      </c>
      <c r="AX81" s="6" t="b">
        <f>_xlfn.XLOOKUP(tbl_Sourcing[[#This Row],[Product Id]], tbl_Product[Product Id], tbl_Product[Is Precon])</f>
        <v>1</v>
      </c>
    </row>
    <row r="82" spans="1:50">
      <c r="A82">
        <v>177</v>
      </c>
      <c r="B82">
        <v>26</v>
      </c>
      <c r="C82" t="s">
        <v>1648</v>
      </c>
      <c r="D82" s="8" t="s">
        <v>1701</v>
      </c>
      <c r="E82" s="23">
        <v>5.4640000000000004</v>
      </c>
      <c r="F82" s="23" t="b">
        <v>1</v>
      </c>
      <c r="G82" s="24"/>
      <c r="H82" s="23">
        <v>3.4797958399999995</v>
      </c>
      <c r="J82" s="6" t="str">
        <f>_xlfn.XLOOKUP(tbl_Sourcing[[#This Row],[Product Id]], tbl_Product[Product Id], tbl_Product[Name])</f>
        <v>MTG Duskmourn: House of Horror Play Booster</v>
      </c>
      <c r="K82" s="6">
        <v>28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136</v>
      </c>
      <c r="AW82" s="6" t="b">
        <f>_xlfn.XLOOKUP(tbl_Sourcing[[#This Row],[Product Id]], tbl_Product[Product Id], tbl_Product[Is Set or Play Booster])</f>
        <v>1</v>
      </c>
      <c r="AX82" s="6" t="b">
        <f>_xlfn.XLOOKUP(tbl_Sourcing[[#This Row],[Product Id]], tbl_Product[Product Id], tbl_Product[Is Precon])</f>
        <v>0</v>
      </c>
    </row>
    <row r="83" spans="1:50">
      <c r="A83">
        <v>63</v>
      </c>
      <c r="B83">
        <v>71</v>
      </c>
      <c r="C83" t="s">
        <v>1648</v>
      </c>
      <c r="D83" s="8" t="s">
        <v>1702</v>
      </c>
      <c r="E83" s="23">
        <v>164.12837999999999</v>
      </c>
      <c r="F83" s="23" t="b">
        <v>1</v>
      </c>
      <c r="G83" s="24"/>
      <c r="H83" s="24" t="s">
        <v>1651</v>
      </c>
      <c r="J83" s="6" t="str">
        <f>_xlfn.XLOOKUP(tbl_Sourcing[[#This Row],[Product Id]], tbl_Product[Product Id], tbl_Product[Name])</f>
        <v>MTG Duskmourn: House of Horror Play Booster Box</v>
      </c>
      <c r="K83" s="6">
        <v>29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141</v>
      </c>
      <c r="AW83" s="6" t="b">
        <f>_xlfn.XLOOKUP(tbl_Sourcing[[#This Row],[Product Id]], tbl_Product[Product Id], tbl_Product[Is Set or Play Booster])</f>
        <v>1</v>
      </c>
      <c r="AX83" s="6" t="b">
        <f>_xlfn.XLOOKUP(tbl_Sourcing[[#This Row],[Product Id]], tbl_Product[Product Id], tbl_Product[Is Precon])</f>
        <v>0</v>
      </c>
    </row>
    <row r="84" spans="1:50">
      <c r="A84">
        <v>197</v>
      </c>
      <c r="B84">
        <v>97</v>
      </c>
      <c r="C84" t="s">
        <v>1648</v>
      </c>
      <c r="D84" s="8" t="s">
        <v>1703</v>
      </c>
      <c r="E84" s="23">
        <v>45.012839999999997</v>
      </c>
      <c r="F84" s="23" t="b">
        <v>1</v>
      </c>
      <c r="G84" s="24"/>
      <c r="H84" s="23">
        <v>37.181618550400003</v>
      </c>
      <c r="J84" s="6" t="str">
        <f>_xlfn.XLOOKUP(tbl_Sourcing[[#This Row],[Product Id]], tbl_Product[Product Id], tbl_Product[Name])</f>
        <v>MTG Edge of Eternities Collector Booster</v>
      </c>
      <c r="K84" s="6">
        <v>30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146</v>
      </c>
      <c r="AW84" s="6" t="b">
        <f>_xlfn.XLOOKUP(tbl_Sourcing[[#This Row],[Product Id]], tbl_Product[Product Id], tbl_Product[Is Set or Play Booster])</f>
        <v>0</v>
      </c>
      <c r="AX84" s="6" t="b">
        <f>_xlfn.XLOOKUP(tbl_Sourcing[[#This Row],[Product Id]], tbl_Product[Product Id], tbl_Product[Is Precon])</f>
        <v>0</v>
      </c>
    </row>
    <row r="85" spans="1:50">
      <c r="A85">
        <v>126</v>
      </c>
      <c r="B85">
        <v>98</v>
      </c>
      <c r="C85" t="s">
        <v>1648</v>
      </c>
      <c r="D85" s="8" t="s">
        <v>1704</v>
      </c>
      <c r="E85" s="23">
        <v>482.23615999999998</v>
      </c>
      <c r="F85" s="23" t="b">
        <v>1</v>
      </c>
      <c r="G85" s="24"/>
      <c r="H85" s="24" t="s">
        <v>1651</v>
      </c>
      <c r="J85" s="6" t="str">
        <f>_xlfn.XLOOKUP(tbl_Sourcing[[#This Row],[Product Id]], tbl_Product[Product Id], tbl_Product[Name])</f>
        <v>MTG Edge of Eternities Collector Booster Box</v>
      </c>
      <c r="K85" s="6">
        <v>31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151</v>
      </c>
      <c r="AW85" s="6" t="b">
        <f>_xlfn.XLOOKUP(tbl_Sourcing[[#This Row],[Product Id]], tbl_Product[Product Id], tbl_Product[Is Set or Play Booster])</f>
        <v>0</v>
      </c>
      <c r="AX85" s="6" t="b">
        <f>_xlfn.XLOOKUP(tbl_Sourcing[[#This Row],[Product Id]], tbl_Product[Product Id], tbl_Product[Is Precon])</f>
        <v>0</v>
      </c>
    </row>
    <row r="86" spans="1:50">
      <c r="A86">
        <v>258</v>
      </c>
      <c r="B86">
        <v>150</v>
      </c>
      <c r="C86" t="s">
        <v>1648</v>
      </c>
      <c r="D86" s="25" t="s">
        <v>1705</v>
      </c>
      <c r="E86" s="23">
        <v>33.113999999999997</v>
      </c>
      <c r="F86" s="23" t="b">
        <v>1</v>
      </c>
      <c r="G86" s="24"/>
      <c r="H86" s="23">
        <v>29.481933599999998</v>
      </c>
      <c r="J86" s="6" t="str">
        <f>_xlfn.XLOOKUP(tbl_Sourcing[[#This Row],[Product Id]], tbl_Product[Product Id], tbl_Product[Name])</f>
        <v>MTG Edge of Eternities Counter Intelligence Precon</v>
      </c>
      <c r="K86" s="6">
        <v>163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811</v>
      </c>
      <c r="AW86" s="6" t="b">
        <f>_xlfn.XLOOKUP(tbl_Sourcing[[#This Row],[Product Id]], tbl_Product[Product Id], tbl_Product[Is Set or Play Booster])</f>
        <v>0</v>
      </c>
      <c r="AX86" s="6" t="b">
        <f>_xlfn.XLOOKUP(tbl_Sourcing[[#This Row],[Product Id]], tbl_Product[Product Id], tbl_Product[Is Precon])</f>
        <v>1</v>
      </c>
    </row>
    <row r="87" spans="1:50">
      <c r="A87">
        <v>171</v>
      </c>
      <c r="B87">
        <v>20</v>
      </c>
      <c r="C87" t="s">
        <v>1648</v>
      </c>
      <c r="D87" s="8" t="s">
        <v>1706</v>
      </c>
      <c r="E87" s="23">
        <v>7.1527000000000003</v>
      </c>
      <c r="F87" s="23" t="b">
        <v>1</v>
      </c>
      <c r="G87" s="24"/>
      <c r="H87" s="23">
        <v>5.1761963119999992</v>
      </c>
      <c r="J87" s="6" t="str">
        <f>_xlfn.XLOOKUP(tbl_Sourcing[[#This Row],[Product Id]], tbl_Product[Product Id], tbl_Product[Name])</f>
        <v>MTG Edge of Eternities Play Booster</v>
      </c>
      <c r="K87" s="6">
        <v>32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156</v>
      </c>
      <c r="AW87" s="6" t="b">
        <f>_xlfn.XLOOKUP(tbl_Sourcing[[#This Row],[Product Id]], tbl_Product[Product Id], tbl_Product[Is Set or Play Booster])</f>
        <v>1</v>
      </c>
      <c r="AX87" s="6" t="b">
        <f>_xlfn.XLOOKUP(tbl_Sourcing[[#This Row],[Product Id]], tbl_Product[Product Id], tbl_Product[Is Precon])</f>
        <v>0</v>
      </c>
    </row>
    <row r="88" spans="1:50">
      <c r="A88">
        <v>48</v>
      </c>
      <c r="B88">
        <v>65</v>
      </c>
      <c r="C88" t="s">
        <v>1648</v>
      </c>
      <c r="D88" s="8" t="s">
        <v>1707</v>
      </c>
      <c r="E88" s="23">
        <v>184.72185999999999</v>
      </c>
      <c r="F88" s="23" t="b">
        <v>1</v>
      </c>
      <c r="G88" s="24"/>
      <c r="H88" s="24" t="s">
        <v>1651</v>
      </c>
      <c r="J88" s="6" t="str">
        <f>_xlfn.XLOOKUP(tbl_Sourcing[[#This Row],[Product Id]], tbl_Product[Product Id], tbl_Product[Name])</f>
        <v>MTG Edge of Eternities Play Booster Box</v>
      </c>
      <c r="K88" s="6">
        <v>33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161</v>
      </c>
      <c r="AW88" s="6" t="b">
        <f>_xlfn.XLOOKUP(tbl_Sourcing[[#This Row],[Product Id]], tbl_Product[Product Id], tbl_Product[Is Set or Play Booster])</f>
        <v>1</v>
      </c>
      <c r="AX88" s="6" t="b">
        <f>_xlfn.XLOOKUP(tbl_Sourcing[[#This Row],[Product Id]], tbl_Product[Product Id], tbl_Product[Is Precon])</f>
        <v>0</v>
      </c>
    </row>
    <row r="89" spans="1:50">
      <c r="A89">
        <v>257</v>
      </c>
      <c r="B89">
        <v>149</v>
      </c>
      <c r="C89" t="s">
        <v>1648</v>
      </c>
      <c r="D89" s="25" t="s">
        <v>1708</v>
      </c>
      <c r="E89" s="23">
        <v>42.631340000000002</v>
      </c>
      <c r="F89" s="23" t="b">
        <v>1</v>
      </c>
      <c r="G89" s="24"/>
      <c r="H89" s="23">
        <v>42.727440000000001</v>
      </c>
      <c r="J89" s="6" t="str">
        <f>_xlfn.XLOOKUP(tbl_Sourcing[[#This Row],[Product Id]], tbl_Product[Product Id], tbl_Product[Name])</f>
        <v>MTG Edge of Eternities World Shaper Precon</v>
      </c>
      <c r="K89" s="6">
        <v>164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816</v>
      </c>
      <c r="AW89" s="6" t="b">
        <f>_xlfn.XLOOKUP(tbl_Sourcing[[#This Row],[Product Id]], tbl_Product[Product Id], tbl_Product[Is Set or Play Booster])</f>
        <v>0</v>
      </c>
      <c r="AX89" s="6" t="b">
        <f>_xlfn.XLOOKUP(tbl_Sourcing[[#This Row],[Product Id]], tbl_Product[Product Id], tbl_Product[Is Precon])</f>
        <v>1</v>
      </c>
    </row>
    <row r="90" spans="1:50">
      <c r="A90">
        <v>288</v>
      </c>
      <c r="B90">
        <v>180</v>
      </c>
      <c r="C90" t="s">
        <v>1648</v>
      </c>
      <c r="D90" s="25" t="s">
        <v>1709</v>
      </c>
      <c r="E90" s="23">
        <v>59.47504</v>
      </c>
      <c r="F90" s="23" t="b">
        <v>1</v>
      </c>
      <c r="G90" s="24"/>
      <c r="H90" s="23">
        <v>61.029026799999997</v>
      </c>
      <c r="J90" s="6" t="str">
        <f>_xlfn.XLOOKUP(tbl_Sourcing[[#This Row],[Product Id]], tbl_Product[Product Id], tbl_Product[Name])</f>
        <v>MTG Fallout Hail, Caesar Precon</v>
      </c>
      <c r="K90" s="6">
        <v>165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821</v>
      </c>
      <c r="AW90" s="6" t="b">
        <f>_xlfn.XLOOKUP(tbl_Sourcing[[#This Row],[Product Id]], tbl_Product[Product Id], tbl_Product[Is Set or Play Booster])</f>
        <v>0</v>
      </c>
      <c r="AX90" s="6" t="b">
        <f>_xlfn.XLOOKUP(tbl_Sourcing[[#This Row],[Product Id]], tbl_Product[Product Id], tbl_Product[Is Precon])</f>
        <v>1</v>
      </c>
    </row>
    <row r="91" spans="1:50">
      <c r="A91">
        <v>289</v>
      </c>
      <c r="B91">
        <v>181</v>
      </c>
      <c r="C91" t="s">
        <v>1648</v>
      </c>
      <c r="D91" s="25" t="s">
        <v>1710</v>
      </c>
      <c r="E91" s="23"/>
      <c r="F91" s="23" t="b">
        <v>0</v>
      </c>
      <c r="G91" s="24"/>
      <c r="H91" s="23">
        <v>81.375426799999985</v>
      </c>
      <c r="J91" s="6" t="str">
        <f>_xlfn.XLOOKUP(tbl_Sourcing[[#This Row],[Product Id]], tbl_Product[Product Id], tbl_Product[Name])</f>
        <v>MTG Fallout Mutant Menace Precon</v>
      </c>
      <c r="K91" s="6">
        <v>166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826</v>
      </c>
      <c r="AW91" s="6" t="b">
        <f>_xlfn.XLOOKUP(tbl_Sourcing[[#This Row],[Product Id]], tbl_Product[Product Id], tbl_Product[Is Set or Play Booster])</f>
        <v>0</v>
      </c>
      <c r="AX91" s="6" t="b">
        <f>_xlfn.XLOOKUP(tbl_Sourcing[[#This Row],[Product Id]], tbl_Product[Product Id], tbl_Product[Is Precon])</f>
        <v>1</v>
      </c>
    </row>
    <row r="92" spans="1:50">
      <c r="A92">
        <v>287</v>
      </c>
      <c r="B92">
        <v>179</v>
      </c>
      <c r="C92" t="s">
        <v>1648</v>
      </c>
      <c r="D92" s="25" t="s">
        <v>1711</v>
      </c>
      <c r="E92" s="23"/>
      <c r="F92" s="23" t="b">
        <v>0</v>
      </c>
      <c r="G92" s="24"/>
      <c r="H92" s="23">
        <v>33.459654799999996</v>
      </c>
      <c r="J92" s="6" t="str">
        <f>_xlfn.XLOOKUP(tbl_Sourcing[[#This Row],[Product Id]], tbl_Product[Product Id], tbl_Product[Name])</f>
        <v>MTG Fallout Science! Precon</v>
      </c>
      <c r="K92" s="6">
        <v>167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831</v>
      </c>
      <c r="AW92" s="6" t="b">
        <f>_xlfn.XLOOKUP(tbl_Sourcing[[#This Row],[Product Id]], tbl_Product[Product Id], tbl_Product[Is Set or Play Booster])</f>
        <v>0</v>
      </c>
      <c r="AX92" s="6" t="b">
        <f>_xlfn.XLOOKUP(tbl_Sourcing[[#This Row],[Product Id]], tbl_Product[Product Id], tbl_Product[Is Precon])</f>
        <v>1</v>
      </c>
    </row>
    <row r="93" spans="1:50">
      <c r="A93">
        <v>286</v>
      </c>
      <c r="B93">
        <v>178</v>
      </c>
      <c r="C93" t="s">
        <v>1648</v>
      </c>
      <c r="D93" s="25" t="s">
        <v>1712</v>
      </c>
      <c r="E93" s="23"/>
      <c r="F93" s="23" t="b">
        <v>0</v>
      </c>
      <c r="G93" s="24"/>
      <c r="H93" s="23">
        <v>45.6674948</v>
      </c>
      <c r="J93" s="6" t="str">
        <f>_xlfn.XLOOKUP(tbl_Sourcing[[#This Row],[Product Id]], tbl_Product[Product Id], tbl_Product[Name])</f>
        <v>MTG Fallout Scrappy Survivors Precon</v>
      </c>
      <c r="K93" s="6">
        <v>168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836</v>
      </c>
      <c r="AW93" s="6" t="b">
        <f>_xlfn.XLOOKUP(tbl_Sourcing[[#This Row],[Product Id]], tbl_Product[Product Id], tbl_Product[Is Set or Play Booster])</f>
        <v>0</v>
      </c>
      <c r="AX93" s="6" t="b">
        <f>_xlfn.XLOOKUP(tbl_Sourcing[[#This Row],[Product Id]], tbl_Product[Product Id], tbl_Product[Is Precon])</f>
        <v>1</v>
      </c>
    </row>
    <row r="94" spans="1:50">
      <c r="A94">
        <v>198</v>
      </c>
      <c r="B94">
        <v>99</v>
      </c>
      <c r="C94" t="s">
        <v>1648</v>
      </c>
      <c r="D94" s="8" t="s">
        <v>1713</v>
      </c>
      <c r="E94" s="23">
        <v>109.51842000000001</v>
      </c>
      <c r="F94" s="23" t="b">
        <v>1</v>
      </c>
      <c r="G94" s="24"/>
      <c r="H94" s="23">
        <v>89.926623995199989</v>
      </c>
      <c r="J94" s="6" t="str">
        <f>_xlfn.XLOOKUP(tbl_Sourcing[[#This Row],[Product Id]], tbl_Product[Product Id], tbl_Product[Name])</f>
        <v>MTG Final Fantasy Collector Booster</v>
      </c>
      <c r="K94" s="6">
        <v>34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166</v>
      </c>
      <c r="AW94" s="6" t="b">
        <f>_xlfn.XLOOKUP(tbl_Sourcing[[#This Row],[Product Id]], tbl_Product[Product Id], tbl_Product[Is Set or Play Booster])</f>
        <v>0</v>
      </c>
      <c r="AX94" s="6" t="b">
        <f>_xlfn.XLOOKUP(tbl_Sourcing[[#This Row],[Product Id]], tbl_Product[Product Id], tbl_Product[Is Precon])</f>
        <v>0</v>
      </c>
    </row>
    <row r="95" spans="1:50">
      <c r="A95">
        <v>127</v>
      </c>
      <c r="B95">
        <v>100</v>
      </c>
      <c r="C95" t="s">
        <v>1648</v>
      </c>
      <c r="D95" s="8" t="s">
        <v>1714</v>
      </c>
      <c r="E95" s="23">
        <v>832.30799999999999</v>
      </c>
      <c r="F95" s="23" t="b">
        <v>1</v>
      </c>
      <c r="G95" s="24"/>
      <c r="H95" s="24" t="s">
        <v>1651</v>
      </c>
      <c r="J95" s="6" t="str">
        <f>_xlfn.XLOOKUP(tbl_Sourcing[[#This Row],[Product Id]], tbl_Product[Product Id], tbl_Product[Name])</f>
        <v>MTG Final Fantasy Collector Booster Box</v>
      </c>
      <c r="K95" s="6">
        <v>35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171</v>
      </c>
      <c r="AW95" s="6" t="b">
        <f>_xlfn.XLOOKUP(tbl_Sourcing[[#This Row],[Product Id]], tbl_Product[Product Id], tbl_Product[Is Set or Play Booster])</f>
        <v>0</v>
      </c>
      <c r="AX95" s="6" t="b">
        <f>_xlfn.XLOOKUP(tbl_Sourcing[[#This Row],[Product Id]], tbl_Product[Product Id], tbl_Product[Is Precon])</f>
        <v>0</v>
      </c>
    </row>
    <row r="96" spans="1:50">
      <c r="A96">
        <v>261</v>
      </c>
      <c r="B96">
        <v>153</v>
      </c>
      <c r="C96" t="s">
        <v>1648</v>
      </c>
      <c r="D96" s="25" t="s">
        <v>1715</v>
      </c>
      <c r="E96" s="23">
        <v>37.444000000000003</v>
      </c>
      <c r="F96" s="23" t="b">
        <v>1</v>
      </c>
      <c r="G96" s="24"/>
      <c r="H96" s="23">
        <v>34.588879999999996</v>
      </c>
      <c r="J96" s="6" t="str">
        <f>_xlfn.XLOOKUP(tbl_Sourcing[[#This Row],[Product Id]], tbl_Product[Product Id], tbl_Product[Name])</f>
        <v>MTG Final Fantasy Counter Blitz Precon</v>
      </c>
      <c r="K96" s="6">
        <v>169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841</v>
      </c>
      <c r="AW96" s="6" t="b">
        <f>_xlfn.XLOOKUP(tbl_Sourcing[[#This Row],[Product Id]], tbl_Product[Product Id], tbl_Product[Is Set or Play Booster])</f>
        <v>0</v>
      </c>
      <c r="AX96" s="6" t="b">
        <f>_xlfn.XLOOKUP(tbl_Sourcing[[#This Row],[Product Id]], tbl_Product[Product Id], tbl_Product[Is Precon])</f>
        <v>1</v>
      </c>
    </row>
    <row r="97" spans="1:50">
      <c r="A97">
        <v>260</v>
      </c>
      <c r="B97">
        <v>152</v>
      </c>
      <c r="C97" t="s">
        <v>1648</v>
      </c>
      <c r="D97" s="25" t="s">
        <v>1716</v>
      </c>
      <c r="E97" s="23"/>
      <c r="F97" s="23" t="b">
        <v>0</v>
      </c>
      <c r="G97" s="24"/>
      <c r="H97" s="23">
        <v>45.769226799999991</v>
      </c>
      <c r="J97" s="6" t="str">
        <f>_xlfn.XLOOKUP(tbl_Sourcing[[#This Row],[Product Id]], tbl_Product[Product Id], tbl_Product[Name])</f>
        <v>MTG Final Fantasy Limit Break Precon</v>
      </c>
      <c r="K97" s="6">
        <v>170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846</v>
      </c>
      <c r="AW97" s="6" t="b">
        <f>_xlfn.XLOOKUP(tbl_Sourcing[[#This Row],[Product Id]], tbl_Product[Product Id], tbl_Product[Is Set or Play Booster])</f>
        <v>0</v>
      </c>
      <c r="AX97" s="6" t="b">
        <f>_xlfn.XLOOKUP(tbl_Sourcing[[#This Row],[Product Id]], tbl_Product[Product Id], tbl_Product[Is Precon])</f>
        <v>1</v>
      </c>
    </row>
    <row r="98" spans="1:50">
      <c r="A98">
        <v>184</v>
      </c>
      <c r="B98">
        <v>33</v>
      </c>
      <c r="C98" t="s">
        <v>1648</v>
      </c>
      <c r="D98" s="8" t="s">
        <v>1717</v>
      </c>
      <c r="E98" s="23">
        <v>8.3910800000000005</v>
      </c>
      <c r="F98" s="23" t="b">
        <v>1</v>
      </c>
      <c r="G98" s="24"/>
      <c r="H98" s="23">
        <v>6.4202233247999994</v>
      </c>
      <c r="J98" s="6" t="str">
        <f>_xlfn.XLOOKUP(tbl_Sourcing[[#This Row],[Product Id]], tbl_Product[Product Id], tbl_Product[Name])</f>
        <v>MTG Final Fantasy Play Booster</v>
      </c>
      <c r="K98" s="6">
        <v>36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176</v>
      </c>
      <c r="AW98" s="6" t="b">
        <f>_xlfn.XLOOKUP(tbl_Sourcing[[#This Row],[Product Id]], tbl_Product[Product Id], tbl_Product[Is Set or Play Booster])</f>
        <v>1</v>
      </c>
      <c r="AX98" s="6" t="b">
        <f>_xlfn.XLOOKUP(tbl_Sourcing[[#This Row],[Product Id]], tbl_Product[Product Id], tbl_Product[Is Precon])</f>
        <v>0</v>
      </c>
    </row>
    <row r="99" spans="1:50">
      <c r="A99">
        <v>78</v>
      </c>
      <c r="B99">
        <v>78</v>
      </c>
      <c r="C99" t="s">
        <v>1648</v>
      </c>
      <c r="D99" s="8" t="s">
        <v>1718</v>
      </c>
      <c r="E99" s="23">
        <v>202.68270000000001</v>
      </c>
      <c r="F99" s="23" t="b">
        <v>1</v>
      </c>
      <c r="G99" s="24"/>
      <c r="H99" s="24" t="s">
        <v>1651</v>
      </c>
      <c r="J99" s="6" t="str">
        <f>_xlfn.XLOOKUP(tbl_Sourcing[[#This Row],[Product Id]], tbl_Product[Product Id], tbl_Product[Name])</f>
        <v>MTG Final Fantasy Play Booster Box</v>
      </c>
      <c r="K99" s="6">
        <v>37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181</v>
      </c>
      <c r="AW99" s="6" t="b">
        <f>_xlfn.XLOOKUP(tbl_Sourcing[[#This Row],[Product Id]], tbl_Product[Product Id], tbl_Product[Is Set or Play Booster])</f>
        <v>1</v>
      </c>
      <c r="AX99" s="6" t="b">
        <f>_xlfn.XLOOKUP(tbl_Sourcing[[#This Row],[Product Id]], tbl_Product[Product Id], tbl_Product[Is Precon])</f>
        <v>0</v>
      </c>
    </row>
    <row r="100" spans="1:50">
      <c r="A100">
        <v>259</v>
      </c>
      <c r="B100">
        <v>151</v>
      </c>
      <c r="C100" t="s">
        <v>1648</v>
      </c>
      <c r="D100" s="25" t="s">
        <v>1719</v>
      </c>
      <c r="E100" s="23"/>
      <c r="F100" s="23" t="b">
        <v>0</v>
      </c>
      <c r="G100" s="24"/>
      <c r="H100" s="23">
        <v>32.55424</v>
      </c>
      <c r="J100" s="6" t="str">
        <f>_xlfn.XLOOKUP(tbl_Sourcing[[#This Row],[Product Id]], tbl_Product[Product Id], tbl_Product[Name])</f>
        <v>MTG Final Fantasy Revival Trance Precon</v>
      </c>
      <c r="K100" s="6">
        <v>171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851</v>
      </c>
      <c r="AW100" s="6" t="b">
        <f>_xlfn.XLOOKUP(tbl_Sourcing[[#This Row],[Product Id]], tbl_Product[Product Id], tbl_Product[Is Set or Play Booster])</f>
        <v>0</v>
      </c>
      <c r="AX100" s="6" t="b">
        <f>_xlfn.XLOOKUP(tbl_Sourcing[[#This Row],[Product Id]], tbl_Product[Product Id], tbl_Product[Is Precon])</f>
        <v>1</v>
      </c>
    </row>
    <row r="101" spans="1:50">
      <c r="A101">
        <v>262</v>
      </c>
      <c r="B101">
        <v>154</v>
      </c>
      <c r="C101" t="s">
        <v>1648</v>
      </c>
      <c r="D101" s="25" t="s">
        <v>1720</v>
      </c>
      <c r="E101" s="23">
        <v>44.372</v>
      </c>
      <c r="F101" s="23" t="b">
        <v>1</v>
      </c>
      <c r="G101" s="24"/>
      <c r="H101" s="23">
        <v>43.744759999999992</v>
      </c>
      <c r="J101" s="6" t="str">
        <f>_xlfn.XLOOKUP(tbl_Sourcing[[#This Row],[Product Id]], tbl_Product[Product Id], tbl_Product[Name])</f>
        <v>MTG Final Fantasy Scions &amp; Spellcraft Precon</v>
      </c>
      <c r="K101" s="6">
        <v>172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856</v>
      </c>
      <c r="AW101" s="6" t="b">
        <f>_xlfn.XLOOKUP(tbl_Sourcing[[#This Row],[Product Id]], tbl_Product[Product Id], tbl_Product[Is Set or Play Booster])</f>
        <v>0</v>
      </c>
      <c r="AX101" s="6" t="b">
        <f>_xlfn.XLOOKUP(tbl_Sourcing[[#This Row],[Product Id]], tbl_Product[Product Id], tbl_Product[Is Precon])</f>
        <v>1</v>
      </c>
    </row>
    <row r="102" spans="1:50">
      <c r="A102">
        <v>199</v>
      </c>
      <c r="B102">
        <v>101</v>
      </c>
      <c r="C102" t="s">
        <v>1648</v>
      </c>
      <c r="D102" s="8" t="s">
        <v>1721</v>
      </c>
      <c r="E102" s="23">
        <v>58.444499999999998</v>
      </c>
      <c r="F102" s="23" t="b">
        <v>1</v>
      </c>
      <c r="G102" s="24"/>
      <c r="H102" s="23">
        <v>50.674526919999991</v>
      </c>
      <c r="J102" s="6" t="str">
        <f>_xlfn.XLOOKUP(tbl_Sourcing[[#This Row],[Product Id]], tbl_Product[Product Id], tbl_Product[Name])</f>
        <v>MTG Foundations Collector Booster</v>
      </c>
      <c r="K102" s="6">
        <v>38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186</v>
      </c>
      <c r="AW102" s="6" t="b">
        <f>_xlfn.XLOOKUP(tbl_Sourcing[[#This Row],[Product Id]], tbl_Product[Product Id], tbl_Product[Is Set or Play Booster])</f>
        <v>0</v>
      </c>
      <c r="AX102" s="6" t="b">
        <f>_xlfn.XLOOKUP(tbl_Sourcing[[#This Row],[Product Id]], tbl_Product[Product Id], tbl_Product[Is Precon])</f>
        <v>0</v>
      </c>
    </row>
    <row r="103" spans="1:50">
      <c r="A103">
        <v>128</v>
      </c>
      <c r="B103">
        <v>102</v>
      </c>
      <c r="C103" t="s">
        <v>1648</v>
      </c>
      <c r="D103" s="8" t="s">
        <v>1722</v>
      </c>
      <c r="E103" s="24"/>
      <c r="F103" s="23" t="b">
        <v>0</v>
      </c>
      <c r="G103" s="24"/>
      <c r="H103" s="24" t="s">
        <v>1651</v>
      </c>
      <c r="J103" s="6" t="str">
        <f>_xlfn.XLOOKUP(tbl_Sourcing[[#This Row],[Product Id]], tbl_Product[Product Id], tbl_Product[Name])</f>
        <v>MTG Foundations Collector Booster Box</v>
      </c>
      <c r="K103" s="6">
        <v>39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191</v>
      </c>
      <c r="AW103" s="6" t="b">
        <f>_xlfn.XLOOKUP(tbl_Sourcing[[#This Row],[Product Id]], tbl_Product[Product Id], tbl_Product[Is Set or Play Booster])</f>
        <v>0</v>
      </c>
      <c r="AX103" s="6" t="b">
        <f>_xlfn.XLOOKUP(tbl_Sourcing[[#This Row],[Product Id]], tbl_Product[Product Id], tbl_Product[Is Precon])</f>
        <v>0</v>
      </c>
    </row>
    <row r="104" spans="1:50">
      <c r="A104">
        <v>167</v>
      </c>
      <c r="B104">
        <v>16</v>
      </c>
      <c r="C104" t="s">
        <v>1648</v>
      </c>
      <c r="D104" s="8" t="s">
        <v>1723</v>
      </c>
      <c r="E104" s="23">
        <v>6.33</v>
      </c>
      <c r="F104" s="23" t="b">
        <v>1</v>
      </c>
      <c r="G104" s="24"/>
      <c r="H104" s="23">
        <v>4.3497447999999999</v>
      </c>
      <c r="J104" s="6" t="str">
        <f>_xlfn.XLOOKUP(tbl_Sourcing[[#This Row],[Product Id]], tbl_Product[Product Id], tbl_Product[Name])</f>
        <v>MTG Foundations Play Booster</v>
      </c>
      <c r="K104" s="6">
        <v>40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196</v>
      </c>
      <c r="AW104" s="6" t="b">
        <f>_xlfn.XLOOKUP(tbl_Sourcing[[#This Row],[Product Id]], tbl_Product[Product Id], tbl_Product[Is Set or Play Booster])</f>
        <v>1</v>
      </c>
      <c r="AX104" s="6" t="b">
        <f>_xlfn.XLOOKUP(tbl_Sourcing[[#This Row],[Product Id]], tbl_Product[Product Id], tbl_Product[Is Precon])</f>
        <v>0</v>
      </c>
    </row>
    <row r="105" spans="1:50">
      <c r="A105">
        <v>36</v>
      </c>
      <c r="B105">
        <v>61</v>
      </c>
      <c r="C105" t="s">
        <v>1648</v>
      </c>
      <c r="D105" s="8" t="s">
        <v>1724</v>
      </c>
      <c r="E105" s="23">
        <v>184.70454000000001</v>
      </c>
      <c r="F105" s="23" t="b">
        <v>1</v>
      </c>
      <c r="G105" s="24"/>
      <c r="H105" s="24" t="s">
        <v>1651</v>
      </c>
      <c r="J105" s="6" t="str">
        <f>_xlfn.XLOOKUP(tbl_Sourcing[[#This Row],[Product Id]], tbl_Product[Product Id], tbl_Product[Name])</f>
        <v>MTG Foundations Play Booster Box</v>
      </c>
      <c r="K105" s="6">
        <v>41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201</v>
      </c>
      <c r="AW105" s="6" t="b">
        <f>_xlfn.XLOOKUP(tbl_Sourcing[[#This Row],[Product Id]], tbl_Product[Product Id], tbl_Product[Is Set or Play Booster])</f>
        <v>1</v>
      </c>
      <c r="AX105" s="6" t="b">
        <f>_xlfn.XLOOKUP(tbl_Sourcing[[#This Row],[Product Id]], tbl_Product[Product Id], tbl_Product[Is Precon])</f>
        <v>0</v>
      </c>
    </row>
    <row r="106" spans="1:50">
      <c r="A106">
        <v>188</v>
      </c>
      <c r="B106">
        <v>44</v>
      </c>
      <c r="C106" t="s">
        <v>1648</v>
      </c>
      <c r="D106" s="8" t="s">
        <v>1725</v>
      </c>
      <c r="E106" s="23">
        <v>5.3514200000000001</v>
      </c>
      <c r="F106" s="23" t="b">
        <v>1</v>
      </c>
      <c r="G106" s="24"/>
      <c r="H106" s="23">
        <v>3.3667024751999999</v>
      </c>
      <c r="J106" s="6" t="str">
        <f>_xlfn.XLOOKUP(tbl_Sourcing[[#This Row],[Product Id]], tbl_Product[Product Id], tbl_Product[Name])</f>
        <v>MTG Guilds of Ravnica Booster</v>
      </c>
      <c r="K106" s="6">
        <v>42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206</v>
      </c>
      <c r="AW106" s="6" t="b">
        <f>_xlfn.XLOOKUP(tbl_Sourcing[[#This Row],[Product Id]], tbl_Product[Product Id], tbl_Product[Is Set or Play Booster])</f>
        <v>1</v>
      </c>
      <c r="AX106" s="6" t="b">
        <f>_xlfn.XLOOKUP(tbl_Sourcing[[#This Row],[Product Id]], tbl_Product[Product Id], tbl_Product[Is Precon])</f>
        <v>0</v>
      </c>
    </row>
    <row r="107" spans="1:50">
      <c r="A107">
        <v>201</v>
      </c>
      <c r="B107">
        <v>105</v>
      </c>
      <c r="C107" t="s">
        <v>1648</v>
      </c>
      <c r="D107" s="8" t="s">
        <v>1726</v>
      </c>
      <c r="E107" s="23">
        <v>38.890219999999999</v>
      </c>
      <c r="F107" s="23" t="b">
        <v>1</v>
      </c>
      <c r="G107" s="24"/>
      <c r="H107" s="23">
        <v>31.0310794032</v>
      </c>
      <c r="J107" s="6" t="str">
        <f>_xlfn.XLOOKUP(tbl_Sourcing[[#This Row],[Product Id]], tbl_Product[Product Id], tbl_Product[Name])</f>
        <v>MTG Innistrad Remastered INR Collector Booster</v>
      </c>
      <c r="K107" s="6">
        <v>43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211</v>
      </c>
      <c r="AW107" s="6" t="b">
        <f>_xlfn.XLOOKUP(tbl_Sourcing[[#This Row],[Product Id]], tbl_Product[Product Id], tbl_Product[Is Set or Play Booster])</f>
        <v>0</v>
      </c>
      <c r="AX107" s="6" t="b">
        <f>_xlfn.XLOOKUP(tbl_Sourcing[[#This Row],[Product Id]], tbl_Product[Product Id], tbl_Product[Is Precon])</f>
        <v>0</v>
      </c>
    </row>
    <row r="108" spans="1:50">
      <c r="A108">
        <v>130</v>
      </c>
      <c r="B108">
        <v>106</v>
      </c>
      <c r="C108" t="s">
        <v>1648</v>
      </c>
      <c r="D108" s="8" t="s">
        <v>1727</v>
      </c>
      <c r="E108" s="23">
        <v>359.72314</v>
      </c>
      <c r="F108" s="23" t="b">
        <v>1</v>
      </c>
      <c r="G108" s="24"/>
      <c r="H108" s="24" t="s">
        <v>1651</v>
      </c>
      <c r="J108" s="6" t="str">
        <f>_xlfn.XLOOKUP(tbl_Sourcing[[#This Row],[Product Id]], tbl_Product[Product Id], tbl_Product[Name])</f>
        <v>MTG Innistrad Remastered INR Collector Booster Box</v>
      </c>
      <c r="K108" s="6">
        <v>44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216</v>
      </c>
      <c r="AW108" s="6" t="b">
        <f>_xlfn.XLOOKUP(tbl_Sourcing[[#This Row],[Product Id]], tbl_Product[Product Id], tbl_Product[Is Set or Play Booster])</f>
        <v>0</v>
      </c>
      <c r="AX108" s="6" t="b">
        <f>_xlfn.XLOOKUP(tbl_Sourcing[[#This Row],[Product Id]], tbl_Product[Product Id], tbl_Product[Is Precon])</f>
        <v>0</v>
      </c>
    </row>
    <row r="109" spans="1:50">
      <c r="A109">
        <v>154</v>
      </c>
      <c r="B109">
        <v>3</v>
      </c>
      <c r="C109" t="s">
        <v>1648</v>
      </c>
      <c r="D109" s="8" t="s">
        <v>1728</v>
      </c>
      <c r="E109" s="23">
        <v>6.9448600000000003</v>
      </c>
      <c r="F109" s="23" t="b">
        <v>1</v>
      </c>
      <c r="G109" s="24"/>
      <c r="H109" s="23">
        <v>4.9674085615999992</v>
      </c>
      <c r="J109" s="6" t="str">
        <f>_xlfn.XLOOKUP(tbl_Sourcing[[#This Row],[Product Id]], tbl_Product[Product Id], tbl_Product[Name])</f>
        <v>MTG Innistrad Remastered INR Play Booster</v>
      </c>
      <c r="K109" s="6">
        <v>45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221</v>
      </c>
      <c r="AW109" s="6" t="b">
        <f>_xlfn.XLOOKUP(tbl_Sourcing[[#This Row],[Product Id]], tbl_Product[Product Id], tbl_Product[Is Set or Play Booster])</f>
        <v>1</v>
      </c>
      <c r="AX109" s="6" t="b">
        <f>_xlfn.XLOOKUP(tbl_Sourcing[[#This Row],[Product Id]], tbl_Product[Product Id], tbl_Product[Is Precon])</f>
        <v>0</v>
      </c>
    </row>
    <row r="110" spans="1:50">
      <c r="A110">
        <v>5</v>
      </c>
      <c r="B110">
        <v>48</v>
      </c>
      <c r="C110" t="s">
        <v>1648</v>
      </c>
      <c r="D110" s="8" t="s">
        <v>1729</v>
      </c>
      <c r="E110" s="23">
        <v>205.30668</v>
      </c>
      <c r="F110" s="23" t="b">
        <v>1</v>
      </c>
      <c r="G110" s="24"/>
      <c r="H110" s="24" t="s">
        <v>1651</v>
      </c>
      <c r="J110" t="str">
        <f>_xlfn.XLOOKUP(tbl_Sourcing[[#This Row],[Product Id]], tbl_Product[Product Id], tbl_Product[Name])</f>
        <v>MTG Innistrad Remastered INR Play Booster Box</v>
      </c>
      <c r="K110" s="6">
        <v>46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226</v>
      </c>
      <c r="AW110" s="6" t="b">
        <f>_xlfn.XLOOKUP(tbl_Sourcing[[#This Row],[Product Id]], tbl_Product[Product Id], tbl_Product[Is Set or Play Booster])</f>
        <v>1</v>
      </c>
      <c r="AX110" s="6" t="b">
        <f>_xlfn.XLOOKUP(tbl_Sourcing[[#This Row],[Product Id]], tbl_Product[Product Id], tbl_Product[Is Precon])</f>
        <v>0</v>
      </c>
    </row>
    <row r="111" spans="1:50">
      <c r="A111">
        <v>202</v>
      </c>
      <c r="B111">
        <v>107</v>
      </c>
      <c r="C111" t="s">
        <v>1648</v>
      </c>
      <c r="D111" s="8" t="s">
        <v>1730</v>
      </c>
      <c r="E111" s="23">
        <v>23.025099999999998</v>
      </c>
      <c r="F111" s="23" t="b">
        <v>1</v>
      </c>
      <c r="G111" s="24"/>
      <c r="H111" s="23">
        <v>15.093614455999999</v>
      </c>
      <c r="J111" s="6" t="str">
        <f>_xlfn.XLOOKUP(tbl_Sourcing[[#This Row],[Product Id]], tbl_Product[Product Id], tbl_Product[Name])</f>
        <v>MTG Innistrad: Crimson Vow Collector Booster</v>
      </c>
      <c r="K111" s="6">
        <v>47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231</v>
      </c>
      <c r="AW111" s="6" t="b">
        <f>_xlfn.XLOOKUP(tbl_Sourcing[[#This Row],[Product Id]], tbl_Product[Product Id], tbl_Product[Is Set or Play Booster])</f>
        <v>0</v>
      </c>
      <c r="AX111" s="6" t="b">
        <f>_xlfn.XLOOKUP(tbl_Sourcing[[#This Row],[Product Id]], tbl_Product[Product Id], tbl_Product[Is Precon])</f>
        <v>0</v>
      </c>
    </row>
    <row r="112" spans="1:50">
      <c r="A112">
        <v>131</v>
      </c>
      <c r="B112">
        <v>108</v>
      </c>
      <c r="C112" t="s">
        <v>1648</v>
      </c>
      <c r="D112" s="8" t="s">
        <v>1731</v>
      </c>
      <c r="E112" s="23">
        <v>169.27242000000001</v>
      </c>
      <c r="F112" s="23" t="b">
        <v>1</v>
      </c>
      <c r="G112" s="24"/>
      <c r="H112" s="24" t="s">
        <v>1651</v>
      </c>
      <c r="J112" s="6" t="str">
        <f>_xlfn.XLOOKUP(tbl_Sourcing[[#This Row],[Product Id]], tbl_Product[Product Id], tbl_Product[Name])</f>
        <v>MTG Innistrad: Crimson Vow Collector Booster Box</v>
      </c>
      <c r="K112" s="6">
        <v>48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236</v>
      </c>
      <c r="AW112" s="6" t="b">
        <f>_xlfn.XLOOKUP(tbl_Sourcing[[#This Row],[Product Id]], tbl_Product[Product Id], tbl_Product[Is Set or Play Booster])</f>
        <v>0</v>
      </c>
      <c r="AX112" s="6" t="b">
        <f>_xlfn.XLOOKUP(tbl_Sourcing[[#This Row],[Product Id]], tbl_Product[Product Id], tbl_Product[Is Precon])</f>
        <v>0</v>
      </c>
    </row>
    <row r="113" spans="1:50">
      <c r="A113">
        <v>164</v>
      </c>
      <c r="B113">
        <v>13</v>
      </c>
      <c r="C113" t="s">
        <v>1648</v>
      </c>
      <c r="D113" s="8" t="s">
        <v>1732</v>
      </c>
      <c r="E113" s="23">
        <v>5.4640000000000004</v>
      </c>
      <c r="F113" s="23" t="b">
        <v>1</v>
      </c>
      <c r="G113" s="24"/>
      <c r="H113" s="23">
        <v>3.4797958399999995</v>
      </c>
      <c r="J113" s="6" t="str">
        <f>_xlfn.XLOOKUP(tbl_Sourcing[[#This Row],[Product Id]], tbl_Product[Product Id], tbl_Product[Name])</f>
        <v>MTG Innistrad: Crimson Vow Set Booster</v>
      </c>
      <c r="K113" s="6">
        <v>49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241</v>
      </c>
      <c r="AW113" s="6" t="b">
        <f>_xlfn.XLOOKUP(tbl_Sourcing[[#This Row],[Product Id]], tbl_Product[Product Id], tbl_Product[Is Set or Play Booster])</f>
        <v>1</v>
      </c>
      <c r="AX113" s="6" t="b">
        <f>_xlfn.XLOOKUP(tbl_Sourcing[[#This Row],[Product Id]], tbl_Product[Product Id], tbl_Product[Is Precon])</f>
        <v>0</v>
      </c>
    </row>
    <row r="114" spans="1:50">
      <c r="A114">
        <v>29</v>
      </c>
      <c r="B114">
        <v>58</v>
      </c>
      <c r="C114" t="s">
        <v>1648</v>
      </c>
      <c r="D114" s="8" t="s">
        <v>1733</v>
      </c>
      <c r="E114" s="23">
        <v>157.07914</v>
      </c>
      <c r="F114" s="23" t="b">
        <v>1</v>
      </c>
      <c r="G114" s="24"/>
      <c r="H114" s="24" t="s">
        <v>1651</v>
      </c>
      <c r="J114" s="6" t="str">
        <f>_xlfn.XLOOKUP(tbl_Sourcing[[#This Row],[Product Id]], tbl_Product[Product Id], tbl_Product[Name])</f>
        <v>MTG Innistrad: Crimson Vow Set Booster Box</v>
      </c>
      <c r="K114" s="6">
        <v>50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246</v>
      </c>
      <c r="AW114" s="6" t="b">
        <f>_xlfn.XLOOKUP(tbl_Sourcing[[#This Row],[Product Id]], tbl_Product[Product Id], tbl_Product[Is Set or Play Booster])</f>
        <v>1</v>
      </c>
      <c r="AX114" s="6" t="b">
        <f>_xlfn.XLOOKUP(tbl_Sourcing[[#This Row],[Product Id]], tbl_Product[Product Id], tbl_Product[Is Precon])</f>
        <v>0</v>
      </c>
    </row>
    <row r="115" spans="1:50">
      <c r="A115">
        <v>200</v>
      </c>
      <c r="B115">
        <v>103</v>
      </c>
      <c r="C115" t="s">
        <v>1648</v>
      </c>
      <c r="D115" s="8" t="s">
        <v>1734</v>
      </c>
      <c r="E115" s="23">
        <v>24.350079999999998</v>
      </c>
      <c r="F115" s="23" t="b">
        <v>1</v>
      </c>
      <c r="G115" s="24"/>
      <c r="H115" s="23">
        <v>16.424636364799998</v>
      </c>
      <c r="J115" s="6" t="str">
        <f>_xlfn.XLOOKUP(tbl_Sourcing[[#This Row],[Product Id]], tbl_Product[Product Id], tbl_Product[Name])</f>
        <v>MTG Innistrad: Midnight Hunt Collector Booster</v>
      </c>
      <c r="K115" s="6">
        <v>51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251</v>
      </c>
      <c r="AW115" s="6" t="b">
        <f>_xlfn.XLOOKUP(tbl_Sourcing[[#This Row],[Product Id]], tbl_Product[Product Id], tbl_Product[Is Set or Play Booster])</f>
        <v>0</v>
      </c>
      <c r="AX115" s="6" t="b">
        <f>_xlfn.XLOOKUP(tbl_Sourcing[[#This Row],[Product Id]], tbl_Product[Product Id], tbl_Product[Is Precon])</f>
        <v>0</v>
      </c>
    </row>
    <row r="116" spans="1:50">
      <c r="A116">
        <v>129</v>
      </c>
      <c r="B116">
        <v>104</v>
      </c>
      <c r="C116" t="s">
        <v>1648</v>
      </c>
      <c r="D116" s="8" t="s">
        <v>1735</v>
      </c>
      <c r="E116" s="23">
        <v>180.21</v>
      </c>
      <c r="F116" s="23" t="b">
        <v>1</v>
      </c>
      <c r="G116" s="24"/>
      <c r="H116" s="24" t="s">
        <v>1651</v>
      </c>
      <c r="J116" s="6" t="str">
        <f>_xlfn.XLOOKUP(tbl_Sourcing[[#This Row],[Product Id]], tbl_Product[Product Id], tbl_Product[Name])</f>
        <v>MTG Innistrad: Midnight Hunt Collector Booster Box</v>
      </c>
      <c r="K116" s="6">
        <v>52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256</v>
      </c>
      <c r="AW116" s="6" t="b">
        <f>_xlfn.XLOOKUP(tbl_Sourcing[[#This Row],[Product Id]], tbl_Product[Product Id], tbl_Product[Is Set or Play Booster])</f>
        <v>0</v>
      </c>
      <c r="AX116" s="6" t="b">
        <f>_xlfn.XLOOKUP(tbl_Sourcing[[#This Row],[Product Id]], tbl_Product[Product Id], tbl_Product[Is Precon])</f>
        <v>0</v>
      </c>
    </row>
    <row r="117" spans="1:50">
      <c r="A117">
        <v>156</v>
      </c>
      <c r="B117">
        <v>5</v>
      </c>
      <c r="C117" t="s">
        <v>1648</v>
      </c>
      <c r="D117" s="8" t="s">
        <v>1736</v>
      </c>
      <c r="E117" s="23">
        <v>7.0401199999999999</v>
      </c>
      <c r="F117" s="23" t="b">
        <v>1</v>
      </c>
      <c r="G117" s="24"/>
      <c r="H117" s="23">
        <v>5.0631029472</v>
      </c>
      <c r="J117" s="6" t="str">
        <f>_xlfn.XLOOKUP(tbl_Sourcing[[#This Row],[Product Id]], tbl_Product[Product Id], tbl_Product[Name])</f>
        <v>MTG Innistrad: Midnight Hunt Set Booster</v>
      </c>
      <c r="K117" s="6">
        <v>53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261</v>
      </c>
      <c r="AW117" s="6" t="b">
        <f>_xlfn.XLOOKUP(tbl_Sourcing[[#This Row],[Product Id]], tbl_Product[Product Id], tbl_Product[Is Set or Play Booster])</f>
        <v>1</v>
      </c>
      <c r="AX117" s="6" t="b">
        <f>_xlfn.XLOOKUP(tbl_Sourcing[[#This Row],[Product Id]], tbl_Product[Product Id], tbl_Product[Is Precon])</f>
        <v>0</v>
      </c>
    </row>
    <row r="118" spans="1:50">
      <c r="A118">
        <v>12</v>
      </c>
      <c r="B118">
        <v>50</v>
      </c>
      <c r="C118" t="s">
        <v>1648</v>
      </c>
      <c r="D118" s="8" t="s">
        <v>1737</v>
      </c>
      <c r="E118" s="23">
        <v>174.42511999999999</v>
      </c>
      <c r="F118" s="23" t="b">
        <v>1</v>
      </c>
      <c r="G118" s="24"/>
      <c r="H118" s="24" t="s">
        <v>1651</v>
      </c>
      <c r="J118" s="6" t="str">
        <f>_xlfn.XLOOKUP(tbl_Sourcing[[#This Row],[Product Id]], tbl_Product[Product Id], tbl_Product[Name])</f>
        <v>MTG Innistrad: Midnight Hunt Set Booster Box</v>
      </c>
      <c r="K118" s="6">
        <v>54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266</v>
      </c>
      <c r="AW118" s="6" t="b">
        <f>_xlfn.XLOOKUP(tbl_Sourcing[[#This Row],[Product Id]], tbl_Product[Product Id], tbl_Product[Is Set or Play Booster])</f>
        <v>1</v>
      </c>
      <c r="AX118" s="6" t="b">
        <f>_xlfn.XLOOKUP(tbl_Sourcing[[#This Row],[Product Id]], tbl_Product[Product Id], tbl_Product[Is Precon])</f>
        <v>0</v>
      </c>
    </row>
    <row r="119" spans="1:50">
      <c r="A119">
        <v>203</v>
      </c>
      <c r="B119">
        <v>109</v>
      </c>
      <c r="C119" t="s">
        <v>1648</v>
      </c>
      <c r="D119" s="8" t="s">
        <v>1738</v>
      </c>
      <c r="E119" s="23">
        <v>30.65456</v>
      </c>
      <c r="F119" s="23" t="b">
        <v>1</v>
      </c>
      <c r="G119" s="24"/>
      <c r="H119" s="23">
        <v>22.7578647936</v>
      </c>
      <c r="J119" s="6" t="str">
        <f>_xlfn.XLOOKUP(tbl_Sourcing[[#This Row],[Product Id]], tbl_Product[Product Id], tbl_Product[Name])</f>
        <v>MTG Kaldheim Collector Booster</v>
      </c>
      <c r="K119" s="6">
        <v>55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271</v>
      </c>
      <c r="AW119" s="6" t="b">
        <f>_xlfn.XLOOKUP(tbl_Sourcing[[#This Row],[Product Id]], tbl_Product[Product Id], tbl_Product[Is Set or Play Booster])</f>
        <v>0</v>
      </c>
      <c r="AX119" s="6" t="b">
        <f>_xlfn.XLOOKUP(tbl_Sourcing[[#This Row],[Product Id]], tbl_Product[Product Id], tbl_Product[Is Precon])</f>
        <v>0</v>
      </c>
    </row>
    <row r="120" spans="1:50">
      <c r="A120">
        <v>132</v>
      </c>
      <c r="B120">
        <v>110</v>
      </c>
      <c r="C120" t="s">
        <v>1648</v>
      </c>
      <c r="D120" s="8" t="s">
        <v>1739</v>
      </c>
      <c r="E120" s="23">
        <v>266.81</v>
      </c>
      <c r="F120" s="23" t="b">
        <v>1</v>
      </c>
      <c r="G120" s="24"/>
      <c r="H120" s="24" t="s">
        <v>1651</v>
      </c>
      <c r="J120" s="6" t="str">
        <f>_xlfn.XLOOKUP(tbl_Sourcing[[#This Row],[Product Id]], tbl_Product[Product Id], tbl_Product[Name])</f>
        <v>MTG Kaldheim Collector Booster Box</v>
      </c>
      <c r="K120" s="6">
        <v>56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276</v>
      </c>
      <c r="AW120" s="6" t="b">
        <f>_xlfn.XLOOKUP(tbl_Sourcing[[#This Row],[Product Id]], tbl_Product[Product Id], tbl_Product[Is Set or Play Booster])</f>
        <v>0</v>
      </c>
      <c r="AX120" s="6" t="b">
        <f>_xlfn.XLOOKUP(tbl_Sourcing[[#This Row],[Product Id]], tbl_Product[Product Id], tbl_Product[Is Precon])</f>
        <v>0</v>
      </c>
    </row>
    <row r="121" spans="1:50">
      <c r="A121">
        <v>157</v>
      </c>
      <c r="B121">
        <v>6</v>
      </c>
      <c r="C121" t="s">
        <v>1648</v>
      </c>
      <c r="D121" s="8" t="s">
        <v>1740</v>
      </c>
      <c r="E121" s="23">
        <v>9.9845199999999998</v>
      </c>
      <c r="F121" s="23" t="b">
        <v>1</v>
      </c>
      <c r="G121" s="24"/>
      <c r="H121" s="23">
        <v>8.0209294111999991</v>
      </c>
      <c r="J121" s="6" t="str">
        <f>_xlfn.XLOOKUP(tbl_Sourcing[[#This Row],[Product Id]], tbl_Product[Product Id], tbl_Product[Name])</f>
        <v>MTG Kaldheim Set Booster</v>
      </c>
      <c r="K121" s="6">
        <v>57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281</v>
      </c>
      <c r="AW121" s="6" t="b">
        <f>_xlfn.XLOOKUP(tbl_Sourcing[[#This Row],[Product Id]], tbl_Product[Product Id], tbl_Product[Is Set or Play Booster])</f>
        <v>1</v>
      </c>
      <c r="AX121" s="6" t="b">
        <f>_xlfn.XLOOKUP(tbl_Sourcing[[#This Row],[Product Id]], tbl_Product[Product Id], tbl_Product[Is Precon])</f>
        <v>0</v>
      </c>
    </row>
    <row r="122" spans="1:50">
      <c r="A122">
        <v>14</v>
      </c>
      <c r="B122">
        <v>51</v>
      </c>
      <c r="C122" t="s">
        <v>1648</v>
      </c>
      <c r="D122" s="8" t="s">
        <v>1741</v>
      </c>
      <c r="E122" s="23">
        <v>195.00994</v>
      </c>
      <c r="F122" s="23" t="b">
        <v>1</v>
      </c>
      <c r="G122" s="24"/>
      <c r="H122" s="24" t="s">
        <v>1651</v>
      </c>
      <c r="J122" s="6" t="str">
        <f>_xlfn.XLOOKUP(tbl_Sourcing[[#This Row],[Product Id]], tbl_Product[Product Id], tbl_Product[Name])</f>
        <v>MTG Kaldheim Set Booster Box</v>
      </c>
      <c r="K122" s="6">
        <v>58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286</v>
      </c>
      <c r="AW122" s="6" t="b">
        <f>_xlfn.XLOOKUP(tbl_Sourcing[[#This Row],[Product Id]], tbl_Product[Product Id], tbl_Product[Is Set or Play Booster])</f>
        <v>1</v>
      </c>
      <c r="AX122" s="6" t="b">
        <f>_xlfn.XLOOKUP(tbl_Sourcing[[#This Row],[Product Id]], tbl_Product[Product Id], tbl_Product[Is Precon])</f>
        <v>0</v>
      </c>
    </row>
    <row r="123" spans="1:50">
      <c r="A123">
        <v>341</v>
      </c>
      <c r="B123">
        <v>233</v>
      </c>
      <c r="C123" t="s">
        <v>1648</v>
      </c>
      <c r="D123" s="25" t="s">
        <v>1742</v>
      </c>
      <c r="E123" s="23">
        <v>34.577539999999999</v>
      </c>
      <c r="F123" s="23" t="b">
        <v>1</v>
      </c>
      <c r="G123" s="24"/>
      <c r="H123" s="23">
        <v>31.221550799999999</v>
      </c>
      <c r="J123" s="6" t="str">
        <f>_xlfn.XLOOKUP(tbl_Sourcing[[#This Row],[Product Id]], tbl_Product[Product Id], tbl_Product[Name])</f>
        <v>MTG Kamigawa: Neon Dynasty Buckle Up Precon</v>
      </c>
      <c r="K123" s="6">
        <v>173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861</v>
      </c>
      <c r="AW123" s="6" t="b">
        <f>_xlfn.XLOOKUP(tbl_Sourcing[[#This Row],[Product Id]], tbl_Product[Product Id], tbl_Product[Is Set or Play Booster])</f>
        <v>0</v>
      </c>
      <c r="AX123" s="6" t="b">
        <f>_xlfn.XLOOKUP(tbl_Sourcing[[#This Row],[Product Id]], tbl_Product[Product Id], tbl_Product[Is Precon])</f>
        <v>1</v>
      </c>
    </row>
    <row r="124" spans="1:50">
      <c r="A124">
        <v>204</v>
      </c>
      <c r="B124">
        <v>111</v>
      </c>
      <c r="C124" t="s">
        <v>1648</v>
      </c>
      <c r="D124" s="8" t="s">
        <v>1743</v>
      </c>
      <c r="E124" s="23">
        <v>40.951300000000003</v>
      </c>
      <c r="F124" s="23" t="b">
        <v>1</v>
      </c>
      <c r="G124" s="24"/>
      <c r="H124" s="23">
        <v>33.101557927999998</v>
      </c>
      <c r="J124" s="6" t="str">
        <f>_xlfn.XLOOKUP(tbl_Sourcing[[#This Row],[Product Id]], tbl_Product[Product Id], tbl_Product[Name])</f>
        <v>MTG Kamigawa: Neon Dynasty Collector Booster</v>
      </c>
      <c r="K124" s="6">
        <v>59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291</v>
      </c>
      <c r="AW124" s="6" t="b">
        <f>_xlfn.XLOOKUP(tbl_Sourcing[[#This Row],[Product Id]], tbl_Product[Product Id], tbl_Product[Is Set or Play Booster])</f>
        <v>0</v>
      </c>
      <c r="AX124" s="6" t="b">
        <f>_xlfn.XLOOKUP(tbl_Sourcing[[#This Row],[Product Id]], tbl_Product[Product Id], tbl_Product[Is Precon])</f>
        <v>0</v>
      </c>
    </row>
    <row r="125" spans="1:50">
      <c r="A125">
        <v>133</v>
      </c>
      <c r="B125">
        <v>112</v>
      </c>
      <c r="C125" t="s">
        <v>1648</v>
      </c>
      <c r="D125" s="8" t="s">
        <v>1744</v>
      </c>
      <c r="E125" s="23"/>
      <c r="F125" s="23" t="b">
        <v>0</v>
      </c>
      <c r="G125" s="24"/>
      <c r="H125" s="24" t="s">
        <v>1651</v>
      </c>
      <c r="J125" s="6" t="str">
        <f>_xlfn.XLOOKUP(tbl_Sourcing[[#This Row],[Product Id]], tbl_Product[Product Id], tbl_Product[Name])</f>
        <v>MTG Kamigawa: Neon Dynasty Collector Booster Box</v>
      </c>
      <c r="K125" s="6">
        <v>60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296</v>
      </c>
      <c r="AW125" s="6" t="b">
        <f>_xlfn.XLOOKUP(tbl_Sourcing[[#This Row],[Product Id]], tbl_Product[Product Id], tbl_Product[Is Set or Play Booster])</f>
        <v>0</v>
      </c>
      <c r="AX125" s="6" t="b">
        <f>_xlfn.XLOOKUP(tbl_Sourcing[[#This Row],[Product Id]], tbl_Product[Product Id], tbl_Product[Is Precon])</f>
        <v>0</v>
      </c>
    </row>
    <row r="126" spans="1:50">
      <c r="A126">
        <v>175</v>
      </c>
      <c r="B126">
        <v>24</v>
      </c>
      <c r="C126" t="s">
        <v>1648</v>
      </c>
      <c r="D126" s="8" t="s">
        <v>1745</v>
      </c>
      <c r="E126" s="23">
        <v>8.0619999999999994</v>
      </c>
      <c r="F126" s="23" t="b">
        <v>1</v>
      </c>
      <c r="G126" s="24"/>
      <c r="H126" s="23">
        <v>6.0896427199999987</v>
      </c>
      <c r="J126" s="6" t="str">
        <f>_xlfn.XLOOKUP(tbl_Sourcing[[#This Row],[Product Id]], tbl_Product[Product Id], tbl_Product[Name])</f>
        <v>MTG Kamigawa: Neon Dynasty Set Booster</v>
      </c>
      <c r="K126" s="6">
        <v>61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301</v>
      </c>
      <c r="AW126" s="6" t="b">
        <f>_xlfn.XLOOKUP(tbl_Sourcing[[#This Row],[Product Id]], tbl_Product[Product Id], tbl_Product[Is Set or Play Booster])</f>
        <v>1</v>
      </c>
      <c r="AX126" s="6" t="b">
        <f>_xlfn.XLOOKUP(tbl_Sourcing[[#This Row],[Product Id]], tbl_Product[Product Id], tbl_Product[Is Precon])</f>
        <v>0</v>
      </c>
    </row>
    <row r="127" spans="1:50">
      <c r="A127">
        <v>57</v>
      </c>
      <c r="B127">
        <v>69</v>
      </c>
      <c r="C127" t="s">
        <v>1648</v>
      </c>
      <c r="D127" s="8" t="s">
        <v>1746</v>
      </c>
      <c r="E127" s="24"/>
      <c r="F127" s="23" t="b">
        <v>0</v>
      </c>
      <c r="G127" s="24"/>
      <c r="H127" s="24" t="s">
        <v>1651</v>
      </c>
      <c r="J127" s="6" t="str">
        <f>_xlfn.XLOOKUP(tbl_Sourcing[[#This Row],[Product Id]], tbl_Product[Product Id], tbl_Product[Name])</f>
        <v>MTG Kamigawa: Neon Dynasty Set Booster Box</v>
      </c>
      <c r="K127" s="6">
        <v>62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306</v>
      </c>
      <c r="AW127" s="6" t="b">
        <f>_xlfn.XLOOKUP(tbl_Sourcing[[#This Row],[Product Id]], tbl_Product[Product Id], tbl_Product[Is Set or Play Booster])</f>
        <v>1</v>
      </c>
      <c r="AX127" s="6" t="b">
        <f>_xlfn.XLOOKUP(tbl_Sourcing[[#This Row],[Product Id]], tbl_Product[Product Id], tbl_Product[Is Precon])</f>
        <v>0</v>
      </c>
    </row>
    <row r="128" spans="1:50">
      <c r="A128">
        <v>342</v>
      </c>
      <c r="B128">
        <v>234</v>
      </c>
      <c r="C128" t="s">
        <v>1648</v>
      </c>
      <c r="D128" s="25" t="s">
        <v>1747</v>
      </c>
      <c r="E128" s="23">
        <v>30.247540000000001</v>
      </c>
      <c r="F128" s="23" t="b">
        <v>1</v>
      </c>
      <c r="G128" s="24"/>
      <c r="H128" s="23">
        <v>26.134950799999999</v>
      </c>
      <c r="J128" s="6" t="str">
        <f>_xlfn.XLOOKUP(tbl_Sourcing[[#This Row],[Product Id]], tbl_Product[Product Id], tbl_Product[Name])</f>
        <v>MTG Kamigawa: Neon Dynasty Upgrades Unleashed Precon</v>
      </c>
      <c r="K128" s="6">
        <v>174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866</v>
      </c>
      <c r="AW128" s="6" t="b">
        <f>_xlfn.XLOOKUP(tbl_Sourcing[[#This Row],[Product Id]], tbl_Product[Product Id], tbl_Product[Is Set or Play Booster])</f>
        <v>0</v>
      </c>
      <c r="AX128" s="6" t="b">
        <f>_xlfn.XLOOKUP(tbl_Sourcing[[#This Row],[Product Id]], tbl_Product[Product Id], tbl_Product[Is Precon])</f>
        <v>1</v>
      </c>
    </row>
    <row r="129" spans="1:50">
      <c r="A129">
        <v>205</v>
      </c>
      <c r="B129">
        <v>113</v>
      </c>
      <c r="C129" t="s">
        <v>1648</v>
      </c>
      <c r="D129" s="8" t="s">
        <v>1748</v>
      </c>
      <c r="E129" s="23">
        <v>37.859679999999997</v>
      </c>
      <c r="F129" s="23" t="b">
        <v>1</v>
      </c>
      <c r="G129" s="24"/>
      <c r="H129" s="23">
        <v>29.995840140799999</v>
      </c>
      <c r="J129" s="6" t="str">
        <f>_xlfn.XLOOKUP(tbl_Sourcing[[#This Row],[Product Id]], tbl_Product[Product Id], tbl_Product[Name])</f>
        <v>MTG Lorwyn Eclipsed Collector Booster</v>
      </c>
      <c r="K129" s="6">
        <v>63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311</v>
      </c>
      <c r="AW129" s="6" t="b">
        <f>_xlfn.XLOOKUP(tbl_Sourcing[[#This Row],[Product Id]], tbl_Product[Product Id], tbl_Product[Is Set or Play Booster])</f>
        <v>0</v>
      </c>
      <c r="AX129" s="6" t="b">
        <f>_xlfn.XLOOKUP(tbl_Sourcing[[#This Row],[Product Id]], tbl_Product[Product Id], tbl_Product[Is Precon])</f>
        <v>0</v>
      </c>
    </row>
    <row r="130" spans="1:50">
      <c r="A130">
        <v>134</v>
      </c>
      <c r="B130">
        <v>114</v>
      </c>
      <c r="C130" t="s">
        <v>1648</v>
      </c>
      <c r="D130" s="8" t="s">
        <v>1749</v>
      </c>
      <c r="E130" s="23">
        <v>344.27370000000002</v>
      </c>
      <c r="F130" s="23" t="b">
        <v>1</v>
      </c>
      <c r="G130" s="24"/>
      <c r="H130" s="24" t="s">
        <v>1651</v>
      </c>
      <c r="J130" s="6" t="str">
        <f>_xlfn.XLOOKUP(tbl_Sourcing[[#This Row],[Product Id]], tbl_Product[Product Id], tbl_Product[Name])</f>
        <v>MTG Lorwyn Eclipsed Collector Booster Box</v>
      </c>
      <c r="K130" s="6">
        <v>64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316</v>
      </c>
      <c r="AW130" s="6" t="b">
        <f>_xlfn.XLOOKUP(tbl_Sourcing[[#This Row],[Product Id]], tbl_Product[Product Id], tbl_Product[Is Set or Play Booster])</f>
        <v>0</v>
      </c>
      <c r="AX130" s="6" t="b">
        <f>_xlfn.XLOOKUP(tbl_Sourcing[[#This Row],[Product Id]], tbl_Product[Product Id], tbl_Product[Is Precon])</f>
        <v>0</v>
      </c>
    </row>
    <row r="131" spans="1:50">
      <c r="A131">
        <v>155</v>
      </c>
      <c r="B131">
        <v>4</v>
      </c>
      <c r="C131" t="s">
        <v>1648</v>
      </c>
      <c r="D131" s="8" t="s">
        <v>1750</v>
      </c>
      <c r="E131" s="23">
        <v>5.9489599999999996</v>
      </c>
      <c r="F131" s="23" t="b">
        <v>1</v>
      </c>
      <c r="G131" s="24"/>
      <c r="H131" s="23">
        <v>3.9669672575999995</v>
      </c>
      <c r="J131" s="6" t="str">
        <f>_xlfn.XLOOKUP(tbl_Sourcing[[#This Row],[Product Id]], tbl_Product[Product Id], tbl_Product[Name])</f>
        <v>MTG Lorwyn Eclipsed Play Booster</v>
      </c>
      <c r="K131" s="6">
        <v>65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321</v>
      </c>
      <c r="AW131" s="6" t="b">
        <f>_xlfn.XLOOKUP(tbl_Sourcing[[#This Row],[Product Id]], tbl_Product[Product Id], tbl_Product[Is Set or Play Booster])</f>
        <v>1</v>
      </c>
      <c r="AX131" s="6" t="b">
        <f>_xlfn.XLOOKUP(tbl_Sourcing[[#This Row],[Product Id]], tbl_Product[Product Id], tbl_Product[Is Precon])</f>
        <v>0</v>
      </c>
    </row>
    <row r="132" spans="1:50">
      <c r="A132">
        <v>9</v>
      </c>
      <c r="B132">
        <v>49</v>
      </c>
      <c r="C132" t="s">
        <v>1648</v>
      </c>
      <c r="D132" s="8" t="s">
        <v>1751</v>
      </c>
      <c r="E132" s="23">
        <v>143.52624</v>
      </c>
      <c r="F132" s="23" t="b">
        <v>1</v>
      </c>
      <c r="G132" s="24"/>
      <c r="H132" s="24" t="s">
        <v>1651</v>
      </c>
      <c r="J132" s="6" t="str">
        <f>_xlfn.XLOOKUP(tbl_Sourcing[[#This Row],[Product Id]], tbl_Product[Product Id], tbl_Product[Name])</f>
        <v>MTG Lorwyn Eclipsed Play Booster Box</v>
      </c>
      <c r="K132" s="6">
        <v>66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326</v>
      </c>
      <c r="AW132" s="6" t="b">
        <f>_xlfn.XLOOKUP(tbl_Sourcing[[#This Row],[Product Id]], tbl_Product[Product Id], tbl_Product[Is Set or Play Booster])</f>
        <v>1</v>
      </c>
      <c r="AX132" s="6" t="b">
        <f>_xlfn.XLOOKUP(tbl_Sourcing[[#This Row],[Product Id]], tbl_Product[Product Id], tbl_Product[Is Precon])</f>
        <v>0</v>
      </c>
    </row>
    <row r="133" spans="1:50">
      <c r="A133">
        <v>314</v>
      </c>
      <c r="B133">
        <v>206</v>
      </c>
      <c r="C133" t="s">
        <v>1648</v>
      </c>
      <c r="D133" s="25" t="s">
        <v>1752</v>
      </c>
      <c r="E133" s="23">
        <v>46.96134</v>
      </c>
      <c r="F133" s="23" t="b">
        <v>1</v>
      </c>
      <c r="G133" s="24"/>
      <c r="H133" s="23">
        <v>45.769226799999991</v>
      </c>
      <c r="J133" s="6" t="str">
        <f>_xlfn.XLOOKUP(tbl_Sourcing[[#This Row],[Product Id]], tbl_Product[Product Id], tbl_Product[Name])</f>
        <v>MTG March of the Machine Call for Backup Precon</v>
      </c>
      <c r="K133" s="6">
        <v>175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871</v>
      </c>
      <c r="AW133" s="6" t="b">
        <f>_xlfn.XLOOKUP(tbl_Sourcing[[#This Row],[Product Id]], tbl_Product[Product Id], tbl_Product[Is Set or Play Booster])</f>
        <v>0</v>
      </c>
      <c r="AX133" s="6" t="b">
        <f>_xlfn.XLOOKUP(tbl_Sourcing[[#This Row],[Product Id]], tbl_Product[Product Id], tbl_Product[Is Precon])</f>
        <v>1</v>
      </c>
    </row>
    <row r="134" spans="1:50">
      <c r="A134">
        <v>313</v>
      </c>
      <c r="B134">
        <v>205</v>
      </c>
      <c r="C134" t="s">
        <v>1648</v>
      </c>
      <c r="D134" s="25" t="s">
        <v>1753</v>
      </c>
      <c r="E134" s="23">
        <v>123.92</v>
      </c>
      <c r="F134" s="23" t="b">
        <v>1</v>
      </c>
      <c r="G134" s="24"/>
      <c r="H134" s="23">
        <v>125.8252</v>
      </c>
      <c r="J134" s="6" t="str">
        <f>_xlfn.XLOOKUP(tbl_Sourcing[[#This Row],[Product Id]], tbl_Product[Product Id], tbl_Product[Name])</f>
        <v>MTG March of the Machine Cavalry Charge Precon</v>
      </c>
      <c r="K134" s="6">
        <v>176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876</v>
      </c>
      <c r="AW134" s="6" t="b">
        <f>_xlfn.XLOOKUP(tbl_Sourcing[[#This Row],[Product Id]], tbl_Product[Product Id], tbl_Product[Is Set or Play Booster])</f>
        <v>0</v>
      </c>
      <c r="AX134" s="6" t="b">
        <f>_xlfn.XLOOKUP(tbl_Sourcing[[#This Row],[Product Id]], tbl_Product[Product Id], tbl_Product[Is Precon])</f>
        <v>1</v>
      </c>
    </row>
    <row r="135" spans="1:50">
      <c r="A135">
        <v>315</v>
      </c>
      <c r="B135">
        <v>207</v>
      </c>
      <c r="C135" t="s">
        <v>1648</v>
      </c>
      <c r="D135" s="25" t="s">
        <v>1754</v>
      </c>
      <c r="E135" s="23">
        <v>51.248040000000003</v>
      </c>
      <c r="F135" s="23" t="b">
        <v>1</v>
      </c>
      <c r="G135" s="24"/>
      <c r="H135" s="23">
        <v>50.804960799999996</v>
      </c>
      <c r="J135" s="6" t="str">
        <f>_xlfn.XLOOKUP(tbl_Sourcing[[#This Row],[Product Id]], tbl_Product[Product Id], tbl_Product[Name])</f>
        <v>MTG March of the Machine Divine Convocation Precon</v>
      </c>
      <c r="K135" s="6">
        <v>177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881</v>
      </c>
      <c r="AW135" s="6" t="b">
        <f>_xlfn.XLOOKUP(tbl_Sourcing[[#This Row],[Product Id]], tbl_Product[Product Id], tbl_Product[Is Set or Play Booster])</f>
        <v>0</v>
      </c>
      <c r="AX135" s="6" t="b">
        <f>_xlfn.XLOOKUP(tbl_Sourcing[[#This Row],[Product Id]], tbl_Product[Product Id], tbl_Product[Is Precon])</f>
        <v>1</v>
      </c>
    </row>
    <row r="136" spans="1:50">
      <c r="A136">
        <v>312</v>
      </c>
      <c r="B136">
        <v>204</v>
      </c>
      <c r="C136" t="s">
        <v>1648</v>
      </c>
      <c r="D136" s="25" t="s">
        <v>1755</v>
      </c>
      <c r="E136" s="23">
        <v>68.62</v>
      </c>
      <c r="F136" s="23" t="b">
        <v>1</v>
      </c>
      <c r="G136" s="24"/>
      <c r="H136" s="23">
        <v>71.212400000000002</v>
      </c>
      <c r="J136" s="6" t="str">
        <f>_xlfn.XLOOKUP(tbl_Sourcing[[#This Row],[Product Id]], tbl_Product[Product Id], tbl_Product[Name])</f>
        <v>MTG March of the Machine Growing Threat Precon</v>
      </c>
      <c r="K136" s="6">
        <v>178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886</v>
      </c>
      <c r="AW136" s="6" t="b">
        <f>_xlfn.XLOOKUP(tbl_Sourcing[[#This Row],[Product Id]], tbl_Product[Product Id], tbl_Product[Is Set or Play Booster])</f>
        <v>0</v>
      </c>
      <c r="AX136" s="6" t="b">
        <f>_xlfn.XLOOKUP(tbl_Sourcing[[#This Row],[Product Id]], tbl_Product[Product Id], tbl_Product[Is Precon])</f>
        <v>1</v>
      </c>
    </row>
    <row r="137" spans="1:50">
      <c r="A137">
        <v>206</v>
      </c>
      <c r="B137">
        <v>115</v>
      </c>
      <c r="C137" t="s">
        <v>1648</v>
      </c>
      <c r="D137" s="8" t="s">
        <v>1756</v>
      </c>
      <c r="E137" s="24">
        <v>49.134999999999998</v>
      </c>
      <c r="F137" s="23" t="b">
        <v>1</v>
      </c>
      <c r="G137" s="24"/>
      <c r="H137" s="23">
        <v>41.322575599999993</v>
      </c>
      <c r="J137" s="6" t="str">
        <f>_xlfn.XLOOKUP(tbl_Sourcing[[#This Row],[Product Id]], tbl_Product[Product Id], tbl_Product[Name])</f>
        <v>MTG March of the Machine MOM Collector Booster</v>
      </c>
      <c r="K137" s="6">
        <v>67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331</v>
      </c>
      <c r="AW137" s="6" t="b">
        <f>_xlfn.XLOOKUP(tbl_Sourcing[[#This Row],[Product Id]], tbl_Product[Product Id], tbl_Product[Is Set or Play Booster])</f>
        <v>0</v>
      </c>
      <c r="AX137" s="6" t="b">
        <f>_xlfn.XLOOKUP(tbl_Sourcing[[#This Row],[Product Id]], tbl_Product[Product Id], tbl_Product[Is Precon])</f>
        <v>0</v>
      </c>
    </row>
    <row r="138" spans="1:50">
      <c r="A138">
        <v>135</v>
      </c>
      <c r="B138">
        <v>116</v>
      </c>
      <c r="C138" t="s">
        <v>1648</v>
      </c>
      <c r="D138" s="8" t="s">
        <v>1757</v>
      </c>
      <c r="E138" s="24"/>
      <c r="F138" s="23" t="b">
        <v>0</v>
      </c>
      <c r="G138" s="24"/>
      <c r="H138" s="24" t="s">
        <v>1651</v>
      </c>
      <c r="J138" s="6" t="str">
        <f>_xlfn.XLOOKUP(tbl_Sourcing[[#This Row],[Product Id]], tbl_Product[Product Id], tbl_Product[Name])</f>
        <v>MTG March of the Machine MOM Collector Booster Box</v>
      </c>
      <c r="K138" s="6">
        <v>68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336</v>
      </c>
      <c r="AW138" s="6" t="b">
        <f>_xlfn.XLOOKUP(tbl_Sourcing[[#This Row],[Product Id]], tbl_Product[Product Id], tbl_Product[Is Set or Play Booster])</f>
        <v>0</v>
      </c>
      <c r="AX138" s="6" t="b">
        <f>_xlfn.XLOOKUP(tbl_Sourcing[[#This Row],[Product Id]], tbl_Product[Product Id], tbl_Product[Is Precon])</f>
        <v>0</v>
      </c>
    </row>
    <row r="139" spans="1:50">
      <c r="A139">
        <v>165</v>
      </c>
      <c r="B139">
        <v>14</v>
      </c>
      <c r="C139" t="s">
        <v>1648</v>
      </c>
      <c r="D139" s="8" t="s">
        <v>1758</v>
      </c>
      <c r="E139" s="23">
        <v>5.6112200000000003</v>
      </c>
      <c r="F139" s="23" t="b">
        <v>1</v>
      </c>
      <c r="G139" s="24"/>
      <c r="H139" s="23">
        <v>3.6276871631999996</v>
      </c>
      <c r="J139" s="6" t="str">
        <f>_xlfn.XLOOKUP(tbl_Sourcing[[#This Row],[Product Id]], tbl_Product[Product Id], tbl_Product[Name])</f>
        <v>MTG March of the Machine MOM Set Booster</v>
      </c>
      <c r="K139" s="6">
        <v>69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341</v>
      </c>
      <c r="AW139" s="6" t="b">
        <f>_xlfn.XLOOKUP(tbl_Sourcing[[#This Row],[Product Id]], tbl_Product[Product Id], tbl_Product[Is Set or Play Booster])</f>
        <v>1</v>
      </c>
      <c r="AX139" s="6" t="b">
        <f>_xlfn.XLOOKUP(tbl_Sourcing[[#This Row],[Product Id]], tbl_Product[Product Id], tbl_Product[Is Precon])</f>
        <v>0</v>
      </c>
    </row>
    <row r="140" spans="1:50">
      <c r="A140">
        <v>31</v>
      </c>
      <c r="B140">
        <v>59</v>
      </c>
      <c r="C140" t="s">
        <v>1648</v>
      </c>
      <c r="D140" s="8" t="s">
        <v>1759</v>
      </c>
      <c r="E140" s="23">
        <v>151.77922000000001</v>
      </c>
      <c r="F140" s="23" t="b">
        <v>1</v>
      </c>
      <c r="G140" s="24"/>
      <c r="H140" s="24" t="s">
        <v>1651</v>
      </c>
      <c r="J140" s="6" t="str">
        <f>_xlfn.XLOOKUP(tbl_Sourcing[[#This Row],[Product Id]], tbl_Product[Product Id], tbl_Product[Name])</f>
        <v>MTG March of the Machine MOM Set Booster Box</v>
      </c>
      <c r="K140" s="6">
        <v>70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346</v>
      </c>
      <c r="AW140" s="6" t="b">
        <f>_xlfn.XLOOKUP(tbl_Sourcing[[#This Row],[Product Id]], tbl_Product[Product Id], tbl_Product[Is Set or Play Booster])</f>
        <v>1</v>
      </c>
      <c r="AX140" s="6" t="b">
        <f>_xlfn.XLOOKUP(tbl_Sourcing[[#This Row],[Product Id]], tbl_Product[Product Id], tbl_Product[Is Precon])</f>
        <v>0</v>
      </c>
    </row>
    <row r="141" spans="1:50">
      <c r="A141">
        <v>316</v>
      </c>
      <c r="B141">
        <v>208</v>
      </c>
      <c r="C141" t="s">
        <v>1648</v>
      </c>
      <c r="D141" s="25" t="s">
        <v>1760</v>
      </c>
      <c r="E141" s="23">
        <v>27.917999999999999</v>
      </c>
      <c r="F141" s="23" t="b">
        <v>1</v>
      </c>
      <c r="G141" s="24"/>
      <c r="H141" s="23">
        <v>23.398359999999997</v>
      </c>
      <c r="J141" s="6" t="str">
        <f>_xlfn.XLOOKUP(tbl_Sourcing[[#This Row],[Product Id]], tbl_Product[Product Id], tbl_Product[Name])</f>
        <v>MTG March of the Machine Tinker Time Precon</v>
      </c>
      <c r="K141" s="6">
        <v>179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891</v>
      </c>
      <c r="AW141" s="6" t="b">
        <f>_xlfn.XLOOKUP(tbl_Sourcing[[#This Row],[Product Id]], tbl_Product[Product Id], tbl_Product[Is Set or Play Booster])</f>
        <v>0</v>
      </c>
      <c r="AX141" s="6" t="b">
        <f>_xlfn.XLOOKUP(tbl_Sourcing[[#This Row],[Product Id]], tbl_Product[Product Id], tbl_Product[Is Precon])</f>
        <v>1</v>
      </c>
    </row>
    <row r="142" spans="1:50">
      <c r="A142">
        <v>207</v>
      </c>
      <c r="B142">
        <v>117</v>
      </c>
      <c r="C142" t="s">
        <v>1648</v>
      </c>
      <c r="D142" s="8" t="s">
        <v>1761</v>
      </c>
      <c r="E142" s="23">
        <v>33.113999999999997</v>
      </c>
      <c r="F142" s="23" t="b">
        <v>1</v>
      </c>
      <c r="G142" s="24"/>
      <c r="H142" s="23">
        <v>25.228519839999997</v>
      </c>
      <c r="J142" s="6" t="str">
        <f>_xlfn.XLOOKUP(tbl_Sourcing[[#This Row],[Product Id]], tbl_Product[Product Id], tbl_Product[Name])</f>
        <v>MTG Marvel's Spider-Man Collector Booster</v>
      </c>
      <c r="K142" s="6">
        <v>71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351</v>
      </c>
      <c r="AW142" s="6" t="b">
        <f>_xlfn.XLOOKUP(tbl_Sourcing[[#This Row],[Product Id]], tbl_Product[Product Id], tbl_Product[Is Set or Play Booster])</f>
        <v>0</v>
      </c>
      <c r="AX142" s="6" t="b">
        <f>_xlfn.XLOOKUP(tbl_Sourcing[[#This Row],[Product Id]], tbl_Product[Product Id], tbl_Product[Is Precon])</f>
        <v>0</v>
      </c>
    </row>
    <row r="143" spans="1:50">
      <c r="A143">
        <v>136</v>
      </c>
      <c r="B143">
        <v>118</v>
      </c>
      <c r="C143" t="s">
        <v>1648</v>
      </c>
      <c r="D143" s="8" t="s">
        <v>1762</v>
      </c>
      <c r="E143" s="23">
        <v>308.25675999999999</v>
      </c>
      <c r="F143" s="23" t="b">
        <v>1</v>
      </c>
      <c r="G143" s="24"/>
      <c r="H143" s="24" t="s">
        <v>1651</v>
      </c>
      <c r="J143" s="6" t="str">
        <f>_xlfn.XLOOKUP(tbl_Sourcing[[#This Row],[Product Id]], tbl_Product[Product Id], tbl_Product[Name])</f>
        <v>MTG Marvel's Spider-Man Collector Booster Box</v>
      </c>
      <c r="K143" s="6">
        <v>72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356</v>
      </c>
      <c r="AW143" s="6" t="b">
        <f>_xlfn.XLOOKUP(tbl_Sourcing[[#This Row],[Product Id]], tbl_Product[Product Id], tbl_Product[Is Set or Play Booster])</f>
        <v>0</v>
      </c>
      <c r="AX143" s="6" t="b">
        <f>_xlfn.XLOOKUP(tbl_Sourcing[[#This Row],[Product Id]], tbl_Product[Product Id], tbl_Product[Is Precon])</f>
        <v>0</v>
      </c>
    </row>
    <row r="144" spans="1:50">
      <c r="A144">
        <v>170</v>
      </c>
      <c r="B144">
        <v>19</v>
      </c>
      <c r="C144" t="s">
        <v>1648</v>
      </c>
      <c r="D144" s="8" t="s">
        <v>1763</v>
      </c>
      <c r="E144" s="23">
        <v>5.14358</v>
      </c>
      <c r="F144" s="23" t="b">
        <v>1</v>
      </c>
      <c r="G144" s="24"/>
      <c r="H144" s="23">
        <v>3.1579147247999999</v>
      </c>
      <c r="J144" s="6" t="str">
        <f>_xlfn.XLOOKUP(tbl_Sourcing[[#This Row],[Product Id]], tbl_Product[Product Id], tbl_Product[Name])</f>
        <v>MTG Marvel's Spider-Man Play Booster</v>
      </c>
      <c r="K144" s="6">
        <v>73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361</v>
      </c>
      <c r="AW144" s="6" t="b">
        <f>_xlfn.XLOOKUP(tbl_Sourcing[[#This Row],[Product Id]], tbl_Product[Product Id], tbl_Product[Is Set or Play Booster])</f>
        <v>1</v>
      </c>
      <c r="AX144" s="6" t="b">
        <f>_xlfn.XLOOKUP(tbl_Sourcing[[#This Row],[Product Id]], tbl_Product[Product Id], tbl_Product[Is Precon])</f>
        <v>0</v>
      </c>
    </row>
    <row r="145" spans="1:50">
      <c r="A145">
        <v>44</v>
      </c>
      <c r="B145">
        <v>64</v>
      </c>
      <c r="C145" t="s">
        <v>1648</v>
      </c>
      <c r="D145" s="8" t="s">
        <v>1764</v>
      </c>
      <c r="E145" s="23">
        <v>88.815119999999993</v>
      </c>
      <c r="F145" s="23" t="b">
        <v>1</v>
      </c>
      <c r="G145" s="24"/>
      <c r="H145" s="24" t="s">
        <v>1651</v>
      </c>
      <c r="J145" s="6" t="str">
        <f>_xlfn.XLOOKUP(tbl_Sourcing[[#This Row],[Product Id]], tbl_Product[Product Id], tbl_Product[Name])</f>
        <v>MTG Marvel's Spider-Man Play Booster Box</v>
      </c>
      <c r="K145" s="6">
        <v>74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366</v>
      </c>
      <c r="AW145" s="6" t="b">
        <f>_xlfn.XLOOKUP(tbl_Sourcing[[#This Row],[Product Id]], tbl_Product[Product Id], tbl_Product[Is Set or Play Booster])</f>
        <v>1</v>
      </c>
      <c r="AX145" s="6" t="b">
        <f>_xlfn.XLOOKUP(tbl_Sourcing[[#This Row],[Product Id]], tbl_Product[Product Id], tbl_Product[Is Precon])</f>
        <v>0</v>
      </c>
    </row>
    <row r="146" spans="1:50">
      <c r="A146">
        <v>208</v>
      </c>
      <c r="B146">
        <v>119</v>
      </c>
      <c r="C146" t="s">
        <v>1648</v>
      </c>
      <c r="D146" s="8" t="s">
        <v>1765</v>
      </c>
      <c r="E146" s="23">
        <v>49.134999999999998</v>
      </c>
      <c r="F146" s="23" t="b">
        <v>1</v>
      </c>
      <c r="G146" s="24"/>
      <c r="H146" s="23">
        <v>41.322575599999993</v>
      </c>
      <c r="J146" s="6" t="str">
        <f>_xlfn.XLOOKUP(tbl_Sourcing[[#This Row],[Product Id]], tbl_Product[Product Id], tbl_Product[Name])</f>
        <v>MTG Modern Horizons 2 MH2 Collector Booster</v>
      </c>
      <c r="K146" s="6">
        <v>75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371</v>
      </c>
      <c r="AW146" s="6" t="b">
        <f>_xlfn.XLOOKUP(tbl_Sourcing[[#This Row],[Product Id]], tbl_Product[Product Id], tbl_Product[Is Set or Play Booster])</f>
        <v>0</v>
      </c>
      <c r="AX146" s="6" t="b">
        <f>_xlfn.XLOOKUP(tbl_Sourcing[[#This Row],[Product Id]], tbl_Product[Product Id], tbl_Product[Is Precon])</f>
        <v>0</v>
      </c>
    </row>
    <row r="147" spans="1:50">
      <c r="A147">
        <v>137</v>
      </c>
      <c r="B147">
        <v>120</v>
      </c>
      <c r="C147" t="s">
        <v>1648</v>
      </c>
      <c r="D147" s="8" t="s">
        <v>1766</v>
      </c>
      <c r="E147" s="23">
        <v>453</v>
      </c>
      <c r="F147" s="23" t="b">
        <v>1</v>
      </c>
      <c r="G147" s="24"/>
      <c r="H147" s="24" t="s">
        <v>1651</v>
      </c>
      <c r="J147" s="6" t="str">
        <f>_xlfn.XLOOKUP(tbl_Sourcing[[#This Row],[Product Id]], tbl_Product[Product Id], tbl_Product[Name])</f>
        <v>MTG Modern Horizons 2 MH2 Collector Booster Box</v>
      </c>
      <c r="K147" s="6">
        <v>76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376</v>
      </c>
      <c r="AW147" s="6" t="b">
        <f>_xlfn.XLOOKUP(tbl_Sourcing[[#This Row],[Product Id]], tbl_Product[Product Id], tbl_Product[Is Set or Play Booster])</f>
        <v>0</v>
      </c>
      <c r="AX147" s="6" t="b">
        <f>_xlfn.XLOOKUP(tbl_Sourcing[[#This Row],[Product Id]], tbl_Product[Product Id], tbl_Product[Is Precon])</f>
        <v>0</v>
      </c>
    </row>
    <row r="148" spans="1:50">
      <c r="A148">
        <v>152</v>
      </c>
      <c r="B148">
        <v>1</v>
      </c>
      <c r="C148" t="s">
        <v>1648</v>
      </c>
      <c r="D148" s="8" t="s">
        <v>1767</v>
      </c>
      <c r="E148" s="23">
        <v>20.35782</v>
      </c>
      <c r="F148" s="23" t="b">
        <v>1</v>
      </c>
      <c r="G148" s="24"/>
      <c r="H148" s="23">
        <v>12.414171659200001</v>
      </c>
      <c r="J148" s="6" t="str">
        <f>_xlfn.XLOOKUP(tbl_Sourcing[[#This Row],[Product Id]], tbl_Product[Product Id], tbl_Product[Name])</f>
        <v>MTG Modern Horizons 2 MH2 Set Booster</v>
      </c>
      <c r="K148" s="6">
        <v>77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381</v>
      </c>
      <c r="AW148" s="6" t="b">
        <f>_xlfn.XLOOKUP(tbl_Sourcing[[#This Row],[Product Id]], tbl_Product[Product Id], tbl_Product[Is Set or Play Booster])</f>
        <v>1</v>
      </c>
      <c r="AX148" s="6" t="b">
        <f>_xlfn.XLOOKUP(tbl_Sourcing[[#This Row],[Product Id]], tbl_Product[Product Id], tbl_Product[Is Precon])</f>
        <v>0</v>
      </c>
    </row>
    <row r="149" spans="1:50">
      <c r="A149">
        <v>1</v>
      </c>
      <c r="B149">
        <v>46</v>
      </c>
      <c r="C149" t="s">
        <v>1648</v>
      </c>
      <c r="D149" s="8" t="s">
        <v>1768</v>
      </c>
      <c r="E149" s="23">
        <v>266.81</v>
      </c>
      <c r="F149" s="23" t="b">
        <v>1</v>
      </c>
      <c r="G149" s="24"/>
      <c r="H149" s="24" t="s">
        <v>1651</v>
      </c>
      <c r="J149" t="str">
        <f>_xlfn.XLOOKUP(tbl_Sourcing[[#This Row],[Product Id]], tbl_Product[Product Id], tbl_Product[Name])</f>
        <v>MTG Modern Horizons 2 MH2 Set Booster Box</v>
      </c>
      <c r="K149" s="6">
        <v>78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386</v>
      </c>
      <c r="AW149" s="6" t="b">
        <f>_xlfn.XLOOKUP(tbl_Sourcing[[#This Row],[Product Id]], tbl_Product[Product Id], tbl_Product[Is Set or Play Booster])</f>
        <v>1</v>
      </c>
      <c r="AX149" s="6" t="b">
        <f>_xlfn.XLOOKUP(tbl_Sourcing[[#This Row],[Product Id]], tbl_Product[Product Id], tbl_Product[Is Precon])</f>
        <v>0</v>
      </c>
    </row>
    <row r="150" spans="1:50">
      <c r="A150">
        <v>281</v>
      </c>
      <c r="B150">
        <v>173</v>
      </c>
      <c r="C150" t="s">
        <v>1648</v>
      </c>
      <c r="D150" s="25" t="s">
        <v>1769</v>
      </c>
      <c r="E150" s="23">
        <v>36.578000000000003</v>
      </c>
      <c r="F150" s="23" t="b">
        <v>1</v>
      </c>
      <c r="G150" s="24"/>
      <c r="H150" s="23">
        <v>33.571559999999998</v>
      </c>
      <c r="J150" s="6" t="str">
        <f>_xlfn.XLOOKUP(tbl_Sourcing[[#This Row],[Product Id]], tbl_Product[Product Id], tbl_Product[Name])</f>
        <v>MTG Modern Horizons 3 Creative Energy Precon</v>
      </c>
      <c r="K150" s="6">
        <v>180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896</v>
      </c>
      <c r="AW150" s="6" t="b">
        <f>_xlfn.XLOOKUP(tbl_Sourcing[[#This Row],[Product Id]], tbl_Product[Product Id], tbl_Product[Is Set or Play Booster])</f>
        <v>0</v>
      </c>
      <c r="AX150" s="6" t="b">
        <f>_xlfn.XLOOKUP(tbl_Sourcing[[#This Row],[Product Id]], tbl_Product[Product Id], tbl_Product[Is Precon])</f>
        <v>1</v>
      </c>
    </row>
    <row r="151" spans="1:50">
      <c r="A151">
        <v>278</v>
      </c>
      <c r="B151">
        <v>170</v>
      </c>
      <c r="C151" t="s">
        <v>1648</v>
      </c>
      <c r="D151" s="25" t="s">
        <v>1770</v>
      </c>
      <c r="E151" s="23">
        <v>76.050280000000001</v>
      </c>
      <c r="F151" s="23" t="b">
        <v>1</v>
      </c>
      <c r="G151" s="24"/>
      <c r="H151" s="23">
        <v>79.971525199999988</v>
      </c>
      <c r="J151" s="6" t="str">
        <f>_xlfn.XLOOKUP(tbl_Sourcing[[#This Row],[Product Id]], tbl_Product[Product Id], tbl_Product[Name])</f>
        <v>MTG Modern Horizons 3 Eldrazi Incursion Precon</v>
      </c>
      <c r="K151" s="6">
        <v>181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901</v>
      </c>
      <c r="AW151" s="6" t="b">
        <f>_xlfn.XLOOKUP(tbl_Sourcing[[#This Row],[Product Id]], tbl_Product[Product Id], tbl_Product[Is Set or Play Booster])</f>
        <v>0</v>
      </c>
      <c r="AX151" s="6" t="b">
        <f>_xlfn.XLOOKUP(tbl_Sourcing[[#This Row],[Product Id]], tbl_Product[Product Id], tbl_Product[Is Precon])</f>
        <v>1</v>
      </c>
    </row>
    <row r="152" spans="1:50">
      <c r="A152">
        <v>279</v>
      </c>
      <c r="B152">
        <v>171</v>
      </c>
      <c r="C152" t="s">
        <v>1648</v>
      </c>
      <c r="D152" s="25" t="s">
        <v>1771</v>
      </c>
      <c r="E152" s="23">
        <v>42.354219999999998</v>
      </c>
      <c r="F152" s="23" t="b">
        <v>1</v>
      </c>
      <c r="G152" s="24"/>
      <c r="H152" s="23">
        <v>38.047767999999998</v>
      </c>
      <c r="J152" s="6" t="str">
        <f>_xlfn.XLOOKUP(tbl_Sourcing[[#This Row],[Product Id]], tbl_Product[Product Id], tbl_Product[Name])</f>
        <v>MTG Modern Horizons 3 Graveyard Overdrive Precon</v>
      </c>
      <c r="K152" s="6">
        <v>182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906</v>
      </c>
      <c r="AW152" s="6" t="b">
        <f>_xlfn.XLOOKUP(tbl_Sourcing[[#This Row],[Product Id]], tbl_Product[Product Id], tbl_Product[Is Set or Play Booster])</f>
        <v>0</v>
      </c>
      <c r="AX152" s="6" t="b">
        <f>_xlfn.XLOOKUP(tbl_Sourcing[[#This Row],[Product Id]], tbl_Product[Product Id], tbl_Product[Is Precon])</f>
        <v>1</v>
      </c>
    </row>
    <row r="153" spans="1:50">
      <c r="A153">
        <v>209</v>
      </c>
      <c r="B153">
        <v>121</v>
      </c>
      <c r="C153" t="s">
        <v>1648</v>
      </c>
      <c r="D153" s="8" t="s">
        <v>1772</v>
      </c>
      <c r="E153" s="23">
        <v>56.340119999999999</v>
      </c>
      <c r="F153" s="23" t="b">
        <v>1</v>
      </c>
      <c r="G153" s="24"/>
      <c r="H153" s="23">
        <v>48.560550947199999</v>
      </c>
      <c r="J153" s="6" t="str">
        <f>_xlfn.XLOOKUP(tbl_Sourcing[[#This Row],[Product Id]], tbl_Product[Product Id], tbl_Product[Name])</f>
        <v>MTG Modern Horizons 3 MH3 Collector Booster</v>
      </c>
      <c r="K153" s="6">
        <v>79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391</v>
      </c>
      <c r="AW153" s="6" t="b">
        <f>_xlfn.XLOOKUP(tbl_Sourcing[[#This Row],[Product Id]], tbl_Product[Product Id], tbl_Product[Is Set or Play Booster])</f>
        <v>0</v>
      </c>
      <c r="AX153" s="6" t="b">
        <f>_xlfn.XLOOKUP(tbl_Sourcing[[#This Row],[Product Id]], tbl_Product[Product Id], tbl_Product[Is Precon])</f>
        <v>0</v>
      </c>
    </row>
    <row r="154" spans="1:50">
      <c r="A154">
        <v>138</v>
      </c>
      <c r="B154">
        <v>122</v>
      </c>
      <c r="C154" t="s">
        <v>1648</v>
      </c>
      <c r="D154" s="8" t="s">
        <v>1773</v>
      </c>
      <c r="E154" s="23">
        <v>483.25803999999999</v>
      </c>
      <c r="F154" s="23" t="b">
        <v>1</v>
      </c>
      <c r="G154" s="24"/>
      <c r="H154" s="24" t="s">
        <v>1651</v>
      </c>
      <c r="J154" s="6" t="str">
        <f>_xlfn.XLOOKUP(tbl_Sourcing[[#This Row],[Product Id]], tbl_Product[Product Id], tbl_Product[Name])</f>
        <v>MTG Modern Horizons 3 MH3 Collector Booster Box</v>
      </c>
      <c r="K154" s="6">
        <v>80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396</v>
      </c>
      <c r="AW154" s="6" t="b">
        <f>_xlfn.XLOOKUP(tbl_Sourcing[[#This Row],[Product Id]], tbl_Product[Product Id], tbl_Product[Is Set or Play Booster])</f>
        <v>0</v>
      </c>
      <c r="AX154" s="6" t="b">
        <f>_xlfn.XLOOKUP(tbl_Sourcing[[#This Row],[Product Id]], tbl_Product[Product Id], tbl_Product[Is Precon])</f>
        <v>0</v>
      </c>
    </row>
    <row r="155" spans="1:50">
      <c r="A155">
        <v>166</v>
      </c>
      <c r="B155">
        <v>15</v>
      </c>
      <c r="C155" t="s">
        <v>1648</v>
      </c>
      <c r="D155" s="8" t="s">
        <v>1774</v>
      </c>
      <c r="E155" s="23">
        <v>9.4649199999999993</v>
      </c>
      <c r="F155" s="23" t="b">
        <v>1</v>
      </c>
      <c r="G155" s="24"/>
      <c r="H155" s="23">
        <v>7.4989600351999997</v>
      </c>
      <c r="J155" s="6" t="str">
        <f>_xlfn.XLOOKUP(tbl_Sourcing[[#This Row],[Product Id]], tbl_Product[Product Id], tbl_Product[Name])</f>
        <v>MTG Modern Horizons 3 MH3 Play Booster</v>
      </c>
      <c r="K155" s="6">
        <v>81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401</v>
      </c>
      <c r="AW155" s="6" t="b">
        <f>_xlfn.XLOOKUP(tbl_Sourcing[[#This Row],[Product Id]], tbl_Product[Product Id], tbl_Product[Is Set or Play Booster])</f>
        <v>1</v>
      </c>
      <c r="AX155" s="6" t="b">
        <f>_xlfn.XLOOKUP(tbl_Sourcing[[#This Row],[Product Id]], tbl_Product[Product Id], tbl_Product[Is Precon])</f>
        <v>0</v>
      </c>
    </row>
    <row r="156" spans="1:50">
      <c r="A156">
        <v>33</v>
      </c>
      <c r="B156">
        <v>60</v>
      </c>
      <c r="C156" t="s">
        <v>1648</v>
      </c>
      <c r="D156" s="8" t="s">
        <v>1775</v>
      </c>
      <c r="E156" s="23">
        <v>273.76398</v>
      </c>
      <c r="F156" s="23" t="b">
        <v>1</v>
      </c>
      <c r="G156" s="24"/>
      <c r="H156" s="24" t="s">
        <v>1651</v>
      </c>
      <c r="J156" s="6" t="str">
        <f>_xlfn.XLOOKUP(tbl_Sourcing[[#This Row],[Product Id]], tbl_Product[Product Id], tbl_Product[Name])</f>
        <v>MTG Modern Horizons 3 MH3 Play Booster Box</v>
      </c>
      <c r="K156" s="6">
        <v>82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406</v>
      </c>
      <c r="AW156" s="6" t="b">
        <f>_xlfn.XLOOKUP(tbl_Sourcing[[#This Row],[Product Id]], tbl_Product[Product Id], tbl_Product[Is Set or Play Booster])</f>
        <v>1</v>
      </c>
      <c r="AX156" s="6" t="b">
        <f>_xlfn.XLOOKUP(tbl_Sourcing[[#This Row],[Product Id]], tbl_Product[Product Id], tbl_Product[Is Precon])</f>
        <v>0</v>
      </c>
    </row>
    <row r="157" spans="1:50">
      <c r="A157">
        <v>280</v>
      </c>
      <c r="B157">
        <v>172</v>
      </c>
      <c r="C157" t="s">
        <v>1648</v>
      </c>
      <c r="D157" s="25" t="s">
        <v>1776</v>
      </c>
      <c r="E157" s="23">
        <v>49.98368</v>
      </c>
      <c r="F157" s="23" t="b">
        <v>1</v>
      </c>
      <c r="G157" s="24"/>
      <c r="H157" s="23">
        <v>49.319673599999994</v>
      </c>
      <c r="J157" s="6" t="str">
        <f>_xlfn.XLOOKUP(tbl_Sourcing[[#This Row],[Product Id]], tbl_Product[Product Id], tbl_Product[Name])</f>
        <v>MTG Modern Horizons 3 Tricky Terrain Precon</v>
      </c>
      <c r="K157" s="6">
        <v>183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911</v>
      </c>
      <c r="AW157" s="6" t="b">
        <f>_xlfn.XLOOKUP(tbl_Sourcing[[#This Row],[Product Id]], tbl_Product[Product Id], tbl_Product[Is Set or Play Booster])</f>
        <v>0</v>
      </c>
      <c r="AX157" s="6" t="b">
        <f>_xlfn.XLOOKUP(tbl_Sourcing[[#This Row],[Product Id]], tbl_Product[Product Id], tbl_Product[Is Precon])</f>
        <v>1</v>
      </c>
    </row>
    <row r="158" spans="1:50">
      <c r="A158">
        <v>290</v>
      </c>
      <c r="B158">
        <v>182</v>
      </c>
      <c r="C158" t="s">
        <v>1648</v>
      </c>
      <c r="D158" s="25" t="s">
        <v>1777</v>
      </c>
      <c r="E158" s="23">
        <v>53.898000000000003</v>
      </c>
      <c r="F158" s="23" t="b">
        <v>1</v>
      </c>
      <c r="G158" s="24"/>
      <c r="H158" s="23">
        <v>53.714495999999997</v>
      </c>
      <c r="J158" s="6" t="str">
        <f>_xlfn.XLOOKUP(tbl_Sourcing[[#This Row],[Product Id]], tbl_Product[Product Id], tbl_Product[Name])</f>
        <v>MTG Murders at Karlov Manor Blame Game Precon</v>
      </c>
      <c r="K158" s="6">
        <v>184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916</v>
      </c>
      <c r="AW158" s="6" t="b">
        <f>_xlfn.XLOOKUP(tbl_Sourcing[[#This Row],[Product Id]], tbl_Product[Product Id], tbl_Product[Is Set or Play Booster])</f>
        <v>0</v>
      </c>
      <c r="AX158" s="6" t="b">
        <f>_xlfn.XLOOKUP(tbl_Sourcing[[#This Row],[Product Id]], tbl_Product[Product Id], tbl_Product[Is Precon])</f>
        <v>1</v>
      </c>
    </row>
    <row r="159" spans="1:50">
      <c r="A159">
        <v>210</v>
      </c>
      <c r="B159">
        <v>123</v>
      </c>
      <c r="C159" t="s">
        <v>1648</v>
      </c>
      <c r="D159" s="8" t="s">
        <v>1778</v>
      </c>
      <c r="E159" s="23">
        <v>28.541519999999998</v>
      </c>
      <c r="F159" s="23" t="b">
        <v>1</v>
      </c>
      <c r="G159" s="24"/>
      <c r="H159" s="23">
        <v>20.635189331199999</v>
      </c>
      <c r="J159" s="6" t="str">
        <f>_xlfn.XLOOKUP(tbl_Sourcing[[#This Row],[Product Id]], tbl_Product[Product Id], tbl_Product[Name])</f>
        <v>MTG Murders at Karlov Manor Collector Booster</v>
      </c>
      <c r="K159" s="6">
        <v>83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411</v>
      </c>
      <c r="AW159" s="6" t="b">
        <f>_xlfn.XLOOKUP(tbl_Sourcing[[#This Row],[Product Id]], tbl_Product[Product Id], tbl_Product[Is Set or Play Booster])</f>
        <v>0</v>
      </c>
      <c r="AX159" s="6" t="b">
        <f>_xlfn.XLOOKUP(tbl_Sourcing[[#This Row],[Product Id]], tbl_Product[Product Id], tbl_Product[Is Precon])</f>
        <v>0</v>
      </c>
    </row>
    <row r="160" spans="1:50">
      <c r="A160">
        <v>139</v>
      </c>
      <c r="B160">
        <v>124</v>
      </c>
      <c r="C160" t="s">
        <v>1648</v>
      </c>
      <c r="D160" s="8" t="s">
        <v>1779</v>
      </c>
      <c r="E160" s="23">
        <v>236.13628</v>
      </c>
      <c r="F160" s="23" t="b">
        <v>1</v>
      </c>
      <c r="G160" s="24"/>
      <c r="H160" s="24" t="s">
        <v>1651</v>
      </c>
      <c r="J160" s="6" t="str">
        <f>_xlfn.XLOOKUP(tbl_Sourcing[[#This Row],[Product Id]], tbl_Product[Product Id], tbl_Product[Name])</f>
        <v>MTG Murders at Karlov Manor Collector Booster Box</v>
      </c>
      <c r="K160" s="6">
        <v>84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416</v>
      </c>
      <c r="AW160" s="6" t="b">
        <f>_xlfn.XLOOKUP(tbl_Sourcing[[#This Row],[Product Id]], tbl_Product[Product Id], tbl_Product[Is Set or Play Booster])</f>
        <v>0</v>
      </c>
      <c r="AX160" s="6" t="b">
        <f>_xlfn.XLOOKUP(tbl_Sourcing[[#This Row],[Product Id]], tbl_Product[Product Id], tbl_Product[Is Precon])</f>
        <v>0</v>
      </c>
    </row>
    <row r="161" spans="1:50">
      <c r="A161">
        <v>292</v>
      </c>
      <c r="B161">
        <v>184</v>
      </c>
      <c r="C161" t="s">
        <v>1648</v>
      </c>
      <c r="D161" s="25" t="s">
        <v>1780</v>
      </c>
      <c r="E161" s="23">
        <v>44.372</v>
      </c>
      <c r="F161" s="23" t="b">
        <v>1</v>
      </c>
      <c r="G161" s="24"/>
      <c r="H161" s="23">
        <v>42.727440000000001</v>
      </c>
      <c r="J161" s="6" t="str">
        <f>_xlfn.XLOOKUP(tbl_Sourcing[[#This Row],[Product Id]], tbl_Product[Product Id], tbl_Product[Name])</f>
        <v>MTG Murders at Karlov Manor Deadly Disguise Precon</v>
      </c>
      <c r="K161" s="6">
        <v>185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921</v>
      </c>
      <c r="AW161" s="6" t="b">
        <f>_xlfn.XLOOKUP(tbl_Sourcing[[#This Row],[Product Id]], tbl_Product[Product Id], tbl_Product[Is Set or Play Booster])</f>
        <v>0</v>
      </c>
      <c r="AX161" s="6" t="b">
        <f>_xlfn.XLOOKUP(tbl_Sourcing[[#This Row],[Product Id]], tbl_Product[Product Id], tbl_Product[Is Precon])</f>
        <v>1</v>
      </c>
    </row>
    <row r="162" spans="1:50">
      <c r="A162">
        <v>293</v>
      </c>
      <c r="B162">
        <v>185</v>
      </c>
      <c r="C162" t="s">
        <v>1648</v>
      </c>
      <c r="D162" s="25" t="s">
        <v>1781</v>
      </c>
      <c r="E162" s="23">
        <v>41.150480000000002</v>
      </c>
      <c r="F162" s="23" t="b">
        <v>1</v>
      </c>
      <c r="G162" s="24"/>
      <c r="H162" s="23">
        <v>39.156646799999997</v>
      </c>
      <c r="J162" s="6" t="str">
        <f>_xlfn.XLOOKUP(tbl_Sourcing[[#This Row],[Product Id]], tbl_Product[Product Id], tbl_Product[Name])</f>
        <v>MTG Murders at Karlov Manor Deep Clue Sea Precon</v>
      </c>
      <c r="K162" s="6">
        <v>186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926</v>
      </c>
      <c r="AW162" s="6" t="b">
        <f>_xlfn.XLOOKUP(tbl_Sourcing[[#This Row],[Product Id]], tbl_Product[Product Id], tbl_Product[Is Set or Play Booster])</f>
        <v>0</v>
      </c>
      <c r="AX162" s="6" t="b">
        <f>_xlfn.XLOOKUP(tbl_Sourcing[[#This Row],[Product Id]], tbl_Product[Product Id], tbl_Product[Is Precon])</f>
        <v>1</v>
      </c>
    </row>
    <row r="163" spans="1:50">
      <c r="A163">
        <v>186</v>
      </c>
      <c r="B163">
        <v>35</v>
      </c>
      <c r="C163" t="s">
        <v>1648</v>
      </c>
      <c r="D163" s="8" t="s">
        <v>1782</v>
      </c>
      <c r="E163" s="23">
        <v>5.0916199999999998</v>
      </c>
      <c r="F163" s="23" t="b">
        <v>1</v>
      </c>
      <c r="G163" s="24"/>
      <c r="H163" s="23">
        <v>3.1057177871999997</v>
      </c>
      <c r="J163" s="6" t="str">
        <f>_xlfn.XLOOKUP(tbl_Sourcing[[#This Row],[Product Id]], tbl_Product[Product Id], tbl_Product[Name])</f>
        <v>MTG Murders at Karlov Manor Play Booster</v>
      </c>
      <c r="K163" s="6">
        <v>85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421</v>
      </c>
      <c r="AW163" s="6" t="b">
        <f>_xlfn.XLOOKUP(tbl_Sourcing[[#This Row],[Product Id]], tbl_Product[Product Id], tbl_Product[Is Set or Play Booster])</f>
        <v>1</v>
      </c>
      <c r="AX163" s="6" t="b">
        <f>_xlfn.XLOOKUP(tbl_Sourcing[[#This Row],[Product Id]], tbl_Product[Product Id], tbl_Product[Is Precon])</f>
        <v>0</v>
      </c>
    </row>
    <row r="164" spans="1:50">
      <c r="A164">
        <v>83</v>
      </c>
      <c r="B164">
        <v>80</v>
      </c>
      <c r="C164" t="s">
        <v>1648</v>
      </c>
      <c r="D164" s="8" t="s">
        <v>1783</v>
      </c>
      <c r="E164" s="23">
        <v>143.52624</v>
      </c>
      <c r="F164" s="23" t="b">
        <v>1</v>
      </c>
      <c r="G164" s="24"/>
      <c r="H164" s="24" t="s">
        <v>1651</v>
      </c>
      <c r="J164" s="6" t="str">
        <f>_xlfn.XLOOKUP(tbl_Sourcing[[#This Row],[Product Id]], tbl_Product[Product Id], tbl_Product[Name])</f>
        <v>MTG Murders at Karlov Manor Play Booster Box</v>
      </c>
      <c r="K164" s="6">
        <v>86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426</v>
      </c>
      <c r="AW164" s="6" t="b">
        <f>_xlfn.XLOOKUP(tbl_Sourcing[[#This Row],[Product Id]], tbl_Product[Product Id], tbl_Product[Is Set or Play Booster])</f>
        <v>1</v>
      </c>
      <c r="AX164" s="6" t="b">
        <f>_xlfn.XLOOKUP(tbl_Sourcing[[#This Row],[Product Id]], tbl_Product[Product Id], tbl_Product[Is Precon])</f>
        <v>0</v>
      </c>
    </row>
    <row r="165" spans="1:50">
      <c r="A165">
        <v>291</v>
      </c>
      <c r="B165">
        <v>183</v>
      </c>
      <c r="C165" t="s">
        <v>1648</v>
      </c>
      <c r="D165" s="25" t="s">
        <v>1784</v>
      </c>
      <c r="E165" s="23">
        <v>58.219340000000003</v>
      </c>
      <c r="F165" s="23" t="b">
        <v>1</v>
      </c>
      <c r="G165" s="24"/>
      <c r="H165" s="23">
        <v>58.994386800000001</v>
      </c>
      <c r="J165" s="6" t="str">
        <f>_xlfn.XLOOKUP(tbl_Sourcing[[#This Row],[Product Id]], tbl_Product[Product Id], tbl_Product[Name])</f>
        <v>MTG Murders at Karlov Manor Revenant Recon Precon</v>
      </c>
      <c r="K165" s="6">
        <v>187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931</v>
      </c>
      <c r="AW165" s="6" t="b">
        <f>_xlfn.XLOOKUP(tbl_Sourcing[[#This Row],[Product Id]], tbl_Product[Product Id], tbl_Product[Is Set or Play Booster])</f>
        <v>0</v>
      </c>
      <c r="AX165" s="6" t="b">
        <f>_xlfn.XLOOKUP(tbl_Sourcing[[#This Row],[Product Id]], tbl_Product[Product Id], tbl_Product[Is Precon])</f>
        <v>1</v>
      </c>
    </row>
    <row r="166" spans="1:50">
      <c r="A166">
        <v>183</v>
      </c>
      <c r="B166">
        <v>32</v>
      </c>
      <c r="C166" t="s">
        <v>1648</v>
      </c>
      <c r="D166" s="8" t="s">
        <v>1785</v>
      </c>
      <c r="E166" s="23">
        <v>5.7237999999999998</v>
      </c>
      <c r="F166" s="23" t="b">
        <v>1</v>
      </c>
      <c r="G166" s="24"/>
      <c r="H166" s="23">
        <v>3.7407805280000002</v>
      </c>
      <c r="J166" s="6" t="str">
        <f>_xlfn.XLOOKUP(tbl_Sourcing[[#This Row],[Product Id]], tbl_Product[Product Id], tbl_Product[Name])</f>
        <v>MTG Oath of the Gatewatch Booster</v>
      </c>
      <c r="K166" s="6">
        <v>87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431</v>
      </c>
      <c r="AW166" s="6" t="b">
        <f>_xlfn.XLOOKUP(tbl_Sourcing[[#This Row],[Product Id]], tbl_Product[Product Id], tbl_Product[Is Set or Play Booster])</f>
        <v>1</v>
      </c>
      <c r="AX166" s="6" t="b">
        <f>_xlfn.XLOOKUP(tbl_Sourcing[[#This Row],[Product Id]], tbl_Product[Product Id], tbl_Product[Is Precon])</f>
        <v>0</v>
      </c>
    </row>
    <row r="167" spans="1:50">
      <c r="A167">
        <v>76</v>
      </c>
      <c r="B167">
        <v>77</v>
      </c>
      <c r="C167" t="s">
        <v>1648</v>
      </c>
      <c r="D167" s="8" t="s">
        <v>1786</v>
      </c>
      <c r="E167" s="23">
        <v>193.2</v>
      </c>
      <c r="F167" s="23" t="b">
        <v>1</v>
      </c>
      <c r="G167" s="24"/>
      <c r="H167" s="24" t="s">
        <v>1651</v>
      </c>
      <c r="J167" s="6" t="str">
        <f>_xlfn.XLOOKUP(tbl_Sourcing[[#This Row],[Product Id]], tbl_Product[Product Id], tbl_Product[Name])</f>
        <v>MTG Oath of the Gatewatch Booster Box</v>
      </c>
      <c r="K167" s="6">
        <v>88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436</v>
      </c>
      <c r="AW167" s="6" t="b">
        <f>_xlfn.XLOOKUP(tbl_Sourcing[[#This Row],[Product Id]], tbl_Product[Product Id], tbl_Product[Is Set or Play Booster])</f>
        <v>1</v>
      </c>
      <c r="AX167" s="6" t="b">
        <f>_xlfn.XLOOKUP(tbl_Sourcing[[#This Row],[Product Id]], tbl_Product[Product Id], tbl_Product[Is Precon])</f>
        <v>0</v>
      </c>
    </row>
    <row r="168" spans="1:50">
      <c r="A168">
        <v>211</v>
      </c>
      <c r="B168">
        <v>125</v>
      </c>
      <c r="C168" t="s">
        <v>1648</v>
      </c>
      <c r="D168" s="8" t="s">
        <v>1787</v>
      </c>
      <c r="E168" s="23">
        <v>33.737520000000004</v>
      </c>
      <c r="F168" s="23" t="b">
        <v>1</v>
      </c>
      <c r="G168" s="24"/>
      <c r="H168" s="23">
        <v>25.854883091199998</v>
      </c>
      <c r="J168" s="6" t="str">
        <f>_xlfn.XLOOKUP(tbl_Sourcing[[#This Row],[Product Id]], tbl_Product[Product Id], tbl_Product[Name])</f>
        <v>MTG Outlaws of Thunder Junction Collector Booster</v>
      </c>
      <c r="K168" s="6">
        <v>89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441</v>
      </c>
      <c r="AW168" s="6" t="b">
        <f>_xlfn.XLOOKUP(tbl_Sourcing[[#This Row],[Product Id]], tbl_Product[Product Id], tbl_Product[Is Set or Play Booster])</f>
        <v>0</v>
      </c>
      <c r="AX168" s="6" t="b">
        <f>_xlfn.XLOOKUP(tbl_Sourcing[[#This Row],[Product Id]], tbl_Product[Product Id], tbl_Product[Is Precon])</f>
        <v>0</v>
      </c>
    </row>
    <row r="169" spans="1:50">
      <c r="A169">
        <v>140</v>
      </c>
      <c r="B169">
        <v>126</v>
      </c>
      <c r="C169" t="s">
        <v>1648</v>
      </c>
      <c r="D169" s="8" t="s">
        <v>1788</v>
      </c>
      <c r="E169" s="23">
        <v>380.31662</v>
      </c>
      <c r="F169" s="23" t="b">
        <v>1</v>
      </c>
      <c r="G169" s="24"/>
      <c r="H169" s="24" t="s">
        <v>1651</v>
      </c>
      <c r="J169" s="6" t="str">
        <f>_xlfn.XLOOKUP(tbl_Sourcing[[#This Row],[Product Id]], tbl_Product[Product Id], tbl_Product[Name])</f>
        <v>MTG Outlaws of Thunder Junction Collector Booster Box</v>
      </c>
      <c r="K169" s="6">
        <v>90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446</v>
      </c>
      <c r="AW169" s="6" t="b">
        <f>_xlfn.XLOOKUP(tbl_Sourcing[[#This Row],[Product Id]], tbl_Product[Product Id], tbl_Product[Is Set or Play Booster])</f>
        <v>0</v>
      </c>
      <c r="AX169" s="6" t="b">
        <f>_xlfn.XLOOKUP(tbl_Sourcing[[#This Row],[Product Id]], tbl_Product[Product Id], tbl_Product[Is Precon])</f>
        <v>0</v>
      </c>
    </row>
    <row r="170" spans="1:50">
      <c r="A170">
        <v>283</v>
      </c>
      <c r="B170">
        <v>175</v>
      </c>
      <c r="C170" t="s">
        <v>1648</v>
      </c>
      <c r="D170" s="25" t="s">
        <v>1789</v>
      </c>
      <c r="E170" s="23">
        <v>46.97</v>
      </c>
      <c r="F170" s="23" t="b">
        <v>1</v>
      </c>
      <c r="G170" s="24"/>
      <c r="H170" s="23">
        <v>44.762079999999997</v>
      </c>
      <c r="J170" s="6" t="str">
        <f>_xlfn.XLOOKUP(tbl_Sourcing[[#This Row],[Product Id]], tbl_Product[Product Id], tbl_Product[Name])</f>
        <v>MTG Outlaws of Thunder Junction Desert Bloom Precon</v>
      </c>
      <c r="K170" s="6">
        <v>188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936</v>
      </c>
      <c r="AW170" s="6" t="b">
        <f>_xlfn.XLOOKUP(tbl_Sourcing[[#This Row],[Product Id]], tbl_Product[Product Id], tbl_Product[Is Set or Play Booster])</f>
        <v>0</v>
      </c>
      <c r="AX170" s="6" t="b">
        <f>_xlfn.XLOOKUP(tbl_Sourcing[[#This Row],[Product Id]], tbl_Product[Product Id], tbl_Product[Is Precon])</f>
        <v>1</v>
      </c>
    </row>
    <row r="171" spans="1:50">
      <c r="A171">
        <v>284</v>
      </c>
      <c r="B171">
        <v>176</v>
      </c>
      <c r="C171" t="s">
        <v>1648</v>
      </c>
      <c r="D171" s="25" t="s">
        <v>1790</v>
      </c>
      <c r="E171" s="23">
        <v>72.941339999999997</v>
      </c>
      <c r="F171" s="23" t="b">
        <v>1</v>
      </c>
      <c r="G171" s="24"/>
      <c r="H171" s="23">
        <v>77.621515999999986</v>
      </c>
      <c r="J171" s="6" t="str">
        <f>_xlfn.XLOOKUP(tbl_Sourcing[[#This Row],[Product Id]], tbl_Product[Product Id], tbl_Product[Name])</f>
        <v>MTG Outlaws of Thunder Junction Grand Larceny Precon</v>
      </c>
      <c r="K171" s="6">
        <v>189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941</v>
      </c>
      <c r="AW171" s="6" t="b">
        <f>_xlfn.XLOOKUP(tbl_Sourcing[[#This Row],[Product Id]], tbl_Product[Product Id], tbl_Product[Is Set or Play Booster])</f>
        <v>0</v>
      </c>
      <c r="AX171" s="6" t="b">
        <f>_xlfn.XLOOKUP(tbl_Sourcing[[#This Row],[Product Id]], tbl_Product[Product Id], tbl_Product[Is Precon])</f>
        <v>1</v>
      </c>
    </row>
    <row r="172" spans="1:50">
      <c r="A172">
        <v>285</v>
      </c>
      <c r="B172">
        <v>177</v>
      </c>
      <c r="C172" t="s">
        <v>1648</v>
      </c>
      <c r="D172" s="25" t="s">
        <v>1791</v>
      </c>
      <c r="E172" s="23">
        <v>64.722999999999999</v>
      </c>
      <c r="F172" s="23" t="b">
        <v>1</v>
      </c>
      <c r="G172" s="24"/>
      <c r="H172" s="23">
        <v>66.125799999999998</v>
      </c>
      <c r="J172" s="6" t="str">
        <f>_xlfn.XLOOKUP(tbl_Sourcing[[#This Row],[Product Id]], tbl_Product[Product Id], tbl_Product[Name])</f>
        <v>MTG Outlaws of Thunder Junction Most Wanted Precon</v>
      </c>
      <c r="K172" s="6">
        <v>190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946</v>
      </c>
      <c r="AW172" s="6" t="b">
        <f>_xlfn.XLOOKUP(tbl_Sourcing[[#This Row],[Product Id]], tbl_Product[Product Id], tbl_Product[Is Set or Play Booster])</f>
        <v>0</v>
      </c>
      <c r="AX172" s="6" t="b">
        <f>_xlfn.XLOOKUP(tbl_Sourcing[[#This Row],[Product Id]], tbl_Product[Product Id], tbl_Product[Is Precon])</f>
        <v>1</v>
      </c>
    </row>
    <row r="173" spans="1:50">
      <c r="A173">
        <v>162</v>
      </c>
      <c r="B173">
        <v>11</v>
      </c>
      <c r="C173" t="s">
        <v>1648</v>
      </c>
      <c r="D173" s="8" t="s">
        <v>1792</v>
      </c>
      <c r="E173" s="23">
        <v>5.4553399999999996</v>
      </c>
      <c r="F173" s="23" t="b">
        <v>1</v>
      </c>
      <c r="G173" s="24"/>
      <c r="H173" s="23">
        <v>3.4710963503999999</v>
      </c>
      <c r="J173" s="6" t="str">
        <f>_xlfn.XLOOKUP(tbl_Sourcing[[#This Row],[Product Id]], tbl_Product[Product Id], tbl_Product[Name])</f>
        <v>MTG Outlaws of Thunder Junction Play Booster</v>
      </c>
      <c r="K173" s="6">
        <v>91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451</v>
      </c>
      <c r="AW173" s="6" t="b">
        <f>_xlfn.XLOOKUP(tbl_Sourcing[[#This Row],[Product Id]], tbl_Product[Product Id], tbl_Product[Is Set or Play Booster])</f>
        <v>1</v>
      </c>
      <c r="AX173" s="6" t="b">
        <f>_xlfn.XLOOKUP(tbl_Sourcing[[#This Row],[Product Id]], tbl_Product[Product Id], tbl_Product[Is Precon])</f>
        <v>0</v>
      </c>
    </row>
    <row r="174" spans="1:50">
      <c r="A174">
        <v>24</v>
      </c>
      <c r="B174">
        <v>56</v>
      </c>
      <c r="C174" t="s">
        <v>1648</v>
      </c>
      <c r="D174" s="8" t="s">
        <v>1793</v>
      </c>
      <c r="E174" s="23">
        <v>148.6876</v>
      </c>
      <c r="F174" s="23" t="b">
        <v>1</v>
      </c>
      <c r="G174" s="24"/>
      <c r="H174" s="24" t="s">
        <v>1651</v>
      </c>
      <c r="J174" s="6" t="str">
        <f>_xlfn.XLOOKUP(tbl_Sourcing[[#This Row],[Product Id]], tbl_Product[Product Id], tbl_Product[Name])</f>
        <v>MTG Outlaws of Thunder Junction Play Booster Box</v>
      </c>
      <c r="K174" s="6">
        <v>92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456</v>
      </c>
      <c r="AW174" s="6" t="b">
        <f>_xlfn.XLOOKUP(tbl_Sourcing[[#This Row],[Product Id]], tbl_Product[Product Id], tbl_Product[Is Set or Play Booster])</f>
        <v>1</v>
      </c>
      <c r="AX174" s="6" t="b">
        <f>_xlfn.XLOOKUP(tbl_Sourcing[[#This Row],[Product Id]], tbl_Product[Product Id], tbl_Product[Is Precon])</f>
        <v>0</v>
      </c>
    </row>
    <row r="175" spans="1:50">
      <c r="A175">
        <v>282</v>
      </c>
      <c r="B175">
        <v>174</v>
      </c>
      <c r="C175" t="s">
        <v>1648</v>
      </c>
      <c r="D175" s="25" t="s">
        <v>1794</v>
      </c>
      <c r="E175" s="23">
        <v>58.124079999999999</v>
      </c>
      <c r="F175" s="23" t="b">
        <v>1</v>
      </c>
      <c r="G175" s="24"/>
      <c r="H175" s="23">
        <v>58.882481599999991</v>
      </c>
      <c r="J175" s="6" t="str">
        <f>_xlfn.XLOOKUP(tbl_Sourcing[[#This Row],[Product Id]], tbl_Product[Product Id], tbl_Product[Name])</f>
        <v>MTG Outlaws of Thunder Junction Quick Draw Precon</v>
      </c>
      <c r="K175" s="6">
        <v>191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951</v>
      </c>
      <c r="AW175" s="6" t="b">
        <f>_xlfn.XLOOKUP(tbl_Sourcing[[#This Row],[Product Id]], tbl_Product[Product Id], tbl_Product[Is Set or Play Booster])</f>
        <v>0</v>
      </c>
      <c r="AX175" s="6" t="b">
        <f>_xlfn.XLOOKUP(tbl_Sourcing[[#This Row],[Product Id]], tbl_Product[Product Id], tbl_Product[Is Precon])</f>
        <v>1</v>
      </c>
    </row>
    <row r="176" spans="1:50">
      <c r="A176">
        <v>212</v>
      </c>
      <c r="B176">
        <v>127</v>
      </c>
      <c r="C176" t="s">
        <v>1648</v>
      </c>
      <c r="D176" s="8" t="s">
        <v>1795</v>
      </c>
      <c r="E176" s="23">
        <v>73.893940000000001</v>
      </c>
      <c r="F176" s="23" t="b">
        <v>1</v>
      </c>
      <c r="G176" s="24"/>
      <c r="H176" s="23">
        <v>66.194416366400006</v>
      </c>
      <c r="J176" s="6" t="str">
        <f>_xlfn.XLOOKUP(tbl_Sourcing[[#This Row],[Product Id]], tbl_Product[Product Id], tbl_Product[Name])</f>
        <v>MTG Phyrexia: All Will Be One Collector Booster</v>
      </c>
      <c r="K176" s="6">
        <v>93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461</v>
      </c>
      <c r="AW176" s="6" t="b">
        <f>_xlfn.XLOOKUP(tbl_Sourcing[[#This Row],[Product Id]], tbl_Product[Product Id], tbl_Product[Is Set or Play Booster])</f>
        <v>0</v>
      </c>
      <c r="AX176" s="6" t="b">
        <f>_xlfn.XLOOKUP(tbl_Sourcing[[#This Row],[Product Id]], tbl_Product[Product Id], tbl_Product[Is Precon])</f>
        <v>0</v>
      </c>
    </row>
    <row r="177" spans="1:50">
      <c r="A177">
        <v>141</v>
      </c>
      <c r="B177">
        <v>128</v>
      </c>
      <c r="C177" t="s">
        <v>1648</v>
      </c>
      <c r="D177" s="8" t="s">
        <v>1796</v>
      </c>
      <c r="E177" s="23"/>
      <c r="F177" s="23" t="b">
        <v>0</v>
      </c>
      <c r="G177" s="24"/>
      <c r="H177" s="24" t="s">
        <v>1651</v>
      </c>
      <c r="J177" s="6" t="str">
        <f>_xlfn.XLOOKUP(tbl_Sourcing[[#This Row],[Product Id]], tbl_Product[Product Id], tbl_Product[Name])</f>
        <v>MTG Phyrexia: All Will Be One Collector Booster Box</v>
      </c>
      <c r="K177" s="6">
        <v>94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466</v>
      </c>
      <c r="AW177" s="6" t="b">
        <f>_xlfn.XLOOKUP(tbl_Sourcing[[#This Row],[Product Id]], tbl_Product[Product Id], tbl_Product[Is Set or Play Booster])</f>
        <v>0</v>
      </c>
      <c r="AX177" s="6" t="b">
        <f>_xlfn.XLOOKUP(tbl_Sourcing[[#This Row],[Product Id]], tbl_Product[Product Id], tbl_Product[Is Precon])</f>
        <v>0</v>
      </c>
    </row>
    <row r="178" spans="1:50">
      <c r="A178">
        <v>317</v>
      </c>
      <c r="B178">
        <v>209</v>
      </c>
      <c r="C178" t="s">
        <v>1648</v>
      </c>
      <c r="D178" s="25" t="s">
        <v>1797</v>
      </c>
      <c r="E178" s="23">
        <v>128.20670000000001</v>
      </c>
      <c r="F178" s="23" t="b">
        <v>1</v>
      </c>
      <c r="G178" s="24"/>
      <c r="H178" s="23">
        <v>135.94753399999999</v>
      </c>
      <c r="J178" s="6" t="str">
        <f>_xlfn.XLOOKUP(tbl_Sourcing[[#This Row],[Product Id]], tbl_Product[Product Id], tbl_Product[Name])</f>
        <v>MTG Phyrexia: All Will Be One Corrupting Influence Precon</v>
      </c>
      <c r="K178" s="6">
        <v>192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956</v>
      </c>
      <c r="AW178" s="6" t="b">
        <f>_xlfn.XLOOKUP(tbl_Sourcing[[#This Row],[Product Id]], tbl_Product[Product Id], tbl_Product[Is Set or Play Booster])</f>
        <v>0</v>
      </c>
      <c r="AX178" s="6" t="b">
        <f>_xlfn.XLOOKUP(tbl_Sourcing[[#This Row],[Product Id]], tbl_Product[Product Id], tbl_Product[Is Precon])</f>
        <v>1</v>
      </c>
    </row>
    <row r="179" spans="1:50">
      <c r="A179">
        <v>318</v>
      </c>
      <c r="B179">
        <v>210</v>
      </c>
      <c r="C179" t="s">
        <v>1648</v>
      </c>
      <c r="D179" s="25" t="s">
        <v>1798</v>
      </c>
      <c r="E179" s="23">
        <v>33.971339999999998</v>
      </c>
      <c r="F179" s="23" t="b">
        <v>1</v>
      </c>
      <c r="G179" s="24"/>
      <c r="H179" s="23">
        <v>30.5094268</v>
      </c>
      <c r="J179" s="6" t="str">
        <f>_xlfn.XLOOKUP(tbl_Sourcing[[#This Row],[Product Id]], tbl_Product[Product Id], tbl_Product[Name])</f>
        <v>MTG Phyrexia: All Will Be One Rebellion Rising Precon</v>
      </c>
      <c r="K179" s="6">
        <v>193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961</v>
      </c>
      <c r="AW179" s="6" t="b">
        <f>_xlfn.XLOOKUP(tbl_Sourcing[[#This Row],[Product Id]], tbl_Product[Product Id], tbl_Product[Is Set or Play Booster])</f>
        <v>0</v>
      </c>
      <c r="AX179" s="6" t="b">
        <f>_xlfn.XLOOKUP(tbl_Sourcing[[#This Row],[Product Id]], tbl_Product[Product Id], tbl_Product[Is Precon])</f>
        <v>1</v>
      </c>
    </row>
    <row r="180" spans="1:50">
      <c r="A180">
        <v>173</v>
      </c>
      <c r="B180">
        <v>22</v>
      </c>
      <c r="C180" t="s">
        <v>1648</v>
      </c>
      <c r="D180" s="8" t="s">
        <v>1799</v>
      </c>
      <c r="E180" s="23">
        <v>8.4949999999999992</v>
      </c>
      <c r="F180" s="23" t="b">
        <v>1</v>
      </c>
      <c r="G180" s="24"/>
      <c r="H180" s="23">
        <v>6.5246171999999998</v>
      </c>
      <c r="J180" s="6" t="str">
        <f>_xlfn.XLOOKUP(tbl_Sourcing[[#This Row],[Product Id]], tbl_Product[Product Id], tbl_Product[Name])</f>
        <v>MTG Phyrexia: All Will Be One Set Booster</v>
      </c>
      <c r="K180" s="6">
        <v>95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471</v>
      </c>
      <c r="AW180" s="6" t="b">
        <f>_xlfn.XLOOKUP(tbl_Sourcing[[#This Row],[Product Id]], tbl_Product[Product Id], tbl_Product[Is Set or Play Booster])</f>
        <v>1</v>
      </c>
      <c r="AX180" s="6" t="b">
        <f>_xlfn.XLOOKUP(tbl_Sourcing[[#This Row],[Product Id]], tbl_Product[Product Id], tbl_Product[Is Precon])</f>
        <v>0</v>
      </c>
    </row>
    <row r="181" spans="1:50">
      <c r="A181">
        <v>52</v>
      </c>
      <c r="B181">
        <v>67</v>
      </c>
      <c r="C181" t="s">
        <v>1648</v>
      </c>
      <c r="D181" s="8" t="s">
        <v>1800</v>
      </c>
      <c r="E181" s="23">
        <v>220.69550000000001</v>
      </c>
      <c r="F181" s="23" t="b">
        <v>1</v>
      </c>
      <c r="G181" s="24"/>
      <c r="H181" s="24" t="s">
        <v>1651</v>
      </c>
      <c r="J181" s="6" t="str">
        <f>_xlfn.XLOOKUP(tbl_Sourcing[[#This Row],[Product Id]], tbl_Product[Product Id], tbl_Product[Name])</f>
        <v>MTG Phyrexia: All Will Be One Set Booster Box</v>
      </c>
      <c r="K181" s="6">
        <v>96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476</v>
      </c>
      <c r="AW181" s="6" t="b">
        <f>_xlfn.XLOOKUP(tbl_Sourcing[[#This Row],[Product Id]], tbl_Product[Product Id], tbl_Product[Is Set or Play Booster])</f>
        <v>1</v>
      </c>
      <c r="AX181" s="6" t="b">
        <f>_xlfn.XLOOKUP(tbl_Sourcing[[#This Row],[Product Id]], tbl_Product[Product Id], tbl_Product[Is Precon])</f>
        <v>0</v>
      </c>
    </row>
    <row r="182" spans="1:50">
      <c r="A182">
        <v>213</v>
      </c>
      <c r="B182">
        <v>129</v>
      </c>
      <c r="C182" t="s">
        <v>1648</v>
      </c>
      <c r="D182" s="8" t="s">
        <v>1801</v>
      </c>
      <c r="E182" s="23">
        <v>78.007440000000003</v>
      </c>
      <c r="F182" s="23" t="b">
        <v>1</v>
      </c>
      <c r="G182" s="24"/>
      <c r="H182" s="23">
        <v>70.326673926399991</v>
      </c>
      <c r="J182" s="6" t="str">
        <f>_xlfn.XLOOKUP(tbl_Sourcing[[#This Row],[Product Id]], tbl_Product[Product Id], tbl_Product[Name])</f>
        <v>MTG Ravnica Remastered Collector Booster</v>
      </c>
      <c r="K182" s="6">
        <v>97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481</v>
      </c>
      <c r="AW182" s="6" t="b">
        <f>_xlfn.XLOOKUP(tbl_Sourcing[[#This Row],[Product Id]], tbl_Product[Product Id], tbl_Product[Is Set or Play Booster])</f>
        <v>0</v>
      </c>
      <c r="AX182" s="6" t="b">
        <f>_xlfn.XLOOKUP(tbl_Sourcing[[#This Row],[Product Id]], tbl_Product[Product Id], tbl_Product[Is Precon])</f>
        <v>0</v>
      </c>
    </row>
    <row r="183" spans="1:50">
      <c r="A183">
        <v>142</v>
      </c>
      <c r="B183">
        <v>130</v>
      </c>
      <c r="C183" t="s">
        <v>1648</v>
      </c>
      <c r="D183" s="8" t="s">
        <v>1802</v>
      </c>
      <c r="E183" s="23">
        <v>735.42858000000001</v>
      </c>
      <c r="F183" s="23" t="b">
        <v>1</v>
      </c>
      <c r="G183" s="24"/>
      <c r="H183" s="24" t="s">
        <v>1651</v>
      </c>
      <c r="J183" s="6" t="str">
        <f>_xlfn.XLOOKUP(tbl_Sourcing[[#This Row],[Product Id]], tbl_Product[Product Id], tbl_Product[Name])</f>
        <v>MTG Ravnica Remastered Collector Booster Box</v>
      </c>
      <c r="K183" s="6">
        <v>98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486</v>
      </c>
      <c r="AW183" s="6" t="b">
        <f>_xlfn.XLOOKUP(tbl_Sourcing[[#This Row],[Product Id]], tbl_Product[Product Id], tbl_Product[Is Set or Play Booster])</f>
        <v>0</v>
      </c>
      <c r="AX183" s="6" t="b">
        <f>_xlfn.XLOOKUP(tbl_Sourcing[[#This Row],[Product Id]], tbl_Product[Product Id], tbl_Product[Is Precon])</f>
        <v>0</v>
      </c>
    </row>
    <row r="184" spans="1:50">
      <c r="A184">
        <v>174</v>
      </c>
      <c r="B184">
        <v>23</v>
      </c>
      <c r="C184" t="s">
        <v>1648</v>
      </c>
      <c r="D184" s="8" t="s">
        <v>1803</v>
      </c>
      <c r="E184" s="23">
        <v>7.0401199999999999</v>
      </c>
      <c r="F184" s="23" t="b">
        <v>1</v>
      </c>
      <c r="G184" s="24"/>
      <c r="H184" s="23">
        <v>5.0631029472</v>
      </c>
      <c r="J184" s="6" t="str">
        <f>_xlfn.XLOOKUP(tbl_Sourcing[[#This Row],[Product Id]], tbl_Product[Product Id], tbl_Product[Name])</f>
        <v>MTG Ravnica Remastered Draft Booster</v>
      </c>
      <c r="K184" s="6">
        <v>99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491</v>
      </c>
      <c r="AW184" s="6" t="b">
        <f>_xlfn.XLOOKUP(tbl_Sourcing[[#This Row],[Product Id]], tbl_Product[Product Id], tbl_Product[Is Set or Play Booster])</f>
        <v>1</v>
      </c>
      <c r="AX184" s="6" t="b">
        <f>_xlfn.XLOOKUP(tbl_Sourcing[[#This Row],[Product Id]], tbl_Product[Product Id], tbl_Product[Is Precon])</f>
        <v>0</v>
      </c>
    </row>
    <row r="185" spans="1:50">
      <c r="A185">
        <v>54</v>
      </c>
      <c r="B185">
        <v>68</v>
      </c>
      <c r="C185" t="s">
        <v>1648</v>
      </c>
      <c r="D185" s="8" t="s">
        <v>1804</v>
      </c>
      <c r="E185" s="23">
        <v>164.12837999999999</v>
      </c>
      <c r="F185" s="23" t="b">
        <v>1</v>
      </c>
      <c r="G185" s="24"/>
      <c r="H185" s="24" t="s">
        <v>1651</v>
      </c>
      <c r="J185" s="6" t="str">
        <f>_xlfn.XLOOKUP(tbl_Sourcing[[#This Row],[Product Id]], tbl_Product[Product Id], tbl_Product[Name])</f>
        <v>MTG Ravnica Remastered Draft Booster Box</v>
      </c>
      <c r="K185" s="6">
        <v>100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496</v>
      </c>
      <c r="AW185" s="6" t="b">
        <f>_xlfn.XLOOKUP(tbl_Sourcing[[#This Row],[Product Id]], tbl_Product[Product Id], tbl_Product[Is Set or Play Booster])</f>
        <v>1</v>
      </c>
      <c r="AX185" s="6" t="b">
        <f>_xlfn.XLOOKUP(tbl_Sourcing[[#This Row],[Product Id]], tbl_Product[Product Id], tbl_Product[Is Precon])</f>
        <v>0</v>
      </c>
    </row>
    <row r="186" spans="1:50">
      <c r="A186">
        <v>187</v>
      </c>
      <c r="B186">
        <v>43</v>
      </c>
      <c r="C186" t="s">
        <v>1648</v>
      </c>
      <c r="D186" s="8" t="s">
        <v>1805</v>
      </c>
      <c r="E186" s="23">
        <v>5.6112200000000003</v>
      </c>
      <c r="F186" s="23" t="b">
        <v>1</v>
      </c>
      <c r="G186" s="24"/>
      <c r="H186" s="23">
        <v>3.6276871631999996</v>
      </c>
      <c r="J186" s="6" t="str">
        <f>_xlfn.XLOOKUP(tbl_Sourcing[[#This Row],[Product Id]], tbl_Product[Product Id], tbl_Product[Name])</f>
        <v>MTG Rivals of Ixalan Booster</v>
      </c>
      <c r="K186" s="6">
        <v>101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501</v>
      </c>
      <c r="AW186" s="6" t="b">
        <f>_xlfn.XLOOKUP(tbl_Sourcing[[#This Row],[Product Id]], tbl_Product[Product Id], tbl_Product[Is Set or Play Booster])</f>
        <v>1</v>
      </c>
      <c r="AX186" s="6" t="b">
        <f>_xlfn.XLOOKUP(tbl_Sourcing[[#This Row],[Product Id]], tbl_Product[Product Id], tbl_Product[Is Precon])</f>
        <v>0</v>
      </c>
    </row>
    <row r="187" spans="1:50">
      <c r="A187">
        <v>321</v>
      </c>
      <c r="B187">
        <v>213</v>
      </c>
      <c r="C187" t="s">
        <v>1648</v>
      </c>
      <c r="D187" s="25" t="s">
        <v>1806</v>
      </c>
      <c r="E187" s="23">
        <v>45.887500000000003</v>
      </c>
      <c r="F187" s="23" t="b">
        <v>1</v>
      </c>
      <c r="G187" s="24"/>
      <c r="H187" s="23">
        <v>57.977066799999996</v>
      </c>
      <c r="J187" s="6" t="str">
        <f>_xlfn.XLOOKUP(tbl_Sourcing[[#This Row],[Product Id]], tbl_Product[Product Id], tbl_Product[Name])</f>
        <v>MTG Starter Commander Chaos Incarnate Precon</v>
      </c>
      <c r="K187" s="6">
        <v>194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966</v>
      </c>
      <c r="AW187" s="6" t="b">
        <f>_xlfn.XLOOKUP(tbl_Sourcing[[#This Row],[Product Id]], tbl_Product[Product Id], tbl_Product[Is Set or Play Booster])</f>
        <v>0</v>
      </c>
      <c r="AX187" s="6" t="b">
        <f>_xlfn.XLOOKUP(tbl_Sourcing[[#This Row],[Product Id]], tbl_Product[Product Id], tbl_Product[Is Precon])</f>
        <v>1</v>
      </c>
    </row>
    <row r="188" spans="1:50">
      <c r="A188">
        <v>322</v>
      </c>
      <c r="B188">
        <v>214</v>
      </c>
      <c r="C188" t="s">
        <v>1648</v>
      </c>
      <c r="D188" s="25" t="s">
        <v>1807</v>
      </c>
      <c r="E188" s="23">
        <v>40.882019999999997</v>
      </c>
      <c r="F188" s="23" t="b">
        <v>1</v>
      </c>
      <c r="G188" s="24"/>
      <c r="H188" s="23">
        <v>47.803866800000002</v>
      </c>
      <c r="J188" s="6" t="str">
        <f>_xlfn.XLOOKUP(tbl_Sourcing[[#This Row],[Product Id]], tbl_Product[Product Id], tbl_Product[Name])</f>
        <v>MTG Starter Commander Draconic Destruction Precon</v>
      </c>
      <c r="K188" s="6">
        <v>195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971</v>
      </c>
      <c r="AW188" s="6" t="b">
        <f>_xlfn.XLOOKUP(tbl_Sourcing[[#This Row],[Product Id]], tbl_Product[Product Id], tbl_Product[Is Set or Play Booster])</f>
        <v>0</v>
      </c>
      <c r="AX188" s="6" t="b">
        <f>_xlfn.XLOOKUP(tbl_Sourcing[[#This Row],[Product Id]], tbl_Product[Product Id], tbl_Product[Is Precon])</f>
        <v>1</v>
      </c>
    </row>
    <row r="189" spans="1:50">
      <c r="A189">
        <v>319</v>
      </c>
      <c r="B189">
        <v>211</v>
      </c>
      <c r="C189" t="s">
        <v>1648</v>
      </c>
      <c r="D189" s="25" t="s">
        <v>1808</v>
      </c>
      <c r="E189" s="23">
        <v>30.7758</v>
      </c>
      <c r="F189" s="23" t="b">
        <v>1</v>
      </c>
      <c r="G189" s="24"/>
      <c r="H189" s="23">
        <v>27.254002799999999</v>
      </c>
      <c r="J189" s="6" t="str">
        <f>_xlfn.XLOOKUP(tbl_Sourcing[[#This Row],[Product Id]], tbl_Product[Product Id], tbl_Product[Name])</f>
        <v>MTG Starter Commander First Flight Precon</v>
      </c>
      <c r="K189" s="6">
        <v>196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976</v>
      </c>
      <c r="AW189" s="6" t="b">
        <f>_xlfn.XLOOKUP(tbl_Sourcing[[#This Row],[Product Id]], tbl_Product[Product Id], tbl_Product[Is Set or Play Booster])</f>
        <v>0</v>
      </c>
      <c r="AX189" s="6" t="b">
        <f>_xlfn.XLOOKUP(tbl_Sourcing[[#This Row],[Product Id]], tbl_Product[Product Id], tbl_Product[Is Precon])</f>
        <v>1</v>
      </c>
    </row>
    <row r="190" spans="1:50">
      <c r="A190">
        <v>320</v>
      </c>
      <c r="B190">
        <v>212</v>
      </c>
      <c r="C190" t="s">
        <v>1648</v>
      </c>
      <c r="D190" s="25" t="s">
        <v>1809</v>
      </c>
      <c r="E190" s="23">
        <v>41.1678</v>
      </c>
      <c r="F190" s="23" t="b">
        <v>1</v>
      </c>
      <c r="G190" s="24"/>
      <c r="H190" s="23">
        <v>49.635042799999994</v>
      </c>
      <c r="J190" s="6" t="str">
        <f>_xlfn.XLOOKUP(tbl_Sourcing[[#This Row],[Product Id]], tbl_Product[Product Id], tbl_Product[Name])</f>
        <v>MTG Starter Commander Grave Danger Precon</v>
      </c>
      <c r="K190" s="6">
        <v>197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981</v>
      </c>
      <c r="AW190" s="6" t="b">
        <f>_xlfn.XLOOKUP(tbl_Sourcing[[#This Row],[Product Id]], tbl_Product[Product Id], tbl_Product[Is Set or Play Booster])</f>
        <v>0</v>
      </c>
      <c r="AX190" s="6" t="b">
        <f>_xlfn.XLOOKUP(tbl_Sourcing[[#This Row],[Product Id]], tbl_Product[Product Id], tbl_Product[Is Precon])</f>
        <v>1</v>
      </c>
    </row>
    <row r="191" spans="1:50">
      <c r="A191">
        <v>323</v>
      </c>
      <c r="B191">
        <v>215</v>
      </c>
      <c r="C191" t="s">
        <v>1648</v>
      </c>
      <c r="D191" s="25" t="s">
        <v>1810</v>
      </c>
      <c r="E191" s="23">
        <v>32.758940000000003</v>
      </c>
      <c r="F191" s="23" t="b">
        <v>1</v>
      </c>
      <c r="G191" s="24"/>
      <c r="H191" s="23">
        <v>37.386510000000001</v>
      </c>
      <c r="J191" s="6" t="str">
        <f>_xlfn.XLOOKUP(tbl_Sourcing[[#This Row],[Product Id]], tbl_Product[Product Id], tbl_Product[Name])</f>
        <v>MTG Starter Commander Token Triumph Precon</v>
      </c>
      <c r="K191" s="6">
        <v>198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986</v>
      </c>
      <c r="AW191" s="6" t="b">
        <f>_xlfn.XLOOKUP(tbl_Sourcing[[#This Row],[Product Id]], tbl_Product[Product Id], tbl_Product[Is Set or Play Booster])</f>
        <v>0</v>
      </c>
      <c r="AX191" s="6" t="b">
        <f>_xlfn.XLOOKUP(tbl_Sourcing[[#This Row],[Product Id]], tbl_Product[Product Id], tbl_Product[Is Precon])</f>
        <v>1</v>
      </c>
    </row>
    <row r="192" spans="1:50">
      <c r="A192">
        <v>340</v>
      </c>
      <c r="B192">
        <v>232</v>
      </c>
      <c r="C192" t="s">
        <v>1648</v>
      </c>
      <c r="D192" s="25" t="s">
        <v>1811</v>
      </c>
      <c r="E192" s="23">
        <v>29.65</v>
      </c>
      <c r="F192" s="23" t="b">
        <v>1</v>
      </c>
      <c r="G192" s="24"/>
      <c r="H192" s="23">
        <v>25.433</v>
      </c>
      <c r="J192" s="6" t="str">
        <f>_xlfn.XLOOKUP(tbl_Sourcing[[#This Row],[Product Id]], tbl_Product[Product Id], tbl_Product[Name])</f>
        <v>MTG Streets of New Capenna Bedecked Brokers Precon</v>
      </c>
      <c r="K192" s="6">
        <v>199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991</v>
      </c>
      <c r="AW192" s="6" t="b">
        <f>_xlfn.XLOOKUP(tbl_Sourcing[[#This Row],[Product Id]], tbl_Product[Product Id], tbl_Product[Is Set or Play Booster])</f>
        <v>0</v>
      </c>
      <c r="AX192" s="6" t="b">
        <f>_xlfn.XLOOKUP(tbl_Sourcing[[#This Row],[Product Id]], tbl_Product[Product Id], tbl_Product[Is Precon])</f>
        <v>1</v>
      </c>
    </row>
    <row r="193" spans="1:50">
      <c r="A193">
        <v>339</v>
      </c>
      <c r="B193">
        <v>231</v>
      </c>
      <c r="C193" t="s">
        <v>1648</v>
      </c>
      <c r="D193" s="25" t="s">
        <v>1812</v>
      </c>
      <c r="E193" s="23">
        <v>42.596699999999998</v>
      </c>
      <c r="F193" s="23" t="b">
        <v>1</v>
      </c>
      <c r="G193" s="24"/>
      <c r="H193" s="23">
        <v>40.641933999999999</v>
      </c>
      <c r="J193" s="6" t="str">
        <f>_xlfn.XLOOKUP(tbl_Sourcing[[#This Row],[Product Id]], tbl_Product[Product Id], tbl_Product[Name])</f>
        <v>MTG Streets of New Capenna Cabaretti Cacophony Precon</v>
      </c>
      <c r="K193" s="6">
        <v>200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996</v>
      </c>
      <c r="AW193" s="6" t="b">
        <f>_xlfn.XLOOKUP(tbl_Sourcing[[#This Row],[Product Id]], tbl_Product[Product Id], tbl_Product[Is Set or Play Booster])</f>
        <v>0</v>
      </c>
      <c r="AX193" s="6" t="b">
        <f>_xlfn.XLOOKUP(tbl_Sourcing[[#This Row],[Product Id]], tbl_Product[Product Id], tbl_Product[Is Precon])</f>
        <v>1</v>
      </c>
    </row>
    <row r="194" spans="1:50">
      <c r="A194">
        <v>214</v>
      </c>
      <c r="B194">
        <v>131</v>
      </c>
      <c r="C194" t="s">
        <v>1648</v>
      </c>
      <c r="D194" s="8" t="s">
        <v>1813</v>
      </c>
      <c r="E194" s="23">
        <v>24.479980000000001</v>
      </c>
      <c r="F194" s="23" t="b">
        <v>1</v>
      </c>
      <c r="G194" s="24"/>
      <c r="H194" s="23">
        <v>16.555128708799998</v>
      </c>
      <c r="J194" s="6" t="str">
        <f>_xlfn.XLOOKUP(tbl_Sourcing[[#This Row],[Product Id]], tbl_Product[Product Id], tbl_Product[Name])</f>
        <v>MTG Streets of New Capenna Collector Booster</v>
      </c>
      <c r="K194" s="6">
        <v>102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506</v>
      </c>
      <c r="AW194" s="6" t="b">
        <f>_xlfn.XLOOKUP(tbl_Sourcing[[#This Row],[Product Id]], tbl_Product[Product Id], tbl_Product[Is Set or Play Booster])</f>
        <v>0</v>
      </c>
      <c r="AX194" s="6" t="b">
        <f>_xlfn.XLOOKUP(tbl_Sourcing[[#This Row],[Product Id]], tbl_Product[Product Id], tbl_Product[Is Precon])</f>
        <v>0</v>
      </c>
    </row>
    <row r="195" spans="1:50">
      <c r="A195">
        <v>143</v>
      </c>
      <c r="B195">
        <v>132</v>
      </c>
      <c r="C195" t="s">
        <v>1648</v>
      </c>
      <c r="D195" s="8" t="s">
        <v>1814</v>
      </c>
      <c r="E195" s="23">
        <v>194.499</v>
      </c>
      <c r="F195" s="23" t="b">
        <v>1</v>
      </c>
      <c r="G195" s="24"/>
      <c r="H195" s="24" t="s">
        <v>1651</v>
      </c>
      <c r="J195" s="6" t="str">
        <f>_xlfn.XLOOKUP(tbl_Sourcing[[#This Row],[Product Id]], tbl_Product[Product Id], tbl_Product[Name])</f>
        <v>MTG Streets of New Capenna Collector Booster Box</v>
      </c>
      <c r="K195" s="6">
        <v>103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511</v>
      </c>
      <c r="AW195" s="6" t="b">
        <f>_xlfn.XLOOKUP(tbl_Sourcing[[#This Row],[Product Id]], tbl_Product[Product Id], tbl_Product[Is Set or Play Booster])</f>
        <v>0</v>
      </c>
      <c r="AX195" s="6" t="b">
        <f>_xlfn.XLOOKUP(tbl_Sourcing[[#This Row],[Product Id]], tbl_Product[Product Id], tbl_Product[Is Precon])</f>
        <v>0</v>
      </c>
    </row>
    <row r="196" spans="1:50">
      <c r="A196">
        <v>337</v>
      </c>
      <c r="B196">
        <v>229</v>
      </c>
      <c r="C196" t="s">
        <v>1648</v>
      </c>
      <c r="D196" s="25" t="s">
        <v>1815</v>
      </c>
      <c r="E196" s="23">
        <v>42.596699999999998</v>
      </c>
      <c r="F196" s="23" t="b">
        <v>1</v>
      </c>
      <c r="G196" s="24"/>
      <c r="H196" s="23">
        <v>40.641933999999999</v>
      </c>
      <c r="J196" s="6" t="str">
        <f>_xlfn.XLOOKUP(tbl_Sourcing[[#This Row],[Product Id]], tbl_Product[Product Id], tbl_Product[Name])</f>
        <v>MTG Streets of New Capenna Maestros Massacre Precon</v>
      </c>
      <c r="K196" s="6">
        <v>201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1001</v>
      </c>
      <c r="AW196" s="6" t="b">
        <f>_xlfn.XLOOKUP(tbl_Sourcing[[#This Row],[Product Id]], tbl_Product[Product Id], tbl_Product[Is Set or Play Booster])</f>
        <v>0</v>
      </c>
      <c r="AX196" s="6" t="b">
        <f>_xlfn.XLOOKUP(tbl_Sourcing[[#This Row],[Product Id]], tbl_Product[Product Id], tbl_Product[Is Precon])</f>
        <v>1</v>
      </c>
    </row>
    <row r="197" spans="1:50">
      <c r="A197">
        <v>336</v>
      </c>
      <c r="B197">
        <v>228</v>
      </c>
      <c r="C197" t="s">
        <v>1648</v>
      </c>
      <c r="D197" s="25" t="s">
        <v>1816</v>
      </c>
      <c r="E197" s="23">
        <v>41.765340000000002</v>
      </c>
      <c r="F197" s="23" t="b">
        <v>1</v>
      </c>
      <c r="G197" s="24"/>
      <c r="H197" s="23">
        <v>37.6306668</v>
      </c>
      <c r="J197" s="6" t="str">
        <f>_xlfn.XLOOKUP(tbl_Sourcing[[#This Row],[Product Id]], tbl_Product[Product Id], tbl_Product[Name])</f>
        <v>MTG Streets of New Capenna Obscurra Operation Precon</v>
      </c>
      <c r="K197" s="6">
        <v>202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1006</v>
      </c>
      <c r="AW197" s="6" t="b">
        <f>_xlfn.XLOOKUP(tbl_Sourcing[[#This Row],[Product Id]], tbl_Product[Product Id], tbl_Product[Is Set or Play Booster])</f>
        <v>0</v>
      </c>
      <c r="AX197" s="6" t="b">
        <f>_xlfn.XLOOKUP(tbl_Sourcing[[#This Row],[Product Id]], tbl_Product[Product Id], tbl_Product[Is Precon])</f>
        <v>1</v>
      </c>
    </row>
    <row r="198" spans="1:50">
      <c r="A198">
        <v>338</v>
      </c>
      <c r="B198">
        <v>230</v>
      </c>
      <c r="C198" t="s">
        <v>1648</v>
      </c>
      <c r="D198" s="25" t="s">
        <v>1817</v>
      </c>
      <c r="E198" s="23">
        <v>55.63</v>
      </c>
      <c r="F198" s="23" t="b">
        <v>1</v>
      </c>
      <c r="G198" s="24"/>
      <c r="H198" s="23">
        <v>55.952599999999997</v>
      </c>
      <c r="J198" s="6" t="str">
        <f>_xlfn.XLOOKUP(tbl_Sourcing[[#This Row],[Product Id]], tbl_Product[Product Id], tbl_Product[Name])</f>
        <v>MTG Streets of New Capenna Riveteers Rampage Precon</v>
      </c>
      <c r="K198" s="6">
        <v>203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1011</v>
      </c>
      <c r="AW198" s="6" t="b">
        <f>_xlfn.XLOOKUP(tbl_Sourcing[[#This Row],[Product Id]], tbl_Product[Product Id], tbl_Product[Is Set or Play Booster])</f>
        <v>0</v>
      </c>
      <c r="AX198" s="6" t="b">
        <f>_xlfn.XLOOKUP(tbl_Sourcing[[#This Row],[Product Id]], tbl_Product[Product Id], tbl_Product[Is Precon])</f>
        <v>1</v>
      </c>
    </row>
    <row r="199" spans="1:50">
      <c r="A199">
        <v>181</v>
      </c>
      <c r="B199">
        <v>30</v>
      </c>
      <c r="C199" t="s">
        <v>1648</v>
      </c>
      <c r="D199" s="25" t="s">
        <v>1818</v>
      </c>
      <c r="E199" s="23">
        <v>5.6805000000000003</v>
      </c>
      <c r="F199" s="23" t="b">
        <v>1</v>
      </c>
      <c r="G199" s="24"/>
      <c r="H199" s="23">
        <v>3.6972830799999996</v>
      </c>
      <c r="J199" s="6" t="str">
        <f>_xlfn.XLOOKUP(tbl_Sourcing[[#This Row],[Product Id]], tbl_Product[Product Id], tbl_Product[Name])</f>
        <v>MTG Streets of New Capenna Set Booster</v>
      </c>
      <c r="K199" s="6">
        <v>104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516</v>
      </c>
      <c r="AW199" s="6" t="b">
        <f>_xlfn.XLOOKUP(tbl_Sourcing[[#This Row],[Product Id]], tbl_Product[Product Id], tbl_Product[Is Set or Play Booster])</f>
        <v>1</v>
      </c>
      <c r="AX199" s="6" t="b">
        <f>_xlfn.XLOOKUP(tbl_Sourcing[[#This Row],[Product Id]], tbl_Product[Product Id], tbl_Product[Is Precon])</f>
        <v>0</v>
      </c>
    </row>
    <row r="200" spans="1:50">
      <c r="A200">
        <v>72</v>
      </c>
      <c r="B200">
        <v>75</v>
      </c>
      <c r="C200" t="s">
        <v>1648</v>
      </c>
      <c r="D200" s="25" t="s">
        <v>1819</v>
      </c>
      <c r="E200" s="23">
        <v>136.91</v>
      </c>
      <c r="F200" s="23" t="b">
        <v>1</v>
      </c>
      <c r="G200" s="24"/>
      <c r="H200" s="24" t="s">
        <v>1651</v>
      </c>
      <c r="J200" s="6" t="str">
        <f>_xlfn.XLOOKUP(tbl_Sourcing[[#This Row],[Product Id]], tbl_Product[Product Id], tbl_Product[Name])</f>
        <v>MTG Streets of New Capenna Set Booster Box</v>
      </c>
      <c r="K200" s="6">
        <v>105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521</v>
      </c>
      <c r="AW200" s="6" t="b">
        <f>_xlfn.XLOOKUP(tbl_Sourcing[[#This Row],[Product Id]], tbl_Product[Product Id], tbl_Product[Is Set or Play Booster])</f>
        <v>1</v>
      </c>
      <c r="AX200" s="6" t="b">
        <f>_xlfn.XLOOKUP(tbl_Sourcing[[#This Row],[Product Id]], tbl_Product[Product Id], tbl_Product[Is Precon])</f>
        <v>0</v>
      </c>
    </row>
    <row r="201" spans="1:50">
      <c r="A201">
        <v>215</v>
      </c>
      <c r="B201">
        <v>133</v>
      </c>
      <c r="C201" t="s">
        <v>1648</v>
      </c>
      <c r="D201" s="25" t="s">
        <v>1820</v>
      </c>
      <c r="E201" s="23">
        <v>47.125880000000002</v>
      </c>
      <c r="F201" s="23" t="b">
        <v>1</v>
      </c>
      <c r="G201" s="24"/>
      <c r="H201" s="23">
        <v>39.3042940128</v>
      </c>
      <c r="J201" s="6" t="str">
        <f>_xlfn.XLOOKUP(tbl_Sourcing[[#This Row],[Product Id]], tbl_Product[Product Id], tbl_Product[Name])</f>
        <v>MTG Strixhaven: School of Magic Collector Booster</v>
      </c>
      <c r="K201" s="6">
        <v>106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526</v>
      </c>
      <c r="AW201" s="6" t="b">
        <f>_xlfn.XLOOKUP(tbl_Sourcing[[#This Row],[Product Id]], tbl_Product[Product Id], tbl_Product[Is Set or Play Booster])</f>
        <v>0</v>
      </c>
      <c r="AX201" s="6" t="b">
        <f>_xlfn.XLOOKUP(tbl_Sourcing[[#This Row],[Product Id]], tbl_Product[Product Id], tbl_Product[Is Precon])</f>
        <v>0</v>
      </c>
    </row>
    <row r="202" spans="1:50">
      <c r="A202">
        <v>144</v>
      </c>
      <c r="B202">
        <v>134</v>
      </c>
      <c r="C202" t="s">
        <v>1648</v>
      </c>
      <c r="D202" s="25" t="s">
        <v>1821</v>
      </c>
      <c r="E202" s="24"/>
      <c r="F202" s="23" t="b">
        <v>0</v>
      </c>
      <c r="G202" s="24"/>
      <c r="H202" s="24" t="s">
        <v>1651</v>
      </c>
      <c r="J202" s="6" t="str">
        <f>_xlfn.XLOOKUP(tbl_Sourcing[[#This Row],[Product Id]], tbl_Product[Product Id], tbl_Product[Name])</f>
        <v>MTG Strixhaven: School of Magic Collector Booster Box</v>
      </c>
      <c r="K202" s="6">
        <v>107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531</v>
      </c>
      <c r="AW202" s="6" t="b">
        <f>_xlfn.XLOOKUP(tbl_Sourcing[[#This Row],[Product Id]], tbl_Product[Product Id], tbl_Product[Is Set or Play Booster])</f>
        <v>0</v>
      </c>
      <c r="AX202" s="6" t="b">
        <f>_xlfn.XLOOKUP(tbl_Sourcing[[#This Row],[Product Id]], tbl_Product[Product Id], tbl_Product[Is Precon])</f>
        <v>0</v>
      </c>
    </row>
    <row r="203" spans="1:50">
      <c r="A203">
        <v>160</v>
      </c>
      <c r="B203">
        <v>9</v>
      </c>
      <c r="C203" t="s">
        <v>1648</v>
      </c>
      <c r="D203" s="25" t="s">
        <v>1822</v>
      </c>
      <c r="E203" s="23">
        <v>8.1832399999999996</v>
      </c>
      <c r="F203" s="23" t="b">
        <v>1</v>
      </c>
      <c r="G203" s="24"/>
      <c r="H203" s="23">
        <v>6.2114355743999994</v>
      </c>
      <c r="J203" s="6" t="str">
        <f>_xlfn.XLOOKUP(tbl_Sourcing[[#This Row],[Product Id]], tbl_Product[Product Id], tbl_Product[Name])</f>
        <v>MTG Strixhaven: School of Magic Set Booster</v>
      </c>
      <c r="K203" s="6">
        <v>108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536</v>
      </c>
      <c r="AW203" s="6" t="b">
        <f>_xlfn.XLOOKUP(tbl_Sourcing[[#This Row],[Product Id]], tbl_Product[Product Id], tbl_Product[Is Set or Play Booster])</f>
        <v>1</v>
      </c>
      <c r="AX203" s="6" t="b">
        <f>_xlfn.XLOOKUP(tbl_Sourcing[[#This Row],[Product Id]], tbl_Product[Product Id], tbl_Product[Is Precon])</f>
        <v>0</v>
      </c>
    </row>
    <row r="204" spans="1:50">
      <c r="A204">
        <v>20</v>
      </c>
      <c r="B204">
        <v>54</v>
      </c>
      <c r="C204" t="s">
        <v>1648</v>
      </c>
      <c r="D204" s="25" t="s">
        <v>1823</v>
      </c>
      <c r="E204" s="24"/>
      <c r="F204" s="23" t="b">
        <v>0</v>
      </c>
      <c r="G204" s="24"/>
      <c r="H204" s="24" t="s">
        <v>1651</v>
      </c>
      <c r="J204" s="6" t="str">
        <f>_xlfn.XLOOKUP(tbl_Sourcing[[#This Row],[Product Id]], tbl_Product[Product Id], tbl_Product[Name])</f>
        <v>MTG Strixhaven: School of Magic Set Booster Box</v>
      </c>
      <c r="K204" s="6">
        <v>109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541</v>
      </c>
      <c r="AW204" s="6" t="b">
        <f>_xlfn.XLOOKUP(tbl_Sourcing[[#This Row],[Product Id]], tbl_Product[Product Id], tbl_Product[Is Set or Play Booster])</f>
        <v>1</v>
      </c>
      <c r="AX204" s="6" t="b">
        <f>_xlfn.XLOOKUP(tbl_Sourcing[[#This Row],[Product Id]], tbl_Product[Product Id], tbl_Product[Is Precon])</f>
        <v>0</v>
      </c>
    </row>
    <row r="205" spans="1:50">
      <c r="A205">
        <v>263</v>
      </c>
      <c r="B205">
        <v>155</v>
      </c>
      <c r="C205" t="s">
        <v>1648</v>
      </c>
      <c r="D205" s="25" t="s">
        <v>1824</v>
      </c>
      <c r="E205" s="23">
        <v>36.534700000000001</v>
      </c>
      <c r="F205" s="23" t="b">
        <v>1</v>
      </c>
      <c r="G205" s="24"/>
      <c r="H205" s="23">
        <v>33.520693999999999</v>
      </c>
      <c r="J205" s="6" t="str">
        <f>_xlfn.XLOOKUP(tbl_Sourcing[[#This Row],[Product Id]], tbl_Product[Product Id], tbl_Product[Name])</f>
        <v>MTG Tarkir Dragonstorm Abzan Armor Precon</v>
      </c>
      <c r="K205" s="6">
        <v>204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1016</v>
      </c>
      <c r="AW205" s="6" t="b">
        <f>_xlfn.XLOOKUP(tbl_Sourcing[[#This Row],[Product Id]], tbl_Product[Product Id], tbl_Product[Is Set or Play Booster])</f>
        <v>0</v>
      </c>
      <c r="AX205" s="6" t="b">
        <f>_xlfn.XLOOKUP(tbl_Sourcing[[#This Row],[Product Id]], tbl_Product[Product Id], tbl_Product[Is Precon])</f>
        <v>1</v>
      </c>
    </row>
    <row r="206" spans="1:50">
      <c r="A206">
        <v>265</v>
      </c>
      <c r="B206">
        <v>157</v>
      </c>
      <c r="C206" t="s">
        <v>1648</v>
      </c>
      <c r="D206" s="25" t="s">
        <v>1825</v>
      </c>
      <c r="E206" s="23">
        <v>32.247999999999998</v>
      </c>
      <c r="F206" s="23" t="b">
        <v>1</v>
      </c>
      <c r="G206" s="24"/>
      <c r="H206" s="23">
        <v>28.484959999999997</v>
      </c>
      <c r="J206" s="6" t="str">
        <f>_xlfn.XLOOKUP(tbl_Sourcing[[#This Row],[Product Id]], tbl_Product[Product Id], tbl_Product[Name])</f>
        <v>MTG Tarkir Dragonstorm Jeskai Striker Precon</v>
      </c>
      <c r="K206" s="6">
        <v>205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1021</v>
      </c>
      <c r="AW206" s="6" t="b">
        <f>_xlfn.XLOOKUP(tbl_Sourcing[[#This Row],[Product Id]], tbl_Product[Product Id], tbl_Product[Is Set or Play Booster])</f>
        <v>0</v>
      </c>
      <c r="AX206" s="6" t="b">
        <f>_xlfn.XLOOKUP(tbl_Sourcing[[#This Row],[Product Id]], tbl_Product[Product Id], tbl_Product[Is Precon])</f>
        <v>1</v>
      </c>
    </row>
    <row r="207" spans="1:50">
      <c r="A207">
        <v>264</v>
      </c>
      <c r="B207">
        <v>156</v>
      </c>
      <c r="C207" t="s">
        <v>1648</v>
      </c>
      <c r="D207" s="25" t="s">
        <v>1826</v>
      </c>
      <c r="E207" s="23">
        <v>38.2667</v>
      </c>
      <c r="F207" s="23" t="b">
        <v>1</v>
      </c>
      <c r="G207" s="24"/>
      <c r="H207" s="23">
        <v>35.555334000000002</v>
      </c>
      <c r="J207" s="6" t="str">
        <f>_xlfn.XLOOKUP(tbl_Sourcing[[#This Row],[Product Id]], tbl_Product[Product Id], tbl_Product[Name])</f>
        <v>MTG Tarkir Dragonstorm Mardu Surge Precon</v>
      </c>
      <c r="K207" s="6">
        <v>206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1026</v>
      </c>
      <c r="AW207" s="6" t="b">
        <f>_xlfn.XLOOKUP(tbl_Sourcing[[#This Row],[Product Id]], tbl_Product[Product Id], tbl_Product[Is Set or Play Booster])</f>
        <v>0</v>
      </c>
      <c r="AX207" s="6" t="b">
        <f>_xlfn.XLOOKUP(tbl_Sourcing[[#This Row],[Product Id]], tbl_Product[Product Id], tbl_Product[Is Precon])</f>
        <v>1</v>
      </c>
    </row>
    <row r="208" spans="1:50">
      <c r="A208">
        <v>267</v>
      </c>
      <c r="B208">
        <v>159</v>
      </c>
      <c r="C208" t="s">
        <v>1648</v>
      </c>
      <c r="D208" s="25" t="s">
        <v>1827</v>
      </c>
      <c r="E208" s="23">
        <v>59.96</v>
      </c>
      <c r="F208" s="23" t="b">
        <v>1</v>
      </c>
      <c r="G208" s="24"/>
      <c r="H208" s="23">
        <v>61.039199999999994</v>
      </c>
      <c r="J208" s="6" t="str">
        <f>_xlfn.XLOOKUP(tbl_Sourcing[[#This Row],[Product Id]], tbl_Product[Product Id], tbl_Product[Name])</f>
        <v>MTG Tarkir Dragonstorm Sultai Arisen Precon</v>
      </c>
      <c r="K208" s="6">
        <v>207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1031</v>
      </c>
      <c r="AW208" s="6" t="b">
        <f>_xlfn.XLOOKUP(tbl_Sourcing[[#This Row],[Product Id]], tbl_Product[Product Id], tbl_Product[Is Set or Play Booster])</f>
        <v>0</v>
      </c>
      <c r="AX208" s="6" t="b">
        <f>_xlfn.XLOOKUP(tbl_Sourcing[[#This Row],[Product Id]], tbl_Product[Product Id], tbl_Product[Is Precon])</f>
        <v>1</v>
      </c>
    </row>
    <row r="209" spans="1:50">
      <c r="A209">
        <v>266</v>
      </c>
      <c r="B209">
        <v>158</v>
      </c>
      <c r="C209" t="s">
        <v>1648</v>
      </c>
      <c r="D209" s="25" t="s">
        <v>1828</v>
      </c>
      <c r="E209" s="23">
        <v>55.63</v>
      </c>
      <c r="F209" s="23" t="b">
        <v>1</v>
      </c>
      <c r="G209" s="24"/>
      <c r="H209" s="23">
        <v>55.952599999999997</v>
      </c>
      <c r="J209" s="6" t="str">
        <f>_xlfn.XLOOKUP(tbl_Sourcing[[#This Row],[Product Id]], tbl_Product[Product Id], tbl_Product[Name])</f>
        <v>MTG Tarkir Dragonstorm Temur Roar Precon</v>
      </c>
      <c r="K209" s="6">
        <v>208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1036</v>
      </c>
      <c r="AW209" s="6" t="b">
        <f>_xlfn.XLOOKUP(tbl_Sourcing[[#This Row],[Product Id]], tbl_Product[Product Id], tbl_Product[Is Set or Play Booster])</f>
        <v>0</v>
      </c>
      <c r="AX209" s="6" t="b">
        <f>_xlfn.XLOOKUP(tbl_Sourcing[[#This Row],[Product Id]], tbl_Product[Product Id], tbl_Product[Is Precon])</f>
        <v>1</v>
      </c>
    </row>
    <row r="210" spans="1:50">
      <c r="A210">
        <v>216</v>
      </c>
      <c r="B210">
        <v>135</v>
      </c>
      <c r="C210" t="s">
        <v>1648</v>
      </c>
      <c r="D210" s="25" t="s">
        <v>1829</v>
      </c>
      <c r="E210" s="23">
        <v>38.890219999999999</v>
      </c>
      <c r="F210" s="23" t="b">
        <v>1</v>
      </c>
      <c r="G210" s="24"/>
      <c r="H210" s="23">
        <v>31.0310794032</v>
      </c>
      <c r="J210" s="6" t="str">
        <f>_xlfn.XLOOKUP(tbl_Sourcing[[#This Row],[Product Id]], tbl_Product[Product Id], tbl_Product[Name])</f>
        <v>MTG Tarkir: Dragonstorm TDM Collector Booster</v>
      </c>
      <c r="K210" s="6">
        <v>110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546</v>
      </c>
      <c r="AW210" s="6" t="b">
        <f>_xlfn.XLOOKUP(tbl_Sourcing[[#This Row],[Product Id]], tbl_Product[Product Id], tbl_Product[Is Set or Play Booster])</f>
        <v>0</v>
      </c>
      <c r="AX210" s="6" t="b">
        <f>_xlfn.XLOOKUP(tbl_Sourcing[[#This Row],[Product Id]], tbl_Product[Product Id], tbl_Product[Is Precon])</f>
        <v>0</v>
      </c>
    </row>
    <row r="211" spans="1:50">
      <c r="A211">
        <v>145</v>
      </c>
      <c r="B211">
        <v>136</v>
      </c>
      <c r="C211" t="s">
        <v>1648</v>
      </c>
      <c r="D211" s="25" t="s">
        <v>1830</v>
      </c>
      <c r="E211" s="23">
        <v>328.78962000000001</v>
      </c>
      <c r="F211" s="23" t="b">
        <v>1</v>
      </c>
      <c r="G211" s="24"/>
      <c r="H211" s="24" t="s">
        <v>1651</v>
      </c>
      <c r="J211" s="6" t="str">
        <f>_xlfn.XLOOKUP(tbl_Sourcing[[#This Row],[Product Id]], tbl_Product[Product Id], tbl_Product[Name])</f>
        <v>MTG Tarkir: Dragonstorm TDM Collector Booster Box</v>
      </c>
      <c r="K211" s="6">
        <v>111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551</v>
      </c>
      <c r="AW211" s="6" t="b">
        <f>_xlfn.XLOOKUP(tbl_Sourcing[[#This Row],[Product Id]], tbl_Product[Product Id], tbl_Product[Is Set or Play Booster])</f>
        <v>0</v>
      </c>
      <c r="AX211" s="6" t="b">
        <f>_xlfn.XLOOKUP(tbl_Sourcing[[#This Row],[Product Id]], tbl_Product[Product Id], tbl_Product[Is Precon])</f>
        <v>0</v>
      </c>
    </row>
    <row r="212" spans="1:50">
      <c r="A212">
        <v>178</v>
      </c>
      <c r="B212">
        <v>27</v>
      </c>
      <c r="C212" t="s">
        <v>1648</v>
      </c>
      <c r="D212" s="25" t="s">
        <v>1831</v>
      </c>
      <c r="E212" s="23">
        <v>5.3687399999999998</v>
      </c>
      <c r="F212" s="23" t="b">
        <v>1</v>
      </c>
      <c r="G212" s="24"/>
      <c r="H212" s="23">
        <v>3.3841014544000001</v>
      </c>
      <c r="J212" s="6" t="str">
        <f>_xlfn.XLOOKUP(tbl_Sourcing[[#This Row],[Product Id]], tbl_Product[Product Id], tbl_Product[Name])</f>
        <v>MTG Tarkir: Dragonstorm TDM Play Booster</v>
      </c>
      <c r="K212" s="6">
        <v>112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556</v>
      </c>
      <c r="AW212" s="6" t="b">
        <f>_xlfn.XLOOKUP(tbl_Sourcing[[#This Row],[Product Id]], tbl_Product[Product Id], tbl_Product[Is Set or Play Booster])</f>
        <v>1</v>
      </c>
      <c r="AX212" s="6" t="b">
        <f>_xlfn.XLOOKUP(tbl_Sourcing[[#This Row],[Product Id]], tbl_Product[Product Id], tbl_Product[Is Precon])</f>
        <v>0</v>
      </c>
    </row>
    <row r="213" spans="1:50">
      <c r="A213">
        <v>66</v>
      </c>
      <c r="B213">
        <v>42</v>
      </c>
      <c r="C213" t="s">
        <v>1648</v>
      </c>
      <c r="D213" s="25" t="s">
        <v>1832</v>
      </c>
      <c r="E213" s="23">
        <v>129.12466000000001</v>
      </c>
      <c r="F213" s="23" t="b">
        <v>1</v>
      </c>
      <c r="G213" s="24"/>
      <c r="H213" s="24" t="s">
        <v>1651</v>
      </c>
      <c r="J213" s="6" t="str">
        <f>_xlfn.XLOOKUP(tbl_Sourcing[[#This Row],[Product Id]], tbl_Product[Product Id], tbl_Product[Name])</f>
        <v>MTG Tarkir: Dragonstorm TDM Play Booster Box</v>
      </c>
      <c r="K213" s="6">
        <v>113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561</v>
      </c>
      <c r="AW213" s="6" t="b">
        <f>_xlfn.XLOOKUP(tbl_Sourcing[[#This Row],[Product Id]], tbl_Product[Product Id], tbl_Product[Is Set or Play Booster])</f>
        <v>1</v>
      </c>
      <c r="AX213" s="6" t="b">
        <f>_xlfn.XLOOKUP(tbl_Sourcing[[#This Row],[Product Id]], tbl_Product[Product Id], tbl_Product[Is Precon])</f>
        <v>0</v>
      </c>
    </row>
    <row r="214" spans="1:50">
      <c r="A214">
        <v>217</v>
      </c>
      <c r="B214">
        <v>137</v>
      </c>
      <c r="C214" t="s">
        <v>1648</v>
      </c>
      <c r="D214" s="25" t="s">
        <v>1833</v>
      </c>
      <c r="E214" s="23">
        <v>52.26126</v>
      </c>
      <c r="F214" s="23" t="b">
        <v>1</v>
      </c>
      <c r="G214" s="24"/>
      <c r="H214" s="23">
        <v>44.463091345599999</v>
      </c>
      <c r="J214" s="6" t="str">
        <f>_xlfn.XLOOKUP(tbl_Sourcing[[#This Row],[Product Id]], tbl_Product[Product Id], tbl_Product[Name])</f>
        <v>MTG The Brothers' War Collector Booster</v>
      </c>
      <c r="K214" s="6">
        <v>114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566</v>
      </c>
      <c r="AW214" s="6" t="b">
        <f>_xlfn.XLOOKUP(tbl_Sourcing[[#This Row],[Product Id]], tbl_Product[Product Id], tbl_Product[Is Set or Play Booster])</f>
        <v>0</v>
      </c>
      <c r="AX214" s="6" t="b">
        <f>_xlfn.XLOOKUP(tbl_Sourcing[[#This Row],[Product Id]], tbl_Product[Product Id], tbl_Product[Is Precon])</f>
        <v>0</v>
      </c>
    </row>
    <row r="215" spans="1:50">
      <c r="A215">
        <v>146</v>
      </c>
      <c r="B215">
        <v>138</v>
      </c>
      <c r="C215" t="s">
        <v>1648</v>
      </c>
      <c r="D215" s="25" t="s">
        <v>1834</v>
      </c>
      <c r="E215" s="23">
        <v>405.37</v>
      </c>
      <c r="F215" s="23" t="b">
        <v>1</v>
      </c>
      <c r="G215" s="24"/>
      <c r="H215" s="24" t="s">
        <v>1651</v>
      </c>
      <c r="J215" s="6" t="str">
        <f>_xlfn.XLOOKUP(tbl_Sourcing[[#This Row],[Product Id]], tbl_Product[Product Id], tbl_Product[Name])</f>
        <v>MTG The Brothers' War Collector Booster Box</v>
      </c>
      <c r="K215" s="6">
        <v>115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571</v>
      </c>
      <c r="AW215" s="6" t="b">
        <f>_xlfn.XLOOKUP(tbl_Sourcing[[#This Row],[Product Id]], tbl_Product[Product Id], tbl_Product[Is Set or Play Booster])</f>
        <v>0</v>
      </c>
      <c r="AX215" s="6" t="b">
        <f>_xlfn.XLOOKUP(tbl_Sourcing[[#This Row],[Product Id]], tbl_Product[Product Id], tbl_Product[Is Precon])</f>
        <v>0</v>
      </c>
    </row>
    <row r="216" spans="1:50">
      <c r="A216">
        <v>325</v>
      </c>
      <c r="B216">
        <v>217</v>
      </c>
      <c r="C216" t="s">
        <v>1648</v>
      </c>
      <c r="D216" s="25" t="s">
        <v>1835</v>
      </c>
      <c r="E216" s="23">
        <v>44.363340000000001</v>
      </c>
      <c r="F216" s="23" t="b">
        <v>1</v>
      </c>
      <c r="G216" s="24"/>
      <c r="H216" s="23">
        <v>40.692799999999998</v>
      </c>
      <c r="J216" s="6" t="str">
        <f>_xlfn.XLOOKUP(tbl_Sourcing[[#This Row],[Product Id]], tbl_Product[Product Id], tbl_Product[Name])</f>
        <v>MTG The Brothers' War Mishra's Burnished Banner Precon</v>
      </c>
      <c r="K216" s="6">
        <v>209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1041</v>
      </c>
      <c r="AW216" s="6" t="b">
        <f>_xlfn.XLOOKUP(tbl_Sourcing[[#This Row],[Product Id]], tbl_Product[Product Id], tbl_Product[Is Set or Play Booster])</f>
        <v>0</v>
      </c>
      <c r="AX216" s="6" t="b">
        <f>_xlfn.XLOOKUP(tbl_Sourcing[[#This Row],[Product Id]], tbl_Product[Product Id], tbl_Product[Is Precon])</f>
        <v>1</v>
      </c>
    </row>
    <row r="217" spans="1:50">
      <c r="A217">
        <v>179</v>
      </c>
      <c r="B217">
        <v>28</v>
      </c>
      <c r="C217" t="s">
        <v>1648</v>
      </c>
      <c r="D217" s="25" t="s">
        <v>1836</v>
      </c>
      <c r="E217" s="23">
        <v>6.1048400000000003</v>
      </c>
      <c r="F217" s="23" t="b">
        <v>1</v>
      </c>
      <c r="G217" s="24"/>
      <c r="H217" s="23">
        <v>4.1235580703999997</v>
      </c>
      <c r="J217" s="6" t="str">
        <f>_xlfn.XLOOKUP(tbl_Sourcing[[#This Row],[Product Id]], tbl_Product[Product Id], tbl_Product[Name])</f>
        <v>MTG The Brothers' War Set Booster</v>
      </c>
      <c r="K217" s="6">
        <v>116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576</v>
      </c>
      <c r="AW217" s="6" t="b">
        <f>_xlfn.XLOOKUP(tbl_Sourcing[[#This Row],[Product Id]], tbl_Product[Product Id], tbl_Product[Is Set or Play Booster])</f>
        <v>1</v>
      </c>
      <c r="AX217" s="6" t="b">
        <f>_xlfn.XLOOKUP(tbl_Sourcing[[#This Row],[Product Id]], tbl_Product[Product Id], tbl_Product[Is Precon])</f>
        <v>0</v>
      </c>
    </row>
    <row r="218" spans="1:50">
      <c r="A218">
        <v>68</v>
      </c>
      <c r="B218">
        <v>73</v>
      </c>
      <c r="C218" t="s">
        <v>1648</v>
      </c>
      <c r="D218" s="25" t="s">
        <v>1837</v>
      </c>
      <c r="E218" s="23">
        <v>184.72185999999999</v>
      </c>
      <c r="F218" s="23" t="b">
        <v>1</v>
      </c>
      <c r="G218" s="24"/>
      <c r="H218" s="24" t="s">
        <v>1651</v>
      </c>
      <c r="J218" s="6" t="str">
        <f>_xlfn.XLOOKUP(tbl_Sourcing[[#This Row],[Product Id]], tbl_Product[Product Id], tbl_Product[Name])</f>
        <v>MTG The Brothers' War Set Booster Box</v>
      </c>
      <c r="K218" s="6">
        <v>117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581</v>
      </c>
      <c r="AW218" s="6" t="b">
        <f>_xlfn.XLOOKUP(tbl_Sourcing[[#This Row],[Product Id]], tbl_Product[Product Id], tbl_Product[Is Set or Play Booster])</f>
        <v>1</v>
      </c>
      <c r="AX218" s="6" t="b">
        <f>_xlfn.XLOOKUP(tbl_Sourcing[[#This Row],[Product Id]], tbl_Product[Product Id], tbl_Product[Is Precon])</f>
        <v>0</v>
      </c>
    </row>
    <row r="219" spans="1:50">
      <c r="A219">
        <v>324</v>
      </c>
      <c r="B219">
        <v>216</v>
      </c>
      <c r="C219" t="s">
        <v>1648</v>
      </c>
      <c r="D219" s="25" t="s">
        <v>1838</v>
      </c>
      <c r="E219" s="23">
        <v>90.867540000000005</v>
      </c>
      <c r="F219" s="23" t="b">
        <v>1</v>
      </c>
      <c r="G219" s="24"/>
      <c r="H219" s="23">
        <v>97.347350799999987</v>
      </c>
      <c r="J219" s="6" t="str">
        <f>_xlfn.XLOOKUP(tbl_Sourcing[[#This Row],[Product Id]], tbl_Product[Product Id], tbl_Product[Name])</f>
        <v>MTG The Brothers' War Urza's Iron Alliance Precon</v>
      </c>
      <c r="K219" s="6">
        <v>210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1046</v>
      </c>
      <c r="AW219" s="6" t="b">
        <f>_xlfn.XLOOKUP(tbl_Sourcing[[#This Row],[Product Id]], tbl_Product[Product Id], tbl_Product[Is Set or Play Booster])</f>
        <v>0</v>
      </c>
      <c r="AX219" s="6" t="b">
        <f>_xlfn.XLOOKUP(tbl_Sourcing[[#This Row],[Product Id]], tbl_Product[Product Id], tbl_Product[Is Precon])</f>
        <v>1</v>
      </c>
    </row>
    <row r="220" spans="1:50">
      <c r="A220">
        <v>309</v>
      </c>
      <c r="B220">
        <v>201</v>
      </c>
      <c r="C220" t="s">
        <v>1648</v>
      </c>
      <c r="D220" s="25" t="s">
        <v>1839</v>
      </c>
      <c r="E220" s="23">
        <v>55.63</v>
      </c>
      <c r="F220" s="23" t="b">
        <v>1</v>
      </c>
      <c r="G220" s="24"/>
      <c r="H220" s="23">
        <v>55.952599999999997</v>
      </c>
      <c r="J220" s="6" t="str">
        <f>_xlfn.XLOOKUP(tbl_Sourcing[[#This Row],[Product Id]], tbl_Product[Product Id], tbl_Product[Name])</f>
        <v>MTG The Lord of the Rings: Tales of Middle-earth Elven Council Precon</v>
      </c>
      <c r="K220" s="6">
        <v>211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1051</v>
      </c>
      <c r="AW220" s="6" t="b">
        <f>_xlfn.XLOOKUP(tbl_Sourcing[[#This Row],[Product Id]], tbl_Product[Product Id], tbl_Product[Is Set or Play Booster])</f>
        <v>0</v>
      </c>
      <c r="AX220" s="6" t="b">
        <f>_xlfn.XLOOKUP(tbl_Sourcing[[#This Row],[Product Id]], tbl_Product[Product Id], tbl_Product[Is Precon])</f>
        <v>1</v>
      </c>
    </row>
    <row r="221" spans="1:50">
      <c r="A221">
        <v>308</v>
      </c>
      <c r="B221">
        <v>200</v>
      </c>
      <c r="C221" t="s">
        <v>1648</v>
      </c>
      <c r="D221" s="25" t="s">
        <v>1840</v>
      </c>
      <c r="E221" s="23">
        <v>72.906700000000001</v>
      </c>
      <c r="F221" s="23" t="b">
        <v>1</v>
      </c>
      <c r="G221" s="24"/>
      <c r="H221" s="23">
        <v>71.008935999999991</v>
      </c>
      <c r="J221" s="6" t="str">
        <f>_xlfn.XLOOKUP(tbl_Sourcing[[#This Row],[Product Id]], tbl_Product[Product Id], tbl_Product[Name])</f>
        <v>MTG The Lord of the Rings: Tales of Middle-earth Food and Fellowship Precon</v>
      </c>
      <c r="K221" s="6">
        <v>212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1056</v>
      </c>
      <c r="AW221" s="6" t="b">
        <f>_xlfn.XLOOKUP(tbl_Sourcing[[#This Row],[Product Id]], tbl_Product[Product Id], tbl_Product[Is Set or Play Booster])</f>
        <v>0</v>
      </c>
      <c r="AX221" s="6" t="b">
        <f>_xlfn.XLOOKUP(tbl_Sourcing[[#This Row],[Product Id]], tbl_Product[Product Id], tbl_Product[Is Precon])</f>
        <v>1</v>
      </c>
    </row>
    <row r="222" spans="1:50">
      <c r="A222">
        <v>218</v>
      </c>
      <c r="B222">
        <v>139</v>
      </c>
      <c r="C222" t="s">
        <v>1648</v>
      </c>
      <c r="D222" s="25" t="s">
        <v>1841</v>
      </c>
      <c r="E222" s="23">
        <v>121.86758</v>
      </c>
      <c r="F222" s="23" t="b">
        <v>1</v>
      </c>
      <c r="G222" s="24"/>
      <c r="H222" s="23">
        <v>102.33209616479999</v>
      </c>
      <c r="J222" s="6" t="str">
        <f>_xlfn.XLOOKUP(tbl_Sourcing[[#This Row],[Product Id]], tbl_Product[Product Id], tbl_Product[Name])</f>
        <v>MTG The Lord of the Rings: Tales of Middle-earth LTR Collector Booster</v>
      </c>
      <c r="K222" s="6">
        <v>118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586</v>
      </c>
      <c r="AW222" s="6" t="b">
        <f>_xlfn.XLOOKUP(tbl_Sourcing[[#This Row],[Product Id]], tbl_Product[Product Id], tbl_Product[Is Set or Play Booster])</f>
        <v>0</v>
      </c>
      <c r="AX222" s="6" t="b">
        <f>_xlfn.XLOOKUP(tbl_Sourcing[[#This Row],[Product Id]], tbl_Product[Product Id], tbl_Product[Is Precon])</f>
        <v>0</v>
      </c>
    </row>
    <row r="223" spans="1:50">
      <c r="A223">
        <v>147</v>
      </c>
      <c r="B223">
        <v>140</v>
      </c>
      <c r="C223" t="s">
        <v>1648</v>
      </c>
      <c r="D223" s="25" t="s">
        <v>1842</v>
      </c>
      <c r="E223" s="23">
        <v>886</v>
      </c>
      <c r="F223" s="23" t="b">
        <v>1</v>
      </c>
      <c r="G223" s="24"/>
      <c r="H223" s="24" t="s">
        <v>1651</v>
      </c>
      <c r="J223" s="6" t="str">
        <f>_xlfn.XLOOKUP(tbl_Sourcing[[#This Row],[Product Id]], tbl_Product[Product Id], tbl_Product[Name])</f>
        <v>MTG The Lord of the Rings: Tales of Middle-earth LTR Collector Booster Box</v>
      </c>
      <c r="K223" s="6">
        <v>119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591</v>
      </c>
      <c r="AW223" s="6" t="b">
        <f>_xlfn.XLOOKUP(tbl_Sourcing[[#This Row],[Product Id]], tbl_Product[Product Id], tbl_Product[Is Set or Play Booster])</f>
        <v>0</v>
      </c>
      <c r="AX223" s="6" t="b">
        <f>_xlfn.XLOOKUP(tbl_Sourcing[[#This Row],[Product Id]], tbl_Product[Product Id], tbl_Product[Is Precon])</f>
        <v>0</v>
      </c>
    </row>
    <row r="224" spans="1:50">
      <c r="A224">
        <v>172</v>
      </c>
      <c r="B224">
        <v>21</v>
      </c>
      <c r="C224" t="s">
        <v>1648</v>
      </c>
      <c r="D224" s="25" t="s">
        <v>1843</v>
      </c>
      <c r="E224" s="23">
        <v>8.9539799999999996</v>
      </c>
      <c r="F224" s="23" t="b">
        <v>1</v>
      </c>
      <c r="G224" s="24"/>
      <c r="H224" s="23">
        <v>6.9856901487999989</v>
      </c>
      <c r="J224" s="6" t="str">
        <f>_xlfn.XLOOKUP(tbl_Sourcing[[#This Row],[Product Id]], tbl_Product[Product Id], tbl_Product[Name])</f>
        <v>MTG The Lord of the Rings: Tales of Middle-earth LTR Set Booster</v>
      </c>
      <c r="K224" s="6">
        <v>120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596</v>
      </c>
      <c r="AW224" s="6" t="b">
        <f>_xlfn.XLOOKUP(tbl_Sourcing[[#This Row],[Product Id]], tbl_Product[Product Id], tbl_Product[Is Set or Play Booster])</f>
        <v>1</v>
      </c>
      <c r="AX224" s="6" t="b">
        <f>_xlfn.XLOOKUP(tbl_Sourcing[[#This Row],[Product Id]], tbl_Product[Product Id], tbl_Product[Is Precon])</f>
        <v>0</v>
      </c>
    </row>
    <row r="225" spans="1:50">
      <c r="A225">
        <v>50</v>
      </c>
      <c r="B225">
        <v>66</v>
      </c>
      <c r="C225" t="s">
        <v>1648</v>
      </c>
      <c r="D225" s="25" t="s">
        <v>1844</v>
      </c>
      <c r="E225" s="23">
        <v>225.84819999999999</v>
      </c>
      <c r="F225" s="23" t="b">
        <v>1</v>
      </c>
      <c r="G225" s="24"/>
      <c r="H225" s="24" t="s">
        <v>1651</v>
      </c>
      <c r="J225" s="6" t="str">
        <f>_xlfn.XLOOKUP(tbl_Sourcing[[#This Row],[Product Id]], tbl_Product[Product Id], tbl_Product[Name])</f>
        <v>MTG The Lord of the Rings: Tales of Middle-earth LTR Set Booster Box</v>
      </c>
      <c r="K225" s="6">
        <v>121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601</v>
      </c>
      <c r="AW225" s="6" t="b">
        <f>_xlfn.XLOOKUP(tbl_Sourcing[[#This Row],[Product Id]], tbl_Product[Product Id], tbl_Product[Is Set or Play Booster])</f>
        <v>1</v>
      </c>
      <c r="AX225" s="6" t="b">
        <f>_xlfn.XLOOKUP(tbl_Sourcing[[#This Row],[Product Id]], tbl_Product[Product Id], tbl_Product[Is Precon])</f>
        <v>0</v>
      </c>
    </row>
    <row r="226" spans="1:50">
      <c r="A226">
        <v>310</v>
      </c>
      <c r="B226">
        <v>202</v>
      </c>
      <c r="C226" t="s">
        <v>1648</v>
      </c>
      <c r="D226" s="25" t="s">
        <v>1845</v>
      </c>
      <c r="E226" s="23">
        <v>65.580340000000007</v>
      </c>
      <c r="F226" s="23" t="b">
        <v>1</v>
      </c>
      <c r="G226" s="24"/>
      <c r="H226" s="23">
        <v>67.855243999999999</v>
      </c>
      <c r="J226" s="6" t="str">
        <f>_xlfn.XLOOKUP(tbl_Sourcing[[#This Row],[Product Id]], tbl_Product[Product Id], tbl_Product[Name])</f>
        <v>MTG The Lord of the Rings: Tales of Middle-earth Riders of Rohan Precon</v>
      </c>
      <c r="K226" s="6">
        <v>213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1061</v>
      </c>
      <c r="AW226" s="6" t="b">
        <f>_xlfn.XLOOKUP(tbl_Sourcing[[#This Row],[Product Id]], tbl_Product[Product Id], tbl_Product[Is Set or Play Booster])</f>
        <v>0</v>
      </c>
      <c r="AX226" s="6" t="b">
        <f>_xlfn.XLOOKUP(tbl_Sourcing[[#This Row],[Product Id]], tbl_Product[Product Id], tbl_Product[Is Precon])</f>
        <v>1</v>
      </c>
    </row>
    <row r="227" spans="1:50">
      <c r="A227">
        <v>311</v>
      </c>
      <c r="B227">
        <v>203</v>
      </c>
      <c r="C227" t="s">
        <v>1648</v>
      </c>
      <c r="D227" s="25" t="s">
        <v>1846</v>
      </c>
      <c r="E227" s="23">
        <v>123.48699999999999</v>
      </c>
      <c r="F227" s="23" t="b">
        <v>1</v>
      </c>
      <c r="G227" s="24"/>
      <c r="H227" s="23">
        <v>141.08499999999998</v>
      </c>
      <c r="J227" s="6" t="str">
        <f>_xlfn.XLOOKUP(tbl_Sourcing[[#This Row],[Product Id]], tbl_Product[Product Id], tbl_Product[Name])</f>
        <v>MTG The Lord of the Rings: Tales of Middle-earth The Hosts of Mordor Precon</v>
      </c>
      <c r="K227" s="6">
        <v>214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1066</v>
      </c>
      <c r="AW227" s="6" t="b">
        <f>_xlfn.XLOOKUP(tbl_Sourcing[[#This Row],[Product Id]], tbl_Product[Product Id], tbl_Product[Is Set or Play Booster])</f>
        <v>0</v>
      </c>
      <c r="AX227" s="6" t="b">
        <f>_xlfn.XLOOKUP(tbl_Sourcing[[#This Row],[Product Id]], tbl_Product[Product Id], tbl_Product[Is Precon])</f>
        <v>1</v>
      </c>
    </row>
    <row r="228" spans="1:50">
      <c r="A228">
        <v>296</v>
      </c>
      <c r="B228">
        <v>188</v>
      </c>
      <c r="C228" t="s">
        <v>1648</v>
      </c>
      <c r="D228" s="25" t="s">
        <v>1847</v>
      </c>
      <c r="E228" s="23">
        <v>38.31</v>
      </c>
      <c r="F228" s="23" t="b">
        <v>1</v>
      </c>
      <c r="G228" s="24"/>
      <c r="H228" s="23">
        <v>45.301259599999995</v>
      </c>
      <c r="J228" s="6" t="str">
        <f>_xlfn.XLOOKUP(tbl_Sourcing[[#This Row],[Product Id]], tbl_Product[Product Id], tbl_Product[Name])</f>
        <v>MTG The Lost Caverns of Ixalan Ahoy Mateys Precon</v>
      </c>
      <c r="K228" s="6">
        <v>215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1071</v>
      </c>
      <c r="AW228" s="6" t="b">
        <f>_xlfn.XLOOKUP(tbl_Sourcing[[#This Row],[Product Id]], tbl_Product[Product Id], tbl_Product[Is Set or Play Booster])</f>
        <v>0</v>
      </c>
      <c r="AX228" s="6" t="b">
        <f>_xlfn.XLOOKUP(tbl_Sourcing[[#This Row],[Product Id]], tbl_Product[Product Id], tbl_Product[Is Precon])</f>
        <v>1</v>
      </c>
    </row>
    <row r="229" spans="1:50">
      <c r="A229">
        <v>295</v>
      </c>
      <c r="B229">
        <v>187</v>
      </c>
      <c r="C229" t="s">
        <v>1648</v>
      </c>
      <c r="D229" s="25" t="s">
        <v>1848</v>
      </c>
      <c r="E229" s="23">
        <v>69.451359999999994</v>
      </c>
      <c r="F229" s="23" t="b">
        <v>1</v>
      </c>
      <c r="G229" s="24"/>
      <c r="H229" s="23">
        <v>72.860458399999999</v>
      </c>
      <c r="J229" s="6" t="str">
        <f>_xlfn.XLOOKUP(tbl_Sourcing[[#This Row],[Product Id]], tbl_Product[Product Id], tbl_Product[Name])</f>
        <v>MTG The Lost Caverns of Ixalan Blood Rites Precon</v>
      </c>
      <c r="K229" s="6">
        <v>216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1076</v>
      </c>
      <c r="AW229" s="6" t="b">
        <f>_xlfn.XLOOKUP(tbl_Sourcing[[#This Row],[Product Id]], tbl_Product[Product Id], tbl_Product[Is Set or Play Booster])</f>
        <v>0</v>
      </c>
      <c r="AX229" s="6" t="b">
        <f>_xlfn.XLOOKUP(tbl_Sourcing[[#This Row],[Product Id]], tbl_Product[Product Id], tbl_Product[Is Precon])</f>
        <v>1</v>
      </c>
    </row>
    <row r="230" spans="1:50">
      <c r="A230">
        <v>297</v>
      </c>
      <c r="B230">
        <v>189</v>
      </c>
      <c r="C230" t="s">
        <v>1648</v>
      </c>
      <c r="D230" s="25" t="s">
        <v>1849</v>
      </c>
      <c r="E230" s="23">
        <v>70.352000000000004</v>
      </c>
      <c r="F230" s="23" t="b">
        <v>1</v>
      </c>
      <c r="G230" s="24"/>
      <c r="H230" s="23">
        <v>78.771087599999987</v>
      </c>
      <c r="J230" s="6" t="str">
        <f>_xlfn.XLOOKUP(tbl_Sourcing[[#This Row],[Product Id]], tbl_Product[Product Id], tbl_Product[Name])</f>
        <v>MTG The Lost Caverns of Ixalan Explorers of the Deep Precon</v>
      </c>
      <c r="K230" s="6">
        <v>217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1081</v>
      </c>
      <c r="AW230" s="6" t="b">
        <f>_xlfn.XLOOKUP(tbl_Sourcing[[#This Row],[Product Id]], tbl_Product[Product Id], tbl_Product[Is Set or Play Booster])</f>
        <v>0</v>
      </c>
      <c r="AX230" s="6" t="b">
        <f>_xlfn.XLOOKUP(tbl_Sourcing[[#This Row],[Product Id]], tbl_Product[Product Id], tbl_Product[Is Precon])</f>
        <v>1</v>
      </c>
    </row>
    <row r="231" spans="1:50">
      <c r="A231">
        <v>219</v>
      </c>
      <c r="B231">
        <v>141</v>
      </c>
      <c r="C231" t="s">
        <v>1648</v>
      </c>
      <c r="D231" s="25" t="s">
        <v>1850</v>
      </c>
      <c r="E231" s="23">
        <v>69.771780000000007</v>
      </c>
      <c r="F231" s="23" t="b">
        <v>1</v>
      </c>
      <c r="G231" s="24"/>
      <c r="H231" s="23">
        <v>62.053459316800001</v>
      </c>
      <c r="J231" s="6" t="str">
        <f>_xlfn.XLOOKUP(tbl_Sourcing[[#This Row],[Product Id]], tbl_Product[Product Id], tbl_Product[Name])</f>
        <v>MTG The Lost Caverns of Ixalan LCI Collector Booster</v>
      </c>
      <c r="K231" s="6">
        <v>122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606</v>
      </c>
      <c r="AW231" s="6" t="b">
        <f>_xlfn.XLOOKUP(tbl_Sourcing[[#This Row],[Product Id]], tbl_Product[Product Id], tbl_Product[Is Set or Play Booster])</f>
        <v>0</v>
      </c>
      <c r="AX231" s="6" t="b">
        <f>_xlfn.XLOOKUP(tbl_Sourcing[[#This Row],[Product Id]], tbl_Product[Product Id], tbl_Product[Is Precon])</f>
        <v>0</v>
      </c>
    </row>
    <row r="232" spans="1:50">
      <c r="A232">
        <v>148</v>
      </c>
      <c r="B232">
        <v>142</v>
      </c>
      <c r="C232" t="s">
        <v>1648</v>
      </c>
      <c r="D232" s="25" t="s">
        <v>1851</v>
      </c>
      <c r="E232" s="23">
        <v>885.13400000000001</v>
      </c>
      <c r="F232" s="23" t="b">
        <v>1</v>
      </c>
      <c r="G232" s="24"/>
      <c r="H232" s="24" t="s">
        <v>1651</v>
      </c>
      <c r="J232" s="6" t="str">
        <f>_xlfn.XLOOKUP(tbl_Sourcing[[#This Row],[Product Id]], tbl_Product[Product Id], tbl_Product[Name])</f>
        <v>MTG The Lost Caverns of Ixalan LCI Collector Booster Box</v>
      </c>
      <c r="K232" s="6">
        <v>123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611</v>
      </c>
      <c r="AW232" s="6" t="b">
        <f>_xlfn.XLOOKUP(tbl_Sourcing[[#This Row],[Product Id]], tbl_Product[Product Id], tbl_Product[Is Set or Play Booster])</f>
        <v>0</v>
      </c>
      <c r="AX232" s="6" t="b">
        <f>_xlfn.XLOOKUP(tbl_Sourcing[[#This Row],[Product Id]], tbl_Product[Product Id], tbl_Product[Is Precon])</f>
        <v>0</v>
      </c>
    </row>
    <row r="233" spans="1:50">
      <c r="A233">
        <v>153</v>
      </c>
      <c r="B233">
        <v>2</v>
      </c>
      <c r="C233" t="s">
        <v>1648</v>
      </c>
      <c r="D233" s="25" t="s">
        <v>1852</v>
      </c>
      <c r="E233" s="23">
        <v>7.9753999999999996</v>
      </c>
      <c r="F233" s="23" t="b">
        <v>1</v>
      </c>
      <c r="G233" s="24"/>
      <c r="H233" s="23">
        <v>6.0026478239999994</v>
      </c>
      <c r="J233" s="6" t="str">
        <f>_xlfn.XLOOKUP(tbl_Sourcing[[#This Row],[Product Id]], tbl_Product[Product Id], tbl_Product[Name])</f>
        <v>MTG The Lost Caverns of Ixalan LCI Set Booster</v>
      </c>
      <c r="K233" s="6">
        <v>124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616</v>
      </c>
      <c r="AW233" s="6" t="b">
        <f>_xlfn.XLOOKUP(tbl_Sourcing[[#This Row],[Product Id]], tbl_Product[Product Id], tbl_Product[Is Set or Play Booster])</f>
        <v>1</v>
      </c>
      <c r="AX233" s="6" t="b">
        <f>_xlfn.XLOOKUP(tbl_Sourcing[[#This Row],[Product Id]], tbl_Product[Product Id], tbl_Product[Is Precon])</f>
        <v>0</v>
      </c>
    </row>
    <row r="234" spans="1:50">
      <c r="A234">
        <v>3</v>
      </c>
      <c r="B234">
        <v>47</v>
      </c>
      <c r="C234" t="s">
        <v>1648</v>
      </c>
      <c r="D234" s="25" t="s">
        <v>1853</v>
      </c>
      <c r="E234" s="24"/>
      <c r="F234" s="23" t="b">
        <v>0</v>
      </c>
      <c r="G234" s="24"/>
      <c r="H234" s="24" t="s">
        <v>1651</v>
      </c>
      <c r="J234" t="str">
        <f>_xlfn.XLOOKUP(tbl_Sourcing[[#This Row],[Product Id]], tbl_Product[Product Id], tbl_Product[Name])</f>
        <v>MTG The Lost Caverns of Ixalan LCI Set Booster Box</v>
      </c>
      <c r="K234" s="6">
        <v>125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621</v>
      </c>
      <c r="AW234" s="6" t="b">
        <f>_xlfn.XLOOKUP(tbl_Sourcing[[#This Row],[Product Id]], tbl_Product[Product Id], tbl_Product[Is Set or Play Booster])</f>
        <v>1</v>
      </c>
      <c r="AX234" s="6" t="b">
        <f>_xlfn.XLOOKUP(tbl_Sourcing[[#This Row],[Product Id]], tbl_Product[Product Id], tbl_Product[Is Precon])</f>
        <v>0</v>
      </c>
    </row>
    <row r="235" spans="1:50">
      <c r="A235">
        <v>294</v>
      </c>
      <c r="B235">
        <v>186</v>
      </c>
      <c r="C235" t="s">
        <v>1648</v>
      </c>
      <c r="D235" s="25" t="s">
        <v>1854</v>
      </c>
      <c r="E235" s="23">
        <v>93.863900000000001</v>
      </c>
      <c r="F235" s="23" t="b">
        <v>1</v>
      </c>
      <c r="G235" s="24"/>
      <c r="H235" s="23">
        <v>119.11088799999999</v>
      </c>
      <c r="J235" s="6" t="str">
        <f>_xlfn.XLOOKUP(tbl_Sourcing[[#This Row],[Product Id]], tbl_Product[Product Id], tbl_Product[Name])</f>
        <v>MTG The Lost Caverns of Ixalan Veloci-Ramp-Tor Precon</v>
      </c>
      <c r="K235" s="6">
        <v>218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1086</v>
      </c>
      <c r="AW235" s="6" t="b">
        <f>_xlfn.XLOOKUP(tbl_Sourcing[[#This Row],[Product Id]], tbl_Product[Product Id], tbl_Product[Is Set or Play Booster])</f>
        <v>0</v>
      </c>
      <c r="AX235" s="6" t="b">
        <f>_xlfn.XLOOKUP(tbl_Sourcing[[#This Row],[Product Id]], tbl_Product[Product Id], tbl_Product[Is Precon])</f>
        <v>1</v>
      </c>
    </row>
    <row r="236" spans="1:50">
      <c r="A236">
        <v>189</v>
      </c>
      <c r="B236">
        <v>45</v>
      </c>
      <c r="C236" t="s">
        <v>1648</v>
      </c>
      <c r="D236" s="25" t="s">
        <v>1855</v>
      </c>
      <c r="E236" s="23">
        <v>6.33</v>
      </c>
      <c r="F236" s="23" t="b">
        <v>1</v>
      </c>
      <c r="G236" s="24"/>
      <c r="H236" s="23">
        <v>4.3497447999999999</v>
      </c>
      <c r="J236" s="6" t="str">
        <f>_xlfn.XLOOKUP(tbl_Sourcing[[#This Row],[Product Id]], tbl_Product[Product Id], tbl_Product[Name])</f>
        <v>MTG Theros Beyond Death THB Booster</v>
      </c>
      <c r="K236" s="6">
        <v>126</v>
      </c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626</v>
      </c>
      <c r="AW236" s="6" t="b">
        <f>_xlfn.XLOOKUP(tbl_Sourcing[[#This Row],[Product Id]], tbl_Product[Product Id], tbl_Product[Is Set or Play Booster])</f>
        <v>1</v>
      </c>
      <c r="AX236" s="6" t="b">
        <f>_xlfn.XLOOKUP(tbl_Sourcing[[#This Row],[Product Id]], tbl_Product[Product Id], tbl_Product[Is Precon])</f>
        <v>0</v>
      </c>
    </row>
    <row r="237" spans="1:50">
      <c r="A237">
        <v>220</v>
      </c>
      <c r="B237">
        <v>143</v>
      </c>
      <c r="C237" t="s">
        <v>1648</v>
      </c>
      <c r="D237" s="25" t="s">
        <v>1856</v>
      </c>
      <c r="E237" s="23">
        <v>25.493200000000002</v>
      </c>
      <c r="F237" s="23" t="b">
        <v>1</v>
      </c>
      <c r="G237" s="24"/>
      <c r="H237" s="23">
        <v>17.572968992</v>
      </c>
      <c r="J237" s="6" t="str">
        <f>_xlfn.XLOOKUP(tbl_Sourcing[[#This Row],[Product Id]], tbl_Product[Product Id], tbl_Product[Name])</f>
        <v>MTG Theros Beyond Death THB Collector Booster</v>
      </c>
      <c r="K237" s="6">
        <v>127</v>
      </c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631</v>
      </c>
      <c r="AW237" s="6" t="b">
        <f>_xlfn.XLOOKUP(tbl_Sourcing[[#This Row],[Product Id]], tbl_Product[Product Id], tbl_Product[Is Set or Play Booster])</f>
        <v>0</v>
      </c>
      <c r="AX237" s="6" t="b">
        <f>_xlfn.XLOOKUP(tbl_Sourcing[[#This Row],[Product Id]], tbl_Product[Product Id], tbl_Product[Is Precon])</f>
        <v>0</v>
      </c>
    </row>
    <row r="238" spans="1:50">
      <c r="A238">
        <v>149</v>
      </c>
      <c r="B238">
        <v>144</v>
      </c>
      <c r="C238" t="s">
        <v>1648</v>
      </c>
      <c r="D238" s="25" t="s">
        <v>1857</v>
      </c>
      <c r="E238" s="23">
        <v>193.2</v>
      </c>
      <c r="F238" s="23" t="b">
        <v>1</v>
      </c>
      <c r="G238" s="24"/>
      <c r="H238" s="24" t="s">
        <v>1651</v>
      </c>
      <c r="J238" s="6" t="str">
        <f>_xlfn.XLOOKUP(tbl_Sourcing[[#This Row],[Product Id]], tbl_Product[Product Id], tbl_Product[Name])</f>
        <v>MTG Theros Beyond Death THB Collector Booster Box</v>
      </c>
      <c r="K238" s="6">
        <v>128</v>
      </c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636</v>
      </c>
      <c r="AW238" s="6" t="b">
        <f>_xlfn.XLOOKUP(tbl_Sourcing[[#This Row],[Product Id]], tbl_Product[Product Id], tbl_Product[Is Set or Play Booster])</f>
        <v>0</v>
      </c>
      <c r="AX238" s="6" t="b">
        <f>_xlfn.XLOOKUP(tbl_Sourcing[[#This Row],[Product Id]], tbl_Product[Product Id], tbl_Product[Is Precon])</f>
        <v>0</v>
      </c>
    </row>
    <row r="239" spans="1:50">
      <c r="A239">
        <v>161</v>
      </c>
      <c r="B239">
        <v>10</v>
      </c>
      <c r="C239" t="s">
        <v>1648</v>
      </c>
      <c r="D239" s="25" t="s">
        <v>1858</v>
      </c>
      <c r="E239" s="23">
        <v>6.33</v>
      </c>
      <c r="F239" s="23" t="b">
        <v>1</v>
      </c>
      <c r="G239" s="24"/>
      <c r="H239" s="23">
        <v>4.3497447999999999</v>
      </c>
      <c r="J239" s="6" t="str">
        <f>_xlfn.XLOOKUP(tbl_Sourcing[[#This Row],[Product Id]], tbl_Product[Product Id], tbl_Product[Name])</f>
        <v>MTG Throne of Eldraine Booster</v>
      </c>
      <c r="K239" s="6">
        <v>129</v>
      </c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641</v>
      </c>
      <c r="AW239" s="6" t="b">
        <f>_xlfn.XLOOKUP(tbl_Sourcing[[#This Row],[Product Id]], tbl_Product[Product Id], tbl_Product[Is Set or Play Booster])</f>
        <v>1</v>
      </c>
      <c r="AX239" s="6" t="b">
        <f>_xlfn.XLOOKUP(tbl_Sourcing[[#This Row],[Product Id]], tbl_Product[Product Id], tbl_Product[Is Precon])</f>
        <v>0</v>
      </c>
    </row>
    <row r="240" spans="1:50">
      <c r="A240">
        <v>22</v>
      </c>
      <c r="B240">
        <v>55</v>
      </c>
      <c r="C240" t="s">
        <v>1648</v>
      </c>
      <c r="D240" s="25" t="s">
        <v>1859</v>
      </c>
      <c r="E240" s="23">
        <v>175.01400000000001</v>
      </c>
      <c r="F240" s="23" t="b">
        <v>1</v>
      </c>
      <c r="G240" s="24"/>
      <c r="H240" s="24" t="s">
        <v>1651</v>
      </c>
      <c r="J240" s="6" t="str">
        <f>_xlfn.XLOOKUP(tbl_Sourcing[[#This Row],[Product Id]], tbl_Product[Product Id], tbl_Product[Name])</f>
        <v>MTG Throne of Eldraine Booster Box</v>
      </c>
      <c r="K240" s="6">
        <v>130</v>
      </c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646</v>
      </c>
      <c r="AW240" s="6" t="b">
        <f>_xlfn.XLOOKUP(tbl_Sourcing[[#This Row],[Product Id]], tbl_Product[Product Id], tbl_Product[Is Set or Play Booster])</f>
        <v>1</v>
      </c>
      <c r="AX240" s="6" t="b">
        <f>_xlfn.XLOOKUP(tbl_Sourcing[[#This Row],[Product Id]], tbl_Product[Product Id], tbl_Product[Is Precon])</f>
        <v>0</v>
      </c>
    </row>
    <row r="241" spans="1:50">
      <c r="A241">
        <v>221</v>
      </c>
      <c r="B241">
        <v>145</v>
      </c>
      <c r="C241" t="s">
        <v>1648</v>
      </c>
      <c r="D241" s="25" t="s">
        <v>1860</v>
      </c>
      <c r="E241" s="23">
        <v>33.737520000000004</v>
      </c>
      <c r="F241" s="23" t="b">
        <v>1</v>
      </c>
      <c r="G241" s="24"/>
      <c r="H241" s="23">
        <v>25.854883091199998</v>
      </c>
      <c r="J241" s="6" t="str">
        <f>_xlfn.XLOOKUP(tbl_Sourcing[[#This Row],[Product Id]], tbl_Product[Product Id], tbl_Product[Name])</f>
        <v>MTG Throne of Eldraine Collector Booster</v>
      </c>
      <c r="K241" s="6">
        <v>131</v>
      </c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651</v>
      </c>
      <c r="AW241" s="6" t="b">
        <f>_xlfn.XLOOKUP(tbl_Sourcing[[#This Row],[Product Id]], tbl_Product[Product Id], tbl_Product[Is Set or Play Booster])</f>
        <v>0</v>
      </c>
      <c r="AX241" s="6" t="b">
        <f>_xlfn.XLOOKUP(tbl_Sourcing[[#This Row],[Product Id]], tbl_Product[Product Id], tbl_Product[Is Precon])</f>
        <v>0</v>
      </c>
    </row>
    <row r="242" spans="1:50">
      <c r="A242">
        <v>150</v>
      </c>
      <c r="B242">
        <v>146</v>
      </c>
      <c r="C242" t="s">
        <v>1648</v>
      </c>
      <c r="D242" s="25" t="s">
        <v>1861</v>
      </c>
      <c r="E242" s="23">
        <v>327.81103999999999</v>
      </c>
      <c r="F242" s="23" t="b">
        <v>1</v>
      </c>
      <c r="G242" s="24"/>
      <c r="H242" s="24" t="s">
        <v>1651</v>
      </c>
      <c r="J242" s="6" t="str">
        <f>_xlfn.XLOOKUP(tbl_Sourcing[[#This Row],[Product Id]], tbl_Product[Product Id], tbl_Product[Name])</f>
        <v>MTG Throne of Eldraine Collector Booster Box</v>
      </c>
      <c r="K242" s="6">
        <v>132</v>
      </c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656</v>
      </c>
      <c r="AW242" s="6" t="b">
        <f>_xlfn.XLOOKUP(tbl_Sourcing[[#This Row],[Product Id]], tbl_Product[Product Id], tbl_Product[Is Set or Play Booster])</f>
        <v>0</v>
      </c>
      <c r="AX242" s="6" t="b">
        <f>_xlfn.XLOOKUP(tbl_Sourcing[[#This Row],[Product Id]], tbl_Product[Product Id], tbl_Product[Is Precon])</f>
        <v>0</v>
      </c>
    </row>
    <row r="243" spans="1:50">
      <c r="A243">
        <v>159</v>
      </c>
      <c r="B243">
        <v>8</v>
      </c>
      <c r="C243" t="s">
        <v>1648</v>
      </c>
      <c r="D243" s="25" t="s">
        <v>1862</v>
      </c>
      <c r="E243" s="23">
        <v>7.1527000000000003</v>
      </c>
      <c r="F243" s="23" t="b">
        <v>1</v>
      </c>
      <c r="G243" s="24"/>
      <c r="H243" s="23">
        <v>5.1761963119999992</v>
      </c>
      <c r="J243" s="6" t="str">
        <f>_xlfn.XLOOKUP(tbl_Sourcing[[#This Row],[Product Id]], tbl_Product[Product Id], tbl_Product[Name])</f>
        <v>MTG War of the Spark Booster</v>
      </c>
      <c r="K243" s="6">
        <v>133</v>
      </c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661</v>
      </c>
      <c r="AW243" s="6" t="b">
        <f>_xlfn.XLOOKUP(tbl_Sourcing[[#This Row],[Product Id]], tbl_Product[Product Id], tbl_Product[Is Set or Play Booster])</f>
        <v>1</v>
      </c>
      <c r="AX243" s="6" t="b">
        <f>_xlfn.XLOOKUP(tbl_Sourcing[[#This Row],[Product Id]], tbl_Product[Product Id], tbl_Product[Is Precon])</f>
        <v>0</v>
      </c>
    </row>
    <row r="244" spans="1:50">
      <c r="A244">
        <v>18</v>
      </c>
      <c r="B244">
        <v>53</v>
      </c>
      <c r="C244" t="s">
        <v>1648</v>
      </c>
      <c r="D244" s="25" t="s">
        <v>1863</v>
      </c>
      <c r="E244" s="23">
        <v>141.24</v>
      </c>
      <c r="F244" s="23" t="b">
        <v>1</v>
      </c>
      <c r="G244" s="24"/>
      <c r="H244" s="24" t="s">
        <v>1651</v>
      </c>
      <c r="J244" s="6" t="str">
        <f>_xlfn.XLOOKUP(tbl_Sourcing[[#This Row],[Product Id]], tbl_Product[Product Id], tbl_Product[Name])</f>
        <v>MTG War of the Spark Booster Box</v>
      </c>
      <c r="K244" s="6">
        <v>134</v>
      </c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666</v>
      </c>
      <c r="AW244" s="6" t="b">
        <f>_xlfn.XLOOKUP(tbl_Sourcing[[#This Row],[Product Id]], tbl_Product[Product Id], tbl_Product[Is Set or Play Booster])</f>
        <v>1</v>
      </c>
      <c r="AX244" s="6" t="b">
        <f>_xlfn.XLOOKUP(tbl_Sourcing[[#This Row],[Product Id]], tbl_Product[Product Id], tbl_Product[Is Precon])</f>
        <v>0</v>
      </c>
    </row>
    <row r="245" spans="1:50">
      <c r="A245">
        <v>328</v>
      </c>
      <c r="B245">
        <v>220</v>
      </c>
      <c r="C245" t="s">
        <v>1648</v>
      </c>
      <c r="D245" s="25" t="s">
        <v>1864</v>
      </c>
      <c r="E245" s="23">
        <v>149.9</v>
      </c>
      <c r="F245" s="23" t="b">
        <v>1</v>
      </c>
      <c r="G245" s="24"/>
      <c r="H245" s="23">
        <v>166.518</v>
      </c>
      <c r="J245" s="6" t="str">
        <f>_xlfn.XLOOKUP(tbl_Sourcing[[#This Row],[Product Id]], tbl_Product[Product Id], tbl_Product[Name])</f>
        <v>MTG Warhammer 40k Forces of the Imperium Precon</v>
      </c>
      <c r="K245" s="6">
        <v>219</v>
      </c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1091</v>
      </c>
      <c r="AW245" s="6" t="b">
        <f>_xlfn.XLOOKUP(tbl_Sourcing[[#This Row],[Product Id]], tbl_Product[Product Id], tbl_Product[Is Set or Play Booster])</f>
        <v>0</v>
      </c>
      <c r="AX245" s="6" t="b">
        <f>_xlfn.XLOOKUP(tbl_Sourcing[[#This Row],[Product Id]], tbl_Product[Product Id], tbl_Product[Is Precon])</f>
        <v>1</v>
      </c>
    </row>
    <row r="246" spans="1:50">
      <c r="A246">
        <v>329</v>
      </c>
      <c r="B246">
        <v>221</v>
      </c>
      <c r="C246" t="s">
        <v>1648</v>
      </c>
      <c r="D246" s="25" t="s">
        <v>1865</v>
      </c>
      <c r="E246" s="23">
        <v>201.86</v>
      </c>
      <c r="F246" s="23" t="b">
        <v>1</v>
      </c>
      <c r="G246" s="24"/>
      <c r="H246" s="23">
        <v>252.98002679999999</v>
      </c>
      <c r="J246" s="6" t="str">
        <f>_xlfn.XLOOKUP(tbl_Sourcing[[#This Row],[Product Id]], tbl_Product[Product Id], tbl_Product[Name])</f>
        <v>MTG Warhammer 40k Necron Dynasties Precon</v>
      </c>
      <c r="K246" s="6">
        <v>220</v>
      </c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1096</v>
      </c>
      <c r="AW246" s="6" t="b">
        <f>_xlfn.XLOOKUP(tbl_Sourcing[[#This Row],[Product Id]], tbl_Product[Product Id], tbl_Product[Is Set or Play Booster])</f>
        <v>0</v>
      </c>
      <c r="AX246" s="6" t="b">
        <f>_xlfn.XLOOKUP(tbl_Sourcing[[#This Row],[Product Id]], tbl_Product[Product Id], tbl_Product[Is Precon])</f>
        <v>1</v>
      </c>
    </row>
    <row r="247" spans="1:50">
      <c r="A247">
        <v>326</v>
      </c>
      <c r="B247">
        <v>218</v>
      </c>
      <c r="C247" t="s">
        <v>1648</v>
      </c>
      <c r="D247" s="25" t="s">
        <v>1866</v>
      </c>
      <c r="E247" s="23">
        <v>136.91</v>
      </c>
      <c r="F247" s="23" t="b">
        <v>1</v>
      </c>
      <c r="G247" s="24"/>
      <c r="H247" s="23">
        <v>146.17159999999998</v>
      </c>
      <c r="J247" s="6" t="str">
        <f>_xlfn.XLOOKUP(tbl_Sourcing[[#This Row],[Product Id]], tbl_Product[Product Id], tbl_Product[Name])</f>
        <v>MTG Warhammer 40k The Ruinous Powers Precon</v>
      </c>
      <c r="K247" s="6">
        <v>221</v>
      </c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1101</v>
      </c>
      <c r="AW247" s="6" t="b">
        <f>_xlfn.XLOOKUP(tbl_Sourcing[[#This Row],[Product Id]], tbl_Product[Product Id], tbl_Product[Is Set or Play Booster])</f>
        <v>0</v>
      </c>
      <c r="AX247" s="6" t="b">
        <f>_xlfn.XLOOKUP(tbl_Sourcing[[#This Row],[Product Id]], tbl_Product[Product Id], tbl_Product[Is Precon])</f>
        <v>1</v>
      </c>
    </row>
    <row r="248" spans="1:50">
      <c r="A248">
        <v>327</v>
      </c>
      <c r="B248">
        <v>219</v>
      </c>
      <c r="C248" t="s">
        <v>1648</v>
      </c>
      <c r="D248" s="25" t="s">
        <v>1867</v>
      </c>
      <c r="E248" s="23">
        <v>158.56</v>
      </c>
      <c r="F248" s="23" t="b">
        <v>1</v>
      </c>
      <c r="G248" s="24"/>
      <c r="H248" s="23">
        <v>211.14782839999998</v>
      </c>
      <c r="J248" s="6" t="str">
        <f>_xlfn.XLOOKUP(tbl_Sourcing[[#This Row],[Product Id]], tbl_Product[Product Id], tbl_Product[Name])</f>
        <v>MTG Warhammer 40k Tyranid Swarm Precon</v>
      </c>
      <c r="K248" s="6">
        <v>222</v>
      </c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1106</v>
      </c>
      <c r="AW248" s="6" t="b">
        <f>_xlfn.XLOOKUP(tbl_Sourcing[[#This Row],[Product Id]], tbl_Product[Product Id], tbl_Product[Is Set or Play Booster])</f>
        <v>0</v>
      </c>
      <c r="AX248" s="6" t="b">
        <f>_xlfn.XLOOKUP(tbl_Sourcing[[#This Row],[Product Id]], tbl_Product[Product Id], tbl_Product[Is Precon])</f>
        <v>1</v>
      </c>
    </row>
    <row r="249" spans="1:50">
      <c r="A249">
        <v>222</v>
      </c>
      <c r="B249">
        <v>147</v>
      </c>
      <c r="C249" t="s">
        <v>1648</v>
      </c>
      <c r="D249" s="25" t="s">
        <v>1868</v>
      </c>
      <c r="E249" s="24">
        <v>90.313299999999998</v>
      </c>
      <c r="F249" s="23" t="b">
        <v>1</v>
      </c>
      <c r="G249" s="24"/>
      <c r="H249" s="23">
        <v>82.688648647999997</v>
      </c>
      <c r="J249" s="6" t="str">
        <f>_xlfn.XLOOKUP(tbl_Sourcing[[#This Row],[Product Id]], tbl_Product[Product Id], tbl_Product[Name])</f>
        <v>MTG Wilds of Eldraine Collector Booster</v>
      </c>
      <c r="K249" s="6">
        <v>135</v>
      </c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671</v>
      </c>
      <c r="AW249" s="6" t="b">
        <f>_xlfn.XLOOKUP(tbl_Sourcing[[#This Row],[Product Id]], tbl_Product[Product Id], tbl_Product[Is Set or Play Booster])</f>
        <v>0</v>
      </c>
      <c r="AX249" s="6" t="b">
        <f>_xlfn.XLOOKUP(tbl_Sourcing[[#This Row],[Product Id]], tbl_Product[Product Id], tbl_Product[Is Precon])</f>
        <v>0</v>
      </c>
    </row>
    <row r="250" spans="1:50">
      <c r="A250">
        <v>151</v>
      </c>
      <c r="B250">
        <v>148</v>
      </c>
      <c r="C250" t="s">
        <v>1648</v>
      </c>
      <c r="D250" s="25" t="s">
        <v>1869</v>
      </c>
      <c r="E250" s="23">
        <v>843.57465999999999</v>
      </c>
      <c r="F250" s="23" t="b">
        <v>1</v>
      </c>
      <c r="G250" s="24"/>
      <c r="H250" s="24" t="s">
        <v>1651</v>
      </c>
      <c r="J250" s="6" t="str">
        <f>_xlfn.XLOOKUP(tbl_Sourcing[[#This Row],[Product Id]], tbl_Product[Product Id], tbl_Product[Name])</f>
        <v>MTG Wilds of Eldraine Collector Booster Box</v>
      </c>
      <c r="K250" s="6">
        <v>136</v>
      </c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676</v>
      </c>
      <c r="AW250" s="6" t="b">
        <f>_xlfn.XLOOKUP(tbl_Sourcing[[#This Row],[Product Id]], tbl_Product[Product Id], tbl_Product[Is Set or Play Booster])</f>
        <v>0</v>
      </c>
      <c r="AX250" s="6" t="b">
        <f>_xlfn.XLOOKUP(tbl_Sourcing[[#This Row],[Product Id]], tbl_Product[Product Id], tbl_Product[Is Precon])</f>
        <v>0</v>
      </c>
    </row>
    <row r="251" spans="1:50">
      <c r="A251">
        <v>303</v>
      </c>
      <c r="B251">
        <v>195</v>
      </c>
      <c r="C251" t="s">
        <v>1648</v>
      </c>
      <c r="D251" s="25" t="s">
        <v>1870</v>
      </c>
      <c r="E251" s="23">
        <v>91.127340000000004</v>
      </c>
      <c r="F251" s="23" t="b">
        <v>1</v>
      </c>
      <c r="G251" s="24"/>
      <c r="H251" s="23">
        <v>97.652546799999982</v>
      </c>
      <c r="J251" s="6" t="str">
        <f>_xlfn.XLOOKUP(tbl_Sourcing[[#This Row],[Product Id]], tbl_Product[Product Id], tbl_Product[Name])</f>
        <v>MTG Wilds of Eldraine Fae Dominion Precon</v>
      </c>
      <c r="K251" s="6">
        <v>223</v>
      </c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1111</v>
      </c>
      <c r="AW251" s="6" t="b">
        <f>_xlfn.XLOOKUP(tbl_Sourcing[[#This Row],[Product Id]], tbl_Product[Product Id], tbl_Product[Is Set or Play Booster])</f>
        <v>0</v>
      </c>
      <c r="AX251" s="6" t="b">
        <f>_xlfn.XLOOKUP(tbl_Sourcing[[#This Row],[Product Id]], tbl_Product[Product Id], tbl_Product[Is Precon])</f>
        <v>1</v>
      </c>
    </row>
    <row r="252" spans="1:50">
      <c r="A252">
        <v>180</v>
      </c>
      <c r="B252">
        <v>29</v>
      </c>
      <c r="C252" t="s">
        <v>1648</v>
      </c>
      <c r="D252" s="25" t="s">
        <v>1871</v>
      </c>
      <c r="E252" s="23"/>
      <c r="F252" s="23" t="b">
        <v>0</v>
      </c>
      <c r="G252" s="24"/>
      <c r="H252" s="23">
        <v>8.3419731339999998</v>
      </c>
      <c r="J252" s="6" t="str">
        <f>_xlfn.XLOOKUP(tbl_Sourcing[[#This Row],[Product Id]], tbl_Product[Product Id], tbl_Product[Name])</f>
        <v>MTG Wilds of Eldraine Set Booster</v>
      </c>
      <c r="K252" s="6">
        <v>137</v>
      </c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681</v>
      </c>
      <c r="AW252" s="6" t="b">
        <f>_xlfn.XLOOKUP(tbl_Sourcing[[#This Row],[Product Id]], tbl_Product[Product Id], tbl_Product[Is Set or Play Booster])</f>
        <v>1</v>
      </c>
      <c r="AX252" s="6" t="b">
        <f>_xlfn.XLOOKUP(tbl_Sourcing[[#This Row],[Product Id]], tbl_Product[Product Id], tbl_Product[Is Precon])</f>
        <v>0</v>
      </c>
    </row>
    <row r="253" spans="1:50">
      <c r="A253">
        <v>70</v>
      </c>
      <c r="B253">
        <v>74</v>
      </c>
      <c r="C253" t="s">
        <v>1648</v>
      </c>
      <c r="D253" s="25" t="s">
        <v>1872</v>
      </c>
      <c r="E253" s="24">
        <v>277.31457999999998</v>
      </c>
      <c r="F253" s="23" t="b">
        <v>1</v>
      </c>
      <c r="G253" s="24"/>
      <c r="H253" s="24" t="s">
        <v>1651</v>
      </c>
      <c r="J253" s="6" t="str">
        <f>_xlfn.XLOOKUP(tbl_Sourcing[[#This Row],[Product Id]], tbl_Product[Product Id], tbl_Product[Name])</f>
        <v>MTG Wilds of Eldraine Set Booster Box</v>
      </c>
      <c r="K253" s="6">
        <v>138</v>
      </c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686</v>
      </c>
      <c r="AW253" s="6" t="b">
        <f>_xlfn.XLOOKUP(tbl_Sourcing[[#This Row],[Product Id]], tbl_Product[Product Id], tbl_Product[Is Set or Play Booster])</f>
        <v>1</v>
      </c>
      <c r="AX253" s="6" t="b">
        <f>_xlfn.XLOOKUP(tbl_Sourcing[[#This Row],[Product Id]], tbl_Product[Product Id], tbl_Product[Is Precon])</f>
        <v>0</v>
      </c>
    </row>
    <row r="254" spans="1:50">
      <c r="A254">
        <v>302</v>
      </c>
      <c r="B254">
        <v>194</v>
      </c>
      <c r="C254" t="s">
        <v>1648</v>
      </c>
      <c r="D254" s="25" t="s">
        <v>1873</v>
      </c>
      <c r="E254" s="23">
        <v>38.31</v>
      </c>
      <c r="F254" s="23" t="b">
        <v>1</v>
      </c>
      <c r="G254" s="24"/>
      <c r="H254" s="23">
        <v>35.606200000000001</v>
      </c>
      <c r="J254" s="6" t="str">
        <f>_xlfn.XLOOKUP(tbl_Sourcing[[#This Row],[Product Id]], tbl_Product[Product Id], tbl_Product[Name])</f>
        <v>MTG Wilds of Eldraine Virtue and Valor Precon</v>
      </c>
      <c r="K254" s="6">
        <v>224</v>
      </c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1116</v>
      </c>
      <c r="AW254" s="6" t="b">
        <f>_xlfn.XLOOKUP(tbl_Sourcing[[#This Row],[Product Id]], tbl_Product[Product Id], tbl_Product[Is Set or Play Booster])</f>
        <v>0</v>
      </c>
      <c r="AX254" s="6" t="b">
        <f>_xlfn.XLOOKUP(tbl_Sourcing[[#This Row],[Product Id]], tbl_Product[Product Id], tbl_Product[Is Precon])</f>
        <v>1</v>
      </c>
    </row>
    <row r="255" spans="1:50">
      <c r="A255">
        <v>470</v>
      </c>
      <c r="B255">
        <v>84</v>
      </c>
      <c r="C255" t="s">
        <v>1874</v>
      </c>
      <c r="D255" s="1"/>
      <c r="E255" s="1">
        <f>_xlfn.XLOOKUP(tbl_Sourcing[[#This Row],[Notes]], tbl_Sourcing[Sourcing Id],  tbl_Sourcing[Sale Price])*tbl_Sourcing[[#This Row],[Min Order Value]]+20</f>
        <v>237.24365429119999</v>
      </c>
      <c r="F255" s="1" t="b">
        <f>_xlfn.XLOOKUP(tbl_Sourcing[[#This Row],[Notes]], tbl_Sourcing[Sourcing Id], tbl_Sourcing[Active])</f>
        <v>1</v>
      </c>
      <c r="G255" s="6">
        <f>_xlfn.XLOOKUP(tbl_Sourcing[[#This Row],[Product Id]], tbl_Product[Product Id], tbl_Product[Pack Size])</f>
        <v>12</v>
      </c>
      <c r="I255">
        <v>190</v>
      </c>
      <c r="J255" s="6" t="str">
        <f>_xlfn.XLOOKUP(tbl_Sourcing[[#This Row],[Product Id]], tbl_Product[Product Id], tbl_Product[Name])</f>
        <v>MTG Aetherdrift Collector Booster Box</v>
      </c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55" s="6" t="b">
        <f>_xlfn.XLOOKUP(tbl_Sourcing[[#This Row],[Product Id]], tbl_Product[Product Id], tbl_Product[Is Set or Play Booster])</f>
        <v>0</v>
      </c>
      <c r="AX255" s="6" t="b">
        <f>_xlfn.XLOOKUP(tbl_Sourcing[[#This Row],[Product Id]], tbl_Product[Product Id], tbl_Product[Is Precon])</f>
        <v>0</v>
      </c>
    </row>
    <row r="256" spans="1:50">
      <c r="A256">
        <v>512</v>
      </c>
      <c r="B256">
        <v>70</v>
      </c>
      <c r="C256" t="s">
        <v>1874</v>
      </c>
      <c r="D256" s="1"/>
      <c r="E256" s="1">
        <f>_xlfn.XLOOKUP(tbl_Sourcing[[#This Row],[Notes]], tbl_Sourcing[Sourcing Id],  tbl_Sourcing[Sale Price])*tbl_Sourcing[[#This Row],[Min Order Value]]+8</f>
        <v>84.990482959999994</v>
      </c>
      <c r="F256" s="1" t="b">
        <f>_xlfn.XLOOKUP(tbl_Sourcing[[#This Row],[Notes]], tbl_Sourcing[Sourcing Id], tbl_Sourcing[Active])</f>
        <v>1</v>
      </c>
      <c r="G256" s="6">
        <f>_xlfn.XLOOKUP(tbl_Sourcing[[#This Row],[Product Id]], tbl_Product[Product Id], tbl_Product[Pack Size])</f>
        <v>30</v>
      </c>
      <c r="I256">
        <v>176</v>
      </c>
      <c r="J256" s="6" t="str">
        <f>_xlfn.XLOOKUP(tbl_Sourcing[[#This Row],[Product Id]], tbl_Product[Product Id], tbl_Product[Name])</f>
        <v>MTG Aetherdrift Play Booster Box</v>
      </c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56" s="6" t="b">
        <f>_xlfn.XLOOKUP(tbl_Sourcing[[#This Row],[Product Id]], tbl_Product[Product Id], tbl_Product[Is Set or Play Booster])</f>
        <v>1</v>
      </c>
      <c r="AX256" s="6" t="b">
        <f>_xlfn.XLOOKUP(tbl_Sourcing[[#This Row],[Product Id]], tbl_Product[Product Id], tbl_Product[Is Precon])</f>
        <v>0</v>
      </c>
    </row>
    <row r="257" spans="1:50">
      <c r="A257">
        <v>505</v>
      </c>
      <c r="B257">
        <v>63</v>
      </c>
      <c r="C257" t="s">
        <v>1874</v>
      </c>
      <c r="D257" s="1"/>
      <c r="E257" s="1">
        <f>_xlfn.XLOOKUP(tbl_Sourcing[[#This Row],[Notes]], tbl_Sourcing[Sourcing Id],  tbl_Sourcing[Sale Price])*tbl_Sourcing[[#This Row],[Min Order Value]]+8</f>
        <v>130.97598498559998</v>
      </c>
      <c r="F257" s="1" t="b">
        <f>_xlfn.XLOOKUP(tbl_Sourcing[[#This Row],[Notes]], tbl_Sourcing[Sourcing Id], tbl_Sourcing[Active])</f>
        <v>1</v>
      </c>
      <c r="G257" s="6">
        <f>_xlfn.XLOOKUP(tbl_Sourcing[[#This Row],[Product Id]], tbl_Product[Product Id], tbl_Product[Pack Size])</f>
        <v>24</v>
      </c>
      <c r="I257">
        <v>169</v>
      </c>
      <c r="J257" s="6" t="str">
        <f>_xlfn.XLOOKUP(tbl_Sourcing[[#This Row],[Product Id]], tbl_Product[Product Id], tbl_Product[Name])</f>
        <v>MTG Assassin's Creed Beyond Booster Box</v>
      </c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57" s="6" t="b">
        <f>_xlfn.XLOOKUP(tbl_Sourcing[[#This Row],[Product Id]], tbl_Product[Product Id], tbl_Product[Is Set or Play Booster])</f>
        <v>1</v>
      </c>
      <c r="AX257" s="6" t="b">
        <f>_xlfn.XLOOKUP(tbl_Sourcing[[#This Row],[Product Id]], tbl_Product[Product Id], tbl_Product[Is Precon])</f>
        <v>0</v>
      </c>
    </row>
    <row r="258" spans="1:50">
      <c r="A258">
        <v>526</v>
      </c>
      <c r="B258">
        <v>86</v>
      </c>
      <c r="C258" t="s">
        <v>1874</v>
      </c>
      <c r="D258" s="1"/>
      <c r="E258" s="1">
        <f>_xlfn.XLOOKUP(tbl_Sourcing[[#This Row],[Notes]], tbl_Sourcing[Sourcing Id],  tbl_Sourcing[Sale Price])*tbl_Sourcing[[#This Row],[Min Order Value]]+8</f>
        <v>312.09935845759998</v>
      </c>
      <c r="F258" s="1" t="b">
        <f>_xlfn.XLOOKUP(tbl_Sourcing[[#This Row],[Notes]], tbl_Sourcing[Sourcing Id], tbl_Sourcing[Active])</f>
        <v>1</v>
      </c>
      <c r="G258" s="6">
        <f>_xlfn.XLOOKUP(tbl_Sourcing[[#This Row],[Product Id]], tbl_Product[Product Id], tbl_Product[Pack Size])</f>
        <v>12</v>
      </c>
      <c r="I258">
        <v>191</v>
      </c>
      <c r="J258" s="6" t="str">
        <f>_xlfn.XLOOKUP(tbl_Sourcing[[#This Row],[Product Id]], tbl_Product[Product Id], tbl_Product[Name])</f>
        <v>MTG Assassin's Creed Beyond Collector Booster Box</v>
      </c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58" s="6" t="b">
        <f>_xlfn.XLOOKUP(tbl_Sourcing[[#This Row],[Product Id]], tbl_Product[Product Id], tbl_Product[Is Set or Play Booster])</f>
        <v>0</v>
      </c>
      <c r="AX258" s="6" t="b">
        <f>_xlfn.XLOOKUP(tbl_Sourcing[[#This Row],[Product Id]], tbl_Product[Product Id], tbl_Product[Is Precon])</f>
        <v>0</v>
      </c>
    </row>
    <row r="259" spans="1:50">
      <c r="A259">
        <v>527</v>
      </c>
      <c r="B259">
        <v>88</v>
      </c>
      <c r="C259" t="s">
        <v>1874</v>
      </c>
      <c r="D259" s="1"/>
      <c r="E259" s="1">
        <f>_xlfn.XLOOKUP(tbl_Sourcing[[#This Row],[Notes]], tbl_Sourcing[Sourcing Id],  tbl_Sourcing[Sale Price])*tbl_Sourcing[[#This Row],[Min Order Value]]+8</f>
        <v>374.1093203264</v>
      </c>
      <c r="F259" s="1" t="b">
        <f>_xlfn.XLOOKUP(tbl_Sourcing[[#This Row],[Notes]], tbl_Sourcing[Sourcing Id], tbl_Sourcing[Active])</f>
        <v>1</v>
      </c>
      <c r="G259" s="6">
        <f>_xlfn.XLOOKUP(tbl_Sourcing[[#This Row],[Product Id]], tbl_Product[Product Id], tbl_Product[Pack Size])</f>
        <v>12</v>
      </c>
      <c r="I259">
        <v>192</v>
      </c>
      <c r="J259" s="6" t="str">
        <f>_xlfn.XLOOKUP(tbl_Sourcing[[#This Row],[Product Id]], tbl_Product[Product Id], tbl_Product[Name])</f>
        <v>MTG Avatar: The Last Airbender Collector Booster Box</v>
      </c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59" s="6" t="b">
        <f>_xlfn.XLOOKUP(tbl_Sourcing[[#This Row],[Product Id]], tbl_Product[Product Id], tbl_Product[Is Set or Play Booster])</f>
        <v>0</v>
      </c>
      <c r="AX259" s="6" t="b">
        <f>_xlfn.XLOOKUP(tbl_Sourcing[[#This Row],[Product Id]], tbl_Product[Product Id], tbl_Product[Is Precon])</f>
        <v>0</v>
      </c>
    </row>
    <row r="260" spans="1:50">
      <c r="A260">
        <v>499</v>
      </c>
      <c r="B260">
        <v>57</v>
      </c>
      <c r="C260" t="s">
        <v>1874</v>
      </c>
      <c r="D260" s="1"/>
      <c r="E260" s="1">
        <f>_xlfn.XLOOKUP(tbl_Sourcing[[#This Row],[Notes]], tbl_Sourcing[Sourcing Id],  tbl_Sourcing[Sale Price])*tbl_Sourcing[[#This Row],[Min Order Value]]+8</f>
        <v>130.66280336</v>
      </c>
      <c r="F260" s="1" t="b">
        <f>_xlfn.XLOOKUP(tbl_Sourcing[[#This Row],[Notes]], tbl_Sourcing[Sourcing Id], tbl_Sourcing[Active])</f>
        <v>1</v>
      </c>
      <c r="G260" s="6">
        <f>_xlfn.XLOOKUP(tbl_Sourcing[[#This Row],[Product Id]], tbl_Product[Product Id], tbl_Product[Pack Size])</f>
        <v>30</v>
      </c>
      <c r="I260">
        <v>163</v>
      </c>
      <c r="J260" s="6" t="str">
        <f>_xlfn.XLOOKUP(tbl_Sourcing[[#This Row],[Product Id]], tbl_Product[Product Id], tbl_Product[Name])</f>
        <v>MTG Avatar: The Last Airbender Play Booster Box</v>
      </c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0" s="6" t="b">
        <f>_xlfn.XLOOKUP(tbl_Sourcing[[#This Row],[Product Id]], tbl_Product[Product Id], tbl_Product[Is Set or Play Booster])</f>
        <v>1</v>
      </c>
      <c r="AX260" s="6" t="b">
        <f>_xlfn.XLOOKUP(tbl_Sourcing[[#This Row],[Product Id]], tbl_Product[Product Id], tbl_Product[Is Precon])</f>
        <v>0</v>
      </c>
    </row>
    <row r="261" spans="1:50">
      <c r="A261">
        <v>528</v>
      </c>
      <c r="B261">
        <v>90</v>
      </c>
      <c r="C261" t="s">
        <v>1874</v>
      </c>
      <c r="D261" s="1"/>
      <c r="E261" s="1">
        <f>_xlfn.XLOOKUP(tbl_Sourcing[[#This Row],[Notes]], tbl_Sourcing[Sourcing Id],  tbl_Sourcing[Sale Price])*tbl_Sourcing[[#This Row],[Min Order Value]]+8</f>
        <v>1000.263783776</v>
      </c>
      <c r="F261" s="1" t="b">
        <f>_xlfn.XLOOKUP(tbl_Sourcing[[#This Row],[Notes]], tbl_Sourcing[Sourcing Id], tbl_Sourcing[Active])</f>
        <v>1</v>
      </c>
      <c r="G261" s="6">
        <f>_xlfn.XLOOKUP(tbl_Sourcing[[#This Row],[Product Id]], tbl_Product[Product Id], tbl_Product[Pack Size])</f>
        <v>12</v>
      </c>
      <c r="I261">
        <v>193</v>
      </c>
      <c r="J261" s="6" t="str">
        <f>_xlfn.XLOOKUP(tbl_Sourcing[[#This Row],[Product Id]], tbl_Product[Product Id], tbl_Product[Name])</f>
        <v>MTG Bloomburrow Collector Booster Box</v>
      </c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1" s="6" t="b">
        <f>_xlfn.XLOOKUP(tbl_Sourcing[[#This Row],[Product Id]], tbl_Product[Product Id], tbl_Product[Is Set or Play Booster])</f>
        <v>0</v>
      </c>
      <c r="AX261" s="6" t="b">
        <f>_xlfn.XLOOKUP(tbl_Sourcing[[#This Row],[Product Id]], tbl_Product[Product Id], tbl_Product[Is Precon])</f>
        <v>0</v>
      </c>
    </row>
    <row r="262" spans="1:50">
      <c r="A262">
        <v>521</v>
      </c>
      <c r="B262">
        <v>79</v>
      </c>
      <c r="C262" t="s">
        <v>1874</v>
      </c>
      <c r="D262" s="1"/>
      <c r="E262" s="1">
        <f>_xlfn.XLOOKUP(tbl_Sourcing[[#This Row],[Notes]], tbl_Sourcing[Sourcing Id],  tbl_Sourcing[Sale Price])*tbl_Sourcing[[#This Row],[Min Order Value]]+8</f>
        <v>194.34306723199998</v>
      </c>
      <c r="F262" s="1" t="b">
        <f>_xlfn.XLOOKUP(tbl_Sourcing[[#This Row],[Notes]], tbl_Sourcing[Sourcing Id], tbl_Sourcing[Active])</f>
        <v>1</v>
      </c>
      <c r="G262" s="6">
        <f>_xlfn.XLOOKUP(tbl_Sourcing[[#This Row],[Product Id]], tbl_Product[Product Id], tbl_Product[Pack Size])</f>
        <v>36</v>
      </c>
      <c r="I262">
        <v>185</v>
      </c>
      <c r="J262" s="6" t="str">
        <f>_xlfn.XLOOKUP(tbl_Sourcing[[#This Row],[Product Id]], tbl_Product[Product Id], tbl_Product[Name])</f>
        <v>MTG Bloomburrow Play Booster Box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2" s="6" t="b">
        <f>_xlfn.XLOOKUP(tbl_Sourcing[[#This Row],[Product Id]], tbl_Product[Product Id], tbl_Product[Is Set or Play Booster])</f>
        <v>1</v>
      </c>
      <c r="AX262" s="6" t="b">
        <f>_xlfn.XLOOKUP(tbl_Sourcing[[#This Row],[Product Id]], tbl_Product[Product Id], tbl_Product[Is Precon])</f>
        <v>0</v>
      </c>
    </row>
    <row r="263" spans="1:50">
      <c r="A263">
        <v>529</v>
      </c>
      <c r="B263">
        <v>92</v>
      </c>
      <c r="C263" t="s">
        <v>1874</v>
      </c>
      <c r="D263" s="1"/>
      <c r="E263" s="1">
        <f>_xlfn.XLOOKUP(tbl_Sourcing[[#This Row],[Notes]], tbl_Sourcing[Sourcing Id],  tbl_Sourcing[Sale Price])*tbl_Sourcing[[#This Row],[Min Order Value]]+8</f>
        <v>463.05290199679996</v>
      </c>
      <c r="F263" s="1" t="b">
        <f>_xlfn.XLOOKUP(tbl_Sourcing[[#This Row],[Notes]], tbl_Sourcing[Sourcing Id], tbl_Sourcing[Active])</f>
        <v>1</v>
      </c>
      <c r="G263" s="6">
        <f>_xlfn.XLOOKUP(tbl_Sourcing[[#This Row],[Product Id]], tbl_Product[Product Id], tbl_Product[Pack Size])</f>
        <v>4</v>
      </c>
      <c r="I263">
        <v>194</v>
      </c>
      <c r="J263" s="6" t="str">
        <f>_xlfn.XLOOKUP(tbl_Sourcing[[#This Row],[Product Id]], tbl_Product[Product Id], tbl_Product[Name])</f>
        <v>MTG Commander Masters Collector Booster Box</v>
      </c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3" s="6" t="b">
        <f>_xlfn.XLOOKUP(tbl_Sourcing[[#This Row],[Product Id]], tbl_Product[Product Id], tbl_Product[Is Set or Play Booster])</f>
        <v>0</v>
      </c>
      <c r="AX263" s="6" t="b">
        <f>_xlfn.XLOOKUP(tbl_Sourcing[[#This Row],[Product Id]], tbl_Product[Product Id], tbl_Product[Is Precon])</f>
        <v>0</v>
      </c>
    </row>
    <row r="264" spans="1:50">
      <c r="A264">
        <v>494</v>
      </c>
      <c r="B264">
        <v>52</v>
      </c>
      <c r="C264" t="s">
        <v>1874</v>
      </c>
      <c r="D264" s="1"/>
      <c r="E264" s="1">
        <f>_xlfn.XLOOKUP(tbl_Sourcing[[#This Row],[Notes]], tbl_Sourcing[Sourcing Id],  tbl_Sourcing[Sale Price])*tbl_Sourcing[[#This Row],[Min Order Value]]+8</f>
        <v>429.751255808</v>
      </c>
      <c r="F264" s="1" t="b">
        <f>_xlfn.XLOOKUP(tbl_Sourcing[[#This Row],[Notes]], tbl_Sourcing[Sourcing Id], tbl_Sourcing[Active])</f>
        <v>1</v>
      </c>
      <c r="G264" s="6">
        <f>_xlfn.XLOOKUP(tbl_Sourcing[[#This Row],[Product Id]], tbl_Product[Product Id], tbl_Product[Pack Size])</f>
        <v>24</v>
      </c>
      <c r="I264">
        <v>158</v>
      </c>
      <c r="J264" s="6" t="str">
        <f>_xlfn.XLOOKUP(tbl_Sourcing[[#This Row],[Product Id]], tbl_Product[Product Id], tbl_Product[Name])</f>
        <v>MTG Commander Masters Set Booster Box</v>
      </c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4" s="6" t="b">
        <f>_xlfn.XLOOKUP(tbl_Sourcing[[#This Row],[Product Id]], tbl_Product[Product Id], tbl_Product[Is Set or Play Booster])</f>
        <v>1</v>
      </c>
      <c r="AX264" s="6" t="b">
        <f>_xlfn.XLOOKUP(tbl_Sourcing[[#This Row],[Product Id]], tbl_Product[Product Id], tbl_Product[Is Precon])</f>
        <v>0</v>
      </c>
    </row>
    <row r="265" spans="1:50">
      <c r="A265">
        <v>504</v>
      </c>
      <c r="B265">
        <v>62</v>
      </c>
      <c r="C265" t="s">
        <v>1874</v>
      </c>
      <c r="D265" s="1"/>
      <c r="E265" s="1">
        <f>_xlfn.XLOOKUP(tbl_Sourcing[[#This Row],[Notes]], tbl_Sourcing[Sourcing Id],  tbl_Sourcing[Sale Price])*tbl_Sourcing[[#This Row],[Min Order Value]]+8</f>
        <v>8</v>
      </c>
      <c r="F265" s="1" t="b">
        <f>_xlfn.XLOOKUP(tbl_Sourcing[[#This Row],[Notes]], tbl_Sourcing[Sourcing Id], tbl_Sourcing[Active])</f>
        <v>1</v>
      </c>
      <c r="G265" s="6">
        <f>_xlfn.XLOOKUP(tbl_Sourcing[[#This Row],[Product Id]], tbl_Product[Product Id], tbl_Product[Pack Size])</f>
        <v>0</v>
      </c>
      <c r="I265">
        <v>168</v>
      </c>
      <c r="J265" s="6" t="str">
        <f>_xlfn.XLOOKUP(tbl_Sourcing[[#This Row],[Product Id]], tbl_Product[Product Id], tbl_Product[Name])</f>
        <v>MTG Dominaria DOM Booster Box</v>
      </c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5" s="6" t="b">
        <f>_xlfn.XLOOKUP(tbl_Sourcing[[#This Row],[Product Id]], tbl_Product[Product Id], tbl_Product[Is Set or Play Booster])</f>
        <v>1</v>
      </c>
      <c r="AX265" s="6" t="b">
        <f>_xlfn.XLOOKUP(tbl_Sourcing[[#This Row],[Product Id]], tbl_Product[Product Id], tbl_Product[Is Precon])</f>
        <v>0</v>
      </c>
    </row>
    <row r="266" spans="1:50">
      <c r="A266">
        <v>530</v>
      </c>
      <c r="B266">
        <v>94</v>
      </c>
      <c r="C266" t="s">
        <v>1874</v>
      </c>
      <c r="D266" s="1"/>
      <c r="E266" s="1">
        <f>_xlfn.XLOOKUP(tbl_Sourcing[[#This Row],[Notes]], tbl_Sourcing[Sourcing Id],  tbl_Sourcing[Sale Price])*tbl_Sourcing[[#This Row],[Min Order Value]]+8</f>
        <v>300.30285055999991</v>
      </c>
      <c r="F266" s="1" t="b">
        <f>_xlfn.XLOOKUP(tbl_Sourcing[[#This Row],[Notes]], tbl_Sourcing[Sourcing Id], tbl_Sourcing[Active])</f>
        <v>1</v>
      </c>
      <c r="G266" s="6">
        <f>_xlfn.XLOOKUP(tbl_Sourcing[[#This Row],[Product Id]], tbl_Product[Product Id], tbl_Product[Pack Size])</f>
        <v>12</v>
      </c>
      <c r="I266">
        <v>195</v>
      </c>
      <c r="J266" s="6" t="str">
        <f>_xlfn.XLOOKUP(tbl_Sourcing[[#This Row],[Product Id]], tbl_Product[Product Id], tbl_Product[Name])</f>
        <v>MTG Dominaria United DMU Collector Booster Box</v>
      </c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6" s="6" t="b">
        <f>_xlfn.XLOOKUP(tbl_Sourcing[[#This Row],[Product Id]], tbl_Product[Product Id], tbl_Product[Is Set or Play Booster])</f>
        <v>0</v>
      </c>
      <c r="AX266" s="6" t="b">
        <f>_xlfn.XLOOKUP(tbl_Sourcing[[#This Row],[Product Id]], tbl_Product[Product Id], tbl_Product[Is Precon])</f>
        <v>0</v>
      </c>
    </row>
    <row r="267" spans="1:50">
      <c r="A267">
        <v>518</v>
      </c>
      <c r="B267">
        <v>76</v>
      </c>
      <c r="C267" t="s">
        <v>1874</v>
      </c>
      <c r="D267" s="1"/>
      <c r="E267" s="1">
        <f>_xlfn.XLOOKUP(tbl_Sourcing[[#This Row],[Notes]], tbl_Sourcing[Sourcing Id],  tbl_Sourcing[Sale Price])*tbl_Sourcing[[#This Row],[Min Order Value]]+8</f>
        <v>130.66280336</v>
      </c>
      <c r="F267" s="1" t="b">
        <f>_xlfn.XLOOKUP(tbl_Sourcing[[#This Row],[Notes]], tbl_Sourcing[Sourcing Id], tbl_Sourcing[Active])</f>
        <v>1</v>
      </c>
      <c r="G267" s="6">
        <f>_xlfn.XLOOKUP(tbl_Sourcing[[#This Row],[Product Id]], tbl_Product[Product Id], tbl_Product[Pack Size])</f>
        <v>30</v>
      </c>
      <c r="I267">
        <v>182</v>
      </c>
      <c r="J267" s="6" t="str">
        <f>_xlfn.XLOOKUP(tbl_Sourcing[[#This Row],[Product Id]], tbl_Product[Product Id], tbl_Product[Name])</f>
        <v>MTG Dominaria United DMU Set Booster Box</v>
      </c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7" s="6" t="b">
        <f>_xlfn.XLOOKUP(tbl_Sourcing[[#This Row],[Product Id]], tbl_Product[Product Id], tbl_Product[Is Set or Play Booster])</f>
        <v>1</v>
      </c>
      <c r="AX267" s="6" t="b">
        <f>_xlfn.XLOOKUP(tbl_Sourcing[[#This Row],[Product Id]], tbl_Product[Product Id], tbl_Product[Is Precon])</f>
        <v>0</v>
      </c>
    </row>
    <row r="268" spans="1:50">
      <c r="A268">
        <v>531</v>
      </c>
      <c r="B268">
        <v>96</v>
      </c>
      <c r="C268" t="s">
        <v>1874</v>
      </c>
      <c r="D268" s="1"/>
      <c r="E268" s="1">
        <f>_xlfn.XLOOKUP(tbl_Sourcing[[#This Row],[Notes]], tbl_Sourcing[Sourcing Id],  tbl_Sourcing[Sale Price])*tbl_Sourcing[[#This Row],[Min Order Value]]+8</f>
        <v>349.367971904</v>
      </c>
      <c r="F268" s="1" t="b">
        <f>_xlfn.XLOOKUP(tbl_Sourcing[[#This Row],[Notes]], tbl_Sourcing[Sourcing Id], tbl_Sourcing[Active])</f>
        <v>1</v>
      </c>
      <c r="G268" s="6">
        <f>_xlfn.XLOOKUP(tbl_Sourcing[[#This Row],[Product Id]], tbl_Product[Product Id], tbl_Product[Pack Size])</f>
        <v>12</v>
      </c>
      <c r="I268">
        <v>196</v>
      </c>
      <c r="J268" s="6" t="str">
        <f>_xlfn.XLOOKUP(tbl_Sourcing[[#This Row],[Product Id]], tbl_Product[Product Id], tbl_Product[Name])</f>
        <v>MTG Duskmourn: House of Horror Collector Booster Box</v>
      </c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8" s="6" t="b">
        <f>_xlfn.XLOOKUP(tbl_Sourcing[[#This Row],[Product Id]], tbl_Product[Product Id], tbl_Product[Is Set or Play Booster])</f>
        <v>0</v>
      </c>
      <c r="AX268" s="6" t="b">
        <f>_xlfn.XLOOKUP(tbl_Sourcing[[#This Row],[Product Id]], tbl_Product[Product Id], tbl_Product[Is Precon])</f>
        <v>0</v>
      </c>
    </row>
    <row r="269" spans="1:50">
      <c r="A269">
        <v>513</v>
      </c>
      <c r="B269">
        <v>71</v>
      </c>
      <c r="C269" t="s">
        <v>1874</v>
      </c>
      <c r="D269" s="1"/>
      <c r="E269" s="1">
        <f>_xlfn.XLOOKUP(tbl_Sourcing[[#This Row],[Notes]], tbl_Sourcing[Sourcing Id],  tbl_Sourcing[Sale Price])*tbl_Sourcing[[#This Row],[Min Order Value]]+8</f>
        <v>133.27265023999999</v>
      </c>
      <c r="F269" s="1" t="b">
        <f>_xlfn.XLOOKUP(tbl_Sourcing[[#This Row],[Notes]], tbl_Sourcing[Sourcing Id], tbl_Sourcing[Active])</f>
        <v>1</v>
      </c>
      <c r="G269" s="6">
        <f>_xlfn.XLOOKUP(tbl_Sourcing[[#This Row],[Product Id]], tbl_Product[Product Id], tbl_Product[Pack Size])</f>
        <v>36</v>
      </c>
      <c r="I269">
        <v>177</v>
      </c>
      <c r="J269" s="6" t="str">
        <f>_xlfn.XLOOKUP(tbl_Sourcing[[#This Row],[Product Id]], tbl_Product[Product Id], tbl_Product[Name])</f>
        <v>MTG Duskmourn: House of Horror Play Booster Box</v>
      </c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69" s="6" t="b">
        <f>_xlfn.XLOOKUP(tbl_Sourcing[[#This Row],[Product Id]], tbl_Product[Product Id], tbl_Product[Is Set or Play Booster])</f>
        <v>1</v>
      </c>
      <c r="AX269" s="6" t="b">
        <f>_xlfn.XLOOKUP(tbl_Sourcing[[#This Row],[Product Id]], tbl_Product[Product Id], tbl_Product[Is Precon])</f>
        <v>0</v>
      </c>
    </row>
    <row r="270" spans="1:50">
      <c r="A270">
        <v>532</v>
      </c>
      <c r="B270">
        <v>98</v>
      </c>
      <c r="C270" t="s">
        <v>1874</v>
      </c>
      <c r="D270" s="1"/>
      <c r="E270" s="1">
        <f>_xlfn.XLOOKUP(tbl_Sourcing[[#This Row],[Notes]], tbl_Sourcing[Sourcing Id],  tbl_Sourcing[Sale Price])*tbl_Sourcing[[#This Row],[Min Order Value]]+8</f>
        <v>454.17942260480004</v>
      </c>
      <c r="F270" s="1" t="b">
        <f>_xlfn.XLOOKUP(tbl_Sourcing[[#This Row],[Notes]], tbl_Sourcing[Sourcing Id], tbl_Sourcing[Active])</f>
        <v>1</v>
      </c>
      <c r="G270" s="6">
        <f>_xlfn.XLOOKUP(tbl_Sourcing[[#This Row],[Product Id]], tbl_Product[Product Id], tbl_Product[Pack Size])</f>
        <v>12</v>
      </c>
      <c r="I270">
        <v>197</v>
      </c>
      <c r="J270" s="6" t="str">
        <f>_xlfn.XLOOKUP(tbl_Sourcing[[#This Row],[Product Id]], tbl_Product[Product Id], tbl_Product[Name])</f>
        <v>MTG Edge of Eternities Collector Booster Box</v>
      </c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0" s="6" t="b">
        <f>_xlfn.XLOOKUP(tbl_Sourcing[[#This Row],[Product Id]], tbl_Product[Product Id], tbl_Product[Is Set or Play Booster])</f>
        <v>0</v>
      </c>
      <c r="AX270" s="6" t="b">
        <f>_xlfn.XLOOKUP(tbl_Sourcing[[#This Row],[Product Id]], tbl_Product[Product Id], tbl_Product[Is Precon])</f>
        <v>0</v>
      </c>
    </row>
    <row r="271" spans="1:50">
      <c r="A271">
        <v>507</v>
      </c>
      <c r="B271">
        <v>65</v>
      </c>
      <c r="C271" t="s">
        <v>1874</v>
      </c>
      <c r="D271" s="1"/>
      <c r="E271" s="1">
        <f>_xlfn.XLOOKUP(tbl_Sourcing[[#This Row],[Notes]], tbl_Sourcing[Sourcing Id],  tbl_Sourcing[Sale Price])*tbl_Sourcing[[#This Row],[Min Order Value]]+8</f>
        <v>163.28588935999997</v>
      </c>
      <c r="F271" s="1" t="b">
        <f>_xlfn.XLOOKUP(tbl_Sourcing[[#This Row],[Notes]], tbl_Sourcing[Sourcing Id], tbl_Sourcing[Active])</f>
        <v>1</v>
      </c>
      <c r="G271" s="6">
        <f>_xlfn.XLOOKUP(tbl_Sourcing[[#This Row],[Product Id]], tbl_Product[Product Id], tbl_Product[Pack Size])</f>
        <v>30</v>
      </c>
      <c r="I271">
        <v>171</v>
      </c>
      <c r="J271" s="6" t="str">
        <f>_xlfn.XLOOKUP(tbl_Sourcing[[#This Row],[Product Id]], tbl_Product[Product Id], tbl_Product[Name])</f>
        <v>MTG Edge of Eternities Play Booster Box</v>
      </c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1" s="6" t="b">
        <f>_xlfn.XLOOKUP(tbl_Sourcing[[#This Row],[Product Id]], tbl_Product[Product Id], tbl_Product[Is Set or Play Booster])</f>
        <v>1</v>
      </c>
      <c r="AX271" s="6" t="b">
        <f>_xlfn.XLOOKUP(tbl_Sourcing[[#This Row],[Product Id]], tbl_Product[Product Id], tbl_Product[Is Precon])</f>
        <v>0</v>
      </c>
    </row>
    <row r="272" spans="1:50">
      <c r="A272">
        <v>533</v>
      </c>
      <c r="B272">
        <v>100</v>
      </c>
      <c r="C272" t="s">
        <v>1874</v>
      </c>
      <c r="D272" s="1"/>
      <c r="E272" s="1">
        <f>_xlfn.XLOOKUP(tbl_Sourcing[[#This Row],[Notes]], tbl_Sourcing[Sourcing Id],  tbl_Sourcing[Sale Price])*tbl_Sourcing[[#This Row],[Min Order Value]]+8</f>
        <v>1087.1194879423999</v>
      </c>
      <c r="F272" s="1" t="b">
        <f>_xlfn.XLOOKUP(tbl_Sourcing[[#This Row],[Notes]], tbl_Sourcing[Sourcing Id], tbl_Sourcing[Active])</f>
        <v>1</v>
      </c>
      <c r="G272" s="6">
        <f>_xlfn.XLOOKUP(tbl_Sourcing[[#This Row],[Product Id]], tbl_Product[Product Id], tbl_Product[Pack Size])</f>
        <v>12</v>
      </c>
      <c r="I272">
        <v>198</v>
      </c>
      <c r="J272" s="6" t="str">
        <f>_xlfn.XLOOKUP(tbl_Sourcing[[#This Row],[Product Id]], tbl_Product[Product Id], tbl_Product[Name])</f>
        <v>MTG Final Fantasy Collector Booster Box</v>
      </c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2" s="6" t="b">
        <f>_xlfn.XLOOKUP(tbl_Sourcing[[#This Row],[Product Id]], tbl_Product[Product Id], tbl_Product[Is Set or Play Booster])</f>
        <v>0</v>
      </c>
      <c r="AX272" s="6" t="b">
        <f>_xlfn.XLOOKUP(tbl_Sourcing[[#This Row],[Product Id]], tbl_Product[Product Id], tbl_Product[Is Precon])</f>
        <v>0</v>
      </c>
    </row>
    <row r="273" spans="1:50">
      <c r="A273">
        <v>520</v>
      </c>
      <c r="B273">
        <v>78</v>
      </c>
      <c r="C273" t="s">
        <v>1874</v>
      </c>
      <c r="D273" s="1"/>
      <c r="E273" s="1">
        <f>_xlfn.XLOOKUP(tbl_Sourcing[[#This Row],[Notes]], tbl_Sourcing[Sourcing Id],  tbl_Sourcing[Sale Price])*tbl_Sourcing[[#This Row],[Min Order Value]]+8</f>
        <v>200.60669974399997</v>
      </c>
      <c r="F273" s="1" t="b">
        <f>_xlfn.XLOOKUP(tbl_Sourcing[[#This Row],[Notes]], tbl_Sourcing[Sourcing Id], tbl_Sourcing[Active])</f>
        <v>1</v>
      </c>
      <c r="G273" s="6">
        <f>_xlfn.XLOOKUP(tbl_Sourcing[[#This Row],[Product Id]], tbl_Product[Product Id], tbl_Product[Pack Size])</f>
        <v>30</v>
      </c>
      <c r="I273">
        <v>184</v>
      </c>
      <c r="J273" s="6" t="str">
        <f>_xlfn.XLOOKUP(tbl_Sourcing[[#This Row],[Product Id]], tbl_Product[Product Id], tbl_Product[Name])</f>
        <v>MTG Final Fantasy Play Booster Box</v>
      </c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3" s="6" t="b">
        <f>_xlfn.XLOOKUP(tbl_Sourcing[[#This Row],[Product Id]], tbl_Product[Product Id], tbl_Product[Is Set or Play Booster])</f>
        <v>1</v>
      </c>
      <c r="AX273" s="6" t="b">
        <f>_xlfn.XLOOKUP(tbl_Sourcing[[#This Row],[Product Id]], tbl_Product[Product Id], tbl_Product[Is Precon])</f>
        <v>0</v>
      </c>
    </row>
    <row r="274" spans="1:50">
      <c r="A274">
        <v>534</v>
      </c>
      <c r="B274">
        <v>102</v>
      </c>
      <c r="C274" t="s">
        <v>1874</v>
      </c>
      <c r="D274" s="1"/>
      <c r="E274" s="1">
        <f>_xlfn.XLOOKUP(tbl_Sourcing[[#This Row],[Notes]], tbl_Sourcing[Sourcing Id],  tbl_Sourcing[Sale Price])*tbl_Sourcing[[#This Row],[Min Order Value]]+8</f>
        <v>616.09432303999984</v>
      </c>
      <c r="F274" s="1" t="b">
        <f>_xlfn.XLOOKUP(tbl_Sourcing[[#This Row],[Notes]], tbl_Sourcing[Sourcing Id], tbl_Sourcing[Active])</f>
        <v>1</v>
      </c>
      <c r="G274" s="6">
        <f>_xlfn.XLOOKUP(tbl_Sourcing[[#This Row],[Product Id]], tbl_Product[Product Id], tbl_Product[Pack Size])</f>
        <v>12</v>
      </c>
      <c r="I274">
        <v>199</v>
      </c>
      <c r="J274" s="6" t="str">
        <f>_xlfn.XLOOKUP(tbl_Sourcing[[#This Row],[Product Id]], tbl_Product[Product Id], tbl_Product[Name])</f>
        <v>MTG Foundations Collector Booster Box</v>
      </c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4" s="6" t="b">
        <f>_xlfn.XLOOKUP(tbl_Sourcing[[#This Row],[Product Id]], tbl_Product[Product Id], tbl_Product[Is Set or Play Booster])</f>
        <v>0</v>
      </c>
      <c r="AX274" s="6" t="b">
        <f>_xlfn.XLOOKUP(tbl_Sourcing[[#This Row],[Product Id]], tbl_Product[Product Id], tbl_Product[Is Precon])</f>
        <v>0</v>
      </c>
    </row>
    <row r="275" spans="1:50">
      <c r="A275">
        <v>503</v>
      </c>
      <c r="B275">
        <v>61</v>
      </c>
      <c r="C275" t="s">
        <v>1874</v>
      </c>
      <c r="D275" s="1"/>
      <c r="E275" s="1">
        <f>_xlfn.XLOOKUP(tbl_Sourcing[[#This Row],[Notes]], tbl_Sourcing[Sourcing Id],  tbl_Sourcing[Sale Price])*tbl_Sourcing[[#This Row],[Min Order Value]]+8</f>
        <v>138.492344</v>
      </c>
      <c r="F275" s="1" t="b">
        <f>_xlfn.XLOOKUP(tbl_Sourcing[[#This Row],[Notes]], tbl_Sourcing[Sourcing Id], tbl_Sourcing[Active])</f>
        <v>1</v>
      </c>
      <c r="G275" s="6">
        <f>_xlfn.XLOOKUP(tbl_Sourcing[[#This Row],[Product Id]], tbl_Product[Product Id], tbl_Product[Pack Size])</f>
        <v>30</v>
      </c>
      <c r="I275">
        <v>167</v>
      </c>
      <c r="J275" s="6" t="str">
        <f>_xlfn.XLOOKUP(tbl_Sourcing[[#This Row],[Product Id]], tbl_Product[Product Id], tbl_Product[Name])</f>
        <v>MTG Foundations Play Booster Box</v>
      </c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5" s="6" t="b">
        <f>_xlfn.XLOOKUP(tbl_Sourcing[[#This Row],[Product Id]], tbl_Product[Product Id], tbl_Product[Is Set or Play Booster])</f>
        <v>1</v>
      </c>
      <c r="AX275" s="6" t="b">
        <f>_xlfn.XLOOKUP(tbl_Sourcing[[#This Row],[Product Id]], tbl_Product[Product Id], tbl_Product[Is Precon])</f>
        <v>0</v>
      </c>
    </row>
    <row r="276" spans="1:50">
      <c r="A276">
        <v>524</v>
      </c>
      <c r="B276">
        <v>82</v>
      </c>
      <c r="C276" t="s">
        <v>1874</v>
      </c>
      <c r="D276" s="1"/>
      <c r="E276" s="1">
        <f>_xlfn.XLOOKUP(tbl_Sourcing[[#This Row],[Notes]], tbl_Sourcing[Sourcing Id],  tbl_Sourcing[Sale Price])*tbl_Sourcing[[#This Row],[Min Order Value]]+8</f>
        <v>8</v>
      </c>
      <c r="F276" s="1" t="b">
        <f>_xlfn.XLOOKUP(tbl_Sourcing[[#This Row],[Notes]], tbl_Sourcing[Sourcing Id], tbl_Sourcing[Active])</f>
        <v>1</v>
      </c>
      <c r="G276" s="6">
        <f>_xlfn.XLOOKUP(tbl_Sourcing[[#This Row],[Product Id]], tbl_Product[Product Id], tbl_Product[Pack Size])</f>
        <v>0</v>
      </c>
      <c r="I276">
        <v>188</v>
      </c>
      <c r="J276" s="6" t="str">
        <f>_xlfn.XLOOKUP(tbl_Sourcing[[#This Row],[Product Id]], tbl_Product[Product Id], tbl_Product[Name])</f>
        <v>MTG Guilds of Ravnica Booster Box</v>
      </c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6" s="6" t="b">
        <f>_xlfn.XLOOKUP(tbl_Sourcing[[#This Row],[Product Id]], tbl_Product[Product Id], tbl_Product[Is Set or Play Booster])</f>
        <v>1</v>
      </c>
      <c r="AX276" s="6" t="b">
        <f>_xlfn.XLOOKUP(tbl_Sourcing[[#This Row],[Product Id]], tbl_Product[Product Id], tbl_Product[Is Precon])</f>
        <v>0</v>
      </c>
    </row>
    <row r="277" spans="1:50">
      <c r="A277">
        <v>536</v>
      </c>
      <c r="B277">
        <v>106</v>
      </c>
      <c r="C277" t="s">
        <v>1874</v>
      </c>
      <c r="D277" s="1"/>
      <c r="E277" s="1">
        <f>_xlfn.XLOOKUP(tbl_Sourcing[[#This Row],[Notes]], tbl_Sourcing[Sourcing Id],  tbl_Sourcing[Sale Price])*tbl_Sourcing[[#This Row],[Min Order Value]]+8</f>
        <v>380.37295283840001</v>
      </c>
      <c r="F277" s="1" t="b">
        <f>_xlfn.XLOOKUP(tbl_Sourcing[[#This Row],[Notes]], tbl_Sourcing[Sourcing Id], tbl_Sourcing[Active])</f>
        <v>1</v>
      </c>
      <c r="G277" s="6">
        <f>_xlfn.XLOOKUP(tbl_Sourcing[[#This Row],[Product Id]], tbl_Product[Product Id], tbl_Product[Pack Size])</f>
        <v>12</v>
      </c>
      <c r="I277">
        <v>201</v>
      </c>
      <c r="J277" s="6" t="str">
        <f>_xlfn.XLOOKUP(tbl_Sourcing[[#This Row],[Product Id]], tbl_Product[Product Id], tbl_Product[Name])</f>
        <v>MTG Innistrad Remastered INR Collector Booster Box</v>
      </c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7" s="6" t="b">
        <f>_xlfn.XLOOKUP(tbl_Sourcing[[#This Row],[Product Id]], tbl_Product[Product Id], tbl_Product[Is Set or Play Booster])</f>
        <v>0</v>
      </c>
      <c r="AX277" s="6" t="b">
        <f>_xlfn.XLOOKUP(tbl_Sourcing[[#This Row],[Product Id]], tbl_Product[Product Id], tbl_Product[Is Precon])</f>
        <v>0</v>
      </c>
    </row>
    <row r="278" spans="1:50">
      <c r="A278">
        <v>490</v>
      </c>
      <c r="B278">
        <v>48</v>
      </c>
      <c r="C278" t="s">
        <v>1874</v>
      </c>
      <c r="D278" s="1"/>
      <c r="E278" s="1">
        <f>_xlfn.XLOOKUP(tbl_Sourcing[[#This Row],[Notes]], tbl_Sourcing[Sourcing Id],  tbl_Sourcing[Sale Price])*tbl_Sourcing[[#This Row],[Min Order Value]]+8</f>
        <v>186.82670821759996</v>
      </c>
      <c r="F278" s="1" t="b">
        <f>_xlfn.XLOOKUP(tbl_Sourcing[[#This Row],[Notes]], tbl_Sourcing[Sourcing Id], tbl_Sourcing[Active])</f>
        <v>1</v>
      </c>
      <c r="G278" s="6">
        <f>_xlfn.XLOOKUP(tbl_Sourcing[[#This Row],[Product Id]], tbl_Product[Product Id], tbl_Product[Pack Size])</f>
        <v>36</v>
      </c>
      <c r="I278">
        <v>154</v>
      </c>
      <c r="J278" s="6" t="str">
        <f>_xlfn.XLOOKUP(tbl_Sourcing[[#This Row],[Product Id]], tbl_Product[Product Id], tbl_Product[Name])</f>
        <v>MTG Innistrad Remastered INR Play Booster Box</v>
      </c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8" s="6" t="b">
        <f>_xlfn.XLOOKUP(tbl_Sourcing[[#This Row],[Product Id]], tbl_Product[Product Id], tbl_Product[Is Set or Play Booster])</f>
        <v>1</v>
      </c>
      <c r="AX278" s="6" t="b">
        <f>_xlfn.XLOOKUP(tbl_Sourcing[[#This Row],[Product Id]], tbl_Product[Product Id], tbl_Product[Is Precon])</f>
        <v>0</v>
      </c>
    </row>
    <row r="279" spans="1:50">
      <c r="A279">
        <v>537</v>
      </c>
      <c r="B279">
        <v>108</v>
      </c>
      <c r="C279" t="s">
        <v>1874</v>
      </c>
      <c r="D279" s="1"/>
      <c r="E279" s="1">
        <f>_xlfn.XLOOKUP(tbl_Sourcing[[#This Row],[Notes]], tbl_Sourcing[Sourcing Id],  tbl_Sourcing[Sale Price])*tbl_Sourcing[[#This Row],[Min Order Value]]+8</f>
        <v>189.123373472</v>
      </c>
      <c r="F279" s="1" t="b">
        <f>_xlfn.XLOOKUP(tbl_Sourcing[[#This Row],[Notes]], tbl_Sourcing[Sourcing Id], tbl_Sourcing[Active])</f>
        <v>1</v>
      </c>
      <c r="G279" s="6">
        <f>_xlfn.XLOOKUP(tbl_Sourcing[[#This Row],[Product Id]], tbl_Product[Product Id], tbl_Product[Pack Size])</f>
        <v>12</v>
      </c>
      <c r="I279">
        <v>202</v>
      </c>
      <c r="J279" s="6" t="str">
        <f>_xlfn.XLOOKUP(tbl_Sourcing[[#This Row],[Product Id]], tbl_Product[Product Id], tbl_Product[Name])</f>
        <v>MTG Innistrad: Crimson Vow Collector Booster Box</v>
      </c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79" s="6" t="b">
        <f>_xlfn.XLOOKUP(tbl_Sourcing[[#This Row],[Product Id]], tbl_Product[Product Id], tbl_Product[Is Set or Play Booster])</f>
        <v>0</v>
      </c>
      <c r="AX279" s="6" t="b">
        <f>_xlfn.XLOOKUP(tbl_Sourcing[[#This Row],[Product Id]], tbl_Product[Product Id], tbl_Product[Is Precon])</f>
        <v>0</v>
      </c>
    </row>
    <row r="280" spans="1:50">
      <c r="A280">
        <v>500</v>
      </c>
      <c r="B280">
        <v>58</v>
      </c>
      <c r="C280" t="s">
        <v>1874</v>
      </c>
      <c r="D280" s="1"/>
      <c r="E280" s="1">
        <f>_xlfn.XLOOKUP(tbl_Sourcing[[#This Row],[Notes]], tbl_Sourcing[Sourcing Id],  tbl_Sourcing[Sale Price])*tbl_Sourcing[[#This Row],[Min Order Value]]+8</f>
        <v>112.39387519999998</v>
      </c>
      <c r="F280" s="1" t="b">
        <f>_xlfn.XLOOKUP(tbl_Sourcing[[#This Row],[Notes]], tbl_Sourcing[Sourcing Id], tbl_Sourcing[Active])</f>
        <v>1</v>
      </c>
      <c r="G280" s="6">
        <f>_xlfn.XLOOKUP(tbl_Sourcing[[#This Row],[Product Id]], tbl_Product[Product Id], tbl_Product[Pack Size])</f>
        <v>30</v>
      </c>
      <c r="I280">
        <v>164</v>
      </c>
      <c r="J280" s="6" t="str">
        <f>_xlfn.XLOOKUP(tbl_Sourcing[[#This Row],[Product Id]], tbl_Product[Product Id], tbl_Product[Name])</f>
        <v>MTG Innistrad: Crimson Vow Set Booster Box</v>
      </c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0" s="6" t="b">
        <f>_xlfn.XLOOKUP(tbl_Sourcing[[#This Row],[Product Id]], tbl_Product[Product Id], tbl_Product[Is Set or Play Booster])</f>
        <v>1</v>
      </c>
      <c r="AX280" s="6" t="b">
        <f>_xlfn.XLOOKUP(tbl_Sourcing[[#This Row],[Product Id]], tbl_Product[Product Id], tbl_Product[Is Precon])</f>
        <v>0</v>
      </c>
    </row>
    <row r="281" spans="1:50">
      <c r="A281">
        <v>535</v>
      </c>
      <c r="B281">
        <v>104</v>
      </c>
      <c r="C281" t="s">
        <v>1874</v>
      </c>
      <c r="D281" s="1"/>
      <c r="E281" s="1">
        <f>_xlfn.XLOOKUP(tbl_Sourcing[[#This Row],[Notes]], tbl_Sourcing[Sourcing Id],  tbl_Sourcing[Sale Price])*tbl_Sourcing[[#This Row],[Min Order Value]]+8</f>
        <v>205.09563637759999</v>
      </c>
      <c r="F281" s="1" t="b">
        <f>_xlfn.XLOOKUP(tbl_Sourcing[[#This Row],[Notes]], tbl_Sourcing[Sourcing Id], tbl_Sourcing[Active])</f>
        <v>1</v>
      </c>
      <c r="G281" s="6">
        <f>_xlfn.XLOOKUP(tbl_Sourcing[[#This Row],[Product Id]], tbl_Product[Product Id], tbl_Product[Pack Size])</f>
        <v>12</v>
      </c>
      <c r="I281">
        <v>200</v>
      </c>
      <c r="J281" s="6" t="str">
        <f>_xlfn.XLOOKUP(tbl_Sourcing[[#This Row],[Product Id]], tbl_Product[Product Id], tbl_Product[Name])</f>
        <v>MTG Innistrad: Midnight Hunt Collector Booster Box</v>
      </c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1" s="6" t="b">
        <f>_xlfn.XLOOKUP(tbl_Sourcing[[#This Row],[Product Id]], tbl_Product[Product Id], tbl_Product[Is Set or Play Booster])</f>
        <v>0</v>
      </c>
      <c r="AX281" s="6" t="b">
        <f>_xlfn.XLOOKUP(tbl_Sourcing[[#This Row],[Product Id]], tbl_Product[Product Id], tbl_Product[Is Precon])</f>
        <v>0</v>
      </c>
    </row>
    <row r="282" spans="1:50">
      <c r="A282">
        <v>492</v>
      </c>
      <c r="B282">
        <v>50</v>
      </c>
      <c r="C282" t="s">
        <v>1874</v>
      </c>
      <c r="D282" s="1"/>
      <c r="E282" s="1">
        <f>_xlfn.XLOOKUP(tbl_Sourcing[[#This Row],[Notes]], tbl_Sourcing[Sourcing Id],  tbl_Sourcing[Sale Price])*tbl_Sourcing[[#This Row],[Min Order Value]]+8</f>
        <v>159.89308841600001</v>
      </c>
      <c r="F282" s="1" t="b">
        <f>_xlfn.XLOOKUP(tbl_Sourcing[[#This Row],[Notes]], tbl_Sourcing[Sourcing Id], tbl_Sourcing[Active])</f>
        <v>1</v>
      </c>
      <c r="G282" s="6">
        <f>_xlfn.XLOOKUP(tbl_Sourcing[[#This Row],[Product Id]], tbl_Product[Product Id], tbl_Product[Pack Size])</f>
        <v>30</v>
      </c>
      <c r="I282">
        <v>156</v>
      </c>
      <c r="J282" s="6" t="str">
        <f>_xlfn.XLOOKUP(tbl_Sourcing[[#This Row],[Product Id]], tbl_Product[Product Id], tbl_Product[Name])</f>
        <v>MTG Innistrad: Midnight Hunt Set Booster Box</v>
      </c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2" s="6" t="b">
        <f>_xlfn.XLOOKUP(tbl_Sourcing[[#This Row],[Product Id]], tbl_Product[Product Id], tbl_Product[Is Set or Play Booster])</f>
        <v>1</v>
      </c>
      <c r="AX282" s="6" t="b">
        <f>_xlfn.XLOOKUP(tbl_Sourcing[[#This Row],[Product Id]], tbl_Product[Product Id], tbl_Product[Is Precon])</f>
        <v>0</v>
      </c>
    </row>
    <row r="283" spans="1:50">
      <c r="A283">
        <v>538</v>
      </c>
      <c r="B283">
        <v>110</v>
      </c>
      <c r="C283" t="s">
        <v>1874</v>
      </c>
      <c r="D283" s="1"/>
      <c r="E283" s="1">
        <f>_xlfn.XLOOKUP(tbl_Sourcing[[#This Row],[Notes]], tbl_Sourcing[Sourcing Id],  tbl_Sourcing[Sale Price])*tbl_Sourcing[[#This Row],[Min Order Value]]+8</f>
        <v>281.09437752320002</v>
      </c>
      <c r="F283" s="1" t="b">
        <f>_xlfn.XLOOKUP(tbl_Sourcing[[#This Row],[Notes]], tbl_Sourcing[Sourcing Id], tbl_Sourcing[Active])</f>
        <v>1</v>
      </c>
      <c r="G283" s="6">
        <f>_xlfn.XLOOKUP(tbl_Sourcing[[#This Row],[Product Id]], tbl_Product[Product Id], tbl_Product[Pack Size])</f>
        <v>12</v>
      </c>
      <c r="I283">
        <v>203</v>
      </c>
      <c r="J283" s="6" t="str">
        <f>_xlfn.XLOOKUP(tbl_Sourcing[[#This Row],[Product Id]], tbl_Product[Product Id], tbl_Product[Name])</f>
        <v>MTG Kaldheim Collector Booster Box</v>
      </c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3" s="6" t="b">
        <f>_xlfn.XLOOKUP(tbl_Sourcing[[#This Row],[Product Id]], tbl_Product[Product Id], tbl_Product[Is Set or Play Booster])</f>
        <v>0</v>
      </c>
      <c r="AX283" s="6" t="b">
        <f>_xlfn.XLOOKUP(tbl_Sourcing[[#This Row],[Product Id]], tbl_Product[Product Id], tbl_Product[Is Precon])</f>
        <v>0</v>
      </c>
    </row>
    <row r="284" spans="1:50">
      <c r="A284">
        <v>493</v>
      </c>
      <c r="B284">
        <v>51</v>
      </c>
      <c r="C284" t="s">
        <v>1874</v>
      </c>
      <c r="D284" s="1"/>
      <c r="E284" s="1">
        <f>_xlfn.XLOOKUP(tbl_Sourcing[[#This Row],[Notes]], tbl_Sourcing[Sourcing Id],  tbl_Sourcing[Sale Price])*tbl_Sourcing[[#This Row],[Min Order Value]]+8</f>
        <v>248.62788233599997</v>
      </c>
      <c r="F284" s="1" t="b">
        <f>_xlfn.XLOOKUP(tbl_Sourcing[[#This Row],[Notes]], tbl_Sourcing[Sourcing Id], tbl_Sourcing[Active])</f>
        <v>1</v>
      </c>
      <c r="G284" s="6">
        <f>_xlfn.XLOOKUP(tbl_Sourcing[[#This Row],[Product Id]], tbl_Product[Product Id], tbl_Product[Pack Size])</f>
        <v>30</v>
      </c>
      <c r="I284">
        <v>157</v>
      </c>
      <c r="J284" s="6" t="str">
        <f>_xlfn.XLOOKUP(tbl_Sourcing[[#This Row],[Product Id]], tbl_Product[Product Id], tbl_Product[Name])</f>
        <v>MTG Kaldheim Set Booster Box</v>
      </c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4" s="6" t="b">
        <f>_xlfn.XLOOKUP(tbl_Sourcing[[#This Row],[Product Id]], tbl_Product[Product Id], tbl_Product[Is Set or Play Booster])</f>
        <v>1</v>
      </c>
      <c r="AX284" s="6" t="b">
        <f>_xlfn.XLOOKUP(tbl_Sourcing[[#This Row],[Product Id]], tbl_Product[Product Id], tbl_Product[Is Precon])</f>
        <v>0</v>
      </c>
    </row>
    <row r="285" spans="1:50">
      <c r="A285">
        <v>539</v>
      </c>
      <c r="B285">
        <v>112</v>
      </c>
      <c r="C285" t="s">
        <v>1874</v>
      </c>
      <c r="D285" s="1"/>
      <c r="E285" s="1">
        <f>_xlfn.XLOOKUP(tbl_Sourcing[[#This Row],[Notes]], tbl_Sourcing[Sourcing Id],  tbl_Sourcing[Sale Price])*tbl_Sourcing[[#This Row],[Min Order Value]]+8</f>
        <v>405.21869513599995</v>
      </c>
      <c r="F285" s="1" t="b">
        <f>_xlfn.XLOOKUP(tbl_Sourcing[[#This Row],[Notes]], tbl_Sourcing[Sourcing Id], tbl_Sourcing[Active])</f>
        <v>1</v>
      </c>
      <c r="G285" s="6">
        <f>_xlfn.XLOOKUP(tbl_Sourcing[[#This Row],[Product Id]], tbl_Product[Product Id], tbl_Product[Pack Size])</f>
        <v>12</v>
      </c>
      <c r="I285">
        <v>204</v>
      </c>
      <c r="J285" s="6" t="str">
        <f>_xlfn.XLOOKUP(tbl_Sourcing[[#This Row],[Product Id]], tbl_Product[Product Id], tbl_Product[Name])</f>
        <v>MTG Kamigawa: Neon Dynasty Collector Booster Box</v>
      </c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5" s="6" t="b">
        <f>_xlfn.XLOOKUP(tbl_Sourcing[[#This Row],[Product Id]], tbl_Product[Product Id], tbl_Product[Is Set or Play Booster])</f>
        <v>0</v>
      </c>
      <c r="AX285" s="6" t="b">
        <f>_xlfn.XLOOKUP(tbl_Sourcing[[#This Row],[Product Id]], tbl_Product[Product Id], tbl_Product[Is Precon])</f>
        <v>0</v>
      </c>
    </row>
    <row r="286" spans="1:50">
      <c r="A286">
        <v>511</v>
      </c>
      <c r="B286">
        <v>69</v>
      </c>
      <c r="C286" t="s">
        <v>1874</v>
      </c>
      <c r="D286" s="1"/>
      <c r="E286" s="1">
        <f>_xlfn.XLOOKUP(tbl_Sourcing[[#This Row],[Notes]], tbl_Sourcing[Sourcing Id],  tbl_Sourcing[Sale Price])*tbl_Sourcing[[#This Row],[Min Order Value]]+8</f>
        <v>190.68928159999996</v>
      </c>
      <c r="F286" s="1" t="b">
        <f>_xlfn.XLOOKUP(tbl_Sourcing[[#This Row],[Notes]], tbl_Sourcing[Sourcing Id], tbl_Sourcing[Active])</f>
        <v>1</v>
      </c>
      <c r="G286" s="6">
        <f>_xlfn.XLOOKUP(tbl_Sourcing[[#This Row],[Product Id]], tbl_Product[Product Id], tbl_Product[Pack Size])</f>
        <v>30</v>
      </c>
      <c r="I286">
        <v>175</v>
      </c>
      <c r="J286" s="6" t="str">
        <f>_xlfn.XLOOKUP(tbl_Sourcing[[#This Row],[Product Id]], tbl_Product[Product Id], tbl_Product[Name])</f>
        <v>MTG Kamigawa: Neon Dynasty Set Booster Box</v>
      </c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6" s="6" t="b">
        <f>_xlfn.XLOOKUP(tbl_Sourcing[[#This Row],[Product Id]], tbl_Product[Product Id], tbl_Product[Is Set or Play Booster])</f>
        <v>1</v>
      </c>
      <c r="AX286" s="6" t="b">
        <f>_xlfn.XLOOKUP(tbl_Sourcing[[#This Row],[Product Id]], tbl_Product[Product Id], tbl_Product[Is Precon])</f>
        <v>0</v>
      </c>
    </row>
    <row r="287" spans="1:50">
      <c r="A287">
        <v>540</v>
      </c>
      <c r="B287">
        <v>114</v>
      </c>
      <c r="C287" t="s">
        <v>1874</v>
      </c>
      <c r="D287" s="1"/>
      <c r="E287" s="1">
        <f>_xlfn.XLOOKUP(tbl_Sourcing[[#This Row],[Notes]], tbl_Sourcing[Sourcing Id],  tbl_Sourcing[Sale Price])*tbl_Sourcing[[#This Row],[Min Order Value]]+8</f>
        <v>367.95008168959998</v>
      </c>
      <c r="F287" s="1" t="b">
        <f>_xlfn.XLOOKUP(tbl_Sourcing[[#This Row],[Notes]], tbl_Sourcing[Sourcing Id], tbl_Sourcing[Active])</f>
        <v>1</v>
      </c>
      <c r="G287" s="6">
        <f>_xlfn.XLOOKUP(tbl_Sourcing[[#This Row],[Product Id]], tbl_Product[Product Id], tbl_Product[Pack Size])</f>
        <v>12</v>
      </c>
      <c r="I287">
        <v>205</v>
      </c>
      <c r="J287" s="6" t="str">
        <f>_xlfn.XLOOKUP(tbl_Sourcing[[#This Row],[Product Id]], tbl_Product[Product Id], tbl_Product[Name])</f>
        <v>MTG Lorwyn Eclipsed Collector Booster Box</v>
      </c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7" s="6" t="b">
        <f>_xlfn.XLOOKUP(tbl_Sourcing[[#This Row],[Product Id]], tbl_Product[Product Id], tbl_Product[Is Set or Play Booster])</f>
        <v>0</v>
      </c>
      <c r="AX287" s="6" t="b">
        <f>_xlfn.XLOOKUP(tbl_Sourcing[[#This Row],[Product Id]], tbl_Product[Product Id], tbl_Product[Is Precon])</f>
        <v>0</v>
      </c>
    </row>
    <row r="288" spans="1:50">
      <c r="A288">
        <v>491</v>
      </c>
      <c r="B288">
        <v>49</v>
      </c>
      <c r="C288" t="s">
        <v>1874</v>
      </c>
      <c r="D288" s="1"/>
      <c r="E288" s="1">
        <f>_xlfn.XLOOKUP(tbl_Sourcing[[#This Row],[Notes]], tbl_Sourcing[Sourcing Id],  tbl_Sourcing[Sale Price])*tbl_Sourcing[[#This Row],[Min Order Value]]+8</f>
        <v>127.00901772799999</v>
      </c>
      <c r="F288" s="1" t="b">
        <f>_xlfn.XLOOKUP(tbl_Sourcing[[#This Row],[Notes]], tbl_Sourcing[Sourcing Id], tbl_Sourcing[Active])</f>
        <v>1</v>
      </c>
      <c r="G288" s="6">
        <f>_xlfn.XLOOKUP(tbl_Sourcing[[#This Row],[Product Id]], tbl_Product[Product Id], tbl_Product[Pack Size])</f>
        <v>30</v>
      </c>
      <c r="I288">
        <v>155</v>
      </c>
      <c r="J288" s="6" t="str">
        <f>_xlfn.XLOOKUP(tbl_Sourcing[[#This Row],[Product Id]], tbl_Product[Product Id], tbl_Product[Name])</f>
        <v>MTG Lorwyn Eclipsed Play Booster Box</v>
      </c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8" s="6" t="b">
        <f>_xlfn.XLOOKUP(tbl_Sourcing[[#This Row],[Product Id]], tbl_Product[Product Id], tbl_Product[Is Set or Play Booster])</f>
        <v>1</v>
      </c>
      <c r="AX288" s="6" t="b">
        <f>_xlfn.XLOOKUP(tbl_Sourcing[[#This Row],[Product Id]], tbl_Product[Product Id], tbl_Product[Is Precon])</f>
        <v>0</v>
      </c>
    </row>
    <row r="289" spans="1:50">
      <c r="A289">
        <v>541</v>
      </c>
      <c r="B289">
        <v>116</v>
      </c>
      <c r="C289" t="s">
        <v>1874</v>
      </c>
      <c r="D289" s="1"/>
      <c r="E289" s="1">
        <f>_xlfn.XLOOKUP(tbl_Sourcing[[#This Row],[Notes]], tbl_Sourcing[Sourcing Id],  tbl_Sourcing[Sale Price])*tbl_Sourcing[[#This Row],[Min Order Value]]+8</f>
        <v>503.87090719999992</v>
      </c>
      <c r="F289" s="1" t="b">
        <f>_xlfn.XLOOKUP(tbl_Sourcing[[#This Row],[Notes]], tbl_Sourcing[Sourcing Id], tbl_Sourcing[Active])</f>
        <v>1</v>
      </c>
      <c r="G289" s="6">
        <f>_xlfn.XLOOKUP(tbl_Sourcing[[#This Row],[Product Id]], tbl_Product[Product Id], tbl_Product[Pack Size])</f>
        <v>12</v>
      </c>
      <c r="I289">
        <v>206</v>
      </c>
      <c r="J289" s="6" t="str">
        <f>_xlfn.XLOOKUP(tbl_Sourcing[[#This Row],[Product Id]], tbl_Product[Product Id], tbl_Product[Name])</f>
        <v>MTG March of the Machine MOM Collector Booster Box</v>
      </c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89" s="6" t="b">
        <f>_xlfn.XLOOKUP(tbl_Sourcing[[#This Row],[Product Id]], tbl_Product[Product Id], tbl_Product[Is Set or Play Booster])</f>
        <v>0</v>
      </c>
      <c r="AX289" s="6" t="b">
        <f>_xlfn.XLOOKUP(tbl_Sourcing[[#This Row],[Product Id]], tbl_Product[Product Id], tbl_Product[Is Precon])</f>
        <v>0</v>
      </c>
    </row>
    <row r="290" spans="1:50">
      <c r="A290">
        <v>501</v>
      </c>
      <c r="B290">
        <v>59</v>
      </c>
      <c r="C290" t="s">
        <v>1874</v>
      </c>
      <c r="D290" s="1"/>
      <c r="E290" s="1">
        <f>_xlfn.XLOOKUP(tbl_Sourcing[[#This Row],[Notes]], tbl_Sourcing[Sourcing Id],  tbl_Sourcing[Sale Price])*tbl_Sourcing[[#This Row],[Min Order Value]]+8</f>
        <v>116.83061489599999</v>
      </c>
      <c r="F290" s="1" t="b">
        <f>_xlfn.XLOOKUP(tbl_Sourcing[[#This Row],[Notes]], tbl_Sourcing[Sourcing Id], tbl_Sourcing[Active])</f>
        <v>1</v>
      </c>
      <c r="G290" s="6">
        <f>_xlfn.XLOOKUP(tbl_Sourcing[[#This Row],[Product Id]], tbl_Product[Product Id], tbl_Product[Pack Size])</f>
        <v>30</v>
      </c>
      <c r="I290">
        <v>165</v>
      </c>
      <c r="J290" s="6" t="str">
        <f>_xlfn.XLOOKUP(tbl_Sourcing[[#This Row],[Product Id]], tbl_Product[Product Id], tbl_Product[Name])</f>
        <v>MTG March of the Machine MOM Set Booster Box</v>
      </c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0" s="6" t="b">
        <f>_xlfn.XLOOKUP(tbl_Sourcing[[#This Row],[Product Id]], tbl_Product[Product Id], tbl_Product[Is Set or Play Booster])</f>
        <v>1</v>
      </c>
      <c r="AX290" s="6" t="b">
        <f>_xlfn.XLOOKUP(tbl_Sourcing[[#This Row],[Product Id]], tbl_Product[Product Id], tbl_Product[Is Precon])</f>
        <v>0</v>
      </c>
    </row>
    <row r="291" spans="1:50">
      <c r="A291">
        <v>542</v>
      </c>
      <c r="B291">
        <v>118</v>
      </c>
      <c r="C291" t="s">
        <v>1874</v>
      </c>
      <c r="D291" s="1"/>
      <c r="E291" s="1">
        <f>_xlfn.XLOOKUP(tbl_Sourcing[[#This Row],[Notes]], tbl_Sourcing[Sourcing Id],  tbl_Sourcing[Sale Price])*tbl_Sourcing[[#This Row],[Min Order Value]]+8</f>
        <v>310.74223807999999</v>
      </c>
      <c r="F291" s="1" t="b">
        <f>_xlfn.XLOOKUP(tbl_Sourcing[[#This Row],[Notes]], tbl_Sourcing[Sourcing Id], tbl_Sourcing[Active])</f>
        <v>1</v>
      </c>
      <c r="G291" s="6">
        <f>_xlfn.XLOOKUP(tbl_Sourcing[[#This Row],[Product Id]], tbl_Product[Product Id], tbl_Product[Pack Size])</f>
        <v>12</v>
      </c>
      <c r="I291">
        <v>207</v>
      </c>
      <c r="J291" s="6" t="str">
        <f>_xlfn.XLOOKUP(tbl_Sourcing[[#This Row],[Product Id]], tbl_Product[Product Id], tbl_Product[Name])</f>
        <v>MTG Marvel's Spider-Man Collector Booster Box</v>
      </c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1" s="6" t="b">
        <f>_xlfn.XLOOKUP(tbl_Sourcing[[#This Row],[Product Id]], tbl_Product[Product Id], tbl_Product[Is Set or Play Booster])</f>
        <v>0</v>
      </c>
      <c r="AX291" s="6" t="b">
        <f>_xlfn.XLOOKUP(tbl_Sourcing[[#This Row],[Product Id]], tbl_Product[Product Id], tbl_Product[Is Precon])</f>
        <v>0</v>
      </c>
    </row>
    <row r="292" spans="1:50">
      <c r="A292">
        <v>506</v>
      </c>
      <c r="B292">
        <v>64</v>
      </c>
      <c r="C292" t="s">
        <v>1874</v>
      </c>
      <c r="D292" s="1"/>
      <c r="E292" s="1">
        <f>_xlfn.XLOOKUP(tbl_Sourcing[[#This Row],[Notes]], tbl_Sourcing[Sourcing Id],  tbl_Sourcing[Sale Price])*tbl_Sourcing[[#This Row],[Min Order Value]]+8</f>
        <v>102.73744174399999</v>
      </c>
      <c r="F292" s="1" t="b">
        <f>_xlfn.XLOOKUP(tbl_Sourcing[[#This Row],[Notes]], tbl_Sourcing[Sourcing Id], tbl_Sourcing[Active])</f>
        <v>1</v>
      </c>
      <c r="G292" s="6">
        <f>_xlfn.XLOOKUP(tbl_Sourcing[[#This Row],[Product Id]], tbl_Product[Product Id], tbl_Product[Pack Size])</f>
        <v>30</v>
      </c>
      <c r="I292">
        <v>170</v>
      </c>
      <c r="J292" s="6" t="str">
        <f>_xlfn.XLOOKUP(tbl_Sourcing[[#This Row],[Product Id]], tbl_Product[Product Id], tbl_Product[Name])</f>
        <v>MTG Marvel's Spider-Man Play Booster Box</v>
      </c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2" s="6" t="b">
        <f>_xlfn.XLOOKUP(tbl_Sourcing[[#This Row],[Product Id]], tbl_Product[Product Id], tbl_Product[Is Set or Play Booster])</f>
        <v>1</v>
      </c>
      <c r="AX292" s="6" t="b">
        <f>_xlfn.XLOOKUP(tbl_Sourcing[[#This Row],[Product Id]], tbl_Product[Product Id], tbl_Product[Is Precon])</f>
        <v>0</v>
      </c>
    </row>
    <row r="293" spans="1:50">
      <c r="A293">
        <v>543</v>
      </c>
      <c r="B293">
        <v>120</v>
      </c>
      <c r="C293" t="s">
        <v>1874</v>
      </c>
      <c r="D293" s="1"/>
      <c r="E293" s="1">
        <f>_xlfn.XLOOKUP(tbl_Sourcing[[#This Row],[Notes]], tbl_Sourcing[Sourcing Id],  tbl_Sourcing[Sale Price])*tbl_Sourcing[[#This Row],[Min Order Value]]+8</f>
        <v>503.87090719999992</v>
      </c>
      <c r="F293" s="1" t="b">
        <f>_xlfn.XLOOKUP(tbl_Sourcing[[#This Row],[Notes]], tbl_Sourcing[Sourcing Id], tbl_Sourcing[Active])</f>
        <v>1</v>
      </c>
      <c r="G293" s="6">
        <f>_xlfn.XLOOKUP(tbl_Sourcing[[#This Row],[Product Id]], tbl_Product[Product Id], tbl_Product[Pack Size])</f>
        <v>12</v>
      </c>
      <c r="I293">
        <v>208</v>
      </c>
      <c r="J293" s="6" t="str">
        <f>_xlfn.XLOOKUP(tbl_Sourcing[[#This Row],[Product Id]], tbl_Product[Product Id], tbl_Product[Name])</f>
        <v>MTG Modern Horizons 2 MH2 Collector Booster Box</v>
      </c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3" s="6" t="b">
        <f>_xlfn.XLOOKUP(tbl_Sourcing[[#This Row],[Product Id]], tbl_Product[Product Id], tbl_Product[Is Set or Play Booster])</f>
        <v>0</v>
      </c>
      <c r="AX293" s="6" t="b">
        <f>_xlfn.XLOOKUP(tbl_Sourcing[[#This Row],[Product Id]], tbl_Product[Product Id], tbl_Product[Is Precon])</f>
        <v>0</v>
      </c>
    </row>
    <row r="294" spans="1:50">
      <c r="A294">
        <v>488</v>
      </c>
      <c r="B294">
        <v>46</v>
      </c>
      <c r="C294" t="s">
        <v>1874</v>
      </c>
      <c r="D294" s="1"/>
      <c r="E294" s="1">
        <f>_xlfn.XLOOKUP(tbl_Sourcing[[#This Row],[Notes]], tbl_Sourcing[Sourcing Id],  tbl_Sourcing[Sale Price])*tbl_Sourcing[[#This Row],[Min Order Value]]+8</f>
        <v>454.91017973120006</v>
      </c>
      <c r="F294" s="1" t="b">
        <f>_xlfn.XLOOKUP(tbl_Sourcing[[#This Row],[Notes]], tbl_Sourcing[Sourcing Id], tbl_Sourcing[Active])</f>
        <v>1</v>
      </c>
      <c r="G294" s="6">
        <f>_xlfn.XLOOKUP(tbl_Sourcing[[#This Row],[Product Id]], tbl_Product[Product Id], tbl_Product[Pack Size])</f>
        <v>36</v>
      </c>
      <c r="I294">
        <v>152</v>
      </c>
      <c r="J294" s="6" t="str">
        <f>_xlfn.XLOOKUP(tbl_Sourcing[[#This Row],[Product Id]], tbl_Product[Product Id], tbl_Product[Name])</f>
        <v>MTG Modern Horizons 2 MH2 Set Booster Box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4" s="6" t="b">
        <f>_xlfn.XLOOKUP(tbl_Sourcing[[#This Row],[Product Id]], tbl_Product[Product Id], tbl_Product[Is Set or Play Booster])</f>
        <v>1</v>
      </c>
      <c r="AX294" s="6" t="b">
        <f>_xlfn.XLOOKUP(tbl_Sourcing[[#This Row],[Product Id]], tbl_Product[Product Id], tbl_Product[Is Precon])</f>
        <v>0</v>
      </c>
    </row>
    <row r="295" spans="1:50">
      <c r="A295">
        <v>544</v>
      </c>
      <c r="B295">
        <v>122</v>
      </c>
      <c r="C295" t="s">
        <v>1874</v>
      </c>
      <c r="D295" s="1"/>
      <c r="E295" s="1">
        <f>_xlfn.XLOOKUP(tbl_Sourcing[[#This Row],[Notes]], tbl_Sourcing[Sourcing Id],  tbl_Sourcing[Sale Price])*tbl_Sourcing[[#This Row],[Min Order Value]]+8</f>
        <v>590.72661136639999</v>
      </c>
      <c r="F295" s="1" t="b">
        <f>_xlfn.XLOOKUP(tbl_Sourcing[[#This Row],[Notes]], tbl_Sourcing[Sourcing Id], tbl_Sourcing[Active])</f>
        <v>1</v>
      </c>
      <c r="G295" s="6">
        <f>_xlfn.XLOOKUP(tbl_Sourcing[[#This Row],[Product Id]], tbl_Product[Product Id], tbl_Product[Pack Size])</f>
        <v>12</v>
      </c>
      <c r="I295">
        <v>209</v>
      </c>
      <c r="J295" s="6" t="str">
        <f>_xlfn.XLOOKUP(tbl_Sourcing[[#This Row],[Product Id]], tbl_Product[Product Id], tbl_Product[Name])</f>
        <v>MTG Modern Horizons 3 MH3 Collector Booster Box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5" s="6" t="b">
        <f>_xlfn.XLOOKUP(tbl_Sourcing[[#This Row],[Product Id]], tbl_Product[Product Id], tbl_Product[Is Set or Play Booster])</f>
        <v>0</v>
      </c>
      <c r="AX295" s="6" t="b">
        <f>_xlfn.XLOOKUP(tbl_Sourcing[[#This Row],[Product Id]], tbl_Product[Product Id], tbl_Product[Is Precon])</f>
        <v>0</v>
      </c>
    </row>
    <row r="296" spans="1:50">
      <c r="A296">
        <v>502</v>
      </c>
      <c r="B296">
        <v>60</v>
      </c>
      <c r="C296" t="s">
        <v>1874</v>
      </c>
      <c r="D296" s="1"/>
      <c r="E296" s="1">
        <f>_xlfn.XLOOKUP(tbl_Sourcing[[#This Row],[Notes]], tbl_Sourcing[Sourcing Id],  tbl_Sourcing[Sale Price])*tbl_Sourcing[[#This Row],[Min Order Value]]+8</f>
        <v>277.96256126719999</v>
      </c>
      <c r="F296" s="1" t="b">
        <f>_xlfn.XLOOKUP(tbl_Sourcing[[#This Row],[Notes]], tbl_Sourcing[Sourcing Id], tbl_Sourcing[Active])</f>
        <v>1</v>
      </c>
      <c r="G296" s="6">
        <f>_xlfn.XLOOKUP(tbl_Sourcing[[#This Row],[Product Id]], tbl_Product[Product Id], tbl_Product[Pack Size])</f>
        <v>36</v>
      </c>
      <c r="I296">
        <v>166</v>
      </c>
      <c r="J296" s="6" t="str">
        <f>_xlfn.XLOOKUP(tbl_Sourcing[[#This Row],[Product Id]], tbl_Product[Product Id], tbl_Product[Name])</f>
        <v>MTG Modern Horizons 3 MH3 Play Booster Box</v>
      </c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6" s="6" t="b">
        <f>_xlfn.XLOOKUP(tbl_Sourcing[[#This Row],[Product Id]], tbl_Product[Product Id], tbl_Product[Is Set or Play Booster])</f>
        <v>1</v>
      </c>
      <c r="AX296" s="6" t="b">
        <f>_xlfn.XLOOKUP(tbl_Sourcing[[#This Row],[Product Id]], tbl_Product[Product Id], tbl_Product[Is Precon])</f>
        <v>0</v>
      </c>
    </row>
    <row r="297" spans="1:50">
      <c r="A297">
        <v>545</v>
      </c>
      <c r="B297">
        <v>124</v>
      </c>
      <c r="C297" t="s">
        <v>1874</v>
      </c>
      <c r="D297" s="1"/>
      <c r="E297" s="1">
        <f>_xlfn.XLOOKUP(tbl_Sourcing[[#This Row],[Notes]], tbl_Sourcing[Sourcing Id],  tbl_Sourcing[Sale Price])*tbl_Sourcing[[#This Row],[Min Order Value]]+8</f>
        <v>255.62227197440001</v>
      </c>
      <c r="F297" s="1" t="b">
        <f>_xlfn.XLOOKUP(tbl_Sourcing[[#This Row],[Notes]], tbl_Sourcing[Sourcing Id], tbl_Sourcing[Active])</f>
        <v>1</v>
      </c>
      <c r="G297" s="6">
        <f>_xlfn.XLOOKUP(tbl_Sourcing[[#This Row],[Product Id]], tbl_Product[Product Id], tbl_Product[Pack Size])</f>
        <v>12</v>
      </c>
      <c r="I297">
        <v>210</v>
      </c>
      <c r="J297" s="6" t="str">
        <f>_xlfn.XLOOKUP(tbl_Sourcing[[#This Row],[Product Id]], tbl_Product[Product Id], tbl_Product[Name])</f>
        <v>MTG Murders at Karlov Manor Collector Booster Box</v>
      </c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7" s="6" t="b">
        <f>_xlfn.XLOOKUP(tbl_Sourcing[[#This Row],[Product Id]], tbl_Product[Product Id], tbl_Product[Is Set or Play Booster])</f>
        <v>0</v>
      </c>
      <c r="AX297" s="6" t="b">
        <f>_xlfn.XLOOKUP(tbl_Sourcing[[#This Row],[Product Id]], tbl_Product[Product Id], tbl_Product[Is Precon])</f>
        <v>0</v>
      </c>
    </row>
    <row r="298" spans="1:50">
      <c r="A298">
        <v>522</v>
      </c>
      <c r="B298">
        <v>80</v>
      </c>
      <c r="C298" t="s">
        <v>1874</v>
      </c>
      <c r="D298" s="1"/>
      <c r="E298" s="1">
        <f>_xlfn.XLOOKUP(tbl_Sourcing[[#This Row],[Notes]], tbl_Sourcing[Sourcing Id],  tbl_Sourcing[Sale Price])*tbl_Sourcing[[#This Row],[Min Order Value]]+8</f>
        <v>119.80584033919999</v>
      </c>
      <c r="F298" s="1" t="b">
        <f>_xlfn.XLOOKUP(tbl_Sourcing[[#This Row],[Notes]], tbl_Sourcing[Sourcing Id], tbl_Sourcing[Active])</f>
        <v>1</v>
      </c>
      <c r="G298" s="6">
        <f>_xlfn.XLOOKUP(tbl_Sourcing[[#This Row],[Product Id]], tbl_Product[Product Id], tbl_Product[Pack Size])</f>
        <v>36</v>
      </c>
      <c r="I298">
        <v>186</v>
      </c>
      <c r="J298" s="6" t="str">
        <f>_xlfn.XLOOKUP(tbl_Sourcing[[#This Row],[Product Id]], tbl_Product[Product Id], tbl_Product[Name])</f>
        <v>MTG Murders at Karlov Manor Play Booster Box</v>
      </c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8" s="6" t="b">
        <f>_xlfn.XLOOKUP(tbl_Sourcing[[#This Row],[Product Id]], tbl_Product[Product Id], tbl_Product[Is Set or Play Booster])</f>
        <v>1</v>
      </c>
      <c r="AX298" s="6" t="b">
        <f>_xlfn.XLOOKUP(tbl_Sourcing[[#This Row],[Product Id]], tbl_Product[Product Id], tbl_Product[Is Precon])</f>
        <v>0</v>
      </c>
    </row>
    <row r="299" spans="1:50">
      <c r="A299">
        <v>519</v>
      </c>
      <c r="B299">
        <v>77</v>
      </c>
      <c r="C299" t="s">
        <v>1874</v>
      </c>
      <c r="D299" s="1"/>
      <c r="E299" s="1">
        <f>_xlfn.XLOOKUP(tbl_Sourcing[[#This Row],[Notes]], tbl_Sourcing[Sourcing Id],  tbl_Sourcing[Sale Price])*tbl_Sourcing[[#This Row],[Min Order Value]]+8</f>
        <v>142.66809900800001</v>
      </c>
      <c r="F299" s="1" t="b">
        <f>_xlfn.XLOOKUP(tbl_Sourcing[[#This Row],[Notes]], tbl_Sourcing[Sourcing Id], tbl_Sourcing[Active])</f>
        <v>1</v>
      </c>
      <c r="G299" s="6">
        <f>_xlfn.XLOOKUP(tbl_Sourcing[[#This Row],[Product Id]], tbl_Product[Product Id], tbl_Product[Pack Size])</f>
        <v>36</v>
      </c>
      <c r="I299">
        <v>183</v>
      </c>
      <c r="J299" s="6" t="str">
        <f>_xlfn.XLOOKUP(tbl_Sourcing[[#This Row],[Product Id]], tbl_Product[Product Id], tbl_Product[Name])</f>
        <v>MTG Oath of the Gatewatch Booster Box</v>
      </c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299" s="6" t="b">
        <f>_xlfn.XLOOKUP(tbl_Sourcing[[#This Row],[Product Id]], tbl_Product[Product Id], tbl_Product[Is Set or Play Booster])</f>
        <v>1</v>
      </c>
      <c r="AX299" s="6" t="b">
        <f>_xlfn.XLOOKUP(tbl_Sourcing[[#This Row],[Product Id]], tbl_Product[Product Id], tbl_Product[Is Precon])</f>
        <v>0</v>
      </c>
    </row>
    <row r="300" spans="1:50">
      <c r="A300">
        <v>546</v>
      </c>
      <c r="B300">
        <v>126</v>
      </c>
      <c r="C300" t="s">
        <v>1874</v>
      </c>
      <c r="D300" s="1"/>
      <c r="E300" s="1">
        <f>_xlfn.XLOOKUP(tbl_Sourcing[[#This Row],[Notes]], tbl_Sourcing[Sourcing Id],  tbl_Sourcing[Sale Price])*tbl_Sourcing[[#This Row],[Min Order Value]]+8</f>
        <v>318.25859709439999</v>
      </c>
      <c r="F300" s="1" t="b">
        <f>_xlfn.XLOOKUP(tbl_Sourcing[[#This Row],[Notes]], tbl_Sourcing[Sourcing Id], tbl_Sourcing[Active])</f>
        <v>1</v>
      </c>
      <c r="G300" s="6">
        <f>_xlfn.XLOOKUP(tbl_Sourcing[[#This Row],[Product Id]], tbl_Product[Product Id], tbl_Product[Pack Size])</f>
        <v>12</v>
      </c>
      <c r="I300">
        <v>211</v>
      </c>
      <c r="J300" s="6" t="str">
        <f>_xlfn.XLOOKUP(tbl_Sourcing[[#This Row],[Product Id]], tbl_Product[Product Id], tbl_Product[Name])</f>
        <v>MTG Outlaws of Thunder Junction Collector Booster Box</v>
      </c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0" s="6" t="b">
        <f>_xlfn.XLOOKUP(tbl_Sourcing[[#This Row],[Product Id]], tbl_Product[Product Id], tbl_Product[Is Set or Play Booster])</f>
        <v>0</v>
      </c>
      <c r="AX300" s="6" t="b">
        <f>_xlfn.XLOOKUP(tbl_Sourcing[[#This Row],[Product Id]], tbl_Product[Product Id], tbl_Product[Is Precon])</f>
        <v>0</v>
      </c>
    </row>
    <row r="301" spans="1:50">
      <c r="A301">
        <v>498</v>
      </c>
      <c r="B301">
        <v>56</v>
      </c>
      <c r="C301" t="s">
        <v>1874</v>
      </c>
      <c r="D301" s="1"/>
      <c r="E301" s="1">
        <f>_xlfn.XLOOKUP(tbl_Sourcing[[#This Row],[Notes]], tbl_Sourcing[Sourcing Id],  tbl_Sourcing[Sale Price])*tbl_Sourcing[[#This Row],[Min Order Value]]+8</f>
        <v>132.95946861440001</v>
      </c>
      <c r="F301" s="1" t="b">
        <f>_xlfn.XLOOKUP(tbl_Sourcing[[#This Row],[Notes]], tbl_Sourcing[Sourcing Id], tbl_Sourcing[Active])</f>
        <v>1</v>
      </c>
      <c r="G301" s="6">
        <f>_xlfn.XLOOKUP(tbl_Sourcing[[#This Row],[Product Id]], tbl_Product[Product Id], tbl_Product[Pack Size])</f>
        <v>36</v>
      </c>
      <c r="I301">
        <v>162</v>
      </c>
      <c r="J301" s="6" t="str">
        <f>_xlfn.XLOOKUP(tbl_Sourcing[[#This Row],[Product Id]], tbl_Product[Product Id], tbl_Product[Name])</f>
        <v>MTG Outlaws of Thunder Junction Play Booster Box</v>
      </c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1" s="6" t="b">
        <f>_xlfn.XLOOKUP(tbl_Sourcing[[#This Row],[Product Id]], tbl_Product[Product Id], tbl_Product[Is Set or Play Booster])</f>
        <v>1</v>
      </c>
      <c r="AX301" s="6" t="b">
        <f>_xlfn.XLOOKUP(tbl_Sourcing[[#This Row],[Product Id]], tbl_Product[Product Id], tbl_Product[Is Precon])</f>
        <v>0</v>
      </c>
    </row>
    <row r="302" spans="1:50">
      <c r="A302">
        <v>547</v>
      </c>
      <c r="B302">
        <v>128</v>
      </c>
      <c r="C302" t="s">
        <v>1874</v>
      </c>
      <c r="D302" s="1"/>
      <c r="E302" s="1">
        <f>_xlfn.XLOOKUP(tbl_Sourcing[[#This Row],[Notes]], tbl_Sourcing[Sourcing Id],  tbl_Sourcing[Sale Price])*tbl_Sourcing[[#This Row],[Min Order Value]]+8</f>
        <v>802.33299639680013</v>
      </c>
      <c r="F302" s="1" t="b">
        <f>_xlfn.XLOOKUP(tbl_Sourcing[[#This Row],[Notes]], tbl_Sourcing[Sourcing Id], tbl_Sourcing[Active])</f>
        <v>1</v>
      </c>
      <c r="G302" s="6">
        <f>_xlfn.XLOOKUP(tbl_Sourcing[[#This Row],[Product Id]], tbl_Product[Product Id], tbl_Product[Pack Size])</f>
        <v>12</v>
      </c>
      <c r="I302">
        <v>212</v>
      </c>
      <c r="J302" s="6" t="str">
        <f>_xlfn.XLOOKUP(tbl_Sourcing[[#This Row],[Product Id]], tbl_Product[Product Id], tbl_Product[Name])</f>
        <v>MTG Phyrexia: All Will Be One Collector Booster Box</v>
      </c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2" s="6" t="b">
        <f>_xlfn.XLOOKUP(tbl_Sourcing[[#This Row],[Product Id]], tbl_Product[Product Id], tbl_Product[Is Set or Play Booster])</f>
        <v>0</v>
      </c>
      <c r="AX302" s="6" t="b">
        <f>_xlfn.XLOOKUP(tbl_Sourcing[[#This Row],[Product Id]], tbl_Product[Product Id], tbl_Product[Is Precon])</f>
        <v>0</v>
      </c>
    </row>
    <row r="303" spans="1:50">
      <c r="A303">
        <v>509</v>
      </c>
      <c r="B303">
        <v>67</v>
      </c>
      <c r="C303" t="s">
        <v>1874</v>
      </c>
      <c r="D303" s="1"/>
      <c r="E303" s="1">
        <f>_xlfn.XLOOKUP(tbl_Sourcing[[#This Row],[Notes]], tbl_Sourcing[Sourcing Id],  tbl_Sourcing[Sale Price])*tbl_Sourcing[[#This Row],[Min Order Value]]+8</f>
        <v>203.738516</v>
      </c>
      <c r="F303" s="1" t="b">
        <f>_xlfn.XLOOKUP(tbl_Sourcing[[#This Row],[Notes]], tbl_Sourcing[Sourcing Id], tbl_Sourcing[Active])</f>
        <v>1</v>
      </c>
      <c r="G303" s="6">
        <f>_xlfn.XLOOKUP(tbl_Sourcing[[#This Row],[Product Id]], tbl_Product[Product Id], tbl_Product[Pack Size])</f>
        <v>30</v>
      </c>
      <c r="I303">
        <v>173</v>
      </c>
      <c r="J303" s="6" t="str">
        <f>_xlfn.XLOOKUP(tbl_Sourcing[[#This Row],[Product Id]], tbl_Product[Product Id], tbl_Product[Name])</f>
        <v>MTG Phyrexia: All Will Be One Set Booster Box</v>
      </c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3" s="6" t="b">
        <f>_xlfn.XLOOKUP(tbl_Sourcing[[#This Row],[Product Id]], tbl_Product[Product Id], tbl_Product[Is Set or Play Booster])</f>
        <v>1</v>
      </c>
      <c r="AX303" s="6" t="b">
        <f>_xlfn.XLOOKUP(tbl_Sourcing[[#This Row],[Product Id]], tbl_Product[Product Id], tbl_Product[Is Precon])</f>
        <v>0</v>
      </c>
    </row>
    <row r="304" spans="1:50">
      <c r="A304">
        <v>548</v>
      </c>
      <c r="B304">
        <v>130</v>
      </c>
      <c r="C304" t="s">
        <v>1874</v>
      </c>
      <c r="D304" s="1"/>
      <c r="E304" s="1">
        <f>_xlfn.XLOOKUP(tbl_Sourcing[[#This Row],[Notes]], tbl_Sourcing[Sourcing Id],  tbl_Sourcing[Sale Price])*tbl_Sourcing[[#This Row],[Min Order Value]]+8</f>
        <v>851.92008711679989</v>
      </c>
      <c r="F304" s="1" t="b">
        <f>_xlfn.XLOOKUP(tbl_Sourcing[[#This Row],[Notes]], tbl_Sourcing[Sourcing Id], tbl_Sourcing[Active])</f>
        <v>1</v>
      </c>
      <c r="G304" s="6">
        <f>_xlfn.XLOOKUP(tbl_Sourcing[[#This Row],[Product Id]], tbl_Product[Product Id], tbl_Product[Pack Size])</f>
        <v>12</v>
      </c>
      <c r="I304">
        <v>213</v>
      </c>
      <c r="J304" s="6" t="str">
        <f>_xlfn.XLOOKUP(tbl_Sourcing[[#This Row],[Product Id]], tbl_Product[Product Id], tbl_Product[Name])</f>
        <v>MTG Ravnica Remastered Collector Booster Box</v>
      </c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4" s="6" t="b">
        <f>_xlfn.XLOOKUP(tbl_Sourcing[[#This Row],[Product Id]], tbl_Product[Product Id], tbl_Product[Is Set or Play Booster])</f>
        <v>0</v>
      </c>
      <c r="AX304" s="6" t="b">
        <f>_xlfn.XLOOKUP(tbl_Sourcing[[#This Row],[Product Id]], tbl_Product[Product Id], tbl_Product[Is Precon])</f>
        <v>0</v>
      </c>
    </row>
    <row r="305" spans="1:50">
      <c r="A305">
        <v>510</v>
      </c>
      <c r="B305">
        <v>68</v>
      </c>
      <c r="C305" t="s">
        <v>1874</v>
      </c>
      <c r="D305" s="1"/>
      <c r="E305" s="1">
        <f>_xlfn.XLOOKUP(tbl_Sourcing[[#This Row],[Notes]], tbl_Sourcing[Sourcing Id],  tbl_Sourcing[Sale Price])*tbl_Sourcing[[#This Row],[Min Order Value]]+8</f>
        <v>190.2717060992</v>
      </c>
      <c r="F305" s="1" t="b">
        <f>_xlfn.XLOOKUP(tbl_Sourcing[[#This Row],[Notes]], tbl_Sourcing[Sourcing Id], tbl_Sourcing[Active])</f>
        <v>1</v>
      </c>
      <c r="G305" s="6">
        <f>_xlfn.XLOOKUP(tbl_Sourcing[[#This Row],[Product Id]], tbl_Product[Product Id], tbl_Product[Pack Size])</f>
        <v>36</v>
      </c>
      <c r="I305">
        <v>174</v>
      </c>
      <c r="J305" s="6" t="str">
        <f>_xlfn.XLOOKUP(tbl_Sourcing[[#This Row],[Product Id]], tbl_Product[Product Id], tbl_Product[Name])</f>
        <v>MTG Ravnica Remastered Draft Booster Box</v>
      </c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5" s="6" t="b">
        <f>_xlfn.XLOOKUP(tbl_Sourcing[[#This Row],[Product Id]], tbl_Product[Product Id], tbl_Product[Is Set or Play Booster])</f>
        <v>1</v>
      </c>
      <c r="AX305" s="6" t="b">
        <f>_xlfn.XLOOKUP(tbl_Sourcing[[#This Row],[Product Id]], tbl_Product[Product Id], tbl_Product[Is Precon])</f>
        <v>0</v>
      </c>
    </row>
    <row r="306" spans="1:50">
      <c r="A306">
        <v>523</v>
      </c>
      <c r="B306">
        <v>81</v>
      </c>
      <c r="C306" t="s">
        <v>1874</v>
      </c>
      <c r="D306" s="1"/>
      <c r="E306" s="1">
        <f>_xlfn.XLOOKUP(tbl_Sourcing[[#This Row],[Notes]], tbl_Sourcing[Sourcing Id],  tbl_Sourcing[Sale Price])*tbl_Sourcing[[#This Row],[Min Order Value]]+8</f>
        <v>8</v>
      </c>
      <c r="F306" s="1" t="b">
        <f>_xlfn.XLOOKUP(tbl_Sourcing[[#This Row],[Notes]], tbl_Sourcing[Sourcing Id], tbl_Sourcing[Active])</f>
        <v>1</v>
      </c>
      <c r="G306" s="6">
        <f>_xlfn.XLOOKUP(tbl_Sourcing[[#This Row],[Product Id]], tbl_Product[Product Id], tbl_Product[Pack Size])</f>
        <v>0</v>
      </c>
      <c r="I306">
        <v>187</v>
      </c>
      <c r="J306" s="6" t="str">
        <f>_xlfn.XLOOKUP(tbl_Sourcing[[#This Row],[Product Id]], tbl_Product[Product Id], tbl_Product[Name])</f>
        <v>MTG Rivals of Ixalan Booster Box</v>
      </c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6" s="6" t="b">
        <f>_xlfn.XLOOKUP(tbl_Sourcing[[#This Row],[Product Id]], tbl_Product[Product Id], tbl_Product[Is Set or Play Booster])</f>
        <v>1</v>
      </c>
      <c r="AX306" s="6" t="b">
        <f>_xlfn.XLOOKUP(tbl_Sourcing[[#This Row],[Product Id]], tbl_Product[Product Id], tbl_Product[Is Precon])</f>
        <v>0</v>
      </c>
    </row>
    <row r="307" spans="1:50">
      <c r="A307">
        <v>549</v>
      </c>
      <c r="B307">
        <v>132</v>
      </c>
      <c r="C307" t="s">
        <v>1874</v>
      </c>
      <c r="D307" s="1"/>
      <c r="E307" s="1">
        <f>_xlfn.XLOOKUP(tbl_Sourcing[[#This Row],[Notes]], tbl_Sourcing[Sourcing Id],  tbl_Sourcing[Sale Price])*tbl_Sourcing[[#This Row],[Min Order Value]]+8</f>
        <v>206.66154450559998</v>
      </c>
      <c r="F307" s="1" t="b">
        <f>_xlfn.XLOOKUP(tbl_Sourcing[[#This Row],[Notes]], tbl_Sourcing[Sourcing Id], tbl_Sourcing[Active])</f>
        <v>1</v>
      </c>
      <c r="G307" s="6">
        <f>_xlfn.XLOOKUP(tbl_Sourcing[[#This Row],[Product Id]], tbl_Product[Product Id], tbl_Product[Pack Size])</f>
        <v>12</v>
      </c>
      <c r="I307">
        <v>214</v>
      </c>
      <c r="J307" s="6" t="str">
        <f>_xlfn.XLOOKUP(tbl_Sourcing[[#This Row],[Product Id]], tbl_Product[Product Id], tbl_Product[Name])</f>
        <v>MTG Streets of New Capenna Collector Booster Box</v>
      </c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7" s="6" t="b">
        <f>_xlfn.XLOOKUP(tbl_Sourcing[[#This Row],[Product Id]], tbl_Product[Product Id], tbl_Product[Is Set or Play Booster])</f>
        <v>0</v>
      </c>
      <c r="AX307" s="6" t="b">
        <f>_xlfn.XLOOKUP(tbl_Sourcing[[#This Row],[Product Id]], tbl_Product[Product Id], tbl_Product[Is Precon])</f>
        <v>0</v>
      </c>
    </row>
    <row r="308" spans="1:50">
      <c r="A308">
        <v>517</v>
      </c>
      <c r="B308">
        <v>75</v>
      </c>
      <c r="C308" t="s">
        <v>1874</v>
      </c>
      <c r="D308" s="1"/>
      <c r="E308" s="1">
        <f>_xlfn.XLOOKUP(tbl_Sourcing[[#This Row],[Notes]], tbl_Sourcing[Sourcing Id],  tbl_Sourcing[Sale Price])*tbl_Sourcing[[#This Row],[Min Order Value]]+8</f>
        <v>118.91849239999999</v>
      </c>
      <c r="F308" s="1" t="b">
        <f>_xlfn.XLOOKUP(tbl_Sourcing[[#This Row],[Notes]], tbl_Sourcing[Sourcing Id], tbl_Sourcing[Active])</f>
        <v>1</v>
      </c>
      <c r="G308" s="6">
        <f>_xlfn.XLOOKUP(tbl_Sourcing[[#This Row],[Product Id]], tbl_Product[Product Id], tbl_Product[Pack Size])</f>
        <v>30</v>
      </c>
      <c r="I308">
        <v>181</v>
      </c>
      <c r="J308" s="6" t="str">
        <f>_xlfn.XLOOKUP(tbl_Sourcing[[#This Row],[Product Id]], tbl_Product[Product Id], tbl_Product[Name])</f>
        <v>MTG Streets of New Capenna Set Booster Box</v>
      </c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8" s="6" t="b">
        <f>_xlfn.XLOOKUP(tbl_Sourcing[[#This Row],[Product Id]], tbl_Product[Product Id], tbl_Product[Is Set or Play Booster])</f>
        <v>1</v>
      </c>
      <c r="AX308" s="6" t="b">
        <f>_xlfn.XLOOKUP(tbl_Sourcing[[#This Row],[Product Id]], tbl_Product[Product Id], tbl_Product[Is Precon])</f>
        <v>0</v>
      </c>
    </row>
    <row r="309" spans="1:50">
      <c r="A309">
        <v>550</v>
      </c>
      <c r="B309">
        <v>134</v>
      </c>
      <c r="C309" t="s">
        <v>1874</v>
      </c>
      <c r="D309" s="1"/>
      <c r="E309" s="1">
        <f>_xlfn.XLOOKUP(tbl_Sourcing[[#This Row],[Notes]], tbl_Sourcing[Sourcing Id],  tbl_Sourcing[Sale Price])*tbl_Sourcing[[#This Row],[Min Order Value]]+8</f>
        <v>479.6515281536</v>
      </c>
      <c r="F309" s="1" t="b">
        <f>_xlfn.XLOOKUP(tbl_Sourcing[[#This Row],[Notes]], tbl_Sourcing[Sourcing Id], tbl_Sourcing[Active])</f>
        <v>1</v>
      </c>
      <c r="G309" s="6">
        <f>_xlfn.XLOOKUP(tbl_Sourcing[[#This Row],[Product Id]], tbl_Product[Product Id], tbl_Product[Pack Size])</f>
        <v>12</v>
      </c>
      <c r="I309">
        <v>215</v>
      </c>
      <c r="J309" s="6" t="str">
        <f>_xlfn.XLOOKUP(tbl_Sourcing[[#This Row],[Product Id]], tbl_Product[Product Id], tbl_Product[Name])</f>
        <v>MTG Strixhaven: School of Magic Collector Booster Box</v>
      </c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09" s="6" t="b">
        <f>_xlfn.XLOOKUP(tbl_Sourcing[[#This Row],[Product Id]], tbl_Product[Product Id], tbl_Product[Is Set or Play Booster])</f>
        <v>0</v>
      </c>
      <c r="AX309" s="6" t="b">
        <f>_xlfn.XLOOKUP(tbl_Sourcing[[#This Row],[Product Id]], tbl_Product[Product Id], tbl_Product[Is Precon])</f>
        <v>0</v>
      </c>
    </row>
    <row r="310" spans="1:50">
      <c r="A310">
        <v>496</v>
      </c>
      <c r="B310">
        <v>54</v>
      </c>
      <c r="C310" t="s">
        <v>1874</v>
      </c>
      <c r="D310" s="1"/>
      <c r="E310" s="1">
        <f>_xlfn.XLOOKUP(tbl_Sourcing[[#This Row],[Notes]], tbl_Sourcing[Sourcing Id],  tbl_Sourcing[Sale Price])*tbl_Sourcing[[#This Row],[Min Order Value]]+8</f>
        <v>194.34306723199998</v>
      </c>
      <c r="F310" s="1" t="b">
        <f>_xlfn.XLOOKUP(tbl_Sourcing[[#This Row],[Notes]], tbl_Sourcing[Sourcing Id], tbl_Sourcing[Active])</f>
        <v>1</v>
      </c>
      <c r="G310" s="6">
        <f>_xlfn.XLOOKUP(tbl_Sourcing[[#This Row],[Product Id]], tbl_Product[Product Id], tbl_Product[Pack Size])</f>
        <v>30</v>
      </c>
      <c r="I310">
        <v>160</v>
      </c>
      <c r="J310" s="6" t="str">
        <f>_xlfn.XLOOKUP(tbl_Sourcing[[#This Row],[Product Id]], tbl_Product[Product Id], tbl_Product[Name])</f>
        <v>MTG Strixhaven: School of Magic Set Booster Box</v>
      </c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0" s="6" t="b">
        <f>_xlfn.XLOOKUP(tbl_Sourcing[[#This Row],[Product Id]], tbl_Product[Product Id], tbl_Product[Is Set or Play Booster])</f>
        <v>1</v>
      </c>
      <c r="AX310" s="6" t="b">
        <f>_xlfn.XLOOKUP(tbl_Sourcing[[#This Row],[Product Id]], tbl_Product[Product Id], tbl_Product[Is Precon])</f>
        <v>0</v>
      </c>
    </row>
    <row r="311" spans="1:50">
      <c r="A311">
        <v>551</v>
      </c>
      <c r="B311">
        <v>136</v>
      </c>
      <c r="C311" t="s">
        <v>1874</v>
      </c>
      <c r="D311" s="1"/>
      <c r="E311" s="1">
        <f>_xlfn.XLOOKUP(tbl_Sourcing[[#This Row],[Notes]], tbl_Sourcing[Sourcing Id],  tbl_Sourcing[Sale Price])*tbl_Sourcing[[#This Row],[Min Order Value]]+8</f>
        <v>380.37295283840001</v>
      </c>
      <c r="F311" s="1" t="b">
        <f>_xlfn.XLOOKUP(tbl_Sourcing[[#This Row],[Notes]], tbl_Sourcing[Sourcing Id], tbl_Sourcing[Active])</f>
        <v>1</v>
      </c>
      <c r="G311" s="6">
        <f>_xlfn.XLOOKUP(tbl_Sourcing[[#This Row],[Product Id]], tbl_Product[Product Id], tbl_Product[Pack Size])</f>
        <v>12</v>
      </c>
      <c r="I311">
        <v>216</v>
      </c>
      <c r="J311" s="6" t="str">
        <f>_xlfn.XLOOKUP(tbl_Sourcing[[#This Row],[Product Id]], tbl_Product[Product Id], tbl_Product[Name])</f>
        <v>MTG Tarkir: Dragonstorm TDM Collector Booster Box</v>
      </c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1" s="6" t="b">
        <f>_xlfn.XLOOKUP(tbl_Sourcing[[#This Row],[Product Id]], tbl_Product[Product Id], tbl_Product[Is Set or Play Booster])</f>
        <v>0</v>
      </c>
      <c r="AX311" s="6" t="b">
        <f>_xlfn.XLOOKUP(tbl_Sourcing[[#This Row],[Product Id]], tbl_Product[Product Id], tbl_Product[Is Precon])</f>
        <v>0</v>
      </c>
    </row>
    <row r="312" spans="1:50">
      <c r="A312">
        <v>514</v>
      </c>
      <c r="B312">
        <v>42</v>
      </c>
      <c r="C312" t="s">
        <v>1874</v>
      </c>
      <c r="D312" s="1"/>
      <c r="E312" s="1">
        <f>_xlfn.XLOOKUP(tbl_Sourcing[[#This Row],[Notes]], tbl_Sourcing[Sourcing Id],  tbl_Sourcing[Sale Price])*tbl_Sourcing[[#This Row],[Min Order Value]]+8</f>
        <v>109.523043632</v>
      </c>
      <c r="F312" s="1" t="b">
        <f>_xlfn.XLOOKUP(tbl_Sourcing[[#This Row],[Notes]], tbl_Sourcing[Sourcing Id], tbl_Sourcing[Active])</f>
        <v>1</v>
      </c>
      <c r="G312" s="6">
        <f>_xlfn.XLOOKUP(tbl_Sourcing[[#This Row],[Product Id]], tbl_Product[Product Id], tbl_Product[Pack Size])</f>
        <v>30</v>
      </c>
      <c r="I312">
        <v>178</v>
      </c>
      <c r="J312" s="6" t="str">
        <f>_xlfn.XLOOKUP(tbl_Sourcing[[#This Row],[Product Id]], tbl_Product[Product Id], tbl_Product[Name])</f>
        <v>MTG Tarkir: Dragonstorm TDM Play Booster Box</v>
      </c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2" s="6" t="b">
        <f>_xlfn.XLOOKUP(tbl_Sourcing[[#This Row],[Product Id]], tbl_Product[Product Id], tbl_Product[Is Set or Play Booster])</f>
        <v>1</v>
      </c>
      <c r="AX312" s="6" t="b">
        <f>_xlfn.XLOOKUP(tbl_Sourcing[[#This Row],[Product Id]], tbl_Product[Product Id], tbl_Product[Is Precon])</f>
        <v>0</v>
      </c>
    </row>
    <row r="313" spans="1:50">
      <c r="A313">
        <v>552</v>
      </c>
      <c r="B313">
        <v>138</v>
      </c>
      <c r="C313" t="s">
        <v>1874</v>
      </c>
      <c r="D313" s="1"/>
      <c r="E313" s="1">
        <f>_xlfn.XLOOKUP(tbl_Sourcing[[#This Row],[Notes]], tbl_Sourcing[Sourcing Id],  tbl_Sourcing[Sale Price])*tbl_Sourcing[[#This Row],[Min Order Value]]+8</f>
        <v>541.55709614720001</v>
      </c>
      <c r="F313" s="1" t="b">
        <f>_xlfn.XLOOKUP(tbl_Sourcing[[#This Row],[Notes]], tbl_Sourcing[Sourcing Id], tbl_Sourcing[Active])</f>
        <v>1</v>
      </c>
      <c r="G313" s="6">
        <f>_xlfn.XLOOKUP(tbl_Sourcing[[#This Row],[Product Id]], tbl_Product[Product Id], tbl_Product[Pack Size])</f>
        <v>12</v>
      </c>
      <c r="I313">
        <v>217</v>
      </c>
      <c r="J313" s="6" t="str">
        <f>_xlfn.XLOOKUP(tbl_Sourcing[[#This Row],[Product Id]], tbl_Product[Product Id], tbl_Product[Name])</f>
        <v>MTG The Brothers' War Collector Booster Box</v>
      </c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3" s="6" t="b">
        <f>_xlfn.XLOOKUP(tbl_Sourcing[[#This Row],[Product Id]], tbl_Product[Product Id], tbl_Product[Is Set or Play Booster])</f>
        <v>0</v>
      </c>
      <c r="AX313" s="6" t="b">
        <f>_xlfn.XLOOKUP(tbl_Sourcing[[#This Row],[Product Id]], tbl_Product[Product Id], tbl_Product[Is Precon])</f>
        <v>0</v>
      </c>
    </row>
    <row r="314" spans="1:50">
      <c r="A314">
        <v>515</v>
      </c>
      <c r="B314">
        <v>73</v>
      </c>
      <c r="C314" t="s">
        <v>1874</v>
      </c>
      <c r="D314" s="1"/>
      <c r="E314" s="1">
        <f>_xlfn.XLOOKUP(tbl_Sourcing[[#This Row],[Notes]], tbl_Sourcing[Sourcing Id],  tbl_Sourcing[Sale Price])*tbl_Sourcing[[#This Row],[Min Order Value]]+8</f>
        <v>131.70674211199997</v>
      </c>
      <c r="F314" s="1" t="b">
        <f>_xlfn.XLOOKUP(tbl_Sourcing[[#This Row],[Notes]], tbl_Sourcing[Sourcing Id], tbl_Sourcing[Active])</f>
        <v>1</v>
      </c>
      <c r="G314" s="6">
        <f>_xlfn.XLOOKUP(tbl_Sourcing[[#This Row],[Product Id]], tbl_Product[Product Id], tbl_Product[Pack Size])</f>
        <v>30</v>
      </c>
      <c r="I314">
        <v>179</v>
      </c>
      <c r="J314" s="6" t="str">
        <f>_xlfn.XLOOKUP(tbl_Sourcing[[#This Row],[Product Id]], tbl_Product[Product Id], tbl_Product[Name])</f>
        <v>MTG The Brothers' War Set Booster Box</v>
      </c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4" s="6" t="b">
        <f>_xlfn.XLOOKUP(tbl_Sourcing[[#This Row],[Product Id]], tbl_Product[Product Id], tbl_Product[Is Set or Play Booster])</f>
        <v>1</v>
      </c>
      <c r="AX314" s="6" t="b">
        <f>_xlfn.XLOOKUP(tbl_Sourcing[[#This Row],[Product Id]], tbl_Product[Product Id], tbl_Product[Is Precon])</f>
        <v>0</v>
      </c>
    </row>
    <row r="315" spans="1:50">
      <c r="A315">
        <v>553</v>
      </c>
      <c r="B315">
        <v>140</v>
      </c>
      <c r="C315" t="s">
        <v>1874</v>
      </c>
      <c r="D315" s="1"/>
      <c r="E315" s="1">
        <f>_xlfn.XLOOKUP(tbl_Sourcing[[#This Row],[Notes]], tbl_Sourcing[Sourcing Id],  tbl_Sourcing[Sale Price])*tbl_Sourcing[[#This Row],[Min Order Value]]+8</f>
        <v>1235.9851539776</v>
      </c>
      <c r="F315" s="1" t="b">
        <f>_xlfn.XLOOKUP(tbl_Sourcing[[#This Row],[Notes]], tbl_Sourcing[Sourcing Id], tbl_Sourcing[Active])</f>
        <v>1</v>
      </c>
      <c r="G315" s="6">
        <f>_xlfn.XLOOKUP(tbl_Sourcing[[#This Row],[Product Id]], tbl_Product[Product Id], tbl_Product[Pack Size])</f>
        <v>12</v>
      </c>
      <c r="I315">
        <v>218</v>
      </c>
      <c r="J315" s="6" t="str">
        <f>_xlfn.XLOOKUP(tbl_Sourcing[[#This Row],[Product Id]], tbl_Product[Product Id], tbl_Product[Name])</f>
        <v>MTG The Lord of the Rings: Tales of Middle-earth LTR Collector Booster Box</v>
      </c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5" s="6" t="b">
        <f>_xlfn.XLOOKUP(tbl_Sourcing[[#This Row],[Product Id]], tbl_Product[Product Id], tbl_Product[Is Set or Play Booster])</f>
        <v>0</v>
      </c>
      <c r="AX315" s="6" t="b">
        <f>_xlfn.XLOOKUP(tbl_Sourcing[[#This Row],[Product Id]], tbl_Product[Product Id], tbl_Product[Is Precon])</f>
        <v>0</v>
      </c>
    </row>
    <row r="316" spans="1:50">
      <c r="A316">
        <v>508</v>
      </c>
      <c r="B316">
        <v>66</v>
      </c>
      <c r="C316" t="s">
        <v>1874</v>
      </c>
      <c r="D316" s="1"/>
      <c r="E316" s="1">
        <f>_xlfn.XLOOKUP(tbl_Sourcing[[#This Row],[Notes]], tbl_Sourcing[Sourcing Id],  tbl_Sourcing[Sale Price])*tbl_Sourcing[[#This Row],[Min Order Value]]+8</f>
        <v>217.57070446399996</v>
      </c>
      <c r="F316" s="1" t="b">
        <f>_xlfn.XLOOKUP(tbl_Sourcing[[#This Row],[Notes]], tbl_Sourcing[Sourcing Id], tbl_Sourcing[Active])</f>
        <v>1</v>
      </c>
      <c r="G316" s="6">
        <f>_xlfn.XLOOKUP(tbl_Sourcing[[#This Row],[Product Id]], tbl_Product[Product Id], tbl_Product[Pack Size])</f>
        <v>30</v>
      </c>
      <c r="I316">
        <v>172</v>
      </c>
      <c r="J316" s="6" t="str">
        <f>_xlfn.XLOOKUP(tbl_Sourcing[[#This Row],[Product Id]], tbl_Product[Product Id], tbl_Product[Name])</f>
        <v>MTG The Lord of the Rings: Tales of Middle-earth LTR Set Booster Box</v>
      </c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6" s="6" t="b">
        <f>_xlfn.XLOOKUP(tbl_Sourcing[[#This Row],[Product Id]], tbl_Product[Product Id], tbl_Product[Is Set or Play Booster])</f>
        <v>1</v>
      </c>
      <c r="AX316" s="6" t="b">
        <f>_xlfn.XLOOKUP(tbl_Sourcing[[#This Row],[Product Id]], tbl_Product[Product Id], tbl_Product[Is Precon])</f>
        <v>0</v>
      </c>
    </row>
    <row r="317" spans="1:50">
      <c r="A317">
        <v>554</v>
      </c>
      <c r="B317">
        <v>142</v>
      </c>
      <c r="C317" t="s">
        <v>1874</v>
      </c>
      <c r="D317" s="1"/>
      <c r="E317" s="1">
        <f>_xlfn.XLOOKUP(tbl_Sourcing[[#This Row],[Notes]], tbl_Sourcing[Sourcing Id],  tbl_Sourcing[Sale Price])*tbl_Sourcing[[#This Row],[Min Order Value]]+8</f>
        <v>752.64151180160002</v>
      </c>
      <c r="F317" s="1" t="b">
        <f>_xlfn.XLOOKUP(tbl_Sourcing[[#This Row],[Notes]], tbl_Sourcing[Sourcing Id], tbl_Sourcing[Active])</f>
        <v>1</v>
      </c>
      <c r="G317" s="6">
        <f>_xlfn.XLOOKUP(tbl_Sourcing[[#This Row],[Product Id]], tbl_Product[Product Id], tbl_Product[Pack Size])</f>
        <v>12</v>
      </c>
      <c r="I317">
        <v>219</v>
      </c>
      <c r="J317" s="6" t="str">
        <f>_xlfn.XLOOKUP(tbl_Sourcing[[#This Row],[Product Id]], tbl_Product[Product Id], tbl_Product[Name])</f>
        <v>MTG The Lost Caverns of Ixalan LCI Collector Booster Box</v>
      </c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7" s="6" t="b">
        <f>_xlfn.XLOOKUP(tbl_Sourcing[[#This Row],[Product Id]], tbl_Product[Product Id], tbl_Product[Is Set or Play Booster])</f>
        <v>0</v>
      </c>
      <c r="AX317" s="6" t="b">
        <f>_xlfn.XLOOKUP(tbl_Sourcing[[#This Row],[Product Id]], tbl_Product[Product Id], tbl_Product[Is Precon])</f>
        <v>0</v>
      </c>
    </row>
    <row r="318" spans="1:50">
      <c r="A318">
        <v>489</v>
      </c>
      <c r="B318">
        <v>47</v>
      </c>
      <c r="C318" t="s">
        <v>1874</v>
      </c>
      <c r="D318" s="1"/>
      <c r="E318" s="1">
        <f>_xlfn.XLOOKUP(tbl_Sourcing[[#This Row],[Notes]], tbl_Sourcing[Sourcing Id],  tbl_Sourcing[Sale Price])*tbl_Sourcing[[#This Row],[Min Order Value]]+8</f>
        <v>188.07943471999999</v>
      </c>
      <c r="F318" s="1" t="b">
        <f>_xlfn.XLOOKUP(tbl_Sourcing[[#This Row],[Notes]], tbl_Sourcing[Sourcing Id], tbl_Sourcing[Active])</f>
        <v>1</v>
      </c>
      <c r="G318" s="6">
        <f>_xlfn.XLOOKUP(tbl_Sourcing[[#This Row],[Product Id]], tbl_Product[Product Id], tbl_Product[Pack Size])</f>
        <v>30</v>
      </c>
      <c r="I318">
        <v>153</v>
      </c>
      <c r="J318" s="6" t="str">
        <f>_xlfn.XLOOKUP(tbl_Sourcing[[#This Row],[Product Id]], tbl_Product[Product Id], tbl_Product[Name])</f>
        <v>MTG The Lost Caverns of Ixalan LCI Set Booster Box</v>
      </c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8" s="6" t="b">
        <f>_xlfn.XLOOKUP(tbl_Sourcing[[#This Row],[Product Id]], tbl_Product[Product Id], tbl_Product[Is Set or Play Booster])</f>
        <v>1</v>
      </c>
      <c r="AX318" s="6" t="b">
        <f>_xlfn.XLOOKUP(tbl_Sourcing[[#This Row],[Product Id]], tbl_Product[Product Id], tbl_Product[Is Precon])</f>
        <v>0</v>
      </c>
    </row>
    <row r="319" spans="1:50">
      <c r="A319">
        <v>525</v>
      </c>
      <c r="B319">
        <v>72</v>
      </c>
      <c r="C319" t="s">
        <v>1874</v>
      </c>
      <c r="D319" s="1"/>
      <c r="E319" s="1">
        <f>_xlfn.XLOOKUP(tbl_Sourcing[[#This Row],[Notes]], tbl_Sourcing[Sourcing Id],  tbl_Sourcing[Sale Price])*tbl_Sourcing[[#This Row],[Min Order Value]]+8</f>
        <v>8</v>
      </c>
      <c r="F319" s="1" t="b">
        <f>_xlfn.XLOOKUP(tbl_Sourcing[[#This Row],[Notes]], tbl_Sourcing[Sourcing Id], tbl_Sourcing[Active])</f>
        <v>1</v>
      </c>
      <c r="G319" s="6">
        <f>_xlfn.XLOOKUP(tbl_Sourcing[[#This Row],[Product Id]], tbl_Product[Product Id], tbl_Product[Pack Size])</f>
        <v>0</v>
      </c>
      <c r="I319">
        <v>189</v>
      </c>
      <c r="J319" s="6" t="str">
        <f>_xlfn.XLOOKUP(tbl_Sourcing[[#This Row],[Product Id]], tbl_Product[Product Id], tbl_Product[Name])</f>
        <v>MTG Theros Beyond Death THB Booster Box</v>
      </c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19" s="6" t="b">
        <f>_xlfn.XLOOKUP(tbl_Sourcing[[#This Row],[Product Id]], tbl_Product[Product Id], tbl_Product[Is Set or Play Booster])</f>
        <v>1</v>
      </c>
      <c r="AX319" s="6" t="b">
        <f>_xlfn.XLOOKUP(tbl_Sourcing[[#This Row],[Product Id]], tbl_Product[Product Id], tbl_Product[Is Precon])</f>
        <v>0</v>
      </c>
    </row>
    <row r="320" spans="1:50">
      <c r="A320">
        <v>555</v>
      </c>
      <c r="B320">
        <v>144</v>
      </c>
      <c r="C320" t="s">
        <v>1874</v>
      </c>
      <c r="D320" s="1"/>
      <c r="E320" s="1">
        <f>_xlfn.XLOOKUP(tbl_Sourcing[[#This Row],[Notes]], tbl_Sourcing[Sourcing Id],  tbl_Sourcing[Sale Price])*tbl_Sourcing[[#This Row],[Min Order Value]]+8</f>
        <v>218.875627904</v>
      </c>
      <c r="F320" s="1" t="b">
        <f>_xlfn.XLOOKUP(tbl_Sourcing[[#This Row],[Notes]], tbl_Sourcing[Sourcing Id], tbl_Sourcing[Active])</f>
        <v>1</v>
      </c>
      <c r="G320" s="6">
        <f>_xlfn.XLOOKUP(tbl_Sourcing[[#This Row],[Product Id]], tbl_Product[Product Id], tbl_Product[Pack Size])</f>
        <v>12</v>
      </c>
      <c r="I320">
        <v>220</v>
      </c>
      <c r="J320" s="6" t="str">
        <f>_xlfn.XLOOKUP(tbl_Sourcing[[#This Row],[Product Id]], tbl_Product[Product Id], tbl_Product[Name])</f>
        <v>MTG Theros Beyond Death THB Collector Booster Box</v>
      </c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0" s="6" t="b">
        <f>_xlfn.XLOOKUP(tbl_Sourcing[[#This Row],[Product Id]], tbl_Product[Product Id], tbl_Product[Is Set or Play Booster])</f>
        <v>0</v>
      </c>
      <c r="AX320" s="6" t="b">
        <f>_xlfn.XLOOKUP(tbl_Sourcing[[#This Row],[Product Id]], tbl_Product[Product Id], tbl_Product[Is Precon])</f>
        <v>0</v>
      </c>
    </row>
    <row r="321" spans="1:50">
      <c r="A321">
        <v>497</v>
      </c>
      <c r="B321">
        <v>55</v>
      </c>
      <c r="C321" t="s">
        <v>1874</v>
      </c>
      <c r="D321" s="1"/>
      <c r="E321" s="1">
        <f>_xlfn.XLOOKUP(tbl_Sourcing[[#This Row],[Notes]], tbl_Sourcing[Sourcing Id],  tbl_Sourcing[Sale Price])*tbl_Sourcing[[#This Row],[Min Order Value]]+8</f>
        <v>164.59081279999998</v>
      </c>
      <c r="F321" s="1" t="b">
        <f>_xlfn.XLOOKUP(tbl_Sourcing[[#This Row],[Notes]], tbl_Sourcing[Sourcing Id], tbl_Sourcing[Active])</f>
        <v>1</v>
      </c>
      <c r="G321" s="6">
        <f>_xlfn.XLOOKUP(tbl_Sourcing[[#This Row],[Product Id]], tbl_Product[Product Id], tbl_Product[Pack Size])</f>
        <v>36</v>
      </c>
      <c r="I321">
        <v>161</v>
      </c>
      <c r="J321" s="6" t="str">
        <f>_xlfn.XLOOKUP(tbl_Sourcing[[#This Row],[Product Id]], tbl_Product[Product Id], tbl_Product[Name])</f>
        <v>MTG Throne of Eldraine Booster Box</v>
      </c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1" s="6" t="b">
        <f>_xlfn.XLOOKUP(tbl_Sourcing[[#This Row],[Product Id]], tbl_Product[Product Id], tbl_Product[Is Set or Play Booster])</f>
        <v>1</v>
      </c>
      <c r="AX321" s="6" t="b">
        <f>_xlfn.XLOOKUP(tbl_Sourcing[[#This Row],[Product Id]], tbl_Product[Product Id], tbl_Product[Is Precon])</f>
        <v>0</v>
      </c>
    </row>
    <row r="322" spans="1:50">
      <c r="A322">
        <v>556</v>
      </c>
      <c r="B322">
        <v>146</v>
      </c>
      <c r="C322" t="s">
        <v>1874</v>
      </c>
      <c r="D322" s="1"/>
      <c r="E322" s="1">
        <f>_xlfn.XLOOKUP(tbl_Sourcing[[#This Row],[Notes]], tbl_Sourcing[Sourcing Id],  tbl_Sourcing[Sale Price])*tbl_Sourcing[[#This Row],[Min Order Value]]+8</f>
        <v>318.25859709439999</v>
      </c>
      <c r="F322" s="1" t="b">
        <f>_xlfn.XLOOKUP(tbl_Sourcing[[#This Row],[Notes]], tbl_Sourcing[Sourcing Id], tbl_Sourcing[Active])</f>
        <v>1</v>
      </c>
      <c r="G322" s="6">
        <f>_xlfn.XLOOKUP(tbl_Sourcing[[#This Row],[Product Id]], tbl_Product[Product Id], tbl_Product[Pack Size])</f>
        <v>12</v>
      </c>
      <c r="I322">
        <v>221</v>
      </c>
      <c r="J322" s="6" t="str">
        <f>_xlfn.XLOOKUP(tbl_Sourcing[[#This Row],[Product Id]], tbl_Product[Product Id], tbl_Product[Name])</f>
        <v>MTG Throne of Eldraine Collector Booster Box</v>
      </c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2" s="6" t="b">
        <f>_xlfn.XLOOKUP(tbl_Sourcing[[#This Row],[Product Id]], tbl_Product[Product Id], tbl_Product[Is Set or Play Booster])</f>
        <v>0</v>
      </c>
      <c r="AX322" s="6" t="b">
        <f>_xlfn.XLOOKUP(tbl_Sourcing[[#This Row],[Product Id]], tbl_Product[Product Id], tbl_Product[Is Precon])</f>
        <v>0</v>
      </c>
    </row>
    <row r="323" spans="1:50">
      <c r="A323">
        <v>495</v>
      </c>
      <c r="B323">
        <v>53</v>
      </c>
      <c r="C323" t="s">
        <v>1874</v>
      </c>
      <c r="D323" s="1"/>
      <c r="E323" s="1">
        <f>_xlfn.XLOOKUP(tbl_Sourcing[[#This Row],[Notes]], tbl_Sourcing[Sourcing Id],  tbl_Sourcing[Sale Price])*tbl_Sourcing[[#This Row],[Min Order Value]]+8</f>
        <v>194.34306723199998</v>
      </c>
      <c r="F323" s="1" t="b">
        <f>_xlfn.XLOOKUP(tbl_Sourcing[[#This Row],[Notes]], tbl_Sourcing[Sourcing Id], tbl_Sourcing[Active])</f>
        <v>1</v>
      </c>
      <c r="G323" s="6">
        <f>_xlfn.XLOOKUP(tbl_Sourcing[[#This Row],[Product Id]], tbl_Product[Product Id], tbl_Product[Pack Size])</f>
        <v>36</v>
      </c>
      <c r="I323">
        <v>159</v>
      </c>
      <c r="J323" s="6" t="str">
        <f>_xlfn.XLOOKUP(tbl_Sourcing[[#This Row],[Product Id]], tbl_Product[Product Id], tbl_Product[Name])</f>
        <v>MTG War of the Spark Booster Box</v>
      </c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3" s="6" t="b">
        <f>_xlfn.XLOOKUP(tbl_Sourcing[[#This Row],[Product Id]], tbl_Product[Product Id], tbl_Product[Is Set or Play Booster])</f>
        <v>1</v>
      </c>
      <c r="AX323" s="6" t="b">
        <f>_xlfn.XLOOKUP(tbl_Sourcing[[#This Row],[Product Id]], tbl_Product[Product Id], tbl_Product[Is Precon])</f>
        <v>0</v>
      </c>
    </row>
    <row r="324" spans="1:50">
      <c r="A324">
        <v>557</v>
      </c>
      <c r="B324">
        <v>148</v>
      </c>
      <c r="C324" t="s">
        <v>1874</v>
      </c>
      <c r="D324" s="1"/>
      <c r="E324" s="1">
        <f>_xlfn.XLOOKUP(tbl_Sourcing[[#This Row],[Notes]], tbl_Sourcing[Sourcing Id],  tbl_Sourcing[Sale Price])*tbl_Sourcing[[#This Row],[Min Order Value]]+8</f>
        <v>1000.263783776</v>
      </c>
      <c r="F324" s="1" t="b">
        <f>_xlfn.XLOOKUP(tbl_Sourcing[[#This Row],[Notes]], tbl_Sourcing[Sourcing Id], tbl_Sourcing[Active])</f>
        <v>1</v>
      </c>
      <c r="G324" s="6">
        <f>_xlfn.XLOOKUP(tbl_Sourcing[[#This Row],[Product Id]], tbl_Product[Product Id], tbl_Product[Pack Size])</f>
        <v>12</v>
      </c>
      <c r="I324">
        <v>222</v>
      </c>
      <c r="J324" s="6" t="str">
        <f>_xlfn.XLOOKUP(tbl_Sourcing[[#This Row],[Product Id]], tbl_Product[Product Id], tbl_Product[Name])</f>
        <v>MTG Wilds of Eldraine Collector Booster Box</v>
      </c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4" s="6" t="b">
        <f>_xlfn.XLOOKUP(tbl_Sourcing[[#This Row],[Product Id]], tbl_Product[Product Id], tbl_Product[Is Set or Play Booster])</f>
        <v>0</v>
      </c>
      <c r="AX324" s="6" t="b">
        <f>_xlfn.XLOOKUP(tbl_Sourcing[[#This Row],[Product Id]], tbl_Product[Product Id], tbl_Product[Is Precon])</f>
        <v>0</v>
      </c>
    </row>
    <row r="325" spans="1:50">
      <c r="A325">
        <v>516</v>
      </c>
      <c r="B325">
        <v>74</v>
      </c>
      <c r="C325" t="s">
        <v>1874</v>
      </c>
      <c r="D325" s="1"/>
      <c r="E325" s="1">
        <f>_xlfn.XLOOKUP(tbl_Sourcing[[#This Row],[Notes]], tbl_Sourcing[Sourcing Id],  tbl_Sourcing[Sale Price])*tbl_Sourcing[[#This Row],[Min Order Value]]+8</f>
        <v>258.25919402</v>
      </c>
      <c r="F325" s="1" t="b">
        <f>_xlfn.XLOOKUP(tbl_Sourcing[[#This Row],[Notes]], tbl_Sourcing[Sourcing Id], tbl_Sourcing[Active])</f>
        <v>0</v>
      </c>
      <c r="G325" s="6">
        <f>_xlfn.XLOOKUP(tbl_Sourcing[[#This Row],[Product Id]], tbl_Product[Product Id], tbl_Product[Pack Size])</f>
        <v>30</v>
      </c>
      <c r="I325">
        <v>180</v>
      </c>
      <c r="J325" s="6" t="str">
        <f>_xlfn.XLOOKUP(tbl_Sourcing[[#This Row],[Product Id]], tbl_Product[Product Id], tbl_Product[Name])</f>
        <v>MTG Wilds of Eldraine Set Booster Box</v>
      </c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25" s="6" t="b">
        <f>_xlfn.XLOOKUP(tbl_Sourcing[[#This Row],[Product Id]], tbl_Product[Product Id], tbl_Product[Is Set or Play Booster])</f>
        <v>1</v>
      </c>
      <c r="AX325" s="6" t="b">
        <f>_xlfn.XLOOKUP(tbl_Sourcing[[#This Row],[Product Id]], tbl_Product[Product Id], tbl_Product[Is Precon])</f>
        <v>0</v>
      </c>
    </row>
    <row r="326" spans="1:50">
      <c r="A326">
        <v>86</v>
      </c>
      <c r="B326">
        <v>84</v>
      </c>
      <c r="C326" t="s">
        <v>1875</v>
      </c>
      <c r="D326" s="8" t="s">
        <v>1876</v>
      </c>
      <c r="E326" s="23">
        <v>229.95</v>
      </c>
      <c r="F326" s="23" t="b">
        <v>1</v>
      </c>
      <c r="G326" s="24"/>
      <c r="H326" s="24"/>
      <c r="J326" s="6" t="str">
        <f>_xlfn.XLOOKUP(tbl_Sourcing[[#This Row],[Product Id]], tbl_Product[Product Id], tbl_Product[Name])</f>
        <v>MTG Aetherdrift Collector Booster Box</v>
      </c>
      <c r="K326" s="6"/>
      <c r="L326" s="6">
        <v>1</v>
      </c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</v>
      </c>
      <c r="AW326" s="6" t="b">
        <f>_xlfn.XLOOKUP(tbl_Sourcing[[#This Row],[Product Id]], tbl_Product[Product Id], tbl_Product[Is Set or Play Booster])</f>
        <v>0</v>
      </c>
      <c r="AX326" s="6" t="b">
        <f>_xlfn.XLOOKUP(tbl_Sourcing[[#This Row],[Product Id]], tbl_Product[Product Id], tbl_Product[Is Precon])</f>
        <v>0</v>
      </c>
    </row>
    <row r="327" spans="1:50">
      <c r="A327">
        <v>392</v>
      </c>
      <c r="B327">
        <v>161</v>
      </c>
      <c r="C327" t="s">
        <v>1875</v>
      </c>
      <c r="D327" s="8" t="s">
        <v>1877</v>
      </c>
      <c r="E327" s="23">
        <v>39.950000000000003</v>
      </c>
      <c r="F327" s="23" t="b">
        <v>1</v>
      </c>
      <c r="G327" s="24"/>
      <c r="H327" s="24"/>
      <c r="J327" s="6" t="str">
        <f>_xlfn.XLOOKUP(tbl_Sourcing[[#This Row],[Product Id]], tbl_Product[Product Id], tbl_Product[Name])</f>
        <v>MTG Aetherdrift Living Energy Precon</v>
      </c>
      <c r="K327" s="6"/>
      <c r="L327" s="6">
        <v>69</v>
      </c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342</v>
      </c>
      <c r="AW327" s="6" t="b">
        <f>_xlfn.XLOOKUP(tbl_Sourcing[[#This Row],[Product Id]], tbl_Product[Product Id], tbl_Product[Is Set or Play Booster])</f>
        <v>0</v>
      </c>
      <c r="AX327" s="6" t="b">
        <f>_xlfn.XLOOKUP(tbl_Sourcing[[#This Row],[Product Id]], tbl_Product[Product Id], tbl_Product[Is Precon])</f>
        <v>1</v>
      </c>
    </row>
    <row r="328" spans="1:50">
      <c r="A328">
        <v>60</v>
      </c>
      <c r="B328">
        <v>70</v>
      </c>
      <c r="C328" t="s">
        <v>1875</v>
      </c>
      <c r="D328" s="8" t="s">
        <v>1878</v>
      </c>
      <c r="E328" s="23">
        <v>112.95</v>
      </c>
      <c r="F328" s="23" t="b">
        <v>1</v>
      </c>
      <c r="G328" s="24"/>
      <c r="H328" s="24"/>
      <c r="J328" s="6" t="str">
        <f>_xlfn.XLOOKUP(tbl_Sourcing[[#This Row],[Product Id]], tbl_Product[Product Id], tbl_Product[Name])</f>
        <v>MTG Aetherdrift Play Booster Box</v>
      </c>
      <c r="K328" s="6"/>
      <c r="L328" s="6">
        <v>2</v>
      </c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</v>
      </c>
      <c r="AW328" s="6" t="b">
        <f>_xlfn.XLOOKUP(tbl_Sourcing[[#This Row],[Product Id]], tbl_Product[Product Id], tbl_Product[Is Set or Play Booster])</f>
        <v>1</v>
      </c>
      <c r="AX328" s="6" t="b">
        <f>_xlfn.XLOOKUP(tbl_Sourcing[[#This Row],[Product Id]], tbl_Product[Product Id], tbl_Product[Is Precon])</f>
        <v>0</v>
      </c>
    </row>
    <row r="329" spans="1:50">
      <c r="A329">
        <v>42</v>
      </c>
      <c r="B329">
        <v>63</v>
      </c>
      <c r="C329" t="s">
        <v>1875</v>
      </c>
      <c r="D329" s="8" t="s">
        <v>1879</v>
      </c>
      <c r="E329" s="24"/>
      <c r="F329" s="23" t="b">
        <v>0</v>
      </c>
      <c r="G329" s="24"/>
      <c r="H329" s="24"/>
      <c r="J329" s="6" t="str">
        <f>_xlfn.XLOOKUP(tbl_Sourcing[[#This Row],[Product Id]], tbl_Product[Product Id], tbl_Product[Name])</f>
        <v>MTG Assassin's Creed Beyond Booster Box</v>
      </c>
      <c r="K329" s="6"/>
      <c r="L329" s="6">
        <v>3</v>
      </c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</v>
      </c>
      <c r="AW329" s="6" t="b">
        <f>_xlfn.XLOOKUP(tbl_Sourcing[[#This Row],[Product Id]], tbl_Product[Product Id], tbl_Product[Is Set or Play Booster])</f>
        <v>1</v>
      </c>
      <c r="AX329" s="6" t="b">
        <f>_xlfn.XLOOKUP(tbl_Sourcing[[#This Row],[Product Id]], tbl_Product[Product Id], tbl_Product[Is Precon])</f>
        <v>0</v>
      </c>
    </row>
    <row r="330" spans="1:50">
      <c r="A330">
        <v>87</v>
      </c>
      <c r="B330">
        <v>86</v>
      </c>
      <c r="C330" t="s">
        <v>1875</v>
      </c>
      <c r="D330" s="8" t="s">
        <v>1880</v>
      </c>
      <c r="E330" s="24"/>
      <c r="F330" s="23" t="b">
        <v>0</v>
      </c>
      <c r="G330" s="24"/>
      <c r="H330" s="24"/>
      <c r="J330" s="6" t="str">
        <f>_xlfn.XLOOKUP(tbl_Sourcing[[#This Row],[Product Id]], tbl_Product[Product Id], tbl_Product[Name])</f>
        <v>MTG Assassin's Creed Beyond Collector Booster Box</v>
      </c>
      <c r="K330" s="6"/>
      <c r="L330" s="6">
        <v>4</v>
      </c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</v>
      </c>
      <c r="AW330" s="6" t="b">
        <f>_xlfn.XLOOKUP(tbl_Sourcing[[#This Row],[Product Id]], tbl_Product[Product Id], tbl_Product[Is Set or Play Booster])</f>
        <v>0</v>
      </c>
      <c r="AX330" s="6" t="b">
        <f>_xlfn.XLOOKUP(tbl_Sourcing[[#This Row],[Product Id]], tbl_Product[Product Id], tbl_Product[Is Precon])</f>
        <v>0</v>
      </c>
    </row>
    <row r="331" spans="1:50">
      <c r="A331">
        <v>88</v>
      </c>
      <c r="B331">
        <v>88</v>
      </c>
      <c r="C331" t="s">
        <v>1875</v>
      </c>
      <c r="D331" s="8" t="s">
        <v>1881</v>
      </c>
      <c r="E331" s="23">
        <v>399.95</v>
      </c>
      <c r="F331" s="23" t="b">
        <v>1</v>
      </c>
      <c r="G331" s="24"/>
      <c r="H331" s="24"/>
      <c r="J331" s="6" t="str">
        <f>_xlfn.XLOOKUP(tbl_Sourcing[[#This Row],[Product Id]], tbl_Product[Product Id], tbl_Product[Name])</f>
        <v>MTG Avatar: The Last Airbender Collector Booster Box</v>
      </c>
      <c r="K331" s="6"/>
      <c r="L331" s="6">
        <v>5</v>
      </c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</v>
      </c>
      <c r="AW331" s="6" t="b">
        <f>_xlfn.XLOOKUP(tbl_Sourcing[[#This Row],[Product Id]], tbl_Product[Product Id], tbl_Product[Is Set or Play Booster])</f>
        <v>0</v>
      </c>
      <c r="AX331" s="6" t="b">
        <f>_xlfn.XLOOKUP(tbl_Sourcing[[#This Row],[Product Id]], tbl_Product[Product Id], tbl_Product[Is Precon])</f>
        <v>0</v>
      </c>
    </row>
    <row r="332" spans="1:50">
      <c r="A332">
        <v>27</v>
      </c>
      <c r="B332">
        <v>57</v>
      </c>
      <c r="C332" t="s">
        <v>1875</v>
      </c>
      <c r="D332" s="8" t="s">
        <v>1882</v>
      </c>
      <c r="E332" s="23">
        <v>145</v>
      </c>
      <c r="F332" s="23" t="b">
        <v>1</v>
      </c>
      <c r="G332" s="24"/>
      <c r="H332" s="24"/>
      <c r="J332" s="6" t="str">
        <f>_xlfn.XLOOKUP(tbl_Sourcing[[#This Row],[Product Id]], tbl_Product[Product Id], tbl_Product[Name])</f>
        <v>MTG Avatar: The Last Airbender Play Booster Box</v>
      </c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32" s="6" t="b">
        <f>_xlfn.XLOOKUP(tbl_Sourcing[[#This Row],[Product Id]], tbl_Product[Product Id], tbl_Product[Is Set or Play Booster])</f>
        <v>1</v>
      </c>
      <c r="AX332" s="6" t="b">
        <f>_xlfn.XLOOKUP(tbl_Sourcing[[#This Row],[Product Id]], tbl_Product[Product Id], tbl_Product[Is Precon])</f>
        <v>0</v>
      </c>
    </row>
    <row r="333" spans="1:50">
      <c r="A333">
        <v>395</v>
      </c>
      <c r="B333">
        <v>167</v>
      </c>
      <c r="C333" t="s">
        <v>1875</v>
      </c>
      <c r="D333" s="8" t="s">
        <v>1883</v>
      </c>
      <c r="E333" s="24"/>
      <c r="F333" s="23" t="b">
        <v>0</v>
      </c>
      <c r="G333" s="24"/>
      <c r="H333" s="24"/>
      <c r="J333" s="6" t="str">
        <f>_xlfn.XLOOKUP(tbl_Sourcing[[#This Row],[Product Id]], tbl_Product[Product Id], tbl_Product[Name])</f>
        <v>MTG Bloomburrow Animated Army Precon</v>
      </c>
      <c r="K333" s="6"/>
      <c r="L333" s="6">
        <v>70</v>
      </c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347</v>
      </c>
      <c r="AW333" s="6" t="b">
        <f>_xlfn.XLOOKUP(tbl_Sourcing[[#This Row],[Product Id]], tbl_Product[Product Id], tbl_Product[Is Set or Play Booster])</f>
        <v>0</v>
      </c>
      <c r="AX333" s="6" t="b">
        <f>_xlfn.XLOOKUP(tbl_Sourcing[[#This Row],[Product Id]], tbl_Product[Product Id], tbl_Product[Is Precon])</f>
        <v>1</v>
      </c>
    </row>
    <row r="334" spans="1:50">
      <c r="A334">
        <v>89</v>
      </c>
      <c r="B334">
        <v>90</v>
      </c>
      <c r="C334" t="s">
        <v>1875</v>
      </c>
      <c r="D334" s="8" t="s">
        <v>1884</v>
      </c>
      <c r="E334" s="24"/>
      <c r="F334" s="23" t="b">
        <v>0</v>
      </c>
      <c r="G334" s="24"/>
      <c r="H334" s="24"/>
      <c r="J334" s="6" t="str">
        <f>_xlfn.XLOOKUP(tbl_Sourcing[[#This Row],[Product Id]], tbl_Product[Product Id], tbl_Product[Name])</f>
        <v>MTG Bloomburrow Collector Booster Box</v>
      </c>
      <c r="K334" s="6"/>
      <c r="L334" s="6">
        <v>7</v>
      </c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32</v>
      </c>
      <c r="AW334" s="6" t="b">
        <f>_xlfn.XLOOKUP(tbl_Sourcing[[#This Row],[Product Id]], tbl_Product[Product Id], tbl_Product[Is Set or Play Booster])</f>
        <v>0</v>
      </c>
      <c r="AX334" s="6" t="b">
        <f>_xlfn.XLOOKUP(tbl_Sourcing[[#This Row],[Product Id]], tbl_Product[Product Id], tbl_Product[Is Precon])</f>
        <v>0</v>
      </c>
    </row>
    <row r="335" spans="1:50">
      <c r="A335">
        <v>391</v>
      </c>
      <c r="B335">
        <v>169</v>
      </c>
      <c r="C335" t="s">
        <v>1875</v>
      </c>
      <c r="D335" s="8" t="s">
        <v>1885</v>
      </c>
      <c r="E335" s="24"/>
      <c r="F335" s="23" t="b">
        <v>0</v>
      </c>
      <c r="G335" s="24"/>
      <c r="H335" s="24"/>
      <c r="J335" s="6" t="str">
        <f>_xlfn.XLOOKUP(tbl_Sourcing[[#This Row],[Product Id]], tbl_Product[Product Id], tbl_Product[Name])</f>
        <v>MTG Bloomburrow Family Matters Precon</v>
      </c>
      <c r="K335" s="6"/>
      <c r="L335" s="6">
        <v>71</v>
      </c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352</v>
      </c>
      <c r="AW335" s="6" t="b">
        <f>_xlfn.XLOOKUP(tbl_Sourcing[[#This Row],[Product Id]], tbl_Product[Product Id], tbl_Product[Is Set or Play Booster])</f>
        <v>0</v>
      </c>
      <c r="AX335" s="6" t="b">
        <f>_xlfn.XLOOKUP(tbl_Sourcing[[#This Row],[Product Id]], tbl_Product[Product Id], tbl_Product[Is Precon])</f>
        <v>1</v>
      </c>
    </row>
    <row r="336" spans="1:50">
      <c r="A336">
        <v>390</v>
      </c>
      <c r="B336">
        <v>168</v>
      </c>
      <c r="C336" t="s">
        <v>1875</v>
      </c>
      <c r="D336" s="8" t="s">
        <v>1886</v>
      </c>
      <c r="E336" s="24"/>
      <c r="F336" s="23" t="b">
        <v>0</v>
      </c>
      <c r="G336" s="24"/>
      <c r="H336" s="24"/>
      <c r="J336" s="6" t="str">
        <f>_xlfn.XLOOKUP(tbl_Sourcing[[#This Row],[Product Id]], tbl_Product[Product Id], tbl_Product[Name])</f>
        <v>MTG Bloomburrow Peace Offering Precon</v>
      </c>
      <c r="K336" s="6"/>
      <c r="L336" s="6">
        <v>72</v>
      </c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357</v>
      </c>
      <c r="AW336" s="6" t="b">
        <f>_xlfn.XLOOKUP(tbl_Sourcing[[#This Row],[Product Id]], tbl_Product[Product Id], tbl_Product[Is Set or Play Booster])</f>
        <v>0</v>
      </c>
      <c r="AX336" s="6" t="b">
        <f>_xlfn.XLOOKUP(tbl_Sourcing[[#This Row],[Product Id]], tbl_Product[Product Id], tbl_Product[Is Precon])</f>
        <v>1</v>
      </c>
    </row>
    <row r="337" spans="1:50">
      <c r="A337">
        <v>82</v>
      </c>
      <c r="B337">
        <v>79</v>
      </c>
      <c r="C337" t="s">
        <v>1875</v>
      </c>
      <c r="D337" s="8" t="s">
        <v>1887</v>
      </c>
      <c r="E337" s="23">
        <v>140</v>
      </c>
      <c r="F337" s="23" t="b">
        <v>1</v>
      </c>
      <c r="G337" s="24"/>
      <c r="H337" s="24"/>
      <c r="J337" s="6" t="str">
        <f>_xlfn.XLOOKUP(tbl_Sourcing[[#This Row],[Product Id]], tbl_Product[Product Id], tbl_Product[Name])</f>
        <v>MTG Bloomburrow Play Booster Box</v>
      </c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37" s="6" t="b">
        <f>_xlfn.XLOOKUP(tbl_Sourcing[[#This Row],[Product Id]], tbl_Product[Product Id], tbl_Product[Is Set or Play Booster])</f>
        <v>1</v>
      </c>
      <c r="AX337" s="6" t="b">
        <f>_xlfn.XLOOKUP(tbl_Sourcing[[#This Row],[Product Id]], tbl_Product[Product Id], tbl_Product[Is Precon])</f>
        <v>0</v>
      </c>
    </row>
    <row r="338" spans="1:50">
      <c r="A338">
        <v>403</v>
      </c>
      <c r="B338">
        <v>166</v>
      </c>
      <c r="C338" t="s">
        <v>1875</v>
      </c>
      <c r="D338" s="8" t="s">
        <v>1888</v>
      </c>
      <c r="E338" s="23">
        <v>78.95</v>
      </c>
      <c r="F338" s="23" t="b">
        <v>1</v>
      </c>
      <c r="G338" s="24"/>
      <c r="H338" s="24"/>
      <c r="J338" s="6" t="str">
        <f>_xlfn.XLOOKUP(tbl_Sourcing[[#This Row],[Product Id]], tbl_Product[Product Id], tbl_Product[Name])</f>
        <v>MTG Bloomburrow Squirreled Away Precon</v>
      </c>
      <c r="K338" s="6"/>
      <c r="L338" s="6">
        <v>73</v>
      </c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362</v>
      </c>
      <c r="AW338" s="6" t="b">
        <f>_xlfn.XLOOKUP(tbl_Sourcing[[#This Row],[Product Id]], tbl_Product[Product Id], tbl_Product[Is Set or Play Booster])</f>
        <v>0</v>
      </c>
      <c r="AX338" s="6" t="b">
        <f>_xlfn.XLOOKUP(tbl_Sourcing[[#This Row],[Product Id]], tbl_Product[Product Id], tbl_Product[Is Precon])</f>
        <v>1</v>
      </c>
    </row>
    <row r="339" spans="1:50">
      <c r="A339">
        <v>90</v>
      </c>
      <c r="B339">
        <v>92</v>
      </c>
      <c r="C339" t="s">
        <v>1875</v>
      </c>
      <c r="D339" s="8" t="s">
        <v>1889</v>
      </c>
      <c r="E339" s="24"/>
      <c r="F339" s="23" t="b">
        <v>0</v>
      </c>
      <c r="G339" s="24"/>
      <c r="H339" s="24"/>
      <c r="J339" s="6" t="str">
        <f>_xlfn.XLOOKUP(tbl_Sourcing[[#This Row],[Product Id]], tbl_Product[Product Id], tbl_Product[Name])</f>
        <v>MTG Commander Masters Collector Booster Box</v>
      </c>
      <c r="K339" s="6"/>
      <c r="L339" s="6">
        <v>9</v>
      </c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42</v>
      </c>
      <c r="AW339" s="6" t="b">
        <f>_xlfn.XLOOKUP(tbl_Sourcing[[#This Row],[Product Id]], tbl_Product[Product Id], tbl_Product[Is Set or Play Booster])</f>
        <v>0</v>
      </c>
      <c r="AX339" s="6" t="b">
        <f>_xlfn.XLOOKUP(tbl_Sourcing[[#This Row],[Product Id]], tbl_Product[Product Id], tbl_Product[Is Precon])</f>
        <v>0</v>
      </c>
    </row>
    <row r="340" spans="1:50">
      <c r="A340">
        <v>388</v>
      </c>
      <c r="B340">
        <v>198</v>
      </c>
      <c r="C340" t="s">
        <v>1875</v>
      </c>
      <c r="D340" s="8" t="s">
        <v>1890</v>
      </c>
      <c r="E340" s="24"/>
      <c r="F340" s="23" t="b">
        <v>0</v>
      </c>
      <c r="G340" s="24"/>
      <c r="H340" s="24"/>
      <c r="J340" s="6" t="str">
        <f>_xlfn.XLOOKUP(tbl_Sourcing[[#This Row],[Product Id]], tbl_Product[Product Id], tbl_Product[Name])</f>
        <v>MTG Commander Masters Enduring Enchantments Precon</v>
      </c>
      <c r="K340" s="6"/>
      <c r="L340" s="6">
        <v>74</v>
      </c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367</v>
      </c>
      <c r="AW340" s="6" t="b">
        <f>_xlfn.XLOOKUP(tbl_Sourcing[[#This Row],[Product Id]], tbl_Product[Product Id], tbl_Product[Is Set or Play Booster])</f>
        <v>0</v>
      </c>
      <c r="AX340" s="6" t="b">
        <f>_xlfn.XLOOKUP(tbl_Sourcing[[#This Row],[Product Id]], tbl_Product[Product Id], tbl_Product[Is Precon])</f>
        <v>1</v>
      </c>
    </row>
    <row r="341" spans="1:50">
      <c r="A341">
        <v>387</v>
      </c>
      <c r="B341">
        <v>197</v>
      </c>
      <c r="C341" t="s">
        <v>1875</v>
      </c>
      <c r="D341" s="8" t="s">
        <v>1891</v>
      </c>
      <c r="E341" s="23">
        <v>63.94</v>
      </c>
      <c r="F341" s="23" t="b">
        <v>1</v>
      </c>
      <c r="G341" s="24"/>
      <c r="H341" s="24"/>
      <c r="J341" s="6" t="str">
        <f>_xlfn.XLOOKUP(tbl_Sourcing[[#This Row],[Product Id]], tbl_Product[Product Id], tbl_Product[Name])</f>
        <v>MTG Commander Masters Planeswalker Party Precon</v>
      </c>
      <c r="K341" s="6"/>
      <c r="L341" s="6">
        <v>75</v>
      </c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372</v>
      </c>
      <c r="AW341" s="6" t="b">
        <f>_xlfn.XLOOKUP(tbl_Sourcing[[#This Row],[Product Id]], tbl_Product[Product Id], tbl_Product[Is Set or Play Booster])</f>
        <v>0</v>
      </c>
      <c r="AX341" s="6" t="b">
        <f>_xlfn.XLOOKUP(tbl_Sourcing[[#This Row],[Product Id]], tbl_Product[Product Id], tbl_Product[Is Precon])</f>
        <v>1</v>
      </c>
    </row>
    <row r="342" spans="1:50">
      <c r="A342">
        <v>17</v>
      </c>
      <c r="B342">
        <v>52</v>
      </c>
      <c r="C342" t="s">
        <v>1875</v>
      </c>
      <c r="D342" s="8" t="s">
        <v>1892</v>
      </c>
      <c r="E342" s="23">
        <v>395</v>
      </c>
      <c r="F342" s="23" t="b">
        <v>0</v>
      </c>
      <c r="G342" s="24"/>
      <c r="H342" s="24"/>
      <c r="J342" s="6" t="str">
        <f>_xlfn.XLOOKUP(tbl_Sourcing[[#This Row],[Product Id]], tbl_Product[Product Id], tbl_Product[Name])</f>
        <v>MTG Commander Masters Set Booster Box</v>
      </c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42" s="6" t="b">
        <f>_xlfn.XLOOKUP(tbl_Sourcing[[#This Row],[Product Id]], tbl_Product[Product Id], tbl_Product[Is Set or Play Booster])</f>
        <v>1</v>
      </c>
      <c r="AX342" s="6" t="b">
        <f>_xlfn.XLOOKUP(tbl_Sourcing[[#This Row],[Product Id]], tbl_Product[Product Id], tbl_Product[Is Precon])</f>
        <v>0</v>
      </c>
    </row>
    <row r="343" spans="1:50">
      <c r="A343">
        <v>407</v>
      </c>
      <c r="B343">
        <v>190</v>
      </c>
      <c r="C343" t="s">
        <v>1875</v>
      </c>
      <c r="D343" s="8" t="s">
        <v>1893</v>
      </c>
      <c r="E343" s="23">
        <v>39.909999999999997</v>
      </c>
      <c r="F343" s="23" t="b">
        <v>1</v>
      </c>
      <c r="G343" s="24"/>
      <c r="H343" s="24"/>
      <c r="J343" s="6" t="str">
        <f>_xlfn.XLOOKUP(tbl_Sourcing[[#This Row],[Product Id]], tbl_Product[Product Id], tbl_Product[Name])</f>
        <v>MTG Doctor Who Blast from the Past Precon</v>
      </c>
      <c r="K343" s="6"/>
      <c r="L343" s="6">
        <v>76</v>
      </c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377</v>
      </c>
      <c r="AW343" s="6" t="b">
        <f>_xlfn.XLOOKUP(tbl_Sourcing[[#This Row],[Product Id]], tbl_Product[Product Id], tbl_Product[Is Set or Play Booster])</f>
        <v>0</v>
      </c>
      <c r="AX343" s="6" t="b">
        <f>_xlfn.XLOOKUP(tbl_Sourcing[[#This Row],[Product Id]], tbl_Product[Product Id], tbl_Product[Is Precon])</f>
        <v>1</v>
      </c>
    </row>
    <row r="344" spans="1:50">
      <c r="A344">
        <v>397</v>
      </c>
      <c r="B344">
        <v>192</v>
      </c>
      <c r="C344" t="s">
        <v>1875</v>
      </c>
      <c r="D344" s="8" t="s">
        <v>1894</v>
      </c>
      <c r="E344" s="23">
        <v>39.950000000000003</v>
      </c>
      <c r="F344" s="23" t="b">
        <v>1</v>
      </c>
      <c r="G344" s="24"/>
      <c r="H344" s="24"/>
      <c r="J344" s="6" t="str">
        <f>_xlfn.XLOOKUP(tbl_Sourcing[[#This Row],[Product Id]], tbl_Product[Product Id], tbl_Product[Name])</f>
        <v>MTG Doctor Who Paradox Power Precon</v>
      </c>
      <c r="K344" s="6"/>
      <c r="L344" s="6">
        <v>77</v>
      </c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382</v>
      </c>
      <c r="AW344" s="6" t="b">
        <f>_xlfn.XLOOKUP(tbl_Sourcing[[#This Row],[Product Id]], tbl_Product[Product Id], tbl_Product[Is Set or Play Booster])</f>
        <v>0</v>
      </c>
      <c r="AX344" s="6" t="b">
        <f>_xlfn.XLOOKUP(tbl_Sourcing[[#This Row],[Product Id]], tbl_Product[Product Id], tbl_Product[Is Precon])</f>
        <v>1</v>
      </c>
    </row>
    <row r="345" spans="1:50">
      <c r="A345">
        <v>40</v>
      </c>
      <c r="B345">
        <v>62</v>
      </c>
      <c r="C345" t="s">
        <v>1875</v>
      </c>
      <c r="D345" s="8" t="s">
        <v>1895</v>
      </c>
      <c r="E345" s="24"/>
      <c r="F345" s="23" t="b">
        <v>0</v>
      </c>
      <c r="G345" s="24"/>
      <c r="H345" s="24"/>
      <c r="J345" s="6" t="str">
        <f>_xlfn.XLOOKUP(tbl_Sourcing[[#This Row],[Product Id]], tbl_Product[Product Id], tbl_Product[Name])</f>
        <v>MTG Dominaria DOM Booster Box</v>
      </c>
      <c r="K345" s="6"/>
      <c r="L345" s="6">
        <v>11</v>
      </c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52</v>
      </c>
      <c r="AW345" s="6" t="b">
        <f>_xlfn.XLOOKUP(tbl_Sourcing[[#This Row],[Product Id]], tbl_Product[Product Id], tbl_Product[Is Set or Play Booster])</f>
        <v>1</v>
      </c>
      <c r="AX345" s="6" t="b">
        <f>_xlfn.XLOOKUP(tbl_Sourcing[[#This Row],[Product Id]], tbl_Product[Product Id], tbl_Product[Is Precon])</f>
        <v>0</v>
      </c>
    </row>
    <row r="346" spans="1:50">
      <c r="A346">
        <v>91</v>
      </c>
      <c r="B346">
        <v>94</v>
      </c>
      <c r="C346" t="s">
        <v>1875</v>
      </c>
      <c r="D346" s="8" t="s">
        <v>1896</v>
      </c>
      <c r="E346" s="24"/>
      <c r="F346" s="23" t="b">
        <v>0</v>
      </c>
      <c r="G346" s="24"/>
      <c r="H346" s="24"/>
      <c r="J346" s="6" t="str">
        <f>_xlfn.XLOOKUP(tbl_Sourcing[[#This Row],[Product Id]], tbl_Product[Product Id], tbl_Product[Name])</f>
        <v>MTG Dominaria United DMU Collector Booster Box</v>
      </c>
      <c r="K346" s="6"/>
      <c r="L346" s="6">
        <v>12</v>
      </c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57</v>
      </c>
      <c r="AW346" s="6" t="b">
        <f>_xlfn.XLOOKUP(tbl_Sourcing[[#This Row],[Product Id]], tbl_Product[Product Id], tbl_Product[Is Set or Play Booster])</f>
        <v>0</v>
      </c>
      <c r="AX346" s="6" t="b">
        <f>_xlfn.XLOOKUP(tbl_Sourcing[[#This Row],[Product Id]], tbl_Product[Product Id], tbl_Product[Is Precon])</f>
        <v>0</v>
      </c>
    </row>
    <row r="347" spans="1:50">
      <c r="A347">
        <v>75</v>
      </c>
      <c r="B347">
        <v>76</v>
      </c>
      <c r="C347" t="s">
        <v>1875</v>
      </c>
      <c r="D347" s="8" t="s">
        <v>1897</v>
      </c>
      <c r="E347" s="23">
        <v>115</v>
      </c>
      <c r="F347" s="23" t="b">
        <v>0</v>
      </c>
      <c r="G347" s="24"/>
      <c r="H347" s="24"/>
      <c r="J347" s="6" t="str">
        <f>_xlfn.XLOOKUP(tbl_Sourcing[[#This Row],[Product Id]], tbl_Product[Product Id], tbl_Product[Name])</f>
        <v>MTG Dominaria United DMU Set Booster Box</v>
      </c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47" s="6" t="b">
        <f>_xlfn.XLOOKUP(tbl_Sourcing[[#This Row],[Product Id]], tbl_Product[Product Id], tbl_Product[Is Set or Play Booster])</f>
        <v>1</v>
      </c>
      <c r="AX347" s="6" t="b">
        <f>_xlfn.XLOOKUP(tbl_Sourcing[[#This Row],[Product Id]], tbl_Product[Product Id], tbl_Product[Is Precon])</f>
        <v>0</v>
      </c>
    </row>
    <row r="348" spans="1:50">
      <c r="A348">
        <v>92</v>
      </c>
      <c r="B348">
        <v>96</v>
      </c>
      <c r="C348" t="s">
        <v>1875</v>
      </c>
      <c r="D348" s="8" t="s">
        <v>1898</v>
      </c>
      <c r="E348" s="24"/>
      <c r="F348" s="23" t="b">
        <v>0</v>
      </c>
      <c r="G348" s="24"/>
      <c r="H348" s="24"/>
      <c r="J348" s="6" t="str">
        <f>_xlfn.XLOOKUP(tbl_Sourcing[[#This Row],[Product Id]], tbl_Product[Product Id], tbl_Product[Name])</f>
        <v>MTG Duskmourn: House of Horror Collector Booster Box</v>
      </c>
      <c r="K348" s="6"/>
      <c r="L348" s="6">
        <v>14</v>
      </c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67</v>
      </c>
      <c r="AW348" s="6" t="b">
        <f>_xlfn.XLOOKUP(tbl_Sourcing[[#This Row],[Product Id]], tbl_Product[Product Id], tbl_Product[Is Set or Play Booster])</f>
        <v>0</v>
      </c>
      <c r="AX348" s="6" t="b">
        <f>_xlfn.XLOOKUP(tbl_Sourcing[[#This Row],[Product Id]], tbl_Product[Product Id], tbl_Product[Is Precon])</f>
        <v>0</v>
      </c>
    </row>
    <row r="349" spans="1:50">
      <c r="A349">
        <v>64</v>
      </c>
      <c r="B349">
        <v>71</v>
      </c>
      <c r="C349" t="s">
        <v>1875</v>
      </c>
      <c r="D349" s="8" t="s">
        <v>1899</v>
      </c>
      <c r="E349" s="24"/>
      <c r="F349" s="23" t="b">
        <v>0</v>
      </c>
      <c r="G349" s="24"/>
      <c r="H349" s="24"/>
      <c r="J349" s="6" t="str">
        <f>_xlfn.XLOOKUP(tbl_Sourcing[[#This Row],[Product Id]], tbl_Product[Product Id], tbl_Product[Name])</f>
        <v>MTG Duskmourn: House of Horror Play Booster Box</v>
      </c>
      <c r="K349" s="6"/>
      <c r="L349" s="6">
        <v>15</v>
      </c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72</v>
      </c>
      <c r="AW349" s="6" t="b">
        <f>_xlfn.XLOOKUP(tbl_Sourcing[[#This Row],[Product Id]], tbl_Product[Product Id], tbl_Product[Is Set or Play Booster])</f>
        <v>1</v>
      </c>
      <c r="AX349" s="6" t="b">
        <f>_xlfn.XLOOKUP(tbl_Sourcing[[#This Row],[Product Id]], tbl_Product[Product Id], tbl_Product[Is Precon])</f>
        <v>0</v>
      </c>
    </row>
    <row r="350" spans="1:50">
      <c r="A350">
        <v>93</v>
      </c>
      <c r="B350">
        <v>98</v>
      </c>
      <c r="C350" t="s">
        <v>1875</v>
      </c>
      <c r="D350" s="8" t="s">
        <v>1900</v>
      </c>
      <c r="E350" s="24"/>
      <c r="F350" s="23" t="b">
        <v>0</v>
      </c>
      <c r="G350" s="24"/>
      <c r="H350" s="24"/>
      <c r="J350" s="6" t="str">
        <f>_xlfn.XLOOKUP(tbl_Sourcing[[#This Row],[Product Id]], tbl_Product[Product Id], tbl_Product[Name])</f>
        <v>MTG Edge of Eternities Collector Booster Box</v>
      </c>
      <c r="K350" s="6"/>
      <c r="L350" s="6">
        <v>16</v>
      </c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77</v>
      </c>
      <c r="AW350" s="6" t="b">
        <f>_xlfn.XLOOKUP(tbl_Sourcing[[#This Row],[Product Id]], tbl_Product[Product Id], tbl_Product[Is Set or Play Booster])</f>
        <v>0</v>
      </c>
      <c r="AX350" s="6" t="b">
        <f>_xlfn.XLOOKUP(tbl_Sourcing[[#This Row],[Product Id]], tbl_Product[Product Id], tbl_Product[Is Precon])</f>
        <v>0</v>
      </c>
    </row>
    <row r="351" spans="1:50">
      <c r="A351">
        <v>49</v>
      </c>
      <c r="B351">
        <v>65</v>
      </c>
      <c r="C351" t="s">
        <v>1875</v>
      </c>
      <c r="D351" s="8" t="s">
        <v>1901</v>
      </c>
      <c r="E351" s="24"/>
      <c r="F351" s="23" t="b">
        <v>0</v>
      </c>
      <c r="G351" s="24"/>
      <c r="H351" s="24"/>
      <c r="J351" s="6" t="str">
        <f>_xlfn.XLOOKUP(tbl_Sourcing[[#This Row],[Product Id]], tbl_Product[Product Id], tbl_Product[Name])</f>
        <v>MTG Edge of Eternities Play Booster Box</v>
      </c>
      <c r="K351" s="6"/>
      <c r="L351" s="6">
        <v>17</v>
      </c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82</v>
      </c>
      <c r="AW351" s="6" t="b">
        <f>_xlfn.XLOOKUP(tbl_Sourcing[[#This Row],[Product Id]], tbl_Product[Product Id], tbl_Product[Is Set or Play Booster])</f>
        <v>1</v>
      </c>
      <c r="AX351" s="6" t="b">
        <f>_xlfn.XLOOKUP(tbl_Sourcing[[#This Row],[Product Id]], tbl_Product[Product Id], tbl_Product[Is Precon])</f>
        <v>0</v>
      </c>
    </row>
    <row r="352" spans="1:50">
      <c r="A352">
        <v>94</v>
      </c>
      <c r="B352">
        <v>100</v>
      </c>
      <c r="C352" t="s">
        <v>1875</v>
      </c>
      <c r="D352" s="8" t="s">
        <v>1902</v>
      </c>
      <c r="E352" s="24"/>
      <c r="F352" s="23" t="b">
        <v>0</v>
      </c>
      <c r="G352" s="24"/>
      <c r="H352" s="24"/>
      <c r="J352" s="6" t="str">
        <f>_xlfn.XLOOKUP(tbl_Sourcing[[#This Row],[Product Id]], tbl_Product[Product Id], tbl_Product[Name])</f>
        <v>MTG Final Fantasy Collector Booster Box</v>
      </c>
      <c r="K352" s="6"/>
      <c r="L352" s="6">
        <v>18</v>
      </c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87</v>
      </c>
      <c r="AW352" s="6" t="b">
        <f>_xlfn.XLOOKUP(tbl_Sourcing[[#This Row],[Product Id]], tbl_Product[Product Id], tbl_Product[Is Set or Play Booster])</f>
        <v>0</v>
      </c>
      <c r="AX352" s="6" t="b">
        <f>_xlfn.XLOOKUP(tbl_Sourcing[[#This Row],[Product Id]], tbl_Product[Product Id], tbl_Product[Is Precon])</f>
        <v>0</v>
      </c>
    </row>
    <row r="353" spans="1:50">
      <c r="A353">
        <v>408</v>
      </c>
      <c r="B353">
        <v>153</v>
      </c>
      <c r="C353" t="s">
        <v>1875</v>
      </c>
      <c r="D353" s="8" t="s">
        <v>1903</v>
      </c>
      <c r="E353" s="23">
        <v>79.95</v>
      </c>
      <c r="F353" s="23" t="b">
        <v>1</v>
      </c>
      <c r="G353" s="24"/>
      <c r="H353" s="24"/>
      <c r="J353" s="6" t="str">
        <f>_xlfn.XLOOKUP(tbl_Sourcing[[#This Row],[Product Id]], tbl_Product[Product Id], tbl_Product[Name])</f>
        <v>MTG Final Fantasy Counter Blitz Precon</v>
      </c>
      <c r="K353" s="6"/>
      <c r="L353" s="6">
        <v>78</v>
      </c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387</v>
      </c>
      <c r="AW353" s="6" t="b">
        <f>_xlfn.XLOOKUP(tbl_Sourcing[[#This Row],[Product Id]], tbl_Product[Product Id], tbl_Product[Is Set or Play Booster])</f>
        <v>0</v>
      </c>
      <c r="AX353" s="6" t="b">
        <f>_xlfn.XLOOKUP(tbl_Sourcing[[#This Row],[Product Id]], tbl_Product[Product Id], tbl_Product[Is Precon])</f>
        <v>1</v>
      </c>
    </row>
    <row r="354" spans="1:50">
      <c r="A354">
        <v>399</v>
      </c>
      <c r="B354">
        <v>152</v>
      </c>
      <c r="C354" t="s">
        <v>1875</v>
      </c>
      <c r="D354" s="8" t="s">
        <v>1904</v>
      </c>
      <c r="E354" s="23">
        <v>79.95</v>
      </c>
      <c r="F354" s="23" t="b">
        <v>1</v>
      </c>
      <c r="G354" s="24"/>
      <c r="H354" s="24"/>
      <c r="J354" s="6" t="str">
        <f>_xlfn.XLOOKUP(tbl_Sourcing[[#This Row],[Product Id]], tbl_Product[Product Id], tbl_Product[Name])</f>
        <v>MTG Final Fantasy Limit Break Precon</v>
      </c>
      <c r="K354" s="6"/>
      <c r="L354" s="6">
        <v>79</v>
      </c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392</v>
      </c>
      <c r="AW354" s="6" t="b">
        <f>_xlfn.XLOOKUP(tbl_Sourcing[[#This Row],[Product Id]], tbl_Product[Product Id], tbl_Product[Is Set or Play Booster])</f>
        <v>0</v>
      </c>
      <c r="AX354" s="6" t="b">
        <f>_xlfn.XLOOKUP(tbl_Sourcing[[#This Row],[Product Id]], tbl_Product[Product Id], tbl_Product[Is Precon])</f>
        <v>1</v>
      </c>
    </row>
    <row r="355" spans="1:50">
      <c r="A355">
        <v>79</v>
      </c>
      <c r="B355">
        <v>78</v>
      </c>
      <c r="C355" t="s">
        <v>1875</v>
      </c>
      <c r="D355" s="8" t="s">
        <v>1905</v>
      </c>
      <c r="E355" s="24"/>
      <c r="F355" s="23" t="b">
        <v>0</v>
      </c>
      <c r="G355" s="24"/>
      <c r="H355" s="24"/>
      <c r="J355" s="6" t="str">
        <f>_xlfn.XLOOKUP(tbl_Sourcing[[#This Row],[Product Id]], tbl_Product[Product Id], tbl_Product[Name])</f>
        <v>MTG Final Fantasy Play Booster Box</v>
      </c>
      <c r="K355" s="6"/>
      <c r="L355" s="6">
        <v>19</v>
      </c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92</v>
      </c>
      <c r="AW355" s="6" t="b">
        <f>_xlfn.XLOOKUP(tbl_Sourcing[[#This Row],[Product Id]], tbl_Product[Product Id], tbl_Product[Is Set or Play Booster])</f>
        <v>1</v>
      </c>
      <c r="AX355" s="6" t="b">
        <f>_xlfn.XLOOKUP(tbl_Sourcing[[#This Row],[Product Id]], tbl_Product[Product Id], tbl_Product[Is Precon])</f>
        <v>0</v>
      </c>
    </row>
    <row r="356" spans="1:50">
      <c r="A356">
        <v>400</v>
      </c>
      <c r="B356">
        <v>151</v>
      </c>
      <c r="C356" t="s">
        <v>1875</v>
      </c>
      <c r="D356" s="8" t="s">
        <v>1906</v>
      </c>
      <c r="E356" s="23">
        <v>54.95</v>
      </c>
      <c r="F356" s="23" t="b">
        <v>1</v>
      </c>
      <c r="G356" s="24"/>
      <c r="H356" s="24"/>
      <c r="J356" s="6" t="str">
        <f>_xlfn.XLOOKUP(tbl_Sourcing[[#This Row],[Product Id]], tbl_Product[Product Id], tbl_Product[Name])</f>
        <v>MTG Final Fantasy Revival Trance Precon</v>
      </c>
      <c r="K356" s="6"/>
      <c r="L356" s="6">
        <v>80</v>
      </c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397</v>
      </c>
      <c r="AW356" s="6" t="b">
        <f>_xlfn.XLOOKUP(tbl_Sourcing[[#This Row],[Product Id]], tbl_Product[Product Id], tbl_Product[Is Set or Play Booster])</f>
        <v>0</v>
      </c>
      <c r="AX356" s="6" t="b">
        <f>_xlfn.XLOOKUP(tbl_Sourcing[[#This Row],[Product Id]], tbl_Product[Product Id], tbl_Product[Is Precon])</f>
        <v>1</v>
      </c>
    </row>
    <row r="357" spans="1:50">
      <c r="A357">
        <v>406</v>
      </c>
      <c r="B357">
        <v>154</v>
      </c>
      <c r="C357" t="s">
        <v>1875</v>
      </c>
      <c r="D357" s="8" t="s">
        <v>1907</v>
      </c>
      <c r="E357" s="23"/>
      <c r="F357" s="23" t="b">
        <v>0</v>
      </c>
      <c r="G357" s="24"/>
      <c r="H357" s="24"/>
      <c r="J357" s="6" t="str">
        <f>_xlfn.XLOOKUP(tbl_Sourcing[[#This Row],[Product Id]], tbl_Product[Product Id], tbl_Product[Name])</f>
        <v>MTG Final Fantasy Scions &amp; Spellcraft Precon</v>
      </c>
      <c r="K357" s="6"/>
      <c r="L357" s="6">
        <v>81</v>
      </c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402</v>
      </c>
      <c r="AW357" s="6" t="b">
        <f>_xlfn.XLOOKUP(tbl_Sourcing[[#This Row],[Product Id]], tbl_Product[Product Id], tbl_Product[Is Set or Play Booster])</f>
        <v>0</v>
      </c>
      <c r="AX357" s="6" t="b">
        <f>_xlfn.XLOOKUP(tbl_Sourcing[[#This Row],[Product Id]], tbl_Product[Product Id], tbl_Product[Is Precon])</f>
        <v>1</v>
      </c>
    </row>
    <row r="358" spans="1:50">
      <c r="A358">
        <v>95</v>
      </c>
      <c r="B358">
        <v>102</v>
      </c>
      <c r="C358" t="s">
        <v>1875</v>
      </c>
      <c r="D358" s="8" t="s">
        <v>1908</v>
      </c>
      <c r="E358" s="24"/>
      <c r="F358" s="23" t="b">
        <v>0</v>
      </c>
      <c r="G358" s="24"/>
      <c r="H358" s="24"/>
      <c r="J358" s="6" t="str">
        <f>_xlfn.XLOOKUP(tbl_Sourcing[[#This Row],[Product Id]], tbl_Product[Product Id], tbl_Product[Name])</f>
        <v>MTG Foundations Collector Booster Box</v>
      </c>
      <c r="K358" s="6"/>
      <c r="L358" s="6">
        <v>20</v>
      </c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97</v>
      </c>
      <c r="AW358" s="6" t="b">
        <f>_xlfn.XLOOKUP(tbl_Sourcing[[#This Row],[Product Id]], tbl_Product[Product Id], tbl_Product[Is Set or Play Booster])</f>
        <v>0</v>
      </c>
      <c r="AX358" s="6" t="b">
        <f>_xlfn.XLOOKUP(tbl_Sourcing[[#This Row],[Product Id]], tbl_Product[Product Id], tbl_Product[Is Precon])</f>
        <v>0</v>
      </c>
    </row>
    <row r="359" spans="1:50">
      <c r="A359">
        <v>37</v>
      </c>
      <c r="B359">
        <v>61</v>
      </c>
      <c r="C359" t="s">
        <v>1875</v>
      </c>
      <c r="D359" s="8" t="s">
        <v>1909</v>
      </c>
      <c r="E359" s="24"/>
      <c r="F359" s="23" t="b">
        <v>0</v>
      </c>
      <c r="G359" s="24"/>
      <c r="H359" s="24"/>
      <c r="J359" s="6" t="str">
        <f>_xlfn.XLOOKUP(tbl_Sourcing[[#This Row],[Product Id]], tbl_Product[Product Id], tbl_Product[Name])</f>
        <v>MTG Foundations Play Booster Box</v>
      </c>
      <c r="K359" s="6"/>
      <c r="L359" s="6">
        <v>21</v>
      </c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102</v>
      </c>
      <c r="AW359" s="6" t="b">
        <f>_xlfn.XLOOKUP(tbl_Sourcing[[#This Row],[Product Id]], tbl_Product[Product Id], tbl_Product[Is Set or Play Booster])</f>
        <v>1</v>
      </c>
      <c r="AX359" s="6" t="b">
        <f>_xlfn.XLOOKUP(tbl_Sourcing[[#This Row],[Product Id]], tbl_Product[Product Id], tbl_Product[Is Precon])</f>
        <v>0</v>
      </c>
    </row>
    <row r="360" spans="1:50">
      <c r="A360">
        <v>97</v>
      </c>
      <c r="B360">
        <v>106</v>
      </c>
      <c r="C360" t="s">
        <v>1875</v>
      </c>
      <c r="D360" s="8" t="s">
        <v>1910</v>
      </c>
      <c r="E360" s="24"/>
      <c r="F360" s="23" t="b">
        <v>0</v>
      </c>
      <c r="G360" s="24"/>
      <c r="H360" s="24"/>
      <c r="J360" s="6" t="str">
        <f>_xlfn.XLOOKUP(tbl_Sourcing[[#This Row],[Product Id]], tbl_Product[Product Id], tbl_Product[Name])</f>
        <v>MTG Innistrad Remastered INR Collector Booster Box</v>
      </c>
      <c r="K360" s="6"/>
      <c r="L360" s="6">
        <v>22</v>
      </c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107</v>
      </c>
      <c r="AW360" s="6" t="b">
        <f>_xlfn.XLOOKUP(tbl_Sourcing[[#This Row],[Product Id]], tbl_Product[Product Id], tbl_Product[Is Set or Play Booster])</f>
        <v>0</v>
      </c>
      <c r="AX360" s="6" t="b">
        <f>_xlfn.XLOOKUP(tbl_Sourcing[[#This Row],[Product Id]], tbl_Product[Product Id], tbl_Product[Is Precon])</f>
        <v>0</v>
      </c>
    </row>
    <row r="361" spans="1:50">
      <c r="A361">
        <v>6</v>
      </c>
      <c r="B361">
        <v>48</v>
      </c>
      <c r="C361" t="s">
        <v>1875</v>
      </c>
      <c r="D361" s="8" t="s">
        <v>1911</v>
      </c>
      <c r="E361" s="24"/>
      <c r="F361" s="23" t="b">
        <v>0</v>
      </c>
      <c r="G361" s="24"/>
      <c r="H361" s="24"/>
      <c r="J361" s="6" t="str">
        <f>_xlfn.XLOOKUP(tbl_Sourcing[[#This Row],[Product Id]], tbl_Product[Product Id], tbl_Product[Name])</f>
        <v>MTG Innistrad Remastered INR Play Booster Box</v>
      </c>
      <c r="K361" s="6"/>
      <c r="L361" s="6">
        <v>23</v>
      </c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112</v>
      </c>
      <c r="AW361" s="6" t="b">
        <f>_xlfn.XLOOKUP(tbl_Sourcing[[#This Row],[Product Id]], tbl_Product[Product Id], tbl_Product[Is Set or Play Booster])</f>
        <v>1</v>
      </c>
      <c r="AX361" s="6" t="b">
        <f>_xlfn.XLOOKUP(tbl_Sourcing[[#This Row],[Product Id]], tbl_Product[Product Id], tbl_Product[Is Precon])</f>
        <v>0</v>
      </c>
    </row>
    <row r="362" spans="1:50">
      <c r="A362">
        <v>98</v>
      </c>
      <c r="B362">
        <v>108</v>
      </c>
      <c r="C362" t="s">
        <v>1875</v>
      </c>
      <c r="D362" s="8" t="s">
        <v>1912</v>
      </c>
      <c r="E362" s="23"/>
      <c r="F362" s="23" t="b">
        <v>0</v>
      </c>
      <c r="G362" s="24"/>
      <c r="H362" s="24"/>
      <c r="J362" s="6" t="str">
        <f>_xlfn.XLOOKUP(tbl_Sourcing[[#This Row],[Product Id]], tbl_Product[Product Id], tbl_Product[Name])</f>
        <v>MTG Innistrad: Crimson Vow Collector Booster Box</v>
      </c>
      <c r="K362" s="6"/>
      <c r="L362" s="6">
        <v>24</v>
      </c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117</v>
      </c>
      <c r="AW362" s="6" t="b">
        <f>_xlfn.XLOOKUP(tbl_Sourcing[[#This Row],[Product Id]], tbl_Product[Product Id], tbl_Product[Is Set or Play Booster])</f>
        <v>0</v>
      </c>
      <c r="AX362" s="6" t="b">
        <f>_xlfn.XLOOKUP(tbl_Sourcing[[#This Row],[Product Id]], tbl_Product[Product Id], tbl_Product[Is Precon])</f>
        <v>0</v>
      </c>
    </row>
    <row r="363" spans="1:50">
      <c r="A363">
        <v>30</v>
      </c>
      <c r="B363">
        <v>58</v>
      </c>
      <c r="C363" t="s">
        <v>1875</v>
      </c>
      <c r="D363" s="8" t="s">
        <v>1913</v>
      </c>
      <c r="E363" s="24"/>
      <c r="F363" s="23" t="b">
        <v>0</v>
      </c>
      <c r="G363" s="24"/>
      <c r="H363" s="24"/>
      <c r="J363" s="6" t="str">
        <f>_xlfn.XLOOKUP(tbl_Sourcing[[#This Row],[Product Id]], tbl_Product[Product Id], tbl_Product[Name])</f>
        <v>MTG Innistrad: Crimson Vow Set Booster Box</v>
      </c>
      <c r="K363" s="6"/>
      <c r="L363" s="6">
        <v>25</v>
      </c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122</v>
      </c>
      <c r="AW363" s="6" t="b">
        <f>_xlfn.XLOOKUP(tbl_Sourcing[[#This Row],[Product Id]], tbl_Product[Product Id], tbl_Product[Is Set or Play Booster])</f>
        <v>1</v>
      </c>
      <c r="AX363" s="6" t="b">
        <f>_xlfn.XLOOKUP(tbl_Sourcing[[#This Row],[Product Id]], tbl_Product[Product Id], tbl_Product[Is Precon])</f>
        <v>0</v>
      </c>
    </row>
    <row r="364" spans="1:50">
      <c r="A364">
        <v>96</v>
      </c>
      <c r="B364">
        <v>104</v>
      </c>
      <c r="C364" t="s">
        <v>1875</v>
      </c>
      <c r="D364" s="8" t="s">
        <v>1914</v>
      </c>
      <c r="E364" s="23">
        <v>204.95</v>
      </c>
      <c r="F364" s="23" t="b">
        <v>1</v>
      </c>
      <c r="G364" s="24"/>
      <c r="H364" s="24"/>
      <c r="J364" s="6" t="str">
        <f>_xlfn.XLOOKUP(tbl_Sourcing[[#This Row],[Product Id]], tbl_Product[Product Id], tbl_Product[Name])</f>
        <v>MTG Innistrad: Midnight Hunt Collector Booster Box</v>
      </c>
      <c r="K364" s="6"/>
      <c r="L364" s="6">
        <v>26</v>
      </c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127</v>
      </c>
      <c r="AW364" s="6" t="b">
        <f>_xlfn.XLOOKUP(tbl_Sourcing[[#This Row],[Product Id]], tbl_Product[Product Id], tbl_Product[Is Set or Play Booster])</f>
        <v>0</v>
      </c>
      <c r="AX364" s="6" t="b">
        <f>_xlfn.XLOOKUP(tbl_Sourcing[[#This Row],[Product Id]], tbl_Product[Product Id], tbl_Product[Is Precon])</f>
        <v>0</v>
      </c>
    </row>
    <row r="365" spans="1:50">
      <c r="A365">
        <v>13</v>
      </c>
      <c r="B365">
        <v>50</v>
      </c>
      <c r="C365" t="s">
        <v>1875</v>
      </c>
      <c r="D365" s="8" t="s">
        <v>1915</v>
      </c>
      <c r="E365" s="24"/>
      <c r="F365" s="23" t="b">
        <v>0</v>
      </c>
      <c r="G365" s="24"/>
      <c r="H365" s="24"/>
      <c r="J365" s="6" t="str">
        <f>_xlfn.XLOOKUP(tbl_Sourcing[[#This Row],[Product Id]], tbl_Product[Product Id], tbl_Product[Name])</f>
        <v>MTG Innistrad: Midnight Hunt Set Booster Box</v>
      </c>
      <c r="K365" s="6"/>
      <c r="L365" s="6">
        <v>27</v>
      </c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132</v>
      </c>
      <c r="AW365" s="6" t="b">
        <f>_xlfn.XLOOKUP(tbl_Sourcing[[#This Row],[Product Id]], tbl_Product[Product Id], tbl_Product[Is Set or Play Booster])</f>
        <v>1</v>
      </c>
      <c r="AX365" s="6" t="b">
        <f>_xlfn.XLOOKUP(tbl_Sourcing[[#This Row],[Product Id]], tbl_Product[Product Id], tbl_Product[Is Precon])</f>
        <v>0</v>
      </c>
    </row>
    <row r="366" spans="1:50">
      <c r="A366">
        <v>99</v>
      </c>
      <c r="B366">
        <v>110</v>
      </c>
      <c r="C366" t="s">
        <v>1875</v>
      </c>
      <c r="D366" s="8" t="s">
        <v>1916</v>
      </c>
      <c r="E366" s="24"/>
      <c r="F366" s="23" t="b">
        <v>0</v>
      </c>
      <c r="G366" s="24"/>
      <c r="H366" s="24"/>
      <c r="J366" s="6" t="str">
        <f>_xlfn.XLOOKUP(tbl_Sourcing[[#This Row],[Product Id]], tbl_Product[Product Id], tbl_Product[Name])</f>
        <v>MTG Kaldheim Collector Booster Box</v>
      </c>
      <c r="K366" s="6"/>
      <c r="L366" s="6">
        <v>28</v>
      </c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137</v>
      </c>
      <c r="AW366" s="6" t="b">
        <f>_xlfn.XLOOKUP(tbl_Sourcing[[#This Row],[Product Id]], tbl_Product[Product Id], tbl_Product[Is Set or Play Booster])</f>
        <v>0</v>
      </c>
      <c r="AX366" s="6" t="b">
        <f>_xlfn.XLOOKUP(tbl_Sourcing[[#This Row],[Product Id]], tbl_Product[Product Id], tbl_Product[Is Precon])</f>
        <v>0</v>
      </c>
    </row>
    <row r="367" spans="1:50">
      <c r="A367">
        <v>15</v>
      </c>
      <c r="B367">
        <v>51</v>
      </c>
      <c r="C367" t="s">
        <v>1875</v>
      </c>
      <c r="D367" s="8" t="s">
        <v>1917</v>
      </c>
      <c r="E367" s="23">
        <v>135</v>
      </c>
      <c r="F367" s="23" t="b">
        <v>0</v>
      </c>
      <c r="G367" s="24"/>
      <c r="H367" s="24"/>
      <c r="J367" s="6" t="str">
        <f>_xlfn.XLOOKUP(tbl_Sourcing[[#This Row],[Product Id]], tbl_Product[Product Id], tbl_Product[Name])</f>
        <v>MTG Kaldheim Set Booster Box</v>
      </c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67" s="6" t="b">
        <f>_xlfn.XLOOKUP(tbl_Sourcing[[#This Row],[Product Id]], tbl_Product[Product Id], tbl_Product[Is Set or Play Booster])</f>
        <v>1</v>
      </c>
      <c r="AX367" s="6" t="b">
        <f>_xlfn.XLOOKUP(tbl_Sourcing[[#This Row],[Product Id]], tbl_Product[Product Id], tbl_Product[Is Precon])</f>
        <v>0</v>
      </c>
    </row>
    <row r="368" spans="1:50">
      <c r="A368">
        <v>100</v>
      </c>
      <c r="B368">
        <v>112</v>
      </c>
      <c r="C368" t="s">
        <v>1875</v>
      </c>
      <c r="D368" s="8" t="s">
        <v>1918</v>
      </c>
      <c r="E368" s="24"/>
      <c r="F368" s="23" t="b">
        <v>0</v>
      </c>
      <c r="G368" s="24"/>
      <c r="H368" s="24"/>
      <c r="J368" s="6" t="str">
        <f>_xlfn.XLOOKUP(tbl_Sourcing[[#This Row],[Product Id]], tbl_Product[Product Id], tbl_Product[Name])</f>
        <v>MTG Kamigawa: Neon Dynasty Collector Booster Box</v>
      </c>
      <c r="K368" s="6"/>
      <c r="L368" s="6">
        <v>30</v>
      </c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147</v>
      </c>
      <c r="AW368" s="6" t="b">
        <f>_xlfn.XLOOKUP(tbl_Sourcing[[#This Row],[Product Id]], tbl_Product[Product Id], tbl_Product[Is Set or Play Booster])</f>
        <v>0</v>
      </c>
      <c r="AX368" s="6" t="b">
        <f>_xlfn.XLOOKUP(tbl_Sourcing[[#This Row],[Product Id]], tbl_Product[Product Id], tbl_Product[Is Precon])</f>
        <v>0</v>
      </c>
    </row>
    <row r="369" spans="1:50">
      <c r="A369">
        <v>58</v>
      </c>
      <c r="B369">
        <v>69</v>
      </c>
      <c r="C369" t="s">
        <v>1875</v>
      </c>
      <c r="D369" s="8" t="s">
        <v>1919</v>
      </c>
      <c r="E369" s="24"/>
      <c r="F369" s="23" t="b">
        <v>0</v>
      </c>
      <c r="G369" s="24"/>
      <c r="H369" s="24"/>
      <c r="J369" s="6" t="str">
        <f>_xlfn.XLOOKUP(tbl_Sourcing[[#This Row],[Product Id]], tbl_Product[Product Id], tbl_Product[Name])</f>
        <v>MTG Kamigawa: Neon Dynasty Set Booster Box</v>
      </c>
      <c r="K369" s="6"/>
      <c r="L369" s="6">
        <v>31</v>
      </c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152</v>
      </c>
      <c r="AW369" s="6" t="b">
        <f>_xlfn.XLOOKUP(tbl_Sourcing[[#This Row],[Product Id]], tbl_Product[Product Id], tbl_Product[Is Set or Play Booster])</f>
        <v>1</v>
      </c>
      <c r="AX369" s="6" t="b">
        <f>_xlfn.XLOOKUP(tbl_Sourcing[[#This Row],[Product Id]], tbl_Product[Product Id], tbl_Product[Is Precon])</f>
        <v>0</v>
      </c>
    </row>
    <row r="370" spans="1:50">
      <c r="A370">
        <v>101</v>
      </c>
      <c r="B370">
        <v>114</v>
      </c>
      <c r="C370" t="s">
        <v>1875</v>
      </c>
      <c r="D370" s="8" t="s">
        <v>1920</v>
      </c>
      <c r="E370" s="24"/>
      <c r="F370" s="23" t="b">
        <v>0</v>
      </c>
      <c r="G370" s="24"/>
      <c r="H370" s="24"/>
      <c r="J370" s="6" t="str">
        <f>_xlfn.XLOOKUP(tbl_Sourcing[[#This Row],[Product Id]], tbl_Product[Product Id], tbl_Product[Name])</f>
        <v>MTG Lorwyn Eclipsed Collector Booster Box</v>
      </c>
      <c r="K370" s="6"/>
      <c r="L370" s="6">
        <v>32</v>
      </c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157</v>
      </c>
      <c r="AW370" s="6" t="b">
        <f>_xlfn.XLOOKUP(tbl_Sourcing[[#This Row],[Product Id]], tbl_Product[Product Id], tbl_Product[Is Set or Play Booster])</f>
        <v>0</v>
      </c>
      <c r="AX370" s="6" t="b">
        <f>_xlfn.XLOOKUP(tbl_Sourcing[[#This Row],[Product Id]], tbl_Product[Product Id], tbl_Product[Is Precon])</f>
        <v>0</v>
      </c>
    </row>
    <row r="371" spans="1:50">
      <c r="A371">
        <v>10</v>
      </c>
      <c r="B371">
        <v>49</v>
      </c>
      <c r="C371" t="s">
        <v>1875</v>
      </c>
      <c r="D371" s="8" t="s">
        <v>1921</v>
      </c>
      <c r="E371" s="24"/>
      <c r="F371" s="23" t="b">
        <v>0</v>
      </c>
      <c r="G371" s="24"/>
      <c r="H371" s="24"/>
      <c r="J371" s="6" t="str">
        <f>_xlfn.XLOOKUP(tbl_Sourcing[[#This Row],[Product Id]], tbl_Product[Product Id], tbl_Product[Name])</f>
        <v>MTG Lorwyn Eclipsed Play Booster Box</v>
      </c>
      <c r="K371" s="6"/>
      <c r="L371" s="6">
        <v>33</v>
      </c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162</v>
      </c>
      <c r="AW371" s="6" t="b">
        <f>_xlfn.XLOOKUP(tbl_Sourcing[[#This Row],[Product Id]], tbl_Product[Product Id], tbl_Product[Is Set or Play Booster])</f>
        <v>1</v>
      </c>
      <c r="AX371" s="6" t="b">
        <f>_xlfn.XLOOKUP(tbl_Sourcing[[#This Row],[Product Id]], tbl_Product[Product Id], tbl_Product[Is Precon])</f>
        <v>0</v>
      </c>
    </row>
    <row r="372" spans="1:50">
      <c r="A372">
        <v>102</v>
      </c>
      <c r="B372">
        <v>116</v>
      </c>
      <c r="C372" t="s">
        <v>1875</v>
      </c>
      <c r="D372" s="8" t="s">
        <v>1922</v>
      </c>
      <c r="E372" s="24"/>
      <c r="F372" s="23" t="b">
        <v>0</v>
      </c>
      <c r="G372" s="24"/>
      <c r="H372" s="24"/>
      <c r="J372" s="6" t="str">
        <f>_xlfn.XLOOKUP(tbl_Sourcing[[#This Row],[Product Id]], tbl_Product[Product Id], tbl_Product[Name])</f>
        <v>MTG March of the Machine MOM Collector Booster Box</v>
      </c>
      <c r="K372" s="6"/>
      <c r="L372" s="6">
        <v>34</v>
      </c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167</v>
      </c>
      <c r="AW372" s="6" t="b">
        <f>_xlfn.XLOOKUP(tbl_Sourcing[[#This Row],[Product Id]], tbl_Product[Product Id], tbl_Product[Is Set or Play Booster])</f>
        <v>0</v>
      </c>
      <c r="AX372" s="6" t="b">
        <f>_xlfn.XLOOKUP(tbl_Sourcing[[#This Row],[Product Id]], tbl_Product[Product Id], tbl_Product[Is Precon])</f>
        <v>0</v>
      </c>
    </row>
    <row r="373" spans="1:50">
      <c r="A373">
        <v>32</v>
      </c>
      <c r="B373">
        <v>59</v>
      </c>
      <c r="C373" t="s">
        <v>1875</v>
      </c>
      <c r="D373" s="8" t="s">
        <v>1923</v>
      </c>
      <c r="E373" s="24"/>
      <c r="F373" s="23" t="b">
        <v>0</v>
      </c>
      <c r="G373" s="24"/>
      <c r="H373" s="24"/>
      <c r="J373" s="6" t="str">
        <f>_xlfn.XLOOKUP(tbl_Sourcing[[#This Row],[Product Id]], tbl_Product[Product Id], tbl_Product[Name])</f>
        <v>MTG March of the Machine MOM Set Booster Box</v>
      </c>
      <c r="K373" s="6"/>
      <c r="L373" s="6">
        <v>35</v>
      </c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172</v>
      </c>
      <c r="AW373" s="6" t="b">
        <f>_xlfn.XLOOKUP(tbl_Sourcing[[#This Row],[Product Id]], tbl_Product[Product Id], tbl_Product[Is Set or Play Booster])</f>
        <v>1</v>
      </c>
      <c r="AX373" s="6" t="b">
        <f>_xlfn.XLOOKUP(tbl_Sourcing[[#This Row],[Product Id]], tbl_Product[Product Id], tbl_Product[Is Precon])</f>
        <v>0</v>
      </c>
    </row>
    <row r="374" spans="1:50">
      <c r="A374">
        <v>402</v>
      </c>
      <c r="B374">
        <v>208</v>
      </c>
      <c r="C374" t="s">
        <v>1875</v>
      </c>
      <c r="D374" s="8" t="s">
        <v>1924</v>
      </c>
      <c r="E374" s="23">
        <v>38.950000000000003</v>
      </c>
      <c r="F374" s="23" t="b">
        <v>1</v>
      </c>
      <c r="G374" s="24"/>
      <c r="H374" s="24"/>
      <c r="J374" s="6" t="str">
        <f>_xlfn.XLOOKUP(tbl_Sourcing[[#This Row],[Product Id]], tbl_Product[Product Id], tbl_Product[Name])</f>
        <v>MTG March of the Machine Tinker Time Precon</v>
      </c>
      <c r="K374" s="6"/>
      <c r="L374" s="6">
        <v>82</v>
      </c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407</v>
      </c>
      <c r="AW374" s="6" t="b">
        <f>_xlfn.XLOOKUP(tbl_Sourcing[[#This Row],[Product Id]], tbl_Product[Product Id], tbl_Product[Is Set or Play Booster])</f>
        <v>0</v>
      </c>
      <c r="AX374" s="6" t="b">
        <f>_xlfn.XLOOKUP(tbl_Sourcing[[#This Row],[Product Id]], tbl_Product[Product Id], tbl_Product[Is Precon])</f>
        <v>1</v>
      </c>
    </row>
    <row r="375" spans="1:50">
      <c r="A375">
        <v>103</v>
      </c>
      <c r="B375">
        <v>118</v>
      </c>
      <c r="C375" t="s">
        <v>1875</v>
      </c>
      <c r="D375" s="8" t="s">
        <v>1925</v>
      </c>
      <c r="E375" s="24"/>
      <c r="F375" s="23" t="b">
        <v>0</v>
      </c>
      <c r="G375" s="24"/>
      <c r="H375" s="24"/>
      <c r="J375" s="6" t="str">
        <f>_xlfn.XLOOKUP(tbl_Sourcing[[#This Row],[Product Id]], tbl_Product[Product Id], tbl_Product[Name])</f>
        <v>MTG Marvel's Spider-Man Collector Booster Box</v>
      </c>
      <c r="K375" s="6"/>
      <c r="L375" s="6">
        <v>36</v>
      </c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177</v>
      </c>
      <c r="AW375" s="6" t="b">
        <f>_xlfn.XLOOKUP(tbl_Sourcing[[#This Row],[Product Id]], tbl_Product[Product Id], tbl_Product[Is Set or Play Booster])</f>
        <v>0</v>
      </c>
      <c r="AX375" s="6" t="b">
        <f>_xlfn.XLOOKUP(tbl_Sourcing[[#This Row],[Product Id]], tbl_Product[Product Id], tbl_Product[Is Precon])</f>
        <v>0</v>
      </c>
    </row>
    <row r="376" spans="1:50">
      <c r="A376">
        <v>45</v>
      </c>
      <c r="B376">
        <v>64</v>
      </c>
      <c r="C376" t="s">
        <v>1875</v>
      </c>
      <c r="D376" s="8" t="s">
        <v>1926</v>
      </c>
      <c r="E376" s="23">
        <v>149.94999999999999</v>
      </c>
      <c r="F376" s="23" t="b">
        <v>1</v>
      </c>
      <c r="G376" s="24"/>
      <c r="H376" s="24"/>
      <c r="J376" s="6" t="str">
        <f>_xlfn.XLOOKUP(tbl_Sourcing[[#This Row],[Product Id]], tbl_Product[Product Id], tbl_Product[Name])</f>
        <v>MTG Marvel's Spider-Man Play Booster Box</v>
      </c>
      <c r="K376" s="6"/>
      <c r="L376" s="6">
        <v>37</v>
      </c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182</v>
      </c>
      <c r="AW376" s="6" t="b">
        <f>_xlfn.XLOOKUP(tbl_Sourcing[[#This Row],[Product Id]], tbl_Product[Product Id], tbl_Product[Is Set or Play Booster])</f>
        <v>1</v>
      </c>
      <c r="AX376" s="6" t="b">
        <f>_xlfn.XLOOKUP(tbl_Sourcing[[#This Row],[Product Id]], tbl_Product[Product Id], tbl_Product[Is Precon])</f>
        <v>0</v>
      </c>
    </row>
    <row r="377" spans="1:50">
      <c r="A377">
        <v>104</v>
      </c>
      <c r="B377">
        <v>120</v>
      </c>
      <c r="C377" t="s">
        <v>1875</v>
      </c>
      <c r="D377" s="8" t="s">
        <v>1927</v>
      </c>
      <c r="E377" s="24"/>
      <c r="F377" s="23" t="b">
        <v>0</v>
      </c>
      <c r="G377" s="24"/>
      <c r="H377" s="24"/>
      <c r="J377" s="6" t="str">
        <f>_xlfn.XLOOKUP(tbl_Sourcing[[#This Row],[Product Id]], tbl_Product[Product Id], tbl_Product[Name])</f>
        <v>MTG Modern Horizons 2 MH2 Collector Booster Box</v>
      </c>
      <c r="K377" s="6"/>
      <c r="L377" s="6">
        <v>38</v>
      </c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187</v>
      </c>
      <c r="AW377" s="6" t="b">
        <f>_xlfn.XLOOKUP(tbl_Sourcing[[#This Row],[Product Id]], tbl_Product[Product Id], tbl_Product[Is Set or Play Booster])</f>
        <v>0</v>
      </c>
      <c r="AX377" s="6" t="b">
        <f>_xlfn.XLOOKUP(tbl_Sourcing[[#This Row],[Product Id]], tbl_Product[Product Id], tbl_Product[Is Precon])</f>
        <v>0</v>
      </c>
    </row>
    <row r="378" spans="1:50">
      <c r="A378">
        <v>2</v>
      </c>
      <c r="B378">
        <v>46</v>
      </c>
      <c r="C378" t="s">
        <v>1875</v>
      </c>
      <c r="D378" s="8" t="s">
        <v>1928</v>
      </c>
      <c r="E378" s="24"/>
      <c r="F378" s="23" t="b">
        <v>0</v>
      </c>
      <c r="G378" s="24"/>
      <c r="H378" s="24"/>
      <c r="J378" t="str">
        <f>_xlfn.XLOOKUP(tbl_Sourcing[[#This Row],[Product Id]], tbl_Product[Product Id], tbl_Product[Name])</f>
        <v>MTG Modern Horizons 2 MH2 Set Booster Box</v>
      </c>
      <c r="K378" s="6"/>
      <c r="L378" s="6">
        <v>39</v>
      </c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192</v>
      </c>
      <c r="AW378" s="6" t="b">
        <f>_xlfn.XLOOKUP(tbl_Sourcing[[#This Row],[Product Id]], tbl_Product[Product Id], tbl_Product[Is Set or Play Booster])</f>
        <v>1</v>
      </c>
      <c r="AX378" s="6" t="b">
        <f>_xlfn.XLOOKUP(tbl_Sourcing[[#This Row],[Product Id]], tbl_Product[Product Id], tbl_Product[Is Precon])</f>
        <v>0</v>
      </c>
    </row>
    <row r="379" spans="1:50">
      <c r="A379">
        <v>404</v>
      </c>
      <c r="B379">
        <v>173</v>
      </c>
      <c r="C379" t="s">
        <v>1875</v>
      </c>
      <c r="D379" s="8" t="s">
        <v>1929</v>
      </c>
      <c r="E379" s="23"/>
      <c r="F379" s="23" t="b">
        <v>0</v>
      </c>
      <c r="G379" s="24"/>
      <c r="H379" s="24"/>
      <c r="J379" s="6" t="str">
        <f>_xlfn.XLOOKUP(tbl_Sourcing[[#This Row],[Product Id]], tbl_Product[Product Id], tbl_Product[Name])</f>
        <v>MTG Modern Horizons 3 Creative Energy Precon</v>
      </c>
      <c r="K379" s="6"/>
      <c r="L379" s="6">
        <v>83</v>
      </c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412</v>
      </c>
      <c r="AW379" s="6" t="b">
        <f>_xlfn.XLOOKUP(tbl_Sourcing[[#This Row],[Product Id]], tbl_Product[Product Id], tbl_Product[Is Set or Play Booster])</f>
        <v>0</v>
      </c>
      <c r="AX379" s="6" t="b">
        <f>_xlfn.XLOOKUP(tbl_Sourcing[[#This Row],[Product Id]], tbl_Product[Product Id], tbl_Product[Is Precon])</f>
        <v>1</v>
      </c>
    </row>
    <row r="380" spans="1:50">
      <c r="A380">
        <v>394</v>
      </c>
      <c r="B380">
        <v>171</v>
      </c>
      <c r="C380" t="s">
        <v>1875</v>
      </c>
      <c r="D380" s="8" t="s">
        <v>1930</v>
      </c>
      <c r="E380" s="23">
        <v>45.86</v>
      </c>
      <c r="F380" s="23" t="b">
        <v>1</v>
      </c>
      <c r="G380" s="24"/>
      <c r="H380" s="24"/>
      <c r="J380" s="6" t="str">
        <f>_xlfn.XLOOKUP(tbl_Sourcing[[#This Row],[Product Id]], tbl_Product[Product Id], tbl_Product[Name])</f>
        <v>MTG Modern Horizons 3 Graveyard Overdrive Precon</v>
      </c>
      <c r="K380" s="6"/>
      <c r="L380" s="6">
        <v>84</v>
      </c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417</v>
      </c>
      <c r="AW380" s="6" t="b">
        <f>_xlfn.XLOOKUP(tbl_Sourcing[[#This Row],[Product Id]], tbl_Product[Product Id], tbl_Product[Is Set or Play Booster])</f>
        <v>0</v>
      </c>
      <c r="AX380" s="6" t="b">
        <f>_xlfn.XLOOKUP(tbl_Sourcing[[#This Row],[Product Id]], tbl_Product[Product Id], tbl_Product[Is Precon])</f>
        <v>1</v>
      </c>
    </row>
    <row r="381" spans="1:50">
      <c r="A381">
        <v>105</v>
      </c>
      <c r="B381">
        <v>122</v>
      </c>
      <c r="C381" t="s">
        <v>1875</v>
      </c>
      <c r="D381" s="8" t="s">
        <v>1931</v>
      </c>
      <c r="E381" s="24"/>
      <c r="F381" s="23" t="b">
        <v>0</v>
      </c>
      <c r="G381" s="24"/>
      <c r="H381" s="24"/>
      <c r="J381" s="6" t="str">
        <f>_xlfn.XLOOKUP(tbl_Sourcing[[#This Row],[Product Id]], tbl_Product[Product Id], tbl_Product[Name])</f>
        <v>MTG Modern Horizons 3 MH3 Collector Booster Box</v>
      </c>
      <c r="K381" s="6"/>
      <c r="L381" s="6">
        <v>40</v>
      </c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197</v>
      </c>
      <c r="AW381" s="6" t="b">
        <f>_xlfn.XLOOKUP(tbl_Sourcing[[#This Row],[Product Id]], tbl_Product[Product Id], tbl_Product[Is Set or Play Booster])</f>
        <v>0</v>
      </c>
      <c r="AX381" s="6" t="b">
        <f>_xlfn.XLOOKUP(tbl_Sourcing[[#This Row],[Product Id]], tbl_Product[Product Id], tbl_Product[Is Precon])</f>
        <v>0</v>
      </c>
    </row>
    <row r="382" spans="1:50">
      <c r="A382">
        <v>34</v>
      </c>
      <c r="B382">
        <v>60</v>
      </c>
      <c r="C382" t="s">
        <v>1875</v>
      </c>
      <c r="D382" s="8" t="s">
        <v>1932</v>
      </c>
      <c r="E382" s="24"/>
      <c r="F382" s="23" t="b">
        <v>0</v>
      </c>
      <c r="G382" s="24"/>
      <c r="H382" s="24"/>
      <c r="J382" s="6" t="str">
        <f>_xlfn.XLOOKUP(tbl_Sourcing[[#This Row],[Product Id]], tbl_Product[Product Id], tbl_Product[Name])</f>
        <v>MTG Modern Horizons 3 MH3 Play Booster Box</v>
      </c>
      <c r="K382" s="6"/>
      <c r="L382" s="6">
        <v>41</v>
      </c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202</v>
      </c>
      <c r="AW382" s="6" t="b">
        <f>_xlfn.XLOOKUP(tbl_Sourcing[[#This Row],[Product Id]], tbl_Product[Product Id], tbl_Product[Is Set or Play Booster])</f>
        <v>1</v>
      </c>
      <c r="AX382" s="6" t="b">
        <f>_xlfn.XLOOKUP(tbl_Sourcing[[#This Row],[Product Id]], tbl_Product[Product Id], tbl_Product[Is Precon])</f>
        <v>0</v>
      </c>
    </row>
    <row r="383" spans="1:50">
      <c r="A383">
        <v>401</v>
      </c>
      <c r="B383">
        <v>172</v>
      </c>
      <c r="C383" t="s">
        <v>1875</v>
      </c>
      <c r="D383" s="8" t="s">
        <v>1933</v>
      </c>
      <c r="E383" s="23">
        <v>57.95</v>
      </c>
      <c r="F383" s="23" t="b">
        <v>1</v>
      </c>
      <c r="G383" s="24"/>
      <c r="H383" s="24"/>
      <c r="J383" s="6" t="str">
        <f>_xlfn.XLOOKUP(tbl_Sourcing[[#This Row],[Product Id]], tbl_Product[Product Id], tbl_Product[Name])</f>
        <v>MTG Modern Horizons 3 Tricky Terrain Precon</v>
      </c>
      <c r="K383" s="6"/>
      <c r="L383" s="6">
        <v>85</v>
      </c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422</v>
      </c>
      <c r="AW383" s="6" t="b">
        <f>_xlfn.XLOOKUP(tbl_Sourcing[[#This Row],[Product Id]], tbl_Product[Product Id], tbl_Product[Is Set or Play Booster])</f>
        <v>0</v>
      </c>
      <c r="AX383" s="6" t="b">
        <f>_xlfn.XLOOKUP(tbl_Sourcing[[#This Row],[Product Id]], tbl_Product[Product Id], tbl_Product[Is Precon])</f>
        <v>1</v>
      </c>
    </row>
    <row r="384" spans="1:50">
      <c r="A384">
        <v>106</v>
      </c>
      <c r="B384">
        <v>124</v>
      </c>
      <c r="C384" t="s">
        <v>1875</v>
      </c>
      <c r="D384" s="8" t="s">
        <v>1934</v>
      </c>
      <c r="E384" s="24"/>
      <c r="F384" s="23" t="b">
        <v>0</v>
      </c>
      <c r="G384" s="24"/>
      <c r="H384" s="24"/>
      <c r="J384" s="6" t="str">
        <f>_xlfn.XLOOKUP(tbl_Sourcing[[#This Row],[Product Id]], tbl_Product[Product Id], tbl_Product[Name])</f>
        <v>MTG Murders at Karlov Manor Collector Booster Box</v>
      </c>
      <c r="K384" s="6"/>
      <c r="L384" s="6">
        <v>42</v>
      </c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207</v>
      </c>
      <c r="AW384" s="6" t="b">
        <f>_xlfn.XLOOKUP(tbl_Sourcing[[#This Row],[Product Id]], tbl_Product[Product Id], tbl_Product[Is Set or Play Booster])</f>
        <v>0</v>
      </c>
      <c r="AX384" s="6" t="b">
        <f>_xlfn.XLOOKUP(tbl_Sourcing[[#This Row],[Product Id]], tbl_Product[Product Id], tbl_Product[Is Precon])</f>
        <v>0</v>
      </c>
    </row>
    <row r="385" spans="1:50">
      <c r="A385">
        <v>84</v>
      </c>
      <c r="B385">
        <v>80</v>
      </c>
      <c r="C385" t="s">
        <v>1875</v>
      </c>
      <c r="D385" s="8" t="s">
        <v>1935</v>
      </c>
      <c r="E385" s="23">
        <v>115</v>
      </c>
      <c r="F385" s="23" t="b">
        <v>0</v>
      </c>
      <c r="G385" s="24"/>
      <c r="H385" s="24"/>
      <c r="J385" s="6" t="str">
        <f>_xlfn.XLOOKUP(tbl_Sourcing[[#This Row],[Product Id]], tbl_Product[Product Id], tbl_Product[Name])</f>
        <v>MTG Murders at Karlov Manor Play Booster Box</v>
      </c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85" s="6" t="b">
        <f>_xlfn.XLOOKUP(tbl_Sourcing[[#This Row],[Product Id]], tbl_Product[Product Id], tbl_Product[Is Set or Play Booster])</f>
        <v>1</v>
      </c>
      <c r="AX385" s="6" t="b">
        <f>_xlfn.XLOOKUP(tbl_Sourcing[[#This Row],[Product Id]], tbl_Product[Product Id], tbl_Product[Is Precon])</f>
        <v>0</v>
      </c>
    </row>
    <row r="386" spans="1:50">
      <c r="A386">
        <v>77</v>
      </c>
      <c r="B386">
        <v>77</v>
      </c>
      <c r="C386" t="s">
        <v>1875</v>
      </c>
      <c r="D386" s="8" t="s">
        <v>1936</v>
      </c>
      <c r="E386" s="23">
        <v>77</v>
      </c>
      <c r="F386" s="23" t="b">
        <v>0</v>
      </c>
      <c r="G386" s="24"/>
      <c r="H386" s="24"/>
      <c r="J386" s="6" t="str">
        <f>_xlfn.XLOOKUP(tbl_Sourcing[[#This Row],[Product Id]], tbl_Product[Product Id], tbl_Product[Name])</f>
        <v>MTG Oath of the Gatewatch Booster Box</v>
      </c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86" s="6" t="b">
        <f>_xlfn.XLOOKUP(tbl_Sourcing[[#This Row],[Product Id]], tbl_Product[Product Id], tbl_Product[Is Set or Play Booster])</f>
        <v>1</v>
      </c>
      <c r="AX386" s="6" t="b">
        <f>_xlfn.XLOOKUP(tbl_Sourcing[[#This Row],[Product Id]], tbl_Product[Product Id], tbl_Product[Is Precon])</f>
        <v>0</v>
      </c>
    </row>
    <row r="387" spans="1:50">
      <c r="A387">
        <v>107</v>
      </c>
      <c r="B387">
        <v>126</v>
      </c>
      <c r="C387" t="s">
        <v>1875</v>
      </c>
      <c r="D387" s="8" t="s">
        <v>1937</v>
      </c>
      <c r="E387" s="24"/>
      <c r="F387" s="23" t="b">
        <v>0</v>
      </c>
      <c r="G387" s="24"/>
      <c r="H387" s="24"/>
      <c r="J387" s="6" t="str">
        <f>_xlfn.XLOOKUP(tbl_Sourcing[[#This Row],[Product Id]], tbl_Product[Product Id], tbl_Product[Name])</f>
        <v>MTG Outlaws of Thunder Junction Collector Booster Box</v>
      </c>
      <c r="K387" s="6"/>
      <c r="L387" s="6">
        <v>45</v>
      </c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222</v>
      </c>
      <c r="AW387" s="6" t="b">
        <f>_xlfn.XLOOKUP(tbl_Sourcing[[#This Row],[Product Id]], tbl_Product[Product Id], tbl_Product[Is Set or Play Booster])</f>
        <v>0</v>
      </c>
      <c r="AX387" s="6" t="b">
        <f>_xlfn.XLOOKUP(tbl_Sourcing[[#This Row],[Product Id]], tbl_Product[Product Id], tbl_Product[Is Precon])</f>
        <v>0</v>
      </c>
    </row>
    <row r="388" spans="1:50">
      <c r="A388">
        <v>25</v>
      </c>
      <c r="B388">
        <v>56</v>
      </c>
      <c r="C388" t="s">
        <v>1875</v>
      </c>
      <c r="D388" s="8" t="s">
        <v>1938</v>
      </c>
      <c r="E388" s="23">
        <v>137</v>
      </c>
      <c r="F388" s="23" t="b">
        <v>0</v>
      </c>
      <c r="G388" s="24"/>
      <c r="H388" s="24"/>
      <c r="J388" s="6" t="str">
        <f>_xlfn.XLOOKUP(tbl_Sourcing[[#This Row],[Product Id]], tbl_Product[Product Id], tbl_Product[Name])</f>
        <v>MTG Outlaws of Thunder Junction Play Booster Box</v>
      </c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88" s="6" t="b">
        <f>_xlfn.XLOOKUP(tbl_Sourcing[[#This Row],[Product Id]], tbl_Product[Product Id], tbl_Product[Is Set or Play Booster])</f>
        <v>1</v>
      </c>
      <c r="AX388" s="6" t="b">
        <f>_xlfn.XLOOKUP(tbl_Sourcing[[#This Row],[Product Id]], tbl_Product[Product Id], tbl_Product[Is Precon])</f>
        <v>0</v>
      </c>
    </row>
    <row r="389" spans="1:50">
      <c r="A389">
        <v>108</v>
      </c>
      <c r="B389">
        <v>128</v>
      </c>
      <c r="C389" t="s">
        <v>1875</v>
      </c>
      <c r="D389" s="8" t="s">
        <v>1939</v>
      </c>
      <c r="E389" s="24"/>
      <c r="F389" s="23" t="b">
        <v>0</v>
      </c>
      <c r="G389" s="24"/>
      <c r="H389" s="24"/>
      <c r="J389" s="6" t="str">
        <f>_xlfn.XLOOKUP(tbl_Sourcing[[#This Row],[Product Id]], tbl_Product[Product Id], tbl_Product[Name])</f>
        <v>MTG Phyrexia: All Will Be One Collector Booster Box</v>
      </c>
      <c r="K389" s="6"/>
      <c r="L389" s="6">
        <v>47</v>
      </c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232</v>
      </c>
      <c r="AW389" s="6" t="b">
        <f>_xlfn.XLOOKUP(tbl_Sourcing[[#This Row],[Product Id]], tbl_Product[Product Id], tbl_Product[Is Set or Play Booster])</f>
        <v>0</v>
      </c>
      <c r="AX389" s="6" t="b">
        <f>_xlfn.XLOOKUP(tbl_Sourcing[[#This Row],[Product Id]], tbl_Product[Product Id], tbl_Product[Is Precon])</f>
        <v>0</v>
      </c>
    </row>
    <row r="390" spans="1:50">
      <c r="A390">
        <v>53</v>
      </c>
      <c r="B390">
        <v>67</v>
      </c>
      <c r="C390" t="s">
        <v>1875</v>
      </c>
      <c r="D390" s="8" t="s">
        <v>1940</v>
      </c>
      <c r="E390" s="24"/>
      <c r="F390" s="23" t="b">
        <v>0</v>
      </c>
      <c r="G390" s="24"/>
      <c r="H390" s="24"/>
      <c r="J390" s="6" t="str">
        <f>_xlfn.XLOOKUP(tbl_Sourcing[[#This Row],[Product Id]], tbl_Product[Product Id], tbl_Product[Name])</f>
        <v>MTG Phyrexia: All Will Be One Set Booster Box</v>
      </c>
      <c r="K390" s="6"/>
      <c r="L390" s="6">
        <v>48</v>
      </c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237</v>
      </c>
      <c r="AW390" s="6" t="b">
        <f>_xlfn.XLOOKUP(tbl_Sourcing[[#This Row],[Product Id]], tbl_Product[Product Id], tbl_Product[Is Set or Play Booster])</f>
        <v>1</v>
      </c>
      <c r="AX390" s="6" t="b">
        <f>_xlfn.XLOOKUP(tbl_Sourcing[[#This Row],[Product Id]], tbl_Product[Product Id], tbl_Product[Is Precon])</f>
        <v>0</v>
      </c>
    </row>
    <row r="391" spans="1:50">
      <c r="A391">
        <v>109</v>
      </c>
      <c r="B391">
        <v>130</v>
      </c>
      <c r="C391" t="s">
        <v>1875</v>
      </c>
      <c r="D391" s="8" t="s">
        <v>1941</v>
      </c>
      <c r="E391" s="24"/>
      <c r="F391" s="23" t="b">
        <v>0</v>
      </c>
      <c r="G391" s="24"/>
      <c r="H391" s="24"/>
      <c r="J391" s="6" t="str">
        <f>_xlfn.XLOOKUP(tbl_Sourcing[[#This Row],[Product Id]], tbl_Product[Product Id], tbl_Product[Name])</f>
        <v>MTG Ravnica Remastered Collector Booster Box</v>
      </c>
      <c r="K391" s="6"/>
      <c r="L391" s="6">
        <v>49</v>
      </c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242</v>
      </c>
      <c r="AW391" s="6" t="b">
        <f>_xlfn.XLOOKUP(tbl_Sourcing[[#This Row],[Product Id]], tbl_Product[Product Id], tbl_Product[Is Set or Play Booster])</f>
        <v>0</v>
      </c>
      <c r="AX391" s="6" t="b">
        <f>_xlfn.XLOOKUP(tbl_Sourcing[[#This Row],[Product Id]], tbl_Product[Product Id], tbl_Product[Is Precon])</f>
        <v>0</v>
      </c>
    </row>
    <row r="392" spans="1:50">
      <c r="A392">
        <v>55</v>
      </c>
      <c r="B392">
        <v>68</v>
      </c>
      <c r="C392" t="s">
        <v>1875</v>
      </c>
      <c r="D392" s="8" t="s">
        <v>1942</v>
      </c>
      <c r="E392" s="24"/>
      <c r="F392" s="23" t="b">
        <v>0</v>
      </c>
      <c r="G392" s="24"/>
      <c r="H392" s="24"/>
      <c r="J392" s="6" t="str">
        <f>_xlfn.XLOOKUP(tbl_Sourcing[[#This Row],[Product Id]], tbl_Product[Product Id], tbl_Product[Name])</f>
        <v>MTG Ravnica Remastered Draft Booster Box</v>
      </c>
      <c r="K392" s="6"/>
      <c r="L392" s="6">
        <v>50</v>
      </c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247</v>
      </c>
      <c r="AW392" s="6" t="b">
        <f>_xlfn.XLOOKUP(tbl_Sourcing[[#This Row],[Product Id]], tbl_Product[Product Id], tbl_Product[Is Set or Play Booster])</f>
        <v>1</v>
      </c>
      <c r="AX392" s="6" t="b">
        <f>_xlfn.XLOOKUP(tbl_Sourcing[[#This Row],[Product Id]], tbl_Product[Product Id], tbl_Product[Is Precon])</f>
        <v>0</v>
      </c>
    </row>
    <row r="393" spans="1:50">
      <c r="A393">
        <v>110</v>
      </c>
      <c r="B393">
        <v>132</v>
      </c>
      <c r="C393" t="s">
        <v>1875</v>
      </c>
      <c r="D393" s="8" t="s">
        <v>1943</v>
      </c>
      <c r="E393" s="23">
        <v>207.95</v>
      </c>
      <c r="F393" s="23" t="b">
        <v>1</v>
      </c>
      <c r="G393" s="24"/>
      <c r="H393" s="24"/>
      <c r="J393" s="6" t="str">
        <f>_xlfn.XLOOKUP(tbl_Sourcing[[#This Row],[Product Id]], tbl_Product[Product Id], tbl_Product[Name])</f>
        <v>MTG Streets of New Capenna Collector Booster Box</v>
      </c>
      <c r="K393" s="6"/>
      <c r="L393" s="6">
        <v>51</v>
      </c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252</v>
      </c>
      <c r="AW393" s="6" t="b">
        <f>_xlfn.XLOOKUP(tbl_Sourcing[[#This Row],[Product Id]], tbl_Product[Product Id], tbl_Product[Is Set or Play Booster])</f>
        <v>0</v>
      </c>
      <c r="AX393" s="6" t="b">
        <f>_xlfn.XLOOKUP(tbl_Sourcing[[#This Row],[Product Id]], tbl_Product[Product Id], tbl_Product[Is Precon])</f>
        <v>0</v>
      </c>
    </row>
    <row r="394" spans="1:50">
      <c r="A394">
        <v>73</v>
      </c>
      <c r="B394">
        <v>75</v>
      </c>
      <c r="C394" t="s">
        <v>1875</v>
      </c>
      <c r="D394" s="8" t="s">
        <v>1944</v>
      </c>
      <c r="E394" s="23">
        <v>95</v>
      </c>
      <c r="F394" s="23" t="b">
        <v>0</v>
      </c>
      <c r="G394" s="24"/>
      <c r="H394" s="24"/>
      <c r="J394" s="6" t="str">
        <f>_xlfn.XLOOKUP(tbl_Sourcing[[#This Row],[Product Id]], tbl_Product[Product Id], tbl_Product[Name])</f>
        <v>MTG Streets of New Capenna Set Booster Box</v>
      </c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94" s="6" t="b">
        <f>_xlfn.XLOOKUP(tbl_Sourcing[[#This Row],[Product Id]], tbl_Product[Product Id], tbl_Product[Is Set or Play Booster])</f>
        <v>1</v>
      </c>
      <c r="AX394" s="6" t="b">
        <f>_xlfn.XLOOKUP(tbl_Sourcing[[#This Row],[Product Id]], tbl_Product[Product Id], tbl_Product[Is Precon])</f>
        <v>0</v>
      </c>
    </row>
    <row r="395" spans="1:50">
      <c r="A395">
        <v>111</v>
      </c>
      <c r="B395">
        <v>134</v>
      </c>
      <c r="C395" t="s">
        <v>1875</v>
      </c>
      <c r="D395" s="8" t="s">
        <v>1945</v>
      </c>
      <c r="E395" s="24"/>
      <c r="F395" s="23" t="b">
        <v>0</v>
      </c>
      <c r="G395" s="24"/>
      <c r="H395" s="24"/>
      <c r="J395" s="6" t="str">
        <f>_xlfn.XLOOKUP(tbl_Sourcing[[#This Row],[Product Id]], tbl_Product[Product Id], tbl_Product[Name])</f>
        <v>MTG Strixhaven: School of Magic Collector Booster Box</v>
      </c>
      <c r="K395" s="6"/>
      <c r="L395" s="6">
        <v>53</v>
      </c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262</v>
      </c>
      <c r="AW395" s="6" t="b">
        <f>_xlfn.XLOOKUP(tbl_Sourcing[[#This Row],[Product Id]], tbl_Product[Product Id], tbl_Product[Is Set or Play Booster])</f>
        <v>0</v>
      </c>
      <c r="AX395" s="6" t="b">
        <f>_xlfn.XLOOKUP(tbl_Sourcing[[#This Row],[Product Id]], tbl_Product[Product Id], tbl_Product[Is Precon])</f>
        <v>0</v>
      </c>
    </row>
    <row r="396" spans="1:50">
      <c r="A396">
        <v>21</v>
      </c>
      <c r="B396">
        <v>54</v>
      </c>
      <c r="C396" t="s">
        <v>1875</v>
      </c>
      <c r="D396" s="8" t="s">
        <v>1946</v>
      </c>
      <c r="E396" s="23">
        <v>94</v>
      </c>
      <c r="F396" s="23" t="b">
        <v>0</v>
      </c>
      <c r="G396" s="24"/>
      <c r="H396" s="24"/>
      <c r="J396" s="6" t="str">
        <f>_xlfn.XLOOKUP(tbl_Sourcing[[#This Row],[Product Id]], tbl_Product[Product Id], tbl_Product[Name])</f>
        <v>MTG Strixhaven: School of Magic Set Booster Box</v>
      </c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396" s="6" t="b">
        <f>_xlfn.XLOOKUP(tbl_Sourcing[[#This Row],[Product Id]], tbl_Product[Product Id], tbl_Product[Is Set or Play Booster])</f>
        <v>1</v>
      </c>
      <c r="AX396" s="6" t="b">
        <f>_xlfn.XLOOKUP(tbl_Sourcing[[#This Row],[Product Id]], tbl_Product[Product Id], tbl_Product[Is Precon])</f>
        <v>0</v>
      </c>
    </row>
    <row r="397" spans="1:50">
      <c r="A397">
        <v>393</v>
      </c>
      <c r="B397">
        <v>157</v>
      </c>
      <c r="C397" t="s">
        <v>1875</v>
      </c>
      <c r="D397" s="8" t="s">
        <v>1947</v>
      </c>
      <c r="E397" s="24"/>
      <c r="F397" s="23" t="b">
        <v>0</v>
      </c>
      <c r="G397" s="24"/>
      <c r="H397" s="24"/>
      <c r="J397" s="6" t="str">
        <f>_xlfn.XLOOKUP(tbl_Sourcing[[#This Row],[Product Id]], tbl_Product[Product Id], tbl_Product[Name])</f>
        <v>MTG Tarkir Dragonstorm Jeskai Striker Precon</v>
      </c>
      <c r="K397" s="6"/>
      <c r="L397" s="6">
        <v>86</v>
      </c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427</v>
      </c>
      <c r="AW397" s="6" t="b">
        <f>_xlfn.XLOOKUP(tbl_Sourcing[[#This Row],[Product Id]], tbl_Product[Product Id], tbl_Product[Is Set or Play Booster])</f>
        <v>0</v>
      </c>
      <c r="AX397" s="6" t="b">
        <f>_xlfn.XLOOKUP(tbl_Sourcing[[#This Row],[Product Id]], tbl_Product[Product Id], tbl_Product[Is Precon])</f>
        <v>1</v>
      </c>
    </row>
    <row r="398" spans="1:50">
      <c r="A398">
        <v>389</v>
      </c>
      <c r="B398">
        <v>156</v>
      </c>
      <c r="C398" t="s">
        <v>1875</v>
      </c>
      <c r="D398" s="8" t="s">
        <v>1948</v>
      </c>
      <c r="E398" s="24"/>
      <c r="F398" s="23" t="b">
        <v>0</v>
      </c>
      <c r="G398" s="24"/>
      <c r="H398" s="24"/>
      <c r="J398" s="6" t="str">
        <f>_xlfn.XLOOKUP(tbl_Sourcing[[#This Row],[Product Id]], tbl_Product[Product Id], tbl_Product[Name])</f>
        <v>MTG Tarkir Dragonstorm Mardu Surge Precon</v>
      </c>
      <c r="K398" s="6"/>
      <c r="L398" s="6">
        <v>87</v>
      </c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432</v>
      </c>
      <c r="AW398" s="6" t="b">
        <f>_xlfn.XLOOKUP(tbl_Sourcing[[#This Row],[Product Id]], tbl_Product[Product Id], tbl_Product[Is Set or Play Booster])</f>
        <v>0</v>
      </c>
      <c r="AX398" s="6" t="b">
        <f>_xlfn.XLOOKUP(tbl_Sourcing[[#This Row],[Product Id]], tbl_Product[Product Id], tbl_Product[Is Precon])</f>
        <v>1</v>
      </c>
    </row>
    <row r="399" spans="1:50">
      <c r="A399">
        <v>398</v>
      </c>
      <c r="B399">
        <v>159</v>
      </c>
      <c r="C399" t="s">
        <v>1875</v>
      </c>
      <c r="D399" s="8" t="s">
        <v>1949</v>
      </c>
      <c r="E399" s="23">
        <v>69.95</v>
      </c>
      <c r="F399" s="23" t="b">
        <v>1</v>
      </c>
      <c r="G399" s="24"/>
      <c r="H399" s="24"/>
      <c r="J399" s="6" t="str">
        <f>_xlfn.XLOOKUP(tbl_Sourcing[[#This Row],[Product Id]], tbl_Product[Product Id], tbl_Product[Name])</f>
        <v>MTG Tarkir Dragonstorm Sultai Arisen Precon</v>
      </c>
      <c r="K399" s="6"/>
      <c r="L399" s="6">
        <v>88</v>
      </c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437</v>
      </c>
      <c r="AW399" s="6" t="b">
        <f>_xlfn.XLOOKUP(tbl_Sourcing[[#This Row],[Product Id]], tbl_Product[Product Id], tbl_Product[Is Set or Play Booster])</f>
        <v>0</v>
      </c>
      <c r="AX399" s="6" t="b">
        <f>_xlfn.XLOOKUP(tbl_Sourcing[[#This Row],[Product Id]], tbl_Product[Product Id], tbl_Product[Is Precon])</f>
        <v>1</v>
      </c>
    </row>
    <row r="400" spans="1:50">
      <c r="A400">
        <v>405</v>
      </c>
      <c r="B400">
        <v>158</v>
      </c>
      <c r="C400" t="s">
        <v>1875</v>
      </c>
      <c r="D400" s="8" t="s">
        <v>1950</v>
      </c>
      <c r="E400" s="24"/>
      <c r="F400" s="23" t="b">
        <v>0</v>
      </c>
      <c r="G400" s="24"/>
      <c r="H400" s="24"/>
      <c r="J400" s="6" t="str">
        <f>_xlfn.XLOOKUP(tbl_Sourcing[[#This Row],[Product Id]], tbl_Product[Product Id], tbl_Product[Name])</f>
        <v>MTG Tarkir Dragonstorm Temur Roar Precon</v>
      </c>
      <c r="K400" s="6"/>
      <c r="L400" s="6">
        <v>89</v>
      </c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442</v>
      </c>
      <c r="AW400" s="6" t="b">
        <f>_xlfn.XLOOKUP(tbl_Sourcing[[#This Row],[Product Id]], tbl_Product[Product Id], tbl_Product[Is Set or Play Booster])</f>
        <v>0</v>
      </c>
      <c r="AX400" s="6" t="b">
        <f>_xlfn.XLOOKUP(tbl_Sourcing[[#This Row],[Product Id]], tbl_Product[Product Id], tbl_Product[Is Precon])</f>
        <v>1</v>
      </c>
    </row>
    <row r="401" spans="1:50">
      <c r="A401">
        <v>112</v>
      </c>
      <c r="B401">
        <v>136</v>
      </c>
      <c r="C401" t="s">
        <v>1875</v>
      </c>
      <c r="D401" s="8" t="s">
        <v>1951</v>
      </c>
      <c r="E401" s="24"/>
      <c r="F401" s="23" t="b">
        <v>0</v>
      </c>
      <c r="G401" s="24"/>
      <c r="H401" s="24"/>
      <c r="J401" s="6" t="str">
        <f>_xlfn.XLOOKUP(tbl_Sourcing[[#This Row],[Product Id]], tbl_Product[Product Id], tbl_Product[Name])</f>
        <v>MTG Tarkir: Dragonstorm TDM Collector Booster Box</v>
      </c>
      <c r="K401" s="6"/>
      <c r="L401" s="6">
        <v>55</v>
      </c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272</v>
      </c>
      <c r="AW401" s="6" t="b">
        <f>_xlfn.XLOOKUP(tbl_Sourcing[[#This Row],[Product Id]], tbl_Product[Product Id], tbl_Product[Is Set or Play Booster])</f>
        <v>0</v>
      </c>
      <c r="AX401" s="6" t="b">
        <f>_xlfn.XLOOKUP(tbl_Sourcing[[#This Row],[Product Id]], tbl_Product[Product Id], tbl_Product[Is Precon])</f>
        <v>0</v>
      </c>
    </row>
    <row r="402" spans="1:50">
      <c r="A402">
        <v>67</v>
      </c>
      <c r="B402">
        <v>42</v>
      </c>
      <c r="C402" t="s">
        <v>1875</v>
      </c>
      <c r="D402" s="8" t="s">
        <v>1952</v>
      </c>
      <c r="E402" s="23">
        <v>119.95</v>
      </c>
      <c r="F402" s="23" t="b">
        <v>1</v>
      </c>
      <c r="G402" s="24"/>
      <c r="H402" s="24"/>
      <c r="J402" s="6" t="str">
        <f>_xlfn.XLOOKUP(tbl_Sourcing[[#This Row],[Product Id]], tbl_Product[Product Id], tbl_Product[Name])</f>
        <v>MTG Tarkir: Dragonstorm TDM Play Booster Box</v>
      </c>
      <c r="K402" s="6"/>
      <c r="L402" s="6">
        <v>56</v>
      </c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277</v>
      </c>
      <c r="AW402" s="6" t="b">
        <f>_xlfn.XLOOKUP(tbl_Sourcing[[#This Row],[Product Id]], tbl_Product[Product Id], tbl_Product[Is Set or Play Booster])</f>
        <v>1</v>
      </c>
      <c r="AX402" s="6" t="b">
        <f>_xlfn.XLOOKUP(tbl_Sourcing[[#This Row],[Product Id]], tbl_Product[Product Id], tbl_Product[Is Precon])</f>
        <v>0</v>
      </c>
    </row>
    <row r="403" spans="1:50">
      <c r="A403">
        <v>113</v>
      </c>
      <c r="B403">
        <v>138</v>
      </c>
      <c r="C403" t="s">
        <v>1875</v>
      </c>
      <c r="D403" s="8" t="s">
        <v>1953</v>
      </c>
      <c r="E403" s="24"/>
      <c r="F403" s="23" t="b">
        <v>0</v>
      </c>
      <c r="G403" s="24"/>
      <c r="H403" s="24"/>
      <c r="J403" s="6" t="str">
        <f>_xlfn.XLOOKUP(tbl_Sourcing[[#This Row],[Product Id]], tbl_Product[Product Id], tbl_Product[Name])</f>
        <v>MTG The Brothers' War Collector Booster Box</v>
      </c>
      <c r="K403" s="6"/>
      <c r="L403" s="6">
        <v>57</v>
      </c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282</v>
      </c>
      <c r="AW403" s="6" t="b">
        <f>_xlfn.XLOOKUP(tbl_Sourcing[[#This Row],[Product Id]], tbl_Product[Product Id], tbl_Product[Is Set or Play Booster])</f>
        <v>0</v>
      </c>
      <c r="AX403" s="6" t="b">
        <f>_xlfn.XLOOKUP(tbl_Sourcing[[#This Row],[Product Id]], tbl_Product[Product Id], tbl_Product[Is Precon])</f>
        <v>0</v>
      </c>
    </row>
    <row r="404" spans="1:50">
      <c r="A404">
        <v>69</v>
      </c>
      <c r="B404">
        <v>73</v>
      </c>
      <c r="C404" t="s">
        <v>1875</v>
      </c>
      <c r="D404" s="8" t="s">
        <v>1954</v>
      </c>
      <c r="E404" s="23">
        <v>116</v>
      </c>
      <c r="F404" s="23" t="b">
        <v>0</v>
      </c>
      <c r="G404" s="24"/>
      <c r="H404" s="24"/>
      <c r="J404" s="6" t="str">
        <f>_xlfn.XLOOKUP(tbl_Sourcing[[#This Row],[Product Id]], tbl_Product[Product Id], tbl_Product[Name])</f>
        <v>MTG The Brothers' War Set Booster Box</v>
      </c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404" s="6" t="b">
        <f>_xlfn.XLOOKUP(tbl_Sourcing[[#This Row],[Product Id]], tbl_Product[Product Id], tbl_Product[Is Set or Play Booster])</f>
        <v>1</v>
      </c>
      <c r="AX404" s="6" t="b">
        <f>_xlfn.XLOOKUP(tbl_Sourcing[[#This Row],[Product Id]], tbl_Product[Product Id], tbl_Product[Is Precon])</f>
        <v>0</v>
      </c>
    </row>
    <row r="405" spans="1:50">
      <c r="A405">
        <v>114</v>
      </c>
      <c r="B405">
        <v>140</v>
      </c>
      <c r="C405" t="s">
        <v>1875</v>
      </c>
      <c r="D405" s="8" t="s">
        <v>1955</v>
      </c>
      <c r="E405" s="24"/>
      <c r="F405" s="23" t="b">
        <v>0</v>
      </c>
      <c r="G405" s="24"/>
      <c r="H405" s="24"/>
      <c r="J405" s="6" t="str">
        <f>_xlfn.XLOOKUP(tbl_Sourcing[[#This Row],[Product Id]], tbl_Product[Product Id], tbl_Product[Name])</f>
        <v>MTG The Lord of the Rings: Tales of Middle-earth LTR Collector Booster Box</v>
      </c>
      <c r="K405" s="6"/>
      <c r="L405" s="6">
        <v>59</v>
      </c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292</v>
      </c>
      <c r="AW405" s="6" t="b">
        <f>_xlfn.XLOOKUP(tbl_Sourcing[[#This Row],[Product Id]], tbl_Product[Product Id], tbl_Product[Is Set or Play Booster])</f>
        <v>0</v>
      </c>
      <c r="AX405" s="6" t="b">
        <f>_xlfn.XLOOKUP(tbl_Sourcing[[#This Row],[Product Id]], tbl_Product[Product Id], tbl_Product[Is Precon])</f>
        <v>0</v>
      </c>
    </row>
    <row r="406" spans="1:50">
      <c r="A406">
        <v>51</v>
      </c>
      <c r="B406">
        <v>66</v>
      </c>
      <c r="C406" t="s">
        <v>1875</v>
      </c>
      <c r="D406" s="8" t="s">
        <v>1956</v>
      </c>
      <c r="E406" s="24"/>
      <c r="F406" s="23" t="b">
        <v>0</v>
      </c>
      <c r="G406" s="24"/>
      <c r="H406" s="24"/>
      <c r="J406" s="6" t="str">
        <f>_xlfn.XLOOKUP(tbl_Sourcing[[#This Row],[Product Id]], tbl_Product[Product Id], tbl_Product[Name])</f>
        <v>MTG The Lord of the Rings: Tales of Middle-earth LTR Set Booster Box</v>
      </c>
      <c r="K406" s="6"/>
      <c r="L406" s="6">
        <v>60</v>
      </c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297</v>
      </c>
      <c r="AW406" s="6" t="b">
        <f>_xlfn.XLOOKUP(tbl_Sourcing[[#This Row],[Product Id]], tbl_Product[Product Id], tbl_Product[Is Set or Play Booster])</f>
        <v>1</v>
      </c>
      <c r="AX406" s="6" t="b">
        <f>_xlfn.XLOOKUP(tbl_Sourcing[[#This Row],[Product Id]], tbl_Product[Product Id], tbl_Product[Is Precon])</f>
        <v>0</v>
      </c>
    </row>
    <row r="407" spans="1:50">
      <c r="A407">
        <v>115</v>
      </c>
      <c r="B407">
        <v>142</v>
      </c>
      <c r="C407" t="s">
        <v>1875</v>
      </c>
      <c r="D407" s="8" t="s">
        <v>1957</v>
      </c>
      <c r="E407" s="24"/>
      <c r="F407" s="23" t="b">
        <v>0</v>
      </c>
      <c r="G407" s="24"/>
      <c r="H407" s="24"/>
      <c r="J407" s="6" t="str">
        <f>_xlfn.XLOOKUP(tbl_Sourcing[[#This Row],[Product Id]], tbl_Product[Product Id], tbl_Product[Name])</f>
        <v>MTG The Lost Caverns of Ixalan LCI Collector Booster Box</v>
      </c>
      <c r="K407" s="6"/>
      <c r="L407" s="6">
        <v>61</v>
      </c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302</v>
      </c>
      <c r="AW407" s="6" t="b">
        <f>_xlfn.XLOOKUP(tbl_Sourcing[[#This Row],[Product Id]], tbl_Product[Product Id], tbl_Product[Is Set or Play Booster])</f>
        <v>0</v>
      </c>
      <c r="AX407" s="6" t="b">
        <f>_xlfn.XLOOKUP(tbl_Sourcing[[#This Row],[Product Id]], tbl_Product[Product Id], tbl_Product[Is Precon])</f>
        <v>0</v>
      </c>
    </row>
    <row r="408" spans="1:50">
      <c r="A408">
        <v>4</v>
      </c>
      <c r="B408">
        <v>47</v>
      </c>
      <c r="C408" t="s">
        <v>1875</v>
      </c>
      <c r="D408" s="8" t="s">
        <v>1958</v>
      </c>
      <c r="E408" s="24"/>
      <c r="F408" s="23" t="b">
        <v>0</v>
      </c>
      <c r="G408" s="24"/>
      <c r="H408" s="24"/>
      <c r="J408" t="str">
        <f>_xlfn.XLOOKUP(tbl_Sourcing[[#This Row],[Product Id]], tbl_Product[Product Id], tbl_Product[Name])</f>
        <v>MTG The Lost Caverns of Ixalan LCI Set Booster Box</v>
      </c>
      <c r="K408" s="6"/>
      <c r="L408" s="6">
        <v>62</v>
      </c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307</v>
      </c>
      <c r="AW408" s="6" t="b">
        <f>_xlfn.XLOOKUP(tbl_Sourcing[[#This Row],[Product Id]], tbl_Product[Product Id], tbl_Product[Is Set or Play Booster])</f>
        <v>1</v>
      </c>
      <c r="AX408" s="6" t="b">
        <f>_xlfn.XLOOKUP(tbl_Sourcing[[#This Row],[Product Id]], tbl_Product[Product Id], tbl_Product[Is Precon])</f>
        <v>0</v>
      </c>
    </row>
    <row r="409" spans="1:50">
      <c r="A409">
        <v>116</v>
      </c>
      <c r="B409">
        <v>144</v>
      </c>
      <c r="C409" t="s">
        <v>1875</v>
      </c>
      <c r="D409" s="8" t="s">
        <v>1959</v>
      </c>
      <c r="E409" s="24"/>
      <c r="F409" s="23" t="b">
        <v>0</v>
      </c>
      <c r="G409" s="24"/>
      <c r="H409" s="24"/>
      <c r="J409" s="6" t="str">
        <f>_xlfn.XLOOKUP(tbl_Sourcing[[#This Row],[Product Id]], tbl_Product[Product Id], tbl_Product[Name])</f>
        <v>MTG Theros Beyond Death THB Collector Booster Box</v>
      </c>
      <c r="K409" s="6"/>
      <c r="L409" s="6">
        <v>63</v>
      </c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312</v>
      </c>
      <c r="AW409" s="6" t="b">
        <f>_xlfn.XLOOKUP(tbl_Sourcing[[#This Row],[Product Id]], tbl_Product[Product Id], tbl_Product[Is Set or Play Booster])</f>
        <v>0</v>
      </c>
      <c r="AX409" s="6" t="b">
        <f>_xlfn.XLOOKUP(tbl_Sourcing[[#This Row],[Product Id]], tbl_Product[Product Id], tbl_Product[Is Precon])</f>
        <v>0</v>
      </c>
    </row>
    <row r="410" spans="1:50">
      <c r="A410">
        <v>23</v>
      </c>
      <c r="B410">
        <v>55</v>
      </c>
      <c r="C410" t="s">
        <v>1875</v>
      </c>
      <c r="D410" s="8" t="s">
        <v>1960</v>
      </c>
      <c r="E410" s="23">
        <v>93</v>
      </c>
      <c r="F410" s="23" t="b">
        <v>0</v>
      </c>
      <c r="G410" s="24"/>
      <c r="H410" s="24"/>
      <c r="J410" s="6" t="str">
        <f>_xlfn.XLOOKUP(tbl_Sourcing[[#This Row],[Product Id]], tbl_Product[Product Id], tbl_Product[Name])</f>
        <v>MTG Throne of Eldraine Booster Box</v>
      </c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410" s="6" t="b">
        <f>_xlfn.XLOOKUP(tbl_Sourcing[[#This Row],[Product Id]], tbl_Product[Product Id], tbl_Product[Is Set or Play Booster])</f>
        <v>1</v>
      </c>
      <c r="AX410" s="6" t="b">
        <f>_xlfn.XLOOKUP(tbl_Sourcing[[#This Row],[Product Id]], tbl_Product[Product Id], tbl_Product[Is Precon])</f>
        <v>0</v>
      </c>
    </row>
    <row r="411" spans="1:50">
      <c r="A411">
        <v>117</v>
      </c>
      <c r="B411">
        <v>146</v>
      </c>
      <c r="C411" t="s">
        <v>1875</v>
      </c>
      <c r="D411" s="8" t="s">
        <v>1961</v>
      </c>
      <c r="E411" s="24"/>
      <c r="F411" s="23" t="b">
        <v>0</v>
      </c>
      <c r="G411" s="24"/>
      <c r="H411" s="24"/>
      <c r="J411" s="6" t="str">
        <f>_xlfn.XLOOKUP(tbl_Sourcing[[#This Row],[Product Id]], tbl_Product[Product Id], tbl_Product[Name])</f>
        <v>MTG Throne of Eldraine Collector Booster Box</v>
      </c>
      <c r="K411" s="6"/>
      <c r="L411" s="6">
        <v>65</v>
      </c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322</v>
      </c>
      <c r="AW411" s="6" t="b">
        <f>_xlfn.XLOOKUP(tbl_Sourcing[[#This Row],[Product Id]], tbl_Product[Product Id], tbl_Product[Is Set or Play Booster])</f>
        <v>0</v>
      </c>
      <c r="AX411" s="6" t="b">
        <f>_xlfn.XLOOKUP(tbl_Sourcing[[#This Row],[Product Id]], tbl_Product[Product Id], tbl_Product[Is Precon])</f>
        <v>0</v>
      </c>
    </row>
    <row r="412" spans="1:50">
      <c r="A412">
        <v>19</v>
      </c>
      <c r="B412">
        <v>53</v>
      </c>
      <c r="C412" t="s">
        <v>1875</v>
      </c>
      <c r="D412" s="8" t="s">
        <v>1962</v>
      </c>
      <c r="E412" s="23">
        <v>170</v>
      </c>
      <c r="F412" s="23" t="b">
        <v>0</v>
      </c>
      <c r="G412" s="24"/>
      <c r="H412" s="24"/>
      <c r="J412" s="6" t="str">
        <f>_xlfn.XLOOKUP(tbl_Sourcing[[#This Row],[Product Id]], tbl_Product[Product Id], tbl_Product[Name])</f>
        <v>MTG War of the Spark Booster Box</v>
      </c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412" s="6" t="b">
        <f>_xlfn.XLOOKUP(tbl_Sourcing[[#This Row],[Product Id]], tbl_Product[Product Id], tbl_Product[Is Set or Play Booster])</f>
        <v>1</v>
      </c>
      <c r="AX412" s="6" t="b">
        <f>_xlfn.XLOOKUP(tbl_Sourcing[[#This Row],[Product Id]], tbl_Product[Product Id], tbl_Product[Is Precon])</f>
        <v>0</v>
      </c>
    </row>
    <row r="413" spans="1:50">
      <c r="A413">
        <v>396</v>
      </c>
      <c r="B413">
        <v>218</v>
      </c>
      <c r="C413" t="s">
        <v>1875</v>
      </c>
      <c r="D413" s="8" t="s">
        <v>1963</v>
      </c>
      <c r="E413" s="24"/>
      <c r="F413" s="23" t="b">
        <v>0</v>
      </c>
      <c r="G413" s="24"/>
      <c r="H413" s="24"/>
      <c r="J413" s="6" t="str">
        <f>_xlfn.XLOOKUP(tbl_Sourcing[[#This Row],[Product Id]], tbl_Product[Product Id], tbl_Product[Name])</f>
        <v>MTG Warhammer 40k The Ruinous Powers Precon</v>
      </c>
      <c r="K413" s="6"/>
      <c r="L413" s="6">
        <v>90</v>
      </c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447</v>
      </c>
      <c r="AW413" s="6" t="b">
        <f>_xlfn.XLOOKUP(tbl_Sourcing[[#This Row],[Product Id]], tbl_Product[Product Id], tbl_Product[Is Set or Play Booster])</f>
        <v>0</v>
      </c>
      <c r="AX413" s="6" t="b">
        <f>_xlfn.XLOOKUP(tbl_Sourcing[[#This Row],[Product Id]], tbl_Product[Product Id], tbl_Product[Is Precon])</f>
        <v>1</v>
      </c>
    </row>
    <row r="414" spans="1:50">
      <c r="A414">
        <v>118</v>
      </c>
      <c r="B414">
        <v>148</v>
      </c>
      <c r="C414" t="s">
        <v>1875</v>
      </c>
      <c r="D414" s="8" t="s">
        <v>1964</v>
      </c>
      <c r="E414" s="24"/>
      <c r="F414" s="23" t="b">
        <v>0</v>
      </c>
      <c r="G414" s="24"/>
      <c r="H414" s="24"/>
      <c r="J414" s="6" t="str">
        <f>_xlfn.XLOOKUP(tbl_Sourcing[[#This Row],[Product Id]], tbl_Product[Product Id], tbl_Product[Name])</f>
        <v>MTG Wilds of Eldraine Collector Booster Box</v>
      </c>
      <c r="K414" s="6"/>
      <c r="L414" s="6">
        <v>67</v>
      </c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332</v>
      </c>
      <c r="AW414" s="6" t="b">
        <f>_xlfn.XLOOKUP(tbl_Sourcing[[#This Row],[Product Id]], tbl_Product[Product Id], tbl_Product[Is Set or Play Booster])</f>
        <v>0</v>
      </c>
      <c r="AX414" s="6" t="b">
        <f>_xlfn.XLOOKUP(tbl_Sourcing[[#This Row],[Product Id]], tbl_Product[Product Id], tbl_Product[Is Precon])</f>
        <v>0</v>
      </c>
    </row>
    <row r="415" spans="1:50">
      <c r="A415">
        <v>71</v>
      </c>
      <c r="B415">
        <v>74</v>
      </c>
      <c r="C415" t="s">
        <v>1875</v>
      </c>
      <c r="D415" s="8" t="s">
        <v>1965</v>
      </c>
      <c r="E415" s="23">
        <v>116</v>
      </c>
      <c r="F415" s="23" t="b">
        <v>0</v>
      </c>
      <c r="G415" s="24"/>
      <c r="H415" s="24"/>
      <c r="J415" s="6" t="str">
        <f>_xlfn.XLOOKUP(tbl_Sourcing[[#This Row],[Product Id]], tbl_Product[Product Id], tbl_Product[Name])</f>
        <v>MTG Wilds of Eldraine Set Booster Box</v>
      </c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415" s="6" t="b">
        <f>_xlfn.XLOOKUP(tbl_Sourcing[[#This Row],[Product Id]], tbl_Product[Product Id], tbl_Product[Is Set or Play Booster])</f>
        <v>1</v>
      </c>
      <c r="AX415" s="6" t="b">
        <f>_xlfn.XLOOKUP(tbl_Sourcing[[#This Row],[Product Id]], tbl_Product[Product Id], tbl_Product[Is Precon])</f>
        <v>0</v>
      </c>
    </row>
    <row r="416" spans="1:50">
      <c r="A416">
        <v>766</v>
      </c>
      <c r="B416">
        <v>71</v>
      </c>
      <c r="C416" t="s">
        <v>1966</v>
      </c>
      <c r="D416" s="8" t="s">
        <v>1967</v>
      </c>
      <c r="E416">
        <v>175</v>
      </c>
      <c r="F416" t="b">
        <v>1</v>
      </c>
      <c r="G416" s="6"/>
      <c r="J416" s="6" t="str">
        <f>_xlfn.XLOOKUP(tbl_Sourcing[[#This Row],[Product Id]], tbl_Product[Product Id], tbl_Product[Name])</f>
        <v>MTG Duskmourn: House of Horror Play Booster Box</v>
      </c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16" s="6" t="b">
        <f>_xlfn.XLOOKUP(tbl_Sourcing[[#This Row],[Product Id]], tbl_Product[Product Id], tbl_Product[Is Set or Play Booster])</f>
        <v>1</v>
      </c>
      <c r="AX416" s="6" t="b">
        <f>_xlfn.XLOOKUP(tbl_Sourcing[[#This Row],[Product Id]], tbl_Product[Product Id], tbl_Product[Is Precon])</f>
        <v>0</v>
      </c>
    </row>
    <row r="417" spans="1:50">
      <c r="A417">
        <v>767</v>
      </c>
      <c r="B417">
        <v>82</v>
      </c>
      <c r="C417" t="s">
        <v>1966</v>
      </c>
      <c r="D417" s="8" t="s">
        <v>1968</v>
      </c>
      <c r="E417">
        <v>195</v>
      </c>
      <c r="F417" t="b">
        <v>1</v>
      </c>
      <c r="G417" s="6"/>
      <c r="J417" s="6" t="str">
        <f>_xlfn.XLOOKUP(tbl_Sourcing[[#This Row],[Product Id]], tbl_Product[Product Id], tbl_Product[Name])</f>
        <v>MTG Guilds of Ravnica Booster Box</v>
      </c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17" s="6" t="b">
        <f>_xlfn.XLOOKUP(tbl_Sourcing[[#This Row],[Product Id]], tbl_Product[Product Id], tbl_Product[Is Set or Play Booster])</f>
        <v>1</v>
      </c>
      <c r="AX417" s="6" t="b">
        <f>_xlfn.XLOOKUP(tbl_Sourcing[[#This Row],[Product Id]], tbl_Product[Product Id], tbl_Product[Is Precon])</f>
        <v>0</v>
      </c>
    </row>
    <row r="418" spans="1:50">
      <c r="A418">
        <v>769</v>
      </c>
      <c r="B418">
        <v>84</v>
      </c>
      <c r="C418" t="s">
        <v>1969</v>
      </c>
      <c r="D418" s="8" t="s">
        <v>1970</v>
      </c>
      <c r="E418">
        <v>220</v>
      </c>
      <c r="F418" t="b">
        <v>1</v>
      </c>
      <c r="G418" s="6"/>
      <c r="J418" s="6" t="str">
        <f>_xlfn.XLOOKUP(tbl_Sourcing[[#This Row],[Product Id]], tbl_Product[Product Id], tbl_Product[Name])</f>
        <v>MTG Aetherdrift Collector Booster Box</v>
      </c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18" s="6" t="b">
        <f>_xlfn.XLOOKUP(tbl_Sourcing[[#This Row],[Product Id]], tbl_Product[Product Id], tbl_Product[Is Set or Play Booster])</f>
        <v>0</v>
      </c>
      <c r="AX418" s="6" t="b">
        <f>_xlfn.XLOOKUP(tbl_Sourcing[[#This Row],[Product Id]], tbl_Product[Product Id], tbl_Product[Is Precon])</f>
        <v>0</v>
      </c>
    </row>
    <row r="419" spans="1:50">
      <c r="A419">
        <v>770</v>
      </c>
      <c r="B419">
        <v>161</v>
      </c>
      <c r="C419" t="s">
        <v>1969</v>
      </c>
      <c r="D419" s="8" t="s">
        <v>1971</v>
      </c>
      <c r="E419">
        <v>36</v>
      </c>
      <c r="F419" t="b">
        <v>1</v>
      </c>
      <c r="G419" s="6"/>
      <c r="J419" s="6" t="str">
        <f>_xlfn.XLOOKUP(tbl_Sourcing[[#This Row],[Product Id]], tbl_Product[Product Id], tbl_Product[Name])</f>
        <v>MTG Aetherdrift Living Energy Precon</v>
      </c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19" s="6" t="b">
        <f>_xlfn.XLOOKUP(tbl_Sourcing[[#This Row],[Product Id]], tbl_Product[Product Id], tbl_Product[Is Set or Play Booster])</f>
        <v>0</v>
      </c>
      <c r="AX419" s="6" t="b">
        <f>_xlfn.XLOOKUP(tbl_Sourcing[[#This Row],[Product Id]], tbl_Product[Product Id], tbl_Product[Is Precon])</f>
        <v>1</v>
      </c>
    </row>
    <row r="420" spans="1:50">
      <c r="A420">
        <v>768</v>
      </c>
      <c r="B420">
        <v>70</v>
      </c>
      <c r="C420" t="s">
        <v>1969</v>
      </c>
      <c r="D420" s="8" t="s">
        <v>1972</v>
      </c>
      <c r="E420">
        <v>115</v>
      </c>
      <c r="F420" t="b">
        <v>1</v>
      </c>
      <c r="G420" s="6"/>
      <c r="J420" s="6" t="str">
        <f>_xlfn.XLOOKUP(tbl_Sourcing[[#This Row],[Product Id]], tbl_Product[Product Id], tbl_Product[Name])</f>
        <v>MTG Aetherdrift Play Booster Box</v>
      </c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0" s="6" t="b">
        <f>_xlfn.XLOOKUP(tbl_Sourcing[[#This Row],[Product Id]], tbl_Product[Product Id], tbl_Product[Is Set or Play Booster])</f>
        <v>1</v>
      </c>
      <c r="AX420" s="6" t="b">
        <f>_xlfn.XLOOKUP(tbl_Sourcing[[#This Row],[Product Id]], tbl_Product[Product Id], tbl_Product[Is Precon])</f>
        <v>0</v>
      </c>
    </row>
    <row r="421" spans="1:50">
      <c r="A421">
        <v>771</v>
      </c>
      <c r="B421">
        <v>63</v>
      </c>
      <c r="C421" t="s">
        <v>1969</v>
      </c>
      <c r="D421" s="8" t="s">
        <v>1973</v>
      </c>
      <c r="E421">
        <v>125</v>
      </c>
      <c r="F421" t="b">
        <v>1</v>
      </c>
      <c r="G421" s="6"/>
      <c r="J421" s="6" t="str">
        <f>_xlfn.XLOOKUP(tbl_Sourcing[[#This Row],[Product Id]], tbl_Product[Product Id], tbl_Product[Name])</f>
        <v>MTG Assassin's Creed Beyond Booster Box</v>
      </c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1" s="6" t="b">
        <f>_xlfn.XLOOKUP(tbl_Sourcing[[#This Row],[Product Id]], tbl_Product[Product Id], tbl_Product[Is Set or Play Booster])</f>
        <v>1</v>
      </c>
      <c r="AX421" s="6" t="b">
        <f>_xlfn.XLOOKUP(tbl_Sourcing[[#This Row],[Product Id]], tbl_Product[Product Id], tbl_Product[Is Precon])</f>
        <v>0</v>
      </c>
    </row>
    <row r="422" spans="1:50">
      <c r="A422">
        <v>635</v>
      </c>
      <c r="B422">
        <v>57</v>
      </c>
      <c r="C422" t="s">
        <v>1974</v>
      </c>
      <c r="D422" s="8" t="s">
        <v>1975</v>
      </c>
      <c r="E422">
        <v>143</v>
      </c>
      <c r="F422" t="b">
        <v>0</v>
      </c>
      <c r="G422" s="6"/>
      <c r="J422" s="6" t="str">
        <f>_xlfn.XLOOKUP(tbl_Sourcing[[#This Row],[Product Id]], tbl_Product[Product Id], tbl_Product[Name])</f>
        <v>MTG Avatar: The Last Airbender Play Booster Box</v>
      </c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2" s="6" t="b">
        <f>_xlfn.XLOOKUP(tbl_Sourcing[[#This Row],[Product Id]], tbl_Product[Product Id], tbl_Product[Is Set or Play Booster])</f>
        <v>1</v>
      </c>
      <c r="AX422" s="6" t="b">
        <f>_xlfn.XLOOKUP(tbl_Sourcing[[#This Row],[Product Id]], tbl_Product[Product Id], tbl_Product[Is Precon])</f>
        <v>0</v>
      </c>
    </row>
    <row r="423" spans="1:50">
      <c r="A423">
        <v>636</v>
      </c>
      <c r="B423">
        <v>79</v>
      </c>
      <c r="C423" t="s">
        <v>1974</v>
      </c>
      <c r="D423" s="8" t="s">
        <v>1976</v>
      </c>
      <c r="E423">
        <v>134</v>
      </c>
      <c r="F423" t="b">
        <v>0</v>
      </c>
      <c r="G423" s="6"/>
      <c r="J423" s="6" t="str">
        <f>_xlfn.XLOOKUP(tbl_Sourcing[[#This Row],[Product Id]], tbl_Product[Product Id], tbl_Product[Name])</f>
        <v>MTG Bloomburrow Play Booster Box</v>
      </c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3" s="6" t="b">
        <f>_xlfn.XLOOKUP(tbl_Sourcing[[#This Row],[Product Id]], tbl_Product[Product Id], tbl_Product[Is Set or Play Booster])</f>
        <v>1</v>
      </c>
      <c r="AX423" s="6" t="b">
        <f>_xlfn.XLOOKUP(tbl_Sourcing[[#This Row],[Product Id]], tbl_Product[Product Id], tbl_Product[Is Precon])</f>
        <v>0</v>
      </c>
    </row>
    <row r="424" spans="1:50">
      <c r="A424">
        <v>637</v>
      </c>
      <c r="B424">
        <v>52</v>
      </c>
      <c r="C424" t="s">
        <v>1974</v>
      </c>
      <c r="D424" s="8" t="s">
        <v>1977</v>
      </c>
      <c r="E424">
        <v>300</v>
      </c>
      <c r="F424" t="b">
        <v>0</v>
      </c>
      <c r="G424" s="6"/>
      <c r="J424" s="6" t="str">
        <f>_xlfn.XLOOKUP(tbl_Sourcing[[#This Row],[Product Id]], tbl_Product[Product Id], tbl_Product[Name])</f>
        <v>MTG Commander Masters Set Booster Box</v>
      </c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4" s="6" t="b">
        <f>_xlfn.XLOOKUP(tbl_Sourcing[[#This Row],[Product Id]], tbl_Product[Product Id], tbl_Product[Is Set or Play Booster])</f>
        <v>1</v>
      </c>
      <c r="AX424" s="6" t="b">
        <f>_xlfn.XLOOKUP(tbl_Sourcing[[#This Row],[Product Id]], tbl_Product[Product Id], tbl_Product[Is Precon])</f>
        <v>0</v>
      </c>
    </row>
    <row r="425" spans="1:50">
      <c r="A425">
        <v>638</v>
      </c>
      <c r="B425">
        <v>71</v>
      </c>
      <c r="C425" t="s">
        <v>1974</v>
      </c>
      <c r="D425" s="8" t="s">
        <v>1978</v>
      </c>
      <c r="E425">
        <v>133</v>
      </c>
      <c r="F425" t="b">
        <v>0</v>
      </c>
      <c r="G425" s="6"/>
      <c r="J425" s="6" t="str">
        <f>_xlfn.XLOOKUP(tbl_Sourcing[[#This Row],[Product Id]], tbl_Product[Product Id], tbl_Product[Name])</f>
        <v>MTG Duskmourn: House of Horror Play Booster Box</v>
      </c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5" s="6" t="b">
        <f>_xlfn.XLOOKUP(tbl_Sourcing[[#This Row],[Product Id]], tbl_Product[Product Id], tbl_Product[Is Set or Play Booster])</f>
        <v>1</v>
      </c>
      <c r="AX425" s="6" t="b">
        <f>_xlfn.XLOOKUP(tbl_Sourcing[[#This Row],[Product Id]], tbl_Product[Product Id], tbl_Product[Is Precon])</f>
        <v>0</v>
      </c>
    </row>
    <row r="426" spans="1:50">
      <c r="A426">
        <v>640</v>
      </c>
      <c r="B426">
        <v>98</v>
      </c>
      <c r="C426" t="s">
        <v>1974</v>
      </c>
      <c r="D426" s="8" t="s">
        <v>1979</v>
      </c>
      <c r="E426">
        <v>207</v>
      </c>
      <c r="F426" t="b">
        <v>0</v>
      </c>
      <c r="G426" s="6"/>
      <c r="J426" s="6" t="str">
        <f>_xlfn.XLOOKUP(tbl_Sourcing[[#This Row],[Product Id]], tbl_Product[Product Id], tbl_Product[Name])</f>
        <v>MTG Edge of Eternities Collector Booster Box</v>
      </c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6" s="6" t="b">
        <f>_xlfn.XLOOKUP(tbl_Sourcing[[#This Row],[Product Id]], tbl_Product[Product Id], tbl_Product[Is Set or Play Booster])</f>
        <v>0</v>
      </c>
      <c r="AX426" s="6" t="b">
        <f>_xlfn.XLOOKUP(tbl_Sourcing[[#This Row],[Product Id]], tbl_Product[Product Id], tbl_Product[Is Precon])</f>
        <v>0</v>
      </c>
    </row>
    <row r="427" spans="1:50">
      <c r="A427">
        <v>639</v>
      </c>
      <c r="B427">
        <v>65</v>
      </c>
      <c r="C427" t="s">
        <v>1974</v>
      </c>
      <c r="D427" s="8" t="s">
        <v>1980</v>
      </c>
      <c r="E427">
        <v>108</v>
      </c>
      <c r="F427" t="b">
        <v>0</v>
      </c>
      <c r="G427" s="6"/>
      <c r="J427" s="6" t="str">
        <f>_xlfn.XLOOKUP(tbl_Sourcing[[#This Row],[Product Id]], tbl_Product[Product Id], tbl_Product[Name])</f>
        <v>MTG Edge of Eternities Play Booster Box</v>
      </c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7" s="6" t="b">
        <f>_xlfn.XLOOKUP(tbl_Sourcing[[#This Row],[Product Id]], tbl_Product[Product Id], tbl_Product[Is Set or Play Booster])</f>
        <v>1</v>
      </c>
      <c r="AX427" s="6" t="b">
        <f>_xlfn.XLOOKUP(tbl_Sourcing[[#This Row],[Product Id]], tbl_Product[Product Id], tbl_Product[Is Precon])</f>
        <v>0</v>
      </c>
    </row>
    <row r="428" spans="1:50">
      <c r="A428">
        <v>641</v>
      </c>
      <c r="B428">
        <v>100</v>
      </c>
      <c r="C428" t="s">
        <v>1974</v>
      </c>
      <c r="D428" s="8" t="s">
        <v>1981</v>
      </c>
      <c r="E428">
        <v>334</v>
      </c>
      <c r="F428" t="b">
        <v>0</v>
      </c>
      <c r="G428" s="6"/>
      <c r="J428" s="6" t="str">
        <f>_xlfn.XLOOKUP(tbl_Sourcing[[#This Row],[Product Id]], tbl_Product[Product Id], tbl_Product[Name])</f>
        <v>MTG Final Fantasy Collector Booster Box</v>
      </c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8" s="6" t="b">
        <f>_xlfn.XLOOKUP(tbl_Sourcing[[#This Row],[Product Id]], tbl_Product[Product Id], tbl_Product[Is Set or Play Booster])</f>
        <v>0</v>
      </c>
      <c r="AX428" s="6" t="b">
        <f>_xlfn.XLOOKUP(tbl_Sourcing[[#This Row],[Product Id]], tbl_Product[Product Id], tbl_Product[Is Precon])</f>
        <v>0</v>
      </c>
    </row>
    <row r="429" spans="1:50">
      <c r="A429">
        <v>642</v>
      </c>
      <c r="B429">
        <v>78</v>
      </c>
      <c r="C429" t="s">
        <v>1974</v>
      </c>
      <c r="D429" s="8" t="s">
        <v>1982</v>
      </c>
      <c r="E429">
        <v>146</v>
      </c>
      <c r="F429" t="b">
        <v>0</v>
      </c>
      <c r="G429" s="6"/>
      <c r="J429" s="6" t="str">
        <f>_xlfn.XLOOKUP(tbl_Sourcing[[#This Row],[Product Id]], tbl_Product[Product Id], tbl_Product[Name])</f>
        <v>MTG Final Fantasy Play Booster Box</v>
      </c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29" s="6" t="b">
        <f>_xlfn.XLOOKUP(tbl_Sourcing[[#This Row],[Product Id]], tbl_Product[Product Id], tbl_Product[Is Set or Play Booster])</f>
        <v>1</v>
      </c>
      <c r="AX429" s="6" t="b">
        <f>_xlfn.XLOOKUP(tbl_Sourcing[[#This Row],[Product Id]], tbl_Product[Product Id], tbl_Product[Is Precon])</f>
        <v>0</v>
      </c>
    </row>
    <row r="430" spans="1:50">
      <c r="A430">
        <v>643</v>
      </c>
      <c r="B430">
        <v>69</v>
      </c>
      <c r="C430" t="s">
        <v>1974</v>
      </c>
      <c r="D430" s="8" t="s">
        <v>1983</v>
      </c>
      <c r="E430">
        <v>112</v>
      </c>
      <c r="F430" t="b">
        <v>0</v>
      </c>
      <c r="G430" s="6"/>
      <c r="J430" s="6" t="str">
        <f>_xlfn.XLOOKUP(tbl_Sourcing[[#This Row],[Product Id]], tbl_Product[Product Id], tbl_Product[Name])</f>
        <v>MTG Kamigawa: Neon Dynasty Set Booster Box</v>
      </c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0" s="6" t="b">
        <f>_xlfn.XLOOKUP(tbl_Sourcing[[#This Row],[Product Id]], tbl_Product[Product Id], tbl_Product[Is Set or Play Booster])</f>
        <v>1</v>
      </c>
      <c r="AX430" s="6" t="b">
        <f>_xlfn.XLOOKUP(tbl_Sourcing[[#This Row],[Product Id]], tbl_Product[Product Id], tbl_Product[Is Precon])</f>
        <v>0</v>
      </c>
    </row>
    <row r="431" spans="1:50">
      <c r="A431">
        <v>649</v>
      </c>
      <c r="B431">
        <v>236</v>
      </c>
      <c r="C431" t="s">
        <v>1974</v>
      </c>
      <c r="D431" s="8" t="s">
        <v>1984</v>
      </c>
      <c r="E431">
        <v>36</v>
      </c>
      <c r="F431" t="b">
        <v>0</v>
      </c>
      <c r="G431" s="6"/>
      <c r="J431" s="6" t="str">
        <f>_xlfn.XLOOKUP(tbl_Sourcing[[#This Row],[Product Id]], tbl_Product[Product Id], tbl_Product[Name])</f>
        <v>MTG Lorwyn Eclipsed Blight Curse Precon</v>
      </c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1" s="6" t="b">
        <f>_xlfn.XLOOKUP(tbl_Sourcing[[#This Row],[Product Id]], tbl_Product[Product Id], tbl_Product[Is Set or Play Booster])</f>
        <v>0</v>
      </c>
      <c r="AX431" s="6" t="b">
        <f>_xlfn.XLOOKUP(tbl_Sourcing[[#This Row],[Product Id]], tbl_Product[Product Id], tbl_Product[Is Precon])</f>
        <v>1</v>
      </c>
    </row>
    <row r="432" spans="1:50">
      <c r="A432">
        <v>648</v>
      </c>
      <c r="B432">
        <v>114</v>
      </c>
      <c r="C432" t="s">
        <v>1974</v>
      </c>
      <c r="D432" s="8" t="s">
        <v>1985</v>
      </c>
      <c r="E432">
        <v>247</v>
      </c>
      <c r="F432" t="b">
        <v>0</v>
      </c>
      <c r="G432" s="6"/>
      <c r="J432" s="6" t="str">
        <f>_xlfn.XLOOKUP(tbl_Sourcing[[#This Row],[Product Id]], tbl_Product[Product Id], tbl_Product[Name])</f>
        <v>MTG Lorwyn Eclipsed Collector Booster Box</v>
      </c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2" s="6" t="b">
        <f>_xlfn.XLOOKUP(tbl_Sourcing[[#This Row],[Product Id]], tbl_Product[Product Id], tbl_Product[Is Set or Play Booster])</f>
        <v>0</v>
      </c>
      <c r="AX432" s="6" t="b">
        <f>_xlfn.XLOOKUP(tbl_Sourcing[[#This Row],[Product Id]], tbl_Product[Product Id], tbl_Product[Is Precon])</f>
        <v>0</v>
      </c>
    </row>
    <row r="433" spans="1:50">
      <c r="A433">
        <v>650</v>
      </c>
      <c r="B433">
        <v>237</v>
      </c>
      <c r="C433" t="s">
        <v>1974</v>
      </c>
      <c r="D433" s="8" t="s">
        <v>1986</v>
      </c>
      <c r="E433">
        <v>36</v>
      </c>
      <c r="F433" t="b">
        <v>0</v>
      </c>
      <c r="G433" s="6"/>
      <c r="J433" s="6" t="str">
        <f>_xlfn.XLOOKUP(tbl_Sourcing[[#This Row],[Product Id]], tbl_Product[Product Id], tbl_Product[Name])</f>
        <v>MTG Lorwyn Eclipsed Dance of the Elements Precon</v>
      </c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3" s="6" t="b">
        <f>_xlfn.XLOOKUP(tbl_Sourcing[[#This Row],[Product Id]], tbl_Product[Product Id], tbl_Product[Is Set or Play Booster])</f>
        <v>0</v>
      </c>
      <c r="AX433" s="6" t="b">
        <f>_xlfn.XLOOKUP(tbl_Sourcing[[#This Row],[Product Id]], tbl_Product[Product Id], tbl_Product[Is Precon])</f>
        <v>1</v>
      </c>
    </row>
    <row r="434" spans="1:50">
      <c r="A434">
        <v>651</v>
      </c>
      <c r="B434">
        <v>49</v>
      </c>
      <c r="C434" t="s">
        <v>1974</v>
      </c>
      <c r="D434" s="8" t="s">
        <v>1987</v>
      </c>
      <c r="E434">
        <v>113</v>
      </c>
      <c r="F434" t="b">
        <v>0</v>
      </c>
      <c r="G434" s="6"/>
      <c r="J434" s="6" t="str">
        <f>_xlfn.XLOOKUP(tbl_Sourcing[[#This Row],[Product Id]], tbl_Product[Product Id], tbl_Product[Name])</f>
        <v>MTG Lorwyn Eclipsed Play Booster Box</v>
      </c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4" s="6" t="b">
        <f>_xlfn.XLOOKUP(tbl_Sourcing[[#This Row],[Product Id]], tbl_Product[Product Id], tbl_Product[Is Set or Play Booster])</f>
        <v>1</v>
      </c>
      <c r="AX434" s="6" t="b">
        <f>_xlfn.XLOOKUP(tbl_Sourcing[[#This Row],[Product Id]], tbl_Product[Product Id], tbl_Product[Is Precon])</f>
        <v>0</v>
      </c>
    </row>
    <row r="435" spans="1:50">
      <c r="A435">
        <v>645</v>
      </c>
      <c r="B435">
        <v>64</v>
      </c>
      <c r="C435" t="s">
        <v>1974</v>
      </c>
      <c r="D435" s="8" t="s">
        <v>1988</v>
      </c>
      <c r="E435">
        <v>142</v>
      </c>
      <c r="F435" t="b">
        <v>0</v>
      </c>
      <c r="G435" s="6"/>
      <c r="J435" s="6" t="str">
        <f>_xlfn.XLOOKUP(tbl_Sourcing[[#This Row],[Product Id]], tbl_Product[Product Id], tbl_Product[Name])</f>
        <v>MTG Marvel's Spider-Man Play Booster Box</v>
      </c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5" s="6" t="b">
        <f>_xlfn.XLOOKUP(tbl_Sourcing[[#This Row],[Product Id]], tbl_Product[Product Id], tbl_Product[Is Set or Play Booster])</f>
        <v>1</v>
      </c>
      <c r="AX435" s="6" t="b">
        <f>_xlfn.XLOOKUP(tbl_Sourcing[[#This Row],[Product Id]], tbl_Product[Product Id], tbl_Product[Is Precon])</f>
        <v>0</v>
      </c>
    </row>
    <row r="436" spans="1:50">
      <c r="A436">
        <v>646</v>
      </c>
      <c r="B436">
        <v>60</v>
      </c>
      <c r="C436" t="s">
        <v>1974</v>
      </c>
      <c r="D436" s="8" t="s">
        <v>1989</v>
      </c>
      <c r="E436">
        <v>250</v>
      </c>
      <c r="F436" t="b">
        <v>0</v>
      </c>
      <c r="G436" s="6"/>
      <c r="J436" s="6" t="str">
        <f>_xlfn.XLOOKUP(tbl_Sourcing[[#This Row],[Product Id]], tbl_Product[Product Id], tbl_Product[Name])</f>
        <v>MTG Modern Horizons 3 MH3 Play Booster Box</v>
      </c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6" s="6" t="b">
        <f>_xlfn.XLOOKUP(tbl_Sourcing[[#This Row],[Product Id]], tbl_Product[Product Id], tbl_Product[Is Set or Play Booster])</f>
        <v>1</v>
      </c>
      <c r="AX436" s="6" t="b">
        <f>_xlfn.XLOOKUP(tbl_Sourcing[[#This Row],[Product Id]], tbl_Product[Product Id], tbl_Product[Is Precon])</f>
        <v>0</v>
      </c>
    </row>
    <row r="437" spans="1:50">
      <c r="A437">
        <v>634</v>
      </c>
      <c r="B437">
        <v>42</v>
      </c>
      <c r="C437" t="s">
        <v>1974</v>
      </c>
      <c r="D437" s="8" t="s">
        <v>1990</v>
      </c>
      <c r="E437">
        <v>108</v>
      </c>
      <c r="F437" t="b">
        <v>0</v>
      </c>
      <c r="G437" s="6"/>
      <c r="J437" s="6" t="str">
        <f>_xlfn.XLOOKUP(tbl_Sourcing[[#This Row],[Product Id]], tbl_Product[Product Id], tbl_Product[Name])</f>
        <v>MTG Tarkir: Dragonstorm TDM Play Booster Box</v>
      </c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7" s="6" t="b">
        <f>_xlfn.XLOOKUP(tbl_Sourcing[[#This Row],[Product Id]], tbl_Product[Product Id], tbl_Product[Is Set or Play Booster])</f>
        <v>1</v>
      </c>
      <c r="AX437" s="6" t="b">
        <f>_xlfn.XLOOKUP(tbl_Sourcing[[#This Row],[Product Id]], tbl_Product[Product Id], tbl_Product[Is Precon])</f>
        <v>0</v>
      </c>
    </row>
    <row r="438" spans="1:50">
      <c r="A438">
        <v>633</v>
      </c>
      <c r="B438">
        <v>252</v>
      </c>
      <c r="C438" t="s">
        <v>1974</v>
      </c>
      <c r="D438" s="8" t="s">
        <v>1991</v>
      </c>
      <c r="E438">
        <v>336</v>
      </c>
      <c r="F438" t="b">
        <v>1</v>
      </c>
      <c r="G438" s="6"/>
      <c r="J438" s="6" t="str">
        <f>_xlfn.XLOOKUP(tbl_Sourcing[[#This Row],[Product Id]], tbl_Product[Product Id], tbl_Product[Name])</f>
        <v>MTG Teenage Mutant Ninja Turtles Collector Booster Box</v>
      </c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8" s="6" t="b">
        <f>_xlfn.XLOOKUP(tbl_Sourcing[[#This Row],[Product Id]], tbl_Product[Product Id], tbl_Product[Is Set or Play Booster])</f>
        <v>0</v>
      </c>
      <c r="AX438" s="6" t="b">
        <f>_xlfn.XLOOKUP(tbl_Sourcing[[#This Row],[Product Id]], tbl_Product[Product Id], tbl_Product[Is Precon])</f>
        <v>0</v>
      </c>
    </row>
    <row r="439" spans="1:50">
      <c r="A439">
        <v>632</v>
      </c>
      <c r="B439">
        <v>253</v>
      </c>
      <c r="C439" t="s">
        <v>1974</v>
      </c>
      <c r="D439" s="8" t="s">
        <v>1992</v>
      </c>
      <c r="E439">
        <v>131</v>
      </c>
      <c r="F439" t="b">
        <v>1</v>
      </c>
      <c r="G439" s="6"/>
      <c r="J439" s="6" t="str">
        <f>_xlfn.XLOOKUP(tbl_Sourcing[[#This Row],[Product Id]], tbl_Product[Product Id], tbl_Product[Name])</f>
        <v>MTG Teenage Mutant Ninja Turtles Play Booster Box</v>
      </c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39" s="6" t="b">
        <f>_xlfn.XLOOKUP(tbl_Sourcing[[#This Row],[Product Id]], tbl_Product[Product Id], tbl_Product[Is Set or Play Booster])</f>
        <v>1</v>
      </c>
      <c r="AX439" s="6" t="b">
        <f>_xlfn.XLOOKUP(tbl_Sourcing[[#This Row],[Product Id]], tbl_Product[Product Id], tbl_Product[Is Precon])</f>
        <v>0</v>
      </c>
    </row>
    <row r="440" spans="1:50">
      <c r="A440">
        <v>647</v>
      </c>
      <c r="B440">
        <v>253</v>
      </c>
      <c r="C440" t="s">
        <v>1974</v>
      </c>
      <c r="D440" s="8" t="s">
        <v>1992</v>
      </c>
      <c r="E440">
        <v>131</v>
      </c>
      <c r="F440" t="b">
        <v>1</v>
      </c>
      <c r="G440" s="6"/>
      <c r="J440" s="6" t="str">
        <f>_xlfn.XLOOKUP(tbl_Sourcing[[#This Row],[Product Id]], tbl_Product[Product Id], tbl_Product[Name])</f>
        <v>MTG Teenage Mutant Ninja Turtles Play Booster Box</v>
      </c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0" s="6" t="b">
        <f>_xlfn.XLOOKUP(tbl_Sourcing[[#This Row],[Product Id]], tbl_Product[Product Id], tbl_Product[Is Set or Play Booster])</f>
        <v>1</v>
      </c>
      <c r="AX440" s="6" t="b">
        <f>_xlfn.XLOOKUP(tbl_Sourcing[[#This Row],[Product Id]], tbl_Product[Product Id], tbl_Product[Is Precon])</f>
        <v>0</v>
      </c>
    </row>
    <row r="441" spans="1:50">
      <c r="A441">
        <v>644</v>
      </c>
      <c r="B441">
        <v>66</v>
      </c>
      <c r="C441" t="s">
        <v>1974</v>
      </c>
      <c r="D441" s="8" t="s">
        <v>1993</v>
      </c>
      <c r="E441">
        <v>159</v>
      </c>
      <c r="F441" t="b">
        <v>0</v>
      </c>
      <c r="G441" s="6"/>
      <c r="J441" s="6" t="str">
        <f>_xlfn.XLOOKUP(tbl_Sourcing[[#This Row],[Product Id]], tbl_Product[Product Id], tbl_Product[Name])</f>
        <v>MTG The Lord of the Rings: Tales of Middle-earth LTR Set Booster Box</v>
      </c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1" s="6" t="b">
        <f>_xlfn.XLOOKUP(tbl_Sourcing[[#This Row],[Product Id]], tbl_Product[Product Id], tbl_Product[Is Set or Play Booster])</f>
        <v>1</v>
      </c>
      <c r="AX441" s="6" t="b">
        <f>_xlfn.XLOOKUP(tbl_Sourcing[[#This Row],[Product Id]], tbl_Product[Product Id], tbl_Product[Is Precon])</f>
        <v>0</v>
      </c>
    </row>
    <row r="442" spans="1:50">
      <c r="A442">
        <v>676</v>
      </c>
      <c r="B442">
        <v>84</v>
      </c>
      <c r="C442" t="s">
        <v>1994</v>
      </c>
      <c r="D442" s="8" t="s">
        <v>1995</v>
      </c>
      <c r="E442">
        <v>220</v>
      </c>
      <c r="F442" t="b">
        <v>1</v>
      </c>
      <c r="G442" s="6"/>
      <c r="J442" s="6" t="str">
        <f>_xlfn.XLOOKUP(tbl_Sourcing[[#This Row],[Product Id]], tbl_Product[Product Id], tbl_Product[Name])</f>
        <v>MTG Aetherdrift Collector Booster Box</v>
      </c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2" s="6" t="b">
        <f>_xlfn.XLOOKUP(tbl_Sourcing[[#This Row],[Product Id]], tbl_Product[Product Id], tbl_Product[Is Set or Play Booster])</f>
        <v>0</v>
      </c>
      <c r="AX442" s="6" t="b">
        <f>_xlfn.XLOOKUP(tbl_Sourcing[[#This Row],[Product Id]], tbl_Product[Product Id], tbl_Product[Is Precon])</f>
        <v>0</v>
      </c>
    </row>
    <row r="443" spans="1:50">
      <c r="A443">
        <v>677</v>
      </c>
      <c r="B443">
        <v>88</v>
      </c>
      <c r="C443" t="s">
        <v>1994</v>
      </c>
      <c r="D443" s="8" t="s">
        <v>1996</v>
      </c>
      <c r="E443">
        <v>415</v>
      </c>
      <c r="F443" t="b">
        <v>1</v>
      </c>
      <c r="G443" s="6"/>
      <c r="J443" s="6" t="str">
        <f>_xlfn.XLOOKUP(tbl_Sourcing[[#This Row],[Product Id]], tbl_Product[Product Id], tbl_Product[Name])</f>
        <v>MTG Avatar: The Last Airbender Collector Booster Box</v>
      </c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3" s="6" t="b">
        <f>_xlfn.XLOOKUP(tbl_Sourcing[[#This Row],[Product Id]], tbl_Product[Product Id], tbl_Product[Is Set or Play Booster])</f>
        <v>0</v>
      </c>
      <c r="AX443" s="6" t="b">
        <f>_xlfn.XLOOKUP(tbl_Sourcing[[#This Row],[Product Id]], tbl_Product[Product Id], tbl_Product[Is Precon])</f>
        <v>0</v>
      </c>
    </row>
    <row r="444" spans="1:50">
      <c r="A444">
        <v>678</v>
      </c>
      <c r="B444">
        <v>90</v>
      </c>
      <c r="C444" t="s">
        <v>1994</v>
      </c>
      <c r="D444" s="8" t="s">
        <v>1997</v>
      </c>
      <c r="E444">
        <v>245</v>
      </c>
      <c r="F444" t="b">
        <v>0</v>
      </c>
      <c r="G444" s="6"/>
      <c r="J444" s="6" t="str">
        <f>_xlfn.XLOOKUP(tbl_Sourcing[[#This Row],[Product Id]], tbl_Product[Product Id], tbl_Product[Name])</f>
        <v>MTG Bloomburrow Collector Booster Box</v>
      </c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4" s="6" t="b">
        <f>_xlfn.XLOOKUP(tbl_Sourcing[[#This Row],[Product Id]], tbl_Product[Product Id], tbl_Product[Is Set or Play Booster])</f>
        <v>0</v>
      </c>
      <c r="AX444" s="6" t="b">
        <f>_xlfn.XLOOKUP(tbl_Sourcing[[#This Row],[Product Id]], tbl_Product[Product Id], tbl_Product[Is Precon])</f>
        <v>0</v>
      </c>
    </row>
    <row r="445" spans="1:50">
      <c r="A445">
        <v>559</v>
      </c>
      <c r="B445">
        <v>79</v>
      </c>
      <c r="C445" t="s">
        <v>1994</v>
      </c>
      <c r="D445" s="8" t="s">
        <v>1998</v>
      </c>
      <c r="E445">
        <v>137</v>
      </c>
      <c r="F445" t="b">
        <v>0</v>
      </c>
      <c r="G445" s="6"/>
      <c r="J445" s="6" t="str">
        <f>_xlfn.XLOOKUP(tbl_Sourcing[[#This Row],[Product Id]], tbl_Product[Product Id], tbl_Product[Name])</f>
        <v>MTG Bloomburrow Play Booster Box</v>
      </c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445" s="6" t="b">
        <f>_xlfn.XLOOKUP(tbl_Sourcing[[#This Row],[Product Id]], tbl_Product[Product Id], tbl_Product[Is Set or Play Booster])</f>
        <v>1</v>
      </c>
      <c r="AX445" s="6" t="b">
        <f>_xlfn.XLOOKUP(tbl_Sourcing[[#This Row],[Product Id]], tbl_Product[Product Id], tbl_Product[Is Precon])</f>
        <v>0</v>
      </c>
    </row>
    <row r="446" spans="1:50">
      <c r="A446">
        <v>679</v>
      </c>
      <c r="B446">
        <v>92</v>
      </c>
      <c r="C446" t="s">
        <v>1994</v>
      </c>
      <c r="D446" s="8" t="s">
        <v>1999</v>
      </c>
      <c r="E446">
        <v>210</v>
      </c>
      <c r="F446" t="b">
        <v>0</v>
      </c>
      <c r="G446" s="6"/>
      <c r="J446" s="6" t="str">
        <f>_xlfn.XLOOKUP(tbl_Sourcing[[#This Row],[Product Id]], tbl_Product[Product Id], tbl_Product[Name])</f>
        <v>MTG Commander Masters Collector Booster Box</v>
      </c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6" s="6" t="b">
        <f>_xlfn.XLOOKUP(tbl_Sourcing[[#This Row],[Product Id]], tbl_Product[Product Id], tbl_Product[Is Set or Play Booster])</f>
        <v>0</v>
      </c>
      <c r="AX446" s="6" t="b">
        <f>_xlfn.XLOOKUP(tbl_Sourcing[[#This Row],[Product Id]], tbl_Product[Product Id], tbl_Product[Is Precon])</f>
        <v>0</v>
      </c>
    </row>
    <row r="447" spans="1:50">
      <c r="A447">
        <v>680</v>
      </c>
      <c r="B447">
        <v>52</v>
      </c>
      <c r="C447" t="s">
        <v>1994</v>
      </c>
      <c r="D447" s="8" t="s">
        <v>2000</v>
      </c>
      <c r="E447">
        <v>380</v>
      </c>
      <c r="F447" t="b">
        <v>1</v>
      </c>
      <c r="G447" s="6"/>
      <c r="J447" s="6" t="str">
        <f>_xlfn.XLOOKUP(tbl_Sourcing[[#This Row],[Product Id]], tbl_Product[Product Id], tbl_Product[Name])</f>
        <v>MTG Commander Masters Set Booster Box</v>
      </c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7" s="6" t="b">
        <f>_xlfn.XLOOKUP(tbl_Sourcing[[#This Row],[Product Id]], tbl_Product[Product Id], tbl_Product[Is Set or Play Booster])</f>
        <v>1</v>
      </c>
      <c r="AX447" s="6" t="b">
        <f>_xlfn.XLOOKUP(tbl_Sourcing[[#This Row],[Product Id]], tbl_Product[Product Id], tbl_Product[Is Precon])</f>
        <v>0</v>
      </c>
    </row>
    <row r="448" spans="1:50">
      <c r="A448">
        <v>681</v>
      </c>
      <c r="B448">
        <v>94</v>
      </c>
      <c r="C448" t="s">
        <v>1994</v>
      </c>
      <c r="D448" s="8" t="s">
        <v>2001</v>
      </c>
      <c r="E448">
        <v>230</v>
      </c>
      <c r="F448" t="b">
        <v>1</v>
      </c>
      <c r="G448" s="6"/>
      <c r="J448" s="6" t="str">
        <f>_xlfn.XLOOKUP(tbl_Sourcing[[#This Row],[Product Id]], tbl_Product[Product Id], tbl_Product[Name])</f>
        <v>MTG Dominaria United DMU Collector Booster Box</v>
      </c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8" s="6" t="b">
        <f>_xlfn.XLOOKUP(tbl_Sourcing[[#This Row],[Product Id]], tbl_Product[Product Id], tbl_Product[Is Set or Play Booster])</f>
        <v>0</v>
      </c>
      <c r="AX448" s="6" t="b">
        <f>_xlfn.XLOOKUP(tbl_Sourcing[[#This Row],[Product Id]], tbl_Product[Product Id], tbl_Product[Is Precon])</f>
        <v>0</v>
      </c>
    </row>
    <row r="449" spans="1:50">
      <c r="A449">
        <v>674</v>
      </c>
      <c r="B449">
        <v>140</v>
      </c>
      <c r="C449" t="s">
        <v>1994</v>
      </c>
      <c r="D449" s="8" t="s">
        <v>2002</v>
      </c>
      <c r="E449">
        <v>400</v>
      </c>
      <c r="F449" t="b">
        <v>0</v>
      </c>
      <c r="G449" s="6"/>
      <c r="J449" s="6" t="str">
        <f>_xlfn.XLOOKUP(tbl_Sourcing[[#This Row],[Product Id]], tbl_Product[Product Id], tbl_Product[Name])</f>
        <v>MTG The Lord of the Rings: Tales of Middle-earth LTR Collector Booster Box</v>
      </c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49" s="6" t="b">
        <f>_xlfn.XLOOKUP(tbl_Sourcing[[#This Row],[Product Id]], tbl_Product[Product Id], tbl_Product[Is Set or Play Booster])</f>
        <v>0</v>
      </c>
      <c r="AX449" s="6" t="b">
        <f>_xlfn.XLOOKUP(tbl_Sourcing[[#This Row],[Product Id]], tbl_Product[Product Id], tbl_Product[Is Precon])</f>
        <v>0</v>
      </c>
    </row>
    <row r="450" spans="1:50">
      <c r="A450">
        <v>675</v>
      </c>
      <c r="B450">
        <v>66</v>
      </c>
      <c r="C450" t="s">
        <v>1994</v>
      </c>
      <c r="D450" s="8" t="s">
        <v>2003</v>
      </c>
      <c r="E450">
        <v>173</v>
      </c>
      <c r="F450" t="b">
        <v>0</v>
      </c>
      <c r="G450" s="6"/>
      <c r="J450" s="6" t="str">
        <f>_xlfn.XLOOKUP(tbl_Sourcing[[#This Row],[Product Id]], tbl_Product[Product Id], tbl_Product[Name])</f>
        <v>MTG The Lord of the Rings: Tales of Middle-earth LTR Set Booster Box</v>
      </c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0" s="6" t="b">
        <f>_xlfn.XLOOKUP(tbl_Sourcing[[#This Row],[Product Id]], tbl_Product[Product Id], tbl_Product[Is Set or Play Booster])</f>
        <v>1</v>
      </c>
      <c r="AX450" s="6" t="b">
        <f>_xlfn.XLOOKUP(tbl_Sourcing[[#This Row],[Product Id]], tbl_Product[Product Id], tbl_Product[Is Precon])</f>
        <v>0</v>
      </c>
    </row>
    <row r="451" spans="1:50">
      <c r="A451">
        <v>901</v>
      </c>
      <c r="B451">
        <v>84</v>
      </c>
      <c r="C451" t="s">
        <v>2004</v>
      </c>
      <c r="D451" s="8" t="s">
        <v>2005</v>
      </c>
      <c r="F451" t="b">
        <v>0</v>
      </c>
      <c r="G451" s="6"/>
      <c r="J451" s="6" t="str">
        <f>_xlfn.XLOOKUP(tbl_Sourcing[[#This Row],[Product Id]], tbl_Product[Product Id], tbl_Product[Name])</f>
        <v>MTG Aetherdrift Collector Booster Box</v>
      </c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1" s="6" t="b">
        <f>_xlfn.XLOOKUP(tbl_Sourcing[[#This Row],[Product Id]], tbl_Product[Product Id], tbl_Product[Is Set or Play Booster])</f>
        <v>0</v>
      </c>
      <c r="AX451" s="6" t="b">
        <f>_xlfn.XLOOKUP(tbl_Sourcing[[#This Row],[Product Id]], tbl_Product[Product Id], tbl_Product[Is Precon])</f>
        <v>0</v>
      </c>
    </row>
    <row r="452" spans="1:50">
      <c r="A452">
        <v>902</v>
      </c>
      <c r="B452">
        <v>160</v>
      </c>
      <c r="C452" t="s">
        <v>2004</v>
      </c>
      <c r="D452" s="8" t="s">
        <v>2006</v>
      </c>
      <c r="E452">
        <v>41</v>
      </c>
      <c r="F452" t="b">
        <v>1</v>
      </c>
      <c r="G452" s="6"/>
      <c r="J452" s="6" t="str">
        <f>_xlfn.XLOOKUP(tbl_Sourcing[[#This Row],[Product Id]], tbl_Product[Product Id], tbl_Product[Name])</f>
        <v>MTG Aetherdrift Eternal Might Precon</v>
      </c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2" s="6" t="b">
        <f>_xlfn.XLOOKUP(tbl_Sourcing[[#This Row],[Product Id]], tbl_Product[Product Id], tbl_Product[Is Set or Play Booster])</f>
        <v>0</v>
      </c>
      <c r="AX452" s="6" t="b">
        <f>_xlfn.XLOOKUP(tbl_Sourcing[[#This Row],[Product Id]], tbl_Product[Product Id], tbl_Product[Is Precon])</f>
        <v>1</v>
      </c>
    </row>
    <row r="453" spans="1:50">
      <c r="A453">
        <v>903</v>
      </c>
      <c r="B453">
        <v>161</v>
      </c>
      <c r="C453" t="s">
        <v>2004</v>
      </c>
      <c r="D453" s="8" t="s">
        <v>2007</v>
      </c>
      <c r="E453">
        <v>41</v>
      </c>
      <c r="F453" t="b">
        <v>1</v>
      </c>
      <c r="G453" s="6"/>
      <c r="J453" s="6" t="str">
        <f>_xlfn.XLOOKUP(tbl_Sourcing[[#This Row],[Product Id]], tbl_Product[Product Id], tbl_Product[Name])</f>
        <v>MTG Aetherdrift Living Energy Precon</v>
      </c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3" s="6" t="b">
        <f>_xlfn.XLOOKUP(tbl_Sourcing[[#This Row],[Product Id]], tbl_Product[Product Id], tbl_Product[Is Set or Play Booster])</f>
        <v>0</v>
      </c>
      <c r="AX453" s="6" t="b">
        <f>_xlfn.XLOOKUP(tbl_Sourcing[[#This Row],[Product Id]], tbl_Product[Product Id], tbl_Product[Is Precon])</f>
        <v>1</v>
      </c>
    </row>
    <row r="454" spans="1:50">
      <c r="A454">
        <v>904</v>
      </c>
      <c r="B454">
        <v>70</v>
      </c>
      <c r="C454" t="s">
        <v>2004</v>
      </c>
      <c r="D454" s="8" t="s">
        <v>2008</v>
      </c>
      <c r="F454" t="b">
        <v>0</v>
      </c>
      <c r="G454" s="6"/>
      <c r="J454" s="6" t="str">
        <f>_xlfn.XLOOKUP(tbl_Sourcing[[#This Row],[Product Id]], tbl_Product[Product Id], tbl_Product[Name])</f>
        <v>MTG Aetherdrift Play Booster Box</v>
      </c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4" s="6" t="b">
        <f>_xlfn.XLOOKUP(tbl_Sourcing[[#This Row],[Product Id]], tbl_Product[Product Id], tbl_Product[Is Set or Play Booster])</f>
        <v>1</v>
      </c>
      <c r="AX454" s="6" t="b">
        <f>_xlfn.XLOOKUP(tbl_Sourcing[[#This Row],[Product Id]], tbl_Product[Product Id], tbl_Product[Is Precon])</f>
        <v>0</v>
      </c>
    </row>
    <row r="455" spans="1:50">
      <c r="A455">
        <v>905</v>
      </c>
      <c r="B455">
        <v>57</v>
      </c>
      <c r="C455" t="s">
        <v>2004</v>
      </c>
      <c r="D455" s="8" t="s">
        <v>2009</v>
      </c>
      <c r="E455">
        <v>179</v>
      </c>
      <c r="F455" t="b">
        <v>1</v>
      </c>
      <c r="G455" s="6"/>
      <c r="J455" s="6" t="str">
        <f>_xlfn.XLOOKUP(tbl_Sourcing[[#This Row],[Product Id]], tbl_Product[Product Id], tbl_Product[Name])</f>
        <v>MTG Avatar: The Last Airbender Play Booster Box</v>
      </c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5" s="6" t="b">
        <f>_xlfn.XLOOKUP(tbl_Sourcing[[#This Row],[Product Id]], tbl_Product[Product Id], tbl_Product[Is Set or Play Booster])</f>
        <v>1</v>
      </c>
      <c r="AX455" s="6" t="b">
        <f>_xlfn.XLOOKUP(tbl_Sourcing[[#This Row],[Product Id]], tbl_Product[Product Id], tbl_Product[Is Precon])</f>
        <v>0</v>
      </c>
    </row>
    <row r="456" spans="1:50">
      <c r="A456">
        <v>906</v>
      </c>
      <c r="B456">
        <v>71</v>
      </c>
      <c r="C456" t="s">
        <v>2004</v>
      </c>
      <c r="D456" s="8" t="s">
        <v>2010</v>
      </c>
      <c r="F456" t="b">
        <v>0</v>
      </c>
      <c r="G456" s="6"/>
      <c r="J456" s="6" t="str">
        <f>_xlfn.XLOOKUP(tbl_Sourcing[[#This Row],[Product Id]], tbl_Product[Product Id], tbl_Product[Name])</f>
        <v>MTG Duskmourn: House of Horror Play Booster Box</v>
      </c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6" s="6" t="b">
        <f>_xlfn.XLOOKUP(tbl_Sourcing[[#This Row],[Product Id]], tbl_Product[Product Id], tbl_Product[Is Set or Play Booster])</f>
        <v>1</v>
      </c>
      <c r="AX456" s="6" t="b">
        <f>_xlfn.XLOOKUP(tbl_Sourcing[[#This Row],[Product Id]], tbl_Product[Product Id], tbl_Product[Is Precon])</f>
        <v>0</v>
      </c>
    </row>
    <row r="457" spans="1:50">
      <c r="A457">
        <v>907</v>
      </c>
      <c r="B457">
        <v>98</v>
      </c>
      <c r="C457" t="s">
        <v>2004</v>
      </c>
      <c r="D457" s="8" t="s">
        <v>2011</v>
      </c>
      <c r="F457" t="b">
        <v>0</v>
      </c>
      <c r="G457" s="6"/>
      <c r="J457" s="6" t="str">
        <f>_xlfn.XLOOKUP(tbl_Sourcing[[#This Row],[Product Id]], tbl_Product[Product Id], tbl_Product[Name])</f>
        <v>MTG Edge of Eternities Collector Booster Box</v>
      </c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7" s="6" t="b">
        <f>_xlfn.XLOOKUP(tbl_Sourcing[[#This Row],[Product Id]], tbl_Product[Product Id], tbl_Product[Is Set or Play Booster])</f>
        <v>0</v>
      </c>
      <c r="AX457" s="6" t="b">
        <f>_xlfn.XLOOKUP(tbl_Sourcing[[#This Row],[Product Id]], tbl_Product[Product Id], tbl_Product[Is Precon])</f>
        <v>0</v>
      </c>
    </row>
    <row r="458" spans="1:50">
      <c r="A458">
        <v>908</v>
      </c>
      <c r="B458">
        <v>150</v>
      </c>
      <c r="C458" t="s">
        <v>2004</v>
      </c>
      <c r="D458" s="8" t="s">
        <v>2012</v>
      </c>
      <c r="E458">
        <v>45</v>
      </c>
      <c r="F458" t="b">
        <v>1</v>
      </c>
      <c r="G458" s="6"/>
      <c r="J458" s="6" t="str">
        <f>_xlfn.XLOOKUP(tbl_Sourcing[[#This Row],[Product Id]], tbl_Product[Product Id], tbl_Product[Name])</f>
        <v>MTG Edge of Eternities Counter Intelligence Precon</v>
      </c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8" s="6" t="b">
        <f>_xlfn.XLOOKUP(tbl_Sourcing[[#This Row],[Product Id]], tbl_Product[Product Id], tbl_Product[Is Set or Play Booster])</f>
        <v>0</v>
      </c>
      <c r="AX458" s="6" t="b">
        <f>_xlfn.XLOOKUP(tbl_Sourcing[[#This Row],[Product Id]], tbl_Product[Product Id], tbl_Product[Is Precon])</f>
        <v>1</v>
      </c>
    </row>
    <row r="459" spans="1:50">
      <c r="A459">
        <v>910</v>
      </c>
      <c r="B459">
        <v>65</v>
      </c>
      <c r="C459" t="s">
        <v>2004</v>
      </c>
      <c r="D459" s="8" t="s">
        <v>2013</v>
      </c>
      <c r="E459">
        <v>165</v>
      </c>
      <c r="F459" t="b">
        <v>1</v>
      </c>
      <c r="G459" s="6"/>
      <c r="J459" s="6" t="str">
        <f>_xlfn.XLOOKUP(tbl_Sourcing[[#This Row],[Product Id]], tbl_Product[Product Id], tbl_Product[Name])</f>
        <v>MTG Edge of Eternities Play Booster Box</v>
      </c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59" s="6" t="b">
        <f>_xlfn.XLOOKUP(tbl_Sourcing[[#This Row],[Product Id]], tbl_Product[Product Id], tbl_Product[Is Set or Play Booster])</f>
        <v>1</v>
      </c>
      <c r="AX459" s="6" t="b">
        <f>_xlfn.XLOOKUP(tbl_Sourcing[[#This Row],[Product Id]], tbl_Product[Product Id], tbl_Product[Is Precon])</f>
        <v>0</v>
      </c>
    </row>
    <row r="460" spans="1:50">
      <c r="A460">
        <v>909</v>
      </c>
      <c r="B460">
        <v>149</v>
      </c>
      <c r="C460" t="s">
        <v>2004</v>
      </c>
      <c r="D460" s="8" t="s">
        <v>2014</v>
      </c>
      <c r="F460" t="b">
        <v>0</v>
      </c>
      <c r="G460" s="6"/>
      <c r="J460" s="6" t="str">
        <f>_xlfn.XLOOKUP(tbl_Sourcing[[#This Row],[Product Id]], tbl_Product[Product Id], tbl_Product[Name])</f>
        <v>MTG Edge of Eternities World Shaper Precon</v>
      </c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0" s="6" t="b">
        <f>_xlfn.XLOOKUP(tbl_Sourcing[[#This Row],[Product Id]], tbl_Product[Product Id], tbl_Product[Is Set or Play Booster])</f>
        <v>0</v>
      </c>
      <c r="AX460" s="6" t="b">
        <f>_xlfn.XLOOKUP(tbl_Sourcing[[#This Row],[Product Id]], tbl_Product[Product Id], tbl_Product[Is Precon])</f>
        <v>1</v>
      </c>
    </row>
    <row r="461" spans="1:50">
      <c r="A461">
        <v>918</v>
      </c>
      <c r="B461">
        <v>78</v>
      </c>
      <c r="C461" t="s">
        <v>2004</v>
      </c>
      <c r="D461" s="8" t="s">
        <v>2015</v>
      </c>
      <c r="E461">
        <v>225</v>
      </c>
      <c r="F461" t="b">
        <v>1</v>
      </c>
      <c r="G461" s="6"/>
      <c r="J461" s="6" t="str">
        <f>_xlfn.XLOOKUP(tbl_Sourcing[[#This Row],[Product Id]], tbl_Product[Product Id], tbl_Product[Name])</f>
        <v>MTG Final Fantasy Play Booster Box</v>
      </c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1" s="6" t="b">
        <f>_xlfn.XLOOKUP(tbl_Sourcing[[#This Row],[Product Id]], tbl_Product[Product Id], tbl_Product[Is Set or Play Booster])</f>
        <v>1</v>
      </c>
      <c r="AX461" s="6" t="b">
        <f>_xlfn.XLOOKUP(tbl_Sourcing[[#This Row],[Product Id]], tbl_Product[Product Id], tbl_Product[Is Precon])</f>
        <v>0</v>
      </c>
    </row>
    <row r="462" spans="1:50">
      <c r="A462">
        <v>919</v>
      </c>
      <c r="B462">
        <v>151</v>
      </c>
      <c r="C462" t="s">
        <v>2004</v>
      </c>
      <c r="D462" s="8" t="s">
        <v>2016</v>
      </c>
      <c r="E462">
        <v>46</v>
      </c>
      <c r="F462" t="b">
        <v>1</v>
      </c>
      <c r="G462" s="6"/>
      <c r="J462" s="6" t="str">
        <f>_xlfn.XLOOKUP(tbl_Sourcing[[#This Row],[Product Id]], tbl_Product[Product Id], tbl_Product[Name])</f>
        <v>MTG Final Fantasy Revival Trance Precon</v>
      </c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2" s="6" t="b">
        <f>_xlfn.XLOOKUP(tbl_Sourcing[[#This Row],[Product Id]], tbl_Product[Product Id], tbl_Product[Is Set or Play Booster])</f>
        <v>0</v>
      </c>
      <c r="AX462" s="6" t="b">
        <f>_xlfn.XLOOKUP(tbl_Sourcing[[#This Row],[Product Id]], tbl_Product[Product Id], tbl_Product[Is Precon])</f>
        <v>1</v>
      </c>
    </row>
    <row r="463" spans="1:50">
      <c r="A463">
        <v>930</v>
      </c>
      <c r="B463">
        <v>102</v>
      </c>
      <c r="C463" t="s">
        <v>2004</v>
      </c>
      <c r="D463" s="8" t="s">
        <v>2017</v>
      </c>
      <c r="F463" t="b">
        <v>0</v>
      </c>
      <c r="G463" s="6"/>
      <c r="J463" s="6" t="str">
        <f>_xlfn.XLOOKUP(tbl_Sourcing[[#This Row],[Product Id]], tbl_Product[Product Id], tbl_Product[Name])</f>
        <v>MTG Foundations Collector Booster Box</v>
      </c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3" s="6" t="b">
        <f>_xlfn.XLOOKUP(tbl_Sourcing[[#This Row],[Product Id]], tbl_Product[Product Id], tbl_Product[Is Set or Play Booster])</f>
        <v>0</v>
      </c>
      <c r="AX463" s="6" t="b">
        <f>_xlfn.XLOOKUP(tbl_Sourcing[[#This Row],[Product Id]], tbl_Product[Product Id], tbl_Product[Is Precon])</f>
        <v>0</v>
      </c>
    </row>
    <row r="464" spans="1:50">
      <c r="A464">
        <v>917</v>
      </c>
      <c r="B464">
        <v>48</v>
      </c>
      <c r="C464" t="s">
        <v>2004</v>
      </c>
      <c r="D464" s="8" t="s">
        <v>2018</v>
      </c>
      <c r="E464">
        <v>189</v>
      </c>
      <c r="F464" t="b">
        <v>1</v>
      </c>
      <c r="G464" s="6"/>
      <c r="J464" s="6" t="str">
        <f>_xlfn.XLOOKUP(tbl_Sourcing[[#This Row],[Product Id]], tbl_Product[Product Id], tbl_Product[Name])</f>
        <v>MTG Innistrad Remastered INR Play Booster Box</v>
      </c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4" s="6" t="b">
        <f>_xlfn.XLOOKUP(tbl_Sourcing[[#This Row],[Product Id]], tbl_Product[Product Id], tbl_Product[Is Set or Play Booster])</f>
        <v>1</v>
      </c>
      <c r="AX464" s="6" t="b">
        <f>_xlfn.XLOOKUP(tbl_Sourcing[[#This Row],[Product Id]], tbl_Product[Product Id], tbl_Product[Is Precon])</f>
        <v>0</v>
      </c>
    </row>
    <row r="465" spans="1:50">
      <c r="A465">
        <v>931</v>
      </c>
      <c r="B465">
        <v>116</v>
      </c>
      <c r="C465" t="s">
        <v>2004</v>
      </c>
      <c r="D465" s="8" t="s">
        <v>2019</v>
      </c>
      <c r="F465" t="b">
        <v>0</v>
      </c>
      <c r="G465" s="6"/>
      <c r="J465" s="6" t="str">
        <f>_xlfn.XLOOKUP(tbl_Sourcing[[#This Row],[Product Id]], tbl_Product[Product Id], tbl_Product[Name])</f>
        <v>MTG March of the Machine MOM Collector Booster Box</v>
      </c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5" s="6" t="b">
        <f>_xlfn.XLOOKUP(tbl_Sourcing[[#This Row],[Product Id]], tbl_Product[Product Id], tbl_Product[Is Set or Play Booster])</f>
        <v>0</v>
      </c>
      <c r="AX465" s="6" t="b">
        <f>_xlfn.XLOOKUP(tbl_Sourcing[[#This Row],[Product Id]], tbl_Product[Product Id], tbl_Product[Is Precon])</f>
        <v>0</v>
      </c>
    </row>
    <row r="466" spans="1:50">
      <c r="A466">
        <v>932</v>
      </c>
      <c r="B466">
        <v>59</v>
      </c>
      <c r="C466" t="s">
        <v>2004</v>
      </c>
      <c r="D466" s="8" t="s">
        <v>2020</v>
      </c>
      <c r="F466" t="b">
        <v>0</v>
      </c>
      <c r="G466" s="6"/>
      <c r="J466" s="6" t="str">
        <f>_xlfn.XLOOKUP(tbl_Sourcing[[#This Row],[Product Id]], tbl_Product[Product Id], tbl_Product[Name])</f>
        <v>MTG March of the Machine MOM Set Booster Box</v>
      </c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6" s="6" t="b">
        <f>_xlfn.XLOOKUP(tbl_Sourcing[[#This Row],[Product Id]], tbl_Product[Product Id], tbl_Product[Is Set or Play Booster])</f>
        <v>1</v>
      </c>
      <c r="AX466" s="6" t="b">
        <f>_xlfn.XLOOKUP(tbl_Sourcing[[#This Row],[Product Id]], tbl_Product[Product Id], tbl_Product[Is Precon])</f>
        <v>0</v>
      </c>
    </row>
    <row r="467" spans="1:50">
      <c r="A467">
        <v>913</v>
      </c>
      <c r="B467">
        <v>118</v>
      </c>
      <c r="C467" t="s">
        <v>2004</v>
      </c>
      <c r="D467" s="8" t="s">
        <v>2021</v>
      </c>
      <c r="E467">
        <v>434</v>
      </c>
      <c r="F467" t="b">
        <v>1</v>
      </c>
      <c r="G467" s="6"/>
      <c r="J467" s="6" t="str">
        <f>_xlfn.XLOOKUP(tbl_Sourcing[[#This Row],[Product Id]], tbl_Product[Product Id], tbl_Product[Name])</f>
        <v>MTG Marvel's Spider-Man Collector Booster Box</v>
      </c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7" s="6" t="b">
        <f>_xlfn.XLOOKUP(tbl_Sourcing[[#This Row],[Product Id]], tbl_Product[Product Id], tbl_Product[Is Set or Play Booster])</f>
        <v>0</v>
      </c>
      <c r="AX467" s="6" t="b">
        <f>_xlfn.XLOOKUP(tbl_Sourcing[[#This Row],[Product Id]], tbl_Product[Product Id], tbl_Product[Is Precon])</f>
        <v>0</v>
      </c>
    </row>
    <row r="468" spans="1:50">
      <c r="A468">
        <v>914</v>
      </c>
      <c r="B468">
        <v>64</v>
      </c>
      <c r="C468" t="s">
        <v>2004</v>
      </c>
      <c r="D468" s="8" t="s">
        <v>2022</v>
      </c>
      <c r="E468">
        <v>105</v>
      </c>
      <c r="F468" t="b">
        <v>1</v>
      </c>
      <c r="G468" s="6"/>
      <c r="J468" s="6" t="str">
        <f>_xlfn.XLOOKUP(tbl_Sourcing[[#This Row],[Product Id]], tbl_Product[Product Id], tbl_Product[Name])</f>
        <v>MTG Marvel's Spider-Man Play Booster Box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8" s="6" t="b">
        <f>_xlfn.XLOOKUP(tbl_Sourcing[[#This Row],[Product Id]], tbl_Product[Product Id], tbl_Product[Is Set or Play Booster])</f>
        <v>1</v>
      </c>
      <c r="AX468" s="6" t="b">
        <f>_xlfn.XLOOKUP(tbl_Sourcing[[#This Row],[Product Id]], tbl_Product[Product Id], tbl_Product[Is Precon])</f>
        <v>0</v>
      </c>
    </row>
    <row r="469" spans="1:50">
      <c r="A469">
        <v>921</v>
      </c>
      <c r="B469">
        <v>242</v>
      </c>
      <c r="C469" t="s">
        <v>2004</v>
      </c>
      <c r="D469" s="8" t="s">
        <v>2023</v>
      </c>
      <c r="F469" t="b">
        <v>0</v>
      </c>
      <c r="G469" s="6"/>
      <c r="J469" s="6" t="str">
        <f>_xlfn.XLOOKUP(tbl_Sourcing[[#This Row],[Product Id]], tbl_Product[Product Id], tbl_Product[Name])</f>
        <v>MTG Marvel's Super Heroes Avengers Assemble Collector Precon</v>
      </c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69" s="6" t="b">
        <f>_xlfn.XLOOKUP(tbl_Sourcing[[#This Row],[Product Id]], tbl_Product[Product Id], tbl_Product[Is Set or Play Booster])</f>
        <v>0</v>
      </c>
      <c r="AX469" s="6" t="b">
        <f>_xlfn.XLOOKUP(tbl_Sourcing[[#This Row],[Product Id]], tbl_Product[Product Id], tbl_Product[Is Precon])</f>
        <v>1</v>
      </c>
    </row>
    <row r="470" spans="1:50">
      <c r="A470">
        <v>925</v>
      </c>
      <c r="B470">
        <v>238</v>
      </c>
      <c r="C470" t="s">
        <v>2004</v>
      </c>
      <c r="D470" s="8" t="s">
        <v>2024</v>
      </c>
      <c r="F470" t="b">
        <v>0</v>
      </c>
      <c r="G470" s="6"/>
      <c r="J470" s="6" t="str">
        <f>_xlfn.XLOOKUP(tbl_Sourcing[[#This Row],[Product Id]], tbl_Product[Product Id], tbl_Product[Name])</f>
        <v>MTG Marvel's Super Heroes Avengers Assemble Precon</v>
      </c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0" s="6" t="b">
        <f>_xlfn.XLOOKUP(tbl_Sourcing[[#This Row],[Product Id]], tbl_Product[Product Id], tbl_Product[Is Set or Play Booster])</f>
        <v>0</v>
      </c>
      <c r="AX470" s="6" t="b">
        <f>_xlfn.XLOOKUP(tbl_Sourcing[[#This Row],[Product Id]], tbl_Product[Product Id], tbl_Product[Is Precon])</f>
        <v>1</v>
      </c>
    </row>
    <row r="471" spans="1:50">
      <c r="A471">
        <v>920</v>
      </c>
      <c r="B471">
        <v>248</v>
      </c>
      <c r="C471" t="s">
        <v>2004</v>
      </c>
      <c r="D471" s="8" t="s">
        <v>2025</v>
      </c>
      <c r="F471" t="b">
        <v>0</v>
      </c>
      <c r="G471" s="6"/>
      <c r="J471" s="6" t="str">
        <f>_xlfn.XLOOKUP(tbl_Sourcing[[#This Row],[Product Id]], tbl_Product[Product Id], tbl_Product[Name])</f>
        <v>MTG Marvel's Super Heroes Collector Booster Box</v>
      </c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1" s="6" t="b">
        <f>_xlfn.XLOOKUP(tbl_Sourcing[[#This Row],[Product Id]], tbl_Product[Product Id], tbl_Product[Is Set or Play Booster])</f>
        <v>0</v>
      </c>
      <c r="AX471" s="6" t="b">
        <f>_xlfn.XLOOKUP(tbl_Sourcing[[#This Row],[Product Id]], tbl_Product[Product Id], tbl_Product[Is Precon])</f>
        <v>0</v>
      </c>
    </row>
    <row r="472" spans="1:50">
      <c r="A472">
        <v>922</v>
      </c>
      <c r="B472">
        <v>243</v>
      </c>
      <c r="C472" t="s">
        <v>2004</v>
      </c>
      <c r="D472" s="8" t="s">
        <v>2026</v>
      </c>
      <c r="F472" t="b">
        <v>0</v>
      </c>
      <c r="G472" s="6"/>
      <c r="J472" s="6" t="str">
        <f>_xlfn.XLOOKUP(tbl_Sourcing[[#This Row],[Product Id]], tbl_Product[Product Id], tbl_Product[Name])</f>
        <v>MTG Marvel's Super Heroes Doom Prevails Collector Precon</v>
      </c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2" s="6" t="b">
        <f>_xlfn.XLOOKUP(tbl_Sourcing[[#This Row],[Product Id]], tbl_Product[Product Id], tbl_Product[Is Set or Play Booster])</f>
        <v>0</v>
      </c>
      <c r="AX472" s="6" t="b">
        <f>_xlfn.XLOOKUP(tbl_Sourcing[[#This Row],[Product Id]], tbl_Product[Product Id], tbl_Product[Is Precon])</f>
        <v>1</v>
      </c>
    </row>
    <row r="473" spans="1:50">
      <c r="A473">
        <v>926</v>
      </c>
      <c r="B473">
        <v>239</v>
      </c>
      <c r="C473" t="s">
        <v>2004</v>
      </c>
      <c r="D473" s="8" t="s">
        <v>2027</v>
      </c>
      <c r="F473" t="b">
        <v>0</v>
      </c>
      <c r="G473" s="6"/>
      <c r="J473" s="6" t="str">
        <f>_xlfn.XLOOKUP(tbl_Sourcing[[#This Row],[Product Id]], tbl_Product[Product Id], tbl_Product[Name])</f>
        <v>MTG Marvel's Super Heroes Doom Prevails Precon</v>
      </c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3" s="6" t="b">
        <f>_xlfn.XLOOKUP(tbl_Sourcing[[#This Row],[Product Id]], tbl_Product[Product Id], tbl_Product[Is Set or Play Booster])</f>
        <v>0</v>
      </c>
      <c r="AX473" s="6" t="b">
        <f>_xlfn.XLOOKUP(tbl_Sourcing[[#This Row],[Product Id]], tbl_Product[Product Id], tbl_Product[Is Precon])</f>
        <v>1</v>
      </c>
    </row>
    <row r="474" spans="1:50">
      <c r="A474">
        <v>929</v>
      </c>
      <c r="B474">
        <v>247</v>
      </c>
      <c r="C474" t="s">
        <v>2004</v>
      </c>
      <c r="D474" s="8" t="s">
        <v>2028</v>
      </c>
      <c r="F474" t="b">
        <v>0</v>
      </c>
      <c r="G474" s="6"/>
      <c r="J474" s="6" t="str">
        <f>_xlfn.XLOOKUP(tbl_Sourcing[[#This Row],[Product Id]], tbl_Product[Product Id], tbl_Product[Name])</f>
        <v>MTG Marvel's Super Heroes Play Booster Box</v>
      </c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4" s="6" t="b">
        <f>_xlfn.XLOOKUP(tbl_Sourcing[[#This Row],[Product Id]], tbl_Product[Product Id], tbl_Product[Is Set or Play Booster])</f>
        <v>1</v>
      </c>
      <c r="AX474" s="6" t="b">
        <f>_xlfn.XLOOKUP(tbl_Sourcing[[#This Row],[Product Id]], tbl_Product[Product Id], tbl_Product[Is Precon])</f>
        <v>0</v>
      </c>
    </row>
    <row r="475" spans="1:50">
      <c r="A475">
        <v>923</v>
      </c>
      <c r="B475">
        <v>244</v>
      </c>
      <c r="C475" t="s">
        <v>2004</v>
      </c>
      <c r="D475" s="8" t="s">
        <v>2029</v>
      </c>
      <c r="F475" t="b">
        <v>0</v>
      </c>
      <c r="G475" s="6"/>
      <c r="J475" s="6" t="str">
        <f>_xlfn.XLOOKUP(tbl_Sourcing[[#This Row],[Product Id]], tbl_Product[Product Id], tbl_Product[Name])</f>
        <v>MTG Marvel's Super Heroes The Fantastic Four Collector Precon</v>
      </c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5" s="6" t="b">
        <f>_xlfn.XLOOKUP(tbl_Sourcing[[#This Row],[Product Id]], tbl_Product[Product Id], tbl_Product[Is Set or Play Booster])</f>
        <v>0</v>
      </c>
      <c r="AX475" s="6" t="b">
        <f>_xlfn.XLOOKUP(tbl_Sourcing[[#This Row],[Product Id]], tbl_Product[Product Id], tbl_Product[Is Precon])</f>
        <v>1</v>
      </c>
    </row>
    <row r="476" spans="1:50">
      <c r="A476">
        <v>927</v>
      </c>
      <c r="B476">
        <v>240</v>
      </c>
      <c r="C476" t="s">
        <v>2004</v>
      </c>
      <c r="D476" s="8" t="s">
        <v>2030</v>
      </c>
      <c r="F476" t="b">
        <v>0</v>
      </c>
      <c r="G476" s="6"/>
      <c r="J476" s="6" t="str">
        <f>_xlfn.XLOOKUP(tbl_Sourcing[[#This Row],[Product Id]], tbl_Product[Product Id], tbl_Product[Name])</f>
        <v>MTG Marvel's Super Heroes The Fantastic Four Precon</v>
      </c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6" s="6" t="b">
        <f>_xlfn.XLOOKUP(tbl_Sourcing[[#This Row],[Product Id]], tbl_Product[Product Id], tbl_Product[Is Set or Play Booster])</f>
        <v>0</v>
      </c>
      <c r="AX476" s="6" t="b">
        <f>_xlfn.XLOOKUP(tbl_Sourcing[[#This Row],[Product Id]], tbl_Product[Product Id], tbl_Product[Is Precon])</f>
        <v>1</v>
      </c>
    </row>
    <row r="477" spans="1:50">
      <c r="A477">
        <v>924</v>
      </c>
      <c r="B477">
        <v>245</v>
      </c>
      <c r="C477" t="s">
        <v>2004</v>
      </c>
      <c r="D477" s="8" t="s">
        <v>2031</v>
      </c>
      <c r="F477" t="b">
        <v>0</v>
      </c>
      <c r="G477" s="6"/>
      <c r="J477" s="6" t="str">
        <f>_xlfn.XLOOKUP(tbl_Sourcing[[#This Row],[Product Id]], tbl_Product[Product Id], tbl_Product[Name])</f>
        <v>MTG Marvel's Super Heroes Wakanda Forever Collector Precon</v>
      </c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7" s="6" t="b">
        <f>_xlfn.XLOOKUP(tbl_Sourcing[[#This Row],[Product Id]], tbl_Product[Product Id], tbl_Product[Is Set or Play Booster])</f>
        <v>0</v>
      </c>
      <c r="AX477" s="6" t="b">
        <f>_xlfn.XLOOKUP(tbl_Sourcing[[#This Row],[Product Id]], tbl_Product[Product Id], tbl_Product[Is Precon])</f>
        <v>1</v>
      </c>
    </row>
    <row r="478" spans="1:50">
      <c r="A478">
        <v>928</v>
      </c>
      <c r="B478">
        <v>241</v>
      </c>
      <c r="C478" t="s">
        <v>2004</v>
      </c>
      <c r="D478" s="8" t="s">
        <v>2032</v>
      </c>
      <c r="F478" t="b">
        <v>0</v>
      </c>
      <c r="G478" s="6"/>
      <c r="J478" s="6" t="str">
        <f>_xlfn.XLOOKUP(tbl_Sourcing[[#This Row],[Product Id]], tbl_Product[Product Id], tbl_Product[Name])</f>
        <v>MTG Marvel's Super Heroes Wakanda Forever Precon</v>
      </c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8" s="6" t="b">
        <f>_xlfn.XLOOKUP(tbl_Sourcing[[#This Row],[Product Id]], tbl_Product[Product Id], tbl_Product[Is Set or Play Booster])</f>
        <v>0</v>
      </c>
      <c r="AX478" s="6" t="b">
        <f>_xlfn.XLOOKUP(tbl_Sourcing[[#This Row],[Product Id]], tbl_Product[Product Id], tbl_Product[Is Precon])</f>
        <v>1</v>
      </c>
    </row>
    <row r="479" spans="1:50">
      <c r="A479">
        <v>911</v>
      </c>
      <c r="B479">
        <v>173</v>
      </c>
      <c r="C479" t="s">
        <v>2004</v>
      </c>
      <c r="D479" s="8" t="s">
        <v>2033</v>
      </c>
      <c r="E479">
        <v>55</v>
      </c>
      <c r="F479" t="b">
        <v>1</v>
      </c>
      <c r="G479" s="6"/>
      <c r="J479" s="6" t="str">
        <f>_xlfn.XLOOKUP(tbl_Sourcing[[#This Row],[Product Id]], tbl_Product[Product Id], tbl_Product[Name])</f>
        <v>MTG Modern Horizons 3 Creative Energy Precon</v>
      </c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79" s="6" t="b">
        <f>_xlfn.XLOOKUP(tbl_Sourcing[[#This Row],[Product Id]], tbl_Product[Product Id], tbl_Product[Is Set or Play Booster])</f>
        <v>0</v>
      </c>
      <c r="AX479" s="6" t="b">
        <f>_xlfn.XLOOKUP(tbl_Sourcing[[#This Row],[Product Id]], tbl_Product[Product Id], tbl_Product[Is Precon])</f>
        <v>1</v>
      </c>
    </row>
    <row r="480" spans="1:50">
      <c r="A480">
        <v>912</v>
      </c>
      <c r="B480">
        <v>171</v>
      </c>
      <c r="C480" t="s">
        <v>2004</v>
      </c>
      <c r="D480" s="8" t="s">
        <v>2034</v>
      </c>
      <c r="E480">
        <v>55</v>
      </c>
      <c r="F480" t="b">
        <v>1</v>
      </c>
      <c r="G480" s="6"/>
      <c r="J480" s="6" t="str">
        <f>_xlfn.XLOOKUP(tbl_Sourcing[[#This Row],[Product Id]], tbl_Product[Product Id], tbl_Product[Name])</f>
        <v>MTG Modern Horizons 3 Graveyard Overdrive Precon</v>
      </c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80" s="6" t="b">
        <f>_xlfn.XLOOKUP(tbl_Sourcing[[#This Row],[Product Id]], tbl_Product[Product Id], tbl_Product[Is Set or Play Booster])</f>
        <v>0</v>
      </c>
      <c r="AX480" s="6" t="b">
        <f>_xlfn.XLOOKUP(tbl_Sourcing[[#This Row],[Product Id]], tbl_Product[Product Id], tbl_Product[Is Precon])</f>
        <v>1</v>
      </c>
    </row>
    <row r="481" spans="1:50">
      <c r="A481">
        <v>915</v>
      </c>
      <c r="B481">
        <v>252</v>
      </c>
      <c r="C481" t="s">
        <v>2004</v>
      </c>
      <c r="D481" s="8" t="s">
        <v>2035</v>
      </c>
      <c r="E481">
        <v>411</v>
      </c>
      <c r="F481" t="b">
        <v>1</v>
      </c>
      <c r="G481" s="6"/>
      <c r="J481" s="6" t="str">
        <f>_xlfn.XLOOKUP(tbl_Sourcing[[#This Row],[Product Id]], tbl_Product[Product Id], tbl_Product[Name])</f>
        <v>MTG Teenage Mutant Ninja Turtles Collector Booster Box</v>
      </c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81" s="6" t="b">
        <f>_xlfn.XLOOKUP(tbl_Sourcing[[#This Row],[Product Id]], tbl_Product[Product Id], tbl_Product[Is Set or Play Booster])</f>
        <v>0</v>
      </c>
      <c r="AX481" s="6" t="b">
        <f>_xlfn.XLOOKUP(tbl_Sourcing[[#This Row],[Product Id]], tbl_Product[Product Id], tbl_Product[Is Precon])</f>
        <v>0</v>
      </c>
    </row>
    <row r="482" spans="1:50">
      <c r="A482">
        <v>916</v>
      </c>
      <c r="B482">
        <v>253</v>
      </c>
      <c r="C482" t="s">
        <v>2004</v>
      </c>
      <c r="D482" s="8" t="s">
        <v>2036</v>
      </c>
      <c r="E482">
        <v>168</v>
      </c>
      <c r="F482" t="b">
        <v>1</v>
      </c>
      <c r="G482" s="6"/>
      <c r="J482" s="6" t="str">
        <f>_xlfn.XLOOKUP(tbl_Sourcing[[#This Row],[Product Id]], tbl_Product[Product Id], tbl_Product[Name])</f>
        <v>MTG Teenage Mutant Ninja Turtles Play Booster Box</v>
      </c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482" s="6" t="b">
        <f>_xlfn.XLOOKUP(tbl_Sourcing[[#This Row],[Product Id]], tbl_Product[Product Id], tbl_Product[Is Set or Play Booster])</f>
        <v>1</v>
      </c>
      <c r="AX482" s="6" t="b">
        <f>_xlfn.XLOOKUP(tbl_Sourcing[[#This Row],[Product Id]], tbl_Product[Product Id], tbl_Product[Is Precon])</f>
        <v>0</v>
      </c>
    </row>
    <row r="483" spans="1:50">
      <c r="A483">
        <v>252</v>
      </c>
      <c r="B483">
        <v>83</v>
      </c>
      <c r="C483" t="s">
        <v>2037</v>
      </c>
      <c r="D483" s="8" t="s">
        <v>2038</v>
      </c>
      <c r="E483" s="23">
        <v>21.99</v>
      </c>
      <c r="F483" s="23" t="b">
        <v>1</v>
      </c>
      <c r="G483" s="24"/>
      <c r="H483" s="24"/>
      <c r="J483" s="6" t="str">
        <f>_xlfn.XLOOKUP(tbl_Sourcing[[#This Row],[Product Id]], tbl_Product[Product Id], tbl_Product[Name])</f>
        <v>MTG Aetherdrift Collector Booster</v>
      </c>
      <c r="K483" s="6"/>
      <c r="L483" s="6"/>
      <c r="M483" s="6">
        <v>1</v>
      </c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</v>
      </c>
      <c r="AW483" s="6" t="b">
        <f>_xlfn.XLOOKUP(tbl_Sourcing[[#This Row],[Product Id]], tbl_Product[Product Id], tbl_Product[Is Set or Play Booster])</f>
        <v>0</v>
      </c>
      <c r="AX483" s="6" t="b">
        <f>_xlfn.XLOOKUP(tbl_Sourcing[[#This Row],[Product Id]], tbl_Product[Product Id], tbl_Product[Is Precon])</f>
        <v>0</v>
      </c>
    </row>
    <row r="484" spans="1:50">
      <c r="A484">
        <v>253</v>
      </c>
      <c r="B484">
        <v>84</v>
      </c>
      <c r="C484" t="s">
        <v>2037</v>
      </c>
      <c r="D484" s="8" t="s">
        <v>2039</v>
      </c>
      <c r="E484" s="23">
        <v>254.99</v>
      </c>
      <c r="F484" s="23" t="b">
        <v>1</v>
      </c>
      <c r="G484" s="24"/>
      <c r="H484" s="24"/>
      <c r="J484" s="6" t="str">
        <f>_xlfn.XLOOKUP(tbl_Sourcing[[#This Row],[Product Id]], tbl_Product[Product Id], tbl_Product[Name])</f>
        <v>MTG Aetherdrift Collector Booster Box</v>
      </c>
      <c r="K484" s="6"/>
      <c r="L484" s="6"/>
      <c r="M484" s="6">
        <v>2</v>
      </c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</v>
      </c>
      <c r="AW484" s="6" t="b">
        <f>_xlfn.XLOOKUP(tbl_Sourcing[[#This Row],[Product Id]], tbl_Product[Product Id], tbl_Product[Is Set or Play Booster])</f>
        <v>0</v>
      </c>
      <c r="AX484" s="6" t="b">
        <f>_xlfn.XLOOKUP(tbl_Sourcing[[#This Row],[Product Id]], tbl_Product[Product Id], tbl_Product[Is Precon])</f>
        <v>0</v>
      </c>
    </row>
    <row r="485" spans="1:50">
      <c r="A485">
        <v>250</v>
      </c>
      <c r="B485">
        <v>25</v>
      </c>
      <c r="C485" t="s">
        <v>2037</v>
      </c>
      <c r="D485" s="8" t="s">
        <v>2040</v>
      </c>
      <c r="E485" s="23">
        <v>4.75</v>
      </c>
      <c r="F485" s="23" t="b">
        <v>1</v>
      </c>
      <c r="G485" s="24"/>
      <c r="H485" s="24"/>
      <c r="J485" s="6" t="str">
        <f>_xlfn.XLOOKUP(tbl_Sourcing[[#This Row],[Product Id]], tbl_Product[Product Id], tbl_Product[Name])</f>
        <v>MTG Aetherdrift Play Booster</v>
      </c>
      <c r="K485" s="6"/>
      <c r="L485" s="6"/>
      <c r="M485" s="6">
        <v>3</v>
      </c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</v>
      </c>
      <c r="AW485" s="6" t="b">
        <f>_xlfn.XLOOKUP(tbl_Sourcing[[#This Row],[Product Id]], tbl_Product[Product Id], tbl_Product[Is Set or Play Booster])</f>
        <v>1</v>
      </c>
      <c r="AX485" s="6" t="b">
        <f>_xlfn.XLOOKUP(tbl_Sourcing[[#This Row],[Product Id]], tbl_Product[Product Id], tbl_Product[Is Precon])</f>
        <v>0</v>
      </c>
    </row>
    <row r="486" spans="1:50">
      <c r="A486">
        <v>251</v>
      </c>
      <c r="B486">
        <v>70</v>
      </c>
      <c r="C486" t="s">
        <v>2037</v>
      </c>
      <c r="D486" s="8" t="s">
        <v>2041</v>
      </c>
      <c r="E486" s="23">
        <v>139.99</v>
      </c>
      <c r="F486" s="23" t="b">
        <v>1</v>
      </c>
      <c r="G486" s="24"/>
      <c r="H486" s="24"/>
      <c r="J486" s="6" t="str">
        <f>_xlfn.XLOOKUP(tbl_Sourcing[[#This Row],[Product Id]], tbl_Product[Product Id], tbl_Product[Name])</f>
        <v>MTG Aetherdrift Play Booster Box</v>
      </c>
      <c r="K486" s="6"/>
      <c r="L486" s="6"/>
      <c r="M486" s="6">
        <v>4</v>
      </c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</v>
      </c>
      <c r="AW486" s="6" t="b">
        <f>_xlfn.XLOOKUP(tbl_Sourcing[[#This Row],[Product Id]], tbl_Product[Product Id], tbl_Product[Is Set or Play Booster])</f>
        <v>1</v>
      </c>
      <c r="AX486" s="6" t="b">
        <f>_xlfn.XLOOKUP(tbl_Sourcing[[#This Row],[Product Id]], tbl_Product[Product Id], tbl_Product[Is Precon])</f>
        <v>0</v>
      </c>
    </row>
    <row r="487" spans="1:50">
      <c r="A487">
        <v>248</v>
      </c>
      <c r="B487">
        <v>18</v>
      </c>
      <c r="C487" t="s">
        <v>2037</v>
      </c>
      <c r="D487" s="8" t="s">
        <v>2042</v>
      </c>
      <c r="E487" s="23">
        <v>5.49</v>
      </c>
      <c r="F487" s="23" t="b">
        <v>1</v>
      </c>
      <c r="G487" s="24"/>
      <c r="H487" s="24"/>
      <c r="J487" s="6" t="str">
        <f>_xlfn.XLOOKUP(tbl_Sourcing[[#This Row],[Product Id]], tbl_Product[Product Id], tbl_Product[Name])</f>
        <v>MTG Assassin's Creed Beyond Booster</v>
      </c>
      <c r="K487" s="6"/>
      <c r="L487" s="6"/>
      <c r="M487" s="6">
        <v>5</v>
      </c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</v>
      </c>
      <c r="AW487" s="6" t="b">
        <f>_xlfn.XLOOKUP(tbl_Sourcing[[#This Row],[Product Id]], tbl_Product[Product Id], tbl_Product[Is Set or Play Booster])</f>
        <v>1</v>
      </c>
      <c r="AX487" s="6" t="b">
        <f>_xlfn.XLOOKUP(tbl_Sourcing[[#This Row],[Product Id]], tbl_Product[Product Id], tbl_Product[Is Precon])</f>
        <v>0</v>
      </c>
    </row>
    <row r="488" spans="1:50">
      <c r="A488">
        <v>249</v>
      </c>
      <c r="B488">
        <v>63</v>
      </c>
      <c r="C488" t="s">
        <v>2037</v>
      </c>
      <c r="D488" s="8" t="s">
        <v>2043</v>
      </c>
      <c r="E488" s="23">
        <v>124.99</v>
      </c>
      <c r="F488" s="23" t="b">
        <v>1</v>
      </c>
      <c r="G488" s="24"/>
      <c r="H488" s="24"/>
      <c r="J488" s="6" t="str">
        <f>_xlfn.XLOOKUP(tbl_Sourcing[[#This Row],[Product Id]], tbl_Product[Product Id], tbl_Product[Name])</f>
        <v>MTG Assassin's Creed Beyond Booster Box</v>
      </c>
      <c r="K488" s="6"/>
      <c r="L488" s="6"/>
      <c r="M488" s="6">
        <v>6</v>
      </c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28</v>
      </c>
      <c r="AW488" s="6" t="b">
        <f>_xlfn.XLOOKUP(tbl_Sourcing[[#This Row],[Product Id]], tbl_Product[Product Id], tbl_Product[Is Set or Play Booster])</f>
        <v>1</v>
      </c>
      <c r="AX488" s="6" t="b">
        <f>_xlfn.XLOOKUP(tbl_Sourcing[[#This Row],[Product Id]], tbl_Product[Product Id], tbl_Product[Is Precon])</f>
        <v>0</v>
      </c>
    </row>
    <row r="489" spans="1:50">
      <c r="A489">
        <v>256</v>
      </c>
      <c r="B489">
        <v>197</v>
      </c>
      <c r="C489" t="s">
        <v>2037</v>
      </c>
      <c r="D489" s="8" t="s">
        <v>2044</v>
      </c>
      <c r="E489" s="23">
        <v>80.989999999999995</v>
      </c>
      <c r="F489" s="23" t="b">
        <v>1</v>
      </c>
      <c r="G489" s="24"/>
      <c r="H489" s="24"/>
      <c r="J489" s="6" t="str">
        <f>_xlfn.XLOOKUP(tbl_Sourcing[[#This Row],[Product Id]], tbl_Product[Product Id], tbl_Product[Name])</f>
        <v>MTG Commander Masters Planeswalker Party Precon</v>
      </c>
      <c r="K489" s="6"/>
      <c r="L489" s="6"/>
      <c r="M489" s="6">
        <v>32</v>
      </c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158</v>
      </c>
      <c r="AW489" s="6" t="b">
        <f>_xlfn.XLOOKUP(tbl_Sourcing[[#This Row],[Product Id]], tbl_Product[Product Id], tbl_Product[Is Set or Play Booster])</f>
        <v>0</v>
      </c>
      <c r="AX489" s="6" t="b">
        <f>_xlfn.XLOOKUP(tbl_Sourcing[[#This Row],[Product Id]], tbl_Product[Product Id], tbl_Product[Is Precon])</f>
        <v>1</v>
      </c>
    </row>
    <row r="490" spans="1:50">
      <c r="A490">
        <v>246</v>
      </c>
      <c r="B490">
        <v>7</v>
      </c>
      <c r="C490" t="s">
        <v>2037</v>
      </c>
      <c r="D490" s="8" t="s">
        <v>2045</v>
      </c>
      <c r="E490" s="23">
        <v>18.489999999999998</v>
      </c>
      <c r="F490" s="23" t="b">
        <v>1</v>
      </c>
      <c r="G490" s="24"/>
      <c r="H490" s="24"/>
      <c r="J490" s="6" t="str">
        <f>_xlfn.XLOOKUP(tbl_Sourcing[[#This Row],[Product Id]], tbl_Product[Product Id], tbl_Product[Name])</f>
        <v>MTG Commander Masters Set Booster</v>
      </c>
      <c r="K490" s="6"/>
      <c r="L490" s="6"/>
      <c r="M490" s="6">
        <v>7</v>
      </c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33</v>
      </c>
      <c r="AW490" s="6" t="b">
        <f>_xlfn.XLOOKUP(tbl_Sourcing[[#This Row],[Product Id]], tbl_Product[Product Id], tbl_Product[Is Set or Play Booster])</f>
        <v>1</v>
      </c>
      <c r="AX490" s="6" t="b">
        <f>_xlfn.XLOOKUP(tbl_Sourcing[[#This Row],[Product Id]], tbl_Product[Product Id], tbl_Product[Is Precon])</f>
        <v>0</v>
      </c>
    </row>
    <row r="491" spans="1:50">
      <c r="A491">
        <v>247</v>
      </c>
      <c r="B491">
        <v>52</v>
      </c>
      <c r="C491" t="s">
        <v>2037</v>
      </c>
      <c r="D491" s="8" t="s">
        <v>2046</v>
      </c>
      <c r="E491" s="24">
        <v>428.99</v>
      </c>
      <c r="F491" s="23" t="b">
        <v>1</v>
      </c>
      <c r="G491" s="24"/>
      <c r="H491" s="24"/>
      <c r="J491" s="6" t="str">
        <f>_xlfn.XLOOKUP(tbl_Sourcing[[#This Row],[Product Id]], tbl_Product[Product Id], tbl_Product[Name])</f>
        <v>MTG Commander Masters Set Booster Box</v>
      </c>
      <c r="K491" s="6"/>
      <c r="L491" s="6"/>
      <c r="M491" s="6">
        <v>8</v>
      </c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38</v>
      </c>
      <c r="AW491" s="6" t="b">
        <f>_xlfn.XLOOKUP(tbl_Sourcing[[#This Row],[Product Id]], tbl_Product[Product Id], tbl_Product[Is Set or Play Booster])</f>
        <v>1</v>
      </c>
      <c r="AX491" s="6" t="b">
        <f>_xlfn.XLOOKUP(tbl_Sourcing[[#This Row],[Product Id]], tbl_Product[Product Id], tbl_Product[Is Precon])</f>
        <v>0</v>
      </c>
    </row>
    <row r="492" spans="1:50">
      <c r="A492">
        <v>231</v>
      </c>
      <c r="B492">
        <v>93</v>
      </c>
      <c r="C492" t="s">
        <v>2037</v>
      </c>
      <c r="D492" s="8" t="s">
        <v>2047</v>
      </c>
      <c r="E492" s="23">
        <v>21.99</v>
      </c>
      <c r="F492" s="23" t="b">
        <v>1</v>
      </c>
      <c r="G492" s="24"/>
      <c r="H492" s="24"/>
      <c r="J492" s="6" t="str">
        <f>_xlfn.XLOOKUP(tbl_Sourcing[[#This Row],[Product Id]], tbl_Product[Product Id], tbl_Product[Name])</f>
        <v>MTG Dominaria United DMU Collector Booster</v>
      </c>
      <c r="K492" s="6"/>
      <c r="L492" s="6"/>
      <c r="M492" s="6">
        <v>9</v>
      </c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43</v>
      </c>
      <c r="AW492" s="6" t="b">
        <f>_xlfn.XLOOKUP(tbl_Sourcing[[#This Row],[Product Id]], tbl_Product[Product Id], tbl_Product[Is Set or Play Booster])</f>
        <v>0</v>
      </c>
      <c r="AX492" s="6" t="b">
        <f>_xlfn.XLOOKUP(tbl_Sourcing[[#This Row],[Product Id]], tbl_Product[Product Id], tbl_Product[Is Precon])</f>
        <v>0</v>
      </c>
    </row>
    <row r="493" spans="1:50">
      <c r="A493">
        <v>232</v>
      </c>
      <c r="B493">
        <v>94</v>
      </c>
      <c r="C493" t="s">
        <v>2037</v>
      </c>
      <c r="D493" s="8" t="s">
        <v>2048</v>
      </c>
      <c r="E493" s="23">
        <v>249.99</v>
      </c>
      <c r="F493" s="23" t="b">
        <v>1</v>
      </c>
      <c r="G493" s="24"/>
      <c r="H493" s="24"/>
      <c r="J493" s="6" t="str">
        <f>_xlfn.XLOOKUP(tbl_Sourcing[[#This Row],[Product Id]], tbl_Product[Product Id], tbl_Product[Name])</f>
        <v>MTG Dominaria United DMU Collector Booster Box</v>
      </c>
      <c r="K493" s="6"/>
      <c r="L493" s="6"/>
      <c r="M493" s="6">
        <v>10</v>
      </c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48</v>
      </c>
      <c r="AW493" s="6" t="b">
        <f>_xlfn.XLOOKUP(tbl_Sourcing[[#This Row],[Product Id]], tbl_Product[Product Id], tbl_Product[Is Set or Play Booster])</f>
        <v>0</v>
      </c>
      <c r="AX493" s="6" t="b">
        <f>_xlfn.XLOOKUP(tbl_Sourcing[[#This Row],[Product Id]], tbl_Product[Product Id], tbl_Product[Is Precon])</f>
        <v>0</v>
      </c>
    </row>
    <row r="494" spans="1:50">
      <c r="A494">
        <v>244</v>
      </c>
      <c r="B494">
        <v>26</v>
      </c>
      <c r="C494" t="s">
        <v>2037</v>
      </c>
      <c r="D494" s="8" t="s">
        <v>2049</v>
      </c>
      <c r="E494" s="23">
        <v>4.25</v>
      </c>
      <c r="F494" s="23" t="b">
        <v>1</v>
      </c>
      <c r="G494" s="24"/>
      <c r="H494" s="24"/>
      <c r="J494" s="6" t="str">
        <f>_xlfn.XLOOKUP(tbl_Sourcing[[#This Row],[Product Id]], tbl_Product[Product Id], tbl_Product[Name])</f>
        <v>MTG Duskmourn: House of Horror Play Booster</v>
      </c>
      <c r="K494" s="6"/>
      <c r="L494" s="6"/>
      <c r="M494" s="6">
        <v>11</v>
      </c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53</v>
      </c>
      <c r="AW494" s="6" t="b">
        <f>_xlfn.XLOOKUP(tbl_Sourcing[[#This Row],[Product Id]], tbl_Product[Product Id], tbl_Product[Is Set or Play Booster])</f>
        <v>1</v>
      </c>
      <c r="AX494" s="6" t="b">
        <f>_xlfn.XLOOKUP(tbl_Sourcing[[#This Row],[Product Id]], tbl_Product[Product Id], tbl_Product[Is Precon])</f>
        <v>0</v>
      </c>
    </row>
    <row r="495" spans="1:50">
      <c r="A495">
        <v>245</v>
      </c>
      <c r="B495">
        <v>71</v>
      </c>
      <c r="C495" t="s">
        <v>2037</v>
      </c>
      <c r="D495" s="8" t="s">
        <v>2050</v>
      </c>
      <c r="E495" s="23">
        <v>149.99</v>
      </c>
      <c r="F495" s="23" t="b">
        <v>1</v>
      </c>
      <c r="G495" s="24"/>
      <c r="H495" s="24"/>
      <c r="J495" s="6" t="str">
        <f>_xlfn.XLOOKUP(tbl_Sourcing[[#This Row],[Product Id]], tbl_Product[Product Id], tbl_Product[Name])</f>
        <v>MTG Duskmourn: House of Horror Play Booster Box</v>
      </c>
      <c r="K495" s="6"/>
      <c r="L495" s="6"/>
      <c r="M495" s="6">
        <v>12</v>
      </c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58</v>
      </c>
      <c r="AW495" s="6" t="b">
        <f>_xlfn.XLOOKUP(tbl_Sourcing[[#This Row],[Product Id]], tbl_Product[Product Id], tbl_Product[Is Set or Play Booster])</f>
        <v>1</v>
      </c>
      <c r="AX495" s="6" t="b">
        <f>_xlfn.XLOOKUP(tbl_Sourcing[[#This Row],[Product Id]], tbl_Product[Product Id], tbl_Product[Is Precon])</f>
        <v>0</v>
      </c>
    </row>
    <row r="496" spans="1:50">
      <c r="A496">
        <v>241</v>
      </c>
      <c r="B496">
        <v>105</v>
      </c>
      <c r="C496" t="s">
        <v>2037</v>
      </c>
      <c r="D496" s="8" t="s">
        <v>2051</v>
      </c>
      <c r="E496" s="23">
        <v>27.99</v>
      </c>
      <c r="F496" s="23" t="b">
        <v>1</v>
      </c>
      <c r="G496" s="24"/>
      <c r="H496" s="24"/>
      <c r="J496" s="6" t="str">
        <f>_xlfn.XLOOKUP(tbl_Sourcing[[#This Row],[Product Id]], tbl_Product[Product Id], tbl_Product[Name])</f>
        <v>MTG Innistrad Remastered INR Collector Booster</v>
      </c>
      <c r="K496" s="6"/>
      <c r="L496" s="6"/>
      <c r="M496" s="6">
        <v>13</v>
      </c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63</v>
      </c>
      <c r="AW496" s="6" t="b">
        <f>_xlfn.XLOOKUP(tbl_Sourcing[[#This Row],[Product Id]], tbl_Product[Product Id], tbl_Product[Is Set or Play Booster])</f>
        <v>0</v>
      </c>
      <c r="AX496" s="6" t="b">
        <f>_xlfn.XLOOKUP(tbl_Sourcing[[#This Row],[Product Id]], tbl_Product[Product Id], tbl_Product[Is Precon])</f>
        <v>0</v>
      </c>
    </row>
    <row r="497" spans="1:50">
      <c r="A497">
        <v>239</v>
      </c>
      <c r="B497">
        <v>3</v>
      </c>
      <c r="C497" t="s">
        <v>2037</v>
      </c>
      <c r="D497" s="8" t="s">
        <v>2052</v>
      </c>
      <c r="E497" s="23">
        <v>6.25</v>
      </c>
      <c r="F497" s="23" t="b">
        <v>1</v>
      </c>
      <c r="G497" s="24"/>
      <c r="H497" s="24"/>
      <c r="J497" s="6" t="str">
        <f>_xlfn.XLOOKUP(tbl_Sourcing[[#This Row],[Product Id]], tbl_Product[Product Id], tbl_Product[Name])</f>
        <v>MTG Innistrad Remastered INR Play Booster</v>
      </c>
      <c r="K497" s="6"/>
      <c r="L497" s="6"/>
      <c r="M497" s="6">
        <v>14</v>
      </c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68</v>
      </c>
      <c r="AW497" s="6" t="b">
        <f>_xlfn.XLOOKUP(tbl_Sourcing[[#This Row],[Product Id]], tbl_Product[Product Id], tbl_Product[Is Set or Play Booster])</f>
        <v>1</v>
      </c>
      <c r="AX497" s="6" t="b">
        <f>_xlfn.XLOOKUP(tbl_Sourcing[[#This Row],[Product Id]], tbl_Product[Product Id], tbl_Product[Is Precon])</f>
        <v>0</v>
      </c>
    </row>
    <row r="498" spans="1:50">
      <c r="A498">
        <v>240</v>
      </c>
      <c r="B498">
        <v>48</v>
      </c>
      <c r="C498" t="s">
        <v>2037</v>
      </c>
      <c r="D498" s="8" t="s">
        <v>2053</v>
      </c>
      <c r="E498" s="23">
        <v>204.99</v>
      </c>
      <c r="F498" s="23" t="b">
        <v>1</v>
      </c>
      <c r="G498" s="24"/>
      <c r="H498" s="24"/>
      <c r="J498" s="6" t="str">
        <f>_xlfn.XLOOKUP(tbl_Sourcing[[#This Row],[Product Id]], tbl_Product[Product Id], tbl_Product[Name])</f>
        <v>MTG Innistrad Remastered INR Play Booster Box</v>
      </c>
      <c r="K498" s="6"/>
      <c r="L498" s="6"/>
      <c r="M498" s="6">
        <v>15</v>
      </c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73</v>
      </c>
      <c r="AW498" s="6" t="b">
        <f>_xlfn.XLOOKUP(tbl_Sourcing[[#This Row],[Product Id]], tbl_Product[Product Id], tbl_Product[Is Set or Play Booster])</f>
        <v>1</v>
      </c>
      <c r="AX498" s="6" t="b">
        <f>_xlfn.XLOOKUP(tbl_Sourcing[[#This Row],[Product Id]], tbl_Product[Product Id], tbl_Product[Is Precon])</f>
        <v>0</v>
      </c>
    </row>
    <row r="499" spans="1:50">
      <c r="A499">
        <v>242</v>
      </c>
      <c r="B499">
        <v>103</v>
      </c>
      <c r="C499" t="s">
        <v>2037</v>
      </c>
      <c r="D499" s="8" t="s">
        <v>2054</v>
      </c>
      <c r="E499" s="23">
        <v>15.99</v>
      </c>
      <c r="F499" s="23" t="b">
        <v>1</v>
      </c>
      <c r="G499" s="24"/>
      <c r="H499" s="24"/>
      <c r="J499" s="6" t="str">
        <f>_xlfn.XLOOKUP(tbl_Sourcing[[#This Row],[Product Id]], tbl_Product[Product Id], tbl_Product[Name])</f>
        <v>MTG Innistrad: Midnight Hunt Collector Booster</v>
      </c>
      <c r="K499" s="6"/>
      <c r="L499" s="6"/>
      <c r="M499" s="6">
        <v>16</v>
      </c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78</v>
      </c>
      <c r="AW499" s="6" t="b">
        <f>_xlfn.XLOOKUP(tbl_Sourcing[[#This Row],[Product Id]], tbl_Product[Product Id], tbl_Product[Is Set or Play Booster])</f>
        <v>0</v>
      </c>
      <c r="AX499" s="6" t="b">
        <f>_xlfn.XLOOKUP(tbl_Sourcing[[#This Row],[Product Id]], tbl_Product[Product Id], tbl_Product[Is Precon])</f>
        <v>0</v>
      </c>
    </row>
    <row r="500" spans="1:50">
      <c r="A500">
        <v>243</v>
      </c>
      <c r="B500">
        <v>104</v>
      </c>
      <c r="C500" t="s">
        <v>2037</v>
      </c>
      <c r="D500" s="8" t="s">
        <v>2055</v>
      </c>
      <c r="E500" s="24"/>
      <c r="F500" s="23" t="b">
        <v>0</v>
      </c>
      <c r="G500" s="24"/>
      <c r="H500" s="24"/>
      <c r="J500" s="6" t="str">
        <f>_xlfn.XLOOKUP(tbl_Sourcing[[#This Row],[Product Id]], tbl_Product[Product Id], tbl_Product[Name])</f>
        <v>MTG Innistrad: Midnight Hunt Collector Booster Box</v>
      </c>
      <c r="K500" s="6"/>
      <c r="L500" s="6"/>
      <c r="M500" s="6">
        <v>17</v>
      </c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83</v>
      </c>
      <c r="AW500" s="6" t="b">
        <f>_xlfn.XLOOKUP(tbl_Sourcing[[#This Row],[Product Id]], tbl_Product[Product Id], tbl_Product[Is Set or Play Booster])</f>
        <v>0</v>
      </c>
      <c r="AX500" s="6" t="b">
        <f>_xlfn.XLOOKUP(tbl_Sourcing[[#This Row],[Product Id]], tbl_Product[Product Id], tbl_Product[Is Precon])</f>
        <v>0</v>
      </c>
    </row>
    <row r="501" spans="1:50">
      <c r="A501">
        <v>255</v>
      </c>
      <c r="B501">
        <v>173</v>
      </c>
      <c r="C501" t="s">
        <v>2037</v>
      </c>
      <c r="D501" s="8" t="s">
        <v>2056</v>
      </c>
      <c r="E501" s="23">
        <v>58.99</v>
      </c>
      <c r="F501" s="23" t="b">
        <v>1</v>
      </c>
      <c r="G501" s="24"/>
      <c r="H501" s="24"/>
      <c r="J501" s="6" t="str">
        <f>_xlfn.XLOOKUP(tbl_Sourcing[[#This Row],[Product Id]], tbl_Product[Product Id], tbl_Product[Name])</f>
        <v>MTG Modern Horizons 3 Creative Energy Precon</v>
      </c>
      <c r="K501" s="6"/>
      <c r="L501" s="6"/>
      <c r="M501" s="6">
        <v>33</v>
      </c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163</v>
      </c>
      <c r="AW501" s="6" t="b">
        <f>_xlfn.XLOOKUP(tbl_Sourcing[[#This Row],[Product Id]], tbl_Product[Product Id], tbl_Product[Is Set or Play Booster])</f>
        <v>0</v>
      </c>
      <c r="AX501" s="6" t="b">
        <f>_xlfn.XLOOKUP(tbl_Sourcing[[#This Row],[Product Id]], tbl_Product[Product Id], tbl_Product[Is Precon])</f>
        <v>1</v>
      </c>
    </row>
    <row r="502" spans="1:50">
      <c r="A502">
        <v>254</v>
      </c>
      <c r="B502">
        <v>171</v>
      </c>
      <c r="C502" t="s">
        <v>2037</v>
      </c>
      <c r="D502" s="8" t="s">
        <v>2057</v>
      </c>
      <c r="E502" s="23">
        <v>58.99</v>
      </c>
      <c r="F502" s="23" t="b">
        <v>1</v>
      </c>
      <c r="G502" s="24"/>
      <c r="H502" s="24"/>
      <c r="J502" s="6" t="str">
        <f>_xlfn.XLOOKUP(tbl_Sourcing[[#This Row],[Product Id]], tbl_Product[Product Id], tbl_Product[Name])</f>
        <v>MTG Modern Horizons 3 Graveyard Overdrive Precon</v>
      </c>
      <c r="K502" s="6"/>
      <c r="L502" s="6"/>
      <c r="M502" s="6">
        <v>34</v>
      </c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168</v>
      </c>
      <c r="AW502" s="6" t="b">
        <f>_xlfn.XLOOKUP(tbl_Sourcing[[#This Row],[Product Id]], tbl_Product[Product Id], tbl_Product[Is Set or Play Booster])</f>
        <v>0</v>
      </c>
      <c r="AX502" s="6" t="b">
        <f>_xlfn.XLOOKUP(tbl_Sourcing[[#This Row],[Product Id]], tbl_Product[Product Id], tbl_Product[Is Precon])</f>
        <v>1</v>
      </c>
    </row>
    <row r="503" spans="1:50">
      <c r="A503">
        <v>230</v>
      </c>
      <c r="B503">
        <v>121</v>
      </c>
      <c r="C503" t="s">
        <v>2037</v>
      </c>
      <c r="D503" s="8" t="s">
        <v>2058</v>
      </c>
      <c r="E503" s="23">
        <v>35.99</v>
      </c>
      <c r="F503" s="23" t="b">
        <v>1</v>
      </c>
      <c r="G503" s="24"/>
      <c r="H503" s="24"/>
      <c r="J503" s="6" t="str">
        <f>_xlfn.XLOOKUP(tbl_Sourcing[[#This Row],[Product Id]], tbl_Product[Product Id], tbl_Product[Name])</f>
        <v>MTG Modern Horizons 3 MH3 Collector Booster</v>
      </c>
      <c r="K503" s="6"/>
      <c r="L503" s="6"/>
      <c r="M503" s="6">
        <v>18</v>
      </c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88</v>
      </c>
      <c r="AW503" s="6" t="b">
        <f>_xlfn.XLOOKUP(tbl_Sourcing[[#This Row],[Product Id]], tbl_Product[Product Id], tbl_Product[Is Set or Play Booster])</f>
        <v>0</v>
      </c>
      <c r="AX503" s="6" t="b">
        <f>_xlfn.XLOOKUP(tbl_Sourcing[[#This Row],[Product Id]], tbl_Product[Product Id], tbl_Product[Is Precon])</f>
        <v>0</v>
      </c>
    </row>
    <row r="504" spans="1:50">
      <c r="A504">
        <v>228</v>
      </c>
      <c r="B504">
        <v>15</v>
      </c>
      <c r="C504" t="s">
        <v>2037</v>
      </c>
      <c r="D504" s="8" t="s">
        <v>2059</v>
      </c>
      <c r="E504" s="24"/>
      <c r="F504" s="23" t="b">
        <v>0</v>
      </c>
      <c r="G504" s="24"/>
      <c r="H504" s="24"/>
      <c r="J504" s="6" t="str">
        <f>_xlfn.XLOOKUP(tbl_Sourcing[[#This Row],[Product Id]], tbl_Product[Product Id], tbl_Product[Name])</f>
        <v>MTG Modern Horizons 3 MH3 Play Booster</v>
      </c>
      <c r="K504" s="6"/>
      <c r="L504" s="6"/>
      <c r="M504" s="6">
        <v>19</v>
      </c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93</v>
      </c>
      <c r="AW504" s="6" t="b">
        <f>_xlfn.XLOOKUP(tbl_Sourcing[[#This Row],[Product Id]], tbl_Product[Product Id], tbl_Product[Is Set or Play Booster])</f>
        <v>1</v>
      </c>
      <c r="AX504" s="6" t="b">
        <f>_xlfn.XLOOKUP(tbl_Sourcing[[#This Row],[Product Id]], tbl_Product[Product Id], tbl_Product[Is Precon])</f>
        <v>0</v>
      </c>
    </row>
    <row r="505" spans="1:50">
      <c r="A505">
        <v>229</v>
      </c>
      <c r="B505">
        <v>60</v>
      </c>
      <c r="C505" t="s">
        <v>2037</v>
      </c>
      <c r="D505" s="8" t="s">
        <v>2060</v>
      </c>
      <c r="E505" s="24"/>
      <c r="F505" s="23" t="b">
        <v>0</v>
      </c>
      <c r="G505" s="24"/>
      <c r="H505" s="24"/>
      <c r="J505" s="6" t="str">
        <f>_xlfn.XLOOKUP(tbl_Sourcing[[#This Row],[Product Id]], tbl_Product[Product Id], tbl_Product[Name])</f>
        <v>MTG Modern Horizons 3 MH3 Play Booster Box</v>
      </c>
      <c r="K505" s="6"/>
      <c r="L505" s="6"/>
      <c r="M505" s="6">
        <v>20</v>
      </c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98</v>
      </c>
      <c r="AW505" s="6" t="b">
        <f>_xlfn.XLOOKUP(tbl_Sourcing[[#This Row],[Product Id]], tbl_Product[Product Id], tbl_Product[Is Set or Play Booster])</f>
        <v>1</v>
      </c>
      <c r="AX505" s="6" t="b">
        <f>_xlfn.XLOOKUP(tbl_Sourcing[[#This Row],[Product Id]], tbl_Product[Product Id], tbl_Product[Is Precon])</f>
        <v>0</v>
      </c>
    </row>
    <row r="506" spans="1:50">
      <c r="A506">
        <v>237</v>
      </c>
      <c r="B506">
        <v>123</v>
      </c>
      <c r="C506" t="s">
        <v>2037</v>
      </c>
      <c r="D506" s="8" t="s">
        <v>2061</v>
      </c>
      <c r="E506" s="23">
        <v>23.49</v>
      </c>
      <c r="F506" s="23" t="b">
        <v>1</v>
      </c>
      <c r="G506" s="24"/>
      <c r="H506" s="24"/>
      <c r="J506" s="6" t="str">
        <f>_xlfn.XLOOKUP(tbl_Sourcing[[#This Row],[Product Id]], tbl_Product[Product Id], tbl_Product[Name])</f>
        <v>MTG Murders at Karlov Manor Collector Booster</v>
      </c>
      <c r="K506" s="6"/>
      <c r="L506" s="6"/>
      <c r="M506" s="6">
        <v>21</v>
      </c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103</v>
      </c>
      <c r="AW506" s="6" t="b">
        <f>_xlfn.XLOOKUP(tbl_Sourcing[[#This Row],[Product Id]], tbl_Product[Product Id], tbl_Product[Is Set or Play Booster])</f>
        <v>0</v>
      </c>
      <c r="AX506" s="6" t="b">
        <f>_xlfn.XLOOKUP(tbl_Sourcing[[#This Row],[Product Id]], tbl_Product[Product Id], tbl_Product[Is Precon])</f>
        <v>0</v>
      </c>
    </row>
    <row r="507" spans="1:50">
      <c r="A507">
        <v>238</v>
      </c>
      <c r="B507">
        <v>124</v>
      </c>
      <c r="C507" t="s">
        <v>2037</v>
      </c>
      <c r="D507" s="8" t="s">
        <v>2062</v>
      </c>
      <c r="E507" s="23">
        <v>274.99</v>
      </c>
      <c r="F507" s="23" t="b">
        <v>1</v>
      </c>
      <c r="G507" s="24"/>
      <c r="H507" s="24"/>
      <c r="J507" s="6" t="str">
        <f>_xlfn.XLOOKUP(tbl_Sourcing[[#This Row],[Product Id]], tbl_Product[Product Id], tbl_Product[Name])</f>
        <v>MTG Murders at Karlov Manor Collector Booster Box</v>
      </c>
      <c r="K507" s="6"/>
      <c r="L507" s="6"/>
      <c r="M507" s="6">
        <v>22</v>
      </c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108</v>
      </c>
      <c r="AW507" s="6" t="b">
        <f>_xlfn.XLOOKUP(tbl_Sourcing[[#This Row],[Product Id]], tbl_Product[Product Id], tbl_Product[Is Set or Play Booster])</f>
        <v>0</v>
      </c>
      <c r="AX507" s="6" t="b">
        <f>_xlfn.XLOOKUP(tbl_Sourcing[[#This Row],[Product Id]], tbl_Product[Product Id], tbl_Product[Is Precon])</f>
        <v>0</v>
      </c>
    </row>
    <row r="508" spans="1:50">
      <c r="A508">
        <v>235</v>
      </c>
      <c r="B508">
        <v>35</v>
      </c>
      <c r="C508" t="s">
        <v>2037</v>
      </c>
      <c r="D508" s="8" t="s">
        <v>2063</v>
      </c>
      <c r="E508" s="23">
        <v>4.49</v>
      </c>
      <c r="F508" s="23" t="b">
        <v>1</v>
      </c>
      <c r="G508" s="24"/>
      <c r="H508" s="24"/>
      <c r="J508" s="6" t="str">
        <f>_xlfn.XLOOKUP(tbl_Sourcing[[#This Row],[Product Id]], tbl_Product[Product Id], tbl_Product[Name])</f>
        <v>MTG Murders at Karlov Manor Play Booster</v>
      </c>
      <c r="K508" s="6"/>
      <c r="L508" s="6"/>
      <c r="M508" s="6">
        <v>23</v>
      </c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113</v>
      </c>
      <c r="AW508" s="6" t="b">
        <f>_xlfn.XLOOKUP(tbl_Sourcing[[#This Row],[Product Id]], tbl_Product[Product Id], tbl_Product[Is Set or Play Booster])</f>
        <v>1</v>
      </c>
      <c r="AX508" s="6" t="b">
        <f>_xlfn.XLOOKUP(tbl_Sourcing[[#This Row],[Product Id]], tbl_Product[Product Id], tbl_Product[Is Precon])</f>
        <v>0</v>
      </c>
    </row>
    <row r="509" spans="1:50">
      <c r="A509">
        <v>236</v>
      </c>
      <c r="B509">
        <v>80</v>
      </c>
      <c r="C509" t="s">
        <v>2037</v>
      </c>
      <c r="D509" s="8" t="s">
        <v>2064</v>
      </c>
      <c r="E509" s="23">
        <v>157.99</v>
      </c>
      <c r="F509" s="23" t="b">
        <v>1</v>
      </c>
      <c r="G509" s="24"/>
      <c r="H509" s="24"/>
      <c r="J509" s="6" t="str">
        <f>_xlfn.XLOOKUP(tbl_Sourcing[[#This Row],[Product Id]], tbl_Product[Product Id], tbl_Product[Name])</f>
        <v>MTG Murders at Karlov Manor Play Booster Box</v>
      </c>
      <c r="K509" s="6"/>
      <c r="L509" s="6"/>
      <c r="M509" s="6">
        <v>24</v>
      </c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118</v>
      </c>
      <c r="AW509" s="6" t="b">
        <f>_xlfn.XLOOKUP(tbl_Sourcing[[#This Row],[Product Id]], tbl_Product[Product Id], tbl_Product[Is Set or Play Booster])</f>
        <v>1</v>
      </c>
      <c r="AX509" s="6" t="b">
        <f>_xlfn.XLOOKUP(tbl_Sourcing[[#This Row],[Product Id]], tbl_Product[Product Id], tbl_Product[Is Precon])</f>
        <v>0</v>
      </c>
    </row>
    <row r="510" spans="1:50">
      <c r="A510">
        <v>226</v>
      </c>
      <c r="B510">
        <v>11</v>
      </c>
      <c r="C510" t="s">
        <v>2037</v>
      </c>
      <c r="D510" s="8" t="s">
        <v>2065</v>
      </c>
      <c r="E510" s="23">
        <v>4.25</v>
      </c>
      <c r="F510" s="23" t="b">
        <v>1</v>
      </c>
      <c r="G510" s="24"/>
      <c r="H510" s="24"/>
      <c r="J510" s="6" t="str">
        <f>_xlfn.XLOOKUP(tbl_Sourcing[[#This Row],[Product Id]], tbl_Product[Product Id], tbl_Product[Name])</f>
        <v>MTG Outlaws of Thunder Junction Play Booster</v>
      </c>
      <c r="K510" s="6"/>
      <c r="L510" s="6"/>
      <c r="M510" s="6">
        <v>25</v>
      </c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123</v>
      </c>
      <c r="AW510" s="6" t="b">
        <f>_xlfn.XLOOKUP(tbl_Sourcing[[#This Row],[Product Id]], tbl_Product[Product Id], tbl_Product[Is Set or Play Booster])</f>
        <v>1</v>
      </c>
      <c r="AX510" s="6" t="b">
        <f>_xlfn.XLOOKUP(tbl_Sourcing[[#This Row],[Product Id]], tbl_Product[Product Id], tbl_Product[Is Precon])</f>
        <v>0</v>
      </c>
    </row>
    <row r="511" spans="1:50">
      <c r="A511">
        <v>227</v>
      </c>
      <c r="B511">
        <v>56</v>
      </c>
      <c r="C511" t="s">
        <v>2037</v>
      </c>
      <c r="D511" s="8" t="s">
        <v>2066</v>
      </c>
      <c r="E511" s="23">
        <v>149.99</v>
      </c>
      <c r="F511" s="23" t="b">
        <v>1</v>
      </c>
      <c r="G511" s="24"/>
      <c r="H511" s="24"/>
      <c r="J511" s="6" t="str">
        <f>_xlfn.XLOOKUP(tbl_Sourcing[[#This Row],[Product Id]], tbl_Product[Product Id], tbl_Product[Name])</f>
        <v>MTG Outlaws of Thunder Junction Play Booster Box</v>
      </c>
      <c r="K511" s="6"/>
      <c r="L511" s="6"/>
      <c r="M511" s="6">
        <v>26</v>
      </c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128</v>
      </c>
      <c r="AW511" s="6" t="b">
        <f>_xlfn.XLOOKUP(tbl_Sourcing[[#This Row],[Product Id]], tbl_Product[Product Id], tbl_Product[Is Set or Play Booster])</f>
        <v>1</v>
      </c>
      <c r="AX511" s="6" t="b">
        <f>_xlfn.XLOOKUP(tbl_Sourcing[[#This Row],[Product Id]], tbl_Product[Product Id], tbl_Product[Is Precon])</f>
        <v>0</v>
      </c>
    </row>
    <row r="512" spans="1:50">
      <c r="A512">
        <v>233</v>
      </c>
      <c r="B512">
        <v>23</v>
      </c>
      <c r="C512" t="s">
        <v>2037</v>
      </c>
      <c r="D512" s="8" t="s">
        <v>2067</v>
      </c>
      <c r="E512" s="23">
        <v>5.99</v>
      </c>
      <c r="F512" s="23" t="b">
        <v>1</v>
      </c>
      <c r="G512" s="24"/>
      <c r="H512" s="24"/>
      <c r="J512" s="6" t="str">
        <f>_xlfn.XLOOKUP(tbl_Sourcing[[#This Row],[Product Id]], tbl_Product[Product Id], tbl_Product[Name])</f>
        <v>MTG Ravnica Remastered Draft Booster</v>
      </c>
      <c r="K512" s="6"/>
      <c r="L512" s="6"/>
      <c r="M512" s="6">
        <v>27</v>
      </c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133</v>
      </c>
      <c r="AW512" s="6" t="b">
        <f>_xlfn.XLOOKUP(tbl_Sourcing[[#This Row],[Product Id]], tbl_Product[Product Id], tbl_Product[Is Set or Play Booster])</f>
        <v>1</v>
      </c>
      <c r="AX512" s="6" t="b">
        <f>_xlfn.XLOOKUP(tbl_Sourcing[[#This Row],[Product Id]], tbl_Product[Product Id], tbl_Product[Is Precon])</f>
        <v>0</v>
      </c>
    </row>
    <row r="513" spans="1:50">
      <c r="A513">
        <v>234</v>
      </c>
      <c r="B513">
        <v>68</v>
      </c>
      <c r="C513" t="s">
        <v>2037</v>
      </c>
      <c r="D513" s="8" t="s">
        <v>2068</v>
      </c>
      <c r="E513" s="23">
        <v>199.99</v>
      </c>
      <c r="F513" s="23" t="b">
        <v>1</v>
      </c>
      <c r="G513" s="24"/>
      <c r="H513" s="24"/>
      <c r="J513" s="6" t="str">
        <f>_xlfn.XLOOKUP(tbl_Sourcing[[#This Row],[Product Id]], tbl_Product[Product Id], tbl_Product[Name])</f>
        <v>MTG Ravnica Remastered Draft Booster Box</v>
      </c>
      <c r="K513" s="6"/>
      <c r="L513" s="6"/>
      <c r="M513" s="6">
        <v>28</v>
      </c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138</v>
      </c>
      <c r="AW513" s="6" t="b">
        <f>_xlfn.XLOOKUP(tbl_Sourcing[[#This Row],[Product Id]], tbl_Product[Product Id], tbl_Product[Is Set or Play Booster])</f>
        <v>1</v>
      </c>
      <c r="AX513" s="6" t="b">
        <f>_xlfn.XLOOKUP(tbl_Sourcing[[#This Row],[Product Id]], tbl_Product[Product Id], tbl_Product[Is Precon])</f>
        <v>0</v>
      </c>
    </row>
    <row r="514" spans="1:50">
      <c r="A514">
        <v>224</v>
      </c>
      <c r="B514">
        <v>131</v>
      </c>
      <c r="C514" t="s">
        <v>2037</v>
      </c>
      <c r="D514" s="8" t="s">
        <v>2069</v>
      </c>
      <c r="E514" s="23">
        <v>19.989999999999998</v>
      </c>
      <c r="F514" s="23" t="b">
        <v>1</v>
      </c>
      <c r="G514" s="24"/>
      <c r="H514" s="24"/>
      <c r="J514" s="6" t="str">
        <f>_xlfn.XLOOKUP(tbl_Sourcing[[#This Row],[Product Id]], tbl_Product[Product Id], tbl_Product[Name])</f>
        <v>MTG Streets of New Capenna Collector Booster</v>
      </c>
      <c r="K514" s="6"/>
      <c r="L514" s="6"/>
      <c r="M514" s="6">
        <v>29</v>
      </c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143</v>
      </c>
      <c r="AW514" s="6" t="b">
        <f>_xlfn.XLOOKUP(tbl_Sourcing[[#This Row],[Product Id]], tbl_Product[Product Id], tbl_Product[Is Set or Play Booster])</f>
        <v>0</v>
      </c>
      <c r="AX514" s="6" t="b">
        <f>_xlfn.XLOOKUP(tbl_Sourcing[[#This Row],[Product Id]], tbl_Product[Product Id], tbl_Product[Is Precon])</f>
        <v>0</v>
      </c>
    </row>
    <row r="515" spans="1:50">
      <c r="A515">
        <v>225</v>
      </c>
      <c r="B515">
        <v>132</v>
      </c>
      <c r="C515" t="s">
        <v>2037</v>
      </c>
      <c r="D515" s="8" t="s">
        <v>2070</v>
      </c>
      <c r="E515" s="23">
        <v>224.99</v>
      </c>
      <c r="F515" s="23" t="b">
        <v>1</v>
      </c>
      <c r="G515" s="24"/>
      <c r="H515" s="24"/>
      <c r="J515" s="6" t="str">
        <f>_xlfn.XLOOKUP(tbl_Sourcing[[#This Row],[Product Id]], tbl_Product[Product Id], tbl_Product[Name])</f>
        <v>MTG Streets of New Capenna Collector Booster Box</v>
      </c>
      <c r="K515" s="6"/>
      <c r="L515" s="6"/>
      <c r="M515" s="6">
        <v>30</v>
      </c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148</v>
      </c>
      <c r="AW515" s="6" t="b">
        <f>_xlfn.XLOOKUP(tbl_Sourcing[[#This Row],[Product Id]], tbl_Product[Product Id], tbl_Product[Is Set or Play Booster])</f>
        <v>0</v>
      </c>
      <c r="AX515" s="6" t="b">
        <f>_xlfn.XLOOKUP(tbl_Sourcing[[#This Row],[Product Id]], tbl_Product[Product Id], tbl_Product[Is Precon])</f>
        <v>0</v>
      </c>
    </row>
    <row r="516" spans="1:50">
      <c r="A516">
        <v>223</v>
      </c>
      <c r="B516">
        <v>30</v>
      </c>
      <c r="C516" t="s">
        <v>2037</v>
      </c>
      <c r="D516" s="8" t="s">
        <v>2071</v>
      </c>
      <c r="E516" s="23">
        <v>3.99</v>
      </c>
      <c r="F516" s="23" t="b">
        <v>1</v>
      </c>
      <c r="G516" s="24"/>
      <c r="H516" s="24"/>
      <c r="J516" s="6" t="str">
        <f>_xlfn.XLOOKUP(tbl_Sourcing[[#This Row],[Product Id]], tbl_Product[Product Id], tbl_Product[Name])</f>
        <v>MTG Streets of New Capenna Set Booster</v>
      </c>
      <c r="K516" s="6"/>
      <c r="L516" s="6"/>
      <c r="M516" s="6">
        <v>31</v>
      </c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153</v>
      </c>
      <c r="AW516" s="6" t="b">
        <f>_xlfn.XLOOKUP(tbl_Sourcing[[#This Row],[Product Id]], tbl_Product[Product Id], tbl_Product[Is Set or Play Booster])</f>
        <v>1</v>
      </c>
      <c r="AX516" s="6" t="b">
        <f>_xlfn.XLOOKUP(tbl_Sourcing[[#This Row],[Product Id]], tbl_Product[Product Id], tbl_Product[Is Precon])</f>
        <v>0</v>
      </c>
    </row>
    <row r="517" spans="1:50">
      <c r="A517">
        <v>487</v>
      </c>
      <c r="B517">
        <v>84</v>
      </c>
      <c r="C517" t="s">
        <v>2072</v>
      </c>
      <c r="D517" s="1"/>
      <c r="E517" s="1">
        <f>_xlfn.XLOOKUP(tbl_Sourcing[[#This Row],[Notes]], tbl_Sourcing[Sourcing Id],  tbl_Sourcing[Source Unit Cost])*tbl_Sourcing[[#This Row],[Min Order Value]]</f>
        <v>263.88</v>
      </c>
      <c r="F517" s="1" t="b">
        <f>_xlfn.XLOOKUP(tbl_Sourcing[[#This Row],[Notes]], tbl_Sourcing[Sourcing Id], tbl_Sourcing[Active])</f>
        <v>1</v>
      </c>
      <c r="G517" s="6">
        <f>_xlfn.XLOOKUP(tbl_Sourcing[[#This Row],[Product Id]], tbl_Product[Product Id], tbl_Product[Pack Size])</f>
        <v>12</v>
      </c>
      <c r="I517">
        <v>252</v>
      </c>
      <c r="J517" s="6" t="str">
        <f>_xlfn.XLOOKUP(tbl_Sourcing[[#This Row],[Product Id]], tbl_Product[Product Id], tbl_Product[Name])</f>
        <v>MTG Aetherdrift Collector Booster Box</v>
      </c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17" s="6" t="b">
        <f>_xlfn.XLOOKUP(tbl_Sourcing[[#This Row],[Product Id]], tbl_Product[Product Id], tbl_Product[Is Set or Play Booster])</f>
        <v>0</v>
      </c>
      <c r="AX517" s="6" t="b">
        <f>_xlfn.XLOOKUP(tbl_Sourcing[[#This Row],[Product Id]], tbl_Product[Product Id], tbl_Product[Is Precon])</f>
        <v>0</v>
      </c>
    </row>
    <row r="518" spans="1:50">
      <c r="A518">
        <v>486</v>
      </c>
      <c r="B518">
        <v>70</v>
      </c>
      <c r="C518" t="s">
        <v>2072</v>
      </c>
      <c r="D518" s="1"/>
      <c r="E518" s="1">
        <f>_xlfn.XLOOKUP(tbl_Sourcing[[#This Row],[Notes]], tbl_Sourcing[Sourcing Id],  tbl_Sourcing[Source Unit Cost])*tbl_Sourcing[[#This Row],[Min Order Value]]</f>
        <v>142.5</v>
      </c>
      <c r="F518" s="1" t="b">
        <f>_xlfn.XLOOKUP(tbl_Sourcing[[#This Row],[Notes]], tbl_Sourcing[Sourcing Id], tbl_Sourcing[Active])</f>
        <v>1</v>
      </c>
      <c r="G518" s="6">
        <f>_xlfn.XLOOKUP(tbl_Sourcing[[#This Row],[Product Id]], tbl_Product[Product Id], tbl_Product[Pack Size])</f>
        <v>30</v>
      </c>
      <c r="I518">
        <v>250</v>
      </c>
      <c r="J518" s="6" t="str">
        <f>_xlfn.XLOOKUP(tbl_Sourcing[[#This Row],[Product Id]], tbl_Product[Product Id], tbl_Product[Name])</f>
        <v>MTG Aetherdrift Play Booster Box</v>
      </c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18" s="6" t="b">
        <f>_xlfn.XLOOKUP(tbl_Sourcing[[#This Row],[Product Id]], tbl_Product[Product Id], tbl_Product[Is Set or Play Booster])</f>
        <v>1</v>
      </c>
      <c r="AX518" s="6" t="b">
        <f>_xlfn.XLOOKUP(tbl_Sourcing[[#This Row],[Product Id]], tbl_Product[Product Id], tbl_Product[Is Precon])</f>
        <v>0</v>
      </c>
    </row>
    <row r="519" spans="1:50">
      <c r="A519">
        <v>485</v>
      </c>
      <c r="B519">
        <v>63</v>
      </c>
      <c r="C519" t="s">
        <v>2072</v>
      </c>
      <c r="D519" s="1"/>
      <c r="E519" s="1">
        <f>_xlfn.XLOOKUP(tbl_Sourcing[[#This Row],[Notes]], tbl_Sourcing[Sourcing Id],  tbl_Sourcing[Source Unit Cost])*tbl_Sourcing[[#This Row],[Min Order Value]]</f>
        <v>131.76</v>
      </c>
      <c r="F519" s="1" t="b">
        <f>_xlfn.XLOOKUP(tbl_Sourcing[[#This Row],[Notes]], tbl_Sourcing[Sourcing Id], tbl_Sourcing[Active])</f>
        <v>1</v>
      </c>
      <c r="G519" s="6">
        <f>_xlfn.XLOOKUP(tbl_Sourcing[[#This Row],[Product Id]], tbl_Product[Product Id], tbl_Product[Pack Size])</f>
        <v>24</v>
      </c>
      <c r="I519">
        <v>248</v>
      </c>
      <c r="J519" s="6" t="str">
        <f>_xlfn.XLOOKUP(tbl_Sourcing[[#This Row],[Product Id]], tbl_Product[Product Id], tbl_Product[Name])</f>
        <v>MTG Assassin's Creed Beyond Booster Box</v>
      </c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19" s="6" t="b">
        <f>_xlfn.XLOOKUP(tbl_Sourcing[[#This Row],[Product Id]], tbl_Product[Product Id], tbl_Product[Is Set or Play Booster])</f>
        <v>1</v>
      </c>
      <c r="AX519" s="6" t="b">
        <f>_xlfn.XLOOKUP(tbl_Sourcing[[#This Row],[Product Id]], tbl_Product[Product Id], tbl_Product[Is Precon])</f>
        <v>0</v>
      </c>
    </row>
    <row r="520" spans="1:50">
      <c r="A520">
        <v>484</v>
      </c>
      <c r="B520">
        <v>52</v>
      </c>
      <c r="C520" t="s">
        <v>2072</v>
      </c>
      <c r="D520" s="1"/>
      <c r="E520" s="1">
        <f>_xlfn.XLOOKUP(tbl_Sourcing[[#This Row],[Notes]], tbl_Sourcing[Sourcing Id],  tbl_Sourcing[Source Unit Cost])*tbl_Sourcing[[#This Row],[Min Order Value]]</f>
        <v>443.76</v>
      </c>
      <c r="F520" s="1" t="b">
        <f>_xlfn.XLOOKUP(tbl_Sourcing[[#This Row],[Notes]], tbl_Sourcing[Sourcing Id], tbl_Sourcing[Active])</f>
        <v>1</v>
      </c>
      <c r="G520" s="6">
        <f>_xlfn.XLOOKUP(tbl_Sourcing[[#This Row],[Product Id]], tbl_Product[Product Id], tbl_Product[Pack Size])</f>
        <v>24</v>
      </c>
      <c r="I520">
        <v>246</v>
      </c>
      <c r="J520" s="6" t="str">
        <f>_xlfn.XLOOKUP(tbl_Sourcing[[#This Row],[Product Id]], tbl_Product[Product Id], tbl_Product[Name])</f>
        <v>MTG Commander Masters Set Booster Box</v>
      </c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0" s="6" t="b">
        <f>_xlfn.XLOOKUP(tbl_Sourcing[[#This Row],[Product Id]], tbl_Product[Product Id], tbl_Product[Is Set or Play Booster])</f>
        <v>1</v>
      </c>
      <c r="AX520" s="6" t="b">
        <f>_xlfn.XLOOKUP(tbl_Sourcing[[#This Row],[Product Id]], tbl_Product[Product Id], tbl_Product[Is Precon])</f>
        <v>0</v>
      </c>
    </row>
    <row r="521" spans="1:50">
      <c r="A521">
        <v>476</v>
      </c>
      <c r="B521">
        <v>94</v>
      </c>
      <c r="C521" t="s">
        <v>2072</v>
      </c>
      <c r="D521" s="1"/>
      <c r="E521" s="1">
        <f>_xlfn.XLOOKUP(tbl_Sourcing[[#This Row],[Notes]], tbl_Sourcing[Sourcing Id],  tbl_Sourcing[Source Unit Cost])*tbl_Sourcing[[#This Row],[Min Order Value]]</f>
        <v>263.88</v>
      </c>
      <c r="F521" s="1" t="b">
        <f>_xlfn.XLOOKUP(tbl_Sourcing[[#This Row],[Notes]], tbl_Sourcing[Sourcing Id], tbl_Sourcing[Active])</f>
        <v>1</v>
      </c>
      <c r="G521" s="6">
        <f>_xlfn.XLOOKUP(tbl_Sourcing[[#This Row],[Product Id]], tbl_Product[Product Id], tbl_Product[Pack Size])</f>
        <v>12</v>
      </c>
      <c r="I521">
        <v>231</v>
      </c>
      <c r="J521" s="6" t="str">
        <f>_xlfn.XLOOKUP(tbl_Sourcing[[#This Row],[Product Id]], tbl_Product[Product Id], tbl_Product[Name])</f>
        <v>MTG Dominaria United DMU Collector Booster Box</v>
      </c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1" s="6" t="b">
        <f>_xlfn.XLOOKUP(tbl_Sourcing[[#This Row],[Product Id]], tbl_Product[Product Id], tbl_Product[Is Set or Play Booster])</f>
        <v>0</v>
      </c>
      <c r="AX521" s="6" t="b">
        <f>_xlfn.XLOOKUP(tbl_Sourcing[[#This Row],[Product Id]], tbl_Product[Product Id], tbl_Product[Is Precon])</f>
        <v>0</v>
      </c>
    </row>
    <row r="522" spans="1:50">
      <c r="A522">
        <v>483</v>
      </c>
      <c r="B522">
        <v>71</v>
      </c>
      <c r="C522" t="s">
        <v>2072</v>
      </c>
      <c r="D522" s="1"/>
      <c r="E522" s="1">
        <f>_xlfn.XLOOKUP(tbl_Sourcing[[#This Row],[Notes]], tbl_Sourcing[Sourcing Id],  tbl_Sourcing[Source Unit Cost])*tbl_Sourcing[[#This Row],[Min Order Value]]</f>
        <v>153</v>
      </c>
      <c r="F522" s="1" t="b">
        <f>_xlfn.XLOOKUP(tbl_Sourcing[[#This Row],[Notes]], tbl_Sourcing[Sourcing Id], tbl_Sourcing[Active])</f>
        <v>1</v>
      </c>
      <c r="G522" s="6">
        <f>_xlfn.XLOOKUP(tbl_Sourcing[[#This Row],[Product Id]], tbl_Product[Product Id], tbl_Product[Pack Size])</f>
        <v>36</v>
      </c>
      <c r="I522">
        <v>244</v>
      </c>
      <c r="J522" s="6" t="str">
        <f>_xlfn.XLOOKUP(tbl_Sourcing[[#This Row],[Product Id]], tbl_Product[Product Id], tbl_Product[Name])</f>
        <v>MTG Duskmourn: House of Horror Play Booster Box</v>
      </c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2" s="6" t="b">
        <f>_xlfn.XLOOKUP(tbl_Sourcing[[#This Row],[Product Id]], tbl_Product[Product Id], tbl_Product[Is Set or Play Booster])</f>
        <v>1</v>
      </c>
      <c r="AX522" s="6" t="b">
        <f>_xlfn.XLOOKUP(tbl_Sourcing[[#This Row],[Product Id]], tbl_Product[Product Id], tbl_Product[Is Precon])</f>
        <v>0</v>
      </c>
    </row>
    <row r="523" spans="1:50">
      <c r="A523">
        <v>481</v>
      </c>
      <c r="B523">
        <v>106</v>
      </c>
      <c r="C523" t="s">
        <v>2072</v>
      </c>
      <c r="D523" s="1"/>
      <c r="E523" s="1">
        <f>_xlfn.XLOOKUP(tbl_Sourcing[[#This Row],[Notes]], tbl_Sourcing[Sourcing Id],  tbl_Sourcing[Source Unit Cost])*tbl_Sourcing[[#This Row],[Min Order Value]]</f>
        <v>335.88</v>
      </c>
      <c r="F523" s="1" t="b">
        <f>_xlfn.XLOOKUP(tbl_Sourcing[[#This Row],[Notes]], tbl_Sourcing[Sourcing Id], tbl_Sourcing[Active])</f>
        <v>1</v>
      </c>
      <c r="G523" s="6">
        <f>_xlfn.XLOOKUP(tbl_Sourcing[[#This Row],[Product Id]], tbl_Product[Product Id], tbl_Product[Pack Size])</f>
        <v>12</v>
      </c>
      <c r="I523">
        <v>241</v>
      </c>
      <c r="J523" s="6" t="str">
        <f>_xlfn.XLOOKUP(tbl_Sourcing[[#This Row],[Product Id]], tbl_Product[Product Id], tbl_Product[Name])</f>
        <v>MTG Innistrad Remastered INR Collector Booster Box</v>
      </c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3" s="6" t="b">
        <f>_xlfn.XLOOKUP(tbl_Sourcing[[#This Row],[Product Id]], tbl_Product[Product Id], tbl_Product[Is Set or Play Booster])</f>
        <v>0</v>
      </c>
      <c r="AX523" s="6" t="b">
        <f>_xlfn.XLOOKUP(tbl_Sourcing[[#This Row],[Product Id]], tbl_Product[Product Id], tbl_Product[Is Precon])</f>
        <v>0</v>
      </c>
    </row>
    <row r="524" spans="1:50">
      <c r="A524">
        <v>480</v>
      </c>
      <c r="B524">
        <v>48</v>
      </c>
      <c r="C524" t="s">
        <v>2072</v>
      </c>
      <c r="D524" s="1"/>
      <c r="E524" s="1">
        <f>_xlfn.XLOOKUP(tbl_Sourcing[[#This Row],[Notes]], tbl_Sourcing[Sourcing Id],  tbl_Sourcing[Source Unit Cost])*tbl_Sourcing[[#This Row],[Min Order Value]]</f>
        <v>225</v>
      </c>
      <c r="F524" s="1" t="b">
        <f>_xlfn.XLOOKUP(tbl_Sourcing[[#This Row],[Notes]], tbl_Sourcing[Sourcing Id], tbl_Sourcing[Active])</f>
        <v>1</v>
      </c>
      <c r="G524" s="6">
        <f>_xlfn.XLOOKUP(tbl_Sourcing[[#This Row],[Product Id]], tbl_Product[Product Id], tbl_Product[Pack Size])</f>
        <v>36</v>
      </c>
      <c r="I524">
        <v>239</v>
      </c>
      <c r="J524" s="6" t="str">
        <f>_xlfn.XLOOKUP(tbl_Sourcing[[#This Row],[Product Id]], tbl_Product[Product Id], tbl_Product[Name])</f>
        <v>MTG Innistrad Remastered INR Play Booster Box</v>
      </c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4" s="6" t="b">
        <f>_xlfn.XLOOKUP(tbl_Sourcing[[#This Row],[Product Id]], tbl_Product[Product Id], tbl_Product[Is Set or Play Booster])</f>
        <v>1</v>
      </c>
      <c r="AX524" s="6" t="b">
        <f>_xlfn.XLOOKUP(tbl_Sourcing[[#This Row],[Product Id]], tbl_Product[Product Id], tbl_Product[Is Precon])</f>
        <v>0</v>
      </c>
    </row>
    <row r="525" spans="1:50">
      <c r="A525">
        <v>482</v>
      </c>
      <c r="B525">
        <v>104</v>
      </c>
      <c r="C525" t="s">
        <v>2072</v>
      </c>
      <c r="D525" s="1"/>
      <c r="E525" s="1">
        <f>_xlfn.XLOOKUP(tbl_Sourcing[[#This Row],[Notes]], tbl_Sourcing[Sourcing Id],  tbl_Sourcing[Source Unit Cost])*tbl_Sourcing[[#This Row],[Min Order Value]]</f>
        <v>191.88</v>
      </c>
      <c r="F525" s="1" t="b">
        <f>_xlfn.XLOOKUP(tbl_Sourcing[[#This Row],[Notes]], tbl_Sourcing[Sourcing Id], tbl_Sourcing[Active])</f>
        <v>1</v>
      </c>
      <c r="G525" s="6">
        <f>_xlfn.XLOOKUP(tbl_Sourcing[[#This Row],[Product Id]], tbl_Product[Product Id], tbl_Product[Pack Size])</f>
        <v>12</v>
      </c>
      <c r="I525">
        <v>242</v>
      </c>
      <c r="J525" s="6" t="str">
        <f>_xlfn.XLOOKUP(tbl_Sourcing[[#This Row],[Product Id]], tbl_Product[Product Id], tbl_Product[Name])</f>
        <v>MTG Innistrad: Midnight Hunt Collector Booster Box</v>
      </c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5" s="6" t="b">
        <f>_xlfn.XLOOKUP(tbl_Sourcing[[#This Row],[Product Id]], tbl_Product[Product Id], tbl_Product[Is Set or Play Booster])</f>
        <v>0</v>
      </c>
      <c r="AX525" s="6" t="b">
        <f>_xlfn.XLOOKUP(tbl_Sourcing[[#This Row],[Product Id]], tbl_Product[Product Id], tbl_Product[Is Precon])</f>
        <v>0</v>
      </c>
    </row>
    <row r="526" spans="1:50">
      <c r="A526">
        <v>475</v>
      </c>
      <c r="B526">
        <v>122</v>
      </c>
      <c r="C526" t="s">
        <v>2072</v>
      </c>
      <c r="D526" s="1"/>
      <c r="E526" s="1">
        <f>_xlfn.XLOOKUP(tbl_Sourcing[[#This Row],[Notes]], tbl_Sourcing[Sourcing Id],  tbl_Sourcing[Source Unit Cost])*tbl_Sourcing[[#This Row],[Min Order Value]]</f>
        <v>431.88</v>
      </c>
      <c r="F526" s="1" t="b">
        <f>_xlfn.XLOOKUP(tbl_Sourcing[[#This Row],[Notes]], tbl_Sourcing[Sourcing Id], tbl_Sourcing[Active])</f>
        <v>1</v>
      </c>
      <c r="G526" s="6">
        <f>_xlfn.XLOOKUP(tbl_Sourcing[[#This Row],[Product Id]], tbl_Product[Product Id], tbl_Product[Pack Size])</f>
        <v>12</v>
      </c>
      <c r="I526">
        <v>230</v>
      </c>
      <c r="J526" s="6" t="str">
        <f>_xlfn.XLOOKUP(tbl_Sourcing[[#This Row],[Product Id]], tbl_Product[Product Id], tbl_Product[Name])</f>
        <v>MTG Modern Horizons 3 MH3 Collector Booster Box</v>
      </c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6" s="6" t="b">
        <f>_xlfn.XLOOKUP(tbl_Sourcing[[#This Row],[Product Id]], tbl_Product[Product Id], tbl_Product[Is Set or Play Booster])</f>
        <v>0</v>
      </c>
      <c r="AX526" s="6" t="b">
        <f>_xlfn.XLOOKUP(tbl_Sourcing[[#This Row],[Product Id]], tbl_Product[Product Id], tbl_Product[Is Precon])</f>
        <v>0</v>
      </c>
    </row>
    <row r="527" spans="1:50">
      <c r="A527">
        <v>474</v>
      </c>
      <c r="B527">
        <v>60</v>
      </c>
      <c r="C527" t="s">
        <v>2072</v>
      </c>
      <c r="D527" s="1"/>
      <c r="E527" s="1">
        <f>_xlfn.XLOOKUP(tbl_Sourcing[[#This Row],[Notes]], tbl_Sourcing[Sourcing Id],  tbl_Sourcing[Source Unit Cost])*tbl_Sourcing[[#This Row],[Min Order Value]]</f>
        <v>0</v>
      </c>
      <c r="F527" s="1" t="b">
        <f>_xlfn.XLOOKUP(tbl_Sourcing[[#This Row],[Notes]], tbl_Sourcing[Sourcing Id], tbl_Sourcing[Active])</f>
        <v>0</v>
      </c>
      <c r="G527" s="6">
        <f>_xlfn.XLOOKUP(tbl_Sourcing[[#This Row],[Product Id]], tbl_Product[Product Id], tbl_Product[Pack Size])</f>
        <v>36</v>
      </c>
      <c r="I527">
        <v>228</v>
      </c>
      <c r="J527" s="6" t="str">
        <f>_xlfn.XLOOKUP(tbl_Sourcing[[#This Row],[Product Id]], tbl_Product[Product Id], tbl_Product[Name])</f>
        <v>MTG Modern Horizons 3 MH3 Play Booster Box</v>
      </c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7" s="6" t="b">
        <f>_xlfn.XLOOKUP(tbl_Sourcing[[#This Row],[Product Id]], tbl_Product[Product Id], tbl_Product[Is Set or Play Booster])</f>
        <v>1</v>
      </c>
      <c r="AX527" s="6" t="b">
        <f>_xlfn.XLOOKUP(tbl_Sourcing[[#This Row],[Product Id]], tbl_Product[Product Id], tbl_Product[Is Precon])</f>
        <v>0</v>
      </c>
    </row>
    <row r="528" spans="1:50">
      <c r="A528">
        <v>479</v>
      </c>
      <c r="B528">
        <v>124</v>
      </c>
      <c r="C528" t="s">
        <v>2072</v>
      </c>
      <c r="D528" s="1"/>
      <c r="E528" s="1">
        <f>_xlfn.XLOOKUP(tbl_Sourcing[[#This Row],[Notes]], tbl_Sourcing[Sourcing Id],  tbl_Sourcing[Source Unit Cost])*tbl_Sourcing[[#This Row],[Min Order Value]]</f>
        <v>281.88</v>
      </c>
      <c r="F528" s="1" t="b">
        <f>_xlfn.XLOOKUP(tbl_Sourcing[[#This Row],[Notes]], tbl_Sourcing[Sourcing Id], tbl_Sourcing[Active])</f>
        <v>1</v>
      </c>
      <c r="G528" s="6">
        <f>_xlfn.XLOOKUP(tbl_Sourcing[[#This Row],[Product Id]], tbl_Product[Product Id], tbl_Product[Pack Size])</f>
        <v>12</v>
      </c>
      <c r="I528">
        <v>237</v>
      </c>
      <c r="J528" s="6" t="str">
        <f>_xlfn.XLOOKUP(tbl_Sourcing[[#This Row],[Product Id]], tbl_Product[Product Id], tbl_Product[Name])</f>
        <v>MTG Murders at Karlov Manor Collector Booster Box</v>
      </c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8" s="6" t="b">
        <f>_xlfn.XLOOKUP(tbl_Sourcing[[#This Row],[Product Id]], tbl_Product[Product Id], tbl_Product[Is Set or Play Booster])</f>
        <v>0</v>
      </c>
      <c r="AX528" s="6" t="b">
        <f>_xlfn.XLOOKUP(tbl_Sourcing[[#This Row],[Product Id]], tbl_Product[Product Id], tbl_Product[Is Precon])</f>
        <v>0</v>
      </c>
    </row>
    <row r="529" spans="1:50">
      <c r="A529">
        <v>478</v>
      </c>
      <c r="B529">
        <v>80</v>
      </c>
      <c r="C529" t="s">
        <v>2072</v>
      </c>
      <c r="D529" s="1"/>
      <c r="E529" s="1">
        <f>_xlfn.XLOOKUP(tbl_Sourcing[[#This Row],[Notes]], tbl_Sourcing[Sourcing Id],  tbl_Sourcing[Source Unit Cost])*tbl_Sourcing[[#This Row],[Min Order Value]]</f>
        <v>161.64000000000001</v>
      </c>
      <c r="F529" s="1" t="b">
        <f>_xlfn.XLOOKUP(tbl_Sourcing[[#This Row],[Notes]], tbl_Sourcing[Sourcing Id], tbl_Sourcing[Active])</f>
        <v>1</v>
      </c>
      <c r="G529" s="6">
        <f>_xlfn.XLOOKUP(tbl_Sourcing[[#This Row],[Product Id]], tbl_Product[Product Id], tbl_Product[Pack Size])</f>
        <v>36</v>
      </c>
      <c r="I529">
        <v>235</v>
      </c>
      <c r="J529" s="6" t="str">
        <f>_xlfn.XLOOKUP(tbl_Sourcing[[#This Row],[Product Id]], tbl_Product[Product Id], tbl_Product[Name])</f>
        <v>MTG Murders at Karlov Manor Play Booster Box</v>
      </c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29" s="6" t="b">
        <f>_xlfn.XLOOKUP(tbl_Sourcing[[#This Row],[Product Id]], tbl_Product[Product Id], tbl_Product[Is Set or Play Booster])</f>
        <v>1</v>
      </c>
      <c r="AX529" s="6" t="b">
        <f>_xlfn.XLOOKUP(tbl_Sourcing[[#This Row],[Product Id]], tbl_Product[Product Id], tbl_Product[Is Precon])</f>
        <v>0</v>
      </c>
    </row>
    <row r="530" spans="1:50">
      <c r="A530">
        <v>473</v>
      </c>
      <c r="B530">
        <v>56</v>
      </c>
      <c r="C530" t="s">
        <v>2072</v>
      </c>
      <c r="D530" s="1"/>
      <c r="E530" s="1">
        <f>_xlfn.XLOOKUP(tbl_Sourcing[[#This Row],[Notes]], tbl_Sourcing[Sourcing Id],  tbl_Sourcing[Source Unit Cost])*tbl_Sourcing[[#This Row],[Min Order Value]]</f>
        <v>153</v>
      </c>
      <c r="F530" s="1" t="b">
        <f>_xlfn.XLOOKUP(tbl_Sourcing[[#This Row],[Notes]], tbl_Sourcing[Sourcing Id], tbl_Sourcing[Active])</f>
        <v>1</v>
      </c>
      <c r="G530" s="6">
        <f>_xlfn.XLOOKUP(tbl_Sourcing[[#This Row],[Product Id]], tbl_Product[Product Id], tbl_Product[Pack Size])</f>
        <v>36</v>
      </c>
      <c r="I530">
        <v>226</v>
      </c>
      <c r="J530" s="6" t="str">
        <f>_xlfn.XLOOKUP(tbl_Sourcing[[#This Row],[Product Id]], tbl_Product[Product Id], tbl_Product[Name])</f>
        <v>MTG Outlaws of Thunder Junction Play Booster Box</v>
      </c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30" s="6" t="b">
        <f>_xlfn.XLOOKUP(tbl_Sourcing[[#This Row],[Product Id]], tbl_Product[Product Id], tbl_Product[Is Set or Play Booster])</f>
        <v>1</v>
      </c>
      <c r="AX530" s="6" t="b">
        <f>_xlfn.XLOOKUP(tbl_Sourcing[[#This Row],[Product Id]], tbl_Product[Product Id], tbl_Product[Is Precon])</f>
        <v>0</v>
      </c>
    </row>
    <row r="531" spans="1:50">
      <c r="A531">
        <v>477</v>
      </c>
      <c r="B531">
        <v>68</v>
      </c>
      <c r="C531" t="s">
        <v>2072</v>
      </c>
      <c r="D531" s="1"/>
      <c r="E531" s="1">
        <f>_xlfn.XLOOKUP(tbl_Sourcing[[#This Row],[Notes]], tbl_Sourcing[Sourcing Id],  tbl_Sourcing[Source Unit Cost])*tbl_Sourcing[[#This Row],[Min Order Value]]</f>
        <v>215.64000000000001</v>
      </c>
      <c r="F531" s="1" t="b">
        <f>_xlfn.XLOOKUP(tbl_Sourcing[[#This Row],[Notes]], tbl_Sourcing[Sourcing Id], tbl_Sourcing[Active])</f>
        <v>1</v>
      </c>
      <c r="G531" s="6">
        <f>_xlfn.XLOOKUP(tbl_Sourcing[[#This Row],[Product Id]], tbl_Product[Product Id], tbl_Product[Pack Size])</f>
        <v>36</v>
      </c>
      <c r="I531">
        <v>233</v>
      </c>
      <c r="J531" s="6" t="str">
        <f>_xlfn.XLOOKUP(tbl_Sourcing[[#This Row],[Product Id]], tbl_Product[Product Id], tbl_Product[Name])</f>
        <v>MTG Ravnica Remastered Draft Booster Box</v>
      </c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31" s="6" t="b">
        <f>_xlfn.XLOOKUP(tbl_Sourcing[[#This Row],[Product Id]], tbl_Product[Product Id], tbl_Product[Is Set or Play Booster])</f>
        <v>1</v>
      </c>
      <c r="AX531" s="6" t="b">
        <f>_xlfn.XLOOKUP(tbl_Sourcing[[#This Row],[Product Id]], tbl_Product[Product Id], tbl_Product[Is Precon])</f>
        <v>0</v>
      </c>
    </row>
    <row r="532" spans="1:50">
      <c r="A532">
        <v>472</v>
      </c>
      <c r="B532">
        <v>132</v>
      </c>
      <c r="C532" t="s">
        <v>2072</v>
      </c>
      <c r="D532" s="1"/>
      <c r="E532" s="1">
        <f>_xlfn.XLOOKUP(tbl_Sourcing[[#This Row],[Notes]], tbl_Sourcing[Sourcing Id],  tbl_Sourcing[Source Unit Cost])*tbl_Sourcing[[#This Row],[Min Order Value]]</f>
        <v>239.88</v>
      </c>
      <c r="F532" s="1" t="b">
        <f>_xlfn.XLOOKUP(tbl_Sourcing[[#This Row],[Notes]], tbl_Sourcing[Sourcing Id], tbl_Sourcing[Active])</f>
        <v>1</v>
      </c>
      <c r="G532" s="6">
        <f>_xlfn.XLOOKUP(tbl_Sourcing[[#This Row],[Product Id]], tbl_Product[Product Id], tbl_Product[Pack Size])</f>
        <v>12</v>
      </c>
      <c r="I532">
        <v>224</v>
      </c>
      <c r="J532" s="6" t="str">
        <f>_xlfn.XLOOKUP(tbl_Sourcing[[#This Row],[Product Id]], tbl_Product[Product Id], tbl_Product[Name])</f>
        <v>MTG Streets of New Capenna Collector Booster Box</v>
      </c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32" s="6" t="b">
        <f>_xlfn.XLOOKUP(tbl_Sourcing[[#This Row],[Product Id]], tbl_Product[Product Id], tbl_Product[Is Set or Play Booster])</f>
        <v>0</v>
      </c>
      <c r="AX532" s="6" t="b">
        <f>_xlfn.XLOOKUP(tbl_Sourcing[[#This Row],[Product Id]], tbl_Product[Product Id], tbl_Product[Is Precon])</f>
        <v>0</v>
      </c>
    </row>
    <row r="533" spans="1:50">
      <c r="A533">
        <v>471</v>
      </c>
      <c r="B533">
        <v>75</v>
      </c>
      <c r="C533" t="s">
        <v>2072</v>
      </c>
      <c r="D533" s="1"/>
      <c r="E533" s="1">
        <f>_xlfn.XLOOKUP(tbl_Sourcing[[#This Row],[Notes]], tbl_Sourcing[Sourcing Id],  tbl_Sourcing[Source Unit Cost])*tbl_Sourcing[[#This Row],[Min Order Value]]</f>
        <v>119.7</v>
      </c>
      <c r="F533" s="1" t="b">
        <f>_xlfn.XLOOKUP(tbl_Sourcing[[#This Row],[Notes]], tbl_Sourcing[Sourcing Id], tbl_Sourcing[Active])</f>
        <v>1</v>
      </c>
      <c r="G533" s="6">
        <f>_xlfn.XLOOKUP(tbl_Sourcing[[#This Row],[Product Id]], tbl_Product[Product Id], tbl_Product[Pack Size])</f>
        <v>30</v>
      </c>
      <c r="I533">
        <v>223</v>
      </c>
      <c r="J533" s="6" t="str">
        <f>_xlfn.XLOOKUP(tbl_Sourcing[[#This Row],[Product Id]], tbl_Product[Product Id], tbl_Product[Name])</f>
        <v>MTG Streets of New Capenna Set Booster Box</v>
      </c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533" s="6" t="b">
        <f>_xlfn.XLOOKUP(tbl_Sourcing[[#This Row],[Product Id]], tbl_Product[Product Id], tbl_Product[Is Set or Play Booster])</f>
        <v>1</v>
      </c>
      <c r="AX533" s="6" t="b">
        <f>_xlfn.XLOOKUP(tbl_Sourcing[[#This Row],[Product Id]], tbl_Product[Product Id], tbl_Product[Is Precon])</f>
        <v>0</v>
      </c>
    </row>
    <row r="534" spans="1:50">
      <c r="A534">
        <v>815</v>
      </c>
      <c r="B534">
        <v>84</v>
      </c>
      <c r="C534" t="s">
        <v>2073</v>
      </c>
      <c r="D534" s="8" t="s">
        <v>2074</v>
      </c>
      <c r="F534" t="b">
        <v>0</v>
      </c>
      <c r="G534" s="6"/>
      <c r="J534" s="6" t="str">
        <f>_xlfn.XLOOKUP(tbl_Sourcing[[#This Row],[Product Id]], tbl_Product[Product Id], tbl_Product[Name])</f>
        <v>MTG Aetherdrift Collector Booster Box</v>
      </c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4" s="6" t="b">
        <f>_xlfn.XLOOKUP(tbl_Sourcing[[#This Row],[Product Id]], tbl_Product[Product Id], tbl_Product[Is Set or Play Booster])</f>
        <v>0</v>
      </c>
      <c r="AX534" s="6" t="b">
        <f>_xlfn.XLOOKUP(tbl_Sourcing[[#This Row],[Product Id]], tbl_Product[Product Id], tbl_Product[Is Precon])</f>
        <v>0</v>
      </c>
    </row>
    <row r="535" spans="1:50">
      <c r="A535">
        <v>816</v>
      </c>
      <c r="B535">
        <v>70</v>
      </c>
      <c r="C535" t="s">
        <v>2073</v>
      </c>
      <c r="D535" s="8" t="s">
        <v>2075</v>
      </c>
      <c r="F535" t="b">
        <v>0</v>
      </c>
      <c r="G535" s="6"/>
      <c r="J535" s="6" t="str">
        <f>_xlfn.XLOOKUP(tbl_Sourcing[[#This Row],[Product Id]], tbl_Product[Product Id], tbl_Product[Name])</f>
        <v>MTG Aetherdrift Play Booster Box</v>
      </c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5" s="6" t="b">
        <f>_xlfn.XLOOKUP(tbl_Sourcing[[#This Row],[Product Id]], tbl_Product[Product Id], tbl_Product[Is Set or Play Booster])</f>
        <v>1</v>
      </c>
      <c r="AX535" s="6" t="b">
        <f>_xlfn.XLOOKUP(tbl_Sourcing[[#This Row],[Product Id]], tbl_Product[Product Id], tbl_Product[Is Precon])</f>
        <v>0</v>
      </c>
    </row>
    <row r="536" spans="1:50">
      <c r="A536">
        <v>814</v>
      </c>
      <c r="B536">
        <v>63</v>
      </c>
      <c r="C536" t="s">
        <v>2073</v>
      </c>
      <c r="D536" s="8" t="s">
        <v>2076</v>
      </c>
      <c r="F536" t="b">
        <v>0</v>
      </c>
      <c r="G536" s="6"/>
      <c r="J536" s="6" t="str">
        <f>_xlfn.XLOOKUP(tbl_Sourcing[[#This Row],[Product Id]], tbl_Product[Product Id], tbl_Product[Name])</f>
        <v>MTG Assassin's Creed Beyond Booster Box</v>
      </c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6" s="6" t="b">
        <f>_xlfn.XLOOKUP(tbl_Sourcing[[#This Row],[Product Id]], tbl_Product[Product Id], tbl_Product[Is Set or Play Booster])</f>
        <v>1</v>
      </c>
      <c r="AX536" s="6" t="b">
        <f>_xlfn.XLOOKUP(tbl_Sourcing[[#This Row],[Product Id]], tbl_Product[Product Id], tbl_Product[Is Precon])</f>
        <v>0</v>
      </c>
    </row>
    <row r="537" spans="1:50">
      <c r="A537">
        <v>813</v>
      </c>
      <c r="B537">
        <v>86</v>
      </c>
      <c r="C537" t="s">
        <v>2073</v>
      </c>
      <c r="D537" s="8" t="s">
        <v>2077</v>
      </c>
      <c r="F537" t="b">
        <v>0</v>
      </c>
      <c r="G537" s="6"/>
      <c r="J537" s="6" t="str">
        <f>_xlfn.XLOOKUP(tbl_Sourcing[[#This Row],[Product Id]], tbl_Product[Product Id], tbl_Product[Name])</f>
        <v>MTG Assassin's Creed Beyond Collector Booster Box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7" s="6" t="b">
        <f>_xlfn.XLOOKUP(tbl_Sourcing[[#This Row],[Product Id]], tbl_Product[Product Id], tbl_Product[Is Set or Play Booster])</f>
        <v>0</v>
      </c>
      <c r="AX537" s="6" t="b">
        <f>_xlfn.XLOOKUP(tbl_Sourcing[[#This Row],[Product Id]], tbl_Product[Product Id], tbl_Product[Is Precon])</f>
        <v>0</v>
      </c>
    </row>
    <row r="538" spans="1:50">
      <c r="A538">
        <v>851</v>
      </c>
      <c r="B538">
        <v>57</v>
      </c>
      <c r="C538" t="s">
        <v>2073</v>
      </c>
      <c r="D538" s="8" t="s">
        <v>2078</v>
      </c>
      <c r="F538" t="b">
        <v>0</v>
      </c>
      <c r="G538" s="6"/>
      <c r="J538" s="6" t="str">
        <f>_xlfn.XLOOKUP(tbl_Sourcing[[#This Row],[Product Id]], tbl_Product[Product Id], tbl_Product[Name])</f>
        <v>MTG Avatar: The Last Airbender Play Booster Box</v>
      </c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8" s="6" t="b">
        <f>_xlfn.XLOOKUP(tbl_Sourcing[[#This Row],[Product Id]], tbl_Product[Product Id], tbl_Product[Is Set or Play Booster])</f>
        <v>1</v>
      </c>
      <c r="AX538" s="6" t="b">
        <f>_xlfn.XLOOKUP(tbl_Sourcing[[#This Row],[Product Id]], tbl_Product[Product Id], tbl_Product[Is Precon])</f>
        <v>0</v>
      </c>
    </row>
    <row r="539" spans="1:50">
      <c r="A539">
        <v>817</v>
      </c>
      <c r="B539">
        <v>90</v>
      </c>
      <c r="C539" t="s">
        <v>2073</v>
      </c>
      <c r="D539" s="8" t="s">
        <v>2079</v>
      </c>
      <c r="F539" t="b">
        <v>0</v>
      </c>
      <c r="G539" s="6"/>
      <c r="J539" s="6" t="str">
        <f>_xlfn.XLOOKUP(tbl_Sourcing[[#This Row],[Product Id]], tbl_Product[Product Id], tbl_Product[Name])</f>
        <v>MTG Bloomburrow Collector Booster Box</v>
      </c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39" s="6" t="b">
        <f>_xlfn.XLOOKUP(tbl_Sourcing[[#This Row],[Product Id]], tbl_Product[Product Id], tbl_Product[Is Set or Play Booster])</f>
        <v>0</v>
      </c>
      <c r="AX539" s="6" t="b">
        <f>_xlfn.XLOOKUP(tbl_Sourcing[[#This Row],[Product Id]], tbl_Product[Product Id], tbl_Product[Is Precon])</f>
        <v>0</v>
      </c>
    </row>
    <row r="540" spans="1:50">
      <c r="A540">
        <v>818</v>
      </c>
      <c r="B540">
        <v>79</v>
      </c>
      <c r="C540" t="s">
        <v>2073</v>
      </c>
      <c r="D540" s="8" t="s">
        <v>2080</v>
      </c>
      <c r="F540" t="b">
        <v>0</v>
      </c>
      <c r="G540" s="6"/>
      <c r="J540" s="6" t="str">
        <f>_xlfn.XLOOKUP(tbl_Sourcing[[#This Row],[Product Id]], tbl_Product[Product Id], tbl_Product[Name])</f>
        <v>MTG Bloomburrow Play Booster Box</v>
      </c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0" s="6" t="b">
        <f>_xlfn.XLOOKUP(tbl_Sourcing[[#This Row],[Product Id]], tbl_Product[Product Id], tbl_Product[Is Set or Play Booster])</f>
        <v>1</v>
      </c>
      <c r="AX540" s="6" t="b">
        <f>_xlfn.XLOOKUP(tbl_Sourcing[[#This Row],[Product Id]], tbl_Product[Product Id], tbl_Product[Is Precon])</f>
        <v>0</v>
      </c>
    </row>
    <row r="541" spans="1:50">
      <c r="A541">
        <v>819</v>
      </c>
      <c r="B541">
        <v>92</v>
      </c>
      <c r="C541" t="s">
        <v>2073</v>
      </c>
      <c r="D541" s="8" t="s">
        <v>2081</v>
      </c>
      <c r="F541" t="b">
        <v>0</v>
      </c>
      <c r="G541" s="6"/>
      <c r="J541" s="6" t="str">
        <f>_xlfn.XLOOKUP(tbl_Sourcing[[#This Row],[Product Id]], tbl_Product[Product Id], tbl_Product[Name])</f>
        <v>MTG Commander Masters Collector Booster Box</v>
      </c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1" s="6" t="b">
        <f>_xlfn.XLOOKUP(tbl_Sourcing[[#This Row],[Product Id]], tbl_Product[Product Id], tbl_Product[Is Set or Play Booster])</f>
        <v>0</v>
      </c>
      <c r="AX541" s="6" t="b">
        <f>_xlfn.XLOOKUP(tbl_Sourcing[[#This Row],[Product Id]], tbl_Product[Product Id], tbl_Product[Is Precon])</f>
        <v>0</v>
      </c>
    </row>
    <row r="542" spans="1:50">
      <c r="A542">
        <v>820</v>
      </c>
      <c r="B542">
        <v>52</v>
      </c>
      <c r="C542" t="s">
        <v>2073</v>
      </c>
      <c r="D542" s="8" t="s">
        <v>2082</v>
      </c>
      <c r="F542" t="b">
        <v>0</v>
      </c>
      <c r="G542" s="6"/>
      <c r="J542" s="6" t="str">
        <f>_xlfn.XLOOKUP(tbl_Sourcing[[#This Row],[Product Id]], tbl_Product[Product Id], tbl_Product[Name])</f>
        <v>MTG Commander Masters Set Booster Box</v>
      </c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2" s="6" t="b">
        <f>_xlfn.XLOOKUP(tbl_Sourcing[[#This Row],[Product Id]], tbl_Product[Product Id], tbl_Product[Is Set or Play Booster])</f>
        <v>1</v>
      </c>
      <c r="AX542" s="6" t="b">
        <f>_xlfn.XLOOKUP(tbl_Sourcing[[#This Row],[Product Id]], tbl_Product[Product Id], tbl_Product[Is Precon])</f>
        <v>0</v>
      </c>
    </row>
    <row r="543" spans="1:50">
      <c r="A543">
        <v>803</v>
      </c>
      <c r="B543">
        <v>94</v>
      </c>
      <c r="C543" t="s">
        <v>2073</v>
      </c>
      <c r="D543" s="8" t="s">
        <v>2083</v>
      </c>
      <c r="E543">
        <v>169</v>
      </c>
      <c r="F543" t="b">
        <v>0</v>
      </c>
      <c r="G543" s="6"/>
      <c r="J543" s="6" t="str">
        <f>_xlfn.XLOOKUP(tbl_Sourcing[[#This Row],[Product Id]], tbl_Product[Product Id], tbl_Product[Name])</f>
        <v>MTG Dominaria United DMU Collector Booster Box</v>
      </c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3" s="6" t="b">
        <f>_xlfn.XLOOKUP(tbl_Sourcing[[#This Row],[Product Id]], tbl_Product[Product Id], tbl_Product[Is Set or Play Booster])</f>
        <v>0</v>
      </c>
      <c r="AX543" s="6" t="b">
        <f>_xlfn.XLOOKUP(tbl_Sourcing[[#This Row],[Product Id]], tbl_Product[Product Id], tbl_Product[Is Precon])</f>
        <v>0</v>
      </c>
    </row>
    <row r="544" spans="1:50">
      <c r="A544">
        <v>804</v>
      </c>
      <c r="B544">
        <v>76</v>
      </c>
      <c r="C544" t="s">
        <v>2073</v>
      </c>
      <c r="D544" s="8" t="s">
        <v>2084</v>
      </c>
      <c r="E544">
        <v>115</v>
      </c>
      <c r="F544" t="b">
        <v>0</v>
      </c>
      <c r="G544" s="6"/>
      <c r="J544" s="6" t="str">
        <f>_xlfn.XLOOKUP(tbl_Sourcing[[#This Row],[Product Id]], tbl_Product[Product Id], tbl_Product[Name])</f>
        <v>MTG Dominaria United DMU Set Booster Box</v>
      </c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4" s="6" t="b">
        <f>_xlfn.XLOOKUP(tbl_Sourcing[[#This Row],[Product Id]], tbl_Product[Product Id], tbl_Product[Is Set or Play Booster])</f>
        <v>1</v>
      </c>
      <c r="AX544" s="6" t="b">
        <f>_xlfn.XLOOKUP(tbl_Sourcing[[#This Row],[Product Id]], tbl_Product[Product Id], tbl_Product[Is Precon])</f>
        <v>0</v>
      </c>
    </row>
    <row r="545" spans="1:50">
      <c r="A545">
        <v>821</v>
      </c>
      <c r="B545">
        <v>96</v>
      </c>
      <c r="C545" t="s">
        <v>2073</v>
      </c>
      <c r="D545" s="8" t="s">
        <v>2085</v>
      </c>
      <c r="F545" t="b">
        <v>0</v>
      </c>
      <c r="G545" s="6"/>
      <c r="J545" s="6" t="str">
        <f>_xlfn.XLOOKUP(tbl_Sourcing[[#This Row],[Product Id]], tbl_Product[Product Id], tbl_Product[Name])</f>
        <v>MTG Duskmourn: House of Horror Collector Booster Box</v>
      </c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5" s="6" t="b">
        <f>_xlfn.XLOOKUP(tbl_Sourcing[[#This Row],[Product Id]], tbl_Product[Product Id], tbl_Product[Is Set or Play Booster])</f>
        <v>0</v>
      </c>
      <c r="AX545" s="6" t="b">
        <f>_xlfn.XLOOKUP(tbl_Sourcing[[#This Row],[Product Id]], tbl_Product[Product Id], tbl_Product[Is Precon])</f>
        <v>0</v>
      </c>
    </row>
    <row r="546" spans="1:50">
      <c r="A546">
        <v>822</v>
      </c>
      <c r="B546">
        <v>71</v>
      </c>
      <c r="C546" t="s">
        <v>2073</v>
      </c>
      <c r="D546" s="8" t="s">
        <v>2086</v>
      </c>
      <c r="F546" t="b">
        <v>0</v>
      </c>
      <c r="G546" s="6"/>
      <c r="J546" s="6" t="str">
        <f>_xlfn.XLOOKUP(tbl_Sourcing[[#This Row],[Product Id]], tbl_Product[Product Id], tbl_Product[Name])</f>
        <v>MTG Duskmourn: House of Horror Play Booster Box</v>
      </c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6" s="6" t="b">
        <f>_xlfn.XLOOKUP(tbl_Sourcing[[#This Row],[Product Id]], tbl_Product[Product Id], tbl_Product[Is Set or Play Booster])</f>
        <v>1</v>
      </c>
      <c r="AX546" s="6" t="b">
        <f>_xlfn.XLOOKUP(tbl_Sourcing[[#This Row],[Product Id]], tbl_Product[Product Id], tbl_Product[Is Precon])</f>
        <v>0</v>
      </c>
    </row>
    <row r="547" spans="1:50">
      <c r="A547">
        <v>823</v>
      </c>
      <c r="B547">
        <v>98</v>
      </c>
      <c r="C547" t="s">
        <v>2073</v>
      </c>
      <c r="D547" s="8" t="s">
        <v>2087</v>
      </c>
      <c r="F547" t="b">
        <v>0</v>
      </c>
      <c r="G547" s="6"/>
      <c r="J547" s="6" t="str">
        <f>_xlfn.XLOOKUP(tbl_Sourcing[[#This Row],[Product Id]], tbl_Product[Product Id], tbl_Product[Name])</f>
        <v>MTG Edge of Eternities Collector Booster Box</v>
      </c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7" s="6" t="b">
        <f>_xlfn.XLOOKUP(tbl_Sourcing[[#This Row],[Product Id]], tbl_Product[Product Id], tbl_Product[Is Set or Play Booster])</f>
        <v>0</v>
      </c>
      <c r="AX547" s="6" t="b">
        <f>_xlfn.XLOOKUP(tbl_Sourcing[[#This Row],[Product Id]], tbl_Product[Product Id], tbl_Product[Is Precon])</f>
        <v>0</v>
      </c>
    </row>
    <row r="548" spans="1:50">
      <c r="A548">
        <v>824</v>
      </c>
      <c r="B548">
        <v>65</v>
      </c>
      <c r="C548" t="s">
        <v>2073</v>
      </c>
      <c r="D548" s="8" t="s">
        <v>2088</v>
      </c>
      <c r="F548" t="b">
        <v>0</v>
      </c>
      <c r="G548" s="6"/>
      <c r="J548" s="6" t="str">
        <f>_xlfn.XLOOKUP(tbl_Sourcing[[#This Row],[Product Id]], tbl_Product[Product Id], tbl_Product[Name])</f>
        <v>MTG Edge of Eternities Play Booster Box</v>
      </c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8" s="6" t="b">
        <f>_xlfn.XLOOKUP(tbl_Sourcing[[#This Row],[Product Id]], tbl_Product[Product Id], tbl_Product[Is Set or Play Booster])</f>
        <v>1</v>
      </c>
      <c r="AX548" s="6" t="b">
        <f>_xlfn.XLOOKUP(tbl_Sourcing[[#This Row],[Product Id]], tbl_Product[Product Id], tbl_Product[Is Precon])</f>
        <v>0</v>
      </c>
    </row>
    <row r="549" spans="1:50">
      <c r="A549">
        <v>825</v>
      </c>
      <c r="B549">
        <v>100</v>
      </c>
      <c r="C549" t="s">
        <v>2073</v>
      </c>
      <c r="D549" s="8" t="s">
        <v>2089</v>
      </c>
      <c r="F549" t="b">
        <v>0</v>
      </c>
      <c r="G549" s="6"/>
      <c r="J549" s="6" t="str">
        <f>_xlfn.XLOOKUP(tbl_Sourcing[[#This Row],[Product Id]], tbl_Product[Product Id], tbl_Product[Name])</f>
        <v>MTG Final Fantasy Collector Booster Box</v>
      </c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49" s="6" t="b">
        <f>_xlfn.XLOOKUP(tbl_Sourcing[[#This Row],[Product Id]], tbl_Product[Product Id], tbl_Product[Is Set or Play Booster])</f>
        <v>0</v>
      </c>
      <c r="AX549" s="6" t="b">
        <f>_xlfn.XLOOKUP(tbl_Sourcing[[#This Row],[Product Id]], tbl_Product[Product Id], tbl_Product[Is Precon])</f>
        <v>0</v>
      </c>
    </row>
    <row r="550" spans="1:50">
      <c r="A550">
        <v>826</v>
      </c>
      <c r="B550">
        <v>78</v>
      </c>
      <c r="C550" t="s">
        <v>2073</v>
      </c>
      <c r="D550" s="8" t="s">
        <v>2090</v>
      </c>
      <c r="F550" t="b">
        <v>0</v>
      </c>
      <c r="G550" s="6"/>
      <c r="J550" s="6" t="str">
        <f>_xlfn.XLOOKUP(tbl_Sourcing[[#This Row],[Product Id]], tbl_Product[Product Id], tbl_Product[Name])</f>
        <v>MTG Final Fantasy Play Booster Box</v>
      </c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0" s="6" t="b">
        <f>_xlfn.XLOOKUP(tbl_Sourcing[[#This Row],[Product Id]], tbl_Product[Product Id], tbl_Product[Is Set or Play Booster])</f>
        <v>1</v>
      </c>
      <c r="AX550" s="6" t="b">
        <f>_xlfn.XLOOKUP(tbl_Sourcing[[#This Row],[Product Id]], tbl_Product[Product Id], tbl_Product[Is Precon])</f>
        <v>0</v>
      </c>
    </row>
    <row r="551" spans="1:50">
      <c r="A551">
        <v>827</v>
      </c>
      <c r="B551">
        <v>61</v>
      </c>
      <c r="C551" t="s">
        <v>2073</v>
      </c>
      <c r="D551" s="8" t="s">
        <v>2091</v>
      </c>
      <c r="F551" t="b">
        <v>0</v>
      </c>
      <c r="G551" s="6"/>
      <c r="J551" s="6" t="str">
        <f>_xlfn.XLOOKUP(tbl_Sourcing[[#This Row],[Product Id]], tbl_Product[Product Id], tbl_Product[Name])</f>
        <v>MTG Foundations Play Booster Box</v>
      </c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1" s="6" t="b">
        <f>_xlfn.XLOOKUP(tbl_Sourcing[[#This Row],[Product Id]], tbl_Product[Product Id], tbl_Product[Is Set or Play Booster])</f>
        <v>1</v>
      </c>
      <c r="AX551" s="6" t="b">
        <f>_xlfn.XLOOKUP(tbl_Sourcing[[#This Row],[Product Id]], tbl_Product[Product Id], tbl_Product[Is Precon])</f>
        <v>0</v>
      </c>
    </row>
    <row r="552" spans="1:50">
      <c r="A552">
        <v>828</v>
      </c>
      <c r="B552">
        <v>106</v>
      </c>
      <c r="C552" t="s">
        <v>2073</v>
      </c>
      <c r="D552" s="8" t="s">
        <v>2092</v>
      </c>
      <c r="F552" t="b">
        <v>0</v>
      </c>
      <c r="G552" s="6"/>
      <c r="J552" s="6" t="str">
        <f>_xlfn.XLOOKUP(tbl_Sourcing[[#This Row],[Product Id]], tbl_Product[Product Id], tbl_Product[Name])</f>
        <v>MTG Innistrad Remastered INR Collector Booster Box</v>
      </c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2" s="6" t="b">
        <f>_xlfn.XLOOKUP(tbl_Sourcing[[#This Row],[Product Id]], tbl_Product[Product Id], tbl_Product[Is Set or Play Booster])</f>
        <v>0</v>
      </c>
      <c r="AX552" s="6" t="b">
        <f>_xlfn.XLOOKUP(tbl_Sourcing[[#This Row],[Product Id]], tbl_Product[Product Id], tbl_Product[Is Precon])</f>
        <v>0</v>
      </c>
    </row>
    <row r="553" spans="1:50">
      <c r="A553">
        <v>829</v>
      </c>
      <c r="B553">
        <v>48</v>
      </c>
      <c r="C553" t="s">
        <v>2073</v>
      </c>
      <c r="D553" s="8" t="s">
        <v>2093</v>
      </c>
      <c r="F553" t="b">
        <v>0</v>
      </c>
      <c r="G553" s="6"/>
      <c r="J553" s="6" t="str">
        <f>_xlfn.XLOOKUP(tbl_Sourcing[[#This Row],[Product Id]], tbl_Product[Product Id], tbl_Product[Name])</f>
        <v>MTG Innistrad Remastered INR Play Booster Box</v>
      </c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3" s="6" t="b">
        <f>_xlfn.XLOOKUP(tbl_Sourcing[[#This Row],[Product Id]], tbl_Product[Product Id], tbl_Product[Is Set or Play Booster])</f>
        <v>1</v>
      </c>
      <c r="AX553" s="6" t="b">
        <f>_xlfn.XLOOKUP(tbl_Sourcing[[#This Row],[Product Id]], tbl_Product[Product Id], tbl_Product[Is Precon])</f>
        <v>0</v>
      </c>
    </row>
    <row r="554" spans="1:50">
      <c r="A554">
        <v>805</v>
      </c>
      <c r="B554">
        <v>50</v>
      </c>
      <c r="C554" t="s">
        <v>2073</v>
      </c>
      <c r="D554" s="8" t="s">
        <v>2094</v>
      </c>
      <c r="F554" t="b">
        <v>0</v>
      </c>
      <c r="G554" s="6"/>
      <c r="J554" s="6" t="str">
        <f>_xlfn.XLOOKUP(tbl_Sourcing[[#This Row],[Product Id]], tbl_Product[Product Id], tbl_Product[Name])</f>
        <v>MTG Innistrad: Midnight Hunt Set Booster Box</v>
      </c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4" s="6" t="b">
        <f>_xlfn.XLOOKUP(tbl_Sourcing[[#This Row],[Product Id]], tbl_Product[Product Id], tbl_Product[Is Set or Play Booster])</f>
        <v>1</v>
      </c>
      <c r="AX554" s="6" t="b">
        <f>_xlfn.XLOOKUP(tbl_Sourcing[[#This Row],[Product Id]], tbl_Product[Product Id], tbl_Product[Is Precon])</f>
        <v>0</v>
      </c>
    </row>
    <row r="555" spans="1:50">
      <c r="A555">
        <v>806</v>
      </c>
      <c r="B555">
        <v>112</v>
      </c>
      <c r="C555" t="s">
        <v>2073</v>
      </c>
      <c r="D555" s="8" t="s">
        <v>2095</v>
      </c>
      <c r="F555" t="b">
        <v>0</v>
      </c>
      <c r="G555" s="6"/>
      <c r="J555" s="6" t="str">
        <f>_xlfn.XLOOKUP(tbl_Sourcing[[#This Row],[Product Id]], tbl_Product[Product Id], tbl_Product[Name])</f>
        <v>MTG Kamigawa: Neon Dynasty Collector Booster Box</v>
      </c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5" s="6" t="b">
        <f>_xlfn.XLOOKUP(tbl_Sourcing[[#This Row],[Product Id]], tbl_Product[Product Id], tbl_Product[Is Set or Play Booster])</f>
        <v>0</v>
      </c>
      <c r="AX555" s="6" t="b">
        <f>_xlfn.XLOOKUP(tbl_Sourcing[[#This Row],[Product Id]], tbl_Product[Product Id], tbl_Product[Is Precon])</f>
        <v>0</v>
      </c>
    </row>
    <row r="556" spans="1:50">
      <c r="A556">
        <v>830</v>
      </c>
      <c r="B556">
        <v>69</v>
      </c>
      <c r="C556" t="s">
        <v>2073</v>
      </c>
      <c r="D556" s="8" t="s">
        <v>2096</v>
      </c>
      <c r="F556" t="b">
        <v>0</v>
      </c>
      <c r="G556" s="6"/>
      <c r="J556" s="6" t="str">
        <f>_xlfn.XLOOKUP(tbl_Sourcing[[#This Row],[Product Id]], tbl_Product[Product Id], tbl_Product[Name])</f>
        <v>MTG Kamigawa: Neon Dynasty Set Booster Box</v>
      </c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6" s="6" t="b">
        <f>_xlfn.XLOOKUP(tbl_Sourcing[[#This Row],[Product Id]], tbl_Product[Product Id], tbl_Product[Is Set or Play Booster])</f>
        <v>1</v>
      </c>
      <c r="AX556" s="6" t="b">
        <f>_xlfn.XLOOKUP(tbl_Sourcing[[#This Row],[Product Id]], tbl_Product[Product Id], tbl_Product[Is Precon])</f>
        <v>0</v>
      </c>
    </row>
    <row r="557" spans="1:50">
      <c r="A557">
        <v>852</v>
      </c>
      <c r="B557">
        <v>114</v>
      </c>
      <c r="C557" t="s">
        <v>2073</v>
      </c>
      <c r="D557" s="8" t="s">
        <v>2097</v>
      </c>
      <c r="F557" t="b">
        <v>0</v>
      </c>
      <c r="G557" s="6"/>
      <c r="J557" s="6" t="str">
        <f>_xlfn.XLOOKUP(tbl_Sourcing[[#This Row],[Product Id]], tbl_Product[Product Id], tbl_Product[Name])</f>
        <v>MTG Lorwyn Eclipsed Collector Booster Box</v>
      </c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7" s="6" t="b">
        <f>_xlfn.XLOOKUP(tbl_Sourcing[[#This Row],[Product Id]], tbl_Product[Product Id], tbl_Product[Is Set or Play Booster])</f>
        <v>0</v>
      </c>
      <c r="AX557" s="6" t="b">
        <f>_xlfn.XLOOKUP(tbl_Sourcing[[#This Row],[Product Id]], tbl_Product[Product Id], tbl_Product[Is Precon])</f>
        <v>0</v>
      </c>
    </row>
    <row r="558" spans="1:50">
      <c r="A558">
        <v>853</v>
      </c>
      <c r="B558">
        <v>49</v>
      </c>
      <c r="C558" t="s">
        <v>2073</v>
      </c>
      <c r="D558" s="8" t="s">
        <v>2098</v>
      </c>
      <c r="F558" t="b">
        <v>0</v>
      </c>
      <c r="G558" s="6"/>
      <c r="J558" s="6" t="str">
        <f>_xlfn.XLOOKUP(tbl_Sourcing[[#This Row],[Product Id]], tbl_Product[Product Id], tbl_Product[Name])</f>
        <v>MTG Lorwyn Eclipsed Play Booster Box</v>
      </c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8" s="6" t="b">
        <f>_xlfn.XLOOKUP(tbl_Sourcing[[#This Row],[Product Id]], tbl_Product[Product Id], tbl_Product[Is Set or Play Booster])</f>
        <v>1</v>
      </c>
      <c r="AX558" s="6" t="b">
        <f>_xlfn.XLOOKUP(tbl_Sourcing[[#This Row],[Product Id]], tbl_Product[Product Id], tbl_Product[Is Precon])</f>
        <v>0</v>
      </c>
    </row>
    <row r="559" spans="1:50">
      <c r="A559">
        <v>833</v>
      </c>
      <c r="B559">
        <v>116</v>
      </c>
      <c r="C559" t="s">
        <v>2073</v>
      </c>
      <c r="D559" s="8" t="s">
        <v>2099</v>
      </c>
      <c r="F559" t="b">
        <v>0</v>
      </c>
      <c r="G559" s="6"/>
      <c r="J559" s="6" t="str">
        <f>_xlfn.XLOOKUP(tbl_Sourcing[[#This Row],[Product Id]], tbl_Product[Product Id], tbl_Product[Name])</f>
        <v>MTG March of the Machine MOM Collector Booster Box</v>
      </c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59" s="6" t="b">
        <f>_xlfn.XLOOKUP(tbl_Sourcing[[#This Row],[Product Id]], tbl_Product[Product Id], tbl_Product[Is Set or Play Booster])</f>
        <v>0</v>
      </c>
      <c r="AX559" s="6" t="b">
        <f>_xlfn.XLOOKUP(tbl_Sourcing[[#This Row],[Product Id]], tbl_Product[Product Id], tbl_Product[Is Precon])</f>
        <v>0</v>
      </c>
    </row>
    <row r="560" spans="1:50">
      <c r="A560">
        <v>834</v>
      </c>
      <c r="B560">
        <v>59</v>
      </c>
      <c r="C560" t="s">
        <v>2073</v>
      </c>
      <c r="D560" s="8" t="s">
        <v>2100</v>
      </c>
      <c r="F560" t="b">
        <v>0</v>
      </c>
      <c r="G560" s="6"/>
      <c r="J560" s="6" t="str">
        <f>_xlfn.XLOOKUP(tbl_Sourcing[[#This Row],[Product Id]], tbl_Product[Product Id], tbl_Product[Name])</f>
        <v>MTG March of the Machine MOM Set Booster Box</v>
      </c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0" s="6" t="b">
        <f>_xlfn.XLOOKUP(tbl_Sourcing[[#This Row],[Product Id]], tbl_Product[Product Id], tbl_Product[Is Set or Play Booster])</f>
        <v>1</v>
      </c>
      <c r="AX560" s="6" t="b">
        <f>_xlfn.XLOOKUP(tbl_Sourcing[[#This Row],[Product Id]], tbl_Product[Product Id], tbl_Product[Is Precon])</f>
        <v>0</v>
      </c>
    </row>
    <row r="561" spans="1:50">
      <c r="A561">
        <v>835</v>
      </c>
      <c r="B561">
        <v>118</v>
      </c>
      <c r="C561" t="s">
        <v>2073</v>
      </c>
      <c r="D561" s="8" t="s">
        <v>2101</v>
      </c>
      <c r="F561" t="b">
        <v>0</v>
      </c>
      <c r="G561" s="6"/>
      <c r="J561" s="6" t="str">
        <f>_xlfn.XLOOKUP(tbl_Sourcing[[#This Row],[Product Id]], tbl_Product[Product Id], tbl_Product[Name])</f>
        <v>MTG Marvel's Spider-Man Collector Booster Box</v>
      </c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1" s="6" t="b">
        <f>_xlfn.XLOOKUP(tbl_Sourcing[[#This Row],[Product Id]], tbl_Product[Product Id], tbl_Product[Is Set or Play Booster])</f>
        <v>0</v>
      </c>
      <c r="AX561" s="6" t="b">
        <f>_xlfn.XLOOKUP(tbl_Sourcing[[#This Row],[Product Id]], tbl_Product[Product Id], tbl_Product[Is Precon])</f>
        <v>0</v>
      </c>
    </row>
    <row r="562" spans="1:50">
      <c r="A562">
        <v>836</v>
      </c>
      <c r="B562">
        <v>64</v>
      </c>
      <c r="C562" t="s">
        <v>2073</v>
      </c>
      <c r="D562" s="8" t="s">
        <v>2102</v>
      </c>
      <c r="E562">
        <v>130</v>
      </c>
      <c r="F562" t="b">
        <v>1</v>
      </c>
      <c r="G562" s="6"/>
      <c r="J562" s="6" t="str">
        <f>_xlfn.XLOOKUP(tbl_Sourcing[[#This Row],[Product Id]], tbl_Product[Product Id], tbl_Product[Name])</f>
        <v>MTG Marvel's Spider-Man Play Booster Box</v>
      </c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2" s="6" t="b">
        <f>_xlfn.XLOOKUP(tbl_Sourcing[[#This Row],[Product Id]], tbl_Product[Product Id], tbl_Product[Is Set or Play Booster])</f>
        <v>1</v>
      </c>
      <c r="AX562" s="6" t="b">
        <f>_xlfn.XLOOKUP(tbl_Sourcing[[#This Row],[Product Id]], tbl_Product[Product Id], tbl_Product[Is Precon])</f>
        <v>0</v>
      </c>
    </row>
    <row r="563" spans="1:50">
      <c r="A563">
        <v>854</v>
      </c>
      <c r="B563">
        <v>248</v>
      </c>
      <c r="C563" t="s">
        <v>2073</v>
      </c>
      <c r="D563" s="8" t="s">
        <v>2103</v>
      </c>
      <c r="F563" t="b">
        <v>0</v>
      </c>
      <c r="G563" s="6"/>
      <c r="J563" s="6" t="str">
        <f>_xlfn.XLOOKUP(tbl_Sourcing[[#This Row],[Product Id]], tbl_Product[Product Id], tbl_Product[Name])</f>
        <v>MTG Marvel's Super Heroes Collector Booster Box</v>
      </c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3" s="6" t="b">
        <f>_xlfn.XLOOKUP(tbl_Sourcing[[#This Row],[Product Id]], tbl_Product[Product Id], tbl_Product[Is Set or Play Booster])</f>
        <v>0</v>
      </c>
      <c r="AX563" s="6" t="b">
        <f>_xlfn.XLOOKUP(tbl_Sourcing[[#This Row],[Product Id]], tbl_Product[Product Id], tbl_Product[Is Precon])</f>
        <v>0</v>
      </c>
    </row>
    <row r="564" spans="1:50">
      <c r="A564">
        <v>855</v>
      </c>
      <c r="B564">
        <v>246</v>
      </c>
      <c r="C564" t="s">
        <v>2073</v>
      </c>
      <c r="D564" s="8" t="s">
        <v>2104</v>
      </c>
      <c r="F564" t="b">
        <v>0</v>
      </c>
      <c r="G564" s="6"/>
      <c r="J564" s="6" t="str">
        <f>_xlfn.XLOOKUP(tbl_Sourcing[[#This Row],[Product Id]], tbl_Product[Product Id], tbl_Product[Name])</f>
        <v>MTG Marvel's Super Heroes Jumpstart Booster Box</v>
      </c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4" s="6" t="b">
        <f>_xlfn.XLOOKUP(tbl_Sourcing[[#This Row],[Product Id]], tbl_Product[Product Id], tbl_Product[Is Set or Play Booster])</f>
        <v>0</v>
      </c>
      <c r="AX564" s="6" t="b">
        <f>_xlfn.XLOOKUP(tbl_Sourcing[[#This Row],[Product Id]], tbl_Product[Product Id], tbl_Product[Is Precon])</f>
        <v>0</v>
      </c>
    </row>
    <row r="565" spans="1:50">
      <c r="A565">
        <v>856</v>
      </c>
      <c r="B565">
        <v>247</v>
      </c>
      <c r="C565" t="s">
        <v>2073</v>
      </c>
      <c r="D565" s="8" t="s">
        <v>2105</v>
      </c>
      <c r="F565" t="b">
        <v>0</v>
      </c>
      <c r="G565" s="6"/>
      <c r="J565" s="6" t="str">
        <f>_xlfn.XLOOKUP(tbl_Sourcing[[#This Row],[Product Id]], tbl_Product[Product Id], tbl_Product[Name])</f>
        <v>MTG Marvel's Super Heroes Play Booster Box</v>
      </c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5" s="6" t="b">
        <f>_xlfn.XLOOKUP(tbl_Sourcing[[#This Row],[Product Id]], tbl_Product[Product Id], tbl_Product[Is Set or Play Booster])</f>
        <v>1</v>
      </c>
      <c r="AX565" s="6" t="b">
        <f>_xlfn.XLOOKUP(tbl_Sourcing[[#This Row],[Product Id]], tbl_Product[Product Id], tbl_Product[Is Precon])</f>
        <v>0</v>
      </c>
    </row>
    <row r="566" spans="1:50">
      <c r="A566">
        <v>809</v>
      </c>
      <c r="B566">
        <v>46</v>
      </c>
      <c r="C566" t="s">
        <v>2073</v>
      </c>
      <c r="D566" s="8" t="s">
        <v>2106</v>
      </c>
      <c r="F566" t="b">
        <v>0</v>
      </c>
      <c r="G566" s="6"/>
      <c r="J566" s="6" t="str">
        <f>_xlfn.XLOOKUP(tbl_Sourcing[[#This Row],[Product Id]], tbl_Product[Product Id], tbl_Product[Name])</f>
        <v>MTG Modern Horizons 2 MH2 Set Booster Box</v>
      </c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6" s="6" t="b">
        <f>_xlfn.XLOOKUP(tbl_Sourcing[[#This Row],[Product Id]], tbl_Product[Product Id], tbl_Product[Is Set or Play Booster])</f>
        <v>1</v>
      </c>
      <c r="AX566" s="6" t="b">
        <f>_xlfn.XLOOKUP(tbl_Sourcing[[#This Row],[Product Id]], tbl_Product[Product Id], tbl_Product[Is Precon])</f>
        <v>0</v>
      </c>
    </row>
    <row r="567" spans="1:50">
      <c r="A567">
        <v>837</v>
      </c>
      <c r="B567">
        <v>122</v>
      </c>
      <c r="C567" t="s">
        <v>2073</v>
      </c>
      <c r="D567" s="8" t="s">
        <v>2107</v>
      </c>
      <c r="F567" t="b">
        <v>0</v>
      </c>
      <c r="G567" s="6"/>
      <c r="J567" s="6" t="str">
        <f>_xlfn.XLOOKUP(tbl_Sourcing[[#This Row],[Product Id]], tbl_Product[Product Id], tbl_Product[Name])</f>
        <v>MTG Modern Horizons 3 MH3 Collector Booster Box</v>
      </c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7" s="6" t="b">
        <f>_xlfn.XLOOKUP(tbl_Sourcing[[#This Row],[Product Id]], tbl_Product[Product Id], tbl_Product[Is Set or Play Booster])</f>
        <v>0</v>
      </c>
      <c r="AX567" s="6" t="b">
        <f>_xlfn.XLOOKUP(tbl_Sourcing[[#This Row],[Product Id]], tbl_Product[Product Id], tbl_Product[Is Precon])</f>
        <v>0</v>
      </c>
    </row>
    <row r="568" spans="1:50">
      <c r="A568">
        <v>838</v>
      </c>
      <c r="B568">
        <v>60</v>
      </c>
      <c r="C568" t="s">
        <v>2073</v>
      </c>
      <c r="D568" s="8" t="s">
        <v>2108</v>
      </c>
      <c r="F568" t="b">
        <v>0</v>
      </c>
      <c r="G568" s="6"/>
      <c r="J568" s="6" t="str">
        <f>_xlfn.XLOOKUP(tbl_Sourcing[[#This Row],[Product Id]], tbl_Product[Product Id], tbl_Product[Name])</f>
        <v>MTG Modern Horizons 3 MH3 Play Booster Box</v>
      </c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8" s="6" t="b">
        <f>_xlfn.XLOOKUP(tbl_Sourcing[[#This Row],[Product Id]], tbl_Product[Product Id], tbl_Product[Is Set or Play Booster])</f>
        <v>1</v>
      </c>
      <c r="AX568" s="6" t="b">
        <f>_xlfn.XLOOKUP(tbl_Sourcing[[#This Row],[Product Id]], tbl_Product[Product Id], tbl_Product[Is Precon])</f>
        <v>0</v>
      </c>
    </row>
    <row r="569" spans="1:50">
      <c r="A569">
        <v>839</v>
      </c>
      <c r="B569">
        <v>124</v>
      </c>
      <c r="C569" t="s">
        <v>2073</v>
      </c>
      <c r="D569" s="8" t="s">
        <v>2109</v>
      </c>
      <c r="F569" t="b">
        <v>0</v>
      </c>
      <c r="G569" s="6"/>
      <c r="J569" s="6" t="str">
        <f>_xlfn.XLOOKUP(tbl_Sourcing[[#This Row],[Product Id]], tbl_Product[Product Id], tbl_Product[Name])</f>
        <v>MTG Murders at Karlov Manor Collector Booster Box</v>
      </c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69" s="6" t="b">
        <f>_xlfn.XLOOKUP(tbl_Sourcing[[#This Row],[Product Id]], tbl_Product[Product Id], tbl_Product[Is Set or Play Booster])</f>
        <v>0</v>
      </c>
      <c r="AX569" s="6" t="b">
        <f>_xlfn.XLOOKUP(tbl_Sourcing[[#This Row],[Product Id]], tbl_Product[Product Id], tbl_Product[Is Precon])</f>
        <v>0</v>
      </c>
    </row>
    <row r="570" spans="1:50">
      <c r="A570">
        <v>840</v>
      </c>
      <c r="B570">
        <v>80</v>
      </c>
      <c r="C570" t="s">
        <v>2073</v>
      </c>
      <c r="D570" s="8" t="s">
        <v>2110</v>
      </c>
      <c r="F570" t="b">
        <v>0</v>
      </c>
      <c r="G570" s="6"/>
      <c r="J570" s="6" t="str">
        <f>_xlfn.XLOOKUP(tbl_Sourcing[[#This Row],[Product Id]], tbl_Product[Product Id], tbl_Product[Name])</f>
        <v>MTG Murders at Karlov Manor Play Booster Box</v>
      </c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0" s="6" t="b">
        <f>_xlfn.XLOOKUP(tbl_Sourcing[[#This Row],[Product Id]], tbl_Product[Product Id], tbl_Product[Is Set or Play Booster])</f>
        <v>1</v>
      </c>
      <c r="AX570" s="6" t="b">
        <f>_xlfn.XLOOKUP(tbl_Sourcing[[#This Row],[Product Id]], tbl_Product[Product Id], tbl_Product[Is Precon])</f>
        <v>0</v>
      </c>
    </row>
    <row r="571" spans="1:50">
      <c r="A571">
        <v>841</v>
      </c>
      <c r="B571">
        <v>126</v>
      </c>
      <c r="C571" t="s">
        <v>2073</v>
      </c>
      <c r="D571" s="8" t="s">
        <v>2111</v>
      </c>
      <c r="F571" t="b">
        <v>0</v>
      </c>
      <c r="G571" s="6"/>
      <c r="J571" s="6" t="str">
        <f>_xlfn.XLOOKUP(tbl_Sourcing[[#This Row],[Product Id]], tbl_Product[Product Id], tbl_Product[Name])</f>
        <v>MTG Outlaws of Thunder Junction Collector Booster Box</v>
      </c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1" s="6" t="b">
        <f>_xlfn.XLOOKUP(tbl_Sourcing[[#This Row],[Product Id]], tbl_Product[Product Id], tbl_Product[Is Set or Play Booster])</f>
        <v>0</v>
      </c>
      <c r="AX571" s="6" t="b">
        <f>_xlfn.XLOOKUP(tbl_Sourcing[[#This Row],[Product Id]], tbl_Product[Product Id], tbl_Product[Is Precon])</f>
        <v>0</v>
      </c>
    </row>
    <row r="572" spans="1:50">
      <c r="A572">
        <v>842</v>
      </c>
      <c r="B572">
        <v>56</v>
      </c>
      <c r="C572" t="s">
        <v>2073</v>
      </c>
      <c r="D572" s="8" t="s">
        <v>2112</v>
      </c>
      <c r="F572" t="b">
        <v>0</v>
      </c>
      <c r="G572" s="6"/>
      <c r="J572" s="6" t="str">
        <f>_xlfn.XLOOKUP(tbl_Sourcing[[#This Row],[Product Id]], tbl_Product[Product Id], tbl_Product[Name])</f>
        <v>MTG Outlaws of Thunder Junction Play Booster Box</v>
      </c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2" s="6" t="b">
        <f>_xlfn.XLOOKUP(tbl_Sourcing[[#This Row],[Product Id]], tbl_Product[Product Id], tbl_Product[Is Set or Play Booster])</f>
        <v>1</v>
      </c>
      <c r="AX572" s="6" t="b">
        <f>_xlfn.XLOOKUP(tbl_Sourcing[[#This Row],[Product Id]], tbl_Product[Product Id], tbl_Product[Is Precon])</f>
        <v>0</v>
      </c>
    </row>
    <row r="573" spans="1:50">
      <c r="A573">
        <v>843</v>
      </c>
      <c r="B573">
        <v>128</v>
      </c>
      <c r="C573" t="s">
        <v>2073</v>
      </c>
      <c r="D573" s="8" t="s">
        <v>2113</v>
      </c>
      <c r="F573" t="b">
        <v>0</v>
      </c>
      <c r="G573" s="6"/>
      <c r="J573" s="6" t="str">
        <f>_xlfn.XLOOKUP(tbl_Sourcing[[#This Row],[Product Id]], tbl_Product[Product Id], tbl_Product[Name])</f>
        <v>MTG Phyrexia: All Will Be One Collector Booster Box</v>
      </c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3" s="6" t="b">
        <f>_xlfn.XLOOKUP(tbl_Sourcing[[#This Row],[Product Id]], tbl_Product[Product Id], tbl_Product[Is Set or Play Booster])</f>
        <v>0</v>
      </c>
      <c r="AX573" s="6" t="b">
        <f>_xlfn.XLOOKUP(tbl_Sourcing[[#This Row],[Product Id]], tbl_Product[Product Id], tbl_Product[Is Precon])</f>
        <v>0</v>
      </c>
    </row>
    <row r="574" spans="1:50">
      <c r="A574">
        <v>844</v>
      </c>
      <c r="B574">
        <v>67</v>
      </c>
      <c r="C574" t="s">
        <v>2073</v>
      </c>
      <c r="D574" s="8" t="s">
        <v>2114</v>
      </c>
      <c r="F574" t="b">
        <v>0</v>
      </c>
      <c r="G574" s="6"/>
      <c r="J574" s="6" t="str">
        <f>_xlfn.XLOOKUP(tbl_Sourcing[[#This Row],[Product Id]], tbl_Product[Product Id], tbl_Product[Name])</f>
        <v>MTG Phyrexia: All Will Be One Set Booster Box</v>
      </c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4" s="6" t="b">
        <f>_xlfn.XLOOKUP(tbl_Sourcing[[#This Row],[Product Id]], tbl_Product[Product Id], tbl_Product[Is Set or Play Booster])</f>
        <v>1</v>
      </c>
      <c r="AX574" s="6" t="b">
        <f>_xlfn.XLOOKUP(tbl_Sourcing[[#This Row],[Product Id]], tbl_Product[Product Id], tbl_Product[Is Precon])</f>
        <v>0</v>
      </c>
    </row>
    <row r="575" spans="1:50">
      <c r="A575">
        <v>845</v>
      </c>
      <c r="B575">
        <v>130</v>
      </c>
      <c r="C575" t="s">
        <v>2073</v>
      </c>
      <c r="D575" s="8" t="s">
        <v>2115</v>
      </c>
      <c r="F575" t="b">
        <v>0</v>
      </c>
      <c r="G575" s="6"/>
      <c r="J575" s="6" t="str">
        <f>_xlfn.XLOOKUP(tbl_Sourcing[[#This Row],[Product Id]], tbl_Product[Product Id], tbl_Product[Name])</f>
        <v>MTG Ravnica Remastered Collector Booster Box</v>
      </c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5" s="6" t="b">
        <f>_xlfn.XLOOKUP(tbl_Sourcing[[#This Row],[Product Id]], tbl_Product[Product Id], tbl_Product[Is Set or Play Booster])</f>
        <v>0</v>
      </c>
      <c r="AX575" s="6" t="b">
        <f>_xlfn.XLOOKUP(tbl_Sourcing[[#This Row],[Product Id]], tbl_Product[Product Id], tbl_Product[Is Precon])</f>
        <v>0</v>
      </c>
    </row>
    <row r="576" spans="1:50">
      <c r="A576">
        <v>846</v>
      </c>
      <c r="B576">
        <v>68</v>
      </c>
      <c r="C576" t="s">
        <v>2073</v>
      </c>
      <c r="D576" s="8" t="s">
        <v>2116</v>
      </c>
      <c r="F576" t="b">
        <v>0</v>
      </c>
      <c r="G576" s="6"/>
      <c r="J576" s="6" t="str">
        <f>_xlfn.XLOOKUP(tbl_Sourcing[[#This Row],[Product Id]], tbl_Product[Product Id], tbl_Product[Name])</f>
        <v>MTG Ravnica Remastered Draft Booster Box</v>
      </c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6" s="6" t="b">
        <f>_xlfn.XLOOKUP(tbl_Sourcing[[#This Row],[Product Id]], tbl_Product[Product Id], tbl_Product[Is Set or Play Booster])</f>
        <v>1</v>
      </c>
      <c r="AX576" s="6" t="b">
        <f>_xlfn.XLOOKUP(tbl_Sourcing[[#This Row],[Product Id]], tbl_Product[Product Id], tbl_Product[Is Precon])</f>
        <v>0</v>
      </c>
    </row>
    <row r="577" spans="1:50">
      <c r="A577">
        <v>810</v>
      </c>
      <c r="B577">
        <v>132</v>
      </c>
      <c r="C577" t="s">
        <v>2073</v>
      </c>
      <c r="D577" s="8" t="s">
        <v>2117</v>
      </c>
      <c r="F577" t="b">
        <v>0</v>
      </c>
      <c r="G577" s="6"/>
      <c r="J577" s="6" t="str">
        <f>_xlfn.XLOOKUP(tbl_Sourcing[[#This Row],[Product Id]], tbl_Product[Product Id], tbl_Product[Name])</f>
        <v>MTG Streets of New Capenna Collector Booster Box</v>
      </c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7" s="6" t="b">
        <f>_xlfn.XLOOKUP(tbl_Sourcing[[#This Row],[Product Id]], tbl_Product[Product Id], tbl_Product[Is Set or Play Booster])</f>
        <v>0</v>
      </c>
      <c r="AX577" s="6" t="b">
        <f>_xlfn.XLOOKUP(tbl_Sourcing[[#This Row],[Product Id]], tbl_Product[Product Id], tbl_Product[Is Precon])</f>
        <v>0</v>
      </c>
    </row>
    <row r="578" spans="1:50">
      <c r="A578">
        <v>811</v>
      </c>
      <c r="B578">
        <v>75</v>
      </c>
      <c r="C578" t="s">
        <v>2073</v>
      </c>
      <c r="D578" s="8" t="s">
        <v>2118</v>
      </c>
      <c r="F578" t="b">
        <v>0</v>
      </c>
      <c r="G578" s="6"/>
      <c r="J578" s="6" t="str">
        <f>_xlfn.XLOOKUP(tbl_Sourcing[[#This Row],[Product Id]], tbl_Product[Product Id], tbl_Product[Name])</f>
        <v>MTG Streets of New Capenna Set Booster Box</v>
      </c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8" s="6" t="b">
        <f>_xlfn.XLOOKUP(tbl_Sourcing[[#This Row],[Product Id]], tbl_Product[Product Id], tbl_Product[Is Set or Play Booster])</f>
        <v>1</v>
      </c>
      <c r="AX578" s="6" t="b">
        <f>_xlfn.XLOOKUP(tbl_Sourcing[[#This Row],[Product Id]], tbl_Product[Product Id], tbl_Product[Is Precon])</f>
        <v>0</v>
      </c>
    </row>
    <row r="579" spans="1:50">
      <c r="A579">
        <v>847</v>
      </c>
      <c r="B579">
        <v>136</v>
      </c>
      <c r="C579" t="s">
        <v>2073</v>
      </c>
      <c r="D579" s="8" t="s">
        <v>2119</v>
      </c>
      <c r="F579" t="b">
        <v>0</v>
      </c>
      <c r="G579" s="6"/>
      <c r="J579" s="6" t="str">
        <f>_xlfn.XLOOKUP(tbl_Sourcing[[#This Row],[Product Id]], tbl_Product[Product Id], tbl_Product[Name])</f>
        <v>MTG Tarkir: Dragonstorm TDM Collector Booster Box</v>
      </c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79" s="6" t="b">
        <f>_xlfn.XLOOKUP(tbl_Sourcing[[#This Row],[Product Id]], tbl_Product[Product Id], tbl_Product[Is Set or Play Booster])</f>
        <v>0</v>
      </c>
      <c r="AX579" s="6" t="b">
        <f>_xlfn.XLOOKUP(tbl_Sourcing[[#This Row],[Product Id]], tbl_Product[Product Id], tbl_Product[Is Precon])</f>
        <v>0</v>
      </c>
    </row>
    <row r="580" spans="1:50">
      <c r="A580">
        <v>848</v>
      </c>
      <c r="B580">
        <v>42</v>
      </c>
      <c r="C580" t="s">
        <v>2073</v>
      </c>
      <c r="D580" s="8" t="s">
        <v>2120</v>
      </c>
      <c r="F580" t="b">
        <v>0</v>
      </c>
      <c r="G580" s="6"/>
      <c r="J580" s="6" t="str">
        <f>_xlfn.XLOOKUP(tbl_Sourcing[[#This Row],[Product Id]], tbl_Product[Product Id], tbl_Product[Name])</f>
        <v>MTG Tarkir: Dragonstorm TDM Play Booster Box</v>
      </c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0" s="6" t="b">
        <f>_xlfn.XLOOKUP(tbl_Sourcing[[#This Row],[Product Id]], tbl_Product[Product Id], tbl_Product[Is Set or Play Booster])</f>
        <v>1</v>
      </c>
      <c r="AX580" s="6" t="b">
        <f>_xlfn.XLOOKUP(tbl_Sourcing[[#This Row],[Product Id]], tbl_Product[Product Id], tbl_Product[Is Precon])</f>
        <v>0</v>
      </c>
    </row>
    <row r="581" spans="1:50">
      <c r="A581">
        <v>857</v>
      </c>
      <c r="B581">
        <v>252</v>
      </c>
      <c r="C581" t="s">
        <v>2073</v>
      </c>
      <c r="D581" s="8" t="s">
        <v>2121</v>
      </c>
      <c r="F581" t="b">
        <v>0</v>
      </c>
      <c r="G581" s="6"/>
      <c r="J581" s="6" t="str">
        <f>_xlfn.XLOOKUP(tbl_Sourcing[[#This Row],[Product Id]], tbl_Product[Product Id], tbl_Product[Name])</f>
        <v>MTG Teenage Mutant Ninja Turtles Collector Booster Box</v>
      </c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1" s="6" t="b">
        <f>_xlfn.XLOOKUP(tbl_Sourcing[[#This Row],[Product Id]], tbl_Product[Product Id], tbl_Product[Is Set or Play Booster])</f>
        <v>0</v>
      </c>
      <c r="AX581" s="6" t="b">
        <f>_xlfn.XLOOKUP(tbl_Sourcing[[#This Row],[Product Id]], tbl_Product[Product Id], tbl_Product[Is Precon])</f>
        <v>0</v>
      </c>
    </row>
    <row r="582" spans="1:50">
      <c r="A582">
        <v>858</v>
      </c>
      <c r="B582">
        <v>253</v>
      </c>
      <c r="C582" t="s">
        <v>2073</v>
      </c>
      <c r="D582" s="8" t="s">
        <v>2122</v>
      </c>
      <c r="E582">
        <v>130</v>
      </c>
      <c r="F582" t="b">
        <v>1</v>
      </c>
      <c r="G582" s="6"/>
      <c r="J582" s="6" t="str">
        <f>_xlfn.XLOOKUP(tbl_Sourcing[[#This Row],[Product Id]], tbl_Product[Product Id], tbl_Product[Name])</f>
        <v>MTG Teenage Mutant Ninja Turtles Play Booster Box</v>
      </c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2" s="6" t="b">
        <f>_xlfn.XLOOKUP(tbl_Sourcing[[#This Row],[Product Id]], tbl_Product[Product Id], tbl_Product[Is Set or Play Booster])</f>
        <v>1</v>
      </c>
      <c r="AX582" s="6" t="b">
        <f>_xlfn.XLOOKUP(tbl_Sourcing[[#This Row],[Product Id]], tbl_Product[Product Id], tbl_Product[Is Precon])</f>
        <v>0</v>
      </c>
    </row>
    <row r="583" spans="1:50">
      <c r="A583">
        <v>849</v>
      </c>
      <c r="B583">
        <v>138</v>
      </c>
      <c r="C583" t="s">
        <v>2073</v>
      </c>
      <c r="D583" s="8" t="s">
        <v>2123</v>
      </c>
      <c r="F583" t="b">
        <v>0</v>
      </c>
      <c r="G583" s="6"/>
      <c r="J583" s="6" t="str">
        <f>_xlfn.XLOOKUP(tbl_Sourcing[[#This Row],[Product Id]], tbl_Product[Product Id], tbl_Product[Name])</f>
        <v>MTG The Brothers' War Collector Booster Box</v>
      </c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3" s="6" t="b">
        <f>_xlfn.XLOOKUP(tbl_Sourcing[[#This Row],[Product Id]], tbl_Product[Product Id], tbl_Product[Is Set or Play Booster])</f>
        <v>0</v>
      </c>
      <c r="AX583" s="6" t="b">
        <f>_xlfn.XLOOKUP(tbl_Sourcing[[#This Row],[Product Id]], tbl_Product[Product Id], tbl_Product[Is Precon])</f>
        <v>0</v>
      </c>
    </row>
    <row r="584" spans="1:50">
      <c r="A584">
        <v>812</v>
      </c>
      <c r="B584">
        <v>73</v>
      </c>
      <c r="C584" t="s">
        <v>2073</v>
      </c>
      <c r="D584" s="8" t="s">
        <v>2124</v>
      </c>
      <c r="F584" t="b">
        <v>0</v>
      </c>
      <c r="G584" s="6"/>
      <c r="J584" s="6" t="str">
        <f>_xlfn.XLOOKUP(tbl_Sourcing[[#This Row],[Product Id]], tbl_Product[Product Id], tbl_Product[Name])</f>
        <v>MTG The Brothers' War Set Booster Box</v>
      </c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4" s="6" t="b">
        <f>_xlfn.XLOOKUP(tbl_Sourcing[[#This Row],[Product Id]], tbl_Product[Product Id], tbl_Product[Is Set or Play Booster])</f>
        <v>1</v>
      </c>
      <c r="AX584" s="6" t="b">
        <f>_xlfn.XLOOKUP(tbl_Sourcing[[#This Row],[Product Id]], tbl_Product[Product Id], tbl_Product[Is Precon])</f>
        <v>0</v>
      </c>
    </row>
    <row r="585" spans="1:50">
      <c r="A585">
        <v>807</v>
      </c>
      <c r="B585">
        <v>140</v>
      </c>
      <c r="C585" t="s">
        <v>2073</v>
      </c>
      <c r="D585" s="8" t="s">
        <v>2125</v>
      </c>
      <c r="F585" t="b">
        <v>0</v>
      </c>
      <c r="G585" s="6"/>
      <c r="J585" s="6" t="str">
        <f>_xlfn.XLOOKUP(tbl_Sourcing[[#This Row],[Product Id]], tbl_Product[Product Id], tbl_Product[Name])</f>
        <v>MTG The Lord of the Rings: Tales of Middle-earth LTR Collector Booster Box</v>
      </c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5" s="6" t="b">
        <f>_xlfn.XLOOKUP(tbl_Sourcing[[#This Row],[Product Id]], tbl_Product[Product Id], tbl_Product[Is Set or Play Booster])</f>
        <v>0</v>
      </c>
      <c r="AX585" s="6" t="b">
        <f>_xlfn.XLOOKUP(tbl_Sourcing[[#This Row],[Product Id]], tbl_Product[Product Id], tbl_Product[Is Precon])</f>
        <v>0</v>
      </c>
    </row>
    <row r="586" spans="1:50">
      <c r="A586">
        <v>808</v>
      </c>
      <c r="B586">
        <v>66</v>
      </c>
      <c r="C586" t="s">
        <v>2073</v>
      </c>
      <c r="D586" s="8" t="s">
        <v>2126</v>
      </c>
      <c r="F586" t="b">
        <v>0</v>
      </c>
      <c r="G586" s="6"/>
      <c r="J586" s="6" t="str">
        <f>_xlfn.XLOOKUP(tbl_Sourcing[[#This Row],[Product Id]], tbl_Product[Product Id], tbl_Product[Name])</f>
        <v>MTG The Lord of the Rings: Tales of Middle-earth LTR Set Booster Box</v>
      </c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6" s="6" t="b">
        <f>_xlfn.XLOOKUP(tbl_Sourcing[[#This Row],[Product Id]], tbl_Product[Product Id], tbl_Product[Is Set or Play Booster])</f>
        <v>1</v>
      </c>
      <c r="AX586" s="6" t="b">
        <f>_xlfn.XLOOKUP(tbl_Sourcing[[#This Row],[Product Id]], tbl_Product[Product Id], tbl_Product[Is Precon])</f>
        <v>0</v>
      </c>
    </row>
    <row r="587" spans="1:50">
      <c r="A587">
        <v>831</v>
      </c>
      <c r="B587">
        <v>142</v>
      </c>
      <c r="C587" t="s">
        <v>2073</v>
      </c>
      <c r="D587" s="8" t="s">
        <v>2127</v>
      </c>
      <c r="F587" t="b">
        <v>0</v>
      </c>
      <c r="G587" s="6"/>
      <c r="J587" s="6" t="str">
        <f>_xlfn.XLOOKUP(tbl_Sourcing[[#This Row],[Product Id]], tbl_Product[Product Id], tbl_Product[Name])</f>
        <v>MTG The Lost Caverns of Ixalan LCI Collector Booster Box</v>
      </c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7" s="6" t="b">
        <f>_xlfn.XLOOKUP(tbl_Sourcing[[#This Row],[Product Id]], tbl_Product[Product Id], tbl_Product[Is Set or Play Booster])</f>
        <v>0</v>
      </c>
      <c r="AX587" s="6" t="b">
        <f>_xlfn.XLOOKUP(tbl_Sourcing[[#This Row],[Product Id]], tbl_Product[Product Id], tbl_Product[Is Precon])</f>
        <v>0</v>
      </c>
    </row>
    <row r="588" spans="1:50">
      <c r="A588">
        <v>832</v>
      </c>
      <c r="B588">
        <v>47</v>
      </c>
      <c r="C588" t="s">
        <v>2073</v>
      </c>
      <c r="D588" s="8" t="s">
        <v>2128</v>
      </c>
      <c r="F588" t="b">
        <v>0</v>
      </c>
      <c r="G588" s="6"/>
      <c r="J588" s="6" t="str">
        <f>_xlfn.XLOOKUP(tbl_Sourcing[[#This Row],[Product Id]], tbl_Product[Product Id], tbl_Product[Name])</f>
        <v>MTG The Lost Caverns of Ixalan LCI Set Booster Box</v>
      </c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8" s="6" t="b">
        <f>_xlfn.XLOOKUP(tbl_Sourcing[[#This Row],[Product Id]], tbl_Product[Product Id], tbl_Product[Is Set or Play Booster])</f>
        <v>1</v>
      </c>
      <c r="AX588" s="6" t="b">
        <f>_xlfn.XLOOKUP(tbl_Sourcing[[#This Row],[Product Id]], tbl_Product[Product Id], tbl_Product[Is Precon])</f>
        <v>0</v>
      </c>
    </row>
    <row r="589" spans="1:50">
      <c r="A589">
        <v>850</v>
      </c>
      <c r="B589">
        <v>74</v>
      </c>
      <c r="C589" t="s">
        <v>2073</v>
      </c>
      <c r="D589" s="8" t="s">
        <v>2129</v>
      </c>
      <c r="F589" t="b">
        <v>0</v>
      </c>
      <c r="G589" s="6"/>
      <c r="J589" s="6" t="str">
        <f>_xlfn.XLOOKUP(tbl_Sourcing[[#This Row],[Product Id]], tbl_Product[Product Id], tbl_Product[Name])</f>
        <v>MTG Wilds of Eldraine Set Booster Box</v>
      </c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89" s="6" t="b">
        <f>_xlfn.XLOOKUP(tbl_Sourcing[[#This Row],[Product Id]], tbl_Product[Product Id], tbl_Product[Is Set or Play Booster])</f>
        <v>1</v>
      </c>
      <c r="AX589" s="6" t="b">
        <f>_xlfn.XLOOKUP(tbl_Sourcing[[#This Row],[Product Id]], tbl_Product[Product Id], tbl_Product[Is Precon])</f>
        <v>0</v>
      </c>
    </row>
    <row r="590" spans="1:50">
      <c r="A590">
        <v>561</v>
      </c>
      <c r="B590">
        <v>88</v>
      </c>
      <c r="C590" t="s">
        <v>2130</v>
      </c>
      <c r="D590" s="25" t="s">
        <v>2131</v>
      </c>
      <c r="E590">
        <v>315</v>
      </c>
      <c r="F590" t="b">
        <v>1</v>
      </c>
      <c r="G590" s="6"/>
      <c r="J590" s="6" t="str">
        <f>_xlfn.XLOOKUP(tbl_Sourcing[[#This Row],[Product Id]], tbl_Product[Product Id], tbl_Product[Name])</f>
        <v>MTG Avatar: The Last Airbender Collector Booster Box</v>
      </c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0" s="6" t="b">
        <f>_xlfn.XLOOKUP(tbl_Sourcing[[#This Row],[Product Id]], tbl_Product[Product Id], tbl_Product[Is Set or Play Booster])</f>
        <v>0</v>
      </c>
      <c r="AX590" s="6" t="b">
        <f>_xlfn.XLOOKUP(tbl_Sourcing[[#This Row],[Product Id]], tbl_Product[Product Id], tbl_Product[Is Precon])</f>
        <v>0</v>
      </c>
    </row>
    <row r="591" spans="1:50">
      <c r="A591">
        <v>560</v>
      </c>
      <c r="B591">
        <v>57</v>
      </c>
      <c r="C591" t="s">
        <v>2130</v>
      </c>
      <c r="D591" s="25" t="s">
        <v>2132</v>
      </c>
      <c r="E591">
        <v>137</v>
      </c>
      <c r="F591" t="b">
        <v>1</v>
      </c>
      <c r="G591" s="6"/>
      <c r="J591" s="6" t="str">
        <f>_xlfn.XLOOKUP(tbl_Sourcing[[#This Row],[Product Id]], tbl_Product[Product Id], tbl_Product[Name])</f>
        <v>MTG Avatar: The Last Airbender Play Booster Box</v>
      </c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1" s="6" t="b">
        <f>_xlfn.XLOOKUP(tbl_Sourcing[[#This Row],[Product Id]], tbl_Product[Product Id], tbl_Product[Is Set or Play Booster])</f>
        <v>1</v>
      </c>
      <c r="AX591" s="6" t="b">
        <f>_xlfn.XLOOKUP(tbl_Sourcing[[#This Row],[Product Id]], tbl_Product[Product Id], tbl_Product[Is Precon])</f>
        <v>0</v>
      </c>
    </row>
    <row r="592" spans="1:50">
      <c r="A592">
        <v>563</v>
      </c>
      <c r="B592">
        <v>58</v>
      </c>
      <c r="C592" t="s">
        <v>2130</v>
      </c>
      <c r="D592" s="25" t="s">
        <v>2133</v>
      </c>
      <c r="E592">
        <v>95</v>
      </c>
      <c r="F592" t="b">
        <v>0</v>
      </c>
      <c r="G592" s="6"/>
      <c r="J592" s="6" t="str">
        <f>_xlfn.XLOOKUP(tbl_Sourcing[[#This Row],[Product Id]], tbl_Product[Product Id], tbl_Product[Name])</f>
        <v>MTG Innistrad: Crimson Vow Set Booster Box</v>
      </c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2" s="6" t="b">
        <f>_xlfn.XLOOKUP(tbl_Sourcing[[#This Row],[Product Id]], tbl_Product[Product Id], tbl_Product[Is Set or Play Booster])</f>
        <v>1</v>
      </c>
      <c r="AX592" s="6" t="b">
        <f>_xlfn.XLOOKUP(tbl_Sourcing[[#This Row],[Product Id]], tbl_Product[Product Id], tbl_Product[Is Precon])</f>
        <v>0</v>
      </c>
    </row>
    <row r="593" spans="1:50">
      <c r="A593">
        <v>564</v>
      </c>
      <c r="B593">
        <v>114</v>
      </c>
      <c r="C593" t="s">
        <v>2130</v>
      </c>
      <c r="D593" s="25" t="s">
        <v>2134</v>
      </c>
      <c r="E593">
        <v>280</v>
      </c>
      <c r="F593" t="b">
        <v>0</v>
      </c>
      <c r="G593" s="6"/>
      <c r="J593" s="6" t="str">
        <f>_xlfn.XLOOKUP(tbl_Sourcing[[#This Row],[Product Id]], tbl_Product[Product Id], tbl_Product[Name])</f>
        <v>MTG Lorwyn Eclipsed Collector Booster Box</v>
      </c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3" s="6" t="b">
        <f>_xlfn.XLOOKUP(tbl_Sourcing[[#This Row],[Product Id]], tbl_Product[Product Id], tbl_Product[Is Set or Play Booster])</f>
        <v>0</v>
      </c>
      <c r="AX593" s="6" t="b">
        <f>_xlfn.XLOOKUP(tbl_Sourcing[[#This Row],[Product Id]], tbl_Product[Product Id], tbl_Product[Is Precon])</f>
        <v>0</v>
      </c>
    </row>
    <row r="594" spans="1:50">
      <c r="A594">
        <v>562</v>
      </c>
      <c r="B594">
        <v>49</v>
      </c>
      <c r="C594" t="s">
        <v>2130</v>
      </c>
      <c r="D594" s="25" t="s">
        <v>2135</v>
      </c>
      <c r="E594">
        <v>120</v>
      </c>
      <c r="F594" t="b">
        <v>0</v>
      </c>
      <c r="G594" s="6"/>
      <c r="J594" s="6" t="str">
        <f>_xlfn.XLOOKUP(tbl_Sourcing[[#This Row],[Product Id]], tbl_Product[Product Id], tbl_Product[Name])</f>
        <v>MTG Lorwyn Eclipsed Play Booster Box</v>
      </c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4" s="6" t="b">
        <f>_xlfn.XLOOKUP(tbl_Sourcing[[#This Row],[Product Id]], tbl_Product[Product Id], tbl_Product[Is Set or Play Booster])</f>
        <v>1</v>
      </c>
      <c r="AX594" s="6" t="b">
        <f>_xlfn.XLOOKUP(tbl_Sourcing[[#This Row],[Product Id]], tbl_Product[Product Id], tbl_Product[Is Precon])</f>
        <v>0</v>
      </c>
    </row>
    <row r="595" spans="1:50">
      <c r="A595">
        <v>566</v>
      </c>
      <c r="B595">
        <v>138</v>
      </c>
      <c r="C595" t="s">
        <v>2130</v>
      </c>
      <c r="D595" s="25" t="s">
        <v>2136</v>
      </c>
      <c r="E595">
        <v>215</v>
      </c>
      <c r="F595" t="b">
        <v>0</v>
      </c>
      <c r="G595" s="6"/>
      <c r="J595" s="6" t="str">
        <f>_xlfn.XLOOKUP(tbl_Sourcing[[#This Row],[Product Id]], tbl_Product[Product Id], tbl_Product[Name])</f>
        <v>MTG The Brothers' War Collector Booster Box</v>
      </c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5" s="6" t="b">
        <f>_xlfn.XLOOKUP(tbl_Sourcing[[#This Row],[Product Id]], tbl_Product[Product Id], tbl_Product[Is Set or Play Booster])</f>
        <v>0</v>
      </c>
      <c r="AX595" s="6" t="b">
        <f>_xlfn.XLOOKUP(tbl_Sourcing[[#This Row],[Product Id]], tbl_Product[Product Id], tbl_Product[Is Precon])</f>
        <v>0</v>
      </c>
    </row>
    <row r="596" spans="1:50">
      <c r="A596">
        <v>565</v>
      </c>
      <c r="B596">
        <v>217</v>
      </c>
      <c r="C596" t="s">
        <v>2130</v>
      </c>
      <c r="D596" s="25" t="s">
        <v>2137</v>
      </c>
      <c r="E596">
        <v>35</v>
      </c>
      <c r="F596" t="b">
        <v>0</v>
      </c>
      <c r="G596" s="6"/>
      <c r="J596" s="6" t="str">
        <f>_xlfn.XLOOKUP(tbl_Sourcing[[#This Row],[Product Id]], tbl_Product[Product Id], tbl_Product[Name])</f>
        <v>MTG The Brothers' War Mishra's Burnished Banner Precon</v>
      </c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6" s="6" t="b">
        <f>_xlfn.XLOOKUP(tbl_Sourcing[[#This Row],[Product Id]], tbl_Product[Product Id], tbl_Product[Is Set or Play Booster])</f>
        <v>0</v>
      </c>
      <c r="AX596" s="6" t="b">
        <f>_xlfn.XLOOKUP(tbl_Sourcing[[#This Row],[Product Id]], tbl_Product[Product Id], tbl_Product[Is Precon])</f>
        <v>1</v>
      </c>
    </row>
    <row r="597" spans="1:50">
      <c r="A597">
        <v>568</v>
      </c>
      <c r="B597">
        <v>73</v>
      </c>
      <c r="C597" t="s">
        <v>2130</v>
      </c>
      <c r="D597" s="25" t="s">
        <v>2138</v>
      </c>
      <c r="E597">
        <v>104</v>
      </c>
      <c r="F597" t="b">
        <v>0</v>
      </c>
      <c r="G597" s="6"/>
      <c r="J597" s="6" t="str">
        <f>_xlfn.XLOOKUP(tbl_Sourcing[[#This Row],[Product Id]], tbl_Product[Product Id], tbl_Product[Name])</f>
        <v>MTG The Brothers' War Set Booster Box</v>
      </c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7" s="6" t="b">
        <f>_xlfn.XLOOKUP(tbl_Sourcing[[#This Row],[Product Id]], tbl_Product[Product Id], tbl_Product[Is Set or Play Booster])</f>
        <v>1</v>
      </c>
      <c r="AX597" s="6" t="b">
        <f>_xlfn.XLOOKUP(tbl_Sourcing[[#This Row],[Product Id]], tbl_Product[Product Id], tbl_Product[Is Precon])</f>
        <v>0</v>
      </c>
    </row>
    <row r="598" spans="1:50">
      <c r="A598">
        <v>567</v>
      </c>
      <c r="B598">
        <v>216</v>
      </c>
      <c r="C598" t="s">
        <v>2130</v>
      </c>
      <c r="D598" s="25" t="s">
        <v>2139</v>
      </c>
      <c r="E598">
        <v>35</v>
      </c>
      <c r="F598" t="b">
        <v>0</v>
      </c>
      <c r="G598" s="6"/>
      <c r="J598" s="6" t="str">
        <f>_xlfn.XLOOKUP(tbl_Sourcing[[#This Row],[Product Id]], tbl_Product[Product Id], tbl_Product[Name])</f>
        <v>MTG The Brothers' War Urza's Iron Alliance Precon</v>
      </c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8" s="6" t="b">
        <f>_xlfn.XLOOKUP(tbl_Sourcing[[#This Row],[Product Id]], tbl_Product[Product Id], tbl_Product[Is Set or Play Booster])</f>
        <v>0</v>
      </c>
      <c r="AX598" s="6" t="b">
        <f>_xlfn.XLOOKUP(tbl_Sourcing[[#This Row],[Product Id]], tbl_Product[Product Id], tbl_Product[Is Precon])</f>
        <v>1</v>
      </c>
    </row>
    <row r="599" spans="1:50">
      <c r="A599">
        <v>664</v>
      </c>
      <c r="B599">
        <v>88</v>
      </c>
      <c r="C599" t="s">
        <v>2140</v>
      </c>
      <c r="D599" s="8" t="s">
        <v>2131</v>
      </c>
      <c r="E599">
        <v>315</v>
      </c>
      <c r="F599" t="b">
        <v>1</v>
      </c>
      <c r="G599" s="6"/>
      <c r="J599" s="6" t="str">
        <f>_xlfn.XLOOKUP(tbl_Sourcing[[#This Row],[Product Id]], tbl_Product[Product Id], tbl_Product[Name])</f>
        <v>MTG Avatar: The Last Airbender Collector Booster Box</v>
      </c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599" s="6" t="b">
        <f>_xlfn.XLOOKUP(tbl_Sourcing[[#This Row],[Product Id]], tbl_Product[Product Id], tbl_Product[Is Set or Play Booster])</f>
        <v>0</v>
      </c>
      <c r="AX599" s="6" t="b">
        <f>_xlfn.XLOOKUP(tbl_Sourcing[[#This Row],[Product Id]], tbl_Product[Product Id], tbl_Product[Is Precon])</f>
        <v>0</v>
      </c>
    </row>
    <row r="600" spans="1:50">
      <c r="A600">
        <v>663</v>
      </c>
      <c r="B600">
        <v>57</v>
      </c>
      <c r="C600" t="s">
        <v>2140</v>
      </c>
      <c r="D600" s="8" t="s">
        <v>2132</v>
      </c>
      <c r="E600">
        <v>137</v>
      </c>
      <c r="F600" t="b">
        <v>1</v>
      </c>
      <c r="G600" s="6"/>
      <c r="J600" s="6" t="str">
        <f>_xlfn.XLOOKUP(tbl_Sourcing[[#This Row],[Product Id]], tbl_Product[Product Id], tbl_Product[Name])</f>
        <v>MTG Avatar: The Last Airbender Play Booster Box</v>
      </c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0" s="6" t="b">
        <f>_xlfn.XLOOKUP(tbl_Sourcing[[#This Row],[Product Id]], tbl_Product[Product Id], tbl_Product[Is Set or Play Booster])</f>
        <v>1</v>
      </c>
      <c r="AX600" s="6" t="b">
        <f>_xlfn.XLOOKUP(tbl_Sourcing[[#This Row],[Product Id]], tbl_Product[Product Id], tbl_Product[Is Precon])</f>
        <v>0</v>
      </c>
    </row>
    <row r="601" spans="1:50">
      <c r="A601">
        <v>667</v>
      </c>
      <c r="B601">
        <v>58</v>
      </c>
      <c r="C601" t="s">
        <v>2140</v>
      </c>
      <c r="D601" s="8" t="s">
        <v>2133</v>
      </c>
      <c r="F601" t="b">
        <v>0</v>
      </c>
      <c r="G601" s="6"/>
      <c r="J601" s="6" t="str">
        <f>_xlfn.XLOOKUP(tbl_Sourcing[[#This Row],[Product Id]], tbl_Product[Product Id], tbl_Product[Name])</f>
        <v>MTG Innistrad: Crimson Vow Set Booster Box</v>
      </c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1" s="6" t="b">
        <f>_xlfn.XLOOKUP(tbl_Sourcing[[#This Row],[Product Id]], tbl_Product[Product Id], tbl_Product[Is Set or Play Booster])</f>
        <v>1</v>
      </c>
      <c r="AX601" s="6" t="b">
        <f>_xlfn.XLOOKUP(tbl_Sourcing[[#This Row],[Product Id]], tbl_Product[Product Id], tbl_Product[Is Precon])</f>
        <v>0</v>
      </c>
    </row>
    <row r="602" spans="1:50">
      <c r="A602">
        <v>669</v>
      </c>
      <c r="B602">
        <v>114</v>
      </c>
      <c r="C602" t="s">
        <v>2140</v>
      </c>
      <c r="D602" s="8" t="s">
        <v>2134</v>
      </c>
      <c r="F602" t="b">
        <v>0</v>
      </c>
      <c r="G602" s="6"/>
      <c r="J602" s="6" t="str">
        <f>_xlfn.XLOOKUP(tbl_Sourcing[[#This Row],[Product Id]], tbl_Product[Product Id], tbl_Product[Name])</f>
        <v>MTG Lorwyn Eclipsed Collector Booster Box</v>
      </c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2" s="6" t="b">
        <f>_xlfn.XLOOKUP(tbl_Sourcing[[#This Row],[Product Id]], tbl_Product[Product Id], tbl_Product[Is Set or Play Booster])</f>
        <v>0</v>
      </c>
      <c r="AX602" s="6" t="b">
        <f>_xlfn.XLOOKUP(tbl_Sourcing[[#This Row],[Product Id]], tbl_Product[Product Id], tbl_Product[Is Precon])</f>
        <v>0</v>
      </c>
    </row>
    <row r="603" spans="1:50">
      <c r="A603">
        <v>668</v>
      </c>
      <c r="B603">
        <v>49</v>
      </c>
      <c r="C603" t="s">
        <v>2140</v>
      </c>
      <c r="D603" s="8" t="s">
        <v>2135</v>
      </c>
      <c r="F603" t="b">
        <v>0</v>
      </c>
      <c r="G603" s="6"/>
      <c r="J603" s="6" t="str">
        <f>_xlfn.XLOOKUP(tbl_Sourcing[[#This Row],[Product Id]], tbl_Product[Product Id], tbl_Product[Name])</f>
        <v>MTG Lorwyn Eclipsed Play Booster Box</v>
      </c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3" s="6" t="b">
        <f>_xlfn.XLOOKUP(tbl_Sourcing[[#This Row],[Product Id]], tbl_Product[Product Id], tbl_Product[Is Set or Play Booster])</f>
        <v>1</v>
      </c>
      <c r="AX603" s="6" t="b">
        <f>_xlfn.XLOOKUP(tbl_Sourcing[[#This Row],[Product Id]], tbl_Product[Product Id], tbl_Product[Is Precon])</f>
        <v>0</v>
      </c>
    </row>
    <row r="604" spans="1:50">
      <c r="A604">
        <v>666</v>
      </c>
      <c r="B604">
        <v>252</v>
      </c>
      <c r="C604" t="s">
        <v>2140</v>
      </c>
      <c r="D604" s="8" t="s">
        <v>2141</v>
      </c>
      <c r="E604">
        <v>370</v>
      </c>
      <c r="F604" t="b">
        <v>1</v>
      </c>
      <c r="G604" s="6"/>
      <c r="J604" s="6" t="str">
        <f>_xlfn.XLOOKUP(tbl_Sourcing[[#This Row],[Product Id]], tbl_Product[Product Id], tbl_Product[Name])</f>
        <v>MTG Teenage Mutant Ninja Turtles Collector Booster Box</v>
      </c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4" s="6" t="b">
        <f>_xlfn.XLOOKUP(tbl_Sourcing[[#This Row],[Product Id]], tbl_Product[Product Id], tbl_Product[Is Set or Play Booster])</f>
        <v>0</v>
      </c>
      <c r="AX604" s="6" t="b">
        <f>_xlfn.XLOOKUP(tbl_Sourcing[[#This Row],[Product Id]], tbl_Product[Product Id], tbl_Product[Is Precon])</f>
        <v>0</v>
      </c>
    </row>
    <row r="605" spans="1:50">
      <c r="A605">
        <v>665</v>
      </c>
      <c r="B605">
        <v>253</v>
      </c>
      <c r="C605" t="s">
        <v>2140</v>
      </c>
      <c r="D605" s="8" t="s">
        <v>2142</v>
      </c>
      <c r="E605">
        <v>137</v>
      </c>
      <c r="F605" t="b">
        <v>1</v>
      </c>
      <c r="G605" s="6"/>
      <c r="J605" s="6" t="str">
        <f>_xlfn.XLOOKUP(tbl_Sourcing[[#This Row],[Product Id]], tbl_Product[Product Id], tbl_Product[Name])</f>
        <v>MTG Teenage Mutant Ninja Turtles Play Booster Box</v>
      </c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5" s="6" t="b">
        <f>_xlfn.XLOOKUP(tbl_Sourcing[[#This Row],[Product Id]], tbl_Product[Product Id], tbl_Product[Is Set or Play Booster])</f>
        <v>1</v>
      </c>
      <c r="AX605" s="6" t="b">
        <f>_xlfn.XLOOKUP(tbl_Sourcing[[#This Row],[Product Id]], tbl_Product[Product Id], tbl_Product[Is Precon])</f>
        <v>0</v>
      </c>
    </row>
    <row r="606" spans="1:50">
      <c r="A606">
        <v>670</v>
      </c>
      <c r="B606">
        <v>138</v>
      </c>
      <c r="C606" t="s">
        <v>2140</v>
      </c>
      <c r="D606" s="8" t="s">
        <v>2136</v>
      </c>
      <c r="F606" t="b">
        <v>0</v>
      </c>
      <c r="G606" s="6"/>
      <c r="J606" s="6" t="str">
        <f>_xlfn.XLOOKUP(tbl_Sourcing[[#This Row],[Product Id]], tbl_Product[Product Id], tbl_Product[Name])</f>
        <v>MTG The Brothers' War Collector Booster Box</v>
      </c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6" s="6" t="b">
        <f>_xlfn.XLOOKUP(tbl_Sourcing[[#This Row],[Product Id]], tbl_Product[Product Id], tbl_Product[Is Set or Play Booster])</f>
        <v>0</v>
      </c>
      <c r="AX606" s="6" t="b">
        <f>_xlfn.XLOOKUP(tbl_Sourcing[[#This Row],[Product Id]], tbl_Product[Product Id], tbl_Product[Is Precon])</f>
        <v>0</v>
      </c>
    </row>
    <row r="607" spans="1:50">
      <c r="A607">
        <v>671</v>
      </c>
      <c r="B607">
        <v>217</v>
      </c>
      <c r="C607" t="s">
        <v>2140</v>
      </c>
      <c r="D607" s="8" t="s">
        <v>2137</v>
      </c>
      <c r="F607" t="b">
        <v>0</v>
      </c>
      <c r="G607" s="6"/>
      <c r="J607" s="6" t="str">
        <f>_xlfn.XLOOKUP(tbl_Sourcing[[#This Row],[Product Id]], tbl_Product[Product Id], tbl_Product[Name])</f>
        <v>MTG The Brothers' War Mishra's Burnished Banner Precon</v>
      </c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7" s="6" t="b">
        <f>_xlfn.XLOOKUP(tbl_Sourcing[[#This Row],[Product Id]], tbl_Product[Product Id], tbl_Product[Is Set or Play Booster])</f>
        <v>0</v>
      </c>
      <c r="AX607" s="6" t="b">
        <f>_xlfn.XLOOKUP(tbl_Sourcing[[#This Row],[Product Id]], tbl_Product[Product Id], tbl_Product[Is Precon])</f>
        <v>1</v>
      </c>
    </row>
    <row r="608" spans="1:50">
      <c r="A608">
        <v>673</v>
      </c>
      <c r="B608">
        <v>73</v>
      </c>
      <c r="C608" t="s">
        <v>2140</v>
      </c>
      <c r="D608" s="8" t="s">
        <v>2138</v>
      </c>
      <c r="F608" t="b">
        <v>0</v>
      </c>
      <c r="G608" s="6"/>
      <c r="J608" s="6" t="str">
        <f>_xlfn.XLOOKUP(tbl_Sourcing[[#This Row],[Product Id]], tbl_Product[Product Id], tbl_Product[Name])</f>
        <v>MTG The Brothers' War Set Booster Box</v>
      </c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8" s="6" t="b">
        <f>_xlfn.XLOOKUP(tbl_Sourcing[[#This Row],[Product Id]], tbl_Product[Product Id], tbl_Product[Is Set or Play Booster])</f>
        <v>1</v>
      </c>
      <c r="AX608" s="6" t="b">
        <f>_xlfn.XLOOKUP(tbl_Sourcing[[#This Row],[Product Id]], tbl_Product[Product Id], tbl_Product[Is Precon])</f>
        <v>0</v>
      </c>
    </row>
    <row r="609" spans="1:50">
      <c r="A609">
        <v>672</v>
      </c>
      <c r="B609">
        <v>216</v>
      </c>
      <c r="C609" t="s">
        <v>2140</v>
      </c>
      <c r="D609" s="8" t="s">
        <v>2139</v>
      </c>
      <c r="F609" t="b">
        <v>0</v>
      </c>
      <c r="G609" s="6"/>
      <c r="J609" s="6" t="str">
        <f>_xlfn.XLOOKUP(tbl_Sourcing[[#This Row],[Product Id]], tbl_Product[Product Id], tbl_Product[Name])</f>
        <v>MTG The Brothers' War Urza's Iron Alliance Precon</v>
      </c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09" s="6" t="b">
        <f>_xlfn.XLOOKUP(tbl_Sourcing[[#This Row],[Product Id]], tbl_Product[Product Id], tbl_Product[Is Set or Play Booster])</f>
        <v>0</v>
      </c>
      <c r="AX609" s="6" t="b">
        <f>_xlfn.XLOOKUP(tbl_Sourcing[[#This Row],[Product Id]], tbl_Product[Product Id], tbl_Product[Is Precon])</f>
        <v>1</v>
      </c>
    </row>
    <row r="610" spans="1:50">
      <c r="A610">
        <v>934</v>
      </c>
      <c r="B610">
        <v>70</v>
      </c>
      <c r="C610" t="s">
        <v>2143</v>
      </c>
      <c r="D610" s="8" t="s">
        <v>2144</v>
      </c>
      <c r="E610">
        <v>120</v>
      </c>
      <c r="F610" t="b">
        <v>1</v>
      </c>
      <c r="G610" s="6"/>
      <c r="J610" s="6" t="str">
        <f>_xlfn.XLOOKUP(tbl_Sourcing[[#This Row],[Product Id]], tbl_Product[Product Id], tbl_Product[Name])</f>
        <v>MTG Aetherdrift Play Booster Box</v>
      </c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0" s="6" t="b">
        <f>_xlfn.XLOOKUP(tbl_Sourcing[[#This Row],[Product Id]], tbl_Product[Product Id], tbl_Product[Is Set or Play Booster])</f>
        <v>1</v>
      </c>
      <c r="AX610" s="6" t="b">
        <f>_xlfn.XLOOKUP(tbl_Sourcing[[#This Row],[Product Id]], tbl_Product[Product Id], tbl_Product[Is Precon])</f>
        <v>0</v>
      </c>
    </row>
    <row r="611" spans="1:50">
      <c r="A611">
        <v>935</v>
      </c>
      <c r="B611">
        <v>63</v>
      </c>
      <c r="C611" t="s">
        <v>2143</v>
      </c>
      <c r="D611" s="8" t="s">
        <v>2145</v>
      </c>
      <c r="E611">
        <v>120</v>
      </c>
      <c r="F611" t="b">
        <v>0</v>
      </c>
      <c r="G611" s="6"/>
      <c r="J611" s="6" t="str">
        <f>_xlfn.XLOOKUP(tbl_Sourcing[[#This Row],[Product Id]], tbl_Product[Product Id], tbl_Product[Name])</f>
        <v>MTG Assassin's Creed Beyond Booster Box</v>
      </c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1" s="6" t="b">
        <f>_xlfn.XLOOKUP(tbl_Sourcing[[#This Row],[Product Id]], tbl_Product[Product Id], tbl_Product[Is Set or Play Booster])</f>
        <v>1</v>
      </c>
      <c r="AX611" s="6" t="b">
        <f>_xlfn.XLOOKUP(tbl_Sourcing[[#This Row],[Product Id]], tbl_Product[Product Id], tbl_Product[Is Precon])</f>
        <v>0</v>
      </c>
    </row>
    <row r="612" spans="1:50">
      <c r="A612">
        <v>933</v>
      </c>
      <c r="B612">
        <v>57</v>
      </c>
      <c r="C612" t="s">
        <v>2143</v>
      </c>
      <c r="D612" s="8" t="s">
        <v>2146</v>
      </c>
      <c r="E612">
        <v>138</v>
      </c>
      <c r="F612" t="b">
        <v>1</v>
      </c>
      <c r="G612" s="6"/>
      <c r="J612" s="6" t="str">
        <f>_xlfn.XLOOKUP(tbl_Sourcing[[#This Row],[Product Id]], tbl_Product[Product Id], tbl_Product[Name])</f>
        <v>MTG Avatar: The Last Airbender Play Booster Box</v>
      </c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2" s="6" t="b">
        <f>_xlfn.XLOOKUP(tbl_Sourcing[[#This Row],[Product Id]], tbl_Product[Product Id], tbl_Product[Is Set or Play Booster])</f>
        <v>1</v>
      </c>
      <c r="AX612" s="6" t="b">
        <f>_xlfn.XLOOKUP(tbl_Sourcing[[#This Row],[Product Id]], tbl_Product[Product Id], tbl_Product[Is Precon])</f>
        <v>0</v>
      </c>
    </row>
    <row r="613" spans="1:50">
      <c r="A613">
        <v>936</v>
      </c>
      <c r="B613">
        <v>65</v>
      </c>
      <c r="C613" t="s">
        <v>2143</v>
      </c>
      <c r="D613" s="8" t="s">
        <v>2147</v>
      </c>
      <c r="E613">
        <v>155</v>
      </c>
      <c r="F613" t="b">
        <v>0</v>
      </c>
      <c r="G613" s="6"/>
      <c r="J613" s="6" t="str">
        <f>_xlfn.XLOOKUP(tbl_Sourcing[[#This Row],[Product Id]], tbl_Product[Product Id], tbl_Product[Name])</f>
        <v>MTG Edge of Eternities Play Booster Box</v>
      </c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3" s="6" t="b">
        <f>_xlfn.XLOOKUP(tbl_Sourcing[[#This Row],[Product Id]], tbl_Product[Product Id], tbl_Product[Is Set or Play Booster])</f>
        <v>1</v>
      </c>
      <c r="AX613" s="6" t="b">
        <f>_xlfn.XLOOKUP(tbl_Sourcing[[#This Row],[Product Id]], tbl_Product[Product Id], tbl_Product[Is Precon])</f>
        <v>0</v>
      </c>
    </row>
    <row r="614" spans="1:50">
      <c r="A614">
        <v>937</v>
      </c>
      <c r="B614">
        <v>78</v>
      </c>
      <c r="C614" t="s">
        <v>2143</v>
      </c>
      <c r="D614" s="8" t="s">
        <v>2148</v>
      </c>
      <c r="E614">
        <v>180</v>
      </c>
      <c r="F614" t="b">
        <v>1</v>
      </c>
      <c r="G614" s="6"/>
      <c r="J614" s="6" t="str">
        <f>_xlfn.XLOOKUP(tbl_Sourcing[[#This Row],[Product Id]], tbl_Product[Product Id], tbl_Product[Name])</f>
        <v>MTG Final Fantasy Play Booster Box</v>
      </c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4" s="6" t="b">
        <f>_xlfn.XLOOKUP(tbl_Sourcing[[#This Row],[Product Id]], tbl_Product[Product Id], tbl_Product[Is Set or Play Booster])</f>
        <v>1</v>
      </c>
      <c r="AX614" s="6" t="b">
        <f>_xlfn.XLOOKUP(tbl_Sourcing[[#This Row],[Product Id]], tbl_Product[Product Id], tbl_Product[Is Precon])</f>
        <v>0</v>
      </c>
    </row>
    <row r="615" spans="1:50">
      <c r="A615">
        <v>938</v>
      </c>
      <c r="B615">
        <v>82</v>
      </c>
      <c r="C615" t="s">
        <v>2143</v>
      </c>
      <c r="D615" s="8" t="s">
        <v>2149</v>
      </c>
      <c r="F615" t="b">
        <v>0</v>
      </c>
      <c r="G615" s="6"/>
      <c r="J615" s="6" t="str">
        <f>_xlfn.XLOOKUP(tbl_Sourcing[[#This Row],[Product Id]], tbl_Product[Product Id], tbl_Product[Name])</f>
        <v>MTG Guilds of Ravnica Booster Box</v>
      </c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5" s="6" t="b">
        <f>_xlfn.XLOOKUP(tbl_Sourcing[[#This Row],[Product Id]], tbl_Product[Product Id], tbl_Product[Is Set or Play Booster])</f>
        <v>1</v>
      </c>
      <c r="AX615" s="6" t="b">
        <f>_xlfn.XLOOKUP(tbl_Sourcing[[#This Row],[Product Id]], tbl_Product[Product Id], tbl_Product[Is Precon])</f>
        <v>0</v>
      </c>
    </row>
    <row r="616" spans="1:50">
      <c r="A616">
        <v>939</v>
      </c>
      <c r="B616">
        <v>49</v>
      </c>
      <c r="C616" t="s">
        <v>2143</v>
      </c>
      <c r="D616" s="8" t="s">
        <v>2150</v>
      </c>
      <c r="E616">
        <v>125</v>
      </c>
      <c r="F616" t="b">
        <v>0</v>
      </c>
      <c r="G616" s="6"/>
      <c r="J616" s="6" t="str">
        <f>_xlfn.XLOOKUP(tbl_Sourcing[[#This Row],[Product Id]], tbl_Product[Product Id], tbl_Product[Name])</f>
        <v>MTG Lorwyn Eclipsed Play Booster Box</v>
      </c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6" s="6" t="b">
        <f>_xlfn.XLOOKUP(tbl_Sourcing[[#This Row],[Product Id]], tbl_Product[Product Id], tbl_Product[Is Set or Play Booster])</f>
        <v>1</v>
      </c>
      <c r="AX616" s="6" t="b">
        <f>_xlfn.XLOOKUP(tbl_Sourcing[[#This Row],[Product Id]], tbl_Product[Product Id], tbl_Product[Is Precon])</f>
        <v>0</v>
      </c>
    </row>
    <row r="617" spans="1:50">
      <c r="A617">
        <v>940</v>
      </c>
      <c r="B617">
        <v>42</v>
      </c>
      <c r="C617" t="s">
        <v>2143</v>
      </c>
      <c r="D617" s="8" t="s">
        <v>2151</v>
      </c>
      <c r="E617">
        <v>120</v>
      </c>
      <c r="F617" t="b">
        <v>1</v>
      </c>
      <c r="G617" s="6"/>
      <c r="J617" s="6" t="str">
        <f>_xlfn.XLOOKUP(tbl_Sourcing[[#This Row],[Product Id]], tbl_Product[Product Id], tbl_Product[Name])</f>
        <v>MTG Tarkir: Dragonstorm TDM Play Booster Box</v>
      </c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7" s="6" t="b">
        <f>_xlfn.XLOOKUP(tbl_Sourcing[[#This Row],[Product Id]], tbl_Product[Product Id], tbl_Product[Is Set or Play Booster])</f>
        <v>1</v>
      </c>
      <c r="AX617" s="6" t="b">
        <f>_xlfn.XLOOKUP(tbl_Sourcing[[#This Row],[Product Id]], tbl_Product[Product Id], tbl_Product[Is Precon])</f>
        <v>0</v>
      </c>
    </row>
    <row r="618" spans="1:50">
      <c r="A618">
        <v>789</v>
      </c>
      <c r="B618">
        <v>84</v>
      </c>
      <c r="C618" t="s">
        <v>2152</v>
      </c>
      <c r="D618" s="8" t="s">
        <v>2153</v>
      </c>
      <c r="E618">
        <v>190</v>
      </c>
      <c r="F618" t="b">
        <v>0</v>
      </c>
      <c r="G618" s="6"/>
      <c r="J618" s="6" t="str">
        <f>_xlfn.XLOOKUP(tbl_Sourcing[[#This Row],[Product Id]], tbl_Product[Product Id], tbl_Product[Name])</f>
        <v>MTG Aetherdrift Collector Booster Box</v>
      </c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8" s="6" t="b">
        <f>_xlfn.XLOOKUP(tbl_Sourcing[[#This Row],[Product Id]], tbl_Product[Product Id], tbl_Product[Is Set or Play Booster])</f>
        <v>0</v>
      </c>
      <c r="AX618" s="6" t="b">
        <f>_xlfn.XLOOKUP(tbl_Sourcing[[#This Row],[Product Id]], tbl_Product[Product Id], tbl_Product[Is Precon])</f>
        <v>0</v>
      </c>
    </row>
    <row r="619" spans="1:50">
      <c r="A619">
        <v>790</v>
      </c>
      <c r="B619">
        <v>160</v>
      </c>
      <c r="C619" t="s">
        <v>2152</v>
      </c>
      <c r="D619" s="8" t="s">
        <v>2154</v>
      </c>
      <c r="F619" t="b">
        <v>0</v>
      </c>
      <c r="G619" s="6"/>
      <c r="J619" s="6" t="str">
        <f>_xlfn.XLOOKUP(tbl_Sourcing[[#This Row],[Product Id]], tbl_Product[Product Id], tbl_Product[Name])</f>
        <v>MTG Aetherdrift Eternal Might Precon</v>
      </c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19" s="6" t="b">
        <f>_xlfn.XLOOKUP(tbl_Sourcing[[#This Row],[Product Id]], tbl_Product[Product Id], tbl_Product[Is Set or Play Booster])</f>
        <v>0</v>
      </c>
      <c r="AX619" s="6" t="b">
        <f>_xlfn.XLOOKUP(tbl_Sourcing[[#This Row],[Product Id]], tbl_Product[Product Id], tbl_Product[Is Precon])</f>
        <v>1</v>
      </c>
    </row>
    <row r="620" spans="1:50">
      <c r="A620">
        <v>791</v>
      </c>
      <c r="B620">
        <v>161</v>
      </c>
      <c r="C620" t="s">
        <v>2152</v>
      </c>
      <c r="D620" s="8" t="s">
        <v>2155</v>
      </c>
      <c r="F620" t="b">
        <v>0</v>
      </c>
      <c r="G620" s="6"/>
      <c r="J620" s="6" t="str">
        <f>_xlfn.XLOOKUP(tbl_Sourcing[[#This Row],[Product Id]], tbl_Product[Product Id], tbl_Product[Name])</f>
        <v>MTG Aetherdrift Living Energy Precon</v>
      </c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0" s="6" t="b">
        <f>_xlfn.XLOOKUP(tbl_Sourcing[[#This Row],[Product Id]], tbl_Product[Product Id], tbl_Product[Is Set or Play Booster])</f>
        <v>0</v>
      </c>
      <c r="AX620" s="6" t="b">
        <f>_xlfn.XLOOKUP(tbl_Sourcing[[#This Row],[Product Id]], tbl_Product[Product Id], tbl_Product[Is Precon])</f>
        <v>1</v>
      </c>
    </row>
    <row r="621" spans="1:50">
      <c r="A621">
        <v>792</v>
      </c>
      <c r="B621">
        <v>70</v>
      </c>
      <c r="C621" t="s">
        <v>2152</v>
      </c>
      <c r="D621" s="8" t="s">
        <v>2156</v>
      </c>
      <c r="E621">
        <v>80</v>
      </c>
      <c r="F621" t="b">
        <v>1</v>
      </c>
      <c r="G621" s="6"/>
      <c r="J621" s="6" t="str">
        <f>_xlfn.XLOOKUP(tbl_Sourcing[[#This Row],[Product Id]], tbl_Product[Product Id], tbl_Product[Name])</f>
        <v>MTG Aetherdrift Play Booster Box</v>
      </c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1" s="6" t="b">
        <f>_xlfn.XLOOKUP(tbl_Sourcing[[#This Row],[Product Id]], tbl_Product[Product Id], tbl_Product[Is Set or Play Booster])</f>
        <v>1</v>
      </c>
      <c r="AX621" s="6" t="b">
        <f>_xlfn.XLOOKUP(tbl_Sourcing[[#This Row],[Product Id]], tbl_Product[Product Id], tbl_Product[Is Precon])</f>
        <v>0</v>
      </c>
    </row>
    <row r="622" spans="1:50">
      <c r="A622">
        <v>793</v>
      </c>
      <c r="B622">
        <v>57</v>
      </c>
      <c r="C622" t="s">
        <v>2152</v>
      </c>
      <c r="D622" s="8" t="s">
        <v>2157</v>
      </c>
      <c r="F622" t="b">
        <v>0</v>
      </c>
      <c r="G622" s="6"/>
      <c r="J622" s="6" t="str">
        <f>_xlfn.XLOOKUP(tbl_Sourcing[[#This Row],[Product Id]], tbl_Product[Product Id], tbl_Product[Name])</f>
        <v>MTG Avatar: The Last Airbender Play Booster Box</v>
      </c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2" s="6" t="b">
        <f>_xlfn.XLOOKUP(tbl_Sourcing[[#This Row],[Product Id]], tbl_Product[Product Id], tbl_Product[Is Set or Play Booster])</f>
        <v>1</v>
      </c>
      <c r="AX622" s="6" t="b">
        <f>_xlfn.XLOOKUP(tbl_Sourcing[[#This Row],[Product Id]], tbl_Product[Product Id], tbl_Product[Is Precon])</f>
        <v>0</v>
      </c>
    </row>
    <row r="623" spans="1:50">
      <c r="A623">
        <v>795</v>
      </c>
      <c r="B623">
        <v>167</v>
      </c>
      <c r="C623" t="s">
        <v>2152</v>
      </c>
      <c r="D623" s="8" t="s">
        <v>2158</v>
      </c>
      <c r="F623" t="b">
        <v>0</v>
      </c>
      <c r="G623" s="6"/>
      <c r="J623" s="6" t="str">
        <f>_xlfn.XLOOKUP(tbl_Sourcing[[#This Row],[Product Id]], tbl_Product[Product Id], tbl_Product[Name])</f>
        <v>MTG Bloomburrow Animated Army Precon</v>
      </c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3" s="6" t="b">
        <f>_xlfn.XLOOKUP(tbl_Sourcing[[#This Row],[Product Id]], tbl_Product[Product Id], tbl_Product[Is Set or Play Booster])</f>
        <v>0</v>
      </c>
      <c r="AX623" s="6" t="b">
        <f>_xlfn.XLOOKUP(tbl_Sourcing[[#This Row],[Product Id]], tbl_Product[Product Id], tbl_Product[Is Precon])</f>
        <v>1</v>
      </c>
    </row>
    <row r="624" spans="1:50">
      <c r="A624">
        <v>794</v>
      </c>
      <c r="B624">
        <v>90</v>
      </c>
      <c r="C624" t="s">
        <v>2152</v>
      </c>
      <c r="D624" s="8" t="s">
        <v>2159</v>
      </c>
      <c r="F624" t="b">
        <v>0</v>
      </c>
      <c r="G624" s="6"/>
      <c r="J624" s="6" t="str">
        <f>_xlfn.XLOOKUP(tbl_Sourcing[[#This Row],[Product Id]], tbl_Product[Product Id], tbl_Product[Name])</f>
        <v>MTG Bloomburrow Collector Booster Box</v>
      </c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4" s="6" t="b">
        <f>_xlfn.XLOOKUP(tbl_Sourcing[[#This Row],[Product Id]], tbl_Product[Product Id], tbl_Product[Is Set or Play Booster])</f>
        <v>0</v>
      </c>
      <c r="AX624" s="6" t="b">
        <f>_xlfn.XLOOKUP(tbl_Sourcing[[#This Row],[Product Id]], tbl_Product[Product Id], tbl_Product[Is Precon])</f>
        <v>0</v>
      </c>
    </row>
    <row r="625" spans="1:50">
      <c r="A625">
        <v>796</v>
      </c>
      <c r="B625">
        <v>169</v>
      </c>
      <c r="C625" t="s">
        <v>2152</v>
      </c>
      <c r="D625" s="8" t="s">
        <v>2160</v>
      </c>
      <c r="F625" t="b">
        <v>0</v>
      </c>
      <c r="G625" s="6"/>
      <c r="J625" s="6" t="str">
        <f>_xlfn.XLOOKUP(tbl_Sourcing[[#This Row],[Product Id]], tbl_Product[Product Id], tbl_Product[Name])</f>
        <v>MTG Bloomburrow Family Matters Precon</v>
      </c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5" s="6" t="b">
        <f>_xlfn.XLOOKUP(tbl_Sourcing[[#This Row],[Product Id]], tbl_Product[Product Id], tbl_Product[Is Set or Play Booster])</f>
        <v>0</v>
      </c>
      <c r="AX625" s="6" t="b">
        <f>_xlfn.XLOOKUP(tbl_Sourcing[[#This Row],[Product Id]], tbl_Product[Product Id], tbl_Product[Is Precon])</f>
        <v>1</v>
      </c>
    </row>
    <row r="626" spans="1:50">
      <c r="A626">
        <v>797</v>
      </c>
      <c r="B626">
        <v>168</v>
      </c>
      <c r="C626" t="s">
        <v>2152</v>
      </c>
      <c r="D626" s="8" t="s">
        <v>2161</v>
      </c>
      <c r="F626" t="b">
        <v>0</v>
      </c>
      <c r="G626" s="6"/>
      <c r="J626" s="6" t="str">
        <f>_xlfn.XLOOKUP(tbl_Sourcing[[#This Row],[Product Id]], tbl_Product[Product Id], tbl_Product[Name])</f>
        <v>MTG Bloomburrow Peace Offering Precon</v>
      </c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6" s="6" t="b">
        <f>_xlfn.XLOOKUP(tbl_Sourcing[[#This Row],[Product Id]], tbl_Product[Product Id], tbl_Product[Is Set or Play Booster])</f>
        <v>0</v>
      </c>
      <c r="AX626" s="6" t="b">
        <f>_xlfn.XLOOKUP(tbl_Sourcing[[#This Row],[Product Id]], tbl_Product[Product Id], tbl_Product[Is Precon])</f>
        <v>1</v>
      </c>
    </row>
    <row r="627" spans="1:50">
      <c r="A627">
        <v>799</v>
      </c>
      <c r="B627">
        <v>79</v>
      </c>
      <c r="C627" t="s">
        <v>2152</v>
      </c>
      <c r="D627" s="8" t="s">
        <v>2162</v>
      </c>
      <c r="E627">
        <v>135</v>
      </c>
      <c r="F627" t="b">
        <v>1</v>
      </c>
      <c r="G627" s="6"/>
      <c r="J627" s="6" t="str">
        <f>_xlfn.XLOOKUP(tbl_Sourcing[[#This Row],[Product Id]], tbl_Product[Product Id], tbl_Product[Name])</f>
        <v>MTG Bloomburrow Play Booster Box</v>
      </c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7" s="6" t="b">
        <f>_xlfn.XLOOKUP(tbl_Sourcing[[#This Row],[Product Id]], tbl_Product[Product Id], tbl_Product[Is Set or Play Booster])</f>
        <v>1</v>
      </c>
      <c r="AX627" s="6" t="b">
        <f>_xlfn.XLOOKUP(tbl_Sourcing[[#This Row],[Product Id]], tbl_Product[Product Id], tbl_Product[Is Precon])</f>
        <v>0</v>
      </c>
    </row>
    <row r="628" spans="1:50">
      <c r="A628">
        <v>798</v>
      </c>
      <c r="B628">
        <v>166</v>
      </c>
      <c r="C628" t="s">
        <v>2152</v>
      </c>
      <c r="D628" s="8" t="s">
        <v>2163</v>
      </c>
      <c r="F628" t="b">
        <v>0</v>
      </c>
      <c r="G628" s="6"/>
      <c r="J628" s="6" t="str">
        <f>_xlfn.XLOOKUP(tbl_Sourcing[[#This Row],[Product Id]], tbl_Product[Product Id], tbl_Product[Name])</f>
        <v>MTG Bloomburrow Squirreled Away Precon</v>
      </c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8" s="6" t="b">
        <f>_xlfn.XLOOKUP(tbl_Sourcing[[#This Row],[Product Id]], tbl_Product[Product Id], tbl_Product[Is Set or Play Booster])</f>
        <v>0</v>
      </c>
      <c r="AX628" s="6" t="b">
        <f>_xlfn.XLOOKUP(tbl_Sourcing[[#This Row],[Product Id]], tbl_Product[Product Id], tbl_Product[Is Precon])</f>
        <v>1</v>
      </c>
    </row>
    <row r="629" spans="1:50">
      <c r="A629">
        <v>800</v>
      </c>
      <c r="B629">
        <v>92</v>
      </c>
      <c r="C629" t="s">
        <v>2152</v>
      </c>
      <c r="D629" s="8" t="s">
        <v>2164</v>
      </c>
      <c r="E629">
        <v>190</v>
      </c>
      <c r="F629" t="b">
        <v>0</v>
      </c>
      <c r="G629" s="6"/>
      <c r="J629" s="6" t="str">
        <f>_xlfn.XLOOKUP(tbl_Sourcing[[#This Row],[Product Id]], tbl_Product[Product Id], tbl_Product[Name])</f>
        <v>MTG Commander Masters Collector Booster Box</v>
      </c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29" s="6" t="b">
        <f>_xlfn.XLOOKUP(tbl_Sourcing[[#This Row],[Product Id]], tbl_Product[Product Id], tbl_Product[Is Set or Play Booster])</f>
        <v>0</v>
      </c>
      <c r="AX629" s="6" t="b">
        <f>_xlfn.XLOOKUP(tbl_Sourcing[[#This Row],[Product Id]], tbl_Product[Product Id], tbl_Product[Is Precon])</f>
        <v>0</v>
      </c>
    </row>
    <row r="630" spans="1:50">
      <c r="A630">
        <v>801</v>
      </c>
      <c r="B630">
        <v>52</v>
      </c>
      <c r="C630" t="s">
        <v>2152</v>
      </c>
      <c r="D630" s="8" t="s">
        <v>2165</v>
      </c>
      <c r="F630" t="b">
        <v>0</v>
      </c>
      <c r="G630" s="6"/>
      <c r="J630" s="6" t="str">
        <f>_xlfn.XLOOKUP(tbl_Sourcing[[#This Row],[Product Id]], tbl_Product[Product Id], tbl_Product[Name])</f>
        <v>MTG Commander Masters Set Booster Box</v>
      </c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30" s="6" t="b">
        <f>_xlfn.XLOOKUP(tbl_Sourcing[[#This Row],[Product Id]], tbl_Product[Product Id], tbl_Product[Is Set or Play Booster])</f>
        <v>1</v>
      </c>
      <c r="AX630" s="6" t="b">
        <f>_xlfn.XLOOKUP(tbl_Sourcing[[#This Row],[Product Id]], tbl_Product[Product Id], tbl_Product[Is Precon])</f>
        <v>0</v>
      </c>
    </row>
    <row r="631" spans="1:50">
      <c r="A631">
        <v>414</v>
      </c>
      <c r="B631">
        <v>52</v>
      </c>
      <c r="C631" t="s">
        <v>2166</v>
      </c>
      <c r="D631" t="s">
        <v>2037</v>
      </c>
      <c r="E631" s="23">
        <v>312.08326310466902</v>
      </c>
      <c r="F631" s="23" t="b">
        <v>0</v>
      </c>
      <c r="G631" s="24"/>
      <c r="H631" s="24"/>
      <c r="J631" s="6" t="str">
        <f>_xlfn.XLOOKUP(tbl_Sourcing[[#This Row],[Product Id]], tbl_Product[Product Id], tbl_Product[Name])</f>
        <v>MTG Commander Masters Set Booster Box</v>
      </c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1" s="6" t="b">
        <f>_xlfn.XLOOKUP(tbl_Sourcing[[#This Row],[Product Id]], tbl_Product[Product Id], tbl_Product[Is Set or Play Booster])</f>
        <v>1</v>
      </c>
      <c r="AX631" s="6" t="b">
        <f>_xlfn.XLOOKUP(tbl_Sourcing[[#This Row],[Product Id]], tbl_Product[Product Id], tbl_Product[Is Precon])</f>
        <v>0</v>
      </c>
    </row>
    <row r="632" spans="1:50">
      <c r="A632">
        <v>415</v>
      </c>
      <c r="B632">
        <v>94</v>
      </c>
      <c r="C632" t="s">
        <v>2166</v>
      </c>
      <c r="D632" t="s">
        <v>2037</v>
      </c>
      <c r="E632" s="23">
        <v>181.85176777040601</v>
      </c>
      <c r="F632" s="23" t="b">
        <v>0</v>
      </c>
      <c r="G632" s="24"/>
      <c r="H632" s="24"/>
      <c r="J632" s="6" t="str">
        <f>_xlfn.XLOOKUP(tbl_Sourcing[[#This Row],[Product Id]], tbl_Product[Product Id], tbl_Product[Name])</f>
        <v>MTG Dominaria United DMU Collector Booster Box</v>
      </c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2" s="6" t="b">
        <f>_xlfn.XLOOKUP(tbl_Sourcing[[#This Row],[Product Id]], tbl_Product[Product Id], tbl_Product[Is Set or Play Booster])</f>
        <v>0</v>
      </c>
      <c r="AX632" s="6" t="b">
        <f>_xlfn.XLOOKUP(tbl_Sourcing[[#This Row],[Product Id]], tbl_Product[Product Id], tbl_Product[Is Precon])</f>
        <v>0</v>
      </c>
    </row>
    <row r="633" spans="1:50">
      <c r="A633">
        <v>410</v>
      </c>
      <c r="B633">
        <v>48</v>
      </c>
      <c r="C633" t="s">
        <v>2166</v>
      </c>
      <c r="D633" t="s">
        <v>2167</v>
      </c>
      <c r="E633" s="23">
        <v>123.9225</v>
      </c>
      <c r="F633" s="23" t="b">
        <v>0</v>
      </c>
      <c r="G633" s="24"/>
      <c r="H633" s="24"/>
      <c r="J633" s="6" t="str">
        <f>_xlfn.XLOOKUP(tbl_Sourcing[[#This Row],[Product Id]], tbl_Product[Product Id], tbl_Product[Name])</f>
        <v>MTG Innistrad Remastered INR Play Booster Box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3" s="6" t="b">
        <f>_xlfn.XLOOKUP(tbl_Sourcing[[#This Row],[Product Id]], tbl_Product[Product Id], tbl_Product[Is Set or Play Booster])</f>
        <v>1</v>
      </c>
      <c r="AX633" s="6" t="b">
        <f>_xlfn.XLOOKUP(tbl_Sourcing[[#This Row],[Product Id]], tbl_Product[Product Id], tbl_Product[Is Precon])</f>
        <v>0</v>
      </c>
    </row>
    <row r="634" spans="1:50">
      <c r="A634">
        <v>416</v>
      </c>
      <c r="B634">
        <v>104</v>
      </c>
      <c r="C634" t="s">
        <v>2166</v>
      </c>
      <c r="D634" t="s">
        <v>2037</v>
      </c>
      <c r="E634" s="23">
        <v>109.12002206456999</v>
      </c>
      <c r="F634" s="23" t="b">
        <v>0</v>
      </c>
      <c r="G634" s="24"/>
      <c r="H634" s="24"/>
      <c r="J634" s="6" t="str">
        <f>_xlfn.XLOOKUP(tbl_Sourcing[[#This Row],[Product Id]], tbl_Product[Product Id], tbl_Product[Name])</f>
        <v>MTG Innistrad: Midnight Hunt Collector Booster Box</v>
      </c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4" s="6" t="b">
        <f>_xlfn.XLOOKUP(tbl_Sourcing[[#This Row],[Product Id]], tbl_Product[Product Id], tbl_Product[Is Set or Play Booster])</f>
        <v>0</v>
      </c>
      <c r="AX634" s="6" t="b">
        <f>_xlfn.XLOOKUP(tbl_Sourcing[[#This Row],[Product Id]], tbl_Product[Product Id], tbl_Product[Is Precon])</f>
        <v>0</v>
      </c>
    </row>
    <row r="635" spans="1:50">
      <c r="A635">
        <v>409</v>
      </c>
      <c r="B635">
        <v>50</v>
      </c>
      <c r="C635" t="s">
        <v>2166</v>
      </c>
      <c r="D635" t="s">
        <v>2167</v>
      </c>
      <c r="E635" s="23">
        <v>95</v>
      </c>
      <c r="F635" s="23" t="b">
        <v>0</v>
      </c>
      <c r="G635" s="24"/>
      <c r="H635" s="24"/>
      <c r="J635" s="6" t="str">
        <f>_xlfn.XLOOKUP(tbl_Sourcing[[#This Row],[Product Id]], tbl_Product[Product Id], tbl_Product[Name])</f>
        <v>MTG Innistrad: Midnight Hunt Set Booster Box</v>
      </c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5" s="6" t="b">
        <f>_xlfn.XLOOKUP(tbl_Sourcing[[#This Row],[Product Id]], tbl_Product[Product Id], tbl_Product[Is Set or Play Booster])</f>
        <v>1</v>
      </c>
      <c r="AX635" s="6" t="b">
        <f>_xlfn.XLOOKUP(tbl_Sourcing[[#This Row],[Product Id]], tbl_Product[Product Id], tbl_Product[Is Precon])</f>
        <v>0</v>
      </c>
    </row>
    <row r="636" spans="1:50">
      <c r="A636">
        <v>412</v>
      </c>
      <c r="B636">
        <v>56</v>
      </c>
      <c r="C636" t="s">
        <v>2166</v>
      </c>
      <c r="D636" t="s">
        <v>2168</v>
      </c>
      <c r="E636" s="23">
        <v>118.57</v>
      </c>
      <c r="F636" s="23" t="b">
        <v>0</v>
      </c>
      <c r="G636" s="24"/>
      <c r="H636" s="24"/>
      <c r="J636" s="6" t="str">
        <f>_xlfn.XLOOKUP(tbl_Sourcing[[#This Row],[Product Id]], tbl_Product[Product Id], tbl_Product[Name])</f>
        <v>MTG Outlaws of Thunder Junction Play Booster Box</v>
      </c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6" s="6" t="b">
        <f>_xlfn.XLOOKUP(tbl_Sourcing[[#This Row],[Product Id]], tbl_Product[Product Id], tbl_Product[Is Set or Play Booster])</f>
        <v>1</v>
      </c>
      <c r="AX636" s="6" t="b">
        <f>_xlfn.XLOOKUP(tbl_Sourcing[[#This Row],[Product Id]], tbl_Product[Product Id], tbl_Product[Is Precon])</f>
        <v>0</v>
      </c>
    </row>
    <row r="637" spans="1:50">
      <c r="A637">
        <v>411</v>
      </c>
      <c r="B637">
        <v>47</v>
      </c>
      <c r="C637" t="s">
        <v>2166</v>
      </c>
      <c r="D637" t="s">
        <v>2167</v>
      </c>
      <c r="E637" s="23">
        <v>142.0025</v>
      </c>
      <c r="F637" s="23" t="b">
        <v>0</v>
      </c>
      <c r="G637" s="24"/>
      <c r="H637" s="24"/>
      <c r="J637" s="6" t="str">
        <f>_xlfn.XLOOKUP(tbl_Sourcing[[#This Row],[Product Id]], tbl_Product[Product Id], tbl_Product[Name])</f>
        <v>MTG The Lost Caverns of Ixalan LCI Set Booster Box</v>
      </c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37" s="6" t="b">
        <f>_xlfn.XLOOKUP(tbl_Sourcing[[#This Row],[Product Id]], tbl_Product[Product Id], tbl_Product[Is Set or Play Booster])</f>
        <v>1</v>
      </c>
      <c r="AX637" s="6" t="b">
        <f>_xlfn.XLOOKUP(tbl_Sourcing[[#This Row],[Product Id]], tbl_Product[Product Id], tbl_Product[Is Precon])</f>
        <v>0</v>
      </c>
    </row>
    <row r="638" spans="1:50">
      <c r="A638">
        <v>943</v>
      </c>
      <c r="B638">
        <v>160</v>
      </c>
      <c r="C638" t="s">
        <v>2169</v>
      </c>
      <c r="D638" s="8" t="s">
        <v>2170</v>
      </c>
      <c r="F638" t="b">
        <v>0</v>
      </c>
      <c r="G638" s="6"/>
      <c r="J638" s="6" t="str">
        <f>_xlfn.XLOOKUP(tbl_Sourcing[[#This Row],[Product Id]], tbl_Product[Product Id], tbl_Product[Name])</f>
        <v>MTG Aetherdrift Eternal Might Precon</v>
      </c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38" s="6" t="b">
        <f>_xlfn.XLOOKUP(tbl_Sourcing[[#This Row],[Product Id]], tbl_Product[Product Id], tbl_Product[Is Set or Play Booster])</f>
        <v>0</v>
      </c>
      <c r="AX638" s="6" t="b">
        <f>_xlfn.XLOOKUP(tbl_Sourcing[[#This Row],[Product Id]], tbl_Product[Product Id], tbl_Product[Is Precon])</f>
        <v>1</v>
      </c>
    </row>
    <row r="639" spans="1:50">
      <c r="A639">
        <v>944</v>
      </c>
      <c r="B639">
        <v>161</v>
      </c>
      <c r="C639" t="s">
        <v>2169</v>
      </c>
      <c r="D639" s="8" t="s">
        <v>2171</v>
      </c>
      <c r="E639">
        <v>40</v>
      </c>
      <c r="F639" t="b">
        <v>1</v>
      </c>
      <c r="G639" s="6"/>
      <c r="J639" s="6" t="str">
        <f>_xlfn.XLOOKUP(tbl_Sourcing[[#This Row],[Product Id]], tbl_Product[Product Id], tbl_Product[Name])</f>
        <v>MTG Aetherdrift Living Energy Precon</v>
      </c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39" s="6" t="b">
        <f>_xlfn.XLOOKUP(tbl_Sourcing[[#This Row],[Product Id]], tbl_Product[Product Id], tbl_Product[Is Set or Play Booster])</f>
        <v>0</v>
      </c>
      <c r="AX639" s="6" t="b">
        <f>_xlfn.XLOOKUP(tbl_Sourcing[[#This Row],[Product Id]], tbl_Product[Product Id], tbl_Product[Is Precon])</f>
        <v>1</v>
      </c>
    </row>
    <row r="640" spans="1:50">
      <c r="A640">
        <v>952</v>
      </c>
      <c r="B640">
        <v>57</v>
      </c>
      <c r="C640" t="s">
        <v>2169</v>
      </c>
      <c r="D640" s="8" t="s">
        <v>2172</v>
      </c>
      <c r="E640">
        <v>180</v>
      </c>
      <c r="F640" t="b">
        <v>1</v>
      </c>
      <c r="G640" s="6"/>
      <c r="J640" s="6" t="str">
        <f>_xlfn.XLOOKUP(tbl_Sourcing[[#This Row],[Product Id]], tbl_Product[Product Id], tbl_Product[Name])</f>
        <v>MTG Avatar: The Last Airbender Play Booster Box</v>
      </c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0" s="6" t="b">
        <f>_xlfn.XLOOKUP(tbl_Sourcing[[#This Row],[Product Id]], tbl_Product[Product Id], tbl_Product[Is Set or Play Booster])</f>
        <v>1</v>
      </c>
      <c r="AX640" s="6" t="b">
        <f>_xlfn.XLOOKUP(tbl_Sourcing[[#This Row],[Product Id]], tbl_Product[Product Id], tbl_Product[Is Precon])</f>
        <v>0</v>
      </c>
    </row>
    <row r="641" spans="1:50">
      <c r="A641">
        <v>965</v>
      </c>
      <c r="B641">
        <v>150</v>
      </c>
      <c r="C641" t="s">
        <v>2169</v>
      </c>
      <c r="D641" s="8" t="s">
        <v>2173</v>
      </c>
      <c r="F641" t="b">
        <v>0</v>
      </c>
      <c r="G641" s="6"/>
      <c r="J641" s="6" t="str">
        <f>_xlfn.XLOOKUP(tbl_Sourcing[[#This Row],[Product Id]], tbl_Product[Product Id], tbl_Product[Name])</f>
        <v>MTG Edge of Eternities Counter Intelligence Precon</v>
      </c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1" s="6" t="b">
        <f>_xlfn.XLOOKUP(tbl_Sourcing[[#This Row],[Product Id]], tbl_Product[Product Id], tbl_Product[Is Set or Play Booster])</f>
        <v>0</v>
      </c>
      <c r="AX641" s="6" t="b">
        <f>_xlfn.XLOOKUP(tbl_Sourcing[[#This Row],[Product Id]], tbl_Product[Product Id], tbl_Product[Is Precon])</f>
        <v>1</v>
      </c>
    </row>
    <row r="642" spans="1:50">
      <c r="A642">
        <v>945</v>
      </c>
      <c r="B642">
        <v>65</v>
      </c>
      <c r="C642" t="s">
        <v>2169</v>
      </c>
      <c r="D642" s="8" t="s">
        <v>2174</v>
      </c>
      <c r="F642" t="b">
        <v>0</v>
      </c>
      <c r="G642" s="6"/>
      <c r="J642" s="6" t="str">
        <f>_xlfn.XLOOKUP(tbl_Sourcing[[#This Row],[Product Id]], tbl_Product[Product Id], tbl_Product[Name])</f>
        <v>MTG Edge of Eternities Play Booster Box</v>
      </c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2" s="6" t="b">
        <f>_xlfn.XLOOKUP(tbl_Sourcing[[#This Row],[Product Id]], tbl_Product[Product Id], tbl_Product[Is Set or Play Booster])</f>
        <v>1</v>
      </c>
      <c r="AX642" s="6" t="b">
        <f>_xlfn.XLOOKUP(tbl_Sourcing[[#This Row],[Product Id]], tbl_Product[Product Id], tbl_Product[Is Precon])</f>
        <v>0</v>
      </c>
    </row>
    <row r="643" spans="1:50">
      <c r="A643">
        <v>966</v>
      </c>
      <c r="B643">
        <v>149</v>
      </c>
      <c r="C643" t="s">
        <v>2169</v>
      </c>
      <c r="D643" s="8" t="s">
        <v>2175</v>
      </c>
      <c r="F643" t="b">
        <v>0</v>
      </c>
      <c r="G643" s="6"/>
      <c r="J643" s="6" t="str">
        <f>_xlfn.XLOOKUP(tbl_Sourcing[[#This Row],[Product Id]], tbl_Product[Product Id], tbl_Product[Name])</f>
        <v>MTG Edge of Eternities World Shaper Precon</v>
      </c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3" s="6" t="b">
        <f>_xlfn.XLOOKUP(tbl_Sourcing[[#This Row],[Product Id]], tbl_Product[Product Id], tbl_Product[Is Set or Play Booster])</f>
        <v>0</v>
      </c>
      <c r="AX643" s="6" t="b">
        <f>_xlfn.XLOOKUP(tbl_Sourcing[[#This Row],[Product Id]], tbl_Product[Product Id], tbl_Product[Is Precon])</f>
        <v>1</v>
      </c>
    </row>
    <row r="644" spans="1:50">
      <c r="A644">
        <v>967</v>
      </c>
      <c r="B644">
        <v>100</v>
      </c>
      <c r="C644" t="s">
        <v>2169</v>
      </c>
      <c r="D644" s="8" t="s">
        <v>2176</v>
      </c>
      <c r="F644" t="b">
        <v>0</v>
      </c>
      <c r="G644" s="6"/>
      <c r="J644" s="6" t="str">
        <f>_xlfn.XLOOKUP(tbl_Sourcing[[#This Row],[Product Id]], tbl_Product[Product Id], tbl_Product[Name])</f>
        <v>MTG Final Fantasy Collector Booster Box</v>
      </c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4" s="6" t="b">
        <f>_xlfn.XLOOKUP(tbl_Sourcing[[#This Row],[Product Id]], tbl_Product[Product Id], tbl_Product[Is Set or Play Booster])</f>
        <v>0</v>
      </c>
      <c r="AX644" s="6" t="b">
        <f>_xlfn.XLOOKUP(tbl_Sourcing[[#This Row],[Product Id]], tbl_Product[Product Id], tbl_Product[Is Precon])</f>
        <v>0</v>
      </c>
    </row>
    <row r="645" spans="1:50">
      <c r="A645">
        <v>946</v>
      </c>
      <c r="B645">
        <v>61</v>
      </c>
      <c r="C645" t="s">
        <v>2169</v>
      </c>
      <c r="D645" s="8" t="s">
        <v>2177</v>
      </c>
      <c r="F645" t="b">
        <v>0</v>
      </c>
      <c r="G645" s="6"/>
      <c r="J645" s="6" t="str">
        <f>_xlfn.XLOOKUP(tbl_Sourcing[[#This Row],[Product Id]], tbl_Product[Product Id], tbl_Product[Name])</f>
        <v>MTG Foundations Play Booster Box</v>
      </c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5" s="6" t="b">
        <f>_xlfn.XLOOKUP(tbl_Sourcing[[#This Row],[Product Id]], tbl_Product[Product Id], tbl_Product[Is Set or Play Booster])</f>
        <v>1</v>
      </c>
      <c r="AX645" s="6" t="b">
        <f>_xlfn.XLOOKUP(tbl_Sourcing[[#This Row],[Product Id]], tbl_Product[Product Id], tbl_Product[Is Precon])</f>
        <v>0</v>
      </c>
    </row>
    <row r="646" spans="1:50">
      <c r="A646">
        <v>968</v>
      </c>
      <c r="B646">
        <v>106</v>
      </c>
      <c r="C646" t="s">
        <v>2169</v>
      </c>
      <c r="D646" s="8" t="s">
        <v>2178</v>
      </c>
      <c r="E646">
        <v>330</v>
      </c>
      <c r="F646" t="b">
        <v>1</v>
      </c>
      <c r="G646" s="6"/>
      <c r="J646" s="6" t="str">
        <f>_xlfn.XLOOKUP(tbl_Sourcing[[#This Row],[Product Id]], tbl_Product[Product Id], tbl_Product[Name])</f>
        <v>MTG Innistrad Remastered INR Collector Booster Box</v>
      </c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6" s="6" t="b">
        <f>_xlfn.XLOOKUP(tbl_Sourcing[[#This Row],[Product Id]], tbl_Product[Product Id], tbl_Product[Is Set or Play Booster])</f>
        <v>0</v>
      </c>
      <c r="AX646" s="6" t="b">
        <f>_xlfn.XLOOKUP(tbl_Sourcing[[#This Row],[Product Id]], tbl_Product[Product Id], tbl_Product[Is Precon])</f>
        <v>0</v>
      </c>
    </row>
    <row r="647" spans="1:50">
      <c r="A647">
        <v>969</v>
      </c>
      <c r="B647">
        <v>236</v>
      </c>
      <c r="C647" t="s">
        <v>2169</v>
      </c>
      <c r="D647" s="8" t="s">
        <v>2179</v>
      </c>
      <c r="F647" t="b">
        <v>0</v>
      </c>
      <c r="G647" s="6"/>
      <c r="J647" s="6" t="str">
        <f>_xlfn.XLOOKUP(tbl_Sourcing[[#This Row],[Product Id]], tbl_Product[Product Id], tbl_Product[Name])</f>
        <v>MTG Lorwyn Eclipsed Blight Curse Precon</v>
      </c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7" s="6" t="b">
        <f>_xlfn.XLOOKUP(tbl_Sourcing[[#This Row],[Product Id]], tbl_Product[Product Id], tbl_Product[Is Set or Play Booster])</f>
        <v>0</v>
      </c>
      <c r="AX647" s="6" t="b">
        <f>_xlfn.XLOOKUP(tbl_Sourcing[[#This Row],[Product Id]], tbl_Product[Product Id], tbl_Product[Is Precon])</f>
        <v>1</v>
      </c>
    </row>
    <row r="648" spans="1:50">
      <c r="A648">
        <v>970</v>
      </c>
      <c r="B648">
        <v>237</v>
      </c>
      <c r="C648" t="s">
        <v>2169</v>
      </c>
      <c r="D648" s="8" t="s">
        <v>2180</v>
      </c>
      <c r="F648" t="b">
        <v>0</v>
      </c>
      <c r="G648" s="6"/>
      <c r="J648" s="6" t="str">
        <f>_xlfn.XLOOKUP(tbl_Sourcing[[#This Row],[Product Id]], tbl_Product[Product Id], tbl_Product[Name])</f>
        <v>MTG Lorwyn Eclipsed Dance of the Elements Precon</v>
      </c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8" s="6" t="b">
        <f>_xlfn.XLOOKUP(tbl_Sourcing[[#This Row],[Product Id]], tbl_Product[Product Id], tbl_Product[Is Set or Play Booster])</f>
        <v>0</v>
      </c>
      <c r="AX648" s="6" t="b">
        <f>_xlfn.XLOOKUP(tbl_Sourcing[[#This Row],[Product Id]], tbl_Product[Product Id], tbl_Product[Is Precon])</f>
        <v>1</v>
      </c>
    </row>
    <row r="649" spans="1:50">
      <c r="A649">
        <v>971</v>
      </c>
      <c r="B649">
        <v>49</v>
      </c>
      <c r="C649" t="s">
        <v>2169</v>
      </c>
      <c r="D649" s="8" t="s">
        <v>2181</v>
      </c>
      <c r="F649" t="b">
        <v>0</v>
      </c>
      <c r="G649" s="6"/>
      <c r="J649" s="6" t="str">
        <f>_xlfn.XLOOKUP(tbl_Sourcing[[#This Row],[Product Id]], tbl_Product[Product Id], tbl_Product[Name])</f>
        <v>MTG Lorwyn Eclipsed Play Booster Box</v>
      </c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49" s="6" t="b">
        <f>_xlfn.XLOOKUP(tbl_Sourcing[[#This Row],[Product Id]], tbl_Product[Product Id], tbl_Product[Is Set or Play Booster])</f>
        <v>1</v>
      </c>
      <c r="AX649" s="6" t="b">
        <f>_xlfn.XLOOKUP(tbl_Sourcing[[#This Row],[Product Id]], tbl_Product[Product Id], tbl_Product[Is Precon])</f>
        <v>0</v>
      </c>
    </row>
    <row r="650" spans="1:50">
      <c r="A650">
        <v>972</v>
      </c>
      <c r="B650">
        <v>64</v>
      </c>
      <c r="C650" t="s">
        <v>2169</v>
      </c>
      <c r="D650" s="8" t="s">
        <v>2182</v>
      </c>
      <c r="F650" t="b">
        <v>0</v>
      </c>
      <c r="G650" s="6"/>
      <c r="J650" s="6" t="str">
        <f>_xlfn.XLOOKUP(tbl_Sourcing[[#This Row],[Product Id]], tbl_Product[Product Id], tbl_Product[Name])</f>
        <v>MTG Marvel's Spider-Man Play Booster Box</v>
      </c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0" s="6" t="b">
        <f>_xlfn.XLOOKUP(tbl_Sourcing[[#This Row],[Product Id]], tbl_Product[Product Id], tbl_Product[Is Set or Play Booster])</f>
        <v>1</v>
      </c>
      <c r="AX650" s="6" t="b">
        <f>_xlfn.XLOOKUP(tbl_Sourcing[[#This Row],[Product Id]], tbl_Product[Product Id], tbl_Product[Is Precon])</f>
        <v>0</v>
      </c>
    </row>
    <row r="651" spans="1:50">
      <c r="A651">
        <v>956</v>
      </c>
      <c r="B651">
        <v>242</v>
      </c>
      <c r="C651" t="s">
        <v>2169</v>
      </c>
      <c r="D651" s="8" t="s">
        <v>2183</v>
      </c>
      <c r="E651">
        <v>150</v>
      </c>
      <c r="F651" t="b">
        <v>1</v>
      </c>
      <c r="G651" s="6"/>
      <c r="J651" s="6" t="str">
        <f>_xlfn.XLOOKUP(tbl_Sourcing[[#This Row],[Product Id]], tbl_Product[Product Id], tbl_Product[Name])</f>
        <v>MTG Marvel's Super Heroes Avengers Assemble Collector Precon</v>
      </c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1" s="6" t="b">
        <f>_xlfn.XLOOKUP(tbl_Sourcing[[#This Row],[Product Id]], tbl_Product[Product Id], tbl_Product[Is Set or Play Booster])</f>
        <v>0</v>
      </c>
      <c r="AX651" s="6" t="b">
        <f>_xlfn.XLOOKUP(tbl_Sourcing[[#This Row],[Product Id]], tbl_Product[Product Id], tbl_Product[Is Precon])</f>
        <v>1</v>
      </c>
    </row>
    <row r="652" spans="1:50">
      <c r="A652">
        <v>960</v>
      </c>
      <c r="B652">
        <v>238</v>
      </c>
      <c r="C652" t="s">
        <v>2169</v>
      </c>
      <c r="D652" s="8" t="s">
        <v>2184</v>
      </c>
      <c r="E652">
        <v>70</v>
      </c>
      <c r="F652" t="b">
        <v>1</v>
      </c>
      <c r="G652" s="6"/>
      <c r="J652" s="6" t="str">
        <f>_xlfn.XLOOKUP(tbl_Sourcing[[#This Row],[Product Id]], tbl_Product[Product Id], tbl_Product[Name])</f>
        <v>MTG Marvel's Super Heroes Avengers Assemble Precon</v>
      </c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2" s="6" t="b">
        <f>_xlfn.XLOOKUP(tbl_Sourcing[[#This Row],[Product Id]], tbl_Product[Product Id], tbl_Product[Is Set or Play Booster])</f>
        <v>0</v>
      </c>
      <c r="AX652" s="6" t="b">
        <f>_xlfn.XLOOKUP(tbl_Sourcing[[#This Row],[Product Id]], tbl_Product[Product Id], tbl_Product[Is Precon])</f>
        <v>1</v>
      </c>
    </row>
    <row r="653" spans="1:50">
      <c r="A653">
        <v>941</v>
      </c>
      <c r="B653">
        <v>248</v>
      </c>
      <c r="C653" t="s">
        <v>2169</v>
      </c>
      <c r="D653" s="8" t="s">
        <v>2185</v>
      </c>
      <c r="F653" t="b">
        <v>0</v>
      </c>
      <c r="G653" s="6"/>
      <c r="J653" s="6" t="str">
        <f>_xlfn.XLOOKUP(tbl_Sourcing[[#This Row],[Product Id]], tbl_Product[Product Id], tbl_Product[Name])</f>
        <v>MTG Marvel's Super Heroes Collector Booster Box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3" s="6" t="b">
        <f>_xlfn.XLOOKUP(tbl_Sourcing[[#This Row],[Product Id]], tbl_Product[Product Id], tbl_Product[Is Set or Play Booster])</f>
        <v>0</v>
      </c>
      <c r="AX653" s="6" t="b">
        <f>_xlfn.XLOOKUP(tbl_Sourcing[[#This Row],[Product Id]], tbl_Product[Product Id], tbl_Product[Is Precon])</f>
        <v>0</v>
      </c>
    </row>
    <row r="654" spans="1:50">
      <c r="A654">
        <v>957</v>
      </c>
      <c r="B654">
        <v>243</v>
      </c>
      <c r="C654" t="s">
        <v>2169</v>
      </c>
      <c r="D654" s="8" t="s">
        <v>2186</v>
      </c>
      <c r="F654" t="b">
        <v>0</v>
      </c>
      <c r="G654" s="6"/>
      <c r="J654" s="6" t="str">
        <f>_xlfn.XLOOKUP(tbl_Sourcing[[#This Row],[Product Id]], tbl_Product[Product Id], tbl_Product[Name])</f>
        <v>MTG Marvel's Super Heroes Doom Prevails Collector Precon</v>
      </c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4" s="6" t="b">
        <f>_xlfn.XLOOKUP(tbl_Sourcing[[#This Row],[Product Id]], tbl_Product[Product Id], tbl_Product[Is Set or Play Booster])</f>
        <v>0</v>
      </c>
      <c r="AX654" s="6" t="b">
        <f>_xlfn.XLOOKUP(tbl_Sourcing[[#This Row],[Product Id]], tbl_Product[Product Id], tbl_Product[Is Precon])</f>
        <v>1</v>
      </c>
    </row>
    <row r="655" spans="1:50">
      <c r="A655">
        <v>961</v>
      </c>
      <c r="B655">
        <v>239</v>
      </c>
      <c r="C655" t="s">
        <v>2169</v>
      </c>
      <c r="D655" s="8" t="s">
        <v>2187</v>
      </c>
      <c r="E655">
        <v>70</v>
      </c>
      <c r="F655" t="b">
        <v>1</v>
      </c>
      <c r="G655" s="6"/>
      <c r="J655" s="6" t="str">
        <f>_xlfn.XLOOKUP(tbl_Sourcing[[#This Row],[Product Id]], tbl_Product[Product Id], tbl_Product[Name])</f>
        <v>MTG Marvel's Super Heroes Doom Prevails Precon</v>
      </c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5" s="6" t="b">
        <f>_xlfn.XLOOKUP(tbl_Sourcing[[#This Row],[Product Id]], tbl_Product[Product Id], tbl_Product[Is Set or Play Booster])</f>
        <v>0</v>
      </c>
      <c r="AX655" s="6" t="b">
        <f>_xlfn.XLOOKUP(tbl_Sourcing[[#This Row],[Product Id]], tbl_Product[Product Id], tbl_Product[Is Precon])</f>
        <v>1</v>
      </c>
    </row>
    <row r="656" spans="1:50">
      <c r="A656">
        <v>942</v>
      </c>
      <c r="B656">
        <v>247</v>
      </c>
      <c r="C656" t="s">
        <v>2169</v>
      </c>
      <c r="D656" s="8" t="s">
        <v>2188</v>
      </c>
      <c r="E656">
        <v>170</v>
      </c>
      <c r="F656" t="b">
        <v>1</v>
      </c>
      <c r="G656" s="6"/>
      <c r="J656" s="6" t="str">
        <f>_xlfn.XLOOKUP(tbl_Sourcing[[#This Row],[Product Id]], tbl_Product[Product Id], tbl_Product[Name])</f>
        <v>MTG Marvel's Super Heroes Play Booster Box</v>
      </c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6" s="6" t="b">
        <f>_xlfn.XLOOKUP(tbl_Sourcing[[#This Row],[Product Id]], tbl_Product[Product Id], tbl_Product[Is Set or Play Booster])</f>
        <v>1</v>
      </c>
      <c r="AX656" s="6" t="b">
        <f>_xlfn.XLOOKUP(tbl_Sourcing[[#This Row],[Product Id]], tbl_Product[Product Id], tbl_Product[Is Precon])</f>
        <v>0</v>
      </c>
    </row>
    <row r="657" spans="1:50">
      <c r="A657">
        <v>958</v>
      </c>
      <c r="B657">
        <v>244</v>
      </c>
      <c r="C657" t="s">
        <v>2169</v>
      </c>
      <c r="D657" s="8" t="s">
        <v>2189</v>
      </c>
      <c r="E657">
        <v>150</v>
      </c>
      <c r="F657" t="b">
        <v>1</v>
      </c>
      <c r="G657" s="6"/>
      <c r="J657" s="6" t="str">
        <f>_xlfn.XLOOKUP(tbl_Sourcing[[#This Row],[Product Id]], tbl_Product[Product Id], tbl_Product[Name])</f>
        <v>MTG Marvel's Super Heroes The Fantastic Four Collector Precon</v>
      </c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7" s="6" t="b">
        <f>_xlfn.XLOOKUP(tbl_Sourcing[[#This Row],[Product Id]], tbl_Product[Product Id], tbl_Product[Is Set or Play Booster])</f>
        <v>0</v>
      </c>
      <c r="AX657" s="6" t="b">
        <f>_xlfn.XLOOKUP(tbl_Sourcing[[#This Row],[Product Id]], tbl_Product[Product Id], tbl_Product[Is Precon])</f>
        <v>1</v>
      </c>
    </row>
    <row r="658" spans="1:50">
      <c r="A658">
        <v>962</v>
      </c>
      <c r="B658">
        <v>240</v>
      </c>
      <c r="C658" t="s">
        <v>2169</v>
      </c>
      <c r="D658" s="8" t="s">
        <v>2190</v>
      </c>
      <c r="E658">
        <v>70</v>
      </c>
      <c r="F658" t="b">
        <v>1</v>
      </c>
      <c r="G658" s="6"/>
      <c r="J658" s="6" t="str">
        <f>_xlfn.XLOOKUP(tbl_Sourcing[[#This Row],[Product Id]], tbl_Product[Product Id], tbl_Product[Name])</f>
        <v>MTG Marvel's Super Heroes The Fantastic Four Precon</v>
      </c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8" s="6" t="b">
        <f>_xlfn.XLOOKUP(tbl_Sourcing[[#This Row],[Product Id]], tbl_Product[Product Id], tbl_Product[Is Set or Play Booster])</f>
        <v>0</v>
      </c>
      <c r="AX658" s="6" t="b">
        <f>_xlfn.XLOOKUP(tbl_Sourcing[[#This Row],[Product Id]], tbl_Product[Product Id], tbl_Product[Is Precon])</f>
        <v>1</v>
      </c>
    </row>
    <row r="659" spans="1:50">
      <c r="A659">
        <v>959</v>
      </c>
      <c r="B659">
        <v>245</v>
      </c>
      <c r="C659" t="s">
        <v>2169</v>
      </c>
      <c r="D659" s="8" t="s">
        <v>2191</v>
      </c>
      <c r="F659" t="b">
        <v>0</v>
      </c>
      <c r="G659" s="6"/>
      <c r="J659" s="6" t="str">
        <f>_xlfn.XLOOKUP(tbl_Sourcing[[#This Row],[Product Id]], tbl_Product[Product Id], tbl_Product[Name])</f>
        <v>MTG Marvel's Super Heroes Wakanda Forever Collector Precon</v>
      </c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59" s="6" t="b">
        <f>_xlfn.XLOOKUP(tbl_Sourcing[[#This Row],[Product Id]], tbl_Product[Product Id], tbl_Product[Is Set or Play Booster])</f>
        <v>0</v>
      </c>
      <c r="AX659" s="6" t="b">
        <f>_xlfn.XLOOKUP(tbl_Sourcing[[#This Row],[Product Id]], tbl_Product[Product Id], tbl_Product[Is Precon])</f>
        <v>1</v>
      </c>
    </row>
    <row r="660" spans="1:50">
      <c r="A660">
        <v>963</v>
      </c>
      <c r="B660">
        <v>241</v>
      </c>
      <c r="C660" t="s">
        <v>2169</v>
      </c>
      <c r="D660" s="8" t="s">
        <v>2192</v>
      </c>
      <c r="E660">
        <v>70</v>
      </c>
      <c r="F660" t="b">
        <v>1</v>
      </c>
      <c r="G660" s="6"/>
      <c r="J660" s="6" t="str">
        <f>_xlfn.XLOOKUP(tbl_Sourcing[[#This Row],[Product Id]], tbl_Product[Product Id], tbl_Product[Name])</f>
        <v>MTG Marvel's Super Heroes Wakanda Forever Precon</v>
      </c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0" s="6" t="b">
        <f>_xlfn.XLOOKUP(tbl_Sourcing[[#This Row],[Product Id]], tbl_Product[Product Id], tbl_Product[Is Set or Play Booster])</f>
        <v>0</v>
      </c>
      <c r="AX660" s="6" t="b">
        <f>_xlfn.XLOOKUP(tbl_Sourcing[[#This Row],[Product Id]], tbl_Product[Product Id], tbl_Product[Is Precon])</f>
        <v>1</v>
      </c>
    </row>
    <row r="661" spans="1:50">
      <c r="A661">
        <v>964</v>
      </c>
      <c r="B661">
        <v>60</v>
      </c>
      <c r="C661" t="s">
        <v>2169</v>
      </c>
      <c r="D661" s="8" t="s">
        <v>2193</v>
      </c>
      <c r="E661">
        <v>330</v>
      </c>
      <c r="F661" t="b">
        <v>1</v>
      </c>
      <c r="G661" s="6"/>
      <c r="J661" s="6" t="str">
        <f>_xlfn.XLOOKUP(tbl_Sourcing[[#This Row],[Product Id]], tbl_Product[Product Id], tbl_Product[Name])</f>
        <v>MTG Modern Horizons 3 MH3 Play Booster Box</v>
      </c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1" s="6" t="b">
        <f>_xlfn.XLOOKUP(tbl_Sourcing[[#This Row],[Product Id]], tbl_Product[Product Id], tbl_Product[Is Set or Play Booster])</f>
        <v>1</v>
      </c>
      <c r="AX661" s="6" t="b">
        <f>_xlfn.XLOOKUP(tbl_Sourcing[[#This Row],[Product Id]], tbl_Product[Product Id], tbl_Product[Is Precon])</f>
        <v>0</v>
      </c>
    </row>
    <row r="662" spans="1:50">
      <c r="A662">
        <v>954</v>
      </c>
      <c r="B662">
        <v>67</v>
      </c>
      <c r="C662" t="s">
        <v>2169</v>
      </c>
      <c r="D662" s="8" t="s">
        <v>2194</v>
      </c>
      <c r="E662">
        <v>180</v>
      </c>
      <c r="F662" t="b">
        <v>1</v>
      </c>
      <c r="G662" s="6"/>
      <c r="J662" s="6" t="str">
        <f>_xlfn.XLOOKUP(tbl_Sourcing[[#This Row],[Product Id]], tbl_Product[Product Id], tbl_Product[Name])</f>
        <v>MTG Phyrexia: All Will Be One Set Booster Box</v>
      </c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2" s="6" t="b">
        <f>_xlfn.XLOOKUP(tbl_Sourcing[[#This Row],[Product Id]], tbl_Product[Product Id], tbl_Product[Is Set or Play Booster])</f>
        <v>1</v>
      </c>
      <c r="AX662" s="6" t="b">
        <f>_xlfn.XLOOKUP(tbl_Sourcing[[#This Row],[Product Id]], tbl_Product[Product Id], tbl_Product[Is Precon])</f>
        <v>0</v>
      </c>
    </row>
    <row r="663" spans="1:50">
      <c r="A663">
        <v>955</v>
      </c>
      <c r="B663">
        <v>130</v>
      </c>
      <c r="C663" t="s">
        <v>2169</v>
      </c>
      <c r="D663" s="8" t="s">
        <v>2195</v>
      </c>
      <c r="F663" t="b">
        <v>0</v>
      </c>
      <c r="G663" s="6"/>
      <c r="J663" s="6" t="str">
        <f>_xlfn.XLOOKUP(tbl_Sourcing[[#This Row],[Product Id]], tbl_Product[Product Id], tbl_Product[Name])</f>
        <v>MTG Ravnica Remastered Collector Booster Box</v>
      </c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3" s="6" t="b">
        <f>_xlfn.XLOOKUP(tbl_Sourcing[[#This Row],[Product Id]], tbl_Product[Product Id], tbl_Product[Is Set or Play Booster])</f>
        <v>0</v>
      </c>
      <c r="AX663" s="6" t="b">
        <f>_xlfn.XLOOKUP(tbl_Sourcing[[#This Row],[Product Id]], tbl_Product[Product Id], tbl_Product[Is Precon])</f>
        <v>0</v>
      </c>
    </row>
    <row r="664" spans="1:50">
      <c r="A664">
        <v>948</v>
      </c>
      <c r="B664">
        <v>155</v>
      </c>
      <c r="C664" t="s">
        <v>2169</v>
      </c>
      <c r="D664" s="8" t="s">
        <v>2196</v>
      </c>
      <c r="F664" t="b">
        <v>0</v>
      </c>
      <c r="G664" s="6"/>
      <c r="J664" s="6" t="str">
        <f>_xlfn.XLOOKUP(tbl_Sourcing[[#This Row],[Product Id]], tbl_Product[Product Id], tbl_Product[Name])</f>
        <v>MTG Tarkir Dragonstorm Abzan Armor Precon</v>
      </c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4" s="6" t="b">
        <f>_xlfn.XLOOKUP(tbl_Sourcing[[#This Row],[Product Id]], tbl_Product[Product Id], tbl_Product[Is Set or Play Booster])</f>
        <v>0</v>
      </c>
      <c r="AX664" s="6" t="b">
        <f>_xlfn.XLOOKUP(tbl_Sourcing[[#This Row],[Product Id]], tbl_Product[Product Id], tbl_Product[Is Precon])</f>
        <v>1</v>
      </c>
    </row>
    <row r="665" spans="1:50">
      <c r="A665">
        <v>949</v>
      </c>
      <c r="B665">
        <v>157</v>
      </c>
      <c r="C665" t="s">
        <v>2169</v>
      </c>
      <c r="D665" s="8" t="s">
        <v>2197</v>
      </c>
      <c r="F665" t="b">
        <v>0</v>
      </c>
      <c r="G665" s="6"/>
      <c r="J665" s="6" t="str">
        <f>_xlfn.XLOOKUP(tbl_Sourcing[[#This Row],[Product Id]], tbl_Product[Product Id], tbl_Product[Name])</f>
        <v>MTG Tarkir Dragonstorm Jeskai Striker Precon</v>
      </c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5" s="6" t="b">
        <f>_xlfn.XLOOKUP(tbl_Sourcing[[#This Row],[Product Id]], tbl_Product[Product Id], tbl_Product[Is Set or Play Booster])</f>
        <v>0</v>
      </c>
      <c r="AX665" s="6" t="b">
        <f>_xlfn.XLOOKUP(tbl_Sourcing[[#This Row],[Product Id]], tbl_Product[Product Id], tbl_Product[Is Precon])</f>
        <v>1</v>
      </c>
    </row>
    <row r="666" spans="1:50">
      <c r="A666">
        <v>950</v>
      </c>
      <c r="B666">
        <v>156</v>
      </c>
      <c r="C666" t="s">
        <v>2169</v>
      </c>
      <c r="D666" s="8" t="s">
        <v>2198</v>
      </c>
      <c r="F666" t="b">
        <v>0</v>
      </c>
      <c r="G666" s="6"/>
      <c r="J666" s="6" t="str">
        <f>_xlfn.XLOOKUP(tbl_Sourcing[[#This Row],[Product Id]], tbl_Product[Product Id], tbl_Product[Name])</f>
        <v>MTG Tarkir Dragonstorm Mardu Surge Precon</v>
      </c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6" s="6" t="b">
        <f>_xlfn.XLOOKUP(tbl_Sourcing[[#This Row],[Product Id]], tbl_Product[Product Id], tbl_Product[Is Set or Play Booster])</f>
        <v>0</v>
      </c>
      <c r="AX666" s="6" t="b">
        <f>_xlfn.XLOOKUP(tbl_Sourcing[[#This Row],[Product Id]], tbl_Product[Product Id], tbl_Product[Is Precon])</f>
        <v>1</v>
      </c>
    </row>
    <row r="667" spans="1:50">
      <c r="A667">
        <v>951</v>
      </c>
      <c r="B667">
        <v>158</v>
      </c>
      <c r="C667" t="s">
        <v>2169</v>
      </c>
      <c r="D667" s="8" t="s">
        <v>2199</v>
      </c>
      <c r="F667" t="b">
        <v>0</v>
      </c>
      <c r="G667" s="6"/>
      <c r="J667" s="6" t="str">
        <f>_xlfn.XLOOKUP(tbl_Sourcing[[#This Row],[Product Id]], tbl_Product[Product Id], tbl_Product[Name])</f>
        <v>MTG Tarkir Dragonstorm Temur Roar Precon</v>
      </c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7" s="6" t="b">
        <f>_xlfn.XLOOKUP(tbl_Sourcing[[#This Row],[Product Id]], tbl_Product[Product Id], tbl_Product[Is Set or Play Booster])</f>
        <v>0</v>
      </c>
      <c r="AX667" s="6" t="b">
        <f>_xlfn.XLOOKUP(tbl_Sourcing[[#This Row],[Product Id]], tbl_Product[Product Id], tbl_Product[Is Precon])</f>
        <v>1</v>
      </c>
    </row>
    <row r="668" spans="1:50">
      <c r="A668">
        <v>973</v>
      </c>
      <c r="B668">
        <v>253</v>
      </c>
      <c r="C668" t="s">
        <v>2169</v>
      </c>
      <c r="D668" s="8" t="s">
        <v>2200</v>
      </c>
      <c r="F668" t="b">
        <v>0</v>
      </c>
      <c r="G668" s="6"/>
      <c r="J668" s="6" t="str">
        <f>_xlfn.XLOOKUP(tbl_Sourcing[[#This Row],[Product Id]], tbl_Product[Product Id], tbl_Product[Name])</f>
        <v>MTG Teenage Mutant Ninja Turtles Play Booster Box</v>
      </c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8" s="6" t="b">
        <f>_xlfn.XLOOKUP(tbl_Sourcing[[#This Row],[Product Id]], tbl_Product[Product Id], tbl_Product[Is Set or Play Booster])</f>
        <v>1</v>
      </c>
      <c r="AX668" s="6" t="b">
        <f>_xlfn.XLOOKUP(tbl_Sourcing[[#This Row],[Product Id]], tbl_Product[Product Id], tbl_Product[Is Precon])</f>
        <v>0</v>
      </c>
    </row>
    <row r="669" spans="1:50">
      <c r="A669">
        <v>947</v>
      </c>
      <c r="B669">
        <v>66</v>
      </c>
      <c r="C669" t="s">
        <v>2169</v>
      </c>
      <c r="D669" s="8" t="s">
        <v>2201</v>
      </c>
      <c r="E669">
        <v>260</v>
      </c>
      <c r="F669" t="b">
        <v>1</v>
      </c>
      <c r="G669" s="6"/>
      <c r="J669" s="6" t="str">
        <f>_xlfn.XLOOKUP(tbl_Sourcing[[#This Row],[Product Id]], tbl_Product[Product Id], tbl_Product[Name])</f>
        <v>MTG The Lord of the Rings: Tales of Middle-earth LTR Set Booster Box</v>
      </c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69" s="6" t="b">
        <f>_xlfn.XLOOKUP(tbl_Sourcing[[#This Row],[Product Id]], tbl_Product[Product Id], tbl_Product[Is Set or Play Booster])</f>
        <v>1</v>
      </c>
      <c r="AX669" s="6" t="b">
        <f>_xlfn.XLOOKUP(tbl_Sourcing[[#This Row],[Product Id]], tbl_Product[Product Id], tbl_Product[Is Precon])</f>
        <v>0</v>
      </c>
    </row>
    <row r="670" spans="1:50">
      <c r="A670">
        <v>953</v>
      </c>
      <c r="B670">
        <v>47</v>
      </c>
      <c r="C670" t="s">
        <v>2169</v>
      </c>
      <c r="D670" s="8" t="s">
        <v>2202</v>
      </c>
      <c r="E670">
        <v>160</v>
      </c>
      <c r="F670" t="b">
        <v>1</v>
      </c>
      <c r="G670" s="6"/>
      <c r="J670" s="6" t="str">
        <f>_xlfn.XLOOKUP(tbl_Sourcing[[#This Row],[Product Id]], tbl_Product[Product Id], tbl_Product[Name])</f>
        <v>MTG The Lost Caverns of Ixalan LCI Set Booster Box</v>
      </c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0" s="6" t="b">
        <f>_xlfn.XLOOKUP(tbl_Sourcing[[#This Row],[Product Id]], tbl_Product[Product Id], tbl_Product[Is Set or Play Booster])</f>
        <v>1</v>
      </c>
      <c r="AX670" s="6" t="b">
        <f>_xlfn.XLOOKUP(tbl_Sourcing[[#This Row],[Product Id]], tbl_Product[Product Id], tbl_Product[Is Precon])</f>
        <v>0</v>
      </c>
    </row>
    <row r="671" spans="1:50">
      <c r="A671">
        <v>761</v>
      </c>
      <c r="B671">
        <v>161</v>
      </c>
      <c r="C671" t="s">
        <v>2203</v>
      </c>
      <c r="D671" s="8" t="s">
        <v>2204</v>
      </c>
      <c r="E671">
        <v>40</v>
      </c>
      <c r="F671" t="b">
        <v>1</v>
      </c>
      <c r="G671" s="6"/>
      <c r="J671" s="6" t="str">
        <f>_xlfn.XLOOKUP(tbl_Sourcing[[#This Row],[Product Id]], tbl_Product[Product Id], tbl_Product[Name])</f>
        <v>MTG Aetherdrift Living Energy Precon</v>
      </c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1" s="6" t="b">
        <f>_xlfn.XLOOKUP(tbl_Sourcing[[#This Row],[Product Id]], tbl_Product[Product Id], tbl_Product[Is Set or Play Booster])</f>
        <v>0</v>
      </c>
      <c r="AX671" s="6" t="b">
        <f>_xlfn.XLOOKUP(tbl_Sourcing[[#This Row],[Product Id]], tbl_Product[Product Id], tbl_Product[Is Precon])</f>
        <v>1</v>
      </c>
    </row>
    <row r="672" spans="1:50">
      <c r="A672">
        <v>755</v>
      </c>
      <c r="B672">
        <v>167</v>
      </c>
      <c r="C672" t="s">
        <v>2203</v>
      </c>
      <c r="D672" s="8" t="s">
        <v>2205</v>
      </c>
      <c r="E672">
        <v>76</v>
      </c>
      <c r="F672" t="b">
        <v>1</v>
      </c>
      <c r="G672" s="6"/>
      <c r="J672" s="6" t="str">
        <f>_xlfn.XLOOKUP(tbl_Sourcing[[#This Row],[Product Id]], tbl_Product[Product Id], tbl_Product[Name])</f>
        <v>MTG Bloomburrow Animated Army Precon</v>
      </c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2" s="6" t="b">
        <f>_xlfn.XLOOKUP(tbl_Sourcing[[#This Row],[Product Id]], tbl_Product[Product Id], tbl_Product[Is Set or Play Booster])</f>
        <v>0</v>
      </c>
      <c r="AX672" s="6" t="b">
        <f>_xlfn.XLOOKUP(tbl_Sourcing[[#This Row],[Product Id]], tbl_Product[Product Id], tbl_Product[Is Precon])</f>
        <v>1</v>
      </c>
    </row>
    <row r="673" spans="1:50">
      <c r="A673">
        <v>758</v>
      </c>
      <c r="B673">
        <v>169</v>
      </c>
      <c r="C673" t="s">
        <v>2203</v>
      </c>
      <c r="D673" s="8" t="s">
        <v>2206</v>
      </c>
      <c r="E673">
        <v>70</v>
      </c>
      <c r="F673" t="b">
        <v>1</v>
      </c>
      <c r="G673" s="6"/>
      <c r="J673" s="6" t="str">
        <f>_xlfn.XLOOKUP(tbl_Sourcing[[#This Row],[Product Id]], tbl_Product[Product Id], tbl_Product[Name])</f>
        <v>MTG Bloomburrow Family Matters Precon</v>
      </c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3" s="6" t="b">
        <f>_xlfn.XLOOKUP(tbl_Sourcing[[#This Row],[Product Id]], tbl_Product[Product Id], tbl_Product[Is Set or Play Booster])</f>
        <v>0</v>
      </c>
      <c r="AX673" s="6" t="b">
        <f>_xlfn.XLOOKUP(tbl_Sourcing[[#This Row],[Product Id]], tbl_Product[Product Id], tbl_Product[Is Precon])</f>
        <v>1</v>
      </c>
    </row>
    <row r="674" spans="1:50">
      <c r="A674">
        <v>756</v>
      </c>
      <c r="B674">
        <v>153</v>
      </c>
      <c r="C674" t="s">
        <v>2203</v>
      </c>
      <c r="D674" s="8" t="s">
        <v>2207</v>
      </c>
      <c r="E674">
        <v>84</v>
      </c>
      <c r="F674" t="b">
        <v>1</v>
      </c>
      <c r="G674" s="6"/>
      <c r="J674" s="6" t="str">
        <f>_xlfn.XLOOKUP(tbl_Sourcing[[#This Row],[Product Id]], tbl_Product[Product Id], tbl_Product[Name])</f>
        <v>MTG Final Fantasy Counter Blitz Precon</v>
      </c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4" s="6" t="b">
        <f>_xlfn.XLOOKUP(tbl_Sourcing[[#This Row],[Product Id]], tbl_Product[Product Id], tbl_Product[Is Set or Play Booster])</f>
        <v>0</v>
      </c>
      <c r="AX674" s="6" t="b">
        <f>_xlfn.XLOOKUP(tbl_Sourcing[[#This Row],[Product Id]], tbl_Product[Product Id], tbl_Product[Is Precon])</f>
        <v>1</v>
      </c>
    </row>
    <row r="675" spans="1:50">
      <c r="A675">
        <v>760</v>
      </c>
      <c r="B675">
        <v>152</v>
      </c>
      <c r="C675" t="s">
        <v>2203</v>
      </c>
      <c r="D675" s="8" t="s">
        <v>2208</v>
      </c>
      <c r="E675">
        <v>90</v>
      </c>
      <c r="F675" t="b">
        <v>1</v>
      </c>
      <c r="G675" s="6"/>
      <c r="J675" s="6" t="str">
        <f>_xlfn.XLOOKUP(tbl_Sourcing[[#This Row],[Product Id]], tbl_Product[Product Id], tbl_Product[Name])</f>
        <v>MTG Final Fantasy Limit Break Precon</v>
      </c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5" s="6" t="b">
        <f>_xlfn.XLOOKUP(tbl_Sourcing[[#This Row],[Product Id]], tbl_Product[Product Id], tbl_Product[Is Set or Play Booster])</f>
        <v>0</v>
      </c>
      <c r="AX675" s="6" t="b">
        <f>_xlfn.XLOOKUP(tbl_Sourcing[[#This Row],[Product Id]], tbl_Product[Product Id], tbl_Product[Is Precon])</f>
        <v>1</v>
      </c>
    </row>
    <row r="676" spans="1:50">
      <c r="A676">
        <v>763</v>
      </c>
      <c r="B676">
        <v>151</v>
      </c>
      <c r="C676" t="s">
        <v>2203</v>
      </c>
      <c r="D676" s="8" t="s">
        <v>2209</v>
      </c>
      <c r="E676">
        <v>66</v>
      </c>
      <c r="F676" t="b">
        <v>1</v>
      </c>
      <c r="G676" s="6"/>
      <c r="J676" s="6" t="str">
        <f>_xlfn.XLOOKUP(tbl_Sourcing[[#This Row],[Product Id]], tbl_Product[Product Id], tbl_Product[Name])</f>
        <v>MTG Final Fantasy Revival Trance Precon</v>
      </c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6" s="6" t="b">
        <f>_xlfn.XLOOKUP(tbl_Sourcing[[#This Row],[Product Id]], tbl_Product[Product Id], tbl_Product[Is Set or Play Booster])</f>
        <v>0</v>
      </c>
      <c r="AX676" s="6" t="b">
        <f>_xlfn.XLOOKUP(tbl_Sourcing[[#This Row],[Product Id]], tbl_Product[Product Id], tbl_Product[Is Precon])</f>
        <v>1</v>
      </c>
    </row>
    <row r="677" spans="1:50">
      <c r="A677">
        <v>764</v>
      </c>
      <c r="B677">
        <v>154</v>
      </c>
      <c r="C677" t="s">
        <v>2203</v>
      </c>
      <c r="D677" s="8" t="s">
        <v>2210</v>
      </c>
      <c r="E677">
        <v>85</v>
      </c>
      <c r="F677" t="b">
        <v>1</v>
      </c>
      <c r="G677" s="6"/>
      <c r="J677" s="6" t="str">
        <f>_xlfn.XLOOKUP(tbl_Sourcing[[#This Row],[Product Id]], tbl_Product[Product Id], tbl_Product[Name])</f>
        <v>MTG Final Fantasy Scions &amp; Spellcraft Precon</v>
      </c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7" s="6" t="b">
        <f>_xlfn.XLOOKUP(tbl_Sourcing[[#This Row],[Product Id]], tbl_Product[Product Id], tbl_Product[Is Set or Play Booster])</f>
        <v>0</v>
      </c>
      <c r="AX677" s="6" t="b">
        <f>_xlfn.XLOOKUP(tbl_Sourcing[[#This Row],[Product Id]], tbl_Product[Product Id], tbl_Product[Is Precon])</f>
        <v>1</v>
      </c>
    </row>
    <row r="678" spans="1:50">
      <c r="A678">
        <v>759</v>
      </c>
      <c r="B678">
        <v>171</v>
      </c>
      <c r="C678" t="s">
        <v>2203</v>
      </c>
      <c r="D678" s="8" t="s">
        <v>2211</v>
      </c>
      <c r="E678">
        <v>59</v>
      </c>
      <c r="F678" t="b">
        <v>1</v>
      </c>
      <c r="G678" s="6"/>
      <c r="J678" s="6" t="str">
        <f>_xlfn.XLOOKUP(tbl_Sourcing[[#This Row],[Product Id]], tbl_Product[Product Id], tbl_Product[Name])</f>
        <v>MTG Modern Horizons 3 Graveyard Overdrive Precon</v>
      </c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8" s="6" t="b">
        <f>_xlfn.XLOOKUP(tbl_Sourcing[[#This Row],[Product Id]], tbl_Product[Product Id], tbl_Product[Is Set or Play Booster])</f>
        <v>0</v>
      </c>
      <c r="AX678" s="6" t="b">
        <f>_xlfn.XLOOKUP(tbl_Sourcing[[#This Row],[Product Id]], tbl_Product[Product Id], tbl_Product[Is Precon])</f>
        <v>1</v>
      </c>
    </row>
    <row r="679" spans="1:50">
      <c r="A679">
        <v>754</v>
      </c>
      <c r="B679">
        <v>155</v>
      </c>
      <c r="C679" t="s">
        <v>2203</v>
      </c>
      <c r="D679" s="8" t="s">
        <v>2212</v>
      </c>
      <c r="E679">
        <v>78</v>
      </c>
      <c r="F679" t="b">
        <v>1</v>
      </c>
      <c r="G679" s="6"/>
      <c r="J679" s="6" t="str">
        <f>_xlfn.XLOOKUP(tbl_Sourcing[[#This Row],[Product Id]], tbl_Product[Product Id], tbl_Product[Name])</f>
        <v>MTG Tarkir Dragonstorm Abzan Armor Precon</v>
      </c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79" s="6" t="b">
        <f>_xlfn.XLOOKUP(tbl_Sourcing[[#This Row],[Product Id]], tbl_Product[Product Id], tbl_Product[Is Set or Play Booster])</f>
        <v>0</v>
      </c>
      <c r="AX679" s="6" t="b">
        <f>_xlfn.XLOOKUP(tbl_Sourcing[[#This Row],[Product Id]], tbl_Product[Product Id], tbl_Product[Is Precon])</f>
        <v>1</v>
      </c>
    </row>
    <row r="680" spans="1:50">
      <c r="A680">
        <v>762</v>
      </c>
      <c r="B680">
        <v>156</v>
      </c>
      <c r="C680" t="s">
        <v>2203</v>
      </c>
      <c r="D680" s="8" t="s">
        <v>2213</v>
      </c>
      <c r="E680">
        <v>70</v>
      </c>
      <c r="F680" t="b">
        <v>1</v>
      </c>
      <c r="G680" s="6"/>
      <c r="J680" s="6" t="str">
        <f>_xlfn.XLOOKUP(tbl_Sourcing[[#This Row],[Product Id]], tbl_Product[Product Id], tbl_Product[Name])</f>
        <v>MTG Tarkir Dragonstorm Mardu Surge Precon</v>
      </c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80" s="6" t="b">
        <f>_xlfn.XLOOKUP(tbl_Sourcing[[#This Row],[Product Id]], tbl_Product[Product Id], tbl_Product[Is Set or Play Booster])</f>
        <v>0</v>
      </c>
      <c r="AX680" s="6" t="b">
        <f>_xlfn.XLOOKUP(tbl_Sourcing[[#This Row],[Product Id]], tbl_Product[Product Id], tbl_Product[Is Precon])</f>
        <v>1</v>
      </c>
    </row>
    <row r="681" spans="1:50">
      <c r="A681">
        <v>765</v>
      </c>
      <c r="B681">
        <v>159</v>
      </c>
      <c r="C681" t="s">
        <v>2203</v>
      </c>
      <c r="D681" s="8" t="s">
        <v>2214</v>
      </c>
      <c r="E681">
        <v>80</v>
      </c>
      <c r="F681" t="b">
        <v>1</v>
      </c>
      <c r="G681" s="6"/>
      <c r="J681" s="6" t="str">
        <f>_xlfn.XLOOKUP(tbl_Sourcing[[#This Row],[Product Id]], tbl_Product[Product Id], tbl_Product[Name])</f>
        <v>MTG Tarkir Dragonstorm Sultai Arisen Precon</v>
      </c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81" s="6" t="b">
        <f>_xlfn.XLOOKUP(tbl_Sourcing[[#This Row],[Product Id]], tbl_Product[Product Id], tbl_Product[Is Set or Play Booster])</f>
        <v>0</v>
      </c>
      <c r="AX681" s="6" t="b">
        <f>_xlfn.XLOOKUP(tbl_Sourcing[[#This Row],[Product Id]], tbl_Product[Product Id], tbl_Product[Is Precon])</f>
        <v>1</v>
      </c>
    </row>
    <row r="682" spans="1:50">
      <c r="A682">
        <v>757</v>
      </c>
      <c r="B682">
        <v>189</v>
      </c>
      <c r="C682" t="s">
        <v>2203</v>
      </c>
      <c r="D682" s="8" t="s">
        <v>2215</v>
      </c>
      <c r="E682">
        <v>105</v>
      </c>
      <c r="F682" t="b">
        <v>1</v>
      </c>
      <c r="G682" s="6"/>
      <c r="J682" s="6" t="str">
        <f>_xlfn.XLOOKUP(tbl_Sourcing[[#This Row],[Product Id]], tbl_Product[Product Id], tbl_Product[Name])</f>
        <v>MTG The Lost Caverns of Ixalan Explorers of the Deep Precon</v>
      </c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82" s="6" t="b">
        <f>_xlfn.XLOOKUP(tbl_Sourcing[[#This Row],[Product Id]], tbl_Product[Product Id], tbl_Product[Is Set or Play Booster])</f>
        <v>0</v>
      </c>
      <c r="AX682" s="6" t="b">
        <f>_xlfn.XLOOKUP(tbl_Sourcing[[#This Row],[Product Id]], tbl_Product[Product Id], tbl_Product[Is Precon])</f>
        <v>1</v>
      </c>
    </row>
    <row r="683" spans="1:50">
      <c r="A683">
        <v>353</v>
      </c>
      <c r="B683">
        <v>161</v>
      </c>
      <c r="C683" t="s">
        <v>2216</v>
      </c>
      <c r="D683" s="8" t="s">
        <v>2217</v>
      </c>
      <c r="E683" s="23">
        <v>42.95</v>
      </c>
      <c r="F683" s="23" t="b">
        <v>1</v>
      </c>
      <c r="G683" s="24"/>
      <c r="H683" s="24"/>
      <c r="J683" s="6" t="str">
        <f>_xlfn.XLOOKUP(tbl_Sourcing[[#This Row],[Product Id]], tbl_Product[Product Id], tbl_Product[Name])</f>
        <v>MTG Aetherdrift Living Energy Precon</v>
      </c>
      <c r="K683" s="6"/>
      <c r="L683" s="6"/>
      <c r="M683" s="6"/>
      <c r="N683" s="6">
        <v>1</v>
      </c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</v>
      </c>
      <c r="AW683" s="6" t="b">
        <f>_xlfn.XLOOKUP(tbl_Sourcing[[#This Row],[Product Id]], tbl_Product[Product Id], tbl_Product[Is Set or Play Booster])</f>
        <v>0</v>
      </c>
      <c r="AX683" s="6" t="b">
        <f>_xlfn.XLOOKUP(tbl_Sourcing[[#This Row],[Product Id]], tbl_Product[Product Id], tbl_Product[Is Precon])</f>
        <v>1</v>
      </c>
    </row>
    <row r="684" spans="1:50">
      <c r="A684">
        <v>61</v>
      </c>
      <c r="B684">
        <v>70</v>
      </c>
      <c r="C684" t="s">
        <v>2216</v>
      </c>
      <c r="E684" s="23">
        <v>100</v>
      </c>
      <c r="F684" s="23" t="b">
        <v>0</v>
      </c>
      <c r="G684" s="24"/>
      <c r="H684" s="24"/>
      <c r="J684" s="6" t="str">
        <f>_xlfn.XLOOKUP(tbl_Sourcing[[#This Row],[Product Id]], tbl_Product[Product Id], tbl_Product[Name])</f>
        <v>MTG Aetherdrift Play Booster Box</v>
      </c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22">
        <f>IF(AND(tbl_Sourcing[[#This Row],[Source Name]]="Card Market", NOT(ISBLANK(tbl_Sourcing[[#This Row],[Source Link]]))), tbl_Sourcing[[#This Row],[Index Card Market]] * 37, IF(AND(tbl_Sourcing[[#This Row],[Source Name]]="Chaos Cards", NOT(ISBLANK(tbl_Sourcing[[#This Row],[Source Link]]))), tbl_Sourcing[[#This Row],[Index Chaos Cards]] * 37 - 1, IF(AND(tbl_Sourcing[[#This Row],[Source Name]]="Games Lore", NOT(ISBLANK(tbl_Sourcing[[#This Row],[Source Link]]))), tbl_Sourcing[[#This Row],[Index Games Lore]] * 37 - 2, IF(AND(tbl_Sourcing[[#This Row],[Source Name]]="Magic Madhouse", NOT(ISBLANK(tbl_Sourcing[[#This Row],[Source Link]]))), tbl_Sourcing[[#This Row],[Index Magic Madhouse]] * 37 - 3, IF(AND(tbl_Sourcing[[#This Row],[Source Name]]="New Realities Gaming", NOT(ISBLANK(tbl_Sourcing[[#This Row],[Source Link]]))), tbl_Sourcing[[#This Row],[Index New Realities Gaming]] * 37 - 4, IF(AND(tbl_Sourcing[[#This Row],[Source Name]]="Column1", NOT(ISBLANK(tbl_Sourcing[[#This Row],[Source Link]]))), tbl_Sourcing[[#This Row],[Index Column1]] * 37 - 5, IF(AND(tbl_Sourcing[[#This Row],[Source Name]]="Column2", NOT(ISBLANK(tbl_Sourcing[[#This Row],[Source Link]]))), tbl_Sourcing[[#This Row],[Index Column2]] * 37 - 6, IF(AND(tbl_Sourcing[[#This Row],[Source Name]]="Column22", NOT(ISBLANK(tbl_Sourcing[[#This Row],[Source Link]]))), tbl_Sourcing[[#This Row],[Index Column22]] * 37 - 7, IF(AND(tbl_Sourcing[[#This Row],[Source Name]]="Column3", NOT(ISBLANK(tbl_Sourcing[[#This Row],[Source Link]]))), tbl_Sourcing[[#This Row],[Index Column3]] * 37 - 8, IF(AND(tbl_Sourcing[[#This Row],[Source Name]]="Column7", NOT(ISBLANK(tbl_Sourcing[[#This Row],[Source Link]]))), tbl_Sourcing[[#This Row],[Index Column7]] * 37 - 9, IF(AND(tbl_Sourcing[[#This Row],[Source Name]]="Column6", NOT(ISBLANK(tbl_Sourcing[[#This Row],[Source Link]]))), tbl_Sourcing[[#This Row],[Index Column6]] * 37 - 10, IF(AND(tbl_Sourcing[[#This Row],[Source Name]]="Column5", NOT(ISBLANK(tbl_Sourcing[[#This Row],[Source Link]]))), tbl_Sourcing[[#This Row],[Index Column5]] * 37 - 11, IF(AND(tbl_Sourcing[[#This Row],[Source Name]]="Column4", NOT(ISBLANK(tbl_Sourcing[[#This Row],[Source Link]]))), tbl_Sourcing[[#This Row],[Index Column4]] * 37 - 12, IF(AND(tbl_Sourcing[[#This Row],[Source Name]]="Column15", NOT(ISBLANK(tbl_Sourcing[[#This Row],[Source Link]]))), tbl_Sourcing[[#This Row],[Index Column15]] * 37 - 13, IF(AND(tbl_Sourcing[[#This Row],[Source Name]]="Column14", NOT(ISBLANK(tbl_Sourcing[[#This Row],[Source Link]]))), tbl_Sourcing[[#This Row],[Index Column14]] * 37 - 14, IF(AND(tbl_Sourcing[[#This Row],[Source Name]]="Column13", NOT(ISBLANK(tbl_Sourcing[[#This Row],[Source Link]]))), tbl_Sourcing[[#This Row],[Index Column13]] * 37 - 15, IF(AND(tbl_Sourcing[[#This Row],[Source Name]]="Column12", NOT(ISBLANK(tbl_Sourcing[[#This Row],[Source Link]]))), tbl_Sourcing[[#This Row],[Index Column12]] * 37 - 16, IF(AND(tbl_Sourcing[[#This Row],[Source Name]]="Column11", NOT(ISBLANK(tbl_Sourcing[[#This Row],[Source Link]]))), tbl_Sourcing[[#This Row],[Index Column11]] * 37 - 17, IF(AND(tbl_Sourcing[[#This Row],[Source Name]]="Column10", NOT(ISBLANK(tbl_Sourcing[[#This Row],[Source Link]]))), tbl_Sourcing[[#This Row],[Index Column10]] * 37 - 18, IF(AND(tbl_Sourcing[[#This Row],[Source Name]]="Column9", NOT(ISBLANK(tbl_Sourcing[[#This Row],[Source Link]]))), tbl_Sourcing[[#This Row],[Index Column9]] * 37 - 19, IF(AND(tbl_Sourcing[[#This Row],[Source Name]]="Column8", NOT(ISBLANK(tbl_Sourcing[[#This Row],[Source Link]]))), tbl_Sourcing[[#This Row],[Index Column8]] * 37 - 20, IF(AND(tbl_Sourcing[[#This Row],[Source Name]]="Column221", NOT(ISBLANK(tbl_Sourcing[[#This Row],[Source Link]]))), tbl_Sourcing[[#This Row],[Index Column221]] * 37 - 21, IF(AND(tbl_Sourcing[[#This Row],[Source Name]]="Column220", NOT(ISBLANK(tbl_Sourcing[[#This Row],[Source Link]]))), tbl_Sourcing[[#This Row],[Index Column220]] * 37 - 22, IF(AND(tbl_Sourcing[[#This Row],[Source Name]]="Column219", NOT(ISBLANK(tbl_Sourcing[[#This Row],[Source Link]]))), tbl_Sourcing[[#This Row],[Index Column219]] * 37 - 23, IF(AND(tbl_Sourcing[[#This Row],[Source Name]]="Column218", NOT(ISBLANK(tbl_Sourcing[[#This Row],[Source Link]]))), tbl_Sourcing[[#This Row],[Index Column218]] * 37 - 24, IF(AND(tbl_Sourcing[[#This Row],[Source Name]]="Column217", NOT(ISBLANK(tbl_Sourcing[[#This Row],[Source Link]]))), tbl_Sourcing[[#This Row],[Index Column217]] * 37 - 37, IF(AND(tbl_Sourcing[[#This Row],[Source Name]]="Column216", NOT(ISBLANK(tbl_Sourcing[[#This Row],[Source Link]]))), tbl_Sourcing[[#This Row],[Index Column216]] * 37 - 26, IF(AND(tbl_Sourcing[[#This Row],[Source Name]]="Column215", NOT(ISBLANK(tbl_Sourcing[[#This Row],[Source Link]]))), tbl_Sourcing[[#This Row],[Index Column215]] * 37 - 27, IF(AND(tbl_Sourcing[[#This Row],[Source Name]]="Column214", NOT(ISBLANK(tbl_Sourcing[[#This Row],[Source Link]]))), tbl_Sourcing[[#This Row],[Index Column214]] * 37 - 28, IF(AND(tbl_Sourcing[[#This Row],[Source Name]]="Column213", NOT(ISBLANK(tbl_Sourcing[[#This Row],[Source Link]]))), tbl_Sourcing[[#This Row],[Index Column213]] * 37 - 29, IF(AND(tbl_Sourcing[[#This Row],[Source Name]]="Column212", NOT(ISBLANK(tbl_Sourcing[[#This Row],[Source Link]]))), tbl_Sourcing[[#This Row],[Index Column212]] * 37 - 30, IF(AND(tbl_Sourcing[[#This Row],[Source Name]]="Column21", NOT(ISBLANK(tbl_Sourcing[[#This Row],[Source Link]]))), tbl_Sourcing[[#This Row],[Index Column21]] * 37 - 31, IF(AND(tbl_Sourcing[[#This Row],[Source Name]]="Column20", NOT(ISBLANK(tbl_Sourcing[[#This Row],[Source Link]]))), tbl_Sourcing[[#This Row],[Index Column20]] * 37 - 32, IF(AND(tbl_Sourcing[[#This Row],[Source Name]]="Column19", NOT(ISBLANK(tbl_Sourcing[[#This Row],[Source Link]]))), tbl_Sourcing[[#This Row],[Index Column19]] * 37 - 33, IF(AND(tbl_Sourcing[[#This Row],[Source Name]]="Column18", NOT(ISBLANK(tbl_Sourcing[[#This Row],[Source Link]]))), tbl_Sourcing[[#This Row],[Index Column18]] * 37 - 34, IF(AND(tbl_Sourcing[[#This Row],[Source Name]]="Column17", NOT(ISBLANK(tbl_Sourcing[[#This Row],[Source Link]]))), tbl_Sourcing[[#This Row],[Index Column17]] * 37 - 35, IF(AND(tbl_Sourcing[[#This Row],[Source Name]]="Column16", NOT(ISBLANK(tbl_Sourcing[[#This Row],[Source Link]]))), tbl_Sourcing[[#This Row],[Index Column16]] * 37 - 36, -1)))))))))))))))))))))))))))))))))))))</f>
        <v>-1</v>
      </c>
      <c r="AW684" s="6" t="b">
        <f>_xlfn.XLOOKUP(tbl_Sourcing[[#This Row],[Product Id]], tbl_Product[Product Id], tbl_Product[Is Set or Play Booster])</f>
        <v>1</v>
      </c>
      <c r="AX684" s="6" t="b">
        <f>_xlfn.XLOOKUP(tbl_Sourcing[[#This Row],[Product Id]], tbl_Product[Product Id], tbl_Product[Is Precon])</f>
        <v>0</v>
      </c>
    </row>
    <row r="685" spans="1:50">
      <c r="A685">
        <v>85</v>
      </c>
      <c r="B685">
        <v>57</v>
      </c>
      <c r="C685" t="s">
        <v>2216</v>
      </c>
      <c r="E685" s="23">
        <v>129</v>
      </c>
      <c r="F685" s="23" t="b">
        <v>0</v>
      </c>
      <c r="G685" s="24"/>
      <c r="H685" s="24"/>
      <c r="J685" s="6" t="str">
        <f>_xlfn.XLOOKUP(tbl_Sourcing[[#This Row],[Product Id]], tbl_Product[Product Id], tbl_Product[Name])</f>
        <v>MTG Avatar: The Last Airbender Play Booster Box</v>
      </c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685" s="6" t="b">
        <f>_xlfn.XLOOKUP(tbl_Sourcing[[#This Row],[Product Id]], tbl_Product[Product Id], tbl_Product[Is Set or Play Booster])</f>
        <v>1</v>
      </c>
      <c r="AX685" s="6" t="b">
        <f>_xlfn.XLOOKUP(tbl_Sourcing[[#This Row],[Product Id]], tbl_Product[Product Id], tbl_Product[Is Precon])</f>
        <v>0</v>
      </c>
    </row>
    <row r="686" spans="1:50">
      <c r="A686">
        <v>364</v>
      </c>
      <c r="B686">
        <v>167</v>
      </c>
      <c r="C686" t="s">
        <v>2216</v>
      </c>
      <c r="D686" s="8" t="s">
        <v>2218</v>
      </c>
      <c r="E686" s="23">
        <v>53.95</v>
      </c>
      <c r="F686" s="23" t="b">
        <v>1</v>
      </c>
      <c r="G686" s="24"/>
      <c r="H686" s="24"/>
      <c r="J686" s="6" t="str">
        <f>_xlfn.XLOOKUP(tbl_Sourcing[[#This Row],[Product Id]], tbl_Product[Product Id], tbl_Product[Name])</f>
        <v>MTG Bloomburrow Animated Army Precon</v>
      </c>
      <c r="K686" s="6"/>
      <c r="L686" s="6"/>
      <c r="M686" s="6"/>
      <c r="N686" s="6">
        <v>2</v>
      </c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</v>
      </c>
      <c r="AW686" s="6" t="b">
        <f>_xlfn.XLOOKUP(tbl_Sourcing[[#This Row],[Product Id]], tbl_Product[Product Id], tbl_Product[Is Set or Play Booster])</f>
        <v>0</v>
      </c>
      <c r="AX686" s="6" t="b">
        <f>_xlfn.XLOOKUP(tbl_Sourcing[[#This Row],[Product Id]], tbl_Product[Product Id], tbl_Product[Is Precon])</f>
        <v>1</v>
      </c>
    </row>
    <row r="687" spans="1:50">
      <c r="A687">
        <v>343</v>
      </c>
      <c r="B687">
        <v>169</v>
      </c>
      <c r="C687" t="s">
        <v>2216</v>
      </c>
      <c r="D687" s="8" t="s">
        <v>2219</v>
      </c>
      <c r="E687" s="23">
        <v>51.95</v>
      </c>
      <c r="F687" s="23" t="b">
        <v>1</v>
      </c>
      <c r="G687" s="24"/>
      <c r="H687" s="24"/>
      <c r="J687" s="6" t="str">
        <f>_xlfn.XLOOKUP(tbl_Sourcing[[#This Row],[Product Id]], tbl_Product[Product Id], tbl_Product[Name])</f>
        <v>MTG Bloomburrow Family Matters Precon</v>
      </c>
      <c r="K687" s="6"/>
      <c r="L687" s="6"/>
      <c r="M687" s="6"/>
      <c r="N687" s="6">
        <v>3</v>
      </c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</v>
      </c>
      <c r="AW687" s="6" t="b">
        <f>_xlfn.XLOOKUP(tbl_Sourcing[[#This Row],[Product Id]], tbl_Product[Product Id], tbl_Product[Is Set or Play Booster])</f>
        <v>0</v>
      </c>
      <c r="AX687" s="6" t="b">
        <f>_xlfn.XLOOKUP(tbl_Sourcing[[#This Row],[Product Id]], tbl_Product[Product Id], tbl_Product[Is Precon])</f>
        <v>1</v>
      </c>
    </row>
    <row r="688" spans="1:50">
      <c r="A688">
        <v>383</v>
      </c>
      <c r="B688">
        <v>168</v>
      </c>
      <c r="C688" t="s">
        <v>2216</v>
      </c>
      <c r="D688" s="8" t="s">
        <v>2220</v>
      </c>
      <c r="E688" s="23">
        <v>67.95</v>
      </c>
      <c r="F688" s="23" t="b">
        <v>1</v>
      </c>
      <c r="G688" s="24"/>
      <c r="H688" s="24"/>
      <c r="J688" s="6" t="str">
        <f>_xlfn.XLOOKUP(tbl_Sourcing[[#This Row],[Product Id]], tbl_Product[Product Id], tbl_Product[Name])</f>
        <v>MTG Bloomburrow Peace Offering Precon</v>
      </c>
      <c r="K688" s="6"/>
      <c r="L688" s="6"/>
      <c r="M688" s="6"/>
      <c r="N688" s="6">
        <v>4</v>
      </c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</v>
      </c>
      <c r="AW688" s="6" t="b">
        <f>_xlfn.XLOOKUP(tbl_Sourcing[[#This Row],[Product Id]], tbl_Product[Product Id], tbl_Product[Is Set or Play Booster])</f>
        <v>0</v>
      </c>
      <c r="AX688" s="6" t="b">
        <f>_xlfn.XLOOKUP(tbl_Sourcing[[#This Row],[Product Id]], tbl_Product[Product Id], tbl_Product[Is Precon])</f>
        <v>1</v>
      </c>
    </row>
    <row r="689" spans="1:50">
      <c r="A689">
        <v>385</v>
      </c>
      <c r="B689">
        <v>166</v>
      </c>
      <c r="C689" t="s">
        <v>2216</v>
      </c>
      <c r="D689" s="8" t="s">
        <v>2221</v>
      </c>
      <c r="E689" s="23">
        <v>66.95</v>
      </c>
      <c r="F689" s="23" t="b">
        <v>1</v>
      </c>
      <c r="G689" s="24"/>
      <c r="H689" s="24"/>
      <c r="J689" s="6" t="str">
        <f>_xlfn.XLOOKUP(tbl_Sourcing[[#This Row],[Product Id]], tbl_Product[Product Id], tbl_Product[Name])</f>
        <v>MTG Bloomburrow Squirreled Away Precon</v>
      </c>
      <c r="K689" s="6"/>
      <c r="L689" s="6"/>
      <c r="M689" s="6"/>
      <c r="N689" s="6">
        <v>5</v>
      </c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</v>
      </c>
      <c r="AW689" s="6" t="b">
        <f>_xlfn.XLOOKUP(tbl_Sourcing[[#This Row],[Product Id]], tbl_Product[Product Id], tbl_Product[Is Set or Play Booster])</f>
        <v>0</v>
      </c>
      <c r="AX689" s="6" t="b">
        <f>_xlfn.XLOOKUP(tbl_Sourcing[[#This Row],[Product Id]], tbl_Product[Product Id], tbl_Product[Is Precon])</f>
        <v>1</v>
      </c>
    </row>
    <row r="690" spans="1:50">
      <c r="A690">
        <v>374</v>
      </c>
      <c r="B690">
        <v>226</v>
      </c>
      <c r="C690" t="s">
        <v>2216</v>
      </c>
      <c r="D690" s="8" t="s">
        <v>2222</v>
      </c>
      <c r="E690" s="23">
        <v>184.95</v>
      </c>
      <c r="F690" s="23" t="b">
        <v>1</v>
      </c>
      <c r="G690" s="24"/>
      <c r="H690" s="24"/>
      <c r="J690" s="6" t="str">
        <f>_xlfn.XLOOKUP(tbl_Sourcing[[#This Row],[Product Id]], tbl_Product[Product Id], tbl_Product[Name])</f>
        <v>MTG Commander Legends: Battle for Baldur's Gate Draconic Dissent Precon</v>
      </c>
      <c r="K690" s="6"/>
      <c r="L690" s="6"/>
      <c r="M690" s="6"/>
      <c r="N690" s="6">
        <v>6</v>
      </c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29</v>
      </c>
      <c r="AW690" s="6" t="b">
        <f>_xlfn.XLOOKUP(tbl_Sourcing[[#This Row],[Product Id]], tbl_Product[Product Id], tbl_Product[Is Set or Play Booster])</f>
        <v>0</v>
      </c>
      <c r="AX690" s="6" t="b">
        <f>_xlfn.XLOOKUP(tbl_Sourcing[[#This Row],[Product Id]], tbl_Product[Product Id], tbl_Product[Is Precon])</f>
        <v>1</v>
      </c>
    </row>
    <row r="691" spans="1:50">
      <c r="A691">
        <v>375</v>
      </c>
      <c r="B691">
        <v>227</v>
      </c>
      <c r="C691" t="s">
        <v>2216</v>
      </c>
      <c r="D691" s="8" t="s">
        <v>2223</v>
      </c>
      <c r="E691" s="23">
        <v>179.95</v>
      </c>
      <c r="F691" s="23" t="b">
        <v>1</v>
      </c>
      <c r="G691" s="24"/>
      <c r="H691" s="24"/>
      <c r="J691" s="6" t="str">
        <f>_xlfn.XLOOKUP(tbl_Sourcing[[#This Row],[Product Id]], tbl_Product[Product Id], tbl_Product[Name])</f>
        <v>MTG Commander Legends: Battle for Baldur's Gate Exit from Exile Precon</v>
      </c>
      <c r="K691" s="6"/>
      <c r="L691" s="6"/>
      <c r="M691" s="6"/>
      <c r="N691" s="6">
        <v>7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34</v>
      </c>
      <c r="AW691" s="6" t="b">
        <f>_xlfn.XLOOKUP(tbl_Sourcing[[#This Row],[Product Id]], tbl_Product[Product Id], tbl_Product[Is Set or Play Booster])</f>
        <v>0</v>
      </c>
      <c r="AX691" s="6" t="b">
        <f>_xlfn.XLOOKUP(tbl_Sourcing[[#This Row],[Product Id]], tbl_Product[Product Id], tbl_Product[Is Precon])</f>
        <v>1</v>
      </c>
    </row>
    <row r="692" spans="1:50">
      <c r="A692">
        <v>356</v>
      </c>
      <c r="B692">
        <v>198</v>
      </c>
      <c r="C692" t="s">
        <v>2216</v>
      </c>
      <c r="D692" s="8" t="s">
        <v>2224</v>
      </c>
      <c r="E692" s="23">
        <v>93.95</v>
      </c>
      <c r="F692" s="23" t="b">
        <v>1</v>
      </c>
      <c r="G692" s="24"/>
      <c r="H692" s="24"/>
      <c r="J692" s="6" t="str">
        <f>_xlfn.XLOOKUP(tbl_Sourcing[[#This Row],[Product Id]], tbl_Product[Product Id], tbl_Product[Name])</f>
        <v>MTG Commander Masters Enduring Enchantments Precon</v>
      </c>
      <c r="K692" s="6"/>
      <c r="L692" s="6"/>
      <c r="M692" s="6"/>
      <c r="N692" s="6">
        <v>8</v>
      </c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39</v>
      </c>
      <c r="AW692" s="6" t="b">
        <f>_xlfn.XLOOKUP(tbl_Sourcing[[#This Row],[Product Id]], tbl_Product[Product Id], tbl_Product[Is Set or Play Booster])</f>
        <v>0</v>
      </c>
      <c r="AX692" s="6" t="b">
        <f>_xlfn.XLOOKUP(tbl_Sourcing[[#This Row],[Product Id]], tbl_Product[Product Id], tbl_Product[Is Precon])</f>
        <v>1</v>
      </c>
    </row>
    <row r="693" spans="1:50">
      <c r="A693">
        <v>355</v>
      </c>
      <c r="B693">
        <v>197</v>
      </c>
      <c r="C693" t="s">
        <v>2216</v>
      </c>
      <c r="D693" s="8" t="s">
        <v>2225</v>
      </c>
      <c r="E693" s="23">
        <v>83.95</v>
      </c>
      <c r="F693" s="23" t="b">
        <v>1</v>
      </c>
      <c r="G693" s="24"/>
      <c r="H693" s="24"/>
      <c r="J693" s="6" t="str">
        <f>_xlfn.XLOOKUP(tbl_Sourcing[[#This Row],[Product Id]], tbl_Product[Product Id], tbl_Product[Name])</f>
        <v>MTG Commander Masters Planeswalker Party Precon</v>
      </c>
      <c r="K693" s="6"/>
      <c r="L693" s="6"/>
      <c r="M693" s="6"/>
      <c r="N693" s="6">
        <v>9</v>
      </c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44</v>
      </c>
      <c r="AW693" s="6" t="b">
        <f>_xlfn.XLOOKUP(tbl_Sourcing[[#This Row],[Product Id]], tbl_Product[Product Id], tbl_Product[Is Set or Play Booster])</f>
        <v>0</v>
      </c>
      <c r="AX693" s="6" t="b">
        <f>_xlfn.XLOOKUP(tbl_Sourcing[[#This Row],[Product Id]], tbl_Product[Product Id], tbl_Product[Is Precon])</f>
        <v>1</v>
      </c>
    </row>
    <row r="694" spans="1:50">
      <c r="A694">
        <v>373</v>
      </c>
      <c r="B694">
        <v>196</v>
      </c>
      <c r="C694" t="s">
        <v>2216</v>
      </c>
      <c r="D694" s="8" t="s">
        <v>2226</v>
      </c>
      <c r="E694" s="23">
        <v>239.95</v>
      </c>
      <c r="F694" s="23" t="b">
        <v>1</v>
      </c>
      <c r="G694" s="24"/>
      <c r="H694" s="24"/>
      <c r="J694" s="6" t="str">
        <f>_xlfn.XLOOKUP(tbl_Sourcing[[#This Row],[Product Id]], tbl_Product[Product Id], tbl_Product[Name])</f>
        <v>MTG Commander Masters Sliver Swarm Precon</v>
      </c>
      <c r="K694" s="6"/>
      <c r="L694" s="6"/>
      <c r="M694" s="6"/>
      <c r="N694" s="6">
        <v>10</v>
      </c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49</v>
      </c>
      <c r="AW694" s="6" t="b">
        <f>_xlfn.XLOOKUP(tbl_Sourcing[[#This Row],[Product Id]], tbl_Product[Product Id], tbl_Product[Is Set or Play Booster])</f>
        <v>0</v>
      </c>
      <c r="AX694" s="6" t="b">
        <f>_xlfn.XLOOKUP(tbl_Sourcing[[#This Row],[Product Id]], tbl_Product[Product Id], tbl_Product[Is Precon])</f>
        <v>1</v>
      </c>
    </row>
    <row r="695" spans="1:50">
      <c r="A695">
        <v>352</v>
      </c>
      <c r="B695">
        <v>190</v>
      </c>
      <c r="C695" t="s">
        <v>2216</v>
      </c>
      <c r="D695" s="8" t="s">
        <v>2227</v>
      </c>
      <c r="E695" s="23">
        <v>43.95</v>
      </c>
      <c r="F695" s="23" t="b">
        <v>1</v>
      </c>
      <c r="G695" s="24"/>
      <c r="H695" s="24"/>
      <c r="J695" s="6" t="str">
        <f>_xlfn.XLOOKUP(tbl_Sourcing[[#This Row],[Product Id]], tbl_Product[Product Id], tbl_Product[Name])</f>
        <v>MTG Doctor Who Blast from the Past Precon</v>
      </c>
      <c r="K695" s="6"/>
      <c r="L695" s="6"/>
      <c r="M695" s="6"/>
      <c r="N695" s="6">
        <v>11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54</v>
      </c>
      <c r="AW695" s="6" t="b">
        <f>_xlfn.XLOOKUP(tbl_Sourcing[[#This Row],[Product Id]], tbl_Product[Product Id], tbl_Product[Is Set or Play Booster])</f>
        <v>0</v>
      </c>
      <c r="AX695" s="6" t="b">
        <f>_xlfn.XLOOKUP(tbl_Sourcing[[#This Row],[Product Id]], tbl_Product[Product Id], tbl_Product[Is Precon])</f>
        <v>1</v>
      </c>
    </row>
    <row r="696" spans="1:50">
      <c r="A696">
        <v>358</v>
      </c>
      <c r="B696">
        <v>193</v>
      </c>
      <c r="C696" t="s">
        <v>2216</v>
      </c>
      <c r="D696" s="8" t="s">
        <v>2228</v>
      </c>
      <c r="E696" s="23">
        <v>77.95</v>
      </c>
      <c r="F696" s="23" t="b">
        <v>1</v>
      </c>
      <c r="G696" s="24"/>
      <c r="H696" s="24"/>
      <c r="J696" s="6" t="str">
        <f>_xlfn.XLOOKUP(tbl_Sourcing[[#This Row],[Product Id]], tbl_Product[Product Id], tbl_Product[Name])</f>
        <v>MTG Doctor Who Masters of Evil Precon</v>
      </c>
      <c r="K696" s="6"/>
      <c r="L696" s="6"/>
      <c r="M696" s="6"/>
      <c r="N696" s="6">
        <v>12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59</v>
      </c>
      <c r="AW696" s="6" t="b">
        <f>_xlfn.XLOOKUP(tbl_Sourcing[[#This Row],[Product Id]], tbl_Product[Product Id], tbl_Product[Is Set or Play Booster])</f>
        <v>0</v>
      </c>
      <c r="AX696" s="6" t="b">
        <f>_xlfn.XLOOKUP(tbl_Sourcing[[#This Row],[Product Id]], tbl_Product[Product Id], tbl_Product[Is Precon])</f>
        <v>1</v>
      </c>
    </row>
    <row r="697" spans="1:50">
      <c r="A697">
        <v>354</v>
      </c>
      <c r="B697">
        <v>192</v>
      </c>
      <c r="C697" t="s">
        <v>2216</v>
      </c>
      <c r="D697" s="8" t="s">
        <v>2229</v>
      </c>
      <c r="E697" s="23">
        <v>37.950000000000003</v>
      </c>
      <c r="F697" s="23" t="b">
        <v>1</v>
      </c>
      <c r="G697" s="24"/>
      <c r="H697" s="24"/>
      <c r="J697" s="6" t="str">
        <f>_xlfn.XLOOKUP(tbl_Sourcing[[#This Row],[Product Id]], tbl_Product[Product Id], tbl_Product[Name])</f>
        <v>MTG Doctor Who Paradox Power Precon</v>
      </c>
      <c r="K697" s="6"/>
      <c r="L697" s="6"/>
      <c r="M697" s="6"/>
      <c r="N697" s="6">
        <v>13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64</v>
      </c>
      <c r="AW697" s="6" t="b">
        <f>_xlfn.XLOOKUP(tbl_Sourcing[[#This Row],[Product Id]], tbl_Product[Product Id], tbl_Product[Is Set or Play Booster])</f>
        <v>0</v>
      </c>
      <c r="AX697" s="6" t="b">
        <f>_xlfn.XLOOKUP(tbl_Sourcing[[#This Row],[Product Id]], tbl_Product[Product Id], tbl_Product[Is Precon])</f>
        <v>1</v>
      </c>
    </row>
    <row r="698" spans="1:50">
      <c r="A698">
        <v>381</v>
      </c>
      <c r="B698">
        <v>191</v>
      </c>
      <c r="C698" t="s">
        <v>2216</v>
      </c>
      <c r="D698" s="8" t="s">
        <v>2230</v>
      </c>
      <c r="E698" s="23">
        <v>109.95</v>
      </c>
      <c r="F698" s="23" t="b">
        <v>1</v>
      </c>
      <c r="G698" s="24"/>
      <c r="H698" s="24"/>
      <c r="J698" s="6" t="str">
        <f>_xlfn.XLOOKUP(tbl_Sourcing[[#This Row],[Product Id]], tbl_Product[Product Id], tbl_Product[Name])</f>
        <v>MTG Doctor Who Timey-Wimey Precon</v>
      </c>
      <c r="K698" s="6"/>
      <c r="L698" s="6"/>
      <c r="M698" s="6"/>
      <c r="N698" s="6">
        <v>14</v>
      </c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69</v>
      </c>
      <c r="AW698" s="6" t="b">
        <f>_xlfn.XLOOKUP(tbl_Sourcing[[#This Row],[Product Id]], tbl_Product[Product Id], tbl_Product[Is Set or Play Booster])</f>
        <v>0</v>
      </c>
      <c r="AX698" s="6" t="b">
        <f>_xlfn.XLOOKUP(tbl_Sourcing[[#This Row],[Product Id]], tbl_Product[Product Id], tbl_Product[Is Precon])</f>
        <v>1</v>
      </c>
    </row>
    <row r="699" spans="1:50">
      <c r="A699">
        <v>346</v>
      </c>
      <c r="B699">
        <v>150</v>
      </c>
      <c r="C699" t="s">
        <v>2216</v>
      </c>
      <c r="D699" s="8" t="s">
        <v>2231</v>
      </c>
      <c r="E699" s="23">
        <v>44.95</v>
      </c>
      <c r="F699" s="23" t="b">
        <v>1</v>
      </c>
      <c r="G699" s="24"/>
      <c r="H699" s="24"/>
      <c r="J699" s="6" t="str">
        <f>_xlfn.XLOOKUP(tbl_Sourcing[[#This Row],[Product Id]], tbl_Product[Product Id], tbl_Product[Name])</f>
        <v>MTG Edge of Eternities Counter Intelligence Precon</v>
      </c>
      <c r="K699" s="6"/>
      <c r="L699" s="6"/>
      <c r="M699" s="6"/>
      <c r="N699" s="6">
        <v>15</v>
      </c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74</v>
      </c>
      <c r="AW699" s="6" t="b">
        <f>_xlfn.XLOOKUP(tbl_Sourcing[[#This Row],[Product Id]], tbl_Product[Product Id], tbl_Product[Is Set or Play Booster])</f>
        <v>0</v>
      </c>
      <c r="AX699" s="6" t="b">
        <f>_xlfn.XLOOKUP(tbl_Sourcing[[#This Row],[Product Id]], tbl_Product[Product Id], tbl_Product[Is Precon])</f>
        <v>1</v>
      </c>
    </row>
    <row r="700" spans="1:50">
      <c r="A700">
        <v>345</v>
      </c>
      <c r="B700">
        <v>149</v>
      </c>
      <c r="C700" t="s">
        <v>2216</v>
      </c>
      <c r="D700" s="8" t="s">
        <v>2232</v>
      </c>
      <c r="E700" s="23">
        <v>49.95</v>
      </c>
      <c r="F700" s="23" t="b">
        <v>1</v>
      </c>
      <c r="G700" s="24"/>
      <c r="H700" s="24"/>
      <c r="J700" s="6" t="str">
        <f>_xlfn.XLOOKUP(tbl_Sourcing[[#This Row],[Product Id]], tbl_Product[Product Id], tbl_Product[Name])</f>
        <v>MTG Edge of Eternities World Shaper Precon</v>
      </c>
      <c r="K700" s="6"/>
      <c r="L700" s="6"/>
      <c r="M700" s="6"/>
      <c r="N700" s="6">
        <v>16</v>
      </c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79</v>
      </c>
      <c r="AW700" s="6" t="b">
        <f>_xlfn.XLOOKUP(tbl_Sourcing[[#This Row],[Product Id]], tbl_Product[Product Id], tbl_Product[Is Set or Play Booster])</f>
        <v>0</v>
      </c>
      <c r="AX700" s="6" t="b">
        <f>_xlfn.XLOOKUP(tbl_Sourcing[[#This Row],[Product Id]], tbl_Product[Product Id], tbl_Product[Is Precon])</f>
        <v>1</v>
      </c>
    </row>
    <row r="701" spans="1:50">
      <c r="A701">
        <v>380</v>
      </c>
      <c r="B701">
        <v>181</v>
      </c>
      <c r="C701" t="s">
        <v>2216</v>
      </c>
      <c r="D701" s="8" t="s">
        <v>2233</v>
      </c>
      <c r="E701" s="23">
        <v>144.94999999999999</v>
      </c>
      <c r="F701" s="23" t="b">
        <v>1</v>
      </c>
      <c r="G701" s="24"/>
      <c r="H701" s="24"/>
      <c r="J701" s="6" t="str">
        <f>_xlfn.XLOOKUP(tbl_Sourcing[[#This Row],[Product Id]], tbl_Product[Product Id], tbl_Product[Name])</f>
        <v>MTG Fallout Mutant Menace Precon</v>
      </c>
      <c r="K701" s="6"/>
      <c r="L701" s="6"/>
      <c r="M701" s="6"/>
      <c r="N701" s="6">
        <v>17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84</v>
      </c>
      <c r="AW701" s="6" t="b">
        <f>_xlfn.XLOOKUP(tbl_Sourcing[[#This Row],[Product Id]], tbl_Product[Product Id], tbl_Product[Is Set or Play Booster])</f>
        <v>0</v>
      </c>
      <c r="AX701" s="6" t="b">
        <f>_xlfn.XLOOKUP(tbl_Sourcing[[#This Row],[Product Id]], tbl_Product[Product Id], tbl_Product[Is Precon])</f>
        <v>1</v>
      </c>
    </row>
    <row r="702" spans="1:50">
      <c r="A702">
        <v>349</v>
      </c>
      <c r="B702">
        <v>179</v>
      </c>
      <c r="C702" t="s">
        <v>2216</v>
      </c>
      <c r="D702" s="8" t="s">
        <v>2234</v>
      </c>
      <c r="E702" s="23">
        <v>56.95</v>
      </c>
      <c r="F702" s="23" t="b">
        <v>1</v>
      </c>
      <c r="G702" s="24"/>
      <c r="H702" s="24"/>
      <c r="J702" s="6" t="str">
        <f>_xlfn.XLOOKUP(tbl_Sourcing[[#This Row],[Product Id]], tbl_Product[Product Id], tbl_Product[Name])</f>
        <v>MTG Fallout Science! Precon</v>
      </c>
      <c r="K702" s="6"/>
      <c r="L702" s="6"/>
      <c r="M702" s="6"/>
      <c r="N702" s="6">
        <v>18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89</v>
      </c>
      <c r="AW702" s="6" t="b">
        <f>_xlfn.XLOOKUP(tbl_Sourcing[[#This Row],[Product Id]], tbl_Product[Product Id], tbl_Product[Is Set or Play Booster])</f>
        <v>0</v>
      </c>
      <c r="AX702" s="6" t="b">
        <f>_xlfn.XLOOKUP(tbl_Sourcing[[#This Row],[Product Id]], tbl_Product[Product Id], tbl_Product[Is Precon])</f>
        <v>1</v>
      </c>
    </row>
    <row r="703" spans="1:50">
      <c r="A703">
        <v>359</v>
      </c>
      <c r="B703">
        <v>178</v>
      </c>
      <c r="C703" t="s">
        <v>2216</v>
      </c>
      <c r="D703" s="8" t="s">
        <v>2235</v>
      </c>
      <c r="E703" s="23">
        <v>71.95</v>
      </c>
      <c r="F703" s="23" t="b">
        <v>1</v>
      </c>
      <c r="G703" s="24"/>
      <c r="H703" s="24"/>
      <c r="J703" s="6" t="str">
        <f>_xlfn.XLOOKUP(tbl_Sourcing[[#This Row],[Product Id]], tbl_Product[Product Id], tbl_Product[Name])</f>
        <v>MTG Fallout Scrappy Survivors Precon</v>
      </c>
      <c r="K703" s="6"/>
      <c r="L703" s="6"/>
      <c r="M703" s="6"/>
      <c r="N703" s="6">
        <v>19</v>
      </c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94</v>
      </c>
      <c r="AW703" s="6" t="b">
        <f>_xlfn.XLOOKUP(tbl_Sourcing[[#This Row],[Product Id]], tbl_Product[Product Id], tbl_Product[Is Set or Play Booster])</f>
        <v>0</v>
      </c>
      <c r="AX703" s="6" t="b">
        <f>_xlfn.XLOOKUP(tbl_Sourcing[[#This Row],[Product Id]], tbl_Product[Product Id], tbl_Product[Is Precon])</f>
        <v>1</v>
      </c>
    </row>
    <row r="704" spans="1:50">
      <c r="A704">
        <v>368</v>
      </c>
      <c r="B704">
        <v>153</v>
      </c>
      <c r="C704" t="s">
        <v>2216</v>
      </c>
      <c r="D704" s="8" t="s">
        <v>2236</v>
      </c>
      <c r="E704" s="23">
        <v>65.95</v>
      </c>
      <c r="F704" s="23" t="b">
        <v>1</v>
      </c>
      <c r="G704" s="24"/>
      <c r="H704" s="24"/>
      <c r="J704" s="6" t="str">
        <f>_xlfn.XLOOKUP(tbl_Sourcing[[#This Row],[Product Id]], tbl_Product[Product Id], tbl_Product[Name])</f>
        <v>MTG Final Fantasy Counter Blitz Precon</v>
      </c>
      <c r="K704" s="6"/>
      <c r="L704" s="6"/>
      <c r="M704" s="6"/>
      <c r="N704" s="6">
        <v>20</v>
      </c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99</v>
      </c>
      <c r="AW704" s="6" t="b">
        <f>_xlfn.XLOOKUP(tbl_Sourcing[[#This Row],[Product Id]], tbl_Product[Product Id], tbl_Product[Is Set or Play Booster])</f>
        <v>0</v>
      </c>
      <c r="AX704" s="6" t="b">
        <f>_xlfn.XLOOKUP(tbl_Sourcing[[#This Row],[Product Id]], tbl_Product[Product Id], tbl_Product[Is Precon])</f>
        <v>1</v>
      </c>
    </row>
    <row r="705" spans="1:50">
      <c r="A705">
        <v>361</v>
      </c>
      <c r="B705">
        <v>152</v>
      </c>
      <c r="C705" t="s">
        <v>2216</v>
      </c>
      <c r="D705" s="8" t="s">
        <v>2237</v>
      </c>
      <c r="E705" s="23">
        <v>77.95</v>
      </c>
      <c r="F705" s="23" t="b">
        <v>1</v>
      </c>
      <c r="G705" s="24"/>
      <c r="H705" s="24"/>
      <c r="J705" s="6" t="str">
        <f>_xlfn.XLOOKUP(tbl_Sourcing[[#This Row],[Product Id]], tbl_Product[Product Id], tbl_Product[Name])</f>
        <v>MTG Final Fantasy Limit Break Precon</v>
      </c>
      <c r="K705" s="6"/>
      <c r="L705" s="6"/>
      <c r="M705" s="6"/>
      <c r="N705" s="6">
        <v>21</v>
      </c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104</v>
      </c>
      <c r="AW705" s="6" t="b">
        <f>_xlfn.XLOOKUP(tbl_Sourcing[[#This Row],[Product Id]], tbl_Product[Product Id], tbl_Product[Is Set or Play Booster])</f>
        <v>0</v>
      </c>
      <c r="AX705" s="6" t="b">
        <f>_xlfn.XLOOKUP(tbl_Sourcing[[#This Row],[Product Id]], tbl_Product[Product Id], tbl_Product[Is Precon])</f>
        <v>1</v>
      </c>
    </row>
    <row r="706" spans="1:50">
      <c r="A706">
        <v>348</v>
      </c>
      <c r="B706">
        <v>151</v>
      </c>
      <c r="C706" t="s">
        <v>2216</v>
      </c>
      <c r="D706" s="8" t="s">
        <v>2238</v>
      </c>
      <c r="E706" s="23">
        <v>48.95</v>
      </c>
      <c r="F706" s="23" t="b">
        <v>1</v>
      </c>
      <c r="G706" s="24"/>
      <c r="H706" s="24"/>
      <c r="J706" s="6" t="str">
        <f>_xlfn.XLOOKUP(tbl_Sourcing[[#This Row],[Product Id]], tbl_Product[Product Id], tbl_Product[Name])</f>
        <v>MTG Final Fantasy Revival Trance Precon</v>
      </c>
      <c r="K706" s="6"/>
      <c r="L706" s="6"/>
      <c r="M706" s="6"/>
      <c r="N706" s="6">
        <v>22</v>
      </c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109</v>
      </c>
      <c r="AW706" s="6" t="b">
        <f>_xlfn.XLOOKUP(tbl_Sourcing[[#This Row],[Product Id]], tbl_Product[Product Id], tbl_Product[Is Set or Play Booster])</f>
        <v>0</v>
      </c>
      <c r="AX706" s="6" t="b">
        <f>_xlfn.XLOOKUP(tbl_Sourcing[[#This Row],[Product Id]], tbl_Product[Product Id], tbl_Product[Is Precon])</f>
        <v>1</v>
      </c>
    </row>
    <row r="707" spans="1:50">
      <c r="A707">
        <v>369</v>
      </c>
      <c r="B707">
        <v>154</v>
      </c>
      <c r="C707" t="s">
        <v>2216</v>
      </c>
      <c r="D707" s="8" t="s">
        <v>2239</v>
      </c>
      <c r="E707" s="23">
        <v>67.95</v>
      </c>
      <c r="F707" s="23" t="b">
        <v>1</v>
      </c>
      <c r="G707" s="24"/>
      <c r="H707" s="24"/>
      <c r="J707" s="6" t="str">
        <f>_xlfn.XLOOKUP(tbl_Sourcing[[#This Row],[Product Id]], tbl_Product[Product Id], tbl_Product[Name])</f>
        <v>MTG Final Fantasy Scions &amp; Spellcraft Precon</v>
      </c>
      <c r="K707" s="6"/>
      <c r="L707" s="6"/>
      <c r="M707" s="6"/>
      <c r="N707" s="6">
        <v>23</v>
      </c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114</v>
      </c>
      <c r="AW707" s="6" t="b">
        <f>_xlfn.XLOOKUP(tbl_Sourcing[[#This Row],[Product Id]], tbl_Product[Product Id], tbl_Product[Is Set or Play Booster])</f>
        <v>0</v>
      </c>
      <c r="AX707" s="6" t="b">
        <f>_xlfn.XLOOKUP(tbl_Sourcing[[#This Row],[Product Id]], tbl_Product[Product Id], tbl_Product[Is Precon])</f>
        <v>1</v>
      </c>
    </row>
    <row r="708" spans="1:50">
      <c r="A708">
        <v>7</v>
      </c>
      <c r="B708">
        <v>48</v>
      </c>
      <c r="C708" t="s">
        <v>2216</v>
      </c>
      <c r="E708" s="23">
        <v>165</v>
      </c>
      <c r="F708" s="23" t="b">
        <v>0</v>
      </c>
      <c r="G708" s="24"/>
      <c r="H708" s="24"/>
      <c r="J708" s="6" t="str">
        <f>_xlfn.XLOOKUP(tbl_Sourcing[[#This Row],[Product Id]], tbl_Product[Product Id], tbl_Product[Name])</f>
        <v>MTG Innistrad Remastered INR Play Booster Box</v>
      </c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08" s="6" t="b">
        <f>_xlfn.XLOOKUP(tbl_Sourcing[[#This Row],[Product Id]], tbl_Product[Product Id], tbl_Product[Is Set or Play Booster])</f>
        <v>1</v>
      </c>
      <c r="AX708" s="6" t="b">
        <f>_xlfn.XLOOKUP(tbl_Sourcing[[#This Row],[Product Id]], tbl_Product[Product Id], tbl_Product[Is Precon])</f>
        <v>0</v>
      </c>
    </row>
    <row r="709" spans="1:50">
      <c r="A709">
        <v>357</v>
      </c>
      <c r="B709">
        <v>233</v>
      </c>
      <c r="C709" t="s">
        <v>2216</v>
      </c>
      <c r="D709" s="8" t="s">
        <v>2240</v>
      </c>
      <c r="E709" s="23">
        <v>79.95</v>
      </c>
      <c r="F709" s="23" t="b">
        <v>1</v>
      </c>
      <c r="G709" s="24"/>
      <c r="H709" s="24"/>
      <c r="J709" s="6" t="str">
        <f>_xlfn.XLOOKUP(tbl_Sourcing[[#This Row],[Product Id]], tbl_Product[Product Id], tbl_Product[Name])</f>
        <v>MTG Kamigawa: Neon Dynasty Buckle Up Precon</v>
      </c>
      <c r="K709" s="6"/>
      <c r="L709" s="6"/>
      <c r="M709" s="6"/>
      <c r="N709" s="6">
        <v>24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119</v>
      </c>
      <c r="AW709" s="6" t="b">
        <f>_xlfn.XLOOKUP(tbl_Sourcing[[#This Row],[Product Id]], tbl_Product[Product Id], tbl_Product[Is Set or Play Booster])</f>
        <v>0</v>
      </c>
      <c r="AX709" s="6" t="b">
        <f>_xlfn.XLOOKUP(tbl_Sourcing[[#This Row],[Product Id]], tbl_Product[Product Id], tbl_Product[Is Precon])</f>
        <v>1</v>
      </c>
    </row>
    <row r="710" spans="1:50">
      <c r="A710">
        <v>344</v>
      </c>
      <c r="B710">
        <v>234</v>
      </c>
      <c r="C710" t="s">
        <v>2216</v>
      </c>
      <c r="D710" s="8" t="s">
        <v>2241</v>
      </c>
      <c r="E710" s="23">
        <v>56.95</v>
      </c>
      <c r="F710" s="23" t="b">
        <v>1</v>
      </c>
      <c r="G710" s="24"/>
      <c r="H710" s="24"/>
      <c r="J710" s="6" t="str">
        <f>_xlfn.XLOOKUP(tbl_Sourcing[[#This Row],[Product Id]], tbl_Product[Product Id], tbl_Product[Name])</f>
        <v>MTG Kamigawa: Neon Dynasty Upgrades Unleashed Precon</v>
      </c>
      <c r="K710" s="6"/>
      <c r="L710" s="6"/>
      <c r="M710" s="6"/>
      <c r="N710" s="6">
        <v>25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124</v>
      </c>
      <c r="AW710" s="6" t="b">
        <f>_xlfn.XLOOKUP(tbl_Sourcing[[#This Row],[Product Id]], tbl_Product[Product Id], tbl_Product[Is Set or Play Booster])</f>
        <v>0</v>
      </c>
      <c r="AX710" s="6" t="b">
        <f>_xlfn.XLOOKUP(tbl_Sourcing[[#This Row],[Product Id]], tbl_Product[Product Id], tbl_Product[Is Precon])</f>
        <v>1</v>
      </c>
    </row>
    <row r="711" spans="1:50">
      <c r="A711">
        <v>370</v>
      </c>
      <c r="B711">
        <v>208</v>
      </c>
      <c r="C711" t="s">
        <v>2216</v>
      </c>
      <c r="D711" s="8" t="s">
        <v>2242</v>
      </c>
      <c r="E711" s="23">
        <v>64.95</v>
      </c>
      <c r="F711" s="23" t="b">
        <v>1</v>
      </c>
      <c r="G711" s="24"/>
      <c r="H711" s="24"/>
      <c r="J711" s="6" t="str">
        <f>_xlfn.XLOOKUP(tbl_Sourcing[[#This Row],[Product Id]], tbl_Product[Product Id], tbl_Product[Name])</f>
        <v>MTG March of the Machine Tinker Time Precon</v>
      </c>
      <c r="K711" s="6"/>
      <c r="L711" s="6"/>
      <c r="M711" s="6"/>
      <c r="N711" s="6">
        <v>26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129</v>
      </c>
      <c r="AW711" s="6" t="b">
        <f>_xlfn.XLOOKUP(tbl_Sourcing[[#This Row],[Product Id]], tbl_Product[Product Id], tbl_Product[Is Set or Play Booster])</f>
        <v>0</v>
      </c>
      <c r="AX711" s="6" t="b">
        <f>_xlfn.XLOOKUP(tbl_Sourcing[[#This Row],[Product Id]], tbl_Product[Product Id], tbl_Product[Is Precon])</f>
        <v>1</v>
      </c>
    </row>
    <row r="712" spans="1:50">
      <c r="A712">
        <v>46</v>
      </c>
      <c r="B712">
        <v>64</v>
      </c>
      <c r="C712" t="s">
        <v>2216</v>
      </c>
      <c r="E712" s="23">
        <v>100</v>
      </c>
      <c r="F712" s="23" t="b">
        <v>0</v>
      </c>
      <c r="G712" s="24"/>
      <c r="H712" s="24"/>
      <c r="J712" s="6" t="str">
        <f>_xlfn.XLOOKUP(tbl_Sourcing[[#This Row],[Product Id]], tbl_Product[Product Id], tbl_Product[Name])</f>
        <v>MTG Marvel's Spider-Man Play Booster Box</v>
      </c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12" s="6" t="b">
        <f>_xlfn.XLOOKUP(tbl_Sourcing[[#This Row],[Product Id]], tbl_Product[Product Id], tbl_Product[Is Set or Play Booster])</f>
        <v>1</v>
      </c>
      <c r="AX712" s="6" t="b">
        <f>_xlfn.XLOOKUP(tbl_Sourcing[[#This Row],[Product Id]], tbl_Product[Product Id], tbl_Product[Is Precon])</f>
        <v>0</v>
      </c>
    </row>
    <row r="713" spans="1:50">
      <c r="A713">
        <v>351</v>
      </c>
      <c r="B713">
        <v>173</v>
      </c>
      <c r="C713" t="s">
        <v>2216</v>
      </c>
      <c r="D713" s="8" t="s">
        <v>2243</v>
      </c>
      <c r="E713" s="23">
        <v>49.95</v>
      </c>
      <c r="F713" s="23" t="b">
        <v>1</v>
      </c>
      <c r="G713" s="24"/>
      <c r="H713" s="24"/>
      <c r="J713" s="6" t="str">
        <f>_xlfn.XLOOKUP(tbl_Sourcing[[#This Row],[Product Id]], tbl_Product[Product Id], tbl_Product[Name])</f>
        <v>MTG Modern Horizons 3 Creative Energy Precon</v>
      </c>
      <c r="K713" s="6"/>
      <c r="L713" s="6"/>
      <c r="M713" s="6"/>
      <c r="N713" s="6">
        <v>27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134</v>
      </c>
      <c r="AW713" s="6" t="b">
        <f>_xlfn.XLOOKUP(tbl_Sourcing[[#This Row],[Product Id]], tbl_Product[Product Id], tbl_Product[Is Set or Play Booster])</f>
        <v>0</v>
      </c>
      <c r="AX713" s="6" t="b">
        <f>_xlfn.XLOOKUP(tbl_Sourcing[[#This Row],[Product Id]], tbl_Product[Product Id], tbl_Product[Is Precon])</f>
        <v>1</v>
      </c>
    </row>
    <row r="714" spans="1:50">
      <c r="A714">
        <v>378</v>
      </c>
      <c r="B714">
        <v>170</v>
      </c>
      <c r="C714" t="s">
        <v>2216</v>
      </c>
      <c r="D714" s="8" t="s">
        <v>2244</v>
      </c>
      <c r="E714" s="23">
        <v>124.95</v>
      </c>
      <c r="F714" s="23" t="b">
        <v>1</v>
      </c>
      <c r="G714" s="24"/>
      <c r="H714" s="24"/>
      <c r="J714" s="6" t="str">
        <f>_xlfn.XLOOKUP(tbl_Sourcing[[#This Row],[Product Id]], tbl_Product[Product Id], tbl_Product[Name])</f>
        <v>MTG Modern Horizons 3 Eldrazi Incursion Precon</v>
      </c>
      <c r="K714" s="6"/>
      <c r="L714" s="6"/>
      <c r="M714" s="6"/>
      <c r="N714" s="6">
        <v>28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139</v>
      </c>
      <c r="AW714" s="6" t="b">
        <f>_xlfn.XLOOKUP(tbl_Sourcing[[#This Row],[Product Id]], tbl_Product[Product Id], tbl_Product[Is Set or Play Booster])</f>
        <v>0</v>
      </c>
      <c r="AX714" s="6" t="b">
        <f>_xlfn.XLOOKUP(tbl_Sourcing[[#This Row],[Product Id]], tbl_Product[Product Id], tbl_Product[Is Precon])</f>
        <v>1</v>
      </c>
    </row>
    <row r="715" spans="1:50">
      <c r="A715">
        <v>350</v>
      </c>
      <c r="B715">
        <v>171</v>
      </c>
      <c r="C715" t="s">
        <v>2216</v>
      </c>
      <c r="D715" s="8" t="s">
        <v>2245</v>
      </c>
      <c r="E715" s="23">
        <v>49.95</v>
      </c>
      <c r="F715" s="23" t="b">
        <v>1</v>
      </c>
      <c r="G715" s="24"/>
      <c r="H715" s="24"/>
      <c r="J715" s="6" t="str">
        <f>_xlfn.XLOOKUP(tbl_Sourcing[[#This Row],[Product Id]], tbl_Product[Product Id], tbl_Product[Name])</f>
        <v>MTG Modern Horizons 3 Graveyard Overdrive Precon</v>
      </c>
      <c r="K715" s="6"/>
      <c r="L715" s="6"/>
      <c r="M715" s="6"/>
      <c r="N715" s="6">
        <v>29</v>
      </c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144</v>
      </c>
      <c r="AW715" s="6" t="b">
        <f>_xlfn.XLOOKUP(tbl_Sourcing[[#This Row],[Product Id]], tbl_Product[Product Id], tbl_Product[Is Set or Play Booster])</f>
        <v>0</v>
      </c>
      <c r="AX715" s="6" t="b">
        <f>_xlfn.XLOOKUP(tbl_Sourcing[[#This Row],[Product Id]], tbl_Product[Product Id], tbl_Product[Is Precon])</f>
        <v>1</v>
      </c>
    </row>
    <row r="716" spans="1:50">
      <c r="A716">
        <v>366</v>
      </c>
      <c r="B716">
        <v>172</v>
      </c>
      <c r="C716" t="s">
        <v>2216</v>
      </c>
      <c r="D716" s="8" t="s">
        <v>2246</v>
      </c>
      <c r="E716" s="23">
        <v>69.95</v>
      </c>
      <c r="F716" s="23" t="b">
        <v>1</v>
      </c>
      <c r="G716" s="24"/>
      <c r="H716" s="24"/>
      <c r="J716" s="6" t="str">
        <f>_xlfn.XLOOKUP(tbl_Sourcing[[#This Row],[Product Id]], tbl_Product[Product Id], tbl_Product[Name])</f>
        <v>MTG Modern Horizons 3 Tricky Terrain Precon</v>
      </c>
      <c r="K716" s="6"/>
      <c r="L716" s="6"/>
      <c r="M716" s="6"/>
      <c r="N716" s="6">
        <v>30</v>
      </c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149</v>
      </c>
      <c r="AW716" s="6" t="b">
        <f>_xlfn.XLOOKUP(tbl_Sourcing[[#This Row],[Product Id]], tbl_Product[Product Id], tbl_Product[Is Set or Play Booster])</f>
        <v>0</v>
      </c>
      <c r="AX716" s="6" t="b">
        <f>_xlfn.XLOOKUP(tbl_Sourcing[[#This Row],[Product Id]], tbl_Product[Product Id], tbl_Product[Is Precon])</f>
        <v>1</v>
      </c>
    </row>
    <row r="717" spans="1:50">
      <c r="A717">
        <v>371</v>
      </c>
      <c r="B717">
        <v>184</v>
      </c>
      <c r="C717" t="s">
        <v>2216</v>
      </c>
      <c r="D717" s="8" t="s">
        <v>2247</v>
      </c>
      <c r="E717" s="23">
        <v>64.95</v>
      </c>
      <c r="F717" s="23" t="b">
        <v>1</v>
      </c>
      <c r="G717" s="24"/>
      <c r="H717" s="24"/>
      <c r="J717" s="6" t="str">
        <f>_xlfn.XLOOKUP(tbl_Sourcing[[#This Row],[Product Id]], tbl_Product[Product Id], tbl_Product[Name])</f>
        <v>MTG Murders at Karlov Manor Deadly Disguise Precon</v>
      </c>
      <c r="K717" s="6"/>
      <c r="L717" s="6"/>
      <c r="M717" s="6"/>
      <c r="N717" s="6">
        <v>31</v>
      </c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154</v>
      </c>
      <c r="AW717" s="6" t="b">
        <f>_xlfn.XLOOKUP(tbl_Sourcing[[#This Row],[Product Id]], tbl_Product[Product Id], tbl_Product[Is Set or Play Booster])</f>
        <v>0</v>
      </c>
      <c r="AX717" s="6" t="b">
        <f>_xlfn.XLOOKUP(tbl_Sourcing[[#This Row],[Product Id]], tbl_Product[Product Id], tbl_Product[Is Precon])</f>
        <v>1</v>
      </c>
    </row>
    <row r="718" spans="1:50">
      <c r="A718">
        <v>365</v>
      </c>
      <c r="B718">
        <v>175</v>
      </c>
      <c r="C718" t="s">
        <v>2216</v>
      </c>
      <c r="D718" s="8" t="s">
        <v>2248</v>
      </c>
      <c r="E718" s="23">
        <v>69.95</v>
      </c>
      <c r="F718" s="23" t="b">
        <v>1</v>
      </c>
      <c r="G718" s="24"/>
      <c r="H718" s="24"/>
      <c r="J718" s="6" t="str">
        <f>_xlfn.XLOOKUP(tbl_Sourcing[[#This Row],[Product Id]], tbl_Product[Product Id], tbl_Product[Name])</f>
        <v>MTG Outlaws of Thunder Junction Desert Bloom Precon</v>
      </c>
      <c r="K718" s="6"/>
      <c r="L718" s="6"/>
      <c r="M718" s="6"/>
      <c r="N718" s="6">
        <v>32</v>
      </c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159</v>
      </c>
      <c r="AW718" s="6" t="b">
        <f>_xlfn.XLOOKUP(tbl_Sourcing[[#This Row],[Product Id]], tbl_Product[Product Id], tbl_Product[Is Set or Play Booster])</f>
        <v>0</v>
      </c>
      <c r="AX718" s="6" t="b">
        <f>_xlfn.XLOOKUP(tbl_Sourcing[[#This Row],[Product Id]], tbl_Product[Product Id], tbl_Product[Is Precon])</f>
        <v>1</v>
      </c>
    </row>
    <row r="719" spans="1:50">
      <c r="A719">
        <v>377</v>
      </c>
      <c r="B719">
        <v>176</v>
      </c>
      <c r="C719" t="s">
        <v>2216</v>
      </c>
      <c r="D719" s="8" t="s">
        <v>2249</v>
      </c>
      <c r="E719" s="23">
        <v>134.94999999999999</v>
      </c>
      <c r="F719" s="23" t="b">
        <v>1</v>
      </c>
      <c r="G719" s="24"/>
      <c r="H719" s="24"/>
      <c r="J719" s="6" t="str">
        <f>_xlfn.XLOOKUP(tbl_Sourcing[[#This Row],[Product Id]], tbl_Product[Product Id], tbl_Product[Name])</f>
        <v>MTG Outlaws of Thunder Junction Grand Larceny Precon</v>
      </c>
      <c r="K719" s="6"/>
      <c r="L719" s="6"/>
      <c r="M719" s="6"/>
      <c r="N719" s="6">
        <v>33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164</v>
      </c>
      <c r="AW719" s="6" t="b">
        <f>_xlfn.XLOOKUP(tbl_Sourcing[[#This Row],[Product Id]], tbl_Product[Product Id], tbl_Product[Is Set or Play Booster])</f>
        <v>0</v>
      </c>
      <c r="AX719" s="6" t="b">
        <f>_xlfn.XLOOKUP(tbl_Sourcing[[#This Row],[Product Id]], tbl_Product[Product Id], tbl_Product[Is Precon])</f>
        <v>1</v>
      </c>
    </row>
    <row r="720" spans="1:50">
      <c r="A720">
        <v>384</v>
      </c>
      <c r="B720">
        <v>177</v>
      </c>
      <c r="C720" t="s">
        <v>2216</v>
      </c>
      <c r="D720" s="8" t="s">
        <v>2250</v>
      </c>
      <c r="E720" s="23">
        <v>99.95</v>
      </c>
      <c r="F720" s="23" t="b">
        <v>1</v>
      </c>
      <c r="G720" s="24"/>
      <c r="H720" s="24"/>
      <c r="J720" s="6" t="str">
        <f>_xlfn.XLOOKUP(tbl_Sourcing[[#This Row],[Product Id]], tbl_Product[Product Id], tbl_Product[Name])</f>
        <v>MTG Outlaws of Thunder Junction Most Wanted Precon</v>
      </c>
      <c r="K720" s="6"/>
      <c r="L720" s="6"/>
      <c r="M720" s="6"/>
      <c r="N720" s="6">
        <v>34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169</v>
      </c>
      <c r="AW720" s="6" t="b">
        <f>_xlfn.XLOOKUP(tbl_Sourcing[[#This Row],[Product Id]], tbl_Product[Product Id], tbl_Product[Is Set or Play Booster])</f>
        <v>0</v>
      </c>
      <c r="AX720" s="6" t="b">
        <f>_xlfn.XLOOKUP(tbl_Sourcing[[#This Row],[Product Id]], tbl_Product[Product Id], tbl_Product[Is Precon])</f>
        <v>1</v>
      </c>
    </row>
    <row r="721" spans="1:50">
      <c r="A721">
        <v>376</v>
      </c>
      <c r="B721">
        <v>209</v>
      </c>
      <c r="C721" t="s">
        <v>2216</v>
      </c>
      <c r="D721" s="8" t="s">
        <v>2251</v>
      </c>
      <c r="E721" s="23">
        <v>189.95</v>
      </c>
      <c r="F721" s="23" t="b">
        <v>1</v>
      </c>
      <c r="G721" s="24"/>
      <c r="H721" s="24"/>
      <c r="J721" s="6" t="str">
        <f>_xlfn.XLOOKUP(tbl_Sourcing[[#This Row],[Product Id]], tbl_Product[Product Id], tbl_Product[Name])</f>
        <v>MTG Phyrexia: All Will Be One Corrupting Influence Precon</v>
      </c>
      <c r="K721" s="6"/>
      <c r="L721" s="6"/>
      <c r="M721" s="6"/>
      <c r="N721" s="6">
        <v>35</v>
      </c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174</v>
      </c>
      <c r="AW721" s="6" t="b">
        <f>_xlfn.XLOOKUP(tbl_Sourcing[[#This Row],[Product Id]], tbl_Product[Product Id], tbl_Product[Is Set or Play Booster])</f>
        <v>0</v>
      </c>
      <c r="AX721" s="6" t="b">
        <f>_xlfn.XLOOKUP(tbl_Sourcing[[#This Row],[Product Id]], tbl_Product[Product Id], tbl_Product[Is Precon])</f>
        <v>1</v>
      </c>
    </row>
    <row r="722" spans="1:50">
      <c r="A722">
        <v>367</v>
      </c>
      <c r="B722">
        <v>232</v>
      </c>
      <c r="C722" t="s">
        <v>2216</v>
      </c>
      <c r="D722" s="8" t="s">
        <v>2252</v>
      </c>
      <c r="E722" s="23">
        <v>67.95</v>
      </c>
      <c r="F722" s="23" t="b">
        <v>1</v>
      </c>
      <c r="G722" s="24"/>
      <c r="H722" s="24"/>
      <c r="J722" s="6" t="str">
        <f>_xlfn.XLOOKUP(tbl_Sourcing[[#This Row],[Product Id]], tbl_Product[Product Id], tbl_Product[Name])</f>
        <v>MTG Streets of New Capenna Bedecked Brokers Precon</v>
      </c>
      <c r="K722" s="6"/>
      <c r="L722" s="6"/>
      <c r="M722" s="6"/>
      <c r="N722" s="6">
        <v>36</v>
      </c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179</v>
      </c>
      <c r="AW722" s="6" t="b">
        <f>_xlfn.XLOOKUP(tbl_Sourcing[[#This Row],[Product Id]], tbl_Product[Product Id], tbl_Product[Is Set or Play Booster])</f>
        <v>0</v>
      </c>
      <c r="AX722" s="6" t="b">
        <f>_xlfn.XLOOKUP(tbl_Sourcing[[#This Row],[Product Id]], tbl_Product[Product Id], tbl_Product[Is Precon])</f>
        <v>1</v>
      </c>
    </row>
    <row r="723" spans="1:50">
      <c r="A723">
        <v>362</v>
      </c>
      <c r="B723">
        <v>155</v>
      </c>
      <c r="C723" t="s">
        <v>2216</v>
      </c>
      <c r="D723" s="8" t="s">
        <v>2253</v>
      </c>
      <c r="E723" s="23">
        <v>71.95</v>
      </c>
      <c r="F723" s="23" t="b">
        <v>1</v>
      </c>
      <c r="G723" s="24"/>
      <c r="H723" s="24"/>
      <c r="J723" s="6" t="str">
        <f>_xlfn.XLOOKUP(tbl_Sourcing[[#This Row],[Product Id]], tbl_Product[Product Id], tbl_Product[Name])</f>
        <v>MTG Tarkir Dragonstorm Abzan Armor Precon</v>
      </c>
      <c r="K723" s="6"/>
      <c r="L723" s="6"/>
      <c r="M723" s="6"/>
      <c r="N723" s="6">
        <v>37</v>
      </c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184</v>
      </c>
      <c r="AW723" s="6" t="b">
        <f>_xlfn.XLOOKUP(tbl_Sourcing[[#This Row],[Product Id]], tbl_Product[Product Id], tbl_Product[Is Set or Play Booster])</f>
        <v>0</v>
      </c>
      <c r="AX723" s="6" t="b">
        <f>_xlfn.XLOOKUP(tbl_Sourcing[[#This Row],[Product Id]], tbl_Product[Product Id], tbl_Product[Is Precon])</f>
        <v>1</v>
      </c>
    </row>
    <row r="724" spans="1:50">
      <c r="A724">
        <v>347</v>
      </c>
      <c r="B724">
        <v>157</v>
      </c>
      <c r="C724" t="s">
        <v>2216</v>
      </c>
      <c r="D724" s="8" t="s">
        <v>2254</v>
      </c>
      <c r="E724" s="23">
        <v>49.95</v>
      </c>
      <c r="F724" s="23" t="b">
        <v>1</v>
      </c>
      <c r="G724" s="24"/>
      <c r="H724" s="24"/>
      <c r="J724" s="6" t="str">
        <f>_xlfn.XLOOKUP(tbl_Sourcing[[#This Row],[Product Id]], tbl_Product[Product Id], tbl_Product[Name])</f>
        <v>MTG Tarkir Dragonstorm Jeskai Striker Precon</v>
      </c>
      <c r="K724" s="6"/>
      <c r="L724" s="6"/>
      <c r="M724" s="6"/>
      <c r="N724" s="6">
        <v>38</v>
      </c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189</v>
      </c>
      <c r="AW724" s="6" t="b">
        <f>_xlfn.XLOOKUP(tbl_Sourcing[[#This Row],[Product Id]], tbl_Product[Product Id], tbl_Product[Is Set or Play Booster])</f>
        <v>0</v>
      </c>
      <c r="AX724" s="6" t="b">
        <f>_xlfn.XLOOKUP(tbl_Sourcing[[#This Row],[Product Id]], tbl_Product[Product Id], tbl_Product[Is Precon])</f>
        <v>1</v>
      </c>
    </row>
    <row r="725" spans="1:50">
      <c r="A725">
        <v>363</v>
      </c>
      <c r="B725">
        <v>159</v>
      </c>
      <c r="C725" t="s">
        <v>2216</v>
      </c>
      <c r="D725" s="8" t="s">
        <v>2255</v>
      </c>
      <c r="E725" s="23">
        <v>69.95</v>
      </c>
      <c r="F725" s="23" t="b">
        <v>1</v>
      </c>
      <c r="G725" s="24"/>
      <c r="H725" s="24"/>
      <c r="J725" s="6" t="str">
        <f>_xlfn.XLOOKUP(tbl_Sourcing[[#This Row],[Product Id]], tbl_Product[Product Id], tbl_Product[Name])</f>
        <v>MTG Tarkir Dragonstorm Sultai Arisen Precon</v>
      </c>
      <c r="K725" s="6"/>
      <c r="L725" s="6"/>
      <c r="M725" s="6"/>
      <c r="N725" s="6">
        <v>39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194</v>
      </c>
      <c r="AW725" s="6" t="b">
        <f>_xlfn.XLOOKUP(tbl_Sourcing[[#This Row],[Product Id]], tbl_Product[Product Id], tbl_Product[Is Set or Play Booster])</f>
        <v>0</v>
      </c>
      <c r="AX725" s="6" t="b">
        <f>_xlfn.XLOOKUP(tbl_Sourcing[[#This Row],[Product Id]], tbl_Product[Product Id], tbl_Product[Is Precon])</f>
        <v>1</v>
      </c>
    </row>
    <row r="726" spans="1:50">
      <c r="A726">
        <v>360</v>
      </c>
      <c r="B726">
        <v>158</v>
      </c>
      <c r="C726" t="s">
        <v>2216</v>
      </c>
      <c r="D726" s="8" t="s">
        <v>2256</v>
      </c>
      <c r="E726" s="23">
        <v>74.95</v>
      </c>
      <c r="F726" s="23" t="b">
        <v>1</v>
      </c>
      <c r="G726" s="24"/>
      <c r="H726" s="24"/>
      <c r="J726" s="6" t="str">
        <f>_xlfn.XLOOKUP(tbl_Sourcing[[#This Row],[Product Id]], tbl_Product[Product Id], tbl_Product[Name])</f>
        <v>MTG Tarkir Dragonstorm Temur Roar Precon</v>
      </c>
      <c r="K726" s="6"/>
      <c r="L726" s="6"/>
      <c r="M726" s="6"/>
      <c r="N726" s="6">
        <v>40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199</v>
      </c>
      <c r="AW726" s="6" t="b">
        <f>_xlfn.XLOOKUP(tbl_Sourcing[[#This Row],[Product Id]], tbl_Product[Product Id], tbl_Product[Is Set or Play Booster])</f>
        <v>0</v>
      </c>
      <c r="AX726" s="6" t="b">
        <f>_xlfn.XLOOKUP(tbl_Sourcing[[#This Row],[Product Id]], tbl_Product[Product Id], tbl_Product[Is Precon])</f>
        <v>1</v>
      </c>
    </row>
    <row r="727" spans="1:50">
      <c r="A727">
        <v>372</v>
      </c>
      <c r="B727">
        <v>217</v>
      </c>
      <c r="C727" t="s">
        <v>2216</v>
      </c>
      <c r="D727" s="8" t="s">
        <v>2257</v>
      </c>
      <c r="E727" s="23">
        <v>63.95</v>
      </c>
      <c r="F727" s="23" t="b">
        <v>1</v>
      </c>
      <c r="G727" s="24"/>
      <c r="H727" s="24"/>
      <c r="J727" s="6" t="str">
        <f>_xlfn.XLOOKUP(tbl_Sourcing[[#This Row],[Product Id]], tbl_Product[Product Id], tbl_Product[Name])</f>
        <v>MTG The Brothers' War Mishra's Burnished Banner Precon</v>
      </c>
      <c r="K727" s="6"/>
      <c r="L727" s="6"/>
      <c r="M727" s="6"/>
      <c r="N727" s="6">
        <v>41</v>
      </c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204</v>
      </c>
      <c r="AW727" s="6" t="b">
        <f>_xlfn.XLOOKUP(tbl_Sourcing[[#This Row],[Product Id]], tbl_Product[Product Id], tbl_Product[Is Set or Play Booster])</f>
        <v>0</v>
      </c>
      <c r="AX727" s="6" t="b">
        <f>_xlfn.XLOOKUP(tbl_Sourcing[[#This Row],[Product Id]], tbl_Product[Product Id], tbl_Product[Is Precon])</f>
        <v>1</v>
      </c>
    </row>
    <row r="728" spans="1:50">
      <c r="A728">
        <v>382</v>
      </c>
      <c r="B728">
        <v>187</v>
      </c>
      <c r="C728" t="s">
        <v>2216</v>
      </c>
      <c r="D728" s="8" t="s">
        <v>2258</v>
      </c>
      <c r="E728" s="23">
        <v>109.95</v>
      </c>
      <c r="F728" s="23" t="b">
        <v>1</v>
      </c>
      <c r="G728" s="24"/>
      <c r="H728" s="24"/>
      <c r="J728" s="6" t="str">
        <f>_xlfn.XLOOKUP(tbl_Sourcing[[#This Row],[Product Id]], tbl_Product[Product Id], tbl_Product[Name])</f>
        <v>MTG The Lost Caverns of Ixalan Blood Rites Precon</v>
      </c>
      <c r="K728" s="6"/>
      <c r="L728" s="6"/>
      <c r="M728" s="6"/>
      <c r="N728" s="6">
        <v>42</v>
      </c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209</v>
      </c>
      <c r="AW728" s="6" t="b">
        <f>_xlfn.XLOOKUP(tbl_Sourcing[[#This Row],[Product Id]], tbl_Product[Product Id], tbl_Product[Is Set or Play Booster])</f>
        <v>0</v>
      </c>
      <c r="AX728" s="6" t="b">
        <f>_xlfn.XLOOKUP(tbl_Sourcing[[#This Row],[Product Id]], tbl_Product[Product Id], tbl_Product[Is Precon])</f>
        <v>1</v>
      </c>
    </row>
    <row r="729" spans="1:50">
      <c r="A729">
        <v>386</v>
      </c>
      <c r="B729">
        <v>189</v>
      </c>
      <c r="C729" t="s">
        <v>2216</v>
      </c>
      <c r="D729" s="8" t="s">
        <v>2259</v>
      </c>
      <c r="E729" s="23">
        <v>89.95</v>
      </c>
      <c r="F729" s="23" t="b">
        <v>1</v>
      </c>
      <c r="G729" s="24"/>
      <c r="H729" s="24"/>
      <c r="J729" s="6" t="str">
        <f>_xlfn.XLOOKUP(tbl_Sourcing[[#This Row],[Product Id]], tbl_Product[Product Id], tbl_Product[Name])</f>
        <v>MTG The Lost Caverns of Ixalan Explorers of the Deep Precon</v>
      </c>
      <c r="K729" s="6"/>
      <c r="L729" s="6"/>
      <c r="M729" s="6"/>
      <c r="N729" s="6">
        <v>43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214</v>
      </c>
      <c r="AW729" s="6" t="b">
        <f>_xlfn.XLOOKUP(tbl_Sourcing[[#This Row],[Product Id]], tbl_Product[Product Id], tbl_Product[Is Set or Play Booster])</f>
        <v>0</v>
      </c>
      <c r="AX729" s="6" t="b">
        <f>_xlfn.XLOOKUP(tbl_Sourcing[[#This Row],[Product Id]], tbl_Product[Product Id], tbl_Product[Is Precon])</f>
        <v>1</v>
      </c>
    </row>
    <row r="730" spans="1:50">
      <c r="A730">
        <v>379</v>
      </c>
      <c r="B730">
        <v>186</v>
      </c>
      <c r="C730" t="s">
        <v>2216</v>
      </c>
      <c r="D730" s="8" t="s">
        <v>2260</v>
      </c>
      <c r="E730" s="23">
        <v>124.95</v>
      </c>
      <c r="F730" s="23" t="b">
        <v>1</v>
      </c>
      <c r="G730" s="24"/>
      <c r="H730" s="24"/>
      <c r="J730" s="6" t="str">
        <f>_xlfn.XLOOKUP(tbl_Sourcing[[#This Row],[Product Id]], tbl_Product[Product Id], tbl_Product[Name])</f>
        <v>MTG The Lost Caverns of Ixalan Veloci-Ramp-Tor Precon</v>
      </c>
      <c r="K730" s="6"/>
      <c r="L730" s="6"/>
      <c r="M730" s="6"/>
      <c r="N730" s="6">
        <v>44</v>
      </c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219</v>
      </c>
      <c r="AW730" s="6" t="b">
        <f>_xlfn.XLOOKUP(tbl_Sourcing[[#This Row],[Product Id]], tbl_Product[Product Id], tbl_Product[Is Set or Play Booster])</f>
        <v>0</v>
      </c>
      <c r="AX730" s="6" t="b">
        <f>_xlfn.XLOOKUP(tbl_Sourcing[[#This Row],[Product Id]], tbl_Product[Product Id], tbl_Product[Is Precon])</f>
        <v>1</v>
      </c>
    </row>
    <row r="731" spans="1:50">
      <c r="A731">
        <v>38</v>
      </c>
      <c r="B731">
        <v>61</v>
      </c>
      <c r="C731" t="s">
        <v>2261</v>
      </c>
      <c r="E731" s="23">
        <v>135.19999999999999</v>
      </c>
      <c r="F731" s="23" t="b">
        <v>0</v>
      </c>
      <c r="G731" s="24"/>
      <c r="H731" s="24"/>
      <c r="J731" s="6" t="str">
        <f>_xlfn.XLOOKUP(tbl_Sourcing[[#This Row],[Product Id]], tbl_Product[Product Id], tbl_Product[Name])</f>
        <v>MTG Foundations Play Booster Box</v>
      </c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31" s="6" t="b">
        <f>_xlfn.XLOOKUP(tbl_Sourcing[[#This Row],[Product Id]], tbl_Product[Product Id], tbl_Product[Is Set or Play Booster])</f>
        <v>1</v>
      </c>
      <c r="AX731" s="6" t="b">
        <f>_xlfn.XLOOKUP(tbl_Sourcing[[#This Row],[Product Id]], tbl_Product[Product Id], tbl_Product[Is Precon])</f>
        <v>0</v>
      </c>
    </row>
    <row r="732" spans="1:50">
      <c r="A732">
        <v>11</v>
      </c>
      <c r="B732">
        <v>49</v>
      </c>
      <c r="C732" t="s">
        <v>2261</v>
      </c>
      <c r="E732" s="23">
        <v>97</v>
      </c>
      <c r="F732" s="23" t="b">
        <v>0</v>
      </c>
      <c r="G732" s="24"/>
      <c r="H732" s="24"/>
      <c r="J732" s="6" t="str">
        <f>_xlfn.XLOOKUP(tbl_Sourcing[[#This Row],[Product Id]], tbl_Product[Product Id], tbl_Product[Name])</f>
        <v>MTG Lorwyn Eclipsed Play Booster Box</v>
      </c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32" s="6" t="b">
        <f>_xlfn.XLOOKUP(tbl_Sourcing[[#This Row],[Product Id]], tbl_Product[Product Id], tbl_Product[Is Set or Play Booster])</f>
        <v>1</v>
      </c>
      <c r="AX732" s="6" t="b">
        <f>_xlfn.XLOOKUP(tbl_Sourcing[[#This Row],[Product Id]], tbl_Product[Product Id], tbl_Product[Is Precon])</f>
        <v>0</v>
      </c>
    </row>
    <row r="733" spans="1:50">
      <c r="A733">
        <v>419</v>
      </c>
      <c r="B733">
        <v>84</v>
      </c>
      <c r="C733" t="s">
        <v>2262</v>
      </c>
      <c r="D733" s="8" t="s">
        <v>2263</v>
      </c>
      <c r="E733" s="23"/>
      <c r="F733" s="23" t="b">
        <v>0</v>
      </c>
      <c r="G733" s="24"/>
      <c r="H733" s="24"/>
      <c r="J733" s="6" t="str">
        <f>_xlfn.XLOOKUP(tbl_Sourcing[[#This Row],[Product Id]], tbl_Product[Product Id], tbl_Product[Name])</f>
        <v>MTG Aetherdrift Collector Booster Box</v>
      </c>
      <c r="K733" s="6"/>
      <c r="L733" s="6"/>
      <c r="M733" s="6"/>
      <c r="N733" s="6"/>
      <c r="O733" s="6">
        <v>1</v>
      </c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</v>
      </c>
      <c r="AW733" s="6" t="b">
        <f>_xlfn.XLOOKUP(tbl_Sourcing[[#This Row],[Product Id]], tbl_Product[Product Id], tbl_Product[Is Set or Play Booster])</f>
        <v>0</v>
      </c>
      <c r="AX733" s="6" t="b">
        <f>_xlfn.XLOOKUP(tbl_Sourcing[[#This Row],[Product Id]], tbl_Product[Product Id], tbl_Product[Is Precon])</f>
        <v>0</v>
      </c>
    </row>
    <row r="734" spans="1:50">
      <c r="A734">
        <v>420</v>
      </c>
      <c r="B734">
        <v>70</v>
      </c>
      <c r="C734" t="s">
        <v>2262</v>
      </c>
      <c r="D734" s="8" t="s">
        <v>2264</v>
      </c>
      <c r="E734" s="23"/>
      <c r="F734" s="23" t="b">
        <v>0</v>
      </c>
      <c r="G734" s="24"/>
      <c r="H734" s="24"/>
      <c r="J734" s="6" t="str">
        <f>_xlfn.XLOOKUP(tbl_Sourcing[[#This Row],[Product Id]], tbl_Product[Product Id], tbl_Product[Name])</f>
        <v>MTG Aetherdrift Play Booster Box</v>
      </c>
      <c r="K734" s="6"/>
      <c r="L734" s="6"/>
      <c r="M734" s="6"/>
      <c r="N734" s="6"/>
      <c r="O734" s="6">
        <v>2</v>
      </c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</v>
      </c>
      <c r="AW734" s="6" t="b">
        <f>_xlfn.XLOOKUP(tbl_Sourcing[[#This Row],[Product Id]], tbl_Product[Product Id], tbl_Product[Is Set or Play Booster])</f>
        <v>1</v>
      </c>
      <c r="AX734" s="6" t="b">
        <f>_xlfn.XLOOKUP(tbl_Sourcing[[#This Row],[Product Id]], tbl_Product[Product Id], tbl_Product[Is Precon])</f>
        <v>0</v>
      </c>
    </row>
    <row r="735" spans="1:50">
      <c r="A735">
        <v>421</v>
      </c>
      <c r="B735">
        <v>63</v>
      </c>
      <c r="C735" t="s">
        <v>2262</v>
      </c>
      <c r="D735" s="8" t="s">
        <v>2265</v>
      </c>
      <c r="E735" s="23"/>
      <c r="F735" s="23" t="b">
        <v>0</v>
      </c>
      <c r="G735" s="24"/>
      <c r="H735" s="24"/>
      <c r="J735" s="6" t="str">
        <f>_xlfn.XLOOKUP(tbl_Sourcing[[#This Row],[Product Id]], tbl_Product[Product Id], tbl_Product[Name])</f>
        <v>MTG Assassin's Creed Beyond Booster Box</v>
      </c>
      <c r="K735" s="6"/>
      <c r="L735" s="6"/>
      <c r="M735" s="6"/>
      <c r="N735" s="6"/>
      <c r="O735" s="6">
        <v>3</v>
      </c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</v>
      </c>
      <c r="AW735" s="6" t="b">
        <f>_xlfn.XLOOKUP(tbl_Sourcing[[#This Row],[Product Id]], tbl_Product[Product Id], tbl_Product[Is Set or Play Booster])</f>
        <v>1</v>
      </c>
      <c r="AX735" s="6" t="b">
        <f>_xlfn.XLOOKUP(tbl_Sourcing[[#This Row],[Product Id]], tbl_Product[Product Id], tbl_Product[Is Precon])</f>
        <v>0</v>
      </c>
    </row>
    <row r="736" spans="1:50">
      <c r="A736">
        <v>422</v>
      </c>
      <c r="B736">
        <v>86</v>
      </c>
      <c r="C736" t="s">
        <v>2262</v>
      </c>
      <c r="D736" s="8" t="s">
        <v>2266</v>
      </c>
      <c r="E736" s="24"/>
      <c r="F736" s="23" t="b">
        <v>0</v>
      </c>
      <c r="G736" s="24"/>
      <c r="H736" s="24"/>
      <c r="J736" s="6" t="str">
        <f>_xlfn.XLOOKUP(tbl_Sourcing[[#This Row],[Product Id]], tbl_Product[Product Id], tbl_Product[Name])</f>
        <v>MTG Assassin's Creed Beyond Collector Booster Box</v>
      </c>
      <c r="K736" s="6"/>
      <c r="L736" s="6"/>
      <c r="M736" s="6"/>
      <c r="N736" s="6"/>
      <c r="O736" s="6">
        <v>4</v>
      </c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</v>
      </c>
      <c r="AW736" s="6" t="b">
        <f>_xlfn.XLOOKUP(tbl_Sourcing[[#This Row],[Product Id]], tbl_Product[Product Id], tbl_Product[Is Set or Play Booster])</f>
        <v>0</v>
      </c>
      <c r="AX736" s="6" t="b">
        <f>_xlfn.XLOOKUP(tbl_Sourcing[[#This Row],[Product Id]], tbl_Product[Product Id], tbl_Product[Is Precon])</f>
        <v>0</v>
      </c>
    </row>
    <row r="737" spans="1:50">
      <c r="A737">
        <v>418</v>
      </c>
      <c r="B737">
        <v>88</v>
      </c>
      <c r="C737" t="s">
        <v>2262</v>
      </c>
      <c r="D737" s="8" t="s">
        <v>2267</v>
      </c>
      <c r="E737" s="23"/>
      <c r="F737" s="23" t="b">
        <v>0</v>
      </c>
      <c r="G737" s="24"/>
      <c r="H737" s="24"/>
      <c r="J737" s="6" t="str">
        <f>_xlfn.XLOOKUP(tbl_Sourcing[[#This Row],[Product Id]], tbl_Product[Product Id], tbl_Product[Name])</f>
        <v>MTG Avatar: The Last Airbender Collector Booster Box</v>
      </c>
      <c r="K737" s="6"/>
      <c r="L737" s="6"/>
      <c r="M737" s="6"/>
      <c r="N737" s="6"/>
      <c r="O737" s="6">
        <v>5</v>
      </c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</v>
      </c>
      <c r="AW737" s="6" t="b">
        <f>_xlfn.XLOOKUP(tbl_Sourcing[[#This Row],[Product Id]], tbl_Product[Product Id], tbl_Product[Is Set or Play Booster])</f>
        <v>0</v>
      </c>
      <c r="AX737" s="6" t="b">
        <f>_xlfn.XLOOKUP(tbl_Sourcing[[#This Row],[Product Id]], tbl_Product[Product Id], tbl_Product[Is Precon])</f>
        <v>0</v>
      </c>
    </row>
    <row r="738" spans="1:50">
      <c r="A738">
        <v>417</v>
      </c>
      <c r="B738">
        <v>57</v>
      </c>
      <c r="C738" t="s">
        <v>2262</v>
      </c>
      <c r="D738" s="8" t="s">
        <v>2268</v>
      </c>
      <c r="E738" s="23"/>
      <c r="F738" s="23" t="b">
        <v>0</v>
      </c>
      <c r="G738" s="24"/>
      <c r="H738" s="24"/>
      <c r="J738" s="6" t="str">
        <f>_xlfn.XLOOKUP(tbl_Sourcing[[#This Row],[Product Id]], tbl_Product[Product Id], tbl_Product[Name])</f>
        <v>MTG Avatar: The Last Airbender Play Booster Box</v>
      </c>
      <c r="K738" s="6"/>
      <c r="L738" s="6"/>
      <c r="M738" s="6"/>
      <c r="N738" s="6"/>
      <c r="O738" s="6">
        <v>6</v>
      </c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30</v>
      </c>
      <c r="AW738" s="6" t="b">
        <f>_xlfn.XLOOKUP(tbl_Sourcing[[#This Row],[Product Id]], tbl_Product[Product Id], tbl_Product[Is Set or Play Booster])</f>
        <v>1</v>
      </c>
      <c r="AX738" s="6" t="b">
        <f>_xlfn.XLOOKUP(tbl_Sourcing[[#This Row],[Product Id]], tbl_Product[Product Id], tbl_Product[Is Precon])</f>
        <v>0</v>
      </c>
    </row>
    <row r="739" spans="1:50">
      <c r="A739">
        <v>423</v>
      </c>
      <c r="B739">
        <v>79</v>
      </c>
      <c r="C739" t="s">
        <v>2262</v>
      </c>
      <c r="D739" s="8" t="s">
        <v>2269</v>
      </c>
      <c r="E739" s="24"/>
      <c r="F739" s="23" t="b">
        <v>0</v>
      </c>
      <c r="G739" s="24"/>
      <c r="H739" s="24"/>
      <c r="J739" s="6" t="str">
        <f>_xlfn.XLOOKUP(tbl_Sourcing[[#This Row],[Product Id]], tbl_Product[Product Id], tbl_Product[Name])</f>
        <v>MTG Bloomburrow Play Booster Box</v>
      </c>
      <c r="K739" s="6"/>
      <c r="L739" s="6"/>
      <c r="M739" s="6"/>
      <c r="N739" s="6"/>
      <c r="O739" s="6">
        <v>7</v>
      </c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35</v>
      </c>
      <c r="AW739" s="6" t="b">
        <f>_xlfn.XLOOKUP(tbl_Sourcing[[#This Row],[Product Id]], tbl_Product[Product Id], tbl_Product[Is Set or Play Booster])</f>
        <v>1</v>
      </c>
      <c r="AX739" s="6" t="b">
        <f>_xlfn.XLOOKUP(tbl_Sourcing[[#This Row],[Product Id]], tbl_Product[Product Id], tbl_Product[Is Precon])</f>
        <v>0</v>
      </c>
    </row>
    <row r="740" spans="1:50">
      <c r="A740">
        <v>447</v>
      </c>
      <c r="B740">
        <v>52</v>
      </c>
      <c r="C740" t="s">
        <v>2262</v>
      </c>
      <c r="D740" s="8" t="s">
        <v>2270</v>
      </c>
      <c r="E740" s="23"/>
      <c r="F740" s="23" t="b">
        <v>0</v>
      </c>
      <c r="G740" s="24"/>
      <c r="H740" s="24"/>
      <c r="J740" s="6" t="str">
        <f>_xlfn.XLOOKUP(tbl_Sourcing[[#This Row],[Product Id]], tbl_Product[Product Id], tbl_Product[Name])</f>
        <v>MTG Commander Masters Set Booster Box</v>
      </c>
      <c r="K740" s="6"/>
      <c r="L740" s="6"/>
      <c r="M740" s="6"/>
      <c r="N740" s="6"/>
      <c r="O740" s="6">
        <v>8</v>
      </c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40</v>
      </c>
      <c r="AW740" s="6" t="b">
        <f>_xlfn.XLOOKUP(tbl_Sourcing[[#This Row],[Product Id]], tbl_Product[Product Id], tbl_Product[Is Set or Play Booster])</f>
        <v>1</v>
      </c>
      <c r="AX740" s="6" t="b">
        <f>_xlfn.XLOOKUP(tbl_Sourcing[[#This Row],[Product Id]], tbl_Product[Product Id], tbl_Product[Is Precon])</f>
        <v>0</v>
      </c>
    </row>
    <row r="741" spans="1:50">
      <c r="A741">
        <v>463</v>
      </c>
      <c r="B741">
        <v>190</v>
      </c>
      <c r="C741" t="s">
        <v>2262</v>
      </c>
      <c r="D741" s="8" t="s">
        <v>2271</v>
      </c>
      <c r="E741" s="24"/>
      <c r="F741" s="23" t="b">
        <v>0</v>
      </c>
      <c r="G741" s="24"/>
      <c r="H741" s="24"/>
      <c r="J741" s="6" t="str">
        <f>_xlfn.XLOOKUP(tbl_Sourcing[[#This Row],[Product Id]], tbl_Product[Product Id], tbl_Product[Name])</f>
        <v>MTG Doctor Who Blast from the Past Precon</v>
      </c>
      <c r="K741" s="6"/>
      <c r="L741" s="6"/>
      <c r="M741" s="6"/>
      <c r="N741" s="6"/>
      <c r="O741" s="6">
        <v>32</v>
      </c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160</v>
      </c>
      <c r="AW741" s="6" t="b">
        <f>_xlfn.XLOOKUP(tbl_Sourcing[[#This Row],[Product Id]], tbl_Product[Product Id], tbl_Product[Is Set or Play Booster])</f>
        <v>0</v>
      </c>
      <c r="AX741" s="6" t="b">
        <f>_xlfn.XLOOKUP(tbl_Sourcing[[#This Row],[Product Id]], tbl_Product[Product Id], tbl_Product[Is Precon])</f>
        <v>1</v>
      </c>
    </row>
    <row r="742" spans="1:50">
      <c r="A742">
        <v>465</v>
      </c>
      <c r="B742">
        <v>193</v>
      </c>
      <c r="C742" t="s">
        <v>2262</v>
      </c>
      <c r="D742" s="8" t="s">
        <v>2272</v>
      </c>
      <c r="E742" s="24"/>
      <c r="F742" s="23" t="b">
        <v>0</v>
      </c>
      <c r="G742" s="24"/>
      <c r="H742" s="24"/>
      <c r="J742" s="6" t="str">
        <f>_xlfn.XLOOKUP(tbl_Sourcing[[#This Row],[Product Id]], tbl_Product[Product Id], tbl_Product[Name])</f>
        <v>MTG Doctor Who Masters of Evil Precon</v>
      </c>
      <c r="K742" s="6"/>
      <c r="L742" s="6"/>
      <c r="M742" s="6"/>
      <c r="N742" s="6"/>
      <c r="O742" s="6">
        <v>33</v>
      </c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165</v>
      </c>
      <c r="AW742" s="6" t="b">
        <f>_xlfn.XLOOKUP(tbl_Sourcing[[#This Row],[Product Id]], tbl_Product[Product Id], tbl_Product[Is Set or Play Booster])</f>
        <v>0</v>
      </c>
      <c r="AX742" s="6" t="b">
        <f>_xlfn.XLOOKUP(tbl_Sourcing[[#This Row],[Product Id]], tbl_Product[Product Id], tbl_Product[Is Precon])</f>
        <v>1</v>
      </c>
    </row>
    <row r="743" spans="1:50">
      <c r="A743">
        <v>464</v>
      </c>
      <c r="B743">
        <v>191</v>
      </c>
      <c r="C743" t="s">
        <v>2262</v>
      </c>
      <c r="D743" s="8" t="s">
        <v>2273</v>
      </c>
      <c r="E743" s="24"/>
      <c r="F743" s="23" t="b">
        <v>0</v>
      </c>
      <c r="G743" s="24"/>
      <c r="H743" s="24"/>
      <c r="J743" s="6" t="str">
        <f>_xlfn.XLOOKUP(tbl_Sourcing[[#This Row],[Product Id]], tbl_Product[Product Id], tbl_Product[Name])</f>
        <v>MTG Doctor Who Timey-Wimey Precon</v>
      </c>
      <c r="K743" s="6"/>
      <c r="L743" s="6"/>
      <c r="M743" s="6"/>
      <c r="N743" s="6"/>
      <c r="O743" s="6">
        <v>34</v>
      </c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170</v>
      </c>
      <c r="AW743" s="6" t="b">
        <f>_xlfn.XLOOKUP(tbl_Sourcing[[#This Row],[Product Id]], tbl_Product[Product Id], tbl_Product[Is Set or Play Booster])</f>
        <v>0</v>
      </c>
      <c r="AX743" s="6" t="b">
        <f>_xlfn.XLOOKUP(tbl_Sourcing[[#This Row],[Product Id]], tbl_Product[Product Id], tbl_Product[Is Precon])</f>
        <v>1</v>
      </c>
    </row>
    <row r="744" spans="1:50">
      <c r="A744">
        <v>424</v>
      </c>
      <c r="B744">
        <v>76</v>
      </c>
      <c r="C744" t="s">
        <v>2262</v>
      </c>
      <c r="D744" s="8" t="s">
        <v>2274</v>
      </c>
      <c r="E744" s="23"/>
      <c r="F744" s="23" t="b">
        <v>0</v>
      </c>
      <c r="G744" s="24"/>
      <c r="H744" s="24"/>
      <c r="J744" s="6" t="str">
        <f>_xlfn.XLOOKUP(tbl_Sourcing[[#This Row],[Product Id]], tbl_Product[Product Id], tbl_Product[Name])</f>
        <v>MTG Dominaria United DMU Set Booster Box</v>
      </c>
      <c r="K744" s="6"/>
      <c r="L744" s="6"/>
      <c r="M744" s="6"/>
      <c r="N744" s="6"/>
      <c r="O744" s="6">
        <v>9</v>
      </c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45</v>
      </c>
      <c r="AW744" s="6" t="b">
        <f>_xlfn.XLOOKUP(tbl_Sourcing[[#This Row],[Product Id]], tbl_Product[Product Id], tbl_Product[Is Set or Play Booster])</f>
        <v>1</v>
      </c>
      <c r="AX744" s="6" t="b">
        <f>_xlfn.XLOOKUP(tbl_Sourcing[[#This Row],[Product Id]], tbl_Product[Product Id], tbl_Product[Is Precon])</f>
        <v>0</v>
      </c>
    </row>
    <row r="745" spans="1:50">
      <c r="A745">
        <v>425</v>
      </c>
      <c r="B745">
        <v>71</v>
      </c>
      <c r="C745" t="s">
        <v>2262</v>
      </c>
      <c r="D745" s="8" t="s">
        <v>2275</v>
      </c>
      <c r="E745" s="23"/>
      <c r="F745" s="23" t="b">
        <v>0</v>
      </c>
      <c r="G745" s="24"/>
      <c r="H745" s="24"/>
      <c r="J745" s="6" t="str">
        <f>_xlfn.XLOOKUP(tbl_Sourcing[[#This Row],[Product Id]], tbl_Product[Product Id], tbl_Product[Name])</f>
        <v>MTG Duskmourn: House of Horror Play Booster Box</v>
      </c>
      <c r="K745" s="6"/>
      <c r="L745" s="6"/>
      <c r="M745" s="6"/>
      <c r="N745" s="6"/>
      <c r="O745" s="6">
        <v>10</v>
      </c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50</v>
      </c>
      <c r="AW745" s="6" t="b">
        <f>_xlfn.XLOOKUP(tbl_Sourcing[[#This Row],[Product Id]], tbl_Product[Product Id], tbl_Product[Is Set or Play Booster])</f>
        <v>1</v>
      </c>
      <c r="AX745" s="6" t="b">
        <f>_xlfn.XLOOKUP(tbl_Sourcing[[#This Row],[Product Id]], tbl_Product[Product Id], tbl_Product[Is Precon])</f>
        <v>0</v>
      </c>
    </row>
    <row r="746" spans="1:50">
      <c r="A746">
        <v>426</v>
      </c>
      <c r="B746">
        <v>98</v>
      </c>
      <c r="C746" t="s">
        <v>2262</v>
      </c>
      <c r="D746" s="8" t="s">
        <v>2276</v>
      </c>
      <c r="E746" s="24"/>
      <c r="F746" s="23" t="b">
        <v>0</v>
      </c>
      <c r="G746" s="24"/>
      <c r="H746" s="24"/>
      <c r="J746" s="6" t="str">
        <f>_xlfn.XLOOKUP(tbl_Sourcing[[#This Row],[Product Id]], tbl_Product[Product Id], tbl_Product[Name])</f>
        <v>MTG Edge of Eternities Collector Booster Box</v>
      </c>
      <c r="K746" s="6"/>
      <c r="L746" s="6"/>
      <c r="M746" s="6"/>
      <c r="N746" s="6"/>
      <c r="O746" s="6">
        <v>11</v>
      </c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55</v>
      </c>
      <c r="AW746" s="6" t="b">
        <f>_xlfn.XLOOKUP(tbl_Sourcing[[#This Row],[Product Id]], tbl_Product[Product Id], tbl_Product[Is Set or Play Booster])</f>
        <v>0</v>
      </c>
      <c r="AX746" s="6" t="b">
        <f>_xlfn.XLOOKUP(tbl_Sourcing[[#This Row],[Product Id]], tbl_Product[Product Id], tbl_Product[Is Precon])</f>
        <v>0</v>
      </c>
    </row>
    <row r="747" spans="1:50">
      <c r="A747">
        <v>457</v>
      </c>
      <c r="B747">
        <v>150</v>
      </c>
      <c r="C747" t="s">
        <v>2262</v>
      </c>
      <c r="D747" s="8" t="s">
        <v>2277</v>
      </c>
      <c r="E747" s="23"/>
      <c r="F747" s="23" t="b">
        <v>0</v>
      </c>
      <c r="G747" s="24"/>
      <c r="H747" s="24"/>
      <c r="J747" s="6" t="str">
        <f>_xlfn.XLOOKUP(tbl_Sourcing[[#This Row],[Product Id]], tbl_Product[Product Id], tbl_Product[Name])</f>
        <v>MTG Edge of Eternities Counter Intelligence Precon</v>
      </c>
      <c r="K747" s="6"/>
      <c r="L747" s="6"/>
      <c r="M747" s="6"/>
      <c r="N747" s="6"/>
      <c r="O747" s="6">
        <v>35</v>
      </c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175</v>
      </c>
      <c r="AW747" s="6" t="b">
        <f>_xlfn.XLOOKUP(tbl_Sourcing[[#This Row],[Product Id]], tbl_Product[Product Id], tbl_Product[Is Set or Play Booster])</f>
        <v>0</v>
      </c>
      <c r="AX747" s="6" t="b">
        <f>_xlfn.XLOOKUP(tbl_Sourcing[[#This Row],[Product Id]], tbl_Product[Product Id], tbl_Product[Is Precon])</f>
        <v>1</v>
      </c>
    </row>
    <row r="748" spans="1:50">
      <c r="A748">
        <v>456</v>
      </c>
      <c r="B748">
        <v>149</v>
      </c>
      <c r="C748" t="s">
        <v>2262</v>
      </c>
      <c r="D748" s="8" t="s">
        <v>2278</v>
      </c>
      <c r="E748" s="23"/>
      <c r="F748" s="23" t="b">
        <v>0</v>
      </c>
      <c r="G748" s="24"/>
      <c r="H748" s="24"/>
      <c r="J748" s="6" t="str">
        <f>_xlfn.XLOOKUP(tbl_Sourcing[[#This Row],[Product Id]], tbl_Product[Product Id], tbl_Product[Name])</f>
        <v>MTG Edge of Eternities World Shaper Precon</v>
      </c>
      <c r="K748" s="6"/>
      <c r="L748" s="6"/>
      <c r="M748" s="6"/>
      <c r="N748" s="6"/>
      <c r="O748" s="6">
        <v>36</v>
      </c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180</v>
      </c>
      <c r="AW748" s="6" t="b">
        <f>_xlfn.XLOOKUP(tbl_Sourcing[[#This Row],[Product Id]], tbl_Product[Product Id], tbl_Product[Is Set or Play Booster])</f>
        <v>0</v>
      </c>
      <c r="AX748" s="6" t="b">
        <f>_xlfn.XLOOKUP(tbl_Sourcing[[#This Row],[Product Id]], tbl_Product[Product Id], tbl_Product[Is Precon])</f>
        <v>1</v>
      </c>
    </row>
    <row r="749" spans="1:50">
      <c r="A749">
        <v>467</v>
      </c>
      <c r="B749">
        <v>153</v>
      </c>
      <c r="C749" t="s">
        <v>2262</v>
      </c>
      <c r="D749" s="8" t="s">
        <v>2279</v>
      </c>
      <c r="E749" s="23"/>
      <c r="F749" s="23" t="b">
        <v>0</v>
      </c>
      <c r="G749" s="24"/>
      <c r="H749" s="24"/>
      <c r="J749" s="6" t="str">
        <f>_xlfn.XLOOKUP(tbl_Sourcing[[#This Row],[Product Id]], tbl_Product[Product Id], tbl_Product[Name])</f>
        <v>MTG Final Fantasy Counter Blitz Precon</v>
      </c>
      <c r="K749" s="6"/>
      <c r="L749" s="6"/>
      <c r="M749" s="6"/>
      <c r="N749" s="6"/>
      <c r="O749" s="6">
        <v>37</v>
      </c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185</v>
      </c>
      <c r="AW749" s="6" t="b">
        <f>_xlfn.XLOOKUP(tbl_Sourcing[[#This Row],[Product Id]], tbl_Product[Product Id], tbl_Product[Is Set or Play Booster])</f>
        <v>0</v>
      </c>
      <c r="AX749" s="6" t="b">
        <f>_xlfn.XLOOKUP(tbl_Sourcing[[#This Row],[Product Id]], tbl_Product[Product Id], tbl_Product[Is Precon])</f>
        <v>1</v>
      </c>
    </row>
    <row r="750" spans="1:50">
      <c r="A750">
        <v>469</v>
      </c>
      <c r="B750">
        <v>152</v>
      </c>
      <c r="C750" t="s">
        <v>2262</v>
      </c>
      <c r="D750" s="8" t="s">
        <v>2280</v>
      </c>
      <c r="E750" s="23"/>
      <c r="F750" s="23" t="b">
        <v>0</v>
      </c>
      <c r="G750" s="24"/>
      <c r="H750" s="24"/>
      <c r="J750" s="6" t="str">
        <f>_xlfn.XLOOKUP(tbl_Sourcing[[#This Row],[Product Id]], tbl_Product[Product Id], tbl_Product[Name])</f>
        <v>MTG Final Fantasy Limit Break Precon</v>
      </c>
      <c r="K750" s="6"/>
      <c r="L750" s="6"/>
      <c r="M750" s="6"/>
      <c r="N750" s="6"/>
      <c r="O750" s="6">
        <v>38</v>
      </c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190</v>
      </c>
      <c r="AW750" s="6" t="b">
        <f>_xlfn.XLOOKUP(tbl_Sourcing[[#This Row],[Product Id]], tbl_Product[Product Id], tbl_Product[Is Set or Play Booster])</f>
        <v>0</v>
      </c>
      <c r="AX750" s="6" t="b">
        <f>_xlfn.XLOOKUP(tbl_Sourcing[[#This Row],[Product Id]], tbl_Product[Product Id], tbl_Product[Is Precon])</f>
        <v>1</v>
      </c>
    </row>
    <row r="751" spans="1:50">
      <c r="A751">
        <v>427</v>
      </c>
      <c r="B751">
        <v>78</v>
      </c>
      <c r="C751" t="s">
        <v>2262</v>
      </c>
      <c r="D751" s="8" t="s">
        <v>2281</v>
      </c>
      <c r="E751" s="24"/>
      <c r="F751" s="23" t="b">
        <v>0</v>
      </c>
      <c r="G751" s="24"/>
      <c r="H751" s="24"/>
      <c r="J751" s="6" t="str">
        <f>_xlfn.XLOOKUP(tbl_Sourcing[[#This Row],[Product Id]], tbl_Product[Product Id], tbl_Product[Name])</f>
        <v>MTG Final Fantasy Play Booster Box</v>
      </c>
      <c r="K751" s="6"/>
      <c r="L751" s="6"/>
      <c r="M751" s="6"/>
      <c r="N751" s="6"/>
      <c r="O751" s="6">
        <v>12</v>
      </c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60</v>
      </c>
      <c r="AW751" s="6" t="b">
        <f>_xlfn.XLOOKUP(tbl_Sourcing[[#This Row],[Product Id]], tbl_Product[Product Id], tbl_Product[Is Set or Play Booster])</f>
        <v>1</v>
      </c>
      <c r="AX751" s="6" t="b">
        <f>_xlfn.XLOOKUP(tbl_Sourcing[[#This Row],[Product Id]], tbl_Product[Product Id], tbl_Product[Is Precon])</f>
        <v>0</v>
      </c>
    </row>
    <row r="752" spans="1:50">
      <c r="A752">
        <v>466</v>
      </c>
      <c r="B752">
        <v>151</v>
      </c>
      <c r="C752" t="s">
        <v>2262</v>
      </c>
      <c r="D752" s="8" t="s">
        <v>2282</v>
      </c>
      <c r="E752" s="23"/>
      <c r="F752" s="23" t="b">
        <v>0</v>
      </c>
      <c r="G752" s="24"/>
      <c r="H752" s="24"/>
      <c r="J752" s="6" t="str">
        <f>_xlfn.XLOOKUP(tbl_Sourcing[[#This Row],[Product Id]], tbl_Product[Product Id], tbl_Product[Name])</f>
        <v>MTG Final Fantasy Revival Trance Precon</v>
      </c>
      <c r="K752" s="6"/>
      <c r="L752" s="6"/>
      <c r="M752" s="6"/>
      <c r="N752" s="6"/>
      <c r="O752" s="6">
        <v>39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195</v>
      </c>
      <c r="AW752" s="6" t="b">
        <f>_xlfn.XLOOKUP(tbl_Sourcing[[#This Row],[Product Id]], tbl_Product[Product Id], tbl_Product[Is Set or Play Booster])</f>
        <v>0</v>
      </c>
      <c r="AX752" s="6" t="b">
        <f>_xlfn.XLOOKUP(tbl_Sourcing[[#This Row],[Product Id]], tbl_Product[Product Id], tbl_Product[Is Precon])</f>
        <v>1</v>
      </c>
    </row>
    <row r="753" spans="1:50">
      <c r="A753">
        <v>468</v>
      </c>
      <c r="B753">
        <v>154</v>
      </c>
      <c r="C753" t="s">
        <v>2262</v>
      </c>
      <c r="D753" s="8" t="s">
        <v>2283</v>
      </c>
      <c r="E753" s="23"/>
      <c r="F753" s="23" t="b">
        <v>0</v>
      </c>
      <c r="G753" s="24"/>
      <c r="H753" s="24"/>
      <c r="J753" s="6" t="str">
        <f>_xlfn.XLOOKUP(tbl_Sourcing[[#This Row],[Product Id]], tbl_Product[Product Id], tbl_Product[Name])</f>
        <v>MTG Final Fantasy Scions &amp; Spellcraft Precon</v>
      </c>
      <c r="K753" s="6"/>
      <c r="L753" s="6"/>
      <c r="M753" s="6"/>
      <c r="N753" s="6"/>
      <c r="O753" s="6">
        <v>40</v>
      </c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200</v>
      </c>
      <c r="AW753" s="6" t="b">
        <f>_xlfn.XLOOKUP(tbl_Sourcing[[#This Row],[Product Id]], tbl_Product[Product Id], tbl_Product[Is Set or Play Booster])</f>
        <v>0</v>
      </c>
      <c r="AX753" s="6" t="b">
        <f>_xlfn.XLOOKUP(tbl_Sourcing[[#This Row],[Product Id]], tbl_Product[Product Id], tbl_Product[Is Precon])</f>
        <v>1</v>
      </c>
    </row>
    <row r="754" spans="1:50">
      <c r="A754">
        <v>428</v>
      </c>
      <c r="B754">
        <v>61</v>
      </c>
      <c r="C754" t="s">
        <v>2262</v>
      </c>
      <c r="D754" s="8" t="s">
        <v>2284</v>
      </c>
      <c r="E754" s="23"/>
      <c r="F754" s="23" t="b">
        <v>0</v>
      </c>
      <c r="G754" s="24"/>
      <c r="H754" s="24"/>
      <c r="J754" s="6" t="str">
        <f>_xlfn.XLOOKUP(tbl_Sourcing[[#This Row],[Product Id]], tbl_Product[Product Id], tbl_Product[Name])</f>
        <v>MTG Foundations Play Booster Box</v>
      </c>
      <c r="K754" s="6"/>
      <c r="L754" s="6"/>
      <c r="M754" s="6"/>
      <c r="N754" s="6"/>
      <c r="O754" s="6">
        <v>13</v>
      </c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65</v>
      </c>
      <c r="AW754" s="6" t="b">
        <f>_xlfn.XLOOKUP(tbl_Sourcing[[#This Row],[Product Id]], tbl_Product[Product Id], tbl_Product[Is Set or Play Booster])</f>
        <v>1</v>
      </c>
      <c r="AX754" s="6" t="b">
        <f>_xlfn.XLOOKUP(tbl_Sourcing[[#This Row],[Product Id]], tbl_Product[Product Id], tbl_Product[Is Precon])</f>
        <v>0</v>
      </c>
    </row>
    <row r="755" spans="1:50">
      <c r="A755">
        <v>429</v>
      </c>
      <c r="B755">
        <v>106</v>
      </c>
      <c r="C755" t="s">
        <v>2262</v>
      </c>
      <c r="D755" s="8" t="s">
        <v>2285</v>
      </c>
      <c r="E755" s="24"/>
      <c r="F755" s="23" t="b">
        <v>0</v>
      </c>
      <c r="G755" s="24"/>
      <c r="H755" s="24"/>
      <c r="J755" s="6" t="str">
        <f>_xlfn.XLOOKUP(tbl_Sourcing[[#This Row],[Product Id]], tbl_Product[Product Id], tbl_Product[Name])</f>
        <v>MTG Innistrad Remastered INR Collector Booster Box</v>
      </c>
      <c r="K755" s="6"/>
      <c r="L755" s="6"/>
      <c r="M755" s="6"/>
      <c r="N755" s="6"/>
      <c r="O755" s="6">
        <v>14</v>
      </c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70</v>
      </c>
      <c r="AW755" s="6" t="b">
        <f>_xlfn.XLOOKUP(tbl_Sourcing[[#This Row],[Product Id]], tbl_Product[Product Id], tbl_Product[Is Set or Play Booster])</f>
        <v>0</v>
      </c>
      <c r="AX755" s="6" t="b">
        <f>_xlfn.XLOOKUP(tbl_Sourcing[[#This Row],[Product Id]], tbl_Product[Product Id], tbl_Product[Is Precon])</f>
        <v>0</v>
      </c>
    </row>
    <row r="756" spans="1:50">
      <c r="A756">
        <v>430</v>
      </c>
      <c r="B756">
        <v>48</v>
      </c>
      <c r="C756" t="s">
        <v>2262</v>
      </c>
      <c r="D756" s="8" t="s">
        <v>2286</v>
      </c>
      <c r="E756" s="24"/>
      <c r="F756" s="23" t="b">
        <v>0</v>
      </c>
      <c r="G756" s="24"/>
      <c r="H756" s="24"/>
      <c r="J756" s="6" t="str">
        <f>_xlfn.XLOOKUP(tbl_Sourcing[[#This Row],[Product Id]], tbl_Product[Product Id], tbl_Product[Name])</f>
        <v>MTG Innistrad Remastered INR Play Booster Box</v>
      </c>
      <c r="K756" s="6"/>
      <c r="L756" s="6"/>
      <c r="M756" s="6"/>
      <c r="N756" s="6"/>
      <c r="O756" s="6">
        <v>15</v>
      </c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75</v>
      </c>
      <c r="AW756" s="6" t="b">
        <f>_xlfn.XLOOKUP(tbl_Sourcing[[#This Row],[Product Id]], tbl_Product[Product Id], tbl_Product[Is Set or Play Booster])</f>
        <v>1</v>
      </c>
      <c r="AX756" s="6" t="b">
        <f>_xlfn.XLOOKUP(tbl_Sourcing[[#This Row],[Product Id]], tbl_Product[Product Id], tbl_Product[Is Precon])</f>
        <v>0</v>
      </c>
    </row>
    <row r="757" spans="1:50">
      <c r="A757">
        <v>431</v>
      </c>
      <c r="B757">
        <v>110</v>
      </c>
      <c r="C757" t="s">
        <v>2262</v>
      </c>
      <c r="D757" s="8" t="s">
        <v>2287</v>
      </c>
      <c r="E757" s="24"/>
      <c r="F757" s="23" t="b">
        <v>0</v>
      </c>
      <c r="G757" s="24"/>
      <c r="H757" s="24"/>
      <c r="J757" s="6" t="str">
        <f>_xlfn.XLOOKUP(tbl_Sourcing[[#This Row],[Product Id]], tbl_Product[Product Id], tbl_Product[Name])</f>
        <v>MTG Kaldheim Collector Booster Box</v>
      </c>
      <c r="K757" s="6"/>
      <c r="L757" s="6"/>
      <c r="M757" s="6"/>
      <c r="N757" s="6"/>
      <c r="O757" s="6">
        <v>16</v>
      </c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80</v>
      </c>
      <c r="AW757" s="6" t="b">
        <f>_xlfn.XLOOKUP(tbl_Sourcing[[#This Row],[Product Id]], tbl_Product[Product Id], tbl_Product[Is Set or Play Booster])</f>
        <v>0</v>
      </c>
      <c r="AX757" s="6" t="b">
        <f>_xlfn.XLOOKUP(tbl_Sourcing[[#This Row],[Product Id]], tbl_Product[Product Id], tbl_Product[Is Precon])</f>
        <v>0</v>
      </c>
    </row>
    <row r="758" spans="1:50">
      <c r="A758">
        <v>435</v>
      </c>
      <c r="B758">
        <v>69</v>
      </c>
      <c r="C758" t="s">
        <v>2262</v>
      </c>
      <c r="D758" s="8" t="s">
        <v>2288</v>
      </c>
      <c r="E758" s="24"/>
      <c r="F758" s="23" t="b">
        <v>0</v>
      </c>
      <c r="G758" s="24"/>
      <c r="H758" s="24"/>
      <c r="J758" s="6" t="str">
        <f>_xlfn.XLOOKUP(tbl_Sourcing[[#This Row],[Product Id]], tbl_Product[Product Id], tbl_Product[Name])</f>
        <v>MTG Kamigawa: Neon Dynasty Set Booster Box</v>
      </c>
      <c r="K758" s="6"/>
      <c r="L758" s="6"/>
      <c r="M758" s="6"/>
      <c r="N758" s="6"/>
      <c r="O758" s="6">
        <v>17</v>
      </c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85</v>
      </c>
      <c r="AW758" s="6" t="b">
        <f>_xlfn.XLOOKUP(tbl_Sourcing[[#This Row],[Product Id]], tbl_Product[Product Id], tbl_Product[Is Set or Play Booster])</f>
        <v>1</v>
      </c>
      <c r="AX758" s="6" t="b">
        <f>_xlfn.XLOOKUP(tbl_Sourcing[[#This Row],[Product Id]], tbl_Product[Product Id], tbl_Product[Is Precon])</f>
        <v>0</v>
      </c>
    </row>
    <row r="759" spans="1:50">
      <c r="A759">
        <v>455</v>
      </c>
      <c r="B759">
        <v>234</v>
      </c>
      <c r="C759" t="s">
        <v>2262</v>
      </c>
      <c r="D759" s="8" t="s">
        <v>2289</v>
      </c>
      <c r="E759" s="24"/>
      <c r="F759" s="23" t="b">
        <v>0</v>
      </c>
      <c r="G759" s="24"/>
      <c r="H759" s="24"/>
      <c r="J759" s="6" t="str">
        <f>_xlfn.XLOOKUP(tbl_Sourcing[[#This Row],[Product Id]], tbl_Product[Product Id], tbl_Product[Name])</f>
        <v>MTG Kamigawa: Neon Dynasty Upgrades Unleashed Precon</v>
      </c>
      <c r="K759" s="6"/>
      <c r="L759" s="6"/>
      <c r="M759" s="6"/>
      <c r="N759" s="6"/>
      <c r="O759" s="6">
        <v>41</v>
      </c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205</v>
      </c>
      <c r="AW759" s="6" t="b">
        <f>_xlfn.XLOOKUP(tbl_Sourcing[[#This Row],[Product Id]], tbl_Product[Product Id], tbl_Product[Is Set or Play Booster])</f>
        <v>0</v>
      </c>
      <c r="AX759" s="6" t="b">
        <f>_xlfn.XLOOKUP(tbl_Sourcing[[#This Row],[Product Id]], tbl_Product[Product Id], tbl_Product[Is Precon])</f>
        <v>1</v>
      </c>
    </row>
    <row r="760" spans="1:50">
      <c r="A760">
        <v>448</v>
      </c>
      <c r="B760">
        <v>236</v>
      </c>
      <c r="C760" t="s">
        <v>2262</v>
      </c>
      <c r="D760" s="8" t="s">
        <v>2290</v>
      </c>
      <c r="E760" s="23"/>
      <c r="F760" s="23" t="b">
        <v>0</v>
      </c>
      <c r="G760" s="24"/>
      <c r="H760" s="24"/>
      <c r="J760" s="6" t="str">
        <f>_xlfn.XLOOKUP(tbl_Sourcing[[#This Row],[Product Id]], tbl_Product[Product Id], tbl_Product[Name])</f>
        <v>MTG Lorwyn Eclipsed Blight Curse Precon</v>
      </c>
      <c r="K760" s="6"/>
      <c r="L760" s="6"/>
      <c r="M760" s="6"/>
      <c r="N760" s="6"/>
      <c r="O760" s="6">
        <v>42</v>
      </c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210</v>
      </c>
      <c r="AW760" s="6" t="b">
        <f>_xlfn.XLOOKUP(tbl_Sourcing[[#This Row],[Product Id]], tbl_Product[Product Id], tbl_Product[Is Set or Play Booster])</f>
        <v>0</v>
      </c>
      <c r="AX760" s="6" t="b">
        <f>_xlfn.XLOOKUP(tbl_Sourcing[[#This Row],[Product Id]], tbl_Product[Product Id], tbl_Product[Is Precon])</f>
        <v>1</v>
      </c>
    </row>
    <row r="761" spans="1:50">
      <c r="A761">
        <v>433</v>
      </c>
      <c r="B761">
        <v>114</v>
      </c>
      <c r="C761" t="s">
        <v>2262</v>
      </c>
      <c r="D761" s="8" t="s">
        <v>2291</v>
      </c>
      <c r="E761" s="24"/>
      <c r="F761" s="23" t="b">
        <v>0</v>
      </c>
      <c r="G761" s="24"/>
      <c r="H761" s="24"/>
      <c r="J761" s="6" t="str">
        <f>_xlfn.XLOOKUP(tbl_Sourcing[[#This Row],[Product Id]], tbl_Product[Product Id], tbl_Product[Name])</f>
        <v>MTG Lorwyn Eclipsed Collector Booster Box</v>
      </c>
      <c r="K761" s="6"/>
      <c r="L761" s="6"/>
      <c r="M761" s="6"/>
      <c r="N761" s="6"/>
      <c r="O761" s="6">
        <v>18</v>
      </c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90</v>
      </c>
      <c r="AW761" s="6" t="b">
        <f>_xlfn.XLOOKUP(tbl_Sourcing[[#This Row],[Product Id]], tbl_Product[Product Id], tbl_Product[Is Set or Play Booster])</f>
        <v>0</v>
      </c>
      <c r="AX761" s="6" t="b">
        <f>_xlfn.XLOOKUP(tbl_Sourcing[[#This Row],[Product Id]], tbl_Product[Product Id], tbl_Product[Is Precon])</f>
        <v>0</v>
      </c>
    </row>
    <row r="762" spans="1:50">
      <c r="A762">
        <v>449</v>
      </c>
      <c r="B762">
        <v>237</v>
      </c>
      <c r="C762" t="s">
        <v>2262</v>
      </c>
      <c r="D762" s="8" t="s">
        <v>2292</v>
      </c>
      <c r="E762" s="23"/>
      <c r="F762" s="23" t="b">
        <v>0</v>
      </c>
      <c r="G762" s="24"/>
      <c r="H762" s="24"/>
      <c r="J762" s="6" t="str">
        <f>_xlfn.XLOOKUP(tbl_Sourcing[[#This Row],[Product Id]], tbl_Product[Product Id], tbl_Product[Name])</f>
        <v>MTG Lorwyn Eclipsed Dance of the Elements Precon</v>
      </c>
      <c r="K762" s="6"/>
      <c r="L762" s="6"/>
      <c r="M762" s="6"/>
      <c r="N762" s="6"/>
      <c r="O762" s="6">
        <v>43</v>
      </c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215</v>
      </c>
      <c r="AW762" s="6" t="b">
        <f>_xlfn.XLOOKUP(tbl_Sourcing[[#This Row],[Product Id]], tbl_Product[Product Id], tbl_Product[Is Set or Play Booster])</f>
        <v>0</v>
      </c>
      <c r="AX762" s="6" t="b">
        <f>_xlfn.XLOOKUP(tbl_Sourcing[[#This Row],[Product Id]], tbl_Product[Product Id], tbl_Product[Is Precon])</f>
        <v>1</v>
      </c>
    </row>
    <row r="763" spans="1:50">
      <c r="A763">
        <v>436</v>
      </c>
      <c r="B763">
        <v>118</v>
      </c>
      <c r="C763" t="s">
        <v>2262</v>
      </c>
      <c r="D763" s="8" t="s">
        <v>2293</v>
      </c>
      <c r="E763" s="23"/>
      <c r="F763" s="23" t="b">
        <v>0</v>
      </c>
      <c r="G763" s="24"/>
      <c r="H763" s="24"/>
      <c r="J763" s="6" t="str">
        <f>_xlfn.XLOOKUP(tbl_Sourcing[[#This Row],[Product Id]], tbl_Product[Product Id], tbl_Product[Name])</f>
        <v>MTG Marvel's Spider-Man Collector Booster Box</v>
      </c>
      <c r="K763" s="6"/>
      <c r="L763" s="6"/>
      <c r="M763" s="6"/>
      <c r="N763" s="6"/>
      <c r="O763" s="6">
        <v>19</v>
      </c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95</v>
      </c>
      <c r="AW763" s="6" t="b">
        <f>_xlfn.XLOOKUP(tbl_Sourcing[[#This Row],[Product Id]], tbl_Product[Product Id], tbl_Product[Is Set or Play Booster])</f>
        <v>0</v>
      </c>
      <c r="AX763" s="6" t="b">
        <f>_xlfn.XLOOKUP(tbl_Sourcing[[#This Row],[Product Id]], tbl_Product[Product Id], tbl_Product[Is Precon])</f>
        <v>0</v>
      </c>
    </row>
    <row r="764" spans="1:50">
      <c r="A764">
        <v>437</v>
      </c>
      <c r="B764">
        <v>64</v>
      </c>
      <c r="C764" t="s">
        <v>2262</v>
      </c>
      <c r="D764" s="8" t="s">
        <v>2294</v>
      </c>
      <c r="E764" s="23"/>
      <c r="F764" s="23" t="b">
        <v>0</v>
      </c>
      <c r="G764" s="24"/>
      <c r="H764" s="24"/>
      <c r="J764" s="6" t="str">
        <f>_xlfn.XLOOKUP(tbl_Sourcing[[#This Row],[Product Id]], tbl_Product[Product Id], tbl_Product[Name])</f>
        <v>MTG Marvel's Spider-Man Play Booster Box</v>
      </c>
      <c r="K764" s="6"/>
      <c r="L764" s="6"/>
      <c r="M764" s="6"/>
      <c r="N764" s="6"/>
      <c r="O764" s="6">
        <v>20</v>
      </c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100</v>
      </c>
      <c r="AW764" s="6" t="b">
        <f>_xlfn.XLOOKUP(tbl_Sourcing[[#This Row],[Product Id]], tbl_Product[Product Id], tbl_Product[Is Set or Play Booster])</f>
        <v>1</v>
      </c>
      <c r="AX764" s="6" t="b">
        <f>_xlfn.XLOOKUP(tbl_Sourcing[[#This Row],[Product Id]], tbl_Product[Product Id], tbl_Product[Is Precon])</f>
        <v>0</v>
      </c>
    </row>
    <row r="765" spans="1:50">
      <c r="A765">
        <v>438</v>
      </c>
      <c r="B765">
        <v>120</v>
      </c>
      <c r="C765" t="s">
        <v>2262</v>
      </c>
      <c r="D765" s="8" t="s">
        <v>2295</v>
      </c>
      <c r="E765" s="24"/>
      <c r="F765" s="23" t="b">
        <v>0</v>
      </c>
      <c r="G765" s="24"/>
      <c r="H765" s="24"/>
      <c r="J765" s="6" t="str">
        <f>_xlfn.XLOOKUP(tbl_Sourcing[[#This Row],[Product Id]], tbl_Product[Product Id], tbl_Product[Name])</f>
        <v>MTG Modern Horizons 2 MH2 Collector Booster Box</v>
      </c>
      <c r="K765" s="6"/>
      <c r="L765" s="6"/>
      <c r="M765" s="6"/>
      <c r="N765" s="6"/>
      <c r="O765" s="6">
        <v>21</v>
      </c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105</v>
      </c>
      <c r="AW765" s="6" t="b">
        <f>_xlfn.XLOOKUP(tbl_Sourcing[[#This Row],[Product Id]], tbl_Product[Product Id], tbl_Product[Is Set or Play Booster])</f>
        <v>0</v>
      </c>
      <c r="AX765" s="6" t="b">
        <f>_xlfn.XLOOKUP(tbl_Sourcing[[#This Row],[Product Id]], tbl_Product[Product Id], tbl_Product[Is Precon])</f>
        <v>0</v>
      </c>
    </row>
    <row r="766" spans="1:50">
      <c r="A766">
        <v>439</v>
      </c>
      <c r="B766">
        <v>60</v>
      </c>
      <c r="C766" t="s">
        <v>2262</v>
      </c>
      <c r="D766" s="8" t="s">
        <v>2296</v>
      </c>
      <c r="E766" s="23"/>
      <c r="F766" s="23" t="b">
        <v>0</v>
      </c>
      <c r="G766" s="24"/>
      <c r="H766" s="24"/>
      <c r="J766" s="6" t="str">
        <f>_xlfn.XLOOKUP(tbl_Sourcing[[#This Row],[Product Id]], tbl_Product[Product Id], tbl_Product[Name])</f>
        <v>MTG Modern Horizons 3 MH3 Play Booster Box</v>
      </c>
      <c r="K766" s="6"/>
      <c r="L766" s="6"/>
      <c r="M766" s="6"/>
      <c r="N766" s="6"/>
      <c r="O766" s="6">
        <v>22</v>
      </c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110</v>
      </c>
      <c r="AW766" s="6" t="b">
        <f>_xlfn.XLOOKUP(tbl_Sourcing[[#This Row],[Product Id]], tbl_Product[Product Id], tbl_Product[Is Set or Play Booster])</f>
        <v>1</v>
      </c>
      <c r="AX766" s="6" t="b">
        <f>_xlfn.XLOOKUP(tbl_Sourcing[[#This Row],[Product Id]], tbl_Product[Product Id], tbl_Product[Is Precon])</f>
        <v>0</v>
      </c>
    </row>
    <row r="767" spans="1:50">
      <c r="A767">
        <v>441</v>
      </c>
      <c r="B767">
        <v>124</v>
      </c>
      <c r="C767" t="s">
        <v>2262</v>
      </c>
      <c r="D767" s="8" t="s">
        <v>2297</v>
      </c>
      <c r="E767" s="23"/>
      <c r="F767" s="23" t="b">
        <v>0</v>
      </c>
      <c r="G767" s="24"/>
      <c r="H767" s="24"/>
      <c r="J767" s="6" t="str">
        <f>_xlfn.XLOOKUP(tbl_Sourcing[[#This Row],[Product Id]], tbl_Product[Product Id], tbl_Product[Name])</f>
        <v>MTG Murders at Karlov Manor Collector Booster Box</v>
      </c>
      <c r="K767" s="6"/>
      <c r="L767" s="6"/>
      <c r="M767" s="6"/>
      <c r="N767" s="6"/>
      <c r="O767" s="6">
        <v>23</v>
      </c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115</v>
      </c>
      <c r="AW767" s="6" t="b">
        <f>_xlfn.XLOOKUP(tbl_Sourcing[[#This Row],[Product Id]], tbl_Product[Product Id], tbl_Product[Is Set or Play Booster])</f>
        <v>0</v>
      </c>
      <c r="AX767" s="6" t="b">
        <f>_xlfn.XLOOKUP(tbl_Sourcing[[#This Row],[Product Id]], tbl_Product[Product Id], tbl_Product[Is Precon])</f>
        <v>0</v>
      </c>
    </row>
    <row r="768" spans="1:50">
      <c r="A768">
        <v>440</v>
      </c>
      <c r="B768">
        <v>80</v>
      </c>
      <c r="C768" t="s">
        <v>2262</v>
      </c>
      <c r="D768" s="8" t="s">
        <v>2298</v>
      </c>
      <c r="E768" s="23"/>
      <c r="F768" s="23" t="b">
        <v>0</v>
      </c>
      <c r="G768" s="24"/>
      <c r="H768" s="24"/>
      <c r="J768" s="6" t="str">
        <f>_xlfn.XLOOKUP(tbl_Sourcing[[#This Row],[Product Id]], tbl_Product[Product Id], tbl_Product[Name])</f>
        <v>MTG Murders at Karlov Manor Play Booster Box</v>
      </c>
      <c r="K768" s="6"/>
      <c r="L768" s="6"/>
      <c r="M768" s="6"/>
      <c r="N768" s="6"/>
      <c r="O768" s="6">
        <v>24</v>
      </c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120</v>
      </c>
      <c r="AW768" s="6" t="b">
        <f>_xlfn.XLOOKUP(tbl_Sourcing[[#This Row],[Product Id]], tbl_Product[Product Id], tbl_Product[Is Set or Play Booster])</f>
        <v>1</v>
      </c>
      <c r="AX768" s="6" t="b">
        <f>_xlfn.XLOOKUP(tbl_Sourcing[[#This Row],[Product Id]], tbl_Product[Product Id], tbl_Product[Is Precon])</f>
        <v>0</v>
      </c>
    </row>
    <row r="769" spans="1:50">
      <c r="A769">
        <v>442</v>
      </c>
      <c r="B769">
        <v>126</v>
      </c>
      <c r="C769" t="s">
        <v>2262</v>
      </c>
      <c r="D769" s="8" t="s">
        <v>2299</v>
      </c>
      <c r="E769" s="23"/>
      <c r="F769" s="23" t="b">
        <v>0</v>
      </c>
      <c r="G769" s="24"/>
      <c r="H769" s="24"/>
      <c r="J769" s="6" t="str">
        <f>_xlfn.XLOOKUP(tbl_Sourcing[[#This Row],[Product Id]], tbl_Product[Product Id], tbl_Product[Name])</f>
        <v>MTG Outlaws of Thunder Junction Collector Booster Box</v>
      </c>
      <c r="K769" s="6"/>
      <c r="L769" s="6"/>
      <c r="M769" s="6"/>
      <c r="N769" s="6"/>
      <c r="O769" s="6">
        <v>25</v>
      </c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125</v>
      </c>
      <c r="AW769" s="6" t="b">
        <f>_xlfn.XLOOKUP(tbl_Sourcing[[#This Row],[Product Id]], tbl_Product[Product Id], tbl_Product[Is Set or Play Booster])</f>
        <v>0</v>
      </c>
      <c r="AX769" s="6" t="b">
        <f>_xlfn.XLOOKUP(tbl_Sourcing[[#This Row],[Product Id]], tbl_Product[Product Id], tbl_Product[Is Precon])</f>
        <v>0</v>
      </c>
    </row>
    <row r="770" spans="1:50">
      <c r="A770">
        <v>443</v>
      </c>
      <c r="B770">
        <v>56</v>
      </c>
      <c r="C770" t="s">
        <v>2262</v>
      </c>
      <c r="D770" s="8" t="s">
        <v>2300</v>
      </c>
      <c r="E770" s="23"/>
      <c r="F770" s="23" t="b">
        <v>0</v>
      </c>
      <c r="G770" s="24"/>
      <c r="H770" s="24"/>
      <c r="J770" s="6" t="str">
        <f>_xlfn.XLOOKUP(tbl_Sourcing[[#This Row],[Product Id]], tbl_Product[Product Id], tbl_Product[Name])</f>
        <v>MTG Outlaws of Thunder Junction Play Booster Box</v>
      </c>
      <c r="K770" s="6"/>
      <c r="L770" s="6"/>
      <c r="M770" s="6"/>
      <c r="N770" s="6"/>
      <c r="O770" s="6">
        <v>26</v>
      </c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130</v>
      </c>
      <c r="AW770" s="6" t="b">
        <f>_xlfn.XLOOKUP(tbl_Sourcing[[#This Row],[Product Id]], tbl_Product[Product Id], tbl_Product[Is Set or Play Booster])</f>
        <v>1</v>
      </c>
      <c r="AX770" s="6" t="b">
        <f>_xlfn.XLOOKUP(tbl_Sourcing[[#This Row],[Product Id]], tbl_Product[Product Id], tbl_Product[Is Precon])</f>
        <v>0</v>
      </c>
    </row>
    <row r="771" spans="1:50">
      <c r="A771">
        <v>444</v>
      </c>
      <c r="B771">
        <v>68</v>
      </c>
      <c r="C771" t="s">
        <v>2262</v>
      </c>
      <c r="D771" s="8" t="s">
        <v>2301</v>
      </c>
      <c r="E771" s="23"/>
      <c r="F771" s="23" t="b">
        <v>0</v>
      </c>
      <c r="G771" s="24"/>
      <c r="H771" s="24"/>
      <c r="J771" s="6" t="str">
        <f>_xlfn.XLOOKUP(tbl_Sourcing[[#This Row],[Product Id]], tbl_Product[Product Id], tbl_Product[Name])</f>
        <v>MTG Ravnica Remastered Draft Booster Box</v>
      </c>
      <c r="K771" s="6"/>
      <c r="L771" s="6"/>
      <c r="M771" s="6"/>
      <c r="N771" s="6"/>
      <c r="O771" s="6">
        <v>27</v>
      </c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135</v>
      </c>
      <c r="AW771" s="6" t="b">
        <f>_xlfn.XLOOKUP(tbl_Sourcing[[#This Row],[Product Id]], tbl_Product[Product Id], tbl_Product[Is Set or Play Booster])</f>
        <v>1</v>
      </c>
      <c r="AX771" s="6" t="b">
        <f>_xlfn.XLOOKUP(tbl_Sourcing[[#This Row],[Product Id]], tbl_Product[Product Id], tbl_Product[Is Precon])</f>
        <v>0</v>
      </c>
    </row>
    <row r="772" spans="1:50">
      <c r="A772">
        <v>451</v>
      </c>
      <c r="B772">
        <v>232</v>
      </c>
      <c r="C772" t="s">
        <v>2262</v>
      </c>
      <c r="D772" s="8" t="s">
        <v>2302</v>
      </c>
      <c r="E772" s="23"/>
      <c r="F772" s="23" t="b">
        <v>0</v>
      </c>
      <c r="G772" s="24"/>
      <c r="H772" s="24"/>
      <c r="J772" s="6" t="str">
        <f>_xlfn.XLOOKUP(tbl_Sourcing[[#This Row],[Product Id]], tbl_Product[Product Id], tbl_Product[Name])</f>
        <v>MTG Streets of New Capenna Bedecked Brokers Precon</v>
      </c>
      <c r="K772" s="6"/>
      <c r="L772" s="6"/>
      <c r="M772" s="6"/>
      <c r="N772" s="6"/>
      <c r="O772" s="6">
        <v>44</v>
      </c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220</v>
      </c>
      <c r="AW772" s="6" t="b">
        <f>_xlfn.XLOOKUP(tbl_Sourcing[[#This Row],[Product Id]], tbl_Product[Product Id], tbl_Product[Is Set or Play Booster])</f>
        <v>0</v>
      </c>
      <c r="AX772" s="6" t="b">
        <f>_xlfn.XLOOKUP(tbl_Sourcing[[#This Row],[Product Id]], tbl_Product[Product Id], tbl_Product[Is Precon])</f>
        <v>1</v>
      </c>
    </row>
    <row r="773" spans="1:50">
      <c r="A773">
        <v>452</v>
      </c>
      <c r="B773">
        <v>231</v>
      </c>
      <c r="C773" t="s">
        <v>2262</v>
      </c>
      <c r="D773" s="8" t="s">
        <v>2303</v>
      </c>
      <c r="E773" s="24"/>
      <c r="F773" s="23" t="b">
        <v>0</v>
      </c>
      <c r="G773" s="24"/>
      <c r="H773" s="24"/>
      <c r="J773" s="6" t="str">
        <f>_xlfn.XLOOKUP(tbl_Sourcing[[#This Row],[Product Id]], tbl_Product[Product Id], tbl_Product[Name])</f>
        <v>MTG Streets of New Capenna Cabaretti Cacophony Precon</v>
      </c>
      <c r="K773" s="6"/>
      <c r="L773" s="6"/>
      <c r="M773" s="6"/>
      <c r="N773" s="6"/>
      <c r="O773" s="6">
        <v>45</v>
      </c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225</v>
      </c>
      <c r="AW773" s="6" t="b">
        <f>_xlfn.XLOOKUP(tbl_Sourcing[[#This Row],[Product Id]], tbl_Product[Product Id], tbl_Product[Is Set or Play Booster])</f>
        <v>0</v>
      </c>
      <c r="AX773" s="6" t="b">
        <f>_xlfn.XLOOKUP(tbl_Sourcing[[#This Row],[Product Id]], tbl_Product[Product Id], tbl_Product[Is Precon])</f>
        <v>1</v>
      </c>
    </row>
    <row r="774" spans="1:50">
      <c r="A774">
        <v>450</v>
      </c>
      <c r="B774">
        <v>229</v>
      </c>
      <c r="C774" t="s">
        <v>2262</v>
      </c>
      <c r="D774" s="8" t="s">
        <v>2304</v>
      </c>
      <c r="E774" s="24"/>
      <c r="F774" s="23" t="b">
        <v>0</v>
      </c>
      <c r="G774" s="24"/>
      <c r="H774" s="24"/>
      <c r="J774" s="6" t="str">
        <f>_xlfn.XLOOKUP(tbl_Sourcing[[#This Row],[Product Id]], tbl_Product[Product Id], tbl_Product[Name])</f>
        <v>MTG Streets of New Capenna Maestros Massacre Precon</v>
      </c>
      <c r="K774" s="6"/>
      <c r="L774" s="6"/>
      <c r="M774" s="6"/>
      <c r="N774" s="6"/>
      <c r="O774" s="6">
        <v>46</v>
      </c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230</v>
      </c>
      <c r="AW774" s="6" t="b">
        <f>_xlfn.XLOOKUP(tbl_Sourcing[[#This Row],[Product Id]], tbl_Product[Product Id], tbl_Product[Is Set or Play Booster])</f>
        <v>0</v>
      </c>
      <c r="AX774" s="6" t="b">
        <f>_xlfn.XLOOKUP(tbl_Sourcing[[#This Row],[Product Id]], tbl_Product[Product Id], tbl_Product[Is Precon])</f>
        <v>1</v>
      </c>
    </row>
    <row r="775" spans="1:50">
      <c r="A775">
        <v>453</v>
      </c>
      <c r="B775">
        <v>228</v>
      </c>
      <c r="C775" t="s">
        <v>2262</v>
      </c>
      <c r="D775" s="8" t="s">
        <v>2305</v>
      </c>
      <c r="E775" s="24"/>
      <c r="F775" s="23" t="b">
        <v>0</v>
      </c>
      <c r="G775" s="24"/>
      <c r="H775" s="24"/>
      <c r="J775" s="6" t="str">
        <f>_xlfn.XLOOKUP(tbl_Sourcing[[#This Row],[Product Id]], tbl_Product[Product Id], tbl_Product[Name])</f>
        <v>MTG Streets of New Capenna Obscurra Operation Precon</v>
      </c>
      <c r="K775" s="6"/>
      <c r="L775" s="6"/>
      <c r="M775" s="6"/>
      <c r="N775" s="6"/>
      <c r="O775" s="6">
        <v>47</v>
      </c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235</v>
      </c>
      <c r="AW775" s="6" t="b">
        <f>_xlfn.XLOOKUP(tbl_Sourcing[[#This Row],[Product Id]], tbl_Product[Product Id], tbl_Product[Is Set or Play Booster])</f>
        <v>0</v>
      </c>
      <c r="AX775" s="6" t="b">
        <f>_xlfn.XLOOKUP(tbl_Sourcing[[#This Row],[Product Id]], tbl_Product[Product Id], tbl_Product[Is Precon])</f>
        <v>1</v>
      </c>
    </row>
    <row r="776" spans="1:50">
      <c r="A776">
        <v>454</v>
      </c>
      <c r="B776">
        <v>230</v>
      </c>
      <c r="C776" t="s">
        <v>2262</v>
      </c>
      <c r="D776" s="8" t="s">
        <v>2306</v>
      </c>
      <c r="E776" s="24"/>
      <c r="F776" s="23" t="b">
        <v>0</v>
      </c>
      <c r="G776" s="24"/>
      <c r="H776" s="24"/>
      <c r="J776" s="6" t="str">
        <f>_xlfn.XLOOKUP(tbl_Sourcing[[#This Row],[Product Id]], tbl_Product[Product Id], tbl_Product[Name])</f>
        <v>MTG Streets of New Capenna Riveteers Rampage Precon</v>
      </c>
      <c r="K776" s="6"/>
      <c r="L776" s="6"/>
      <c r="M776" s="6"/>
      <c r="N776" s="6"/>
      <c r="O776" s="6">
        <v>48</v>
      </c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240</v>
      </c>
      <c r="AW776" s="6" t="b">
        <f>_xlfn.XLOOKUP(tbl_Sourcing[[#This Row],[Product Id]], tbl_Product[Product Id], tbl_Product[Is Set or Play Booster])</f>
        <v>0</v>
      </c>
      <c r="AX776" s="6" t="b">
        <f>_xlfn.XLOOKUP(tbl_Sourcing[[#This Row],[Product Id]], tbl_Product[Product Id], tbl_Product[Is Precon])</f>
        <v>1</v>
      </c>
    </row>
    <row r="777" spans="1:50">
      <c r="A777">
        <v>445</v>
      </c>
      <c r="B777">
        <v>134</v>
      </c>
      <c r="C777" t="s">
        <v>2262</v>
      </c>
      <c r="D777" s="8" t="s">
        <v>2307</v>
      </c>
      <c r="E777" s="24"/>
      <c r="F777" s="23" t="b">
        <v>0</v>
      </c>
      <c r="G777" s="24"/>
      <c r="H777" s="24"/>
      <c r="J777" s="6" t="str">
        <f>_xlfn.XLOOKUP(tbl_Sourcing[[#This Row],[Product Id]], tbl_Product[Product Id], tbl_Product[Name])</f>
        <v>MTG Strixhaven: School of Magic Collector Booster Box</v>
      </c>
      <c r="K777" s="6"/>
      <c r="L777" s="6"/>
      <c r="M777" s="6"/>
      <c r="N777" s="6"/>
      <c r="O777" s="6">
        <v>28</v>
      </c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140</v>
      </c>
      <c r="AW777" s="6" t="b">
        <f>_xlfn.XLOOKUP(tbl_Sourcing[[#This Row],[Product Id]], tbl_Product[Product Id], tbl_Product[Is Set or Play Booster])</f>
        <v>0</v>
      </c>
      <c r="AX777" s="6" t="b">
        <f>_xlfn.XLOOKUP(tbl_Sourcing[[#This Row],[Product Id]], tbl_Product[Product Id], tbl_Product[Is Precon])</f>
        <v>0</v>
      </c>
    </row>
    <row r="778" spans="1:50">
      <c r="A778">
        <v>462</v>
      </c>
      <c r="B778">
        <v>155</v>
      </c>
      <c r="C778" t="s">
        <v>2262</v>
      </c>
      <c r="D778" s="8" t="s">
        <v>2308</v>
      </c>
      <c r="E778" s="23"/>
      <c r="F778" s="23" t="b">
        <v>0</v>
      </c>
      <c r="G778" s="24"/>
      <c r="H778" s="24"/>
      <c r="J778" s="6" t="str">
        <f>_xlfn.XLOOKUP(tbl_Sourcing[[#This Row],[Product Id]], tbl_Product[Product Id], tbl_Product[Name])</f>
        <v>MTG Tarkir Dragonstorm Abzan Armor Precon</v>
      </c>
      <c r="K778" s="6"/>
      <c r="L778" s="6"/>
      <c r="M778" s="6"/>
      <c r="N778" s="6"/>
      <c r="O778" s="6">
        <v>49</v>
      </c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245</v>
      </c>
      <c r="AW778" s="6" t="b">
        <f>_xlfn.XLOOKUP(tbl_Sourcing[[#This Row],[Product Id]], tbl_Product[Product Id], tbl_Product[Is Set or Play Booster])</f>
        <v>0</v>
      </c>
      <c r="AX778" s="6" t="b">
        <f>_xlfn.XLOOKUP(tbl_Sourcing[[#This Row],[Product Id]], tbl_Product[Product Id], tbl_Product[Is Precon])</f>
        <v>1</v>
      </c>
    </row>
    <row r="779" spans="1:50">
      <c r="A779">
        <v>461</v>
      </c>
      <c r="B779">
        <v>157</v>
      </c>
      <c r="C779" t="s">
        <v>2262</v>
      </c>
      <c r="D779" s="8" t="s">
        <v>2309</v>
      </c>
      <c r="E779" s="23"/>
      <c r="F779" s="23" t="b">
        <v>0</v>
      </c>
      <c r="G779" s="24"/>
      <c r="H779" s="24"/>
      <c r="J779" s="6" t="str">
        <f>_xlfn.XLOOKUP(tbl_Sourcing[[#This Row],[Product Id]], tbl_Product[Product Id], tbl_Product[Name])</f>
        <v>MTG Tarkir Dragonstorm Jeskai Striker Precon</v>
      </c>
      <c r="K779" s="6"/>
      <c r="L779" s="6"/>
      <c r="M779" s="6"/>
      <c r="N779" s="6"/>
      <c r="O779" s="6">
        <v>50</v>
      </c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250</v>
      </c>
      <c r="AW779" s="6" t="b">
        <f>_xlfn.XLOOKUP(tbl_Sourcing[[#This Row],[Product Id]], tbl_Product[Product Id], tbl_Product[Is Set or Play Booster])</f>
        <v>0</v>
      </c>
      <c r="AX779" s="6" t="b">
        <f>_xlfn.XLOOKUP(tbl_Sourcing[[#This Row],[Product Id]], tbl_Product[Product Id], tbl_Product[Is Precon])</f>
        <v>1</v>
      </c>
    </row>
    <row r="780" spans="1:50">
      <c r="A780">
        <v>459</v>
      </c>
      <c r="B780">
        <v>156</v>
      </c>
      <c r="C780" t="s">
        <v>2262</v>
      </c>
      <c r="D780" s="8" t="s">
        <v>2310</v>
      </c>
      <c r="E780" s="23"/>
      <c r="F780" s="23" t="b">
        <v>0</v>
      </c>
      <c r="G780" s="24"/>
      <c r="H780" s="24"/>
      <c r="J780" s="6" t="str">
        <f>_xlfn.XLOOKUP(tbl_Sourcing[[#This Row],[Product Id]], tbl_Product[Product Id], tbl_Product[Name])</f>
        <v>MTG Tarkir Dragonstorm Mardu Surge Precon</v>
      </c>
      <c r="K780" s="6"/>
      <c r="L780" s="6"/>
      <c r="M780" s="6"/>
      <c r="N780" s="6"/>
      <c r="O780" s="6">
        <v>51</v>
      </c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255</v>
      </c>
      <c r="AW780" s="6" t="b">
        <f>_xlfn.XLOOKUP(tbl_Sourcing[[#This Row],[Product Id]], tbl_Product[Product Id], tbl_Product[Is Set or Play Booster])</f>
        <v>0</v>
      </c>
      <c r="AX780" s="6" t="b">
        <f>_xlfn.XLOOKUP(tbl_Sourcing[[#This Row],[Product Id]], tbl_Product[Product Id], tbl_Product[Is Precon])</f>
        <v>1</v>
      </c>
    </row>
    <row r="781" spans="1:50">
      <c r="A781">
        <v>460</v>
      </c>
      <c r="B781">
        <v>159</v>
      </c>
      <c r="C781" t="s">
        <v>2262</v>
      </c>
      <c r="D781" s="8" t="s">
        <v>2311</v>
      </c>
      <c r="E781" s="24"/>
      <c r="F781" s="23" t="b">
        <v>0</v>
      </c>
      <c r="G781" s="24"/>
      <c r="H781" s="24"/>
      <c r="J781" s="6" t="str">
        <f>_xlfn.XLOOKUP(tbl_Sourcing[[#This Row],[Product Id]], tbl_Product[Product Id], tbl_Product[Name])</f>
        <v>MTG Tarkir Dragonstorm Sultai Arisen Precon</v>
      </c>
      <c r="K781" s="6"/>
      <c r="L781" s="6"/>
      <c r="M781" s="6"/>
      <c r="N781" s="6"/>
      <c r="O781" s="6">
        <v>52</v>
      </c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260</v>
      </c>
      <c r="AW781" s="6" t="b">
        <f>_xlfn.XLOOKUP(tbl_Sourcing[[#This Row],[Product Id]], tbl_Product[Product Id], tbl_Product[Is Set or Play Booster])</f>
        <v>0</v>
      </c>
      <c r="AX781" s="6" t="b">
        <f>_xlfn.XLOOKUP(tbl_Sourcing[[#This Row],[Product Id]], tbl_Product[Product Id], tbl_Product[Is Precon])</f>
        <v>1</v>
      </c>
    </row>
    <row r="782" spans="1:50">
      <c r="A782">
        <v>458</v>
      </c>
      <c r="B782">
        <v>158</v>
      </c>
      <c r="C782" t="s">
        <v>2262</v>
      </c>
      <c r="D782" s="8" t="s">
        <v>2312</v>
      </c>
      <c r="E782" s="24"/>
      <c r="F782" s="23" t="b">
        <v>0</v>
      </c>
      <c r="G782" s="24"/>
      <c r="H782" s="24"/>
      <c r="J782" s="6" t="str">
        <f>_xlfn.XLOOKUP(tbl_Sourcing[[#This Row],[Product Id]], tbl_Product[Product Id], tbl_Product[Name])</f>
        <v>MTG Tarkir Dragonstorm Temur Roar Precon</v>
      </c>
      <c r="K782" s="6"/>
      <c r="L782" s="6"/>
      <c r="M782" s="6"/>
      <c r="N782" s="6"/>
      <c r="O782" s="6">
        <v>53</v>
      </c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265</v>
      </c>
      <c r="AW782" s="6" t="b">
        <f>_xlfn.XLOOKUP(tbl_Sourcing[[#This Row],[Product Id]], tbl_Product[Product Id], tbl_Product[Is Set or Play Booster])</f>
        <v>0</v>
      </c>
      <c r="AX782" s="6" t="b">
        <f>_xlfn.XLOOKUP(tbl_Sourcing[[#This Row],[Product Id]], tbl_Product[Product Id], tbl_Product[Is Precon])</f>
        <v>1</v>
      </c>
    </row>
    <row r="783" spans="1:50">
      <c r="A783">
        <v>446</v>
      </c>
      <c r="B783">
        <v>136</v>
      </c>
      <c r="C783" t="s">
        <v>2262</v>
      </c>
      <c r="D783" s="8" t="s">
        <v>2313</v>
      </c>
      <c r="E783" s="24"/>
      <c r="F783" s="23" t="b">
        <v>0</v>
      </c>
      <c r="G783" s="24"/>
      <c r="H783" s="24"/>
      <c r="J783" s="6" t="str">
        <f>_xlfn.XLOOKUP(tbl_Sourcing[[#This Row],[Product Id]], tbl_Product[Product Id], tbl_Product[Name])</f>
        <v>MTG Tarkir: Dragonstorm TDM Collector Booster Box</v>
      </c>
      <c r="K783" s="6"/>
      <c r="L783" s="6"/>
      <c r="M783" s="6"/>
      <c r="N783" s="6"/>
      <c r="O783" s="6">
        <v>29</v>
      </c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145</v>
      </c>
      <c r="AW783" s="6" t="b">
        <f>_xlfn.XLOOKUP(tbl_Sourcing[[#This Row],[Product Id]], tbl_Product[Product Id], tbl_Product[Is Set or Play Booster])</f>
        <v>0</v>
      </c>
      <c r="AX783" s="6" t="b">
        <f>_xlfn.XLOOKUP(tbl_Sourcing[[#This Row],[Product Id]], tbl_Product[Product Id], tbl_Product[Is Precon])</f>
        <v>0</v>
      </c>
    </row>
    <row r="784" spans="1:50">
      <c r="A784">
        <v>432</v>
      </c>
      <c r="B784">
        <v>66</v>
      </c>
      <c r="C784" t="s">
        <v>2262</v>
      </c>
      <c r="D784" s="8" t="s">
        <v>2314</v>
      </c>
      <c r="E784" s="24"/>
      <c r="F784" s="23" t="b">
        <v>0</v>
      </c>
      <c r="G784" s="24"/>
      <c r="H784" s="24"/>
      <c r="J784" s="6" t="str">
        <f>_xlfn.XLOOKUP(tbl_Sourcing[[#This Row],[Product Id]], tbl_Product[Product Id], tbl_Product[Name])</f>
        <v>MTG The Lord of the Rings: Tales of Middle-earth LTR Set Booster Box</v>
      </c>
      <c r="K784" s="6"/>
      <c r="L784" s="6"/>
      <c r="M784" s="6"/>
      <c r="N784" s="6"/>
      <c r="O784" s="6">
        <v>30</v>
      </c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150</v>
      </c>
      <c r="AW784" s="6" t="b">
        <f>_xlfn.XLOOKUP(tbl_Sourcing[[#This Row],[Product Id]], tbl_Product[Product Id], tbl_Product[Is Set or Play Booster])</f>
        <v>1</v>
      </c>
      <c r="AX784" s="6" t="b">
        <f>_xlfn.XLOOKUP(tbl_Sourcing[[#This Row],[Product Id]], tbl_Product[Product Id], tbl_Product[Is Precon])</f>
        <v>0</v>
      </c>
    </row>
    <row r="785" spans="1:50">
      <c r="A785">
        <v>434</v>
      </c>
      <c r="B785">
        <v>47</v>
      </c>
      <c r="C785" t="s">
        <v>2262</v>
      </c>
      <c r="D785" s="8" t="s">
        <v>2315</v>
      </c>
      <c r="E785" s="24"/>
      <c r="F785" s="23" t="b">
        <v>0</v>
      </c>
      <c r="G785" s="24"/>
      <c r="H785" s="24"/>
      <c r="J785" s="6" t="str">
        <f>_xlfn.XLOOKUP(tbl_Sourcing[[#This Row],[Product Id]], tbl_Product[Product Id], tbl_Product[Name])</f>
        <v>MTG The Lost Caverns of Ixalan LCI Set Booster Box</v>
      </c>
      <c r="K785" s="6"/>
      <c r="L785" s="6"/>
      <c r="M785" s="6"/>
      <c r="N785" s="6"/>
      <c r="O785" s="6">
        <v>31</v>
      </c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155</v>
      </c>
      <c r="AW785" s="6" t="b">
        <f>_xlfn.XLOOKUP(tbl_Sourcing[[#This Row],[Product Id]], tbl_Product[Product Id], tbl_Product[Is Set or Play Booster])</f>
        <v>1</v>
      </c>
      <c r="AX785" s="6" t="b">
        <f>_xlfn.XLOOKUP(tbl_Sourcing[[#This Row],[Product Id]], tbl_Product[Product Id], tbl_Product[Is Precon])</f>
        <v>0</v>
      </c>
    </row>
    <row r="786" spans="1:50">
      <c r="A786">
        <v>62</v>
      </c>
      <c r="B786">
        <v>70</v>
      </c>
      <c r="C786" t="s">
        <v>2316</v>
      </c>
      <c r="E786" s="23">
        <v>107</v>
      </c>
      <c r="F786" s="23" t="b">
        <v>0</v>
      </c>
      <c r="G786" s="24"/>
      <c r="H786" s="24"/>
      <c r="J786" s="6" t="str">
        <f>_xlfn.XLOOKUP(tbl_Sourcing[[#This Row],[Product Id]], tbl_Product[Product Id], tbl_Product[Name])</f>
        <v>MTG Aetherdrift Play Booster Box</v>
      </c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86" s="6" t="b">
        <f>_xlfn.XLOOKUP(tbl_Sourcing[[#This Row],[Product Id]], tbl_Product[Product Id], tbl_Product[Is Set or Play Booster])</f>
        <v>1</v>
      </c>
      <c r="AX786" s="6" t="b">
        <f>_xlfn.XLOOKUP(tbl_Sourcing[[#This Row],[Product Id]], tbl_Product[Product Id], tbl_Product[Is Precon])</f>
        <v>0</v>
      </c>
    </row>
    <row r="787" spans="1:50">
      <c r="A787">
        <v>43</v>
      </c>
      <c r="B787">
        <v>63</v>
      </c>
      <c r="C787" t="s">
        <v>2316</v>
      </c>
      <c r="E787" s="23">
        <v>113</v>
      </c>
      <c r="F787" s="23" t="b">
        <v>0</v>
      </c>
      <c r="G787" s="24"/>
      <c r="H787" s="24"/>
      <c r="J787" s="6" t="str">
        <f>_xlfn.XLOOKUP(tbl_Sourcing[[#This Row],[Product Id]], tbl_Product[Product Id], tbl_Product[Name])</f>
        <v>MTG Assassin's Creed Beyond Booster Box</v>
      </c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87" s="6" t="b">
        <f>_xlfn.XLOOKUP(tbl_Sourcing[[#This Row],[Product Id]], tbl_Product[Product Id], tbl_Product[Is Set or Play Booster])</f>
        <v>1</v>
      </c>
      <c r="AX787" s="6" t="b">
        <f>_xlfn.XLOOKUP(tbl_Sourcing[[#This Row],[Product Id]], tbl_Product[Product Id], tbl_Product[Is Precon])</f>
        <v>0</v>
      </c>
    </row>
    <row r="788" spans="1:50">
      <c r="A788">
        <v>28</v>
      </c>
      <c r="B788">
        <v>57</v>
      </c>
      <c r="C788" t="s">
        <v>2316</v>
      </c>
      <c r="E788" s="23">
        <v>141</v>
      </c>
      <c r="F788" s="23" t="b">
        <v>0</v>
      </c>
      <c r="G788" s="24"/>
      <c r="H788" s="24"/>
      <c r="J788" s="6" t="str">
        <f>_xlfn.XLOOKUP(tbl_Sourcing[[#This Row],[Product Id]], tbl_Product[Product Id], tbl_Product[Name])</f>
        <v>MTG Avatar: The Last Airbender Play Booster Box</v>
      </c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88" s="6" t="b">
        <f>_xlfn.XLOOKUP(tbl_Sourcing[[#This Row],[Product Id]], tbl_Product[Product Id], tbl_Product[Is Set or Play Booster])</f>
        <v>1</v>
      </c>
      <c r="AX788" s="6" t="b">
        <f>_xlfn.XLOOKUP(tbl_Sourcing[[#This Row],[Product Id]], tbl_Product[Product Id], tbl_Product[Is Precon])</f>
        <v>0</v>
      </c>
    </row>
    <row r="789" spans="1:50">
      <c r="A789">
        <v>65</v>
      </c>
      <c r="B789">
        <v>71</v>
      </c>
      <c r="C789" t="s">
        <v>2316</v>
      </c>
      <c r="E789" s="23">
        <v>132</v>
      </c>
      <c r="F789" s="23" t="b">
        <v>0</v>
      </c>
      <c r="G789" s="24"/>
      <c r="H789" s="24"/>
      <c r="J789" s="6" t="str">
        <f>_xlfn.XLOOKUP(tbl_Sourcing[[#This Row],[Product Id]], tbl_Product[Product Id], tbl_Product[Name])</f>
        <v>MTG Duskmourn: House of Horror Play Booster Box</v>
      </c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89" s="6" t="b">
        <f>_xlfn.XLOOKUP(tbl_Sourcing[[#This Row],[Product Id]], tbl_Product[Product Id], tbl_Product[Is Set or Play Booster])</f>
        <v>1</v>
      </c>
      <c r="AX789" s="6" t="b">
        <f>_xlfn.XLOOKUP(tbl_Sourcing[[#This Row],[Product Id]], tbl_Product[Product Id], tbl_Product[Is Precon])</f>
        <v>0</v>
      </c>
    </row>
    <row r="790" spans="1:50">
      <c r="A790">
        <v>80</v>
      </c>
      <c r="B790">
        <v>78</v>
      </c>
      <c r="C790" t="s">
        <v>2316</v>
      </c>
      <c r="E790" s="23">
        <v>207</v>
      </c>
      <c r="F790" s="23" t="b">
        <v>0</v>
      </c>
      <c r="G790" s="24"/>
      <c r="H790" s="24"/>
      <c r="J790" s="6" t="str">
        <f>_xlfn.XLOOKUP(tbl_Sourcing[[#This Row],[Product Id]], tbl_Product[Product Id], tbl_Product[Name])</f>
        <v>MTG Final Fantasy Play Booster Box</v>
      </c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0" s="6" t="b">
        <f>_xlfn.XLOOKUP(tbl_Sourcing[[#This Row],[Product Id]], tbl_Product[Product Id], tbl_Product[Is Set or Play Booster])</f>
        <v>1</v>
      </c>
      <c r="AX790" s="6" t="b">
        <f>_xlfn.XLOOKUP(tbl_Sourcing[[#This Row],[Product Id]], tbl_Product[Product Id], tbl_Product[Is Precon])</f>
        <v>0</v>
      </c>
    </row>
    <row r="791" spans="1:50">
      <c r="A791">
        <v>39</v>
      </c>
      <c r="B791">
        <v>61</v>
      </c>
      <c r="C791" t="s">
        <v>2316</v>
      </c>
      <c r="E791" s="23">
        <v>119</v>
      </c>
      <c r="F791" s="23" t="b">
        <v>0</v>
      </c>
      <c r="G791" s="24"/>
      <c r="H791" s="24"/>
      <c r="J791" s="6" t="str">
        <f>_xlfn.XLOOKUP(tbl_Sourcing[[#This Row],[Product Id]], tbl_Product[Product Id], tbl_Product[Name])</f>
        <v>MTG Foundations Play Booster Box</v>
      </c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1" s="6" t="b">
        <f>_xlfn.XLOOKUP(tbl_Sourcing[[#This Row],[Product Id]], tbl_Product[Product Id], tbl_Product[Is Set or Play Booster])</f>
        <v>1</v>
      </c>
      <c r="AX791" s="6" t="b">
        <f>_xlfn.XLOOKUP(tbl_Sourcing[[#This Row],[Product Id]], tbl_Product[Product Id], tbl_Product[Is Precon])</f>
        <v>0</v>
      </c>
    </row>
    <row r="792" spans="1:50">
      <c r="A792">
        <v>8</v>
      </c>
      <c r="B792">
        <v>48</v>
      </c>
      <c r="C792" t="s">
        <v>2316</v>
      </c>
      <c r="E792" s="23">
        <v>180</v>
      </c>
      <c r="F792" s="23" t="b">
        <v>1</v>
      </c>
      <c r="G792" s="24"/>
      <c r="H792" s="24"/>
      <c r="J792" s="6" t="str">
        <f>_xlfn.XLOOKUP(tbl_Sourcing[[#This Row],[Product Id]], tbl_Product[Product Id], tbl_Product[Name])</f>
        <v>MTG Innistrad Remastered INR Play Booster Box</v>
      </c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2" s="6" t="b">
        <f>_xlfn.XLOOKUP(tbl_Sourcing[[#This Row],[Product Id]], tbl_Product[Product Id], tbl_Product[Is Set or Play Booster])</f>
        <v>1</v>
      </c>
      <c r="AX792" s="6" t="b">
        <f>_xlfn.XLOOKUP(tbl_Sourcing[[#This Row],[Product Id]], tbl_Product[Product Id], tbl_Product[Is Precon])</f>
        <v>0</v>
      </c>
    </row>
    <row r="793" spans="1:50">
      <c r="A793">
        <v>47</v>
      </c>
      <c r="B793">
        <v>64</v>
      </c>
      <c r="C793" t="s">
        <v>2316</v>
      </c>
      <c r="E793" s="23">
        <v>135</v>
      </c>
      <c r="F793" s="23" t="b">
        <v>0</v>
      </c>
      <c r="G793" s="24"/>
      <c r="H793" s="24"/>
      <c r="J793" s="6" t="str">
        <f>_xlfn.XLOOKUP(tbl_Sourcing[[#This Row],[Product Id]], tbl_Product[Product Id], tbl_Product[Name])</f>
        <v>MTG Marvel's Spider-Man Play Booster Box</v>
      </c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3" s="6" t="b">
        <f>_xlfn.XLOOKUP(tbl_Sourcing[[#This Row],[Product Id]], tbl_Product[Product Id], tbl_Product[Is Set or Play Booster])</f>
        <v>1</v>
      </c>
      <c r="AX793" s="6" t="b">
        <f>_xlfn.XLOOKUP(tbl_Sourcing[[#This Row],[Product Id]], tbl_Product[Product Id], tbl_Product[Is Precon])</f>
        <v>0</v>
      </c>
    </row>
    <row r="794" spans="1:50">
      <c r="A794">
        <v>35</v>
      </c>
      <c r="B794">
        <v>60</v>
      </c>
      <c r="C794" t="s">
        <v>2316</v>
      </c>
      <c r="E794" s="23">
        <v>250</v>
      </c>
      <c r="F794" s="23" t="b">
        <v>0</v>
      </c>
      <c r="G794" s="24"/>
      <c r="H794" s="24"/>
      <c r="J794" s="6" t="str">
        <f>_xlfn.XLOOKUP(tbl_Sourcing[[#This Row],[Product Id]], tbl_Product[Product Id], tbl_Product[Name])</f>
        <v>MTG Modern Horizons 3 MH3 Play Booster Box</v>
      </c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4" s="6" t="b">
        <f>_xlfn.XLOOKUP(tbl_Sourcing[[#This Row],[Product Id]], tbl_Product[Product Id], tbl_Product[Is Set or Play Booster])</f>
        <v>1</v>
      </c>
      <c r="AX794" s="6" t="b">
        <f>_xlfn.XLOOKUP(tbl_Sourcing[[#This Row],[Product Id]], tbl_Product[Product Id], tbl_Product[Is Precon])</f>
        <v>0</v>
      </c>
    </row>
    <row r="795" spans="1:50">
      <c r="A795">
        <v>56</v>
      </c>
      <c r="B795">
        <v>68</v>
      </c>
      <c r="C795" t="s">
        <v>2316</v>
      </c>
      <c r="E795" s="23">
        <v>170</v>
      </c>
      <c r="F795" s="23" t="b">
        <v>0</v>
      </c>
      <c r="G795" s="24"/>
      <c r="H795" s="24"/>
      <c r="J795" s="6" t="str">
        <f>_xlfn.XLOOKUP(tbl_Sourcing[[#This Row],[Product Id]], tbl_Product[Product Id], tbl_Product[Name])</f>
        <v>MTG Ravnica Remastered Draft Booster Box</v>
      </c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22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5" s="6" t="b">
        <f>_xlfn.XLOOKUP(tbl_Sourcing[[#This Row],[Product Id]], tbl_Product[Product Id], tbl_Product[Is Set or Play Booster])</f>
        <v>1</v>
      </c>
      <c r="AX795" s="6" t="b">
        <f>_xlfn.XLOOKUP(tbl_Sourcing[[#This Row],[Product Id]], tbl_Product[Product Id], tbl_Product[Is Precon])</f>
        <v>0</v>
      </c>
    </row>
    <row r="796" spans="1:50">
      <c r="A796">
        <v>595</v>
      </c>
      <c r="B796">
        <v>63</v>
      </c>
      <c r="C796" t="s">
        <v>2317</v>
      </c>
      <c r="D796" s="25" t="s">
        <v>2318</v>
      </c>
      <c r="E796">
        <v>10</v>
      </c>
      <c r="F796" t="b">
        <v>0</v>
      </c>
      <c r="G796" s="6"/>
      <c r="J796" s="6" t="str">
        <f>_xlfn.XLOOKUP(tbl_Sourcing[[#This Row],[Product Id]], tbl_Product[Product Id], tbl_Product[Name])</f>
        <v>MTG Assassin's Creed Beyond Booster Box</v>
      </c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6" s="6" t="b">
        <f>_xlfn.XLOOKUP(tbl_Sourcing[[#This Row],[Product Id]], tbl_Product[Product Id], tbl_Product[Is Set or Play Booster])</f>
        <v>1</v>
      </c>
      <c r="AX796" s="6" t="b">
        <f>_xlfn.XLOOKUP(tbl_Sourcing[[#This Row],[Product Id]], tbl_Product[Product Id], tbl_Product[Is Precon])</f>
        <v>0</v>
      </c>
    </row>
    <row r="797" spans="1:50">
      <c r="A797">
        <v>594</v>
      </c>
      <c r="B797">
        <v>86</v>
      </c>
      <c r="C797" t="s">
        <v>2317</v>
      </c>
      <c r="D797" s="25" t="s">
        <v>2319</v>
      </c>
      <c r="E797">
        <v>280</v>
      </c>
      <c r="F797" t="b">
        <v>0</v>
      </c>
      <c r="G797" s="6"/>
      <c r="J797" s="6" t="str">
        <f>_xlfn.XLOOKUP(tbl_Sourcing[[#This Row],[Product Id]], tbl_Product[Product Id], tbl_Product[Name])</f>
        <v>MTG Assassin's Creed Beyond Collector Booster Box</v>
      </c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7" s="6" t="b">
        <f>_xlfn.XLOOKUP(tbl_Sourcing[[#This Row],[Product Id]], tbl_Product[Product Id], tbl_Product[Is Set or Play Booster])</f>
        <v>0</v>
      </c>
      <c r="AX797" s="6" t="b">
        <f>_xlfn.XLOOKUP(tbl_Sourcing[[#This Row],[Product Id]], tbl_Product[Product Id], tbl_Product[Is Precon])</f>
        <v>0</v>
      </c>
    </row>
    <row r="798" spans="1:50">
      <c r="A798">
        <v>577</v>
      </c>
      <c r="B798">
        <v>57</v>
      </c>
      <c r="C798" t="s">
        <v>2317</v>
      </c>
      <c r="D798" s="25" t="s">
        <v>2320</v>
      </c>
      <c r="E798">
        <v>135</v>
      </c>
      <c r="F798" t="b">
        <v>1</v>
      </c>
      <c r="G798" s="6"/>
      <c r="J798" s="6" t="str">
        <f>_xlfn.XLOOKUP(tbl_Sourcing[[#This Row],[Product Id]], tbl_Product[Product Id], tbl_Product[Name])</f>
        <v>MTG Avatar: The Last Airbender Play Booster Box</v>
      </c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8" s="6" t="b">
        <f>_xlfn.XLOOKUP(tbl_Sourcing[[#This Row],[Product Id]], tbl_Product[Product Id], tbl_Product[Is Set or Play Booster])</f>
        <v>1</v>
      </c>
      <c r="AX798" s="6" t="b">
        <f>_xlfn.XLOOKUP(tbl_Sourcing[[#This Row],[Product Id]], tbl_Product[Product Id], tbl_Product[Is Precon])</f>
        <v>0</v>
      </c>
    </row>
    <row r="799" spans="1:50">
      <c r="A799">
        <v>596</v>
      </c>
      <c r="B799">
        <v>79</v>
      </c>
      <c r="C799" t="s">
        <v>2317</v>
      </c>
      <c r="D799" s="25" t="s">
        <v>2321</v>
      </c>
      <c r="E799">
        <v>149</v>
      </c>
      <c r="F799" t="b">
        <v>0</v>
      </c>
      <c r="G799" s="6"/>
      <c r="J799" s="6" t="str">
        <f>_xlfn.XLOOKUP(tbl_Sourcing[[#This Row],[Product Id]], tbl_Product[Product Id], tbl_Product[Name])</f>
        <v>MTG Bloomburrow Play Booster Box</v>
      </c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799" s="6" t="b">
        <f>_xlfn.XLOOKUP(tbl_Sourcing[[#This Row],[Product Id]], tbl_Product[Product Id], tbl_Product[Is Set or Play Booster])</f>
        <v>1</v>
      </c>
      <c r="AX799" s="6" t="b">
        <f>_xlfn.XLOOKUP(tbl_Sourcing[[#This Row],[Product Id]], tbl_Product[Product Id], tbl_Product[Is Precon])</f>
        <v>0</v>
      </c>
    </row>
    <row r="800" spans="1:50">
      <c r="A800">
        <v>598</v>
      </c>
      <c r="B800">
        <v>165</v>
      </c>
      <c r="C800" t="s">
        <v>2317</v>
      </c>
      <c r="D800" s="25" t="s">
        <v>2322</v>
      </c>
      <c r="E800">
        <v>38</v>
      </c>
      <c r="F800" t="b">
        <v>0</v>
      </c>
      <c r="G800" s="6"/>
      <c r="J800" s="6" t="str">
        <f>_xlfn.XLOOKUP(tbl_Sourcing[[#This Row],[Product Id]], tbl_Product[Product Id], tbl_Product[Name])</f>
        <v>MTG Duskmourn: House of Horror Death Toll Precon</v>
      </c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0" s="6" t="b">
        <f>_xlfn.XLOOKUP(tbl_Sourcing[[#This Row],[Product Id]], tbl_Product[Product Id], tbl_Product[Is Set or Play Booster])</f>
        <v>0</v>
      </c>
      <c r="AX800" s="6" t="b">
        <f>_xlfn.XLOOKUP(tbl_Sourcing[[#This Row],[Product Id]], tbl_Product[Product Id], tbl_Product[Is Precon])</f>
        <v>1</v>
      </c>
    </row>
    <row r="801" spans="1:50">
      <c r="A801">
        <v>580</v>
      </c>
      <c r="B801">
        <v>71</v>
      </c>
      <c r="C801" t="s">
        <v>2317</v>
      </c>
      <c r="D801" s="25" t="s">
        <v>2323</v>
      </c>
      <c r="E801">
        <v>135</v>
      </c>
      <c r="F801" t="b">
        <v>1</v>
      </c>
      <c r="G801" s="6"/>
      <c r="J801" s="6" t="str">
        <f>_xlfn.XLOOKUP(tbl_Sourcing[[#This Row],[Product Id]], tbl_Product[Product Id], tbl_Product[Name])</f>
        <v>MTG Duskmourn: House of Horror Play Booster Box</v>
      </c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1" s="6" t="b">
        <f>_xlfn.XLOOKUP(tbl_Sourcing[[#This Row],[Product Id]], tbl_Product[Product Id], tbl_Product[Is Set or Play Booster])</f>
        <v>1</v>
      </c>
      <c r="AX801" s="6" t="b">
        <f>_xlfn.XLOOKUP(tbl_Sourcing[[#This Row],[Product Id]], tbl_Product[Product Id], tbl_Product[Is Precon])</f>
        <v>0</v>
      </c>
    </row>
    <row r="802" spans="1:50">
      <c r="A802">
        <v>597</v>
      </c>
      <c r="B802">
        <v>71</v>
      </c>
      <c r="C802" t="s">
        <v>2317</v>
      </c>
      <c r="D802" s="25" t="s">
        <v>2323</v>
      </c>
      <c r="E802">
        <v>135</v>
      </c>
      <c r="F802" t="b">
        <v>1</v>
      </c>
      <c r="G802" s="6"/>
      <c r="J802" s="6" t="str">
        <f>_xlfn.XLOOKUP(tbl_Sourcing[[#This Row],[Product Id]], tbl_Product[Product Id], tbl_Product[Name])</f>
        <v>MTG Duskmourn: House of Horror Play Booster Box</v>
      </c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2" s="6" t="b">
        <f>_xlfn.XLOOKUP(tbl_Sourcing[[#This Row],[Product Id]], tbl_Product[Product Id], tbl_Product[Is Set or Play Booster])</f>
        <v>1</v>
      </c>
      <c r="AX802" s="6" t="b">
        <f>_xlfn.XLOOKUP(tbl_Sourcing[[#This Row],[Product Id]], tbl_Product[Product Id], tbl_Product[Is Precon])</f>
        <v>0</v>
      </c>
    </row>
    <row r="803" spans="1:50">
      <c r="A803">
        <v>574</v>
      </c>
      <c r="B803">
        <v>98</v>
      </c>
      <c r="C803" t="s">
        <v>2317</v>
      </c>
      <c r="D803" s="25" t="s">
        <v>2324</v>
      </c>
      <c r="E803">
        <v>380</v>
      </c>
      <c r="F803" t="b">
        <v>1</v>
      </c>
      <c r="G803" s="6"/>
      <c r="J803" s="6" t="str">
        <f>_xlfn.XLOOKUP(tbl_Sourcing[[#This Row],[Product Id]], tbl_Product[Product Id], tbl_Product[Name])</f>
        <v>MTG Edge of Eternities Collector Booster Box</v>
      </c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3" s="6" t="b">
        <f>_xlfn.XLOOKUP(tbl_Sourcing[[#This Row],[Product Id]], tbl_Product[Product Id], tbl_Product[Is Set or Play Booster])</f>
        <v>0</v>
      </c>
      <c r="AX803" s="6" t="b">
        <f>_xlfn.XLOOKUP(tbl_Sourcing[[#This Row],[Product Id]], tbl_Product[Product Id], tbl_Product[Is Precon])</f>
        <v>0</v>
      </c>
    </row>
    <row r="804" spans="1:50">
      <c r="A804">
        <v>599</v>
      </c>
      <c r="B804">
        <v>98</v>
      </c>
      <c r="C804" t="s">
        <v>2317</v>
      </c>
      <c r="D804" s="25" t="s">
        <v>2324</v>
      </c>
      <c r="E804">
        <v>380</v>
      </c>
      <c r="F804" t="b">
        <v>1</v>
      </c>
      <c r="G804" s="6"/>
      <c r="J804" s="6" t="str">
        <f>_xlfn.XLOOKUP(tbl_Sourcing[[#This Row],[Product Id]], tbl_Product[Product Id], tbl_Product[Name])</f>
        <v>MTG Edge of Eternities Collector Booster Box</v>
      </c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4" s="6" t="b">
        <f>_xlfn.XLOOKUP(tbl_Sourcing[[#This Row],[Product Id]], tbl_Product[Product Id], tbl_Product[Is Set or Play Booster])</f>
        <v>0</v>
      </c>
      <c r="AX804" s="6" t="b">
        <f>_xlfn.XLOOKUP(tbl_Sourcing[[#This Row],[Product Id]], tbl_Product[Product Id], tbl_Product[Is Precon])</f>
        <v>0</v>
      </c>
    </row>
    <row r="805" spans="1:50">
      <c r="A805">
        <v>589</v>
      </c>
      <c r="B805">
        <v>150</v>
      </c>
      <c r="C805" t="s">
        <v>2317</v>
      </c>
      <c r="D805" s="25" t="s">
        <v>2325</v>
      </c>
      <c r="E805">
        <v>50</v>
      </c>
      <c r="F805" t="b">
        <v>0</v>
      </c>
      <c r="G805" s="6"/>
      <c r="J805" s="6" t="str">
        <f>_xlfn.XLOOKUP(tbl_Sourcing[[#This Row],[Product Id]], tbl_Product[Product Id], tbl_Product[Name])</f>
        <v>MTG Edge of Eternities Counter Intelligence Precon</v>
      </c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5" s="6" t="b">
        <f>_xlfn.XLOOKUP(tbl_Sourcing[[#This Row],[Product Id]], tbl_Product[Product Id], tbl_Product[Is Set or Play Booster])</f>
        <v>0</v>
      </c>
      <c r="AX805" s="6" t="b">
        <f>_xlfn.XLOOKUP(tbl_Sourcing[[#This Row],[Product Id]], tbl_Product[Product Id], tbl_Product[Is Precon])</f>
        <v>1</v>
      </c>
    </row>
    <row r="806" spans="1:50">
      <c r="A806">
        <v>600</v>
      </c>
      <c r="B806">
        <v>150</v>
      </c>
      <c r="C806" t="s">
        <v>2317</v>
      </c>
      <c r="D806" s="25" t="s">
        <v>2325</v>
      </c>
      <c r="E806">
        <v>50</v>
      </c>
      <c r="F806" t="b">
        <v>0</v>
      </c>
      <c r="G806" s="6"/>
      <c r="J806" s="6" t="str">
        <f>_xlfn.XLOOKUP(tbl_Sourcing[[#This Row],[Product Id]], tbl_Product[Product Id], tbl_Product[Name])</f>
        <v>MTG Edge of Eternities Counter Intelligence Precon</v>
      </c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6" s="6" t="b">
        <f>_xlfn.XLOOKUP(tbl_Sourcing[[#This Row],[Product Id]], tbl_Product[Product Id], tbl_Product[Is Set or Play Booster])</f>
        <v>0</v>
      </c>
      <c r="AX806" s="6" t="b">
        <f>_xlfn.XLOOKUP(tbl_Sourcing[[#This Row],[Product Id]], tbl_Product[Product Id], tbl_Product[Is Precon])</f>
        <v>1</v>
      </c>
    </row>
    <row r="807" spans="1:50">
      <c r="A807">
        <v>591</v>
      </c>
      <c r="B807">
        <v>65</v>
      </c>
      <c r="C807" t="s">
        <v>2317</v>
      </c>
      <c r="D807" s="25" t="s">
        <v>2326</v>
      </c>
      <c r="E807">
        <v>115</v>
      </c>
      <c r="F807" t="b">
        <v>0</v>
      </c>
      <c r="G807" s="6"/>
      <c r="J807" s="6" t="str">
        <f>_xlfn.XLOOKUP(tbl_Sourcing[[#This Row],[Product Id]], tbl_Product[Product Id], tbl_Product[Name])</f>
        <v>MTG Edge of Eternities Play Booster Box</v>
      </c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7" s="6" t="b">
        <f>_xlfn.XLOOKUP(tbl_Sourcing[[#This Row],[Product Id]], tbl_Product[Product Id], tbl_Product[Is Set or Play Booster])</f>
        <v>1</v>
      </c>
      <c r="AX807" s="6" t="b">
        <f>_xlfn.XLOOKUP(tbl_Sourcing[[#This Row],[Product Id]], tbl_Product[Product Id], tbl_Product[Is Precon])</f>
        <v>0</v>
      </c>
    </row>
    <row r="808" spans="1:50">
      <c r="A808">
        <v>602</v>
      </c>
      <c r="B808">
        <v>65</v>
      </c>
      <c r="C808" t="s">
        <v>2317</v>
      </c>
      <c r="D808" s="25" t="s">
        <v>2326</v>
      </c>
      <c r="E808">
        <v>115</v>
      </c>
      <c r="F808" t="b">
        <v>0</v>
      </c>
      <c r="G808" s="6"/>
      <c r="J808" s="6" t="str">
        <f>_xlfn.XLOOKUP(tbl_Sourcing[[#This Row],[Product Id]], tbl_Product[Product Id], tbl_Product[Name])</f>
        <v>MTG Edge of Eternities Play Booster Box</v>
      </c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8" s="6" t="b">
        <f>_xlfn.XLOOKUP(tbl_Sourcing[[#This Row],[Product Id]], tbl_Product[Product Id], tbl_Product[Is Set or Play Booster])</f>
        <v>1</v>
      </c>
      <c r="AX808" s="6" t="b">
        <f>_xlfn.XLOOKUP(tbl_Sourcing[[#This Row],[Product Id]], tbl_Product[Product Id], tbl_Product[Is Precon])</f>
        <v>0</v>
      </c>
    </row>
    <row r="809" spans="1:50">
      <c r="A809">
        <v>588</v>
      </c>
      <c r="B809">
        <v>149</v>
      </c>
      <c r="C809" t="s">
        <v>2317</v>
      </c>
      <c r="D809" s="25" t="s">
        <v>2327</v>
      </c>
      <c r="E809">
        <v>50</v>
      </c>
      <c r="F809" t="b">
        <v>0</v>
      </c>
      <c r="G809" s="6"/>
      <c r="J809" s="6" t="str">
        <f>_xlfn.XLOOKUP(tbl_Sourcing[[#This Row],[Product Id]], tbl_Product[Product Id], tbl_Product[Name])</f>
        <v>MTG Edge of Eternities World Shaper Precon</v>
      </c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09" s="6" t="b">
        <f>_xlfn.XLOOKUP(tbl_Sourcing[[#This Row],[Product Id]], tbl_Product[Product Id], tbl_Product[Is Set or Play Booster])</f>
        <v>0</v>
      </c>
      <c r="AX809" s="6" t="b">
        <f>_xlfn.XLOOKUP(tbl_Sourcing[[#This Row],[Product Id]], tbl_Product[Product Id], tbl_Product[Is Precon])</f>
        <v>1</v>
      </c>
    </row>
    <row r="810" spans="1:50">
      <c r="A810">
        <v>601</v>
      </c>
      <c r="B810">
        <v>149</v>
      </c>
      <c r="C810" t="s">
        <v>2317</v>
      </c>
      <c r="D810" s="25" t="s">
        <v>2327</v>
      </c>
      <c r="E810">
        <v>50</v>
      </c>
      <c r="F810" t="b">
        <v>0</v>
      </c>
      <c r="G810" s="6"/>
      <c r="J810" s="6" t="str">
        <f>_xlfn.XLOOKUP(tbl_Sourcing[[#This Row],[Product Id]], tbl_Product[Product Id], tbl_Product[Name])</f>
        <v>MTG Edge of Eternities World Shaper Precon</v>
      </c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0" s="6" t="b">
        <f>_xlfn.XLOOKUP(tbl_Sourcing[[#This Row],[Product Id]], tbl_Product[Product Id], tbl_Product[Is Set or Play Booster])</f>
        <v>0</v>
      </c>
      <c r="AX810" s="6" t="b">
        <f>_xlfn.XLOOKUP(tbl_Sourcing[[#This Row],[Product Id]], tbl_Product[Product Id], tbl_Product[Is Precon])</f>
        <v>1</v>
      </c>
    </row>
    <row r="811" spans="1:50">
      <c r="A811">
        <v>630</v>
      </c>
      <c r="B811">
        <v>180</v>
      </c>
      <c r="C811" t="s">
        <v>2317</v>
      </c>
      <c r="D811" s="8" t="s">
        <v>2328</v>
      </c>
      <c r="E811">
        <v>50</v>
      </c>
      <c r="F811" t="b">
        <v>0</v>
      </c>
      <c r="G811" s="6"/>
      <c r="J811" s="6" t="str">
        <f>_xlfn.XLOOKUP(tbl_Sourcing[[#This Row],[Product Id]], tbl_Product[Product Id], tbl_Product[Name])</f>
        <v>MTG Fallout Hail, Caesar Precon</v>
      </c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1" s="6" t="b">
        <f>_xlfn.XLOOKUP(tbl_Sourcing[[#This Row],[Product Id]], tbl_Product[Product Id], tbl_Product[Is Set or Play Booster])</f>
        <v>0</v>
      </c>
      <c r="AX811" s="6" t="b">
        <f>_xlfn.XLOOKUP(tbl_Sourcing[[#This Row],[Product Id]], tbl_Product[Product Id], tbl_Product[Is Precon])</f>
        <v>1</v>
      </c>
    </row>
    <row r="812" spans="1:50">
      <c r="A812">
        <v>631</v>
      </c>
      <c r="B812">
        <v>179</v>
      </c>
      <c r="C812" t="s">
        <v>2317</v>
      </c>
      <c r="D812" s="8" t="s">
        <v>2329</v>
      </c>
      <c r="E812">
        <v>41</v>
      </c>
      <c r="F812" t="b">
        <v>0</v>
      </c>
      <c r="G812" s="6"/>
      <c r="J812" s="6" t="str">
        <f>_xlfn.XLOOKUP(tbl_Sourcing[[#This Row],[Product Id]], tbl_Product[Product Id], tbl_Product[Name])</f>
        <v>MTG Fallout Science! Precon</v>
      </c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2" s="6" t="b">
        <f>_xlfn.XLOOKUP(tbl_Sourcing[[#This Row],[Product Id]], tbl_Product[Product Id], tbl_Product[Is Set or Play Booster])</f>
        <v>0</v>
      </c>
      <c r="AX812" s="6" t="b">
        <f>_xlfn.XLOOKUP(tbl_Sourcing[[#This Row],[Product Id]], tbl_Product[Product Id], tbl_Product[Is Precon])</f>
        <v>1</v>
      </c>
    </row>
    <row r="813" spans="1:50">
      <c r="A813">
        <v>586</v>
      </c>
      <c r="B813">
        <v>153</v>
      </c>
      <c r="C813" t="s">
        <v>2317</v>
      </c>
      <c r="D813" s="25" t="s">
        <v>2330</v>
      </c>
      <c r="E813">
        <v>70</v>
      </c>
      <c r="F813" t="b">
        <v>0</v>
      </c>
      <c r="G813" s="6"/>
      <c r="J813" s="6" t="str">
        <f>_xlfn.XLOOKUP(tbl_Sourcing[[#This Row],[Product Id]], tbl_Product[Product Id], tbl_Product[Name])</f>
        <v>MTG Final Fantasy Counter Blitz Precon</v>
      </c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3" s="6" t="b">
        <f>_xlfn.XLOOKUP(tbl_Sourcing[[#This Row],[Product Id]], tbl_Product[Product Id], tbl_Product[Is Set or Play Booster])</f>
        <v>0</v>
      </c>
      <c r="AX813" s="6" t="b">
        <f>_xlfn.XLOOKUP(tbl_Sourcing[[#This Row],[Product Id]], tbl_Product[Product Id], tbl_Product[Is Precon])</f>
        <v>1</v>
      </c>
    </row>
    <row r="814" spans="1:50">
      <c r="A814">
        <v>603</v>
      </c>
      <c r="B814">
        <v>153</v>
      </c>
      <c r="C814" t="s">
        <v>2317</v>
      </c>
      <c r="D814" s="25" t="s">
        <v>2330</v>
      </c>
      <c r="E814">
        <v>70</v>
      </c>
      <c r="F814" t="b">
        <v>0</v>
      </c>
      <c r="G814" s="6"/>
      <c r="J814" s="6" t="str">
        <f>_xlfn.XLOOKUP(tbl_Sourcing[[#This Row],[Product Id]], tbl_Product[Product Id], tbl_Product[Name])</f>
        <v>MTG Final Fantasy Counter Blitz Precon</v>
      </c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4" s="6" t="b">
        <f>_xlfn.XLOOKUP(tbl_Sourcing[[#This Row],[Product Id]], tbl_Product[Product Id], tbl_Product[Is Set or Play Booster])</f>
        <v>0</v>
      </c>
      <c r="AX814" s="6" t="b">
        <f>_xlfn.XLOOKUP(tbl_Sourcing[[#This Row],[Product Id]], tbl_Product[Product Id], tbl_Product[Is Precon])</f>
        <v>1</v>
      </c>
    </row>
    <row r="815" spans="1:50">
      <c r="A815">
        <v>587</v>
      </c>
      <c r="B815">
        <v>152</v>
      </c>
      <c r="C815" t="s">
        <v>2317</v>
      </c>
      <c r="D815" s="25" t="s">
        <v>2331</v>
      </c>
      <c r="E815">
        <v>55</v>
      </c>
      <c r="F815" t="b">
        <v>0</v>
      </c>
      <c r="G815" s="6"/>
      <c r="J815" s="6" t="str">
        <f>_xlfn.XLOOKUP(tbl_Sourcing[[#This Row],[Product Id]], tbl_Product[Product Id], tbl_Product[Name])</f>
        <v>MTG Final Fantasy Limit Break Precon</v>
      </c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5" s="6" t="b">
        <f>_xlfn.XLOOKUP(tbl_Sourcing[[#This Row],[Product Id]], tbl_Product[Product Id], tbl_Product[Is Set or Play Booster])</f>
        <v>0</v>
      </c>
      <c r="AX815" s="6" t="b">
        <f>_xlfn.XLOOKUP(tbl_Sourcing[[#This Row],[Product Id]], tbl_Product[Product Id], tbl_Product[Is Precon])</f>
        <v>1</v>
      </c>
    </row>
    <row r="816" spans="1:50">
      <c r="A816">
        <v>604</v>
      </c>
      <c r="B816">
        <v>152</v>
      </c>
      <c r="C816" t="s">
        <v>2317</v>
      </c>
      <c r="D816" s="25" t="s">
        <v>2331</v>
      </c>
      <c r="E816">
        <v>70</v>
      </c>
      <c r="F816" t="b">
        <v>0</v>
      </c>
      <c r="G816" s="6"/>
      <c r="J816" s="6" t="str">
        <f>_xlfn.XLOOKUP(tbl_Sourcing[[#This Row],[Product Id]], tbl_Product[Product Id], tbl_Product[Name])</f>
        <v>MTG Final Fantasy Limit Break Precon</v>
      </c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6" s="6" t="b">
        <f>_xlfn.XLOOKUP(tbl_Sourcing[[#This Row],[Product Id]], tbl_Product[Product Id], tbl_Product[Is Set or Play Booster])</f>
        <v>0</v>
      </c>
      <c r="AX816" s="6" t="b">
        <f>_xlfn.XLOOKUP(tbl_Sourcing[[#This Row],[Product Id]], tbl_Product[Product Id], tbl_Product[Is Precon])</f>
        <v>1</v>
      </c>
    </row>
    <row r="817" spans="1:50">
      <c r="A817">
        <v>575</v>
      </c>
      <c r="B817">
        <v>78</v>
      </c>
      <c r="C817" t="s">
        <v>2317</v>
      </c>
      <c r="D817" s="25" t="s">
        <v>2332</v>
      </c>
      <c r="E817">
        <v>165</v>
      </c>
      <c r="F817" t="b">
        <v>1</v>
      </c>
      <c r="G817" s="6"/>
      <c r="J817" s="6" t="str">
        <f>_xlfn.XLOOKUP(tbl_Sourcing[[#This Row],[Product Id]], tbl_Product[Product Id], tbl_Product[Name])</f>
        <v>MTG Final Fantasy Play Booster Box</v>
      </c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7" s="6" t="b">
        <f>_xlfn.XLOOKUP(tbl_Sourcing[[#This Row],[Product Id]], tbl_Product[Product Id], tbl_Product[Is Set or Play Booster])</f>
        <v>1</v>
      </c>
      <c r="AX817" s="6" t="b">
        <f>_xlfn.XLOOKUP(tbl_Sourcing[[#This Row],[Product Id]], tbl_Product[Product Id], tbl_Product[Is Precon])</f>
        <v>0</v>
      </c>
    </row>
    <row r="818" spans="1:50">
      <c r="A818">
        <v>576</v>
      </c>
      <c r="B818">
        <v>151</v>
      </c>
      <c r="C818" t="s">
        <v>2317</v>
      </c>
      <c r="D818" s="25" t="s">
        <v>2333</v>
      </c>
      <c r="E818">
        <v>48</v>
      </c>
      <c r="F818" t="b">
        <v>1</v>
      </c>
      <c r="G818" s="6"/>
      <c r="J818" s="6" t="str">
        <f>_xlfn.XLOOKUP(tbl_Sourcing[[#This Row],[Product Id]], tbl_Product[Product Id], tbl_Product[Name])</f>
        <v>MTG Final Fantasy Revival Trance Precon</v>
      </c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8" s="6" t="b">
        <f>_xlfn.XLOOKUP(tbl_Sourcing[[#This Row],[Product Id]], tbl_Product[Product Id], tbl_Product[Is Set or Play Booster])</f>
        <v>0</v>
      </c>
      <c r="AX818" s="6" t="b">
        <f>_xlfn.XLOOKUP(tbl_Sourcing[[#This Row],[Product Id]], tbl_Product[Product Id], tbl_Product[Is Precon])</f>
        <v>1</v>
      </c>
    </row>
    <row r="819" spans="1:50">
      <c r="A819">
        <v>605</v>
      </c>
      <c r="B819">
        <v>151</v>
      </c>
      <c r="C819" t="s">
        <v>2317</v>
      </c>
      <c r="D819" s="25" t="s">
        <v>2333</v>
      </c>
      <c r="E819">
        <v>48</v>
      </c>
      <c r="F819" t="b">
        <v>1</v>
      </c>
      <c r="G819" s="6"/>
      <c r="J819" s="6" t="str">
        <f>_xlfn.XLOOKUP(tbl_Sourcing[[#This Row],[Product Id]], tbl_Product[Product Id], tbl_Product[Name])</f>
        <v>MTG Final Fantasy Revival Trance Precon</v>
      </c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19" s="6" t="b">
        <f>_xlfn.XLOOKUP(tbl_Sourcing[[#This Row],[Product Id]], tbl_Product[Product Id], tbl_Product[Is Set or Play Booster])</f>
        <v>0</v>
      </c>
      <c r="AX819" s="6" t="b">
        <f>_xlfn.XLOOKUP(tbl_Sourcing[[#This Row],[Product Id]], tbl_Product[Product Id], tbl_Product[Is Precon])</f>
        <v>1</v>
      </c>
    </row>
    <row r="820" spans="1:50">
      <c r="A820">
        <v>590</v>
      </c>
      <c r="B820">
        <v>154</v>
      </c>
      <c r="C820" t="s">
        <v>2317</v>
      </c>
      <c r="D820" s="25" t="s">
        <v>2334</v>
      </c>
      <c r="E820">
        <v>60</v>
      </c>
      <c r="F820" t="b">
        <v>0</v>
      </c>
      <c r="G820" s="6"/>
      <c r="J820" s="6" t="str">
        <f>_xlfn.XLOOKUP(tbl_Sourcing[[#This Row],[Product Id]], tbl_Product[Product Id], tbl_Product[Name])</f>
        <v>MTG Final Fantasy Scions &amp; Spellcraft Precon</v>
      </c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0" s="6" t="b">
        <f>_xlfn.XLOOKUP(tbl_Sourcing[[#This Row],[Product Id]], tbl_Product[Product Id], tbl_Product[Is Set or Play Booster])</f>
        <v>0</v>
      </c>
      <c r="AX820" s="6" t="b">
        <f>_xlfn.XLOOKUP(tbl_Sourcing[[#This Row],[Product Id]], tbl_Product[Product Id], tbl_Product[Is Precon])</f>
        <v>1</v>
      </c>
    </row>
    <row r="821" spans="1:50">
      <c r="A821">
        <v>606</v>
      </c>
      <c r="B821">
        <v>154</v>
      </c>
      <c r="C821" t="s">
        <v>2317</v>
      </c>
      <c r="D821" s="25" t="s">
        <v>2334</v>
      </c>
      <c r="E821">
        <v>60</v>
      </c>
      <c r="F821" t="b">
        <v>0</v>
      </c>
      <c r="G821" s="6"/>
      <c r="J821" s="6" t="str">
        <f>_xlfn.XLOOKUP(tbl_Sourcing[[#This Row],[Product Id]], tbl_Product[Product Id], tbl_Product[Name])</f>
        <v>MTG Final Fantasy Scions &amp; Spellcraft Precon</v>
      </c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1" s="6" t="b">
        <f>_xlfn.XLOOKUP(tbl_Sourcing[[#This Row],[Product Id]], tbl_Product[Product Id], tbl_Product[Is Set or Play Booster])</f>
        <v>0</v>
      </c>
      <c r="AX821" s="6" t="b">
        <f>_xlfn.XLOOKUP(tbl_Sourcing[[#This Row],[Product Id]], tbl_Product[Product Id], tbl_Product[Is Precon])</f>
        <v>1</v>
      </c>
    </row>
    <row r="822" spans="1:50">
      <c r="A822">
        <v>607</v>
      </c>
      <c r="B822">
        <v>61</v>
      </c>
      <c r="C822" t="s">
        <v>2317</v>
      </c>
      <c r="D822" s="25" t="s">
        <v>2335</v>
      </c>
      <c r="E822">
        <v>140</v>
      </c>
      <c r="F822" t="b">
        <v>0</v>
      </c>
      <c r="G822" s="6"/>
      <c r="J822" s="6" t="str">
        <f>_xlfn.XLOOKUP(tbl_Sourcing[[#This Row],[Product Id]], tbl_Product[Product Id], tbl_Product[Name])</f>
        <v>MTG Foundations Play Booster Box</v>
      </c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2" s="6" t="b">
        <f>_xlfn.XLOOKUP(tbl_Sourcing[[#This Row],[Product Id]], tbl_Product[Product Id], tbl_Product[Is Set or Play Booster])</f>
        <v>1</v>
      </c>
      <c r="AX822" s="6" t="b">
        <f>_xlfn.XLOOKUP(tbl_Sourcing[[#This Row],[Product Id]], tbl_Product[Product Id], tbl_Product[Is Precon])</f>
        <v>0</v>
      </c>
    </row>
    <row r="823" spans="1:50">
      <c r="A823">
        <v>572</v>
      </c>
      <c r="B823">
        <v>236</v>
      </c>
      <c r="C823" t="s">
        <v>2317</v>
      </c>
      <c r="D823" s="25" t="s">
        <v>2336</v>
      </c>
      <c r="E823">
        <v>45</v>
      </c>
      <c r="F823" t="b">
        <v>1</v>
      </c>
      <c r="G823" s="6"/>
      <c r="J823" s="6" t="str">
        <f>_xlfn.XLOOKUP(tbl_Sourcing[[#This Row],[Product Id]], tbl_Product[Product Id], tbl_Product[Name])</f>
        <v>MTG Lorwyn Eclipsed Blight Curse Precon</v>
      </c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3" s="6" t="b">
        <f>_xlfn.XLOOKUP(tbl_Sourcing[[#This Row],[Product Id]], tbl_Product[Product Id], tbl_Product[Is Set or Play Booster])</f>
        <v>0</v>
      </c>
      <c r="AX823" s="6" t="b">
        <f>_xlfn.XLOOKUP(tbl_Sourcing[[#This Row],[Product Id]], tbl_Product[Product Id], tbl_Product[Is Precon])</f>
        <v>1</v>
      </c>
    </row>
    <row r="824" spans="1:50">
      <c r="A824">
        <v>570</v>
      </c>
      <c r="B824">
        <v>114</v>
      </c>
      <c r="C824" t="s">
        <v>2317</v>
      </c>
      <c r="D824" s="25" t="s">
        <v>2337</v>
      </c>
      <c r="E824">
        <v>330</v>
      </c>
      <c r="F824" t="b">
        <v>1</v>
      </c>
      <c r="G824" s="6"/>
      <c r="J824" s="6" t="str">
        <f>_xlfn.XLOOKUP(tbl_Sourcing[[#This Row],[Product Id]], tbl_Product[Product Id], tbl_Product[Name])</f>
        <v>MTG Lorwyn Eclipsed Collector Booster Box</v>
      </c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4" s="6" t="b">
        <f>_xlfn.XLOOKUP(tbl_Sourcing[[#This Row],[Product Id]], tbl_Product[Product Id], tbl_Product[Is Set or Play Booster])</f>
        <v>0</v>
      </c>
      <c r="AX824" s="6" t="b">
        <f>_xlfn.XLOOKUP(tbl_Sourcing[[#This Row],[Product Id]], tbl_Product[Product Id], tbl_Product[Is Precon])</f>
        <v>0</v>
      </c>
    </row>
    <row r="825" spans="1:50">
      <c r="A825">
        <v>573</v>
      </c>
      <c r="B825">
        <v>237</v>
      </c>
      <c r="C825" t="s">
        <v>2317</v>
      </c>
      <c r="D825" s="25" t="s">
        <v>2338</v>
      </c>
      <c r="E825">
        <v>45</v>
      </c>
      <c r="F825" t="b">
        <v>1</v>
      </c>
      <c r="G825" s="6"/>
      <c r="J825" s="6" t="str">
        <f>_xlfn.XLOOKUP(tbl_Sourcing[[#This Row],[Product Id]], tbl_Product[Product Id], tbl_Product[Name])</f>
        <v>MTG Lorwyn Eclipsed Dance of the Elements Precon</v>
      </c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5" s="6" t="b">
        <f>_xlfn.XLOOKUP(tbl_Sourcing[[#This Row],[Product Id]], tbl_Product[Product Id], tbl_Product[Is Set or Play Booster])</f>
        <v>0</v>
      </c>
      <c r="AX825" s="6" t="b">
        <f>_xlfn.XLOOKUP(tbl_Sourcing[[#This Row],[Product Id]], tbl_Product[Product Id], tbl_Product[Is Precon])</f>
        <v>1</v>
      </c>
    </row>
    <row r="826" spans="1:50">
      <c r="A826">
        <v>569</v>
      </c>
      <c r="B826">
        <v>49</v>
      </c>
      <c r="C826" t="s">
        <v>2317</v>
      </c>
      <c r="D826" s="25" t="s">
        <v>2339</v>
      </c>
      <c r="E826">
        <v>130</v>
      </c>
      <c r="F826" t="b">
        <v>1</v>
      </c>
      <c r="G826" s="6"/>
      <c r="J826" s="6" t="str">
        <f>_xlfn.XLOOKUP(tbl_Sourcing[[#This Row],[Product Id]], tbl_Product[Product Id], tbl_Product[Name])</f>
        <v>MTG Lorwyn Eclipsed Play Booster Box</v>
      </c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6" s="6" t="b">
        <f>_xlfn.XLOOKUP(tbl_Sourcing[[#This Row],[Product Id]], tbl_Product[Product Id], tbl_Product[Is Set or Play Booster])</f>
        <v>1</v>
      </c>
      <c r="AX826" s="6" t="b">
        <f>_xlfn.XLOOKUP(tbl_Sourcing[[#This Row],[Product Id]], tbl_Product[Product Id], tbl_Product[Is Precon])</f>
        <v>0</v>
      </c>
    </row>
    <row r="827" spans="1:50">
      <c r="A827">
        <v>581</v>
      </c>
      <c r="B827">
        <v>49</v>
      </c>
      <c r="C827" t="s">
        <v>2317</v>
      </c>
      <c r="D827" s="25" t="s">
        <v>2340</v>
      </c>
      <c r="E827">
        <v>140</v>
      </c>
      <c r="F827" t="b">
        <v>1</v>
      </c>
      <c r="G827" s="6"/>
      <c r="J827" s="6" t="str">
        <f>_xlfn.XLOOKUP(tbl_Sourcing[[#This Row],[Product Id]], tbl_Product[Product Id], tbl_Product[Name])</f>
        <v>MTG Lorwyn Eclipsed Play Booster Box</v>
      </c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7" s="6" t="b">
        <f>_xlfn.XLOOKUP(tbl_Sourcing[[#This Row],[Product Id]], tbl_Product[Product Id], tbl_Product[Is Set or Play Booster])</f>
        <v>1</v>
      </c>
      <c r="AX827" s="6" t="b">
        <f>_xlfn.XLOOKUP(tbl_Sourcing[[#This Row],[Product Id]], tbl_Product[Product Id], tbl_Product[Is Precon])</f>
        <v>0</v>
      </c>
    </row>
    <row r="828" spans="1:50">
      <c r="A828">
        <v>579</v>
      </c>
      <c r="B828">
        <v>118</v>
      </c>
      <c r="C828" t="s">
        <v>2317</v>
      </c>
      <c r="D828" s="25" t="s">
        <v>2341</v>
      </c>
      <c r="E828">
        <v>330</v>
      </c>
      <c r="F828" t="b">
        <v>1</v>
      </c>
      <c r="G828" s="6"/>
      <c r="J828" s="6" t="str">
        <f>_xlfn.XLOOKUP(tbl_Sourcing[[#This Row],[Product Id]], tbl_Product[Product Id], tbl_Product[Name])</f>
        <v>MTG Marvel's Spider-Man Collector Booster Box</v>
      </c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8" s="6" t="b">
        <f>_xlfn.XLOOKUP(tbl_Sourcing[[#This Row],[Product Id]], tbl_Product[Product Id], tbl_Product[Is Set or Play Booster])</f>
        <v>0</v>
      </c>
      <c r="AX828" s="6" t="b">
        <f>_xlfn.XLOOKUP(tbl_Sourcing[[#This Row],[Product Id]], tbl_Product[Product Id], tbl_Product[Is Precon])</f>
        <v>0</v>
      </c>
    </row>
    <row r="829" spans="1:50">
      <c r="A829">
        <v>571</v>
      </c>
      <c r="B829">
        <v>64</v>
      </c>
      <c r="C829" t="s">
        <v>2317</v>
      </c>
      <c r="D829" s="25" t="s">
        <v>2342</v>
      </c>
      <c r="E829">
        <v>115</v>
      </c>
      <c r="F829" t="b">
        <v>1</v>
      </c>
      <c r="G829" s="6"/>
      <c r="J829" s="6" t="str">
        <f>_xlfn.XLOOKUP(tbl_Sourcing[[#This Row],[Product Id]], tbl_Product[Product Id], tbl_Product[Name])</f>
        <v>MTG Marvel's Spider-Man Play Booster Box</v>
      </c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29" s="6" t="b">
        <f>_xlfn.XLOOKUP(tbl_Sourcing[[#This Row],[Product Id]], tbl_Product[Product Id], tbl_Product[Is Set or Play Booster])</f>
        <v>1</v>
      </c>
      <c r="AX829" s="6" t="b">
        <f>_xlfn.XLOOKUP(tbl_Sourcing[[#This Row],[Product Id]], tbl_Product[Product Id], tbl_Product[Is Precon])</f>
        <v>0</v>
      </c>
    </row>
    <row r="830" spans="1:50">
      <c r="A830">
        <v>608</v>
      </c>
      <c r="B830">
        <v>64</v>
      </c>
      <c r="C830" t="s">
        <v>2317</v>
      </c>
      <c r="D830" s="25" t="s">
        <v>2342</v>
      </c>
      <c r="E830">
        <v>115</v>
      </c>
      <c r="F830" t="b">
        <v>1</v>
      </c>
      <c r="G830" s="6"/>
      <c r="J830" s="6" t="str">
        <f>_xlfn.XLOOKUP(tbl_Sourcing[[#This Row],[Product Id]], tbl_Product[Product Id], tbl_Product[Name])</f>
        <v>MTG Marvel's Spider-Man Play Booster Box</v>
      </c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0" s="6" t="b">
        <f>_xlfn.XLOOKUP(tbl_Sourcing[[#This Row],[Product Id]], tbl_Product[Product Id], tbl_Product[Is Set or Play Booster])</f>
        <v>1</v>
      </c>
      <c r="AX830" s="6" t="b">
        <f>_xlfn.XLOOKUP(tbl_Sourcing[[#This Row],[Product Id]], tbl_Product[Product Id], tbl_Product[Is Precon])</f>
        <v>0</v>
      </c>
    </row>
    <row r="831" spans="1:50">
      <c r="A831">
        <v>609</v>
      </c>
      <c r="B831">
        <v>242</v>
      </c>
      <c r="C831" t="s">
        <v>2317</v>
      </c>
      <c r="D831" s="25" t="s">
        <v>2343</v>
      </c>
      <c r="E831">
        <v>141</v>
      </c>
      <c r="F831" t="b">
        <v>1</v>
      </c>
      <c r="G831" s="6"/>
      <c r="J831" s="6" t="str">
        <f>_xlfn.XLOOKUP(tbl_Sourcing[[#This Row],[Product Id]], tbl_Product[Product Id], tbl_Product[Name])</f>
        <v>MTG Marvel's Super Heroes Avengers Assemble Collector Precon</v>
      </c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1" s="6" t="b">
        <f>_xlfn.XLOOKUP(tbl_Sourcing[[#This Row],[Product Id]], tbl_Product[Product Id], tbl_Product[Is Set or Play Booster])</f>
        <v>0</v>
      </c>
      <c r="AX831" s="6" t="b">
        <f>_xlfn.XLOOKUP(tbl_Sourcing[[#This Row],[Product Id]], tbl_Product[Product Id], tbl_Product[Is Precon])</f>
        <v>1</v>
      </c>
    </row>
    <row r="832" spans="1:50">
      <c r="A832">
        <v>613</v>
      </c>
      <c r="B832">
        <v>238</v>
      </c>
      <c r="C832" t="s">
        <v>2317</v>
      </c>
      <c r="D832" s="8" t="s">
        <v>2344</v>
      </c>
      <c r="E832">
        <v>60</v>
      </c>
      <c r="F832" t="b">
        <v>1</v>
      </c>
      <c r="G832" s="6"/>
      <c r="J832" s="6" t="str">
        <f>_xlfn.XLOOKUP(tbl_Sourcing[[#This Row],[Product Id]], tbl_Product[Product Id], tbl_Product[Name])</f>
        <v>MTG Marvel's Super Heroes Avengers Assemble Precon</v>
      </c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2" s="6" t="b">
        <f>_xlfn.XLOOKUP(tbl_Sourcing[[#This Row],[Product Id]], tbl_Product[Product Id], tbl_Product[Is Set or Play Booster])</f>
        <v>0</v>
      </c>
      <c r="AX832" s="6" t="b">
        <f>_xlfn.XLOOKUP(tbl_Sourcing[[#This Row],[Product Id]], tbl_Product[Product Id], tbl_Product[Is Precon])</f>
        <v>1</v>
      </c>
    </row>
    <row r="833" spans="1:50">
      <c r="A833">
        <v>619</v>
      </c>
      <c r="B833">
        <v>248</v>
      </c>
      <c r="C833" t="s">
        <v>2317</v>
      </c>
      <c r="D833" s="8" t="s">
        <v>2345</v>
      </c>
      <c r="E833">
        <v>450</v>
      </c>
      <c r="F833" t="b">
        <v>1</v>
      </c>
      <c r="G833" s="6"/>
      <c r="J833" s="6" t="str">
        <f>_xlfn.XLOOKUP(tbl_Sourcing[[#This Row],[Product Id]], tbl_Product[Product Id], tbl_Product[Name])</f>
        <v>MTG Marvel's Super Heroes Collector Booster Box</v>
      </c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3" s="6" t="b">
        <f>_xlfn.XLOOKUP(tbl_Sourcing[[#This Row],[Product Id]], tbl_Product[Product Id], tbl_Product[Is Set or Play Booster])</f>
        <v>0</v>
      </c>
      <c r="AX833" s="6" t="b">
        <f>_xlfn.XLOOKUP(tbl_Sourcing[[#This Row],[Product Id]], tbl_Product[Product Id], tbl_Product[Is Precon])</f>
        <v>0</v>
      </c>
    </row>
    <row r="834" spans="1:50">
      <c r="A834">
        <v>610</v>
      </c>
      <c r="B834">
        <v>243</v>
      </c>
      <c r="C834" t="s">
        <v>2317</v>
      </c>
      <c r="D834" s="8" t="s">
        <v>2346</v>
      </c>
      <c r="E834">
        <v>141</v>
      </c>
      <c r="F834" t="b">
        <v>1</v>
      </c>
      <c r="G834" s="6"/>
      <c r="J834" s="6" t="str">
        <f>_xlfn.XLOOKUP(tbl_Sourcing[[#This Row],[Product Id]], tbl_Product[Product Id], tbl_Product[Name])</f>
        <v>MTG Marvel's Super Heroes Doom Prevails Collector Precon</v>
      </c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4" s="6" t="b">
        <f>_xlfn.XLOOKUP(tbl_Sourcing[[#This Row],[Product Id]], tbl_Product[Product Id], tbl_Product[Is Set or Play Booster])</f>
        <v>0</v>
      </c>
      <c r="AX834" s="6" t="b">
        <f>_xlfn.XLOOKUP(tbl_Sourcing[[#This Row],[Product Id]], tbl_Product[Product Id], tbl_Product[Is Precon])</f>
        <v>1</v>
      </c>
    </row>
    <row r="835" spans="1:50">
      <c r="A835">
        <v>614</v>
      </c>
      <c r="B835">
        <v>239</v>
      </c>
      <c r="C835" t="s">
        <v>2317</v>
      </c>
      <c r="D835" s="8" t="s">
        <v>2347</v>
      </c>
      <c r="E835">
        <v>60</v>
      </c>
      <c r="F835" t="b">
        <v>1</v>
      </c>
      <c r="G835" s="6"/>
      <c r="J835" s="6" t="str">
        <f>_xlfn.XLOOKUP(tbl_Sourcing[[#This Row],[Product Id]], tbl_Product[Product Id], tbl_Product[Name])</f>
        <v>MTG Marvel's Super Heroes Doom Prevails Precon</v>
      </c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5" s="6" t="b">
        <f>_xlfn.XLOOKUP(tbl_Sourcing[[#This Row],[Product Id]], tbl_Product[Product Id], tbl_Product[Is Set or Play Booster])</f>
        <v>0</v>
      </c>
      <c r="AX835" s="6" t="b">
        <f>_xlfn.XLOOKUP(tbl_Sourcing[[#This Row],[Product Id]], tbl_Product[Product Id], tbl_Product[Is Precon])</f>
        <v>1</v>
      </c>
    </row>
    <row r="836" spans="1:50">
      <c r="A836">
        <v>617</v>
      </c>
      <c r="B836">
        <v>246</v>
      </c>
      <c r="C836" t="s">
        <v>2317</v>
      </c>
      <c r="D836" s="8" t="s">
        <v>2348</v>
      </c>
      <c r="E836">
        <v>140</v>
      </c>
      <c r="F836" t="b">
        <v>1</v>
      </c>
      <c r="G836" s="6"/>
      <c r="J836" s="6" t="str">
        <f>_xlfn.XLOOKUP(tbl_Sourcing[[#This Row],[Product Id]], tbl_Product[Product Id], tbl_Product[Name])</f>
        <v>MTG Marvel's Super Heroes Jumpstart Booster Box</v>
      </c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6" s="6" t="b">
        <f>_xlfn.XLOOKUP(tbl_Sourcing[[#This Row],[Product Id]], tbl_Product[Product Id], tbl_Product[Is Set or Play Booster])</f>
        <v>0</v>
      </c>
      <c r="AX836" s="6" t="b">
        <f>_xlfn.XLOOKUP(tbl_Sourcing[[#This Row],[Product Id]], tbl_Product[Product Id], tbl_Product[Is Precon])</f>
        <v>0</v>
      </c>
    </row>
    <row r="837" spans="1:50">
      <c r="A837">
        <v>618</v>
      </c>
      <c r="B837">
        <v>247</v>
      </c>
      <c r="C837" t="s">
        <v>2317</v>
      </c>
      <c r="D837" s="8" t="s">
        <v>2349</v>
      </c>
      <c r="E837">
        <v>150</v>
      </c>
      <c r="F837" t="b">
        <v>1</v>
      </c>
      <c r="G837" s="6"/>
      <c r="J837" s="6" t="str">
        <f>_xlfn.XLOOKUP(tbl_Sourcing[[#This Row],[Product Id]], tbl_Product[Product Id], tbl_Product[Name])</f>
        <v>MTG Marvel's Super Heroes Play Booster Box</v>
      </c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7" s="6" t="b">
        <f>_xlfn.XLOOKUP(tbl_Sourcing[[#This Row],[Product Id]], tbl_Product[Product Id], tbl_Product[Is Set or Play Booster])</f>
        <v>1</v>
      </c>
      <c r="AX837" s="6" t="b">
        <f>_xlfn.XLOOKUP(tbl_Sourcing[[#This Row],[Product Id]], tbl_Product[Product Id], tbl_Product[Is Precon])</f>
        <v>0</v>
      </c>
    </row>
    <row r="838" spans="1:50">
      <c r="A838">
        <v>611</v>
      </c>
      <c r="B838">
        <v>244</v>
      </c>
      <c r="C838" t="s">
        <v>2317</v>
      </c>
      <c r="D838" s="8" t="s">
        <v>2350</v>
      </c>
      <c r="E838">
        <v>141</v>
      </c>
      <c r="F838" t="b">
        <v>1</v>
      </c>
      <c r="G838" s="6"/>
      <c r="J838" s="6" t="str">
        <f>_xlfn.XLOOKUP(tbl_Sourcing[[#This Row],[Product Id]], tbl_Product[Product Id], tbl_Product[Name])</f>
        <v>MTG Marvel's Super Heroes The Fantastic Four Collector Precon</v>
      </c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8" s="6" t="b">
        <f>_xlfn.XLOOKUP(tbl_Sourcing[[#This Row],[Product Id]], tbl_Product[Product Id], tbl_Product[Is Set or Play Booster])</f>
        <v>0</v>
      </c>
      <c r="AX838" s="6" t="b">
        <f>_xlfn.XLOOKUP(tbl_Sourcing[[#This Row],[Product Id]], tbl_Product[Product Id], tbl_Product[Is Precon])</f>
        <v>1</v>
      </c>
    </row>
    <row r="839" spans="1:50">
      <c r="A839">
        <v>615</v>
      </c>
      <c r="B839">
        <v>240</v>
      </c>
      <c r="C839" t="s">
        <v>2317</v>
      </c>
      <c r="D839" s="8" t="s">
        <v>2351</v>
      </c>
      <c r="E839">
        <v>60</v>
      </c>
      <c r="F839" t="b">
        <v>1</v>
      </c>
      <c r="G839" s="6"/>
      <c r="J839" s="6" t="str">
        <f>_xlfn.XLOOKUP(tbl_Sourcing[[#This Row],[Product Id]], tbl_Product[Product Id], tbl_Product[Name])</f>
        <v>MTG Marvel's Super Heroes The Fantastic Four Precon</v>
      </c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39" s="6" t="b">
        <f>_xlfn.XLOOKUP(tbl_Sourcing[[#This Row],[Product Id]], tbl_Product[Product Id], tbl_Product[Is Set or Play Booster])</f>
        <v>0</v>
      </c>
      <c r="AX839" s="6" t="b">
        <f>_xlfn.XLOOKUP(tbl_Sourcing[[#This Row],[Product Id]], tbl_Product[Product Id], tbl_Product[Is Precon])</f>
        <v>1</v>
      </c>
    </row>
    <row r="840" spans="1:50">
      <c r="A840">
        <v>612</v>
      </c>
      <c r="B840">
        <v>245</v>
      </c>
      <c r="C840" t="s">
        <v>2317</v>
      </c>
      <c r="D840" s="8" t="s">
        <v>2352</v>
      </c>
      <c r="E840">
        <v>141</v>
      </c>
      <c r="F840" t="b">
        <v>1</v>
      </c>
      <c r="G840" s="6"/>
      <c r="J840" s="6" t="str">
        <f>_xlfn.XLOOKUP(tbl_Sourcing[[#This Row],[Product Id]], tbl_Product[Product Id], tbl_Product[Name])</f>
        <v>MTG Marvel's Super Heroes Wakanda Forever Collector Precon</v>
      </c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0" s="6" t="b">
        <f>_xlfn.XLOOKUP(tbl_Sourcing[[#This Row],[Product Id]], tbl_Product[Product Id], tbl_Product[Is Set or Play Booster])</f>
        <v>0</v>
      </c>
      <c r="AX840" s="6" t="b">
        <f>_xlfn.XLOOKUP(tbl_Sourcing[[#This Row],[Product Id]], tbl_Product[Product Id], tbl_Product[Is Precon])</f>
        <v>1</v>
      </c>
    </row>
    <row r="841" spans="1:50">
      <c r="A841">
        <v>616</v>
      </c>
      <c r="B841">
        <v>241</v>
      </c>
      <c r="C841" t="s">
        <v>2317</v>
      </c>
      <c r="D841" s="8" t="s">
        <v>2353</v>
      </c>
      <c r="E841">
        <v>60</v>
      </c>
      <c r="F841" t="b">
        <v>1</v>
      </c>
      <c r="G841" s="6"/>
      <c r="J841" s="6" t="str">
        <f>_xlfn.XLOOKUP(tbl_Sourcing[[#This Row],[Product Id]], tbl_Product[Product Id], tbl_Product[Name])</f>
        <v>MTG Marvel's Super Heroes Wakanda Forever Precon</v>
      </c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1" s="6" t="b">
        <f>_xlfn.XLOOKUP(tbl_Sourcing[[#This Row],[Product Id]], tbl_Product[Product Id], tbl_Product[Is Set or Play Booster])</f>
        <v>0</v>
      </c>
      <c r="AX841" s="6" t="b">
        <f>_xlfn.XLOOKUP(tbl_Sourcing[[#This Row],[Product Id]], tbl_Product[Product Id], tbl_Product[Is Precon])</f>
        <v>1</v>
      </c>
    </row>
    <row r="842" spans="1:50">
      <c r="A842">
        <v>585</v>
      </c>
      <c r="B842">
        <v>173</v>
      </c>
      <c r="C842" t="s">
        <v>2317</v>
      </c>
      <c r="D842" s="25" t="s">
        <v>2354</v>
      </c>
      <c r="E842">
        <v>55</v>
      </c>
      <c r="F842" t="b">
        <v>1</v>
      </c>
      <c r="G842" s="6"/>
      <c r="J842" s="6" t="str">
        <f>_xlfn.XLOOKUP(tbl_Sourcing[[#This Row],[Product Id]], tbl_Product[Product Id], tbl_Product[Name])</f>
        <v>MTG Modern Horizons 3 Creative Energy Precon</v>
      </c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2" s="6" t="b">
        <f>_xlfn.XLOOKUP(tbl_Sourcing[[#This Row],[Product Id]], tbl_Product[Product Id], tbl_Product[Is Set or Play Booster])</f>
        <v>0</v>
      </c>
      <c r="AX842" s="6" t="b">
        <f>_xlfn.XLOOKUP(tbl_Sourcing[[#This Row],[Product Id]], tbl_Product[Product Id], tbl_Product[Is Precon])</f>
        <v>1</v>
      </c>
    </row>
    <row r="843" spans="1:50">
      <c r="A843">
        <v>584</v>
      </c>
      <c r="B843">
        <v>171</v>
      </c>
      <c r="C843" t="s">
        <v>2317</v>
      </c>
      <c r="D843" s="25" t="s">
        <v>2355</v>
      </c>
      <c r="E843">
        <v>55</v>
      </c>
      <c r="F843" t="b">
        <v>1</v>
      </c>
      <c r="G843" s="6"/>
      <c r="J843" s="6" t="str">
        <f>_xlfn.XLOOKUP(tbl_Sourcing[[#This Row],[Product Id]], tbl_Product[Product Id], tbl_Product[Name])</f>
        <v>MTG Modern Horizons 3 Graveyard Overdrive Precon</v>
      </c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3" s="6" t="b">
        <f>_xlfn.XLOOKUP(tbl_Sourcing[[#This Row],[Product Id]], tbl_Product[Product Id], tbl_Product[Is Set or Play Booster])</f>
        <v>0</v>
      </c>
      <c r="AX843" s="6" t="b">
        <f>_xlfn.XLOOKUP(tbl_Sourcing[[#This Row],[Product Id]], tbl_Product[Product Id], tbl_Product[Is Precon])</f>
        <v>1</v>
      </c>
    </row>
    <row r="844" spans="1:50">
      <c r="A844">
        <v>620</v>
      </c>
      <c r="B844">
        <v>122</v>
      </c>
      <c r="C844" t="s">
        <v>2317</v>
      </c>
      <c r="D844" s="8" t="s">
        <v>2356</v>
      </c>
      <c r="E844">
        <v>380</v>
      </c>
      <c r="F844" t="b">
        <v>0</v>
      </c>
      <c r="G844" s="6"/>
      <c r="J844" s="6" t="str">
        <f>_xlfn.XLOOKUP(tbl_Sourcing[[#This Row],[Product Id]], tbl_Product[Product Id], tbl_Product[Name])</f>
        <v>MTG Modern Horizons 3 MH3 Collector Booster Box</v>
      </c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4" s="6" t="b">
        <f>_xlfn.XLOOKUP(tbl_Sourcing[[#This Row],[Product Id]], tbl_Product[Product Id], tbl_Product[Is Set or Play Booster])</f>
        <v>0</v>
      </c>
      <c r="AX844" s="6" t="b">
        <f>_xlfn.XLOOKUP(tbl_Sourcing[[#This Row],[Product Id]], tbl_Product[Product Id], tbl_Product[Is Precon])</f>
        <v>0</v>
      </c>
    </row>
    <row r="845" spans="1:50">
      <c r="A845">
        <v>578</v>
      </c>
      <c r="B845">
        <v>60</v>
      </c>
      <c r="C845" t="s">
        <v>2317</v>
      </c>
      <c r="D845" s="25" t="s">
        <v>2357</v>
      </c>
      <c r="E845">
        <v>245</v>
      </c>
      <c r="F845" t="b">
        <v>1</v>
      </c>
      <c r="G845" s="6"/>
      <c r="J845" s="6" t="str">
        <f>_xlfn.XLOOKUP(tbl_Sourcing[[#This Row],[Product Id]], tbl_Product[Product Id], tbl_Product[Name])</f>
        <v>MTG Modern Horizons 3 MH3 Play Booster Box</v>
      </c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5" s="6" t="b">
        <f>_xlfn.XLOOKUP(tbl_Sourcing[[#This Row],[Product Id]], tbl_Product[Product Id], tbl_Product[Is Set or Play Booster])</f>
        <v>1</v>
      </c>
      <c r="AX845" s="6" t="b">
        <f>_xlfn.XLOOKUP(tbl_Sourcing[[#This Row],[Product Id]], tbl_Product[Product Id], tbl_Product[Is Precon])</f>
        <v>0</v>
      </c>
    </row>
    <row r="846" spans="1:50">
      <c r="A846">
        <v>583</v>
      </c>
      <c r="B846">
        <v>80</v>
      </c>
      <c r="C846" t="s">
        <v>2317</v>
      </c>
      <c r="D846" s="25" t="s">
        <v>2358</v>
      </c>
      <c r="E846">
        <v>135</v>
      </c>
      <c r="F846" t="b">
        <v>1</v>
      </c>
      <c r="G846" s="6"/>
      <c r="J846" s="6" t="str">
        <f>_xlfn.XLOOKUP(tbl_Sourcing[[#This Row],[Product Id]], tbl_Product[Product Id], tbl_Product[Name])</f>
        <v>MTG Murders at Karlov Manor Play Booster Box</v>
      </c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6" s="6" t="b">
        <f>_xlfn.XLOOKUP(tbl_Sourcing[[#This Row],[Product Id]], tbl_Product[Product Id], tbl_Product[Is Set or Play Booster])</f>
        <v>1</v>
      </c>
      <c r="AX846" s="6" t="b">
        <f>_xlfn.XLOOKUP(tbl_Sourcing[[#This Row],[Product Id]], tbl_Product[Product Id], tbl_Product[Is Precon])</f>
        <v>0</v>
      </c>
    </row>
    <row r="847" spans="1:50">
      <c r="A847">
        <v>621</v>
      </c>
      <c r="B847">
        <v>56</v>
      </c>
      <c r="C847" t="s">
        <v>2317</v>
      </c>
      <c r="D847" s="8" t="s">
        <v>2359</v>
      </c>
      <c r="E847">
        <v>135</v>
      </c>
      <c r="F847" t="b">
        <v>0</v>
      </c>
      <c r="G847" s="6"/>
      <c r="J847" s="6" t="str">
        <f>_xlfn.XLOOKUP(tbl_Sourcing[[#This Row],[Product Id]], tbl_Product[Product Id], tbl_Product[Name])</f>
        <v>MTG Outlaws of Thunder Junction Play Booster Box</v>
      </c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7" s="6" t="b">
        <f>_xlfn.XLOOKUP(tbl_Sourcing[[#This Row],[Product Id]], tbl_Product[Product Id], tbl_Product[Is Set or Play Booster])</f>
        <v>1</v>
      </c>
      <c r="AX847" s="6" t="b">
        <f>_xlfn.XLOOKUP(tbl_Sourcing[[#This Row],[Product Id]], tbl_Product[Product Id], tbl_Product[Is Precon])</f>
        <v>0</v>
      </c>
    </row>
    <row r="848" spans="1:50">
      <c r="A848">
        <v>593</v>
      </c>
      <c r="B848">
        <v>67</v>
      </c>
      <c r="C848" t="s">
        <v>2317</v>
      </c>
      <c r="D848" s="25" t="s">
        <v>2360</v>
      </c>
      <c r="F848" t="b">
        <v>0</v>
      </c>
      <c r="G848" s="6"/>
      <c r="J848" s="6" t="str">
        <f>_xlfn.XLOOKUP(tbl_Sourcing[[#This Row],[Product Id]], tbl_Product[Product Id], tbl_Product[Name])</f>
        <v>MTG Phyrexia: All Will Be One Set Booster Box</v>
      </c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8" s="6" t="b">
        <f>_xlfn.XLOOKUP(tbl_Sourcing[[#This Row],[Product Id]], tbl_Product[Product Id], tbl_Product[Is Set or Play Booster])</f>
        <v>1</v>
      </c>
      <c r="AX848" s="6" t="b">
        <f>_xlfn.XLOOKUP(tbl_Sourcing[[#This Row],[Product Id]], tbl_Product[Product Id], tbl_Product[Is Precon])</f>
        <v>0</v>
      </c>
    </row>
    <row r="849" spans="1:50">
      <c r="A849">
        <v>622</v>
      </c>
      <c r="B849">
        <v>155</v>
      </c>
      <c r="C849" t="s">
        <v>2317</v>
      </c>
      <c r="D849" s="8" t="s">
        <v>2361</v>
      </c>
      <c r="E849">
        <v>38</v>
      </c>
      <c r="F849" t="b">
        <v>0</v>
      </c>
      <c r="G849" s="6"/>
      <c r="J849" s="6" t="str">
        <f>_xlfn.XLOOKUP(tbl_Sourcing[[#This Row],[Product Id]], tbl_Product[Product Id], tbl_Product[Name])</f>
        <v>MTG Tarkir Dragonstorm Abzan Armor Precon</v>
      </c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49" s="6" t="b">
        <f>_xlfn.XLOOKUP(tbl_Sourcing[[#This Row],[Product Id]], tbl_Product[Product Id], tbl_Product[Is Set or Play Booster])</f>
        <v>0</v>
      </c>
      <c r="AX849" s="6" t="b">
        <f>_xlfn.XLOOKUP(tbl_Sourcing[[#This Row],[Product Id]], tbl_Product[Product Id], tbl_Product[Is Precon])</f>
        <v>1</v>
      </c>
    </row>
    <row r="850" spans="1:50">
      <c r="A850">
        <v>623</v>
      </c>
      <c r="B850">
        <v>157</v>
      </c>
      <c r="C850" t="s">
        <v>2317</v>
      </c>
      <c r="D850" s="8" t="s">
        <v>2362</v>
      </c>
      <c r="E850">
        <v>37</v>
      </c>
      <c r="F850" t="b">
        <v>0</v>
      </c>
      <c r="G850" s="6"/>
      <c r="J850" s="6" t="str">
        <f>_xlfn.XLOOKUP(tbl_Sourcing[[#This Row],[Product Id]], tbl_Product[Product Id], tbl_Product[Name])</f>
        <v>MTG Tarkir Dragonstorm Jeskai Striker Precon</v>
      </c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0" s="6" t="b">
        <f>_xlfn.XLOOKUP(tbl_Sourcing[[#This Row],[Product Id]], tbl_Product[Product Id], tbl_Product[Is Set or Play Booster])</f>
        <v>0</v>
      </c>
      <c r="AX850" s="6" t="b">
        <f>_xlfn.XLOOKUP(tbl_Sourcing[[#This Row],[Product Id]], tbl_Product[Product Id], tbl_Product[Is Precon])</f>
        <v>1</v>
      </c>
    </row>
    <row r="851" spans="1:50">
      <c r="A851">
        <v>624</v>
      </c>
      <c r="B851">
        <v>156</v>
      </c>
      <c r="C851" t="s">
        <v>2317</v>
      </c>
      <c r="D851" s="8" t="s">
        <v>2363</v>
      </c>
      <c r="E851">
        <v>39</v>
      </c>
      <c r="F851" t="b">
        <v>0</v>
      </c>
      <c r="G851" s="6"/>
      <c r="J851" s="6" t="str">
        <f>_xlfn.XLOOKUP(tbl_Sourcing[[#This Row],[Product Id]], tbl_Product[Product Id], tbl_Product[Name])</f>
        <v>MTG Tarkir Dragonstorm Mardu Surge Precon</v>
      </c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1" s="6" t="b">
        <f>_xlfn.XLOOKUP(tbl_Sourcing[[#This Row],[Product Id]], tbl_Product[Product Id], tbl_Product[Is Set or Play Booster])</f>
        <v>0</v>
      </c>
      <c r="AX851" s="6" t="b">
        <f>_xlfn.XLOOKUP(tbl_Sourcing[[#This Row],[Product Id]], tbl_Product[Product Id], tbl_Product[Is Precon])</f>
        <v>1</v>
      </c>
    </row>
    <row r="852" spans="1:50">
      <c r="A852">
        <v>625</v>
      </c>
      <c r="B852">
        <v>159</v>
      </c>
      <c r="C852" t="s">
        <v>2317</v>
      </c>
      <c r="D852" s="8" t="s">
        <v>2364</v>
      </c>
      <c r="E852">
        <v>39</v>
      </c>
      <c r="F852" t="b">
        <v>0</v>
      </c>
      <c r="G852" s="6"/>
      <c r="J852" s="6" t="str">
        <f>_xlfn.XLOOKUP(tbl_Sourcing[[#This Row],[Product Id]], tbl_Product[Product Id], tbl_Product[Name])</f>
        <v>MTG Tarkir Dragonstorm Sultai Arisen Precon</v>
      </c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2" s="6" t="b">
        <f>_xlfn.XLOOKUP(tbl_Sourcing[[#This Row],[Product Id]], tbl_Product[Product Id], tbl_Product[Is Set or Play Booster])</f>
        <v>0</v>
      </c>
      <c r="AX852" s="6" t="b">
        <f>_xlfn.XLOOKUP(tbl_Sourcing[[#This Row],[Product Id]], tbl_Product[Product Id], tbl_Product[Is Precon])</f>
        <v>1</v>
      </c>
    </row>
    <row r="853" spans="1:50">
      <c r="A853">
        <v>626</v>
      </c>
      <c r="B853">
        <v>158</v>
      </c>
      <c r="C853" t="s">
        <v>2317</v>
      </c>
      <c r="D853" s="8" t="s">
        <v>2365</v>
      </c>
      <c r="E853">
        <v>39</v>
      </c>
      <c r="F853" t="b">
        <v>0</v>
      </c>
      <c r="G853" s="6"/>
      <c r="J853" s="6" t="str">
        <f>_xlfn.XLOOKUP(tbl_Sourcing[[#This Row],[Product Id]], tbl_Product[Product Id], tbl_Product[Name])</f>
        <v>MTG Tarkir Dragonstorm Temur Roar Precon</v>
      </c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3" s="6" t="b">
        <f>_xlfn.XLOOKUP(tbl_Sourcing[[#This Row],[Product Id]], tbl_Product[Product Id], tbl_Product[Is Set or Play Booster])</f>
        <v>0</v>
      </c>
      <c r="AX853" s="6" t="b">
        <f>_xlfn.XLOOKUP(tbl_Sourcing[[#This Row],[Product Id]], tbl_Product[Product Id], tbl_Product[Is Precon])</f>
        <v>1</v>
      </c>
    </row>
    <row r="854" spans="1:50">
      <c r="A854">
        <v>582</v>
      </c>
      <c r="B854">
        <v>136</v>
      </c>
      <c r="C854" t="s">
        <v>2317</v>
      </c>
      <c r="D854" s="25" t="s">
        <v>2366</v>
      </c>
      <c r="E854">
        <v>330</v>
      </c>
      <c r="F854" t="b">
        <v>1</v>
      </c>
      <c r="G854" s="6"/>
      <c r="J854" s="6" t="str">
        <f>_xlfn.XLOOKUP(tbl_Sourcing[[#This Row],[Product Id]], tbl_Product[Product Id], tbl_Product[Name])</f>
        <v>MTG Tarkir: Dragonstorm TDM Collector Booster Box</v>
      </c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4" s="6" t="b">
        <f>_xlfn.XLOOKUP(tbl_Sourcing[[#This Row],[Product Id]], tbl_Product[Product Id], tbl_Product[Is Set or Play Booster])</f>
        <v>0</v>
      </c>
      <c r="AX854" s="6" t="b">
        <f>_xlfn.XLOOKUP(tbl_Sourcing[[#This Row],[Product Id]], tbl_Product[Product Id], tbl_Product[Is Precon])</f>
        <v>0</v>
      </c>
    </row>
    <row r="855" spans="1:50">
      <c r="A855">
        <v>592</v>
      </c>
      <c r="B855">
        <v>42</v>
      </c>
      <c r="C855" t="s">
        <v>2317</v>
      </c>
      <c r="D855" s="25" t="s">
        <v>2367</v>
      </c>
      <c r="E855">
        <v>105</v>
      </c>
      <c r="F855" t="b">
        <v>0</v>
      </c>
      <c r="G855" s="6"/>
      <c r="J855" s="6" t="str">
        <f>_xlfn.XLOOKUP(tbl_Sourcing[[#This Row],[Product Id]], tbl_Product[Product Id], tbl_Product[Name])</f>
        <v>MTG Tarkir: Dragonstorm TDM Play Booster Box</v>
      </c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5" s="6" t="b">
        <f>_xlfn.XLOOKUP(tbl_Sourcing[[#This Row],[Product Id]], tbl_Product[Product Id], tbl_Product[Is Set or Play Booster])</f>
        <v>1</v>
      </c>
      <c r="AX855" s="6" t="b">
        <f>_xlfn.XLOOKUP(tbl_Sourcing[[#This Row],[Product Id]], tbl_Product[Product Id], tbl_Product[Is Precon])</f>
        <v>0</v>
      </c>
    </row>
    <row r="856" spans="1:50">
      <c r="A856">
        <v>627</v>
      </c>
      <c r="B856">
        <v>252</v>
      </c>
      <c r="C856" t="s">
        <v>2317</v>
      </c>
      <c r="D856" s="8" t="s">
        <v>2368</v>
      </c>
      <c r="E856">
        <v>380</v>
      </c>
      <c r="F856" t="b">
        <v>1</v>
      </c>
      <c r="G856" s="6"/>
      <c r="J856" s="6" t="str">
        <f>_xlfn.XLOOKUP(tbl_Sourcing[[#This Row],[Product Id]], tbl_Product[Product Id], tbl_Product[Name])</f>
        <v>MTG Teenage Mutant Ninja Turtles Collector Booster Box</v>
      </c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6" s="6" t="b">
        <f>_xlfn.XLOOKUP(tbl_Sourcing[[#This Row],[Product Id]], tbl_Product[Product Id], tbl_Product[Is Set or Play Booster])</f>
        <v>0</v>
      </c>
      <c r="AX856" s="6" t="b">
        <f>_xlfn.XLOOKUP(tbl_Sourcing[[#This Row],[Product Id]], tbl_Product[Product Id], tbl_Product[Is Precon])</f>
        <v>0</v>
      </c>
    </row>
    <row r="857" spans="1:50">
      <c r="A857">
        <v>628</v>
      </c>
      <c r="B857">
        <v>253</v>
      </c>
      <c r="C857" t="s">
        <v>2317</v>
      </c>
      <c r="D857" s="8" t="s">
        <v>2369</v>
      </c>
      <c r="E857">
        <v>135</v>
      </c>
      <c r="F857" t="b">
        <v>1</v>
      </c>
      <c r="G857" s="6"/>
      <c r="J857" s="6" t="str">
        <f>_xlfn.XLOOKUP(tbl_Sourcing[[#This Row],[Product Id]], tbl_Product[Product Id], tbl_Product[Name])</f>
        <v>MTG Teenage Mutant Ninja Turtles Play Booster Box</v>
      </c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7" s="6" t="b">
        <f>_xlfn.XLOOKUP(tbl_Sourcing[[#This Row],[Product Id]], tbl_Product[Product Id], tbl_Product[Is Set or Play Booster])</f>
        <v>1</v>
      </c>
      <c r="AX857" s="6" t="b">
        <f>_xlfn.XLOOKUP(tbl_Sourcing[[#This Row],[Product Id]], tbl_Product[Product Id], tbl_Product[Is Precon])</f>
        <v>0</v>
      </c>
    </row>
    <row r="858" spans="1:50">
      <c r="A858">
        <v>629</v>
      </c>
      <c r="B858">
        <v>66</v>
      </c>
      <c r="C858" t="s">
        <v>2317</v>
      </c>
      <c r="D858" s="8" t="s">
        <v>2370</v>
      </c>
      <c r="E858">
        <v>225</v>
      </c>
      <c r="F858" t="b">
        <v>0</v>
      </c>
      <c r="G858" s="6"/>
      <c r="J858" s="6" t="str">
        <f>_xlfn.XLOOKUP(tbl_Sourcing[[#This Row],[Product Id]], tbl_Product[Product Id], tbl_Product[Name])</f>
        <v>MTG The Lord of the Rings: Tales of Middle-earth LTR Set Booster Box</v>
      </c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8" s="6" t="b">
        <f>_xlfn.XLOOKUP(tbl_Sourcing[[#This Row],[Product Id]], tbl_Product[Product Id], tbl_Product[Is Set or Play Booster])</f>
        <v>1</v>
      </c>
      <c r="AX858" s="6" t="b">
        <f>_xlfn.XLOOKUP(tbl_Sourcing[[#This Row],[Product Id]], tbl_Product[Product Id], tbl_Product[Is Precon])</f>
        <v>0</v>
      </c>
    </row>
    <row r="859" spans="1:50">
      <c r="A859">
        <v>683</v>
      </c>
      <c r="B859">
        <v>84</v>
      </c>
      <c r="C859" t="s">
        <v>2371</v>
      </c>
      <c r="D859" s="8" t="s">
        <v>2372</v>
      </c>
      <c r="E859">
        <v>260</v>
      </c>
      <c r="F859" t="b">
        <v>0</v>
      </c>
      <c r="G859" s="6"/>
      <c r="J859" s="6" t="str">
        <f>_xlfn.XLOOKUP(tbl_Sourcing[[#This Row],[Product Id]], tbl_Product[Product Id], tbl_Product[Name])</f>
        <v>MTG Aetherdrift Collector Booster Box</v>
      </c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59" s="6" t="b">
        <f>_xlfn.XLOOKUP(tbl_Sourcing[[#This Row],[Product Id]], tbl_Product[Product Id], tbl_Product[Is Set or Play Booster])</f>
        <v>0</v>
      </c>
      <c r="AX859" s="6" t="b">
        <f>_xlfn.XLOOKUP(tbl_Sourcing[[#This Row],[Product Id]], tbl_Product[Product Id], tbl_Product[Is Precon])</f>
        <v>0</v>
      </c>
    </row>
    <row r="860" spans="1:50">
      <c r="A860">
        <v>682</v>
      </c>
      <c r="B860">
        <v>70</v>
      </c>
      <c r="C860" t="s">
        <v>2371</v>
      </c>
      <c r="D860" s="8" t="s">
        <v>2373</v>
      </c>
      <c r="E860">
        <v>120</v>
      </c>
      <c r="F860" t="b">
        <v>0</v>
      </c>
      <c r="G860" s="6"/>
      <c r="J860" s="6" t="str">
        <f>_xlfn.XLOOKUP(tbl_Sourcing[[#This Row],[Product Id]], tbl_Product[Product Id], tbl_Product[Name])</f>
        <v>MTG Aetherdrift Play Booster Box</v>
      </c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0" s="6" t="b">
        <f>_xlfn.XLOOKUP(tbl_Sourcing[[#This Row],[Product Id]], tbl_Product[Product Id], tbl_Product[Is Set or Play Booster])</f>
        <v>1</v>
      </c>
      <c r="AX860" s="6" t="b">
        <f>_xlfn.XLOOKUP(tbl_Sourcing[[#This Row],[Product Id]], tbl_Product[Product Id], tbl_Product[Is Precon])</f>
        <v>0</v>
      </c>
    </row>
    <row r="861" spans="1:50">
      <c r="A861">
        <v>745</v>
      </c>
      <c r="B861">
        <v>63</v>
      </c>
      <c r="C861" t="s">
        <v>2371</v>
      </c>
      <c r="D861" s="8" t="s">
        <v>2374</v>
      </c>
      <c r="F861" t="b">
        <v>0</v>
      </c>
      <c r="G861" s="6"/>
      <c r="J861" s="6" t="str">
        <f>_xlfn.XLOOKUP(tbl_Sourcing[[#This Row],[Product Id]], tbl_Product[Product Id], tbl_Product[Name])</f>
        <v>MTG Assassin's Creed Beyond Booster Box</v>
      </c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1" s="6" t="b">
        <f>_xlfn.XLOOKUP(tbl_Sourcing[[#This Row],[Product Id]], tbl_Product[Product Id], tbl_Product[Is Set or Play Booster])</f>
        <v>1</v>
      </c>
      <c r="AX861" s="6" t="b">
        <f>_xlfn.XLOOKUP(tbl_Sourcing[[#This Row],[Product Id]], tbl_Product[Product Id], tbl_Product[Is Precon])</f>
        <v>0</v>
      </c>
    </row>
    <row r="862" spans="1:50">
      <c r="A862">
        <v>746</v>
      </c>
      <c r="B862">
        <v>86</v>
      </c>
      <c r="C862" t="s">
        <v>2371</v>
      </c>
      <c r="D862" s="8" t="s">
        <v>2375</v>
      </c>
      <c r="F862" t="b">
        <v>0</v>
      </c>
      <c r="G862" s="6"/>
      <c r="J862" s="6" t="str">
        <f>_xlfn.XLOOKUP(tbl_Sourcing[[#This Row],[Product Id]], tbl_Product[Product Id], tbl_Product[Name])</f>
        <v>MTG Assassin's Creed Beyond Collector Booster Box</v>
      </c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2" s="6" t="b">
        <f>_xlfn.XLOOKUP(tbl_Sourcing[[#This Row],[Product Id]], tbl_Product[Product Id], tbl_Product[Is Set or Play Booster])</f>
        <v>0</v>
      </c>
      <c r="AX862" s="6" t="b">
        <f>_xlfn.XLOOKUP(tbl_Sourcing[[#This Row],[Product Id]], tbl_Product[Product Id], tbl_Product[Is Precon])</f>
        <v>0</v>
      </c>
    </row>
    <row r="863" spans="1:50">
      <c r="A863">
        <v>684</v>
      </c>
      <c r="B863">
        <v>88</v>
      </c>
      <c r="C863" t="s">
        <v>2371</v>
      </c>
      <c r="D863" s="8" t="s">
        <v>2376</v>
      </c>
      <c r="E863">
        <v>456</v>
      </c>
      <c r="F863" t="b">
        <v>0</v>
      </c>
      <c r="G863" s="6"/>
      <c r="J863" s="6" t="str">
        <f>_xlfn.XLOOKUP(tbl_Sourcing[[#This Row],[Product Id]], tbl_Product[Product Id], tbl_Product[Name])</f>
        <v>MTG Avatar: The Last Airbender Collector Booster Box</v>
      </c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3" s="6" t="b">
        <f>_xlfn.XLOOKUP(tbl_Sourcing[[#This Row],[Product Id]], tbl_Product[Product Id], tbl_Product[Is Set or Play Booster])</f>
        <v>0</v>
      </c>
      <c r="AX863" s="6" t="b">
        <f>_xlfn.XLOOKUP(tbl_Sourcing[[#This Row],[Product Id]], tbl_Product[Product Id], tbl_Product[Is Precon])</f>
        <v>0</v>
      </c>
    </row>
    <row r="864" spans="1:50">
      <c r="A864">
        <v>685</v>
      </c>
      <c r="B864">
        <v>57</v>
      </c>
      <c r="C864" t="s">
        <v>2371</v>
      </c>
      <c r="D864" s="8" t="s">
        <v>2377</v>
      </c>
      <c r="E864">
        <v>145</v>
      </c>
      <c r="F864" t="b">
        <v>1</v>
      </c>
      <c r="G864" s="6"/>
      <c r="J864" s="6" t="str">
        <f>_xlfn.XLOOKUP(tbl_Sourcing[[#This Row],[Product Id]], tbl_Product[Product Id], tbl_Product[Name])</f>
        <v>MTG Avatar: The Last Airbender Play Booster Box</v>
      </c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4" s="6" t="b">
        <f>_xlfn.XLOOKUP(tbl_Sourcing[[#This Row],[Product Id]], tbl_Product[Product Id], tbl_Product[Is Set or Play Booster])</f>
        <v>1</v>
      </c>
      <c r="AX864" s="6" t="b">
        <f>_xlfn.XLOOKUP(tbl_Sourcing[[#This Row],[Product Id]], tbl_Product[Product Id], tbl_Product[Is Precon])</f>
        <v>0</v>
      </c>
    </row>
    <row r="865" spans="1:50">
      <c r="A865">
        <v>686</v>
      </c>
      <c r="B865">
        <v>90</v>
      </c>
      <c r="C865" t="s">
        <v>2371</v>
      </c>
      <c r="D865" s="8" t="s">
        <v>2378</v>
      </c>
      <c r="F865" t="b">
        <v>0</v>
      </c>
      <c r="G865" s="6"/>
      <c r="J865" s="6" t="str">
        <f>_xlfn.XLOOKUP(tbl_Sourcing[[#This Row],[Product Id]], tbl_Product[Product Id], tbl_Product[Name])</f>
        <v>MTG Bloomburrow Collector Booster Box</v>
      </c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5" s="6" t="b">
        <f>_xlfn.XLOOKUP(tbl_Sourcing[[#This Row],[Product Id]], tbl_Product[Product Id], tbl_Product[Is Set or Play Booster])</f>
        <v>0</v>
      </c>
      <c r="AX865" s="6" t="b">
        <f>_xlfn.XLOOKUP(tbl_Sourcing[[#This Row],[Product Id]], tbl_Product[Product Id], tbl_Product[Is Precon])</f>
        <v>0</v>
      </c>
    </row>
    <row r="866" spans="1:50">
      <c r="A866">
        <v>687</v>
      </c>
      <c r="B866">
        <v>79</v>
      </c>
      <c r="C866" t="s">
        <v>2371</v>
      </c>
      <c r="D866" s="8" t="s">
        <v>2379</v>
      </c>
      <c r="F866" t="b">
        <v>0</v>
      </c>
      <c r="G866" s="6"/>
      <c r="J866" s="6" t="str">
        <f>_xlfn.XLOOKUP(tbl_Sourcing[[#This Row],[Product Id]], tbl_Product[Product Id], tbl_Product[Name])</f>
        <v>MTG Bloomburrow Play Booster Box</v>
      </c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6" s="6" t="b">
        <f>_xlfn.XLOOKUP(tbl_Sourcing[[#This Row],[Product Id]], tbl_Product[Product Id], tbl_Product[Is Set or Play Booster])</f>
        <v>1</v>
      </c>
      <c r="AX866" s="6" t="b">
        <f>_xlfn.XLOOKUP(tbl_Sourcing[[#This Row],[Product Id]], tbl_Product[Product Id], tbl_Product[Is Precon])</f>
        <v>0</v>
      </c>
    </row>
    <row r="867" spans="1:50">
      <c r="A867">
        <v>802</v>
      </c>
      <c r="B867">
        <v>92</v>
      </c>
      <c r="C867" t="s">
        <v>2371</v>
      </c>
      <c r="D867" s="8" t="s">
        <v>2380</v>
      </c>
      <c r="F867" t="b">
        <v>0</v>
      </c>
      <c r="G867" s="6"/>
      <c r="J867" s="6" t="str">
        <f>_xlfn.XLOOKUP(tbl_Sourcing[[#This Row],[Product Id]], tbl_Product[Product Id], tbl_Product[Name])</f>
        <v>MTG Commander Masters Collector Booster Box</v>
      </c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7" s="6" t="b">
        <f>_xlfn.XLOOKUP(tbl_Sourcing[[#This Row],[Product Id]], tbl_Product[Product Id], tbl_Product[Is Set or Play Booster])</f>
        <v>0</v>
      </c>
      <c r="AX867" s="6" t="b">
        <f>_xlfn.XLOOKUP(tbl_Sourcing[[#This Row],[Product Id]], tbl_Product[Product Id], tbl_Product[Is Precon])</f>
        <v>0</v>
      </c>
    </row>
    <row r="868" spans="1:50">
      <c r="A868">
        <v>688</v>
      </c>
      <c r="B868">
        <v>52</v>
      </c>
      <c r="C868" t="s">
        <v>2371</v>
      </c>
      <c r="D868" s="8" t="s">
        <v>2381</v>
      </c>
      <c r="F868" t="b">
        <v>0</v>
      </c>
      <c r="G868" s="6"/>
      <c r="J868" s="6" t="str">
        <f>_xlfn.XLOOKUP(tbl_Sourcing[[#This Row],[Product Id]], tbl_Product[Product Id], tbl_Product[Name])</f>
        <v>MTG Commander Masters Set Booster Box</v>
      </c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8" s="6" t="b">
        <f>_xlfn.XLOOKUP(tbl_Sourcing[[#This Row],[Product Id]], tbl_Product[Product Id], tbl_Product[Is Set or Play Booster])</f>
        <v>1</v>
      </c>
      <c r="AX868" s="6" t="b">
        <f>_xlfn.XLOOKUP(tbl_Sourcing[[#This Row],[Product Id]], tbl_Product[Product Id], tbl_Product[Is Precon])</f>
        <v>0</v>
      </c>
    </row>
    <row r="869" spans="1:50">
      <c r="A869">
        <v>689</v>
      </c>
      <c r="B869">
        <v>62</v>
      </c>
      <c r="C869" t="s">
        <v>2371</v>
      </c>
      <c r="D869" s="8" t="s">
        <v>2382</v>
      </c>
      <c r="F869" t="b">
        <v>0</v>
      </c>
      <c r="G869" s="6"/>
      <c r="J869" s="6" t="str">
        <f>_xlfn.XLOOKUP(tbl_Sourcing[[#This Row],[Product Id]], tbl_Product[Product Id], tbl_Product[Name])</f>
        <v>MTG Dominaria DOM Booster Box</v>
      </c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69" s="6" t="b">
        <f>_xlfn.XLOOKUP(tbl_Sourcing[[#This Row],[Product Id]], tbl_Product[Product Id], tbl_Product[Is Set or Play Booster])</f>
        <v>1</v>
      </c>
      <c r="AX869" s="6" t="b">
        <f>_xlfn.XLOOKUP(tbl_Sourcing[[#This Row],[Product Id]], tbl_Product[Product Id], tbl_Product[Is Precon])</f>
        <v>0</v>
      </c>
    </row>
    <row r="870" spans="1:50">
      <c r="A870">
        <v>690</v>
      </c>
      <c r="B870">
        <v>94</v>
      </c>
      <c r="C870" t="s">
        <v>2371</v>
      </c>
      <c r="D870" s="8" t="s">
        <v>2383</v>
      </c>
      <c r="F870" t="b">
        <v>0</v>
      </c>
      <c r="G870" s="6"/>
      <c r="J870" s="6" t="str">
        <f>_xlfn.XLOOKUP(tbl_Sourcing[[#This Row],[Product Id]], tbl_Product[Product Id], tbl_Product[Name])</f>
        <v>MTG Dominaria United DMU Collector Booster Box</v>
      </c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0" s="6" t="b">
        <f>_xlfn.XLOOKUP(tbl_Sourcing[[#This Row],[Product Id]], tbl_Product[Product Id], tbl_Product[Is Set or Play Booster])</f>
        <v>0</v>
      </c>
      <c r="AX870" s="6" t="b">
        <f>_xlfn.XLOOKUP(tbl_Sourcing[[#This Row],[Product Id]], tbl_Product[Product Id], tbl_Product[Is Precon])</f>
        <v>0</v>
      </c>
    </row>
    <row r="871" spans="1:50">
      <c r="A871">
        <v>691</v>
      </c>
      <c r="B871">
        <v>76</v>
      </c>
      <c r="C871" t="s">
        <v>2371</v>
      </c>
      <c r="D871" s="8" t="s">
        <v>2384</v>
      </c>
      <c r="F871" t="b">
        <v>0</v>
      </c>
      <c r="G871" s="6"/>
      <c r="J871" s="6" t="str">
        <f>_xlfn.XLOOKUP(tbl_Sourcing[[#This Row],[Product Id]], tbl_Product[Product Id], tbl_Product[Name])</f>
        <v>MTG Dominaria United DMU Set Booster Box</v>
      </c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1" s="6" t="b">
        <f>_xlfn.XLOOKUP(tbl_Sourcing[[#This Row],[Product Id]], tbl_Product[Product Id], tbl_Product[Is Set or Play Booster])</f>
        <v>1</v>
      </c>
      <c r="AX871" s="6" t="b">
        <f>_xlfn.XLOOKUP(tbl_Sourcing[[#This Row],[Product Id]], tbl_Product[Product Id], tbl_Product[Is Precon])</f>
        <v>0</v>
      </c>
    </row>
    <row r="872" spans="1:50">
      <c r="A872">
        <v>692</v>
      </c>
      <c r="B872">
        <v>96</v>
      </c>
      <c r="C872" t="s">
        <v>2371</v>
      </c>
      <c r="D872" s="8" t="s">
        <v>2385</v>
      </c>
      <c r="F872" t="b">
        <v>0</v>
      </c>
      <c r="G872" s="6"/>
      <c r="J872" s="6" t="str">
        <f>_xlfn.XLOOKUP(tbl_Sourcing[[#This Row],[Product Id]], tbl_Product[Product Id], tbl_Product[Name])</f>
        <v>MTG Duskmourn: House of Horror Collector Booster Box</v>
      </c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2" s="6" t="b">
        <f>_xlfn.XLOOKUP(tbl_Sourcing[[#This Row],[Product Id]], tbl_Product[Product Id], tbl_Product[Is Set or Play Booster])</f>
        <v>0</v>
      </c>
      <c r="AX872" s="6" t="b">
        <f>_xlfn.XLOOKUP(tbl_Sourcing[[#This Row],[Product Id]], tbl_Product[Product Id], tbl_Product[Is Precon])</f>
        <v>0</v>
      </c>
    </row>
    <row r="873" spans="1:50">
      <c r="A873">
        <v>694</v>
      </c>
      <c r="B873">
        <v>71</v>
      </c>
      <c r="C873" t="s">
        <v>2371</v>
      </c>
      <c r="D873" s="8" t="s">
        <v>2386</v>
      </c>
      <c r="E873">
        <v>148</v>
      </c>
      <c r="F873" t="b">
        <v>1</v>
      </c>
      <c r="G873" s="6"/>
      <c r="J873" s="6" t="str">
        <f>_xlfn.XLOOKUP(tbl_Sourcing[[#This Row],[Product Id]], tbl_Product[Product Id], tbl_Product[Name])</f>
        <v>MTG Duskmourn: House of Horror Play Booster Box</v>
      </c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3" s="6" t="b">
        <f>_xlfn.XLOOKUP(tbl_Sourcing[[#This Row],[Product Id]], tbl_Product[Product Id], tbl_Product[Is Set or Play Booster])</f>
        <v>1</v>
      </c>
      <c r="AX873" s="6" t="b">
        <f>_xlfn.XLOOKUP(tbl_Sourcing[[#This Row],[Product Id]], tbl_Product[Product Id], tbl_Product[Is Precon])</f>
        <v>0</v>
      </c>
    </row>
    <row r="874" spans="1:50">
      <c r="A874">
        <v>693</v>
      </c>
      <c r="B874">
        <v>98</v>
      </c>
      <c r="C874" t="s">
        <v>2371</v>
      </c>
      <c r="D874" s="8" t="s">
        <v>2387</v>
      </c>
      <c r="F874" t="b">
        <v>0</v>
      </c>
      <c r="G874" s="6"/>
      <c r="J874" s="6" t="str">
        <f>_xlfn.XLOOKUP(tbl_Sourcing[[#This Row],[Product Id]], tbl_Product[Product Id], tbl_Product[Name])</f>
        <v>MTG Edge of Eternities Collector Booster Box</v>
      </c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4" s="6" t="b">
        <f>_xlfn.XLOOKUP(tbl_Sourcing[[#This Row],[Product Id]], tbl_Product[Product Id], tbl_Product[Is Set or Play Booster])</f>
        <v>0</v>
      </c>
      <c r="AX874" s="6" t="b">
        <f>_xlfn.XLOOKUP(tbl_Sourcing[[#This Row],[Product Id]], tbl_Product[Product Id], tbl_Product[Is Precon])</f>
        <v>0</v>
      </c>
    </row>
    <row r="875" spans="1:50">
      <c r="A875">
        <v>695</v>
      </c>
      <c r="B875">
        <v>65</v>
      </c>
      <c r="C875" t="s">
        <v>2371</v>
      </c>
      <c r="D875" s="8" t="s">
        <v>2388</v>
      </c>
      <c r="E875">
        <v>117</v>
      </c>
      <c r="F875" t="b">
        <v>0</v>
      </c>
      <c r="G875" s="6"/>
      <c r="J875" s="6" t="str">
        <f>_xlfn.XLOOKUP(tbl_Sourcing[[#This Row],[Product Id]], tbl_Product[Product Id], tbl_Product[Name])</f>
        <v>MTG Edge of Eternities Play Booster Box</v>
      </c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5" s="6" t="b">
        <f>_xlfn.XLOOKUP(tbl_Sourcing[[#This Row],[Product Id]], tbl_Product[Product Id], tbl_Product[Is Set or Play Booster])</f>
        <v>1</v>
      </c>
      <c r="AX875" s="6" t="b">
        <f>_xlfn.XLOOKUP(tbl_Sourcing[[#This Row],[Product Id]], tbl_Product[Product Id], tbl_Product[Is Precon])</f>
        <v>0</v>
      </c>
    </row>
    <row r="876" spans="1:50">
      <c r="A876">
        <v>747</v>
      </c>
      <c r="B876">
        <v>100</v>
      </c>
      <c r="C876" t="s">
        <v>2371</v>
      </c>
      <c r="D876" s="8" t="s">
        <v>2389</v>
      </c>
      <c r="F876" t="b">
        <v>0</v>
      </c>
      <c r="G876" s="6"/>
      <c r="J876" s="6" t="str">
        <f>_xlfn.XLOOKUP(tbl_Sourcing[[#This Row],[Product Id]], tbl_Product[Product Id], tbl_Product[Name])</f>
        <v>MTG Final Fantasy Collector Booster Box</v>
      </c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6" s="6" t="b">
        <f>_xlfn.XLOOKUP(tbl_Sourcing[[#This Row],[Product Id]], tbl_Product[Product Id], tbl_Product[Is Set or Play Booster])</f>
        <v>0</v>
      </c>
      <c r="AX876" s="6" t="b">
        <f>_xlfn.XLOOKUP(tbl_Sourcing[[#This Row],[Product Id]], tbl_Product[Product Id], tbl_Product[Is Precon])</f>
        <v>0</v>
      </c>
    </row>
    <row r="877" spans="1:50">
      <c r="A877">
        <v>748</v>
      </c>
      <c r="B877">
        <v>78</v>
      </c>
      <c r="C877" t="s">
        <v>2371</v>
      </c>
      <c r="D877" s="8" t="s">
        <v>2390</v>
      </c>
      <c r="F877" t="b">
        <v>0</v>
      </c>
      <c r="G877" s="6"/>
      <c r="J877" s="6" t="str">
        <f>_xlfn.XLOOKUP(tbl_Sourcing[[#This Row],[Product Id]], tbl_Product[Product Id], tbl_Product[Name])</f>
        <v>MTG Final Fantasy Play Booster Box</v>
      </c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7" s="6" t="b">
        <f>_xlfn.XLOOKUP(tbl_Sourcing[[#This Row],[Product Id]], tbl_Product[Product Id], tbl_Product[Is Set or Play Booster])</f>
        <v>1</v>
      </c>
      <c r="AX877" s="6" t="b">
        <f>_xlfn.XLOOKUP(tbl_Sourcing[[#This Row],[Product Id]], tbl_Product[Product Id], tbl_Product[Is Precon])</f>
        <v>0</v>
      </c>
    </row>
    <row r="878" spans="1:50">
      <c r="A878">
        <v>696</v>
      </c>
      <c r="B878">
        <v>102</v>
      </c>
      <c r="C878" t="s">
        <v>2371</v>
      </c>
      <c r="D878" s="8" t="s">
        <v>2391</v>
      </c>
      <c r="F878" t="b">
        <v>0</v>
      </c>
      <c r="G878" s="6"/>
      <c r="J878" s="6" t="str">
        <f>_xlfn.XLOOKUP(tbl_Sourcing[[#This Row],[Product Id]], tbl_Product[Product Id], tbl_Product[Name])</f>
        <v>MTG Foundations Collector Booster Box</v>
      </c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8" s="6" t="b">
        <f>_xlfn.XLOOKUP(tbl_Sourcing[[#This Row],[Product Id]], tbl_Product[Product Id], tbl_Product[Is Set or Play Booster])</f>
        <v>0</v>
      </c>
      <c r="AX878" s="6" t="b">
        <f>_xlfn.XLOOKUP(tbl_Sourcing[[#This Row],[Product Id]], tbl_Product[Product Id], tbl_Product[Is Precon])</f>
        <v>0</v>
      </c>
    </row>
    <row r="879" spans="1:50">
      <c r="A879">
        <v>697</v>
      </c>
      <c r="B879">
        <v>61</v>
      </c>
      <c r="C879" t="s">
        <v>2371</v>
      </c>
      <c r="D879" s="8" t="s">
        <v>2392</v>
      </c>
      <c r="F879" t="b">
        <v>0</v>
      </c>
      <c r="G879" s="6"/>
      <c r="J879" s="6" t="str">
        <f>_xlfn.XLOOKUP(tbl_Sourcing[[#This Row],[Product Id]], tbl_Product[Product Id], tbl_Product[Name])</f>
        <v>MTG Foundations Play Booster Box</v>
      </c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79" s="6" t="b">
        <f>_xlfn.XLOOKUP(tbl_Sourcing[[#This Row],[Product Id]], tbl_Product[Product Id], tbl_Product[Is Set or Play Booster])</f>
        <v>1</v>
      </c>
      <c r="AX879" s="6" t="b">
        <f>_xlfn.XLOOKUP(tbl_Sourcing[[#This Row],[Product Id]], tbl_Product[Product Id], tbl_Product[Is Precon])</f>
        <v>0</v>
      </c>
    </row>
    <row r="880" spans="1:50">
      <c r="A880">
        <v>698</v>
      </c>
      <c r="B880">
        <v>82</v>
      </c>
      <c r="C880" t="s">
        <v>2371</v>
      </c>
      <c r="D880" s="8" t="s">
        <v>2393</v>
      </c>
      <c r="F880" t="b">
        <v>0</v>
      </c>
      <c r="G880" s="6"/>
      <c r="J880" s="6" t="str">
        <f>_xlfn.XLOOKUP(tbl_Sourcing[[#This Row],[Product Id]], tbl_Product[Product Id], tbl_Product[Name])</f>
        <v>MTG Guilds of Ravnica Booster Box</v>
      </c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0" s="6" t="b">
        <f>_xlfn.XLOOKUP(tbl_Sourcing[[#This Row],[Product Id]], tbl_Product[Product Id], tbl_Product[Is Set or Play Booster])</f>
        <v>1</v>
      </c>
      <c r="AX880" s="6" t="b">
        <f>_xlfn.XLOOKUP(tbl_Sourcing[[#This Row],[Product Id]], tbl_Product[Product Id], tbl_Product[Is Precon])</f>
        <v>0</v>
      </c>
    </row>
    <row r="881" spans="1:50">
      <c r="A881">
        <v>703</v>
      </c>
      <c r="B881">
        <v>106</v>
      </c>
      <c r="C881" t="s">
        <v>2371</v>
      </c>
      <c r="D881" s="8" t="s">
        <v>2394</v>
      </c>
      <c r="F881" t="b">
        <v>0</v>
      </c>
      <c r="G881" s="6"/>
      <c r="J881" s="6" t="str">
        <f>_xlfn.XLOOKUP(tbl_Sourcing[[#This Row],[Product Id]], tbl_Product[Product Id], tbl_Product[Name])</f>
        <v>MTG Innistrad Remastered INR Collector Booster Box</v>
      </c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1" s="6" t="b">
        <f>_xlfn.XLOOKUP(tbl_Sourcing[[#This Row],[Product Id]], tbl_Product[Product Id], tbl_Product[Is Set or Play Booster])</f>
        <v>0</v>
      </c>
      <c r="AX881" s="6" t="b">
        <f>_xlfn.XLOOKUP(tbl_Sourcing[[#This Row],[Product Id]], tbl_Product[Product Id], tbl_Product[Is Precon])</f>
        <v>0</v>
      </c>
    </row>
    <row r="882" spans="1:50">
      <c r="A882">
        <v>704</v>
      </c>
      <c r="B882">
        <v>48</v>
      </c>
      <c r="C882" t="s">
        <v>2371</v>
      </c>
      <c r="D882" s="8" t="s">
        <v>2395</v>
      </c>
      <c r="F882" t="b">
        <v>0</v>
      </c>
      <c r="G882" s="6"/>
      <c r="J882" s="6" t="str">
        <f>_xlfn.XLOOKUP(tbl_Sourcing[[#This Row],[Product Id]], tbl_Product[Product Id], tbl_Product[Name])</f>
        <v>MTG Innistrad Remastered INR Play Booster Box</v>
      </c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2" s="6" t="b">
        <f>_xlfn.XLOOKUP(tbl_Sourcing[[#This Row],[Product Id]], tbl_Product[Product Id], tbl_Product[Is Set or Play Booster])</f>
        <v>1</v>
      </c>
      <c r="AX882" s="6" t="b">
        <f>_xlfn.XLOOKUP(tbl_Sourcing[[#This Row],[Product Id]], tbl_Product[Product Id], tbl_Product[Is Precon])</f>
        <v>0</v>
      </c>
    </row>
    <row r="883" spans="1:50">
      <c r="A883">
        <v>699</v>
      </c>
      <c r="B883">
        <v>108</v>
      </c>
      <c r="C883" t="s">
        <v>2371</v>
      </c>
      <c r="D883" s="8" t="s">
        <v>2396</v>
      </c>
      <c r="F883" t="b">
        <v>0</v>
      </c>
      <c r="G883" s="6"/>
      <c r="J883" s="6" t="str">
        <f>_xlfn.XLOOKUP(tbl_Sourcing[[#This Row],[Product Id]], tbl_Product[Product Id], tbl_Product[Name])</f>
        <v>MTG Innistrad: Crimson Vow Collector Booster Box</v>
      </c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3" s="6" t="b">
        <f>_xlfn.XLOOKUP(tbl_Sourcing[[#This Row],[Product Id]], tbl_Product[Product Id], tbl_Product[Is Set or Play Booster])</f>
        <v>0</v>
      </c>
      <c r="AX883" s="6" t="b">
        <f>_xlfn.XLOOKUP(tbl_Sourcing[[#This Row],[Product Id]], tbl_Product[Product Id], tbl_Product[Is Precon])</f>
        <v>0</v>
      </c>
    </row>
    <row r="884" spans="1:50">
      <c r="A884">
        <v>700</v>
      </c>
      <c r="B884">
        <v>58</v>
      </c>
      <c r="C884" t="s">
        <v>2371</v>
      </c>
      <c r="D884" s="8" t="s">
        <v>2397</v>
      </c>
      <c r="F884" t="b">
        <v>0</v>
      </c>
      <c r="G884" s="6"/>
      <c r="J884" s="6" t="str">
        <f>_xlfn.XLOOKUP(tbl_Sourcing[[#This Row],[Product Id]], tbl_Product[Product Id], tbl_Product[Name])</f>
        <v>MTG Innistrad: Crimson Vow Set Booster Box</v>
      </c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4" s="6" t="b">
        <f>_xlfn.XLOOKUP(tbl_Sourcing[[#This Row],[Product Id]], tbl_Product[Product Id], tbl_Product[Is Set or Play Booster])</f>
        <v>1</v>
      </c>
      <c r="AX884" s="6" t="b">
        <f>_xlfn.XLOOKUP(tbl_Sourcing[[#This Row],[Product Id]], tbl_Product[Product Id], tbl_Product[Is Precon])</f>
        <v>0</v>
      </c>
    </row>
    <row r="885" spans="1:50">
      <c r="A885">
        <v>701</v>
      </c>
      <c r="B885">
        <v>104</v>
      </c>
      <c r="C885" t="s">
        <v>2371</v>
      </c>
      <c r="D885" s="8" t="s">
        <v>2398</v>
      </c>
      <c r="F885" t="b">
        <v>0</v>
      </c>
      <c r="G885" s="6"/>
      <c r="J885" s="6" t="str">
        <f>_xlfn.XLOOKUP(tbl_Sourcing[[#This Row],[Product Id]], tbl_Product[Product Id], tbl_Product[Name])</f>
        <v>MTG Innistrad: Midnight Hunt Collector Booster Box</v>
      </c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5" s="6" t="b">
        <f>_xlfn.XLOOKUP(tbl_Sourcing[[#This Row],[Product Id]], tbl_Product[Product Id], tbl_Product[Is Set or Play Booster])</f>
        <v>0</v>
      </c>
      <c r="AX885" s="6" t="b">
        <f>_xlfn.XLOOKUP(tbl_Sourcing[[#This Row],[Product Id]], tbl_Product[Product Id], tbl_Product[Is Precon])</f>
        <v>0</v>
      </c>
    </row>
    <row r="886" spans="1:50">
      <c r="A886">
        <v>702</v>
      </c>
      <c r="B886">
        <v>50</v>
      </c>
      <c r="C886" t="s">
        <v>2371</v>
      </c>
      <c r="D886" s="8" t="s">
        <v>2399</v>
      </c>
      <c r="F886" t="b">
        <v>0</v>
      </c>
      <c r="G886" s="6"/>
      <c r="J886" s="6" t="str">
        <f>_xlfn.XLOOKUP(tbl_Sourcing[[#This Row],[Product Id]], tbl_Product[Product Id], tbl_Product[Name])</f>
        <v>MTG Innistrad: Midnight Hunt Set Booster Box</v>
      </c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6" s="6" t="b">
        <f>_xlfn.XLOOKUP(tbl_Sourcing[[#This Row],[Product Id]], tbl_Product[Product Id], tbl_Product[Is Set or Play Booster])</f>
        <v>1</v>
      </c>
      <c r="AX886" s="6" t="b">
        <f>_xlfn.XLOOKUP(tbl_Sourcing[[#This Row],[Product Id]], tbl_Product[Product Id], tbl_Product[Is Precon])</f>
        <v>0</v>
      </c>
    </row>
    <row r="887" spans="1:50">
      <c r="A887">
        <v>705</v>
      </c>
      <c r="B887">
        <v>110</v>
      </c>
      <c r="C887" t="s">
        <v>2371</v>
      </c>
      <c r="D887" s="8" t="s">
        <v>2400</v>
      </c>
      <c r="F887" t="b">
        <v>0</v>
      </c>
      <c r="G887" s="6"/>
      <c r="J887" s="6" t="str">
        <f>_xlfn.XLOOKUP(tbl_Sourcing[[#This Row],[Product Id]], tbl_Product[Product Id], tbl_Product[Name])</f>
        <v>MTG Kaldheim Collector Booster Box</v>
      </c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7" s="6" t="b">
        <f>_xlfn.XLOOKUP(tbl_Sourcing[[#This Row],[Product Id]], tbl_Product[Product Id], tbl_Product[Is Set or Play Booster])</f>
        <v>0</v>
      </c>
      <c r="AX887" s="6" t="b">
        <f>_xlfn.XLOOKUP(tbl_Sourcing[[#This Row],[Product Id]], tbl_Product[Product Id], tbl_Product[Is Precon])</f>
        <v>0</v>
      </c>
    </row>
    <row r="888" spans="1:50">
      <c r="A888">
        <v>706</v>
      </c>
      <c r="B888">
        <v>51</v>
      </c>
      <c r="C888" t="s">
        <v>2371</v>
      </c>
      <c r="D888" s="8" t="s">
        <v>2401</v>
      </c>
      <c r="F888" t="b">
        <v>0</v>
      </c>
      <c r="G888" s="6"/>
      <c r="J888" s="6" t="str">
        <f>_xlfn.XLOOKUP(tbl_Sourcing[[#This Row],[Product Id]], tbl_Product[Product Id], tbl_Product[Name])</f>
        <v>MTG Kaldheim Set Booster Box</v>
      </c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8" s="6" t="b">
        <f>_xlfn.XLOOKUP(tbl_Sourcing[[#This Row],[Product Id]], tbl_Product[Product Id], tbl_Product[Is Set or Play Booster])</f>
        <v>1</v>
      </c>
      <c r="AX888" s="6" t="b">
        <f>_xlfn.XLOOKUP(tbl_Sourcing[[#This Row],[Product Id]], tbl_Product[Product Id], tbl_Product[Is Precon])</f>
        <v>0</v>
      </c>
    </row>
    <row r="889" spans="1:50">
      <c r="A889">
        <v>707</v>
      </c>
      <c r="B889">
        <v>112</v>
      </c>
      <c r="C889" t="s">
        <v>2371</v>
      </c>
      <c r="D889" s="8" t="s">
        <v>2402</v>
      </c>
      <c r="F889" t="b">
        <v>0</v>
      </c>
      <c r="G889" s="6"/>
      <c r="J889" s="6" t="str">
        <f>_xlfn.XLOOKUP(tbl_Sourcing[[#This Row],[Product Id]], tbl_Product[Product Id], tbl_Product[Name])</f>
        <v>MTG Kamigawa: Neon Dynasty Collector Booster Box</v>
      </c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89" s="6" t="b">
        <f>_xlfn.XLOOKUP(tbl_Sourcing[[#This Row],[Product Id]], tbl_Product[Product Id], tbl_Product[Is Set or Play Booster])</f>
        <v>0</v>
      </c>
      <c r="AX889" s="6" t="b">
        <f>_xlfn.XLOOKUP(tbl_Sourcing[[#This Row],[Product Id]], tbl_Product[Product Id], tbl_Product[Is Precon])</f>
        <v>0</v>
      </c>
    </row>
    <row r="890" spans="1:50">
      <c r="A890">
        <v>708</v>
      </c>
      <c r="B890">
        <v>69</v>
      </c>
      <c r="C890" t="s">
        <v>2371</v>
      </c>
      <c r="D890" s="8" t="s">
        <v>2403</v>
      </c>
      <c r="F890" t="b">
        <v>0</v>
      </c>
      <c r="G890" s="6"/>
      <c r="J890" s="6" t="str">
        <f>_xlfn.XLOOKUP(tbl_Sourcing[[#This Row],[Product Id]], tbl_Product[Product Id], tbl_Product[Name])</f>
        <v>MTG Kamigawa: Neon Dynasty Set Booster Box</v>
      </c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0" s="6" t="b">
        <f>_xlfn.XLOOKUP(tbl_Sourcing[[#This Row],[Product Id]], tbl_Product[Product Id], tbl_Product[Is Set or Play Booster])</f>
        <v>1</v>
      </c>
      <c r="AX890" s="6" t="b">
        <f>_xlfn.XLOOKUP(tbl_Sourcing[[#This Row],[Product Id]], tbl_Product[Product Id], tbl_Product[Is Precon])</f>
        <v>0</v>
      </c>
    </row>
    <row r="891" spans="1:50">
      <c r="A891">
        <v>709</v>
      </c>
      <c r="B891">
        <v>114</v>
      </c>
      <c r="C891" t="s">
        <v>2371</v>
      </c>
      <c r="D891" s="8" t="s">
        <v>2404</v>
      </c>
      <c r="F891" t="b">
        <v>0</v>
      </c>
      <c r="G891" s="6"/>
      <c r="J891" s="6" t="str">
        <f>_xlfn.XLOOKUP(tbl_Sourcing[[#This Row],[Product Id]], tbl_Product[Product Id], tbl_Product[Name])</f>
        <v>MTG Lorwyn Eclipsed Collector Booster Box</v>
      </c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1" s="6" t="b">
        <f>_xlfn.XLOOKUP(tbl_Sourcing[[#This Row],[Product Id]], tbl_Product[Product Id], tbl_Product[Is Set or Play Booster])</f>
        <v>0</v>
      </c>
      <c r="AX891" s="6" t="b">
        <f>_xlfn.XLOOKUP(tbl_Sourcing[[#This Row],[Product Id]], tbl_Product[Product Id], tbl_Product[Is Precon])</f>
        <v>0</v>
      </c>
    </row>
    <row r="892" spans="1:50">
      <c r="A892">
        <v>710</v>
      </c>
      <c r="B892">
        <v>49</v>
      </c>
      <c r="C892" t="s">
        <v>2371</v>
      </c>
      <c r="D892" s="8" t="s">
        <v>2405</v>
      </c>
      <c r="F892" t="b">
        <v>0</v>
      </c>
      <c r="G892" s="6"/>
      <c r="J892" s="6" t="str">
        <f>_xlfn.XLOOKUP(tbl_Sourcing[[#This Row],[Product Id]], tbl_Product[Product Id], tbl_Product[Name])</f>
        <v>MTG Lorwyn Eclipsed Play Booster Box</v>
      </c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2" s="6" t="b">
        <f>_xlfn.XLOOKUP(tbl_Sourcing[[#This Row],[Product Id]], tbl_Product[Product Id], tbl_Product[Is Set or Play Booster])</f>
        <v>1</v>
      </c>
      <c r="AX892" s="6" t="b">
        <f>_xlfn.XLOOKUP(tbl_Sourcing[[#This Row],[Product Id]], tbl_Product[Product Id], tbl_Product[Is Precon])</f>
        <v>0</v>
      </c>
    </row>
    <row r="893" spans="1:50">
      <c r="A893">
        <v>711</v>
      </c>
      <c r="B893">
        <v>116</v>
      </c>
      <c r="C893" t="s">
        <v>2371</v>
      </c>
      <c r="D893" s="8" t="s">
        <v>2406</v>
      </c>
      <c r="F893" t="b">
        <v>0</v>
      </c>
      <c r="G893" s="6"/>
      <c r="J893" s="6" t="str">
        <f>_xlfn.XLOOKUP(tbl_Sourcing[[#This Row],[Product Id]], tbl_Product[Product Id], tbl_Product[Name])</f>
        <v>MTG March of the Machine MOM Collector Booster Box</v>
      </c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3" s="6" t="b">
        <f>_xlfn.XLOOKUP(tbl_Sourcing[[#This Row],[Product Id]], tbl_Product[Product Id], tbl_Product[Is Set or Play Booster])</f>
        <v>0</v>
      </c>
      <c r="AX893" s="6" t="b">
        <f>_xlfn.XLOOKUP(tbl_Sourcing[[#This Row],[Product Id]], tbl_Product[Product Id], tbl_Product[Is Precon])</f>
        <v>0</v>
      </c>
    </row>
    <row r="894" spans="1:50">
      <c r="A894">
        <v>712</v>
      </c>
      <c r="B894">
        <v>59</v>
      </c>
      <c r="C894" t="s">
        <v>2371</v>
      </c>
      <c r="D894" s="8" t="s">
        <v>2407</v>
      </c>
      <c r="F894" t="b">
        <v>0</v>
      </c>
      <c r="G894" s="6"/>
      <c r="J894" s="6" t="str">
        <f>_xlfn.XLOOKUP(tbl_Sourcing[[#This Row],[Product Id]], tbl_Product[Product Id], tbl_Product[Name])</f>
        <v>MTG March of the Machine MOM Set Booster Box</v>
      </c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4" s="6" t="b">
        <f>_xlfn.XLOOKUP(tbl_Sourcing[[#This Row],[Product Id]], tbl_Product[Product Id], tbl_Product[Is Set or Play Booster])</f>
        <v>1</v>
      </c>
      <c r="AX894" s="6" t="b">
        <f>_xlfn.XLOOKUP(tbl_Sourcing[[#This Row],[Product Id]], tbl_Product[Product Id], tbl_Product[Is Precon])</f>
        <v>0</v>
      </c>
    </row>
    <row r="895" spans="1:50">
      <c r="A895">
        <v>715</v>
      </c>
      <c r="B895">
        <v>118</v>
      </c>
      <c r="C895" t="s">
        <v>2371</v>
      </c>
      <c r="D895" s="8" t="s">
        <v>2408</v>
      </c>
      <c r="E895">
        <v>470</v>
      </c>
      <c r="F895" t="b">
        <v>1</v>
      </c>
      <c r="G895" s="6"/>
      <c r="J895" s="6" t="str">
        <f>_xlfn.XLOOKUP(tbl_Sourcing[[#This Row],[Product Id]], tbl_Product[Product Id], tbl_Product[Name])</f>
        <v>MTG Marvel's Spider-Man Collector Booster Box</v>
      </c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5" s="6" t="b">
        <f>_xlfn.XLOOKUP(tbl_Sourcing[[#This Row],[Product Id]], tbl_Product[Product Id], tbl_Product[Is Set or Play Booster])</f>
        <v>0</v>
      </c>
      <c r="AX895" s="6" t="b">
        <f>_xlfn.XLOOKUP(tbl_Sourcing[[#This Row],[Product Id]], tbl_Product[Product Id], tbl_Product[Is Precon])</f>
        <v>0</v>
      </c>
    </row>
    <row r="896" spans="1:50">
      <c r="A896">
        <v>716</v>
      </c>
      <c r="B896">
        <v>64</v>
      </c>
      <c r="C896" t="s">
        <v>2371</v>
      </c>
      <c r="D896" s="8" t="s">
        <v>2409</v>
      </c>
      <c r="E896">
        <v>160</v>
      </c>
      <c r="F896" t="b">
        <v>1</v>
      </c>
      <c r="G896" s="6"/>
      <c r="J896" s="6" t="str">
        <f>_xlfn.XLOOKUP(tbl_Sourcing[[#This Row],[Product Id]], tbl_Product[Product Id], tbl_Product[Name])</f>
        <v>MTG Marvel's Spider-Man Play Booster Box</v>
      </c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6" s="6" t="b">
        <f>_xlfn.XLOOKUP(tbl_Sourcing[[#This Row],[Product Id]], tbl_Product[Product Id], tbl_Product[Is Set or Play Booster])</f>
        <v>1</v>
      </c>
      <c r="AX896" s="6" t="b">
        <f>_xlfn.XLOOKUP(tbl_Sourcing[[#This Row],[Product Id]], tbl_Product[Product Id], tbl_Product[Is Precon])</f>
        <v>0</v>
      </c>
    </row>
    <row r="897" spans="1:50">
      <c r="A897">
        <v>713</v>
      </c>
      <c r="B897">
        <v>248</v>
      </c>
      <c r="C897" t="s">
        <v>2371</v>
      </c>
      <c r="D897" s="8" t="s">
        <v>2410</v>
      </c>
      <c r="F897" t="b">
        <v>0</v>
      </c>
      <c r="G897" s="6"/>
      <c r="J897" s="6" t="str">
        <f>_xlfn.XLOOKUP(tbl_Sourcing[[#This Row],[Product Id]], tbl_Product[Product Id], tbl_Product[Name])</f>
        <v>MTG Marvel's Super Heroes Collector Booster Box</v>
      </c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7" s="6" t="b">
        <f>_xlfn.XLOOKUP(tbl_Sourcing[[#This Row],[Product Id]], tbl_Product[Product Id], tbl_Product[Is Set or Play Booster])</f>
        <v>0</v>
      </c>
      <c r="AX897" s="6" t="b">
        <f>_xlfn.XLOOKUP(tbl_Sourcing[[#This Row],[Product Id]], tbl_Product[Product Id], tbl_Product[Is Precon])</f>
        <v>0</v>
      </c>
    </row>
    <row r="898" spans="1:50">
      <c r="A898">
        <v>714</v>
      </c>
      <c r="B898">
        <v>247</v>
      </c>
      <c r="C898" t="s">
        <v>2371</v>
      </c>
      <c r="D898" s="8" t="s">
        <v>2411</v>
      </c>
      <c r="F898" t="b">
        <v>0</v>
      </c>
      <c r="G898" s="6"/>
      <c r="J898" s="6" t="str">
        <f>_xlfn.XLOOKUP(tbl_Sourcing[[#This Row],[Product Id]], tbl_Product[Product Id], tbl_Product[Name])</f>
        <v>MTG Marvel's Super Heroes Play Booster Box</v>
      </c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8" s="6" t="b">
        <f>_xlfn.XLOOKUP(tbl_Sourcing[[#This Row],[Product Id]], tbl_Product[Product Id], tbl_Product[Is Set or Play Booster])</f>
        <v>1</v>
      </c>
      <c r="AX898" s="6" t="b">
        <f>_xlfn.XLOOKUP(tbl_Sourcing[[#This Row],[Product Id]], tbl_Product[Product Id], tbl_Product[Is Precon])</f>
        <v>0</v>
      </c>
    </row>
    <row r="899" spans="1:50">
      <c r="A899">
        <v>717</v>
      </c>
      <c r="B899">
        <v>120</v>
      </c>
      <c r="C899" t="s">
        <v>2371</v>
      </c>
      <c r="D899" s="8" t="s">
        <v>2412</v>
      </c>
      <c r="F899" t="b">
        <v>0</v>
      </c>
      <c r="G899" s="6"/>
      <c r="J899" s="6" t="str">
        <f>_xlfn.XLOOKUP(tbl_Sourcing[[#This Row],[Product Id]], tbl_Product[Product Id], tbl_Product[Name])</f>
        <v>MTG Modern Horizons 2 MH2 Collector Booster Box</v>
      </c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899" s="6" t="b">
        <f>_xlfn.XLOOKUP(tbl_Sourcing[[#This Row],[Product Id]], tbl_Product[Product Id], tbl_Product[Is Set or Play Booster])</f>
        <v>0</v>
      </c>
      <c r="AX899" s="6" t="b">
        <f>_xlfn.XLOOKUP(tbl_Sourcing[[#This Row],[Product Id]], tbl_Product[Product Id], tbl_Product[Is Precon])</f>
        <v>0</v>
      </c>
    </row>
    <row r="900" spans="1:50">
      <c r="A900">
        <v>718</v>
      </c>
      <c r="B900">
        <v>46</v>
      </c>
      <c r="C900" t="s">
        <v>2371</v>
      </c>
      <c r="D900" s="8" t="s">
        <v>2413</v>
      </c>
      <c r="F900" t="b">
        <v>0</v>
      </c>
      <c r="G900" s="6"/>
      <c r="J900" s="6" t="str">
        <f>_xlfn.XLOOKUP(tbl_Sourcing[[#This Row],[Product Id]], tbl_Product[Product Id], tbl_Product[Name])</f>
        <v>MTG Modern Horizons 2 MH2 Set Booster Box</v>
      </c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0" s="6" t="b">
        <f>_xlfn.XLOOKUP(tbl_Sourcing[[#This Row],[Product Id]], tbl_Product[Product Id], tbl_Product[Is Set or Play Booster])</f>
        <v>1</v>
      </c>
      <c r="AX900" s="6" t="b">
        <f>_xlfn.XLOOKUP(tbl_Sourcing[[#This Row],[Product Id]], tbl_Product[Product Id], tbl_Product[Is Precon])</f>
        <v>0</v>
      </c>
    </row>
    <row r="901" spans="1:50">
      <c r="A901">
        <v>719</v>
      </c>
      <c r="B901">
        <v>122</v>
      </c>
      <c r="C901" t="s">
        <v>2371</v>
      </c>
      <c r="D901" s="8" t="s">
        <v>2414</v>
      </c>
      <c r="F901" t="b">
        <v>0</v>
      </c>
      <c r="G901" s="6"/>
      <c r="J901" s="6" t="str">
        <f>_xlfn.XLOOKUP(tbl_Sourcing[[#This Row],[Product Id]], tbl_Product[Product Id], tbl_Product[Name])</f>
        <v>MTG Modern Horizons 3 MH3 Collector Booster Box</v>
      </c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1" s="6" t="b">
        <f>_xlfn.XLOOKUP(tbl_Sourcing[[#This Row],[Product Id]], tbl_Product[Product Id], tbl_Product[Is Set or Play Booster])</f>
        <v>0</v>
      </c>
      <c r="AX901" s="6" t="b">
        <f>_xlfn.XLOOKUP(tbl_Sourcing[[#This Row],[Product Id]], tbl_Product[Product Id], tbl_Product[Is Precon])</f>
        <v>0</v>
      </c>
    </row>
    <row r="902" spans="1:50">
      <c r="A902">
        <v>720</v>
      </c>
      <c r="B902">
        <v>60</v>
      </c>
      <c r="C902" t="s">
        <v>2371</v>
      </c>
      <c r="D902" s="8" t="s">
        <v>2415</v>
      </c>
      <c r="F902" t="b">
        <v>0</v>
      </c>
      <c r="G902" s="6"/>
      <c r="J902" s="6" t="str">
        <f>_xlfn.XLOOKUP(tbl_Sourcing[[#This Row],[Product Id]], tbl_Product[Product Id], tbl_Product[Name])</f>
        <v>MTG Modern Horizons 3 MH3 Play Booster Box</v>
      </c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2" s="6" t="b">
        <f>_xlfn.XLOOKUP(tbl_Sourcing[[#This Row],[Product Id]], tbl_Product[Product Id], tbl_Product[Is Set or Play Booster])</f>
        <v>1</v>
      </c>
      <c r="AX902" s="6" t="b">
        <f>_xlfn.XLOOKUP(tbl_Sourcing[[#This Row],[Product Id]], tbl_Product[Product Id], tbl_Product[Is Precon])</f>
        <v>0</v>
      </c>
    </row>
    <row r="903" spans="1:50">
      <c r="A903">
        <v>721</v>
      </c>
      <c r="B903">
        <v>124</v>
      </c>
      <c r="C903" t="s">
        <v>2371</v>
      </c>
      <c r="D903" s="8" t="s">
        <v>2416</v>
      </c>
      <c r="F903" t="b">
        <v>0</v>
      </c>
      <c r="G903" s="6"/>
      <c r="J903" s="6" t="str">
        <f>_xlfn.XLOOKUP(tbl_Sourcing[[#This Row],[Product Id]], tbl_Product[Product Id], tbl_Product[Name])</f>
        <v>MTG Murders at Karlov Manor Collector Booster Box</v>
      </c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3" s="6" t="b">
        <f>_xlfn.XLOOKUP(tbl_Sourcing[[#This Row],[Product Id]], tbl_Product[Product Id], tbl_Product[Is Set or Play Booster])</f>
        <v>0</v>
      </c>
      <c r="AX903" s="6" t="b">
        <f>_xlfn.XLOOKUP(tbl_Sourcing[[#This Row],[Product Id]], tbl_Product[Product Id], tbl_Product[Is Precon])</f>
        <v>0</v>
      </c>
    </row>
    <row r="904" spans="1:50">
      <c r="A904">
        <v>722</v>
      </c>
      <c r="B904">
        <v>80</v>
      </c>
      <c r="C904" t="s">
        <v>2371</v>
      </c>
      <c r="D904" s="8" t="s">
        <v>2417</v>
      </c>
      <c r="F904" t="b">
        <v>0</v>
      </c>
      <c r="G904" s="6"/>
      <c r="J904" s="6" t="str">
        <f>_xlfn.XLOOKUP(tbl_Sourcing[[#This Row],[Product Id]], tbl_Product[Product Id], tbl_Product[Name])</f>
        <v>MTG Murders at Karlov Manor Play Booster Box</v>
      </c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4" s="6" t="b">
        <f>_xlfn.XLOOKUP(tbl_Sourcing[[#This Row],[Product Id]], tbl_Product[Product Id], tbl_Product[Is Set or Play Booster])</f>
        <v>1</v>
      </c>
      <c r="AX904" s="6" t="b">
        <f>_xlfn.XLOOKUP(tbl_Sourcing[[#This Row],[Product Id]], tbl_Product[Product Id], tbl_Product[Is Precon])</f>
        <v>0</v>
      </c>
    </row>
    <row r="905" spans="1:50">
      <c r="A905">
        <v>723</v>
      </c>
      <c r="B905">
        <v>126</v>
      </c>
      <c r="C905" t="s">
        <v>2371</v>
      </c>
      <c r="D905" s="8" t="s">
        <v>2418</v>
      </c>
      <c r="F905" t="b">
        <v>0</v>
      </c>
      <c r="G905" s="6"/>
      <c r="J905" s="6" t="str">
        <f>_xlfn.XLOOKUP(tbl_Sourcing[[#This Row],[Product Id]], tbl_Product[Product Id], tbl_Product[Name])</f>
        <v>MTG Outlaws of Thunder Junction Collector Booster Box</v>
      </c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5" s="6" t="b">
        <f>_xlfn.XLOOKUP(tbl_Sourcing[[#This Row],[Product Id]], tbl_Product[Product Id], tbl_Product[Is Set or Play Booster])</f>
        <v>0</v>
      </c>
      <c r="AX905" s="6" t="b">
        <f>_xlfn.XLOOKUP(tbl_Sourcing[[#This Row],[Product Id]], tbl_Product[Product Id], tbl_Product[Is Precon])</f>
        <v>0</v>
      </c>
    </row>
    <row r="906" spans="1:50">
      <c r="A906">
        <v>724</v>
      </c>
      <c r="B906">
        <v>56</v>
      </c>
      <c r="C906" t="s">
        <v>2371</v>
      </c>
      <c r="D906" s="8" t="s">
        <v>2419</v>
      </c>
      <c r="F906" t="b">
        <v>0</v>
      </c>
      <c r="G906" s="6"/>
      <c r="J906" s="6" t="str">
        <f>_xlfn.XLOOKUP(tbl_Sourcing[[#This Row],[Product Id]], tbl_Product[Product Id], tbl_Product[Name])</f>
        <v>MTG Outlaws of Thunder Junction Play Booster Box</v>
      </c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6" s="6" t="b">
        <f>_xlfn.XLOOKUP(tbl_Sourcing[[#This Row],[Product Id]], tbl_Product[Product Id], tbl_Product[Is Set or Play Booster])</f>
        <v>1</v>
      </c>
      <c r="AX906" s="6" t="b">
        <f>_xlfn.XLOOKUP(tbl_Sourcing[[#This Row],[Product Id]], tbl_Product[Product Id], tbl_Product[Is Precon])</f>
        <v>0</v>
      </c>
    </row>
    <row r="907" spans="1:50">
      <c r="A907">
        <v>725</v>
      </c>
      <c r="B907">
        <v>67</v>
      </c>
      <c r="C907" t="s">
        <v>2371</v>
      </c>
      <c r="D907" s="8" t="s">
        <v>2420</v>
      </c>
      <c r="F907" t="b">
        <v>0</v>
      </c>
      <c r="G907" s="6"/>
      <c r="J907" s="6" t="str">
        <f>_xlfn.XLOOKUP(tbl_Sourcing[[#This Row],[Product Id]], tbl_Product[Product Id], tbl_Product[Name])</f>
        <v>MTG Phyrexia: All Will Be One Set Booster Box</v>
      </c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7" s="6" t="b">
        <f>_xlfn.XLOOKUP(tbl_Sourcing[[#This Row],[Product Id]], tbl_Product[Product Id], tbl_Product[Is Set or Play Booster])</f>
        <v>1</v>
      </c>
      <c r="AX907" s="6" t="b">
        <f>_xlfn.XLOOKUP(tbl_Sourcing[[#This Row],[Product Id]], tbl_Product[Product Id], tbl_Product[Is Precon])</f>
        <v>0</v>
      </c>
    </row>
    <row r="908" spans="1:50">
      <c r="A908">
        <v>726</v>
      </c>
      <c r="B908">
        <v>130</v>
      </c>
      <c r="C908" t="s">
        <v>2371</v>
      </c>
      <c r="D908" s="8" t="s">
        <v>2421</v>
      </c>
      <c r="F908" t="b">
        <v>0</v>
      </c>
      <c r="G908" s="6"/>
      <c r="J908" s="6" t="str">
        <f>_xlfn.XLOOKUP(tbl_Sourcing[[#This Row],[Product Id]], tbl_Product[Product Id], tbl_Product[Name])</f>
        <v>MTG Ravnica Remastered Collector Booster Box</v>
      </c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8" s="6" t="b">
        <f>_xlfn.XLOOKUP(tbl_Sourcing[[#This Row],[Product Id]], tbl_Product[Product Id], tbl_Product[Is Set or Play Booster])</f>
        <v>0</v>
      </c>
      <c r="AX908" s="6" t="b">
        <f>_xlfn.XLOOKUP(tbl_Sourcing[[#This Row],[Product Id]], tbl_Product[Product Id], tbl_Product[Is Precon])</f>
        <v>0</v>
      </c>
    </row>
    <row r="909" spans="1:50">
      <c r="A909">
        <v>727</v>
      </c>
      <c r="B909">
        <v>68</v>
      </c>
      <c r="C909" t="s">
        <v>2371</v>
      </c>
      <c r="D909" s="8" t="s">
        <v>2422</v>
      </c>
      <c r="F909" t="b">
        <v>0</v>
      </c>
      <c r="G909" s="6"/>
      <c r="J909" s="6" t="str">
        <f>_xlfn.XLOOKUP(tbl_Sourcing[[#This Row],[Product Id]], tbl_Product[Product Id], tbl_Product[Name])</f>
        <v>MTG Ravnica Remastered Draft Booster Box</v>
      </c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09" s="6" t="b">
        <f>_xlfn.XLOOKUP(tbl_Sourcing[[#This Row],[Product Id]], tbl_Product[Product Id], tbl_Product[Is Set or Play Booster])</f>
        <v>1</v>
      </c>
      <c r="AX909" s="6" t="b">
        <f>_xlfn.XLOOKUP(tbl_Sourcing[[#This Row],[Product Id]], tbl_Product[Product Id], tbl_Product[Is Precon])</f>
        <v>0</v>
      </c>
    </row>
    <row r="910" spans="1:50">
      <c r="A910">
        <v>728</v>
      </c>
      <c r="B910">
        <v>81</v>
      </c>
      <c r="C910" t="s">
        <v>2371</v>
      </c>
      <c r="D910" s="8" t="s">
        <v>2423</v>
      </c>
      <c r="F910" t="b">
        <v>0</v>
      </c>
      <c r="G910" s="6"/>
      <c r="J910" s="6" t="str">
        <f>_xlfn.XLOOKUP(tbl_Sourcing[[#This Row],[Product Id]], tbl_Product[Product Id], tbl_Product[Name])</f>
        <v>MTG Rivals of Ixalan Booster Box</v>
      </c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0" s="6" t="b">
        <f>_xlfn.XLOOKUP(tbl_Sourcing[[#This Row],[Product Id]], tbl_Product[Product Id], tbl_Product[Is Set or Play Booster])</f>
        <v>1</v>
      </c>
      <c r="AX910" s="6" t="b">
        <f>_xlfn.XLOOKUP(tbl_Sourcing[[#This Row],[Product Id]], tbl_Product[Product Id], tbl_Product[Is Precon])</f>
        <v>0</v>
      </c>
    </row>
    <row r="911" spans="1:50">
      <c r="A911">
        <v>729</v>
      </c>
      <c r="B911">
        <v>132</v>
      </c>
      <c r="C911" t="s">
        <v>2371</v>
      </c>
      <c r="D911" s="8" t="s">
        <v>2424</v>
      </c>
      <c r="F911" t="b">
        <v>0</v>
      </c>
      <c r="G911" s="6"/>
      <c r="J911" s="6" t="str">
        <f>_xlfn.XLOOKUP(tbl_Sourcing[[#This Row],[Product Id]], tbl_Product[Product Id], tbl_Product[Name])</f>
        <v>MTG Streets of New Capenna Collector Booster Box</v>
      </c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1" s="6" t="b">
        <f>_xlfn.XLOOKUP(tbl_Sourcing[[#This Row],[Product Id]], tbl_Product[Product Id], tbl_Product[Is Set or Play Booster])</f>
        <v>0</v>
      </c>
      <c r="AX911" s="6" t="b">
        <f>_xlfn.XLOOKUP(tbl_Sourcing[[#This Row],[Product Id]], tbl_Product[Product Id], tbl_Product[Is Precon])</f>
        <v>0</v>
      </c>
    </row>
    <row r="912" spans="1:50">
      <c r="A912">
        <v>730</v>
      </c>
      <c r="B912">
        <v>75</v>
      </c>
      <c r="C912" t="s">
        <v>2371</v>
      </c>
      <c r="D912" s="8" t="s">
        <v>2425</v>
      </c>
      <c r="F912" t="b">
        <v>0</v>
      </c>
      <c r="G912" s="6"/>
      <c r="J912" s="6" t="str">
        <f>_xlfn.XLOOKUP(tbl_Sourcing[[#This Row],[Product Id]], tbl_Product[Product Id], tbl_Product[Name])</f>
        <v>MTG Streets of New Capenna Set Booster Box</v>
      </c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2" s="6" t="b">
        <f>_xlfn.XLOOKUP(tbl_Sourcing[[#This Row],[Product Id]], tbl_Product[Product Id], tbl_Product[Is Set or Play Booster])</f>
        <v>1</v>
      </c>
      <c r="AX912" s="6" t="b">
        <f>_xlfn.XLOOKUP(tbl_Sourcing[[#This Row],[Product Id]], tbl_Product[Product Id], tbl_Product[Is Precon])</f>
        <v>0</v>
      </c>
    </row>
    <row r="913" spans="1:50">
      <c r="A913">
        <v>731</v>
      </c>
      <c r="B913">
        <v>134</v>
      </c>
      <c r="C913" t="s">
        <v>2371</v>
      </c>
      <c r="D913" s="8" t="s">
        <v>2426</v>
      </c>
      <c r="F913" t="b">
        <v>0</v>
      </c>
      <c r="G913" s="6"/>
      <c r="J913" s="6" t="str">
        <f>_xlfn.XLOOKUP(tbl_Sourcing[[#This Row],[Product Id]], tbl_Product[Product Id], tbl_Product[Name])</f>
        <v>MTG Strixhaven: School of Magic Collector Booster Box</v>
      </c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3" s="6" t="b">
        <f>_xlfn.XLOOKUP(tbl_Sourcing[[#This Row],[Product Id]], tbl_Product[Product Id], tbl_Product[Is Set or Play Booster])</f>
        <v>0</v>
      </c>
      <c r="AX913" s="6" t="b">
        <f>_xlfn.XLOOKUP(tbl_Sourcing[[#This Row],[Product Id]], tbl_Product[Product Id], tbl_Product[Is Precon])</f>
        <v>0</v>
      </c>
    </row>
    <row r="914" spans="1:50">
      <c r="A914">
        <v>732</v>
      </c>
      <c r="B914">
        <v>54</v>
      </c>
      <c r="C914" t="s">
        <v>2371</v>
      </c>
      <c r="D914" s="8" t="s">
        <v>2427</v>
      </c>
      <c r="F914" t="b">
        <v>0</v>
      </c>
      <c r="G914" s="6"/>
      <c r="J914" s="6" t="str">
        <f>_xlfn.XLOOKUP(tbl_Sourcing[[#This Row],[Product Id]], tbl_Product[Product Id], tbl_Product[Name])</f>
        <v>MTG Strixhaven: School of Magic Set Booster Box</v>
      </c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4" s="6" t="b">
        <f>_xlfn.XLOOKUP(tbl_Sourcing[[#This Row],[Product Id]], tbl_Product[Product Id], tbl_Product[Is Set or Play Booster])</f>
        <v>1</v>
      </c>
      <c r="AX914" s="6" t="b">
        <f>_xlfn.XLOOKUP(tbl_Sourcing[[#This Row],[Product Id]], tbl_Product[Product Id], tbl_Product[Is Precon])</f>
        <v>0</v>
      </c>
    </row>
    <row r="915" spans="1:50">
      <c r="A915">
        <v>733</v>
      </c>
      <c r="B915">
        <v>136</v>
      </c>
      <c r="C915" t="s">
        <v>2371</v>
      </c>
      <c r="D915" s="8" t="s">
        <v>2428</v>
      </c>
      <c r="F915" t="b">
        <v>0</v>
      </c>
      <c r="G915" s="6"/>
      <c r="J915" s="6" t="str">
        <f>_xlfn.XLOOKUP(tbl_Sourcing[[#This Row],[Product Id]], tbl_Product[Product Id], tbl_Product[Name])</f>
        <v>MTG Tarkir: Dragonstorm TDM Collector Booster Box</v>
      </c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5" s="6" t="b">
        <f>_xlfn.XLOOKUP(tbl_Sourcing[[#This Row],[Product Id]], tbl_Product[Product Id], tbl_Product[Is Set or Play Booster])</f>
        <v>0</v>
      </c>
      <c r="AX915" s="6" t="b">
        <f>_xlfn.XLOOKUP(tbl_Sourcing[[#This Row],[Product Id]], tbl_Product[Product Id], tbl_Product[Is Precon])</f>
        <v>0</v>
      </c>
    </row>
    <row r="916" spans="1:50">
      <c r="A916">
        <v>734</v>
      </c>
      <c r="B916">
        <v>42</v>
      </c>
      <c r="C916" t="s">
        <v>2371</v>
      </c>
      <c r="D916" s="8" t="s">
        <v>2429</v>
      </c>
      <c r="F916" t="b">
        <v>0</v>
      </c>
      <c r="G916" s="6"/>
      <c r="J916" s="6" t="str">
        <f>_xlfn.XLOOKUP(tbl_Sourcing[[#This Row],[Product Id]], tbl_Product[Product Id], tbl_Product[Name])</f>
        <v>MTG Tarkir: Dragonstorm TDM Play Booster Box</v>
      </c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6" s="6" t="b">
        <f>_xlfn.XLOOKUP(tbl_Sourcing[[#This Row],[Product Id]], tbl_Product[Product Id], tbl_Product[Is Set or Play Booster])</f>
        <v>1</v>
      </c>
      <c r="AX916" s="6" t="b">
        <f>_xlfn.XLOOKUP(tbl_Sourcing[[#This Row],[Product Id]], tbl_Product[Product Id], tbl_Product[Is Precon])</f>
        <v>0</v>
      </c>
    </row>
    <row r="917" spans="1:50">
      <c r="A917">
        <v>749</v>
      </c>
      <c r="B917">
        <v>252</v>
      </c>
      <c r="C917" t="s">
        <v>2371</v>
      </c>
      <c r="D917" s="8" t="s">
        <v>2430</v>
      </c>
      <c r="F917" t="b">
        <v>0</v>
      </c>
      <c r="G917" s="6"/>
      <c r="J917" s="6" t="str">
        <f>_xlfn.XLOOKUP(tbl_Sourcing[[#This Row],[Product Id]], tbl_Product[Product Id], tbl_Product[Name])</f>
        <v>MTG Teenage Mutant Ninja Turtles Collector Booster Box</v>
      </c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7" s="6" t="b">
        <f>_xlfn.XLOOKUP(tbl_Sourcing[[#This Row],[Product Id]], tbl_Product[Product Id], tbl_Product[Is Set or Play Booster])</f>
        <v>0</v>
      </c>
      <c r="AX917" s="6" t="b">
        <f>_xlfn.XLOOKUP(tbl_Sourcing[[#This Row],[Product Id]], tbl_Product[Product Id], tbl_Product[Is Precon])</f>
        <v>0</v>
      </c>
    </row>
    <row r="918" spans="1:50">
      <c r="A918">
        <v>750</v>
      </c>
      <c r="B918">
        <v>253</v>
      </c>
      <c r="C918" t="s">
        <v>2371</v>
      </c>
      <c r="D918" s="8" t="s">
        <v>2431</v>
      </c>
      <c r="F918" t="b">
        <v>0</v>
      </c>
      <c r="G918" s="6"/>
      <c r="J918" s="6" t="str">
        <f>_xlfn.XLOOKUP(tbl_Sourcing[[#This Row],[Product Id]], tbl_Product[Product Id], tbl_Product[Name])</f>
        <v>MTG Teenage Mutant Ninja Turtles Play Booster Box</v>
      </c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8" s="6" t="b">
        <f>_xlfn.XLOOKUP(tbl_Sourcing[[#This Row],[Product Id]], tbl_Product[Product Id], tbl_Product[Is Set or Play Booster])</f>
        <v>1</v>
      </c>
      <c r="AX918" s="6" t="b">
        <f>_xlfn.XLOOKUP(tbl_Sourcing[[#This Row],[Product Id]], tbl_Product[Product Id], tbl_Product[Is Precon])</f>
        <v>0</v>
      </c>
    </row>
    <row r="919" spans="1:50">
      <c r="A919">
        <v>735</v>
      </c>
      <c r="B919">
        <v>138</v>
      </c>
      <c r="C919" t="s">
        <v>2371</v>
      </c>
      <c r="D919" s="8" t="s">
        <v>2432</v>
      </c>
      <c r="F919" t="b">
        <v>0</v>
      </c>
      <c r="G919" s="6"/>
      <c r="J919" s="6" t="str">
        <f>_xlfn.XLOOKUP(tbl_Sourcing[[#This Row],[Product Id]], tbl_Product[Product Id], tbl_Product[Name])</f>
        <v>MTG The Brothers' War Collector Booster Box</v>
      </c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19" s="6" t="b">
        <f>_xlfn.XLOOKUP(tbl_Sourcing[[#This Row],[Product Id]], tbl_Product[Product Id], tbl_Product[Is Set or Play Booster])</f>
        <v>0</v>
      </c>
      <c r="AX919" s="6" t="b">
        <f>_xlfn.XLOOKUP(tbl_Sourcing[[#This Row],[Product Id]], tbl_Product[Product Id], tbl_Product[Is Precon])</f>
        <v>0</v>
      </c>
    </row>
    <row r="920" spans="1:50">
      <c r="A920">
        <v>736</v>
      </c>
      <c r="B920">
        <v>73</v>
      </c>
      <c r="C920" t="s">
        <v>2371</v>
      </c>
      <c r="D920" s="8" t="s">
        <v>2433</v>
      </c>
      <c r="F920" t="b">
        <v>0</v>
      </c>
      <c r="G920" s="6"/>
      <c r="J920" s="6" t="str">
        <f>_xlfn.XLOOKUP(tbl_Sourcing[[#This Row],[Product Id]], tbl_Product[Product Id], tbl_Product[Name])</f>
        <v>MTG The Brothers' War Set Booster Box</v>
      </c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0" s="6" t="b">
        <f>_xlfn.XLOOKUP(tbl_Sourcing[[#This Row],[Product Id]], tbl_Product[Product Id], tbl_Product[Is Set or Play Booster])</f>
        <v>1</v>
      </c>
      <c r="AX920" s="6" t="b">
        <f>_xlfn.XLOOKUP(tbl_Sourcing[[#This Row],[Product Id]], tbl_Product[Product Id], tbl_Product[Is Precon])</f>
        <v>0</v>
      </c>
    </row>
    <row r="921" spans="1:50">
      <c r="A921">
        <v>737</v>
      </c>
      <c r="B921">
        <v>140</v>
      </c>
      <c r="C921" t="s">
        <v>2371</v>
      </c>
      <c r="D921" s="8" t="s">
        <v>2434</v>
      </c>
      <c r="F921" t="b">
        <v>0</v>
      </c>
      <c r="G921" s="6"/>
      <c r="J921" s="6" t="str">
        <f>_xlfn.XLOOKUP(tbl_Sourcing[[#This Row],[Product Id]], tbl_Product[Product Id], tbl_Product[Name])</f>
        <v>MTG The Lord of the Rings: Tales of Middle-earth LTR Collector Booster Box</v>
      </c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1" s="6" t="b">
        <f>_xlfn.XLOOKUP(tbl_Sourcing[[#This Row],[Product Id]], tbl_Product[Product Id], tbl_Product[Is Set or Play Booster])</f>
        <v>0</v>
      </c>
      <c r="AX921" s="6" t="b">
        <f>_xlfn.XLOOKUP(tbl_Sourcing[[#This Row],[Product Id]], tbl_Product[Product Id], tbl_Product[Is Precon])</f>
        <v>0</v>
      </c>
    </row>
    <row r="922" spans="1:50">
      <c r="A922">
        <v>738</v>
      </c>
      <c r="B922">
        <v>66</v>
      </c>
      <c r="C922" t="s">
        <v>2371</v>
      </c>
      <c r="D922" s="8" t="s">
        <v>2435</v>
      </c>
      <c r="F922" t="b">
        <v>0</v>
      </c>
      <c r="G922" s="6"/>
      <c r="J922" s="6" t="str">
        <f>_xlfn.XLOOKUP(tbl_Sourcing[[#This Row],[Product Id]], tbl_Product[Product Id], tbl_Product[Name])</f>
        <v>MTG The Lord of the Rings: Tales of Middle-earth LTR Set Booster Box</v>
      </c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2" s="6" t="b">
        <f>_xlfn.XLOOKUP(tbl_Sourcing[[#This Row],[Product Id]], tbl_Product[Product Id], tbl_Product[Is Set or Play Booster])</f>
        <v>1</v>
      </c>
      <c r="AX922" s="6" t="b">
        <f>_xlfn.XLOOKUP(tbl_Sourcing[[#This Row],[Product Id]], tbl_Product[Product Id], tbl_Product[Is Precon])</f>
        <v>0</v>
      </c>
    </row>
    <row r="923" spans="1:50">
      <c r="A923">
        <v>739</v>
      </c>
      <c r="B923">
        <v>142</v>
      </c>
      <c r="C923" t="s">
        <v>2371</v>
      </c>
      <c r="D923" s="8" t="s">
        <v>2436</v>
      </c>
      <c r="F923" t="b">
        <v>0</v>
      </c>
      <c r="G923" s="6"/>
      <c r="J923" s="6" t="str">
        <f>_xlfn.XLOOKUP(tbl_Sourcing[[#This Row],[Product Id]], tbl_Product[Product Id], tbl_Product[Name])</f>
        <v>MTG The Lost Caverns of Ixalan LCI Collector Booster Box</v>
      </c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3" s="6" t="b">
        <f>_xlfn.XLOOKUP(tbl_Sourcing[[#This Row],[Product Id]], tbl_Product[Product Id], tbl_Product[Is Set or Play Booster])</f>
        <v>0</v>
      </c>
      <c r="AX923" s="6" t="b">
        <f>_xlfn.XLOOKUP(tbl_Sourcing[[#This Row],[Product Id]], tbl_Product[Product Id], tbl_Product[Is Precon])</f>
        <v>0</v>
      </c>
    </row>
    <row r="924" spans="1:50">
      <c r="A924">
        <v>740</v>
      </c>
      <c r="B924">
        <v>47</v>
      </c>
      <c r="C924" t="s">
        <v>2371</v>
      </c>
      <c r="D924" s="8" t="s">
        <v>2436</v>
      </c>
      <c r="F924" t="b">
        <v>0</v>
      </c>
      <c r="G924" s="6"/>
      <c r="J924" s="6" t="str">
        <f>_xlfn.XLOOKUP(tbl_Sourcing[[#This Row],[Product Id]], tbl_Product[Product Id], tbl_Product[Name])</f>
        <v>MTG The Lost Caverns of Ixalan LCI Set Booster Box</v>
      </c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4" s="6" t="b">
        <f>_xlfn.XLOOKUP(tbl_Sourcing[[#This Row],[Product Id]], tbl_Product[Product Id], tbl_Product[Is Set or Play Booster])</f>
        <v>1</v>
      </c>
      <c r="AX924" s="6" t="b">
        <f>_xlfn.XLOOKUP(tbl_Sourcing[[#This Row],[Product Id]], tbl_Product[Product Id], tbl_Product[Is Precon])</f>
        <v>0</v>
      </c>
    </row>
    <row r="925" spans="1:50">
      <c r="A925">
        <v>741</v>
      </c>
      <c r="B925">
        <v>72</v>
      </c>
      <c r="C925" t="s">
        <v>2371</v>
      </c>
      <c r="D925" s="8" t="s">
        <v>2437</v>
      </c>
      <c r="F925" t="b">
        <v>0</v>
      </c>
      <c r="G925" s="6"/>
      <c r="J925" s="6" t="str">
        <f>_xlfn.XLOOKUP(tbl_Sourcing[[#This Row],[Product Id]], tbl_Product[Product Id], tbl_Product[Name])</f>
        <v>MTG Theros Beyond Death THB Booster Box</v>
      </c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5" s="6" t="b">
        <f>_xlfn.XLOOKUP(tbl_Sourcing[[#This Row],[Product Id]], tbl_Product[Product Id], tbl_Product[Is Set or Play Booster])</f>
        <v>1</v>
      </c>
      <c r="AX925" s="6" t="b">
        <f>_xlfn.XLOOKUP(tbl_Sourcing[[#This Row],[Product Id]], tbl_Product[Product Id], tbl_Product[Is Precon])</f>
        <v>0</v>
      </c>
    </row>
    <row r="926" spans="1:50">
      <c r="A926">
        <v>742</v>
      </c>
      <c r="B926">
        <v>144</v>
      </c>
      <c r="C926" t="s">
        <v>2371</v>
      </c>
      <c r="D926" s="8" t="s">
        <v>2438</v>
      </c>
      <c r="F926" t="b">
        <v>0</v>
      </c>
      <c r="G926" s="6"/>
      <c r="J926" s="6" t="str">
        <f>_xlfn.XLOOKUP(tbl_Sourcing[[#This Row],[Product Id]], tbl_Product[Product Id], tbl_Product[Name])</f>
        <v>MTG Theros Beyond Death THB Collector Booster Box</v>
      </c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6" s="6" t="b">
        <f>_xlfn.XLOOKUP(tbl_Sourcing[[#This Row],[Product Id]], tbl_Product[Product Id], tbl_Product[Is Set or Play Booster])</f>
        <v>0</v>
      </c>
      <c r="AX926" s="6" t="b">
        <f>_xlfn.XLOOKUP(tbl_Sourcing[[#This Row],[Product Id]], tbl_Product[Product Id], tbl_Product[Is Precon])</f>
        <v>0</v>
      </c>
    </row>
    <row r="927" spans="1:50">
      <c r="A927">
        <v>743</v>
      </c>
      <c r="B927">
        <v>55</v>
      </c>
      <c r="C927" t="s">
        <v>2371</v>
      </c>
      <c r="D927" s="8" t="s">
        <v>2439</v>
      </c>
      <c r="F927" t="b">
        <v>0</v>
      </c>
      <c r="G927" s="6"/>
      <c r="J927" s="6" t="str">
        <f>_xlfn.XLOOKUP(tbl_Sourcing[[#This Row],[Product Id]], tbl_Product[Product Id], tbl_Product[Name])</f>
        <v>MTG Throne of Eldraine Booster Box</v>
      </c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7" s="6" t="b">
        <f>_xlfn.XLOOKUP(tbl_Sourcing[[#This Row],[Product Id]], tbl_Product[Product Id], tbl_Product[Is Set or Play Booster])</f>
        <v>1</v>
      </c>
      <c r="AX927" s="6" t="b">
        <f>_xlfn.XLOOKUP(tbl_Sourcing[[#This Row],[Product Id]], tbl_Product[Product Id], tbl_Product[Is Precon])</f>
        <v>0</v>
      </c>
    </row>
    <row r="928" spans="1:50">
      <c r="A928">
        <v>744</v>
      </c>
      <c r="B928">
        <v>146</v>
      </c>
      <c r="C928" t="s">
        <v>2371</v>
      </c>
      <c r="D928" s="8" t="s">
        <v>2440</v>
      </c>
      <c r="F928" t="b">
        <v>0</v>
      </c>
      <c r="G928" s="6"/>
      <c r="J928" s="6" t="str">
        <f>_xlfn.XLOOKUP(tbl_Sourcing[[#This Row],[Product Id]], tbl_Product[Product Id], tbl_Product[Name])</f>
        <v>MTG Throne of Eldraine Collector Booster Box</v>
      </c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8" s="6" t="b">
        <f>_xlfn.XLOOKUP(tbl_Sourcing[[#This Row],[Product Id]], tbl_Product[Product Id], tbl_Product[Is Set or Play Booster])</f>
        <v>0</v>
      </c>
      <c r="AX928" s="6" t="b">
        <f>_xlfn.XLOOKUP(tbl_Sourcing[[#This Row],[Product Id]], tbl_Product[Product Id], tbl_Product[Is Precon])</f>
        <v>0</v>
      </c>
    </row>
    <row r="929" spans="1:50">
      <c r="A929">
        <v>751</v>
      </c>
      <c r="B929">
        <v>53</v>
      </c>
      <c r="C929" t="s">
        <v>2371</v>
      </c>
      <c r="D929" s="8" t="s">
        <v>2441</v>
      </c>
      <c r="F929" t="b">
        <v>0</v>
      </c>
      <c r="G929" s="6"/>
      <c r="J929" s="6" t="str">
        <f>_xlfn.XLOOKUP(tbl_Sourcing[[#This Row],[Product Id]], tbl_Product[Product Id], tbl_Product[Name])</f>
        <v>MTG War of the Spark Booster Box</v>
      </c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29" s="6" t="b">
        <f>_xlfn.XLOOKUP(tbl_Sourcing[[#This Row],[Product Id]], tbl_Product[Product Id], tbl_Product[Is Set or Play Booster])</f>
        <v>1</v>
      </c>
      <c r="AX929" s="6" t="b">
        <f>_xlfn.XLOOKUP(tbl_Sourcing[[#This Row],[Product Id]], tbl_Product[Product Id], tbl_Product[Is Precon])</f>
        <v>0</v>
      </c>
    </row>
    <row r="930" spans="1:50">
      <c r="A930">
        <v>752</v>
      </c>
      <c r="B930">
        <v>148</v>
      </c>
      <c r="C930" t="s">
        <v>2371</v>
      </c>
      <c r="D930" s="8" t="s">
        <v>2442</v>
      </c>
      <c r="F930" t="b">
        <v>0</v>
      </c>
      <c r="G930" s="6"/>
      <c r="J930" s="6" t="str">
        <f>_xlfn.XLOOKUP(tbl_Sourcing[[#This Row],[Product Id]], tbl_Product[Product Id], tbl_Product[Name])</f>
        <v>MTG Wilds of Eldraine Collector Booster Box</v>
      </c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0" s="6" t="b">
        <f>_xlfn.XLOOKUP(tbl_Sourcing[[#This Row],[Product Id]], tbl_Product[Product Id], tbl_Product[Is Set or Play Booster])</f>
        <v>0</v>
      </c>
      <c r="AX930" s="6" t="b">
        <f>_xlfn.XLOOKUP(tbl_Sourcing[[#This Row],[Product Id]], tbl_Product[Product Id], tbl_Product[Is Precon])</f>
        <v>0</v>
      </c>
    </row>
    <row r="931" spans="1:50">
      <c r="A931">
        <v>753</v>
      </c>
      <c r="B931">
        <v>74</v>
      </c>
      <c r="C931" t="s">
        <v>2371</v>
      </c>
      <c r="D931" s="8" t="s">
        <v>2443</v>
      </c>
      <c r="F931" t="b">
        <v>0</v>
      </c>
      <c r="G931" s="6"/>
      <c r="J931" s="6" t="str">
        <f>_xlfn.XLOOKUP(tbl_Sourcing[[#This Row],[Product Id]], tbl_Product[Product Id], tbl_Product[Name])</f>
        <v>MTG Wilds of Eldraine Set Booster Box</v>
      </c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1" s="6" t="b">
        <f>_xlfn.XLOOKUP(tbl_Sourcing[[#This Row],[Product Id]], tbl_Product[Product Id], tbl_Product[Is Set or Play Booster])</f>
        <v>1</v>
      </c>
      <c r="AX931" s="6" t="b">
        <f>_xlfn.XLOOKUP(tbl_Sourcing[[#This Row],[Product Id]], tbl_Product[Product Id], tbl_Product[Is Precon])</f>
        <v>0</v>
      </c>
    </row>
    <row r="932" spans="1:50">
      <c r="A932">
        <v>974</v>
      </c>
      <c r="B932">
        <v>70</v>
      </c>
      <c r="C932" t="s">
        <v>2444</v>
      </c>
      <c r="D932" s="8" t="s">
        <v>2445</v>
      </c>
      <c r="F932" t="b">
        <v>0</v>
      </c>
      <c r="G932" s="6"/>
      <c r="J932" s="6" t="str">
        <f>_xlfn.XLOOKUP(tbl_Sourcing[[#This Row],[Product Id]], tbl_Product[Product Id], tbl_Product[Name])</f>
        <v>MTG Aetherdrift Play Booster Box</v>
      </c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2" s="6" t="b">
        <f>_xlfn.XLOOKUP(tbl_Sourcing[[#This Row],[Product Id]], tbl_Product[Product Id], tbl_Product[Is Set or Play Booster])</f>
        <v>1</v>
      </c>
      <c r="AX932" s="6" t="b">
        <f>_xlfn.XLOOKUP(tbl_Sourcing[[#This Row],[Product Id]], tbl_Product[Product Id], tbl_Product[Is Precon])</f>
        <v>0</v>
      </c>
    </row>
    <row r="933" spans="1:50">
      <c r="A933">
        <v>986</v>
      </c>
      <c r="B933">
        <v>63</v>
      </c>
      <c r="C933" t="s">
        <v>2444</v>
      </c>
      <c r="D933" s="8" t="s">
        <v>2446</v>
      </c>
      <c r="F933" t="b">
        <v>0</v>
      </c>
      <c r="G933" s="6"/>
      <c r="J933" s="6" t="str">
        <f>_xlfn.XLOOKUP(tbl_Sourcing[[#This Row],[Product Id]], tbl_Product[Product Id], tbl_Product[Name])</f>
        <v>MTG Assassin's Creed Beyond Booster Box</v>
      </c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3" s="6" t="b">
        <f>_xlfn.XLOOKUP(tbl_Sourcing[[#This Row],[Product Id]], tbl_Product[Product Id], tbl_Product[Is Set or Play Booster])</f>
        <v>1</v>
      </c>
      <c r="AX933" s="6" t="b">
        <f>_xlfn.XLOOKUP(tbl_Sourcing[[#This Row],[Product Id]], tbl_Product[Product Id], tbl_Product[Is Precon])</f>
        <v>0</v>
      </c>
    </row>
    <row r="934" spans="1:50">
      <c r="A934">
        <v>987</v>
      </c>
      <c r="B934">
        <v>86</v>
      </c>
      <c r="C934" t="s">
        <v>2444</v>
      </c>
      <c r="D934" s="8" t="s">
        <v>2447</v>
      </c>
      <c r="F934" t="b">
        <v>0</v>
      </c>
      <c r="G934" s="6"/>
      <c r="J934" s="6" t="str">
        <f>_xlfn.XLOOKUP(tbl_Sourcing[[#This Row],[Product Id]], tbl_Product[Product Id], tbl_Product[Name])</f>
        <v>MTG Assassin's Creed Beyond Collector Booster Box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4" s="6" t="b">
        <f>_xlfn.XLOOKUP(tbl_Sourcing[[#This Row],[Product Id]], tbl_Product[Product Id], tbl_Product[Is Set or Play Booster])</f>
        <v>0</v>
      </c>
      <c r="AX934" s="6" t="b">
        <f>_xlfn.XLOOKUP(tbl_Sourcing[[#This Row],[Product Id]], tbl_Product[Product Id], tbl_Product[Is Precon])</f>
        <v>0</v>
      </c>
    </row>
    <row r="935" spans="1:50">
      <c r="A935">
        <v>988</v>
      </c>
      <c r="B935">
        <v>57</v>
      </c>
      <c r="C935" t="s">
        <v>2444</v>
      </c>
      <c r="D935" s="8" t="s">
        <v>2448</v>
      </c>
      <c r="E935">
        <v>105</v>
      </c>
      <c r="F935" s="6" t="b">
        <v>1</v>
      </c>
      <c r="G935" s="6"/>
      <c r="J935" s="6" t="str">
        <f>_xlfn.XLOOKUP(tbl_Sourcing[[#This Row],[Product Id]], tbl_Product[Product Id], tbl_Product[Name])</f>
        <v>MTG Avatar: The Last Airbender Play Booster Box</v>
      </c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5" s="6" t="b">
        <f>_xlfn.XLOOKUP(tbl_Sourcing[[#This Row],[Product Id]], tbl_Product[Product Id], tbl_Product[Is Set or Play Booster])</f>
        <v>1</v>
      </c>
      <c r="AX935" s="6" t="b">
        <f>_xlfn.XLOOKUP(tbl_Sourcing[[#This Row],[Product Id]], tbl_Product[Product Id], tbl_Product[Is Precon])</f>
        <v>0</v>
      </c>
    </row>
    <row r="936" spans="1:50">
      <c r="A936">
        <v>989</v>
      </c>
      <c r="B936">
        <v>79</v>
      </c>
      <c r="C936" t="s">
        <v>2444</v>
      </c>
      <c r="D936" s="8" t="s">
        <v>2449</v>
      </c>
      <c r="F936" t="b">
        <v>0</v>
      </c>
      <c r="G936" s="6"/>
      <c r="J936" s="6" t="str">
        <f>_xlfn.XLOOKUP(tbl_Sourcing[[#This Row],[Product Id]], tbl_Product[Product Id], tbl_Product[Name])</f>
        <v>MTG Bloomburrow Play Booster Box</v>
      </c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6" s="6" t="b">
        <f>_xlfn.XLOOKUP(tbl_Sourcing[[#This Row],[Product Id]], tbl_Product[Product Id], tbl_Product[Is Set or Play Booster])</f>
        <v>1</v>
      </c>
      <c r="AX936" s="6" t="b">
        <f>_xlfn.XLOOKUP(tbl_Sourcing[[#This Row],[Product Id]], tbl_Product[Product Id], tbl_Product[Is Precon])</f>
        <v>0</v>
      </c>
    </row>
    <row r="937" spans="1:50">
      <c r="A937">
        <v>990</v>
      </c>
      <c r="B937">
        <v>94</v>
      </c>
      <c r="C937" t="s">
        <v>2444</v>
      </c>
      <c r="D937" s="8" t="s">
        <v>2450</v>
      </c>
      <c r="F937" t="b">
        <v>0</v>
      </c>
      <c r="G937" s="6"/>
      <c r="J937" s="6" t="str">
        <f>_xlfn.XLOOKUP(tbl_Sourcing[[#This Row],[Product Id]], tbl_Product[Product Id], tbl_Product[Name])</f>
        <v>MTG Dominaria United DMU Collector Booster Box</v>
      </c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7" s="6" t="b">
        <f>_xlfn.XLOOKUP(tbl_Sourcing[[#This Row],[Product Id]], tbl_Product[Product Id], tbl_Product[Is Set or Play Booster])</f>
        <v>0</v>
      </c>
      <c r="AX937" s="6" t="b">
        <f>_xlfn.XLOOKUP(tbl_Sourcing[[#This Row],[Product Id]], tbl_Product[Product Id], tbl_Product[Is Precon])</f>
        <v>0</v>
      </c>
    </row>
    <row r="938" spans="1:50">
      <c r="A938">
        <v>991</v>
      </c>
      <c r="B938">
        <v>76</v>
      </c>
      <c r="C938" t="s">
        <v>2444</v>
      </c>
      <c r="D938" s="8" t="s">
        <v>2451</v>
      </c>
      <c r="F938" t="b">
        <v>0</v>
      </c>
      <c r="G938" s="6"/>
      <c r="J938" s="6" t="str">
        <f>_xlfn.XLOOKUP(tbl_Sourcing[[#This Row],[Product Id]], tbl_Product[Product Id], tbl_Product[Name])</f>
        <v>MTG Dominaria United DMU Set Booster Box</v>
      </c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8" s="6" t="b">
        <f>_xlfn.XLOOKUP(tbl_Sourcing[[#This Row],[Product Id]], tbl_Product[Product Id], tbl_Product[Is Set or Play Booster])</f>
        <v>1</v>
      </c>
      <c r="AX938" s="6" t="b">
        <f>_xlfn.XLOOKUP(tbl_Sourcing[[#This Row],[Product Id]], tbl_Product[Product Id], tbl_Product[Is Precon])</f>
        <v>0</v>
      </c>
    </row>
    <row r="939" spans="1:50">
      <c r="A939">
        <v>992</v>
      </c>
      <c r="B939">
        <v>96</v>
      </c>
      <c r="C939" t="s">
        <v>2444</v>
      </c>
      <c r="D939" s="8" t="s">
        <v>2452</v>
      </c>
      <c r="F939" t="b">
        <v>0</v>
      </c>
      <c r="G939" s="6"/>
      <c r="J939" s="6" t="str">
        <f>_xlfn.XLOOKUP(tbl_Sourcing[[#This Row],[Product Id]], tbl_Product[Product Id], tbl_Product[Name])</f>
        <v>MTG Duskmourn: House of Horror Collector Booster Box</v>
      </c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39" s="6" t="b">
        <f>_xlfn.XLOOKUP(tbl_Sourcing[[#This Row],[Product Id]], tbl_Product[Product Id], tbl_Product[Is Set or Play Booster])</f>
        <v>0</v>
      </c>
      <c r="AX939" s="6" t="b">
        <f>_xlfn.XLOOKUP(tbl_Sourcing[[#This Row],[Product Id]], tbl_Product[Product Id], tbl_Product[Is Precon])</f>
        <v>0</v>
      </c>
    </row>
    <row r="940" spans="1:50">
      <c r="A940">
        <v>993</v>
      </c>
      <c r="B940">
        <v>71</v>
      </c>
      <c r="C940" t="s">
        <v>2444</v>
      </c>
      <c r="D940" s="8" t="s">
        <v>2453</v>
      </c>
      <c r="F940" t="b">
        <v>0</v>
      </c>
      <c r="G940" s="6"/>
      <c r="J940" s="6" t="str">
        <f>_xlfn.XLOOKUP(tbl_Sourcing[[#This Row],[Product Id]], tbl_Product[Product Id], tbl_Product[Name])</f>
        <v>MTG Duskmourn: House of Horror Play Booster Box</v>
      </c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0" s="6" t="b">
        <f>_xlfn.XLOOKUP(tbl_Sourcing[[#This Row],[Product Id]], tbl_Product[Product Id], tbl_Product[Is Set or Play Booster])</f>
        <v>1</v>
      </c>
      <c r="AX940" s="6" t="b">
        <f>_xlfn.XLOOKUP(tbl_Sourcing[[#This Row],[Product Id]], tbl_Product[Product Id], tbl_Product[Is Precon])</f>
        <v>0</v>
      </c>
    </row>
    <row r="941" spans="1:50">
      <c r="A941">
        <v>994</v>
      </c>
      <c r="B941">
        <v>98</v>
      </c>
      <c r="C941" t="s">
        <v>2444</v>
      </c>
      <c r="D941" s="8" t="s">
        <v>2454</v>
      </c>
      <c r="F941" t="b">
        <v>0</v>
      </c>
      <c r="G941" s="6"/>
      <c r="J941" s="6" t="str">
        <f>_xlfn.XLOOKUP(tbl_Sourcing[[#This Row],[Product Id]], tbl_Product[Product Id], tbl_Product[Name])</f>
        <v>MTG Edge of Eternities Collector Booster Box</v>
      </c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1" s="6" t="b">
        <f>_xlfn.XLOOKUP(tbl_Sourcing[[#This Row],[Product Id]], tbl_Product[Product Id], tbl_Product[Is Set or Play Booster])</f>
        <v>0</v>
      </c>
      <c r="AX941" s="6" t="b">
        <f>_xlfn.XLOOKUP(tbl_Sourcing[[#This Row],[Product Id]], tbl_Product[Product Id], tbl_Product[Is Precon])</f>
        <v>0</v>
      </c>
    </row>
    <row r="942" spans="1:50">
      <c r="A942">
        <v>995</v>
      </c>
      <c r="B942">
        <v>65</v>
      </c>
      <c r="C942" t="s">
        <v>2444</v>
      </c>
      <c r="D942" s="8" t="s">
        <v>2455</v>
      </c>
      <c r="F942" t="b">
        <v>0</v>
      </c>
      <c r="G942" s="6"/>
      <c r="J942" s="6" t="str">
        <f>_xlfn.XLOOKUP(tbl_Sourcing[[#This Row],[Product Id]], tbl_Product[Product Id], tbl_Product[Name])</f>
        <v>MTG Edge of Eternities Play Booster Box</v>
      </c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2" s="6" t="b">
        <f>_xlfn.XLOOKUP(tbl_Sourcing[[#This Row],[Product Id]], tbl_Product[Product Id], tbl_Product[Is Set or Play Booster])</f>
        <v>1</v>
      </c>
      <c r="AX942" s="6" t="b">
        <f>_xlfn.XLOOKUP(tbl_Sourcing[[#This Row],[Product Id]], tbl_Product[Product Id], tbl_Product[Is Precon])</f>
        <v>0</v>
      </c>
    </row>
    <row r="943" spans="1:50">
      <c r="A943">
        <v>996</v>
      </c>
      <c r="B943">
        <v>100</v>
      </c>
      <c r="C943" t="s">
        <v>2444</v>
      </c>
      <c r="D943" s="8" t="s">
        <v>2456</v>
      </c>
      <c r="F943" t="b">
        <v>0</v>
      </c>
      <c r="G943" s="6"/>
      <c r="J943" s="6" t="str">
        <f>_xlfn.XLOOKUP(tbl_Sourcing[[#This Row],[Product Id]], tbl_Product[Product Id], tbl_Product[Name])</f>
        <v>MTG Final Fantasy Collector Booster Box</v>
      </c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3" s="6" t="b">
        <f>_xlfn.XLOOKUP(tbl_Sourcing[[#This Row],[Product Id]], tbl_Product[Product Id], tbl_Product[Is Set or Play Booster])</f>
        <v>0</v>
      </c>
      <c r="AX943" s="6" t="b">
        <f>_xlfn.XLOOKUP(tbl_Sourcing[[#This Row],[Product Id]], tbl_Product[Product Id], tbl_Product[Is Precon])</f>
        <v>0</v>
      </c>
    </row>
    <row r="944" spans="1:50">
      <c r="A944">
        <v>997</v>
      </c>
      <c r="B944">
        <v>78</v>
      </c>
      <c r="C944" t="s">
        <v>2444</v>
      </c>
      <c r="D944" s="8" t="s">
        <v>2457</v>
      </c>
      <c r="F944" t="b">
        <v>0</v>
      </c>
      <c r="G944" s="6"/>
      <c r="J944" s="6" t="str">
        <f>_xlfn.XLOOKUP(tbl_Sourcing[[#This Row],[Product Id]], tbl_Product[Product Id], tbl_Product[Name])</f>
        <v>MTG Final Fantasy Play Booster Box</v>
      </c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4" s="6" t="b">
        <f>_xlfn.XLOOKUP(tbl_Sourcing[[#This Row],[Product Id]], tbl_Product[Product Id], tbl_Product[Is Set or Play Booster])</f>
        <v>1</v>
      </c>
      <c r="AX944" s="6" t="b">
        <f>_xlfn.XLOOKUP(tbl_Sourcing[[#This Row],[Product Id]], tbl_Product[Product Id], tbl_Product[Is Precon])</f>
        <v>0</v>
      </c>
    </row>
    <row r="945" spans="1:50">
      <c r="A945">
        <v>998</v>
      </c>
      <c r="B945">
        <v>61</v>
      </c>
      <c r="C945" t="s">
        <v>2444</v>
      </c>
      <c r="D945" s="8" t="s">
        <v>2458</v>
      </c>
      <c r="F945" t="b">
        <v>0</v>
      </c>
      <c r="G945" s="6"/>
      <c r="J945" s="6" t="str">
        <f>_xlfn.XLOOKUP(tbl_Sourcing[[#This Row],[Product Id]], tbl_Product[Product Id], tbl_Product[Name])</f>
        <v>MTG Foundations Play Booster Box</v>
      </c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5" s="6" t="b">
        <f>_xlfn.XLOOKUP(tbl_Sourcing[[#This Row],[Product Id]], tbl_Product[Product Id], tbl_Product[Is Set or Play Booster])</f>
        <v>1</v>
      </c>
      <c r="AX945" s="6" t="b">
        <f>_xlfn.XLOOKUP(tbl_Sourcing[[#This Row],[Product Id]], tbl_Product[Product Id], tbl_Product[Is Precon])</f>
        <v>0</v>
      </c>
    </row>
    <row r="946" spans="1:50">
      <c r="A946">
        <v>982</v>
      </c>
      <c r="B946">
        <v>82</v>
      </c>
      <c r="C946" t="s">
        <v>2444</v>
      </c>
      <c r="D946" s="8" t="s">
        <v>2459</v>
      </c>
      <c r="F946" t="b">
        <v>0</v>
      </c>
      <c r="G946" s="6"/>
      <c r="J946" s="6" t="str">
        <f>_xlfn.XLOOKUP(tbl_Sourcing[[#This Row],[Product Id]], tbl_Product[Product Id], tbl_Product[Name])</f>
        <v>MTG Guilds of Ravnica Booster Box</v>
      </c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6" s="6" t="b">
        <f>_xlfn.XLOOKUP(tbl_Sourcing[[#This Row],[Product Id]], tbl_Product[Product Id], tbl_Product[Is Set or Play Booster])</f>
        <v>1</v>
      </c>
      <c r="AX946" s="6" t="b">
        <f>_xlfn.XLOOKUP(tbl_Sourcing[[#This Row],[Product Id]], tbl_Product[Product Id], tbl_Product[Is Precon])</f>
        <v>0</v>
      </c>
    </row>
    <row r="947" spans="1:50">
      <c r="A947">
        <v>1000</v>
      </c>
      <c r="B947">
        <v>48</v>
      </c>
      <c r="C947" t="s">
        <v>2444</v>
      </c>
      <c r="D947" s="8" t="s">
        <v>2460</v>
      </c>
      <c r="F947" t="b">
        <v>0</v>
      </c>
      <c r="G947" s="6"/>
      <c r="J947" s="6" t="str">
        <f>_xlfn.XLOOKUP(tbl_Sourcing[[#This Row],[Product Id]], tbl_Product[Product Id], tbl_Product[Name])</f>
        <v>MTG Innistrad Remastered INR Play Booster Box</v>
      </c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7" s="6" t="b">
        <f>_xlfn.XLOOKUP(tbl_Sourcing[[#This Row],[Product Id]], tbl_Product[Product Id], tbl_Product[Is Set or Play Booster])</f>
        <v>1</v>
      </c>
      <c r="AX947" s="6" t="b">
        <f>_xlfn.XLOOKUP(tbl_Sourcing[[#This Row],[Product Id]], tbl_Product[Product Id], tbl_Product[Is Precon])</f>
        <v>0</v>
      </c>
    </row>
    <row r="948" spans="1:50">
      <c r="A948">
        <v>999</v>
      </c>
      <c r="B948">
        <v>58</v>
      </c>
      <c r="C948" t="s">
        <v>2444</v>
      </c>
      <c r="D948" s="8" t="s">
        <v>2461</v>
      </c>
      <c r="F948" t="b">
        <v>0</v>
      </c>
      <c r="G948" s="6"/>
      <c r="J948" s="6" t="str">
        <f>_xlfn.XLOOKUP(tbl_Sourcing[[#This Row],[Product Id]], tbl_Product[Product Id], tbl_Product[Name])</f>
        <v>MTG Innistrad: Crimson Vow Set Booster Box</v>
      </c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8" s="6" t="b">
        <f>_xlfn.XLOOKUP(tbl_Sourcing[[#This Row],[Product Id]], tbl_Product[Product Id], tbl_Product[Is Set or Play Booster])</f>
        <v>1</v>
      </c>
      <c r="AX948" s="6" t="b">
        <f>_xlfn.XLOOKUP(tbl_Sourcing[[#This Row],[Product Id]], tbl_Product[Product Id], tbl_Product[Is Precon])</f>
        <v>0</v>
      </c>
    </row>
    <row r="949" spans="1:50">
      <c r="A949">
        <v>975</v>
      </c>
      <c r="B949">
        <v>104</v>
      </c>
      <c r="C949" t="s">
        <v>2444</v>
      </c>
      <c r="D949" s="8" t="s">
        <v>2462</v>
      </c>
      <c r="F949" t="b">
        <v>0</v>
      </c>
      <c r="G949" s="6"/>
      <c r="J949" s="6" t="str">
        <f>_xlfn.XLOOKUP(tbl_Sourcing[[#This Row],[Product Id]], tbl_Product[Product Id], tbl_Product[Name])</f>
        <v>MTG Innistrad: Midnight Hunt Collector Booster Box</v>
      </c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49" s="6" t="b">
        <f>_xlfn.XLOOKUP(tbl_Sourcing[[#This Row],[Product Id]], tbl_Product[Product Id], tbl_Product[Is Set or Play Booster])</f>
        <v>0</v>
      </c>
      <c r="AX949" s="6" t="b">
        <f>_xlfn.XLOOKUP(tbl_Sourcing[[#This Row],[Product Id]], tbl_Product[Product Id], tbl_Product[Is Precon])</f>
        <v>0</v>
      </c>
    </row>
    <row r="950" spans="1:50">
      <c r="A950">
        <v>976</v>
      </c>
      <c r="B950">
        <v>50</v>
      </c>
      <c r="C950" t="s">
        <v>2444</v>
      </c>
      <c r="D950" s="8" t="s">
        <v>2463</v>
      </c>
      <c r="F950" t="b">
        <v>0</v>
      </c>
      <c r="G950" s="6"/>
      <c r="J950" s="6" t="str">
        <f>_xlfn.XLOOKUP(tbl_Sourcing[[#This Row],[Product Id]], tbl_Product[Product Id], tbl_Product[Name])</f>
        <v>MTG Innistrad: Midnight Hunt Set Booster Box</v>
      </c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0" s="6" t="b">
        <f>_xlfn.XLOOKUP(tbl_Sourcing[[#This Row],[Product Id]], tbl_Product[Product Id], tbl_Product[Is Set or Play Booster])</f>
        <v>1</v>
      </c>
      <c r="AX950" s="6" t="b">
        <f>_xlfn.XLOOKUP(tbl_Sourcing[[#This Row],[Product Id]], tbl_Product[Product Id], tbl_Product[Is Precon])</f>
        <v>0</v>
      </c>
    </row>
    <row r="951" spans="1:50">
      <c r="A951">
        <v>1001</v>
      </c>
      <c r="B951">
        <v>51</v>
      </c>
      <c r="C951" t="s">
        <v>2444</v>
      </c>
      <c r="D951" s="8" t="s">
        <v>2464</v>
      </c>
      <c r="F951" t="b">
        <v>0</v>
      </c>
      <c r="G951" s="6"/>
      <c r="J951" s="6" t="str">
        <f>_xlfn.XLOOKUP(tbl_Sourcing[[#This Row],[Product Id]], tbl_Product[Product Id], tbl_Product[Name])</f>
        <v>MTG Kaldheim Set Booster Box</v>
      </c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1" s="6" t="b">
        <f>_xlfn.XLOOKUP(tbl_Sourcing[[#This Row],[Product Id]], tbl_Product[Product Id], tbl_Product[Is Set or Play Booster])</f>
        <v>1</v>
      </c>
      <c r="AX951" s="6" t="b">
        <f>_xlfn.XLOOKUP(tbl_Sourcing[[#This Row],[Product Id]], tbl_Product[Product Id], tbl_Product[Is Precon])</f>
        <v>0</v>
      </c>
    </row>
    <row r="952" spans="1:50">
      <c r="A952">
        <v>1002</v>
      </c>
      <c r="B952">
        <v>112</v>
      </c>
      <c r="C952" t="s">
        <v>2444</v>
      </c>
      <c r="D952" s="8" t="s">
        <v>2465</v>
      </c>
      <c r="F952" t="b">
        <v>0</v>
      </c>
      <c r="G952" s="6"/>
      <c r="J952" s="6" t="str">
        <f>_xlfn.XLOOKUP(tbl_Sourcing[[#This Row],[Product Id]], tbl_Product[Product Id], tbl_Product[Name])</f>
        <v>MTG Kamigawa: Neon Dynasty Collector Booster Box</v>
      </c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2" s="6" t="b">
        <f>_xlfn.XLOOKUP(tbl_Sourcing[[#This Row],[Product Id]], tbl_Product[Product Id], tbl_Product[Is Set or Play Booster])</f>
        <v>0</v>
      </c>
      <c r="AX952" s="6" t="b">
        <f>_xlfn.XLOOKUP(tbl_Sourcing[[#This Row],[Product Id]], tbl_Product[Product Id], tbl_Product[Is Precon])</f>
        <v>0</v>
      </c>
    </row>
    <row r="953" spans="1:50">
      <c r="A953">
        <v>1003</v>
      </c>
      <c r="B953">
        <v>69</v>
      </c>
      <c r="C953" t="s">
        <v>2444</v>
      </c>
      <c r="D953" s="8" t="s">
        <v>2466</v>
      </c>
      <c r="F953" t="b">
        <v>0</v>
      </c>
      <c r="G953" s="6"/>
      <c r="J953" s="6" t="str">
        <f>_xlfn.XLOOKUP(tbl_Sourcing[[#This Row],[Product Id]], tbl_Product[Product Id], tbl_Product[Name])</f>
        <v>MTG Kamigawa: Neon Dynasty Set Booster Box</v>
      </c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3" s="6" t="b">
        <f>_xlfn.XLOOKUP(tbl_Sourcing[[#This Row],[Product Id]], tbl_Product[Product Id], tbl_Product[Is Set or Play Booster])</f>
        <v>1</v>
      </c>
      <c r="AX953" s="6" t="b">
        <f>_xlfn.XLOOKUP(tbl_Sourcing[[#This Row],[Product Id]], tbl_Product[Product Id], tbl_Product[Is Precon])</f>
        <v>0</v>
      </c>
    </row>
    <row r="954" spans="1:50">
      <c r="A954">
        <v>1004</v>
      </c>
      <c r="B954">
        <v>114</v>
      </c>
      <c r="C954" t="s">
        <v>2444</v>
      </c>
      <c r="D954" s="8" t="s">
        <v>2467</v>
      </c>
      <c r="F954" t="b">
        <v>0</v>
      </c>
      <c r="G954" s="6"/>
      <c r="J954" s="6" t="str">
        <f>_xlfn.XLOOKUP(tbl_Sourcing[[#This Row],[Product Id]], tbl_Product[Product Id], tbl_Product[Name])</f>
        <v>MTG Lorwyn Eclipsed Collector Booster Box</v>
      </c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4" s="6" t="b">
        <f>_xlfn.XLOOKUP(tbl_Sourcing[[#This Row],[Product Id]], tbl_Product[Product Id], tbl_Product[Is Set or Play Booster])</f>
        <v>0</v>
      </c>
      <c r="AX954" s="6" t="b">
        <f>_xlfn.XLOOKUP(tbl_Sourcing[[#This Row],[Product Id]], tbl_Product[Product Id], tbl_Product[Is Precon])</f>
        <v>0</v>
      </c>
    </row>
    <row r="955" spans="1:50">
      <c r="A955">
        <v>1005</v>
      </c>
      <c r="B955">
        <v>49</v>
      </c>
      <c r="C955" t="s">
        <v>2444</v>
      </c>
      <c r="D955" s="8" t="s">
        <v>2468</v>
      </c>
      <c r="F955" t="b">
        <v>0</v>
      </c>
      <c r="G955" s="6"/>
      <c r="J955" s="6" t="str">
        <f>_xlfn.XLOOKUP(tbl_Sourcing[[#This Row],[Product Id]], tbl_Product[Product Id], tbl_Product[Name])</f>
        <v>MTG Lorwyn Eclipsed Play Booster Box</v>
      </c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5" s="6" t="b">
        <f>_xlfn.XLOOKUP(tbl_Sourcing[[#This Row],[Product Id]], tbl_Product[Product Id], tbl_Product[Is Set or Play Booster])</f>
        <v>1</v>
      </c>
      <c r="AX955" s="6" t="b">
        <f>_xlfn.XLOOKUP(tbl_Sourcing[[#This Row],[Product Id]], tbl_Product[Product Id], tbl_Product[Is Precon])</f>
        <v>0</v>
      </c>
    </row>
    <row r="956" spans="1:50">
      <c r="A956">
        <v>1006</v>
      </c>
      <c r="B956">
        <v>59</v>
      </c>
      <c r="C956" t="s">
        <v>2444</v>
      </c>
      <c r="D956" s="8" t="s">
        <v>2469</v>
      </c>
      <c r="F956" t="b">
        <v>0</v>
      </c>
      <c r="G956" s="6"/>
      <c r="J956" s="6" t="str">
        <f>_xlfn.XLOOKUP(tbl_Sourcing[[#This Row],[Product Id]], tbl_Product[Product Id], tbl_Product[Name])</f>
        <v>MTG March of the Machine MOM Set Booster Box</v>
      </c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6" s="6" t="b">
        <f>_xlfn.XLOOKUP(tbl_Sourcing[[#This Row],[Product Id]], tbl_Product[Product Id], tbl_Product[Is Set or Play Booster])</f>
        <v>1</v>
      </c>
      <c r="AX956" s="6" t="b">
        <f>_xlfn.XLOOKUP(tbl_Sourcing[[#This Row],[Product Id]], tbl_Product[Product Id], tbl_Product[Is Precon])</f>
        <v>0</v>
      </c>
    </row>
    <row r="957" spans="1:50">
      <c r="A957">
        <v>1007</v>
      </c>
      <c r="B957">
        <v>118</v>
      </c>
      <c r="C957" t="s">
        <v>2444</v>
      </c>
      <c r="D957" s="8" t="s">
        <v>2470</v>
      </c>
      <c r="E957">
        <v>400</v>
      </c>
      <c r="F957" t="b">
        <v>1</v>
      </c>
      <c r="G957" s="6"/>
      <c r="J957" s="6" t="str">
        <f>_xlfn.XLOOKUP(tbl_Sourcing[[#This Row],[Product Id]], tbl_Product[Product Id], tbl_Product[Name])</f>
        <v>MTG Marvel's Spider-Man Collector Booster Box</v>
      </c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7" s="6" t="b">
        <f>_xlfn.XLOOKUP(tbl_Sourcing[[#This Row],[Product Id]], tbl_Product[Product Id], tbl_Product[Is Set or Play Booster])</f>
        <v>0</v>
      </c>
      <c r="AX957" s="6" t="b">
        <f>_xlfn.XLOOKUP(tbl_Sourcing[[#This Row],[Product Id]], tbl_Product[Product Id], tbl_Product[Is Precon])</f>
        <v>0</v>
      </c>
    </row>
    <row r="958" spans="1:50">
      <c r="A958">
        <v>1008</v>
      </c>
      <c r="B958">
        <v>64</v>
      </c>
      <c r="C958" t="s">
        <v>2444</v>
      </c>
      <c r="D958" s="8" t="s">
        <v>2471</v>
      </c>
      <c r="E958">
        <v>80</v>
      </c>
      <c r="F958" t="b">
        <v>1</v>
      </c>
      <c r="G958" s="6"/>
      <c r="J958" s="6" t="str">
        <f>_xlfn.XLOOKUP(tbl_Sourcing[[#This Row],[Product Id]], tbl_Product[Product Id], tbl_Product[Name])</f>
        <v>MTG Marvel's Spider-Man Play Booster Box</v>
      </c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8" s="6" t="b">
        <f>_xlfn.XLOOKUP(tbl_Sourcing[[#This Row],[Product Id]], tbl_Product[Product Id], tbl_Product[Is Set or Play Booster])</f>
        <v>1</v>
      </c>
      <c r="AX958" s="6" t="b">
        <f>_xlfn.XLOOKUP(tbl_Sourcing[[#This Row],[Product Id]], tbl_Product[Product Id], tbl_Product[Is Precon])</f>
        <v>0</v>
      </c>
    </row>
    <row r="959" spans="1:50">
      <c r="A959">
        <v>977</v>
      </c>
      <c r="B959">
        <v>120</v>
      </c>
      <c r="C959" t="s">
        <v>2444</v>
      </c>
      <c r="D959" s="8" t="s">
        <v>2472</v>
      </c>
      <c r="F959" t="b">
        <v>0</v>
      </c>
      <c r="G959" s="6"/>
      <c r="J959" s="6" t="str">
        <f>_xlfn.XLOOKUP(tbl_Sourcing[[#This Row],[Product Id]], tbl_Product[Product Id], tbl_Product[Name])</f>
        <v>MTG Modern Horizons 2 MH2 Collector Booster Box</v>
      </c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59" s="6" t="b">
        <f>_xlfn.XLOOKUP(tbl_Sourcing[[#This Row],[Product Id]], tbl_Product[Product Id], tbl_Product[Is Set or Play Booster])</f>
        <v>0</v>
      </c>
      <c r="AX959" s="6" t="b">
        <f>_xlfn.XLOOKUP(tbl_Sourcing[[#This Row],[Product Id]], tbl_Product[Product Id], tbl_Product[Is Precon])</f>
        <v>0</v>
      </c>
    </row>
    <row r="960" spans="1:50">
      <c r="A960">
        <v>978</v>
      </c>
      <c r="B960">
        <v>46</v>
      </c>
      <c r="C960" t="s">
        <v>2444</v>
      </c>
      <c r="D960" s="8" t="s">
        <v>2473</v>
      </c>
      <c r="F960" t="b">
        <v>0</v>
      </c>
      <c r="G960" s="6"/>
      <c r="J960" s="6" t="str">
        <f>_xlfn.XLOOKUP(tbl_Sourcing[[#This Row],[Product Id]], tbl_Product[Product Id], tbl_Product[Name])</f>
        <v>MTG Modern Horizons 2 MH2 Set Booster Box</v>
      </c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0" s="6" t="b">
        <f>_xlfn.XLOOKUP(tbl_Sourcing[[#This Row],[Product Id]], tbl_Product[Product Id], tbl_Product[Is Set or Play Booster])</f>
        <v>1</v>
      </c>
      <c r="AX960" s="6" t="b">
        <f>_xlfn.XLOOKUP(tbl_Sourcing[[#This Row],[Product Id]], tbl_Product[Product Id], tbl_Product[Is Precon])</f>
        <v>0</v>
      </c>
    </row>
    <row r="961" spans="1:50">
      <c r="A961">
        <v>1009</v>
      </c>
      <c r="B961">
        <v>60</v>
      </c>
      <c r="C961" t="s">
        <v>2444</v>
      </c>
      <c r="D961" s="8" t="s">
        <v>2474</v>
      </c>
      <c r="E961">
        <v>275</v>
      </c>
      <c r="F961" t="b">
        <v>1</v>
      </c>
      <c r="G961" s="6"/>
      <c r="J961" s="6" t="str">
        <f>_xlfn.XLOOKUP(tbl_Sourcing[[#This Row],[Product Id]], tbl_Product[Product Id], tbl_Product[Name])</f>
        <v>MTG Modern Horizons 3 MH3 Play Booster Box</v>
      </c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1" s="6" t="b">
        <f>_xlfn.XLOOKUP(tbl_Sourcing[[#This Row],[Product Id]], tbl_Product[Product Id], tbl_Product[Is Set or Play Booster])</f>
        <v>1</v>
      </c>
      <c r="AX961" s="6" t="b">
        <f>_xlfn.XLOOKUP(tbl_Sourcing[[#This Row],[Product Id]], tbl_Product[Product Id], tbl_Product[Is Precon])</f>
        <v>0</v>
      </c>
    </row>
    <row r="962" spans="1:50">
      <c r="A962">
        <v>985</v>
      </c>
      <c r="B962">
        <v>80</v>
      </c>
      <c r="C962" t="s">
        <v>2444</v>
      </c>
      <c r="D962" s="8" t="s">
        <v>2475</v>
      </c>
      <c r="F962" t="b">
        <v>0</v>
      </c>
      <c r="G962" s="6"/>
      <c r="J962" s="6" t="str">
        <f>_xlfn.XLOOKUP(tbl_Sourcing[[#This Row],[Product Id]], tbl_Product[Product Id], tbl_Product[Name])</f>
        <v>MTG Murders at Karlov Manor Play Booster Box</v>
      </c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2" s="6" t="b">
        <f>_xlfn.XLOOKUP(tbl_Sourcing[[#This Row],[Product Id]], tbl_Product[Product Id], tbl_Product[Is Set or Play Booster])</f>
        <v>1</v>
      </c>
      <c r="AX962" s="6" t="b">
        <f>_xlfn.XLOOKUP(tbl_Sourcing[[#This Row],[Product Id]], tbl_Product[Product Id], tbl_Product[Is Precon])</f>
        <v>0</v>
      </c>
    </row>
    <row r="963" spans="1:50">
      <c r="A963">
        <v>979</v>
      </c>
      <c r="B963">
        <v>56</v>
      </c>
      <c r="C963" t="s">
        <v>2444</v>
      </c>
      <c r="D963" s="8" t="s">
        <v>2476</v>
      </c>
      <c r="F963" t="b">
        <v>0</v>
      </c>
      <c r="G963" s="6"/>
      <c r="J963" s="6" t="str">
        <f>_xlfn.XLOOKUP(tbl_Sourcing[[#This Row],[Product Id]], tbl_Product[Product Id], tbl_Product[Name])</f>
        <v>MTG Outlaws of Thunder Junction Play Booster Box</v>
      </c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3" s="6" t="b">
        <f>_xlfn.XLOOKUP(tbl_Sourcing[[#This Row],[Product Id]], tbl_Product[Product Id], tbl_Product[Is Set or Play Booster])</f>
        <v>1</v>
      </c>
      <c r="AX963" s="6" t="b">
        <f>_xlfn.XLOOKUP(tbl_Sourcing[[#This Row],[Product Id]], tbl_Product[Product Id], tbl_Product[Is Precon])</f>
        <v>0</v>
      </c>
    </row>
    <row r="964" spans="1:50">
      <c r="A964">
        <v>1010</v>
      </c>
      <c r="B964">
        <v>67</v>
      </c>
      <c r="C964" t="s">
        <v>2444</v>
      </c>
      <c r="D964" s="8" t="s">
        <v>2477</v>
      </c>
      <c r="F964" t="b">
        <v>0</v>
      </c>
      <c r="G964" s="6"/>
      <c r="J964" s="6" t="str">
        <f>_xlfn.XLOOKUP(tbl_Sourcing[[#This Row],[Product Id]], tbl_Product[Product Id], tbl_Product[Name])</f>
        <v>MTG Phyrexia: All Will Be One Set Booster Box</v>
      </c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4" s="6" t="b">
        <f>_xlfn.XLOOKUP(tbl_Sourcing[[#This Row],[Product Id]], tbl_Product[Product Id], tbl_Product[Is Set or Play Booster])</f>
        <v>1</v>
      </c>
      <c r="AX964" s="6" t="b">
        <f>_xlfn.XLOOKUP(tbl_Sourcing[[#This Row],[Product Id]], tbl_Product[Product Id], tbl_Product[Is Precon])</f>
        <v>0</v>
      </c>
    </row>
    <row r="965" spans="1:50">
      <c r="A965">
        <v>1011</v>
      </c>
      <c r="B965">
        <v>68</v>
      </c>
      <c r="C965" t="s">
        <v>2444</v>
      </c>
      <c r="D965" s="8" t="s">
        <v>2478</v>
      </c>
      <c r="F965" t="b">
        <v>0</v>
      </c>
      <c r="G965" s="6"/>
      <c r="J965" s="6" t="str">
        <f>_xlfn.XLOOKUP(tbl_Sourcing[[#This Row],[Product Id]], tbl_Product[Product Id], tbl_Product[Name])</f>
        <v>MTG Ravnica Remastered Draft Booster Box</v>
      </c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5" s="6" t="b">
        <f>_xlfn.XLOOKUP(tbl_Sourcing[[#This Row],[Product Id]], tbl_Product[Product Id], tbl_Product[Is Set or Play Booster])</f>
        <v>1</v>
      </c>
      <c r="AX965" s="6" t="b">
        <f>_xlfn.XLOOKUP(tbl_Sourcing[[#This Row],[Product Id]], tbl_Product[Product Id], tbl_Product[Is Precon])</f>
        <v>0</v>
      </c>
    </row>
    <row r="966" spans="1:50">
      <c r="A966">
        <v>1012</v>
      </c>
      <c r="B966">
        <v>132</v>
      </c>
      <c r="C966" t="s">
        <v>2444</v>
      </c>
      <c r="D966" s="8" t="s">
        <v>2479</v>
      </c>
      <c r="F966" t="b">
        <v>0</v>
      </c>
      <c r="G966" s="6"/>
      <c r="J966" s="6" t="str">
        <f>_xlfn.XLOOKUP(tbl_Sourcing[[#This Row],[Product Id]], tbl_Product[Product Id], tbl_Product[Name])</f>
        <v>MTG Streets of New Capenna Collector Booster Box</v>
      </c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6" s="6" t="b">
        <f>_xlfn.XLOOKUP(tbl_Sourcing[[#This Row],[Product Id]], tbl_Product[Product Id], tbl_Product[Is Set or Play Booster])</f>
        <v>0</v>
      </c>
      <c r="AX966" s="6" t="b">
        <f>_xlfn.XLOOKUP(tbl_Sourcing[[#This Row],[Product Id]], tbl_Product[Product Id], tbl_Product[Is Precon])</f>
        <v>0</v>
      </c>
    </row>
    <row r="967" spans="1:50">
      <c r="A967">
        <v>1013</v>
      </c>
      <c r="B967">
        <v>75</v>
      </c>
      <c r="C967" t="s">
        <v>2444</v>
      </c>
      <c r="D967" s="8" t="s">
        <v>2480</v>
      </c>
      <c r="F967" t="b">
        <v>0</v>
      </c>
      <c r="G967" s="6"/>
      <c r="J967" s="6" t="str">
        <f>_xlfn.XLOOKUP(tbl_Sourcing[[#This Row],[Product Id]], tbl_Product[Product Id], tbl_Product[Name])</f>
        <v>MTG Streets of New Capenna Set Booster Box</v>
      </c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7" s="6" t="b">
        <f>_xlfn.XLOOKUP(tbl_Sourcing[[#This Row],[Product Id]], tbl_Product[Product Id], tbl_Product[Is Set or Play Booster])</f>
        <v>1</v>
      </c>
      <c r="AX967" s="6" t="b">
        <f>_xlfn.XLOOKUP(tbl_Sourcing[[#This Row],[Product Id]], tbl_Product[Product Id], tbl_Product[Is Precon])</f>
        <v>0</v>
      </c>
    </row>
    <row r="968" spans="1:50">
      <c r="A968">
        <v>980</v>
      </c>
      <c r="B968">
        <v>42</v>
      </c>
      <c r="C968" t="s">
        <v>2444</v>
      </c>
      <c r="D968" s="8" t="s">
        <v>2481</v>
      </c>
      <c r="E968">
        <v>120</v>
      </c>
      <c r="F968" t="b">
        <v>1</v>
      </c>
      <c r="G968" s="6"/>
      <c r="J968" s="6" t="str">
        <f>_xlfn.XLOOKUP(tbl_Sourcing[[#This Row],[Product Id]], tbl_Product[Product Id], tbl_Product[Name])</f>
        <v>MTG Tarkir: Dragonstorm TDM Play Booster Box</v>
      </c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8" s="6" t="b">
        <f>_xlfn.XLOOKUP(tbl_Sourcing[[#This Row],[Product Id]], tbl_Product[Product Id], tbl_Product[Is Set or Play Booster])</f>
        <v>1</v>
      </c>
      <c r="AX968" s="6" t="b">
        <f>_xlfn.XLOOKUP(tbl_Sourcing[[#This Row],[Product Id]], tbl_Product[Product Id], tbl_Product[Is Precon])</f>
        <v>0</v>
      </c>
    </row>
    <row r="969" spans="1:50">
      <c r="A969">
        <v>1017</v>
      </c>
      <c r="B969">
        <v>252</v>
      </c>
      <c r="C969" t="s">
        <v>2444</v>
      </c>
      <c r="D969" s="8" t="s">
        <v>2482</v>
      </c>
      <c r="E969">
        <v>400</v>
      </c>
      <c r="F969" t="b">
        <v>1</v>
      </c>
      <c r="G969" s="6"/>
      <c r="J969" s="6" t="str">
        <f>_xlfn.XLOOKUP(tbl_Sourcing[[#This Row],[Product Id]], tbl_Product[Product Id], tbl_Product[Name])</f>
        <v>MTG Teenage Mutant Ninja Turtles Collector Booster Box</v>
      </c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69" s="6" t="b">
        <f>_xlfn.XLOOKUP(tbl_Sourcing[[#This Row],[Product Id]], tbl_Product[Product Id], tbl_Product[Is Set or Play Booster])</f>
        <v>0</v>
      </c>
      <c r="AX969" s="6" t="b">
        <f>_xlfn.XLOOKUP(tbl_Sourcing[[#This Row],[Product Id]], tbl_Product[Product Id], tbl_Product[Is Precon])</f>
        <v>0</v>
      </c>
    </row>
    <row r="970" spans="1:50">
      <c r="A970">
        <v>1018</v>
      </c>
      <c r="B970">
        <v>253</v>
      </c>
      <c r="C970" t="s">
        <v>2444</v>
      </c>
      <c r="D970" s="8" t="s">
        <v>2483</v>
      </c>
      <c r="E970">
        <v>150</v>
      </c>
      <c r="F970" t="b">
        <v>1</v>
      </c>
      <c r="G970" s="6"/>
      <c r="J970" s="6" t="str">
        <f>_xlfn.XLOOKUP(tbl_Sourcing[[#This Row],[Product Id]], tbl_Product[Product Id], tbl_Product[Name])</f>
        <v>MTG Teenage Mutant Ninja Turtles Play Booster Box</v>
      </c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0" s="6" t="b">
        <f>_xlfn.XLOOKUP(tbl_Sourcing[[#This Row],[Product Id]], tbl_Product[Product Id], tbl_Product[Is Set or Play Booster])</f>
        <v>1</v>
      </c>
      <c r="AX970" s="6" t="b">
        <f>_xlfn.XLOOKUP(tbl_Sourcing[[#This Row],[Product Id]], tbl_Product[Product Id], tbl_Product[Is Precon])</f>
        <v>0</v>
      </c>
    </row>
    <row r="971" spans="1:50">
      <c r="A971">
        <v>1014</v>
      </c>
      <c r="B971">
        <v>73</v>
      </c>
      <c r="C971" t="s">
        <v>2444</v>
      </c>
      <c r="D971" s="8" t="s">
        <v>2484</v>
      </c>
      <c r="F971" t="b">
        <v>0</v>
      </c>
      <c r="G971" s="6"/>
      <c r="J971" s="6" t="str">
        <f>_xlfn.XLOOKUP(tbl_Sourcing[[#This Row],[Product Id]], tbl_Product[Product Id], tbl_Product[Name])</f>
        <v>MTG The Brothers' War Set Booster Box</v>
      </c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1" s="6" t="b">
        <f>_xlfn.XLOOKUP(tbl_Sourcing[[#This Row],[Product Id]], tbl_Product[Product Id], tbl_Product[Is Set or Play Booster])</f>
        <v>1</v>
      </c>
      <c r="AX971" s="6" t="b">
        <f>_xlfn.XLOOKUP(tbl_Sourcing[[#This Row],[Product Id]], tbl_Product[Product Id], tbl_Product[Is Precon])</f>
        <v>0</v>
      </c>
    </row>
    <row r="972" spans="1:50">
      <c r="A972">
        <v>1015</v>
      </c>
      <c r="B972">
        <v>47</v>
      </c>
      <c r="C972" t="s">
        <v>2444</v>
      </c>
      <c r="D972" s="8" t="s">
        <v>2485</v>
      </c>
      <c r="F972" t="b">
        <v>0</v>
      </c>
      <c r="G972" s="6"/>
      <c r="J972" s="6" t="str">
        <f>_xlfn.XLOOKUP(tbl_Sourcing[[#This Row],[Product Id]], tbl_Product[Product Id], tbl_Product[Name])</f>
        <v>MTG The Lost Caverns of Ixalan LCI Set Booster Box</v>
      </c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2" s="6" t="b">
        <f>_xlfn.XLOOKUP(tbl_Sourcing[[#This Row],[Product Id]], tbl_Product[Product Id], tbl_Product[Is Set or Play Booster])</f>
        <v>1</v>
      </c>
      <c r="AX972" s="6" t="b">
        <f>_xlfn.XLOOKUP(tbl_Sourcing[[#This Row],[Product Id]], tbl_Product[Product Id], tbl_Product[Is Precon])</f>
        <v>0</v>
      </c>
    </row>
    <row r="973" spans="1:50">
      <c r="A973">
        <v>1019</v>
      </c>
      <c r="B973">
        <v>72</v>
      </c>
      <c r="C973" t="s">
        <v>2444</v>
      </c>
      <c r="D973" s="8" t="s">
        <v>2486</v>
      </c>
      <c r="F973" t="b">
        <v>0</v>
      </c>
      <c r="G973" s="6"/>
      <c r="J973" s="6" t="str">
        <f>_xlfn.XLOOKUP(tbl_Sourcing[[#This Row],[Product Id]], tbl_Product[Product Id], tbl_Product[Name])</f>
        <v>MTG Theros Beyond Death THB Booster Box</v>
      </c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3" s="6" t="b">
        <f>_xlfn.XLOOKUP(tbl_Sourcing[[#This Row],[Product Id]], tbl_Product[Product Id], tbl_Product[Is Set or Play Booster])</f>
        <v>1</v>
      </c>
      <c r="AX973" s="6" t="b">
        <f>_xlfn.XLOOKUP(tbl_Sourcing[[#This Row],[Product Id]], tbl_Product[Product Id], tbl_Product[Is Precon])</f>
        <v>0</v>
      </c>
    </row>
    <row r="974" spans="1:50">
      <c r="A974">
        <v>981</v>
      </c>
      <c r="B974">
        <v>144</v>
      </c>
      <c r="C974" t="s">
        <v>2444</v>
      </c>
      <c r="D974" s="8" t="s">
        <v>2487</v>
      </c>
      <c r="F974" t="b">
        <v>0</v>
      </c>
      <c r="G974" s="6"/>
      <c r="J974" s="6" t="str">
        <f>_xlfn.XLOOKUP(tbl_Sourcing[[#This Row],[Product Id]], tbl_Product[Product Id], tbl_Product[Name])</f>
        <v>MTG Theros Beyond Death THB Collector Booster Box</v>
      </c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4" s="6" t="b">
        <f>_xlfn.XLOOKUP(tbl_Sourcing[[#This Row],[Product Id]], tbl_Product[Product Id], tbl_Product[Is Set or Play Booster])</f>
        <v>0</v>
      </c>
      <c r="AX974" s="6" t="b">
        <f>_xlfn.XLOOKUP(tbl_Sourcing[[#This Row],[Product Id]], tbl_Product[Product Id], tbl_Product[Is Precon])</f>
        <v>0</v>
      </c>
    </row>
    <row r="975" spans="1:50">
      <c r="A975">
        <v>983</v>
      </c>
      <c r="B975">
        <v>55</v>
      </c>
      <c r="C975" t="s">
        <v>2444</v>
      </c>
      <c r="D975" s="8" t="s">
        <v>2488</v>
      </c>
      <c r="F975" t="b">
        <v>0</v>
      </c>
      <c r="G975" s="6"/>
      <c r="J975" s="6" t="str">
        <f>_xlfn.XLOOKUP(tbl_Sourcing[[#This Row],[Product Id]], tbl_Product[Product Id], tbl_Product[Name])</f>
        <v>MTG Throne of Eldraine Booster Box</v>
      </c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5" s="6" t="b">
        <f>_xlfn.XLOOKUP(tbl_Sourcing[[#This Row],[Product Id]], tbl_Product[Product Id], tbl_Product[Is Set or Play Booster])</f>
        <v>1</v>
      </c>
      <c r="AX975" s="6" t="b">
        <f>_xlfn.XLOOKUP(tbl_Sourcing[[#This Row],[Product Id]], tbl_Product[Product Id], tbl_Product[Is Precon])</f>
        <v>0</v>
      </c>
    </row>
    <row r="976" spans="1:50">
      <c r="A976">
        <v>984</v>
      </c>
      <c r="B976">
        <v>53</v>
      </c>
      <c r="C976" t="s">
        <v>2444</v>
      </c>
      <c r="D976" s="8" t="s">
        <v>2489</v>
      </c>
      <c r="F976" t="b">
        <v>0</v>
      </c>
      <c r="G976" s="6"/>
      <c r="J976" s="6" t="str">
        <f>_xlfn.XLOOKUP(tbl_Sourcing[[#This Row],[Product Id]], tbl_Product[Product Id], tbl_Product[Name])</f>
        <v>MTG War of the Spark Booster Box</v>
      </c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6" s="6" t="b">
        <f>_xlfn.XLOOKUP(tbl_Sourcing[[#This Row],[Product Id]], tbl_Product[Product Id], tbl_Product[Is Set or Play Booster])</f>
        <v>1</v>
      </c>
      <c r="AX976" s="6" t="b">
        <f>_xlfn.XLOOKUP(tbl_Sourcing[[#This Row],[Product Id]], tbl_Product[Product Id], tbl_Product[Is Precon])</f>
        <v>0</v>
      </c>
    </row>
    <row r="977" spans="1:50">
      <c r="A977">
        <v>1016</v>
      </c>
      <c r="B977">
        <v>74</v>
      </c>
      <c r="C977" t="s">
        <v>2444</v>
      </c>
      <c r="D977" s="8" t="s">
        <v>2490</v>
      </c>
      <c r="F977" t="b">
        <v>0</v>
      </c>
      <c r="G977" s="6"/>
      <c r="J977" s="6" t="str">
        <f>_xlfn.XLOOKUP(tbl_Sourcing[[#This Row],[Product Id]], tbl_Product[Product Id], tbl_Product[Name])</f>
        <v>MTG Wilds of Eldraine Set Booster Box</v>
      </c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7" s="6" t="b">
        <f>_xlfn.XLOOKUP(tbl_Sourcing[[#This Row],[Product Id]], tbl_Product[Product Id], tbl_Product[Is Set or Play Booster])</f>
        <v>1</v>
      </c>
      <c r="AX977" s="6" t="b">
        <f>_xlfn.XLOOKUP(tbl_Sourcing[[#This Row],[Product Id]], tbl_Product[Product Id], tbl_Product[Is Precon])</f>
        <v>0</v>
      </c>
    </row>
    <row r="978" spans="1:50">
      <c r="A978">
        <v>860</v>
      </c>
      <c r="B978">
        <v>160</v>
      </c>
      <c r="C978" t="s">
        <v>2491</v>
      </c>
      <c r="D978" s="8" t="s">
        <v>2492</v>
      </c>
      <c r="E978">
        <v>30</v>
      </c>
      <c r="F978" t="b">
        <v>0</v>
      </c>
      <c r="G978" s="6"/>
      <c r="J978" s="6" t="str">
        <f>_xlfn.XLOOKUP(tbl_Sourcing[[#This Row],[Product Id]], tbl_Product[Product Id], tbl_Product[Name])</f>
        <v>MTG Aetherdrift Eternal Might Precon</v>
      </c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8" s="6" t="b">
        <f>_xlfn.XLOOKUP(tbl_Sourcing[[#This Row],[Product Id]], tbl_Product[Product Id], tbl_Product[Is Set or Play Booster])</f>
        <v>0</v>
      </c>
      <c r="AX978" s="6" t="b">
        <f>_xlfn.XLOOKUP(tbl_Sourcing[[#This Row],[Product Id]], tbl_Product[Product Id], tbl_Product[Is Precon])</f>
        <v>1</v>
      </c>
    </row>
    <row r="979" spans="1:50">
      <c r="A979">
        <v>861</v>
      </c>
      <c r="B979">
        <v>161</v>
      </c>
      <c r="C979" t="s">
        <v>2491</v>
      </c>
      <c r="D979" s="8" t="s">
        <v>2493</v>
      </c>
      <c r="E979">
        <v>30</v>
      </c>
      <c r="F979" t="b">
        <v>1</v>
      </c>
      <c r="G979" s="6"/>
      <c r="J979" s="6" t="str">
        <f>_xlfn.XLOOKUP(tbl_Sourcing[[#This Row],[Product Id]], tbl_Product[Product Id], tbl_Product[Name])</f>
        <v>MTG Aetherdrift Living Energy Precon</v>
      </c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79" s="6" t="b">
        <f>_xlfn.XLOOKUP(tbl_Sourcing[[#This Row],[Product Id]], tbl_Product[Product Id], tbl_Product[Is Set or Play Booster])</f>
        <v>0</v>
      </c>
      <c r="AX979" s="6" t="b">
        <f>_xlfn.XLOOKUP(tbl_Sourcing[[#This Row],[Product Id]], tbl_Product[Product Id], tbl_Product[Is Precon])</f>
        <v>1</v>
      </c>
    </row>
    <row r="980" spans="1:50">
      <c r="A980">
        <v>862</v>
      </c>
      <c r="B980">
        <v>70</v>
      </c>
      <c r="C980" t="s">
        <v>2491</v>
      </c>
      <c r="D980" s="8" t="s">
        <v>2494</v>
      </c>
      <c r="E980">
        <v>100</v>
      </c>
      <c r="F980" t="b">
        <v>1</v>
      </c>
      <c r="G980" s="6"/>
      <c r="J980" s="6" t="str">
        <f>_xlfn.XLOOKUP(tbl_Sourcing[[#This Row],[Product Id]], tbl_Product[Product Id], tbl_Product[Name])</f>
        <v>MTG Aetherdrift Play Booster Box</v>
      </c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0" s="6" t="b">
        <f>_xlfn.XLOOKUP(tbl_Sourcing[[#This Row],[Product Id]], tbl_Product[Product Id], tbl_Product[Is Set or Play Booster])</f>
        <v>1</v>
      </c>
      <c r="AX980" s="6" t="b">
        <f>_xlfn.XLOOKUP(tbl_Sourcing[[#This Row],[Product Id]], tbl_Product[Product Id], tbl_Product[Is Precon])</f>
        <v>0</v>
      </c>
    </row>
    <row r="981" spans="1:50">
      <c r="A981">
        <v>863</v>
      </c>
      <c r="B981">
        <v>88</v>
      </c>
      <c r="C981" t="s">
        <v>2491</v>
      </c>
      <c r="D981" s="8" t="s">
        <v>2495</v>
      </c>
      <c r="E981">
        <v>325</v>
      </c>
      <c r="F981" t="b">
        <v>0</v>
      </c>
      <c r="G981" s="6"/>
      <c r="J981" s="6" t="str">
        <f>_xlfn.XLOOKUP(tbl_Sourcing[[#This Row],[Product Id]], tbl_Product[Product Id], tbl_Product[Name])</f>
        <v>MTG Avatar: The Last Airbender Collector Booster Box</v>
      </c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1" s="6" t="b">
        <f>_xlfn.XLOOKUP(tbl_Sourcing[[#This Row],[Product Id]], tbl_Product[Product Id], tbl_Product[Is Set or Play Booster])</f>
        <v>0</v>
      </c>
      <c r="AX981" s="6" t="b">
        <f>_xlfn.XLOOKUP(tbl_Sourcing[[#This Row],[Product Id]], tbl_Product[Product Id], tbl_Product[Is Precon])</f>
        <v>0</v>
      </c>
    </row>
    <row r="982" spans="1:50">
      <c r="A982">
        <v>859</v>
      </c>
      <c r="B982">
        <v>57</v>
      </c>
      <c r="C982" t="s">
        <v>2491</v>
      </c>
      <c r="D982" s="8" t="s">
        <v>2496</v>
      </c>
      <c r="E982">
        <v>120</v>
      </c>
      <c r="F982" t="b">
        <v>1</v>
      </c>
      <c r="G982" s="6"/>
      <c r="J982" s="6" t="str">
        <f>_xlfn.XLOOKUP(tbl_Sourcing[[#This Row],[Product Id]], tbl_Product[Product Id], tbl_Product[Name])</f>
        <v>MTG Avatar: The Last Airbender Play Booster Box</v>
      </c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2" s="6" t="b">
        <f>_xlfn.XLOOKUP(tbl_Sourcing[[#This Row],[Product Id]], tbl_Product[Product Id], tbl_Product[Is Set or Play Booster])</f>
        <v>1</v>
      </c>
      <c r="AX982" s="6" t="b">
        <f>_xlfn.XLOOKUP(tbl_Sourcing[[#This Row],[Product Id]], tbl_Product[Product Id], tbl_Product[Is Precon])</f>
        <v>0</v>
      </c>
    </row>
    <row r="983" spans="1:50">
      <c r="A983">
        <v>864</v>
      </c>
      <c r="B983">
        <v>197</v>
      </c>
      <c r="C983" t="s">
        <v>2491</v>
      </c>
      <c r="D983" s="8" t="s">
        <v>2497</v>
      </c>
      <c r="E983">
        <v>60</v>
      </c>
      <c r="F983" t="b">
        <v>1</v>
      </c>
      <c r="G983" s="6"/>
      <c r="J983" s="6" t="str">
        <f>_xlfn.XLOOKUP(tbl_Sourcing[[#This Row],[Product Id]], tbl_Product[Product Id], tbl_Product[Name])</f>
        <v>MTG Commander Masters Planeswalker Party Precon</v>
      </c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3" s="6" t="b">
        <f>_xlfn.XLOOKUP(tbl_Sourcing[[#This Row],[Product Id]], tbl_Product[Product Id], tbl_Product[Is Set or Play Booster])</f>
        <v>0</v>
      </c>
      <c r="AX983" s="6" t="b">
        <f>_xlfn.XLOOKUP(tbl_Sourcing[[#This Row],[Product Id]], tbl_Product[Product Id], tbl_Product[Is Precon])</f>
        <v>1</v>
      </c>
    </row>
    <row r="984" spans="1:50">
      <c r="A984">
        <v>865</v>
      </c>
      <c r="B984">
        <v>71</v>
      </c>
      <c r="C984" t="s">
        <v>2491</v>
      </c>
      <c r="D984" s="8" t="s">
        <v>2498</v>
      </c>
      <c r="F984" t="b">
        <v>0</v>
      </c>
      <c r="G984" s="6"/>
      <c r="J984" s="6" t="str">
        <f>_xlfn.XLOOKUP(tbl_Sourcing[[#This Row],[Product Id]], tbl_Product[Product Id], tbl_Product[Name])</f>
        <v>MTG Duskmourn: House of Horror Play Booster Box</v>
      </c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4" s="6" t="b">
        <f>_xlfn.XLOOKUP(tbl_Sourcing[[#This Row],[Product Id]], tbl_Product[Product Id], tbl_Product[Is Set or Play Booster])</f>
        <v>1</v>
      </c>
      <c r="AX984" s="6" t="b">
        <f>_xlfn.XLOOKUP(tbl_Sourcing[[#This Row],[Product Id]], tbl_Product[Product Id], tbl_Product[Is Precon])</f>
        <v>0</v>
      </c>
    </row>
    <row r="985" spans="1:50">
      <c r="A985">
        <v>866</v>
      </c>
      <c r="B985">
        <v>98</v>
      </c>
      <c r="C985" t="s">
        <v>2491</v>
      </c>
      <c r="D985" s="8" t="s">
        <v>2499</v>
      </c>
      <c r="F985" t="b">
        <v>0</v>
      </c>
      <c r="G985" s="6"/>
      <c r="J985" s="6" t="str">
        <f>_xlfn.XLOOKUP(tbl_Sourcing[[#This Row],[Product Id]], tbl_Product[Product Id], tbl_Product[Name])</f>
        <v>MTG Edge of Eternities Collector Booster Box</v>
      </c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5" s="6" t="b">
        <f>_xlfn.XLOOKUP(tbl_Sourcing[[#This Row],[Product Id]], tbl_Product[Product Id], tbl_Product[Is Set or Play Booster])</f>
        <v>0</v>
      </c>
      <c r="AX985" s="6" t="b">
        <f>_xlfn.XLOOKUP(tbl_Sourcing[[#This Row],[Product Id]], tbl_Product[Product Id], tbl_Product[Is Precon])</f>
        <v>0</v>
      </c>
    </row>
    <row r="986" spans="1:50">
      <c r="A986">
        <v>867</v>
      </c>
      <c r="B986">
        <v>150</v>
      </c>
      <c r="C986" t="s">
        <v>2491</v>
      </c>
      <c r="D986" s="8" t="s">
        <v>2500</v>
      </c>
      <c r="F986" t="b">
        <v>0</v>
      </c>
      <c r="G986" s="6"/>
      <c r="J986" s="6" t="str">
        <f>_xlfn.XLOOKUP(tbl_Sourcing[[#This Row],[Product Id]], tbl_Product[Product Id], tbl_Product[Name])</f>
        <v>MTG Edge of Eternities Counter Intelligence Precon</v>
      </c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6" s="6" t="b">
        <f>_xlfn.XLOOKUP(tbl_Sourcing[[#This Row],[Product Id]], tbl_Product[Product Id], tbl_Product[Is Set or Play Booster])</f>
        <v>0</v>
      </c>
      <c r="AX986" s="6" t="b">
        <f>_xlfn.XLOOKUP(tbl_Sourcing[[#This Row],[Product Id]], tbl_Product[Product Id], tbl_Product[Is Precon])</f>
        <v>1</v>
      </c>
    </row>
    <row r="987" spans="1:50">
      <c r="A987">
        <v>869</v>
      </c>
      <c r="B987">
        <v>65</v>
      </c>
      <c r="C987" t="s">
        <v>2491</v>
      </c>
      <c r="D987" s="8" t="s">
        <v>2501</v>
      </c>
      <c r="F987" t="b">
        <v>0</v>
      </c>
      <c r="G987" s="6"/>
      <c r="J987" s="6" t="str">
        <f>_xlfn.XLOOKUP(tbl_Sourcing[[#This Row],[Product Id]], tbl_Product[Product Id], tbl_Product[Name])</f>
        <v>MTG Edge of Eternities Play Booster Box</v>
      </c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7" s="6" t="b">
        <f>_xlfn.XLOOKUP(tbl_Sourcing[[#This Row],[Product Id]], tbl_Product[Product Id], tbl_Product[Is Set or Play Booster])</f>
        <v>1</v>
      </c>
      <c r="AX987" s="6" t="b">
        <f>_xlfn.XLOOKUP(tbl_Sourcing[[#This Row],[Product Id]], tbl_Product[Product Id], tbl_Product[Is Precon])</f>
        <v>0</v>
      </c>
    </row>
    <row r="988" spans="1:50">
      <c r="A988">
        <v>868</v>
      </c>
      <c r="B988">
        <v>149</v>
      </c>
      <c r="C988" t="s">
        <v>2491</v>
      </c>
      <c r="D988" s="8" t="s">
        <v>2502</v>
      </c>
      <c r="F988" t="b">
        <v>0</v>
      </c>
      <c r="G988" s="6"/>
      <c r="J988" s="6" t="str">
        <f>_xlfn.XLOOKUP(tbl_Sourcing[[#This Row],[Product Id]], tbl_Product[Product Id], tbl_Product[Name])</f>
        <v>MTG Edge of Eternities World Shaper Precon</v>
      </c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8" s="6" t="b">
        <f>_xlfn.XLOOKUP(tbl_Sourcing[[#This Row],[Product Id]], tbl_Product[Product Id], tbl_Product[Is Set or Play Booster])</f>
        <v>0</v>
      </c>
      <c r="AX988" s="6" t="b">
        <f>_xlfn.XLOOKUP(tbl_Sourcing[[#This Row],[Product Id]], tbl_Product[Product Id], tbl_Product[Is Precon])</f>
        <v>1</v>
      </c>
    </row>
    <row r="989" spans="1:50">
      <c r="A989">
        <v>870</v>
      </c>
      <c r="B989">
        <v>100</v>
      </c>
      <c r="C989" t="s">
        <v>2491</v>
      </c>
      <c r="D989" s="8" t="s">
        <v>2503</v>
      </c>
      <c r="F989" t="b">
        <v>0</v>
      </c>
      <c r="G989" s="6"/>
      <c r="J989" s="6" t="str">
        <f>_xlfn.XLOOKUP(tbl_Sourcing[[#This Row],[Product Id]], tbl_Product[Product Id], tbl_Product[Name])</f>
        <v>MTG Final Fantasy Collector Booster Box</v>
      </c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89" s="6" t="b">
        <f>_xlfn.XLOOKUP(tbl_Sourcing[[#This Row],[Product Id]], tbl_Product[Product Id], tbl_Product[Is Set or Play Booster])</f>
        <v>0</v>
      </c>
      <c r="AX989" s="6" t="b">
        <f>_xlfn.XLOOKUP(tbl_Sourcing[[#This Row],[Product Id]], tbl_Product[Product Id], tbl_Product[Is Precon])</f>
        <v>0</v>
      </c>
    </row>
    <row r="990" spans="1:50">
      <c r="A990">
        <v>871</v>
      </c>
      <c r="B990">
        <v>153</v>
      </c>
      <c r="C990" t="s">
        <v>2491</v>
      </c>
      <c r="D990" s="8" t="s">
        <v>2504</v>
      </c>
      <c r="F990" t="b">
        <v>0</v>
      </c>
      <c r="G990" s="6"/>
      <c r="J990" s="6" t="str">
        <f>_xlfn.XLOOKUP(tbl_Sourcing[[#This Row],[Product Id]], tbl_Product[Product Id], tbl_Product[Name])</f>
        <v>MTG Final Fantasy Counter Blitz Precon</v>
      </c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0" s="6" t="b">
        <f>_xlfn.XLOOKUP(tbl_Sourcing[[#This Row],[Product Id]], tbl_Product[Product Id], tbl_Product[Is Set or Play Booster])</f>
        <v>0</v>
      </c>
      <c r="AX990" s="6" t="b">
        <f>_xlfn.XLOOKUP(tbl_Sourcing[[#This Row],[Product Id]], tbl_Product[Product Id], tbl_Product[Is Precon])</f>
        <v>1</v>
      </c>
    </row>
    <row r="991" spans="1:50">
      <c r="A991">
        <v>872</v>
      </c>
      <c r="B991">
        <v>152</v>
      </c>
      <c r="C991" t="s">
        <v>2491</v>
      </c>
      <c r="D991" s="8" t="s">
        <v>2505</v>
      </c>
      <c r="F991" t="b">
        <v>0</v>
      </c>
      <c r="G991" s="6"/>
      <c r="J991" s="6" t="str">
        <f>_xlfn.XLOOKUP(tbl_Sourcing[[#This Row],[Product Id]], tbl_Product[Product Id], tbl_Product[Name])</f>
        <v>MTG Final Fantasy Limit Break Precon</v>
      </c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1" s="6" t="b">
        <f>_xlfn.XLOOKUP(tbl_Sourcing[[#This Row],[Product Id]], tbl_Product[Product Id], tbl_Product[Is Set or Play Booster])</f>
        <v>0</v>
      </c>
      <c r="AX991" s="6" t="b">
        <f>_xlfn.XLOOKUP(tbl_Sourcing[[#This Row],[Product Id]], tbl_Product[Product Id], tbl_Product[Is Precon])</f>
        <v>1</v>
      </c>
    </row>
    <row r="992" spans="1:50">
      <c r="A992">
        <v>874</v>
      </c>
      <c r="B992">
        <v>78</v>
      </c>
      <c r="C992" t="s">
        <v>2491</v>
      </c>
      <c r="D992" s="8" t="s">
        <v>2506</v>
      </c>
      <c r="F992" t="b">
        <v>0</v>
      </c>
      <c r="G992" s="6"/>
      <c r="J992" s="6" t="str">
        <f>_xlfn.XLOOKUP(tbl_Sourcing[[#This Row],[Product Id]], tbl_Product[Product Id], tbl_Product[Name])</f>
        <v>MTG Final Fantasy Play Booster Box</v>
      </c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2" s="6" t="b">
        <f>_xlfn.XLOOKUP(tbl_Sourcing[[#This Row],[Product Id]], tbl_Product[Product Id], tbl_Product[Is Set or Play Booster])</f>
        <v>1</v>
      </c>
      <c r="AX992" s="6" t="b">
        <f>_xlfn.XLOOKUP(tbl_Sourcing[[#This Row],[Product Id]], tbl_Product[Product Id], tbl_Product[Is Precon])</f>
        <v>0</v>
      </c>
    </row>
    <row r="993" spans="1:50">
      <c r="A993">
        <v>873</v>
      </c>
      <c r="B993">
        <v>154</v>
      </c>
      <c r="C993" t="s">
        <v>2491</v>
      </c>
      <c r="D993" s="8" t="s">
        <v>2507</v>
      </c>
      <c r="F993" t="b">
        <v>0</v>
      </c>
      <c r="G993" s="6"/>
      <c r="J993" s="6" t="str">
        <f>_xlfn.XLOOKUP(tbl_Sourcing[[#This Row],[Product Id]], tbl_Product[Product Id], tbl_Product[Name])</f>
        <v>MTG Final Fantasy Scions &amp; Spellcraft Precon</v>
      </c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3" s="6" t="b">
        <f>_xlfn.XLOOKUP(tbl_Sourcing[[#This Row],[Product Id]], tbl_Product[Product Id], tbl_Product[Is Set or Play Booster])</f>
        <v>0</v>
      </c>
      <c r="AX993" s="6" t="b">
        <f>_xlfn.XLOOKUP(tbl_Sourcing[[#This Row],[Product Id]], tbl_Product[Product Id], tbl_Product[Is Precon])</f>
        <v>1</v>
      </c>
    </row>
    <row r="994" spans="1:50">
      <c r="A994">
        <v>875</v>
      </c>
      <c r="B994">
        <v>236</v>
      </c>
      <c r="C994" t="s">
        <v>2491</v>
      </c>
      <c r="D994" s="8" t="s">
        <v>2508</v>
      </c>
      <c r="F994" t="b">
        <v>0</v>
      </c>
      <c r="G994" s="6"/>
      <c r="J994" s="6" t="str">
        <f>_xlfn.XLOOKUP(tbl_Sourcing[[#This Row],[Product Id]], tbl_Product[Product Id], tbl_Product[Name])</f>
        <v>MTG Lorwyn Eclipsed Blight Curse Precon</v>
      </c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4" s="6" t="b">
        <f>_xlfn.XLOOKUP(tbl_Sourcing[[#This Row],[Product Id]], tbl_Product[Product Id], tbl_Product[Is Set or Play Booster])</f>
        <v>0</v>
      </c>
      <c r="AX994" s="6" t="b">
        <f>_xlfn.XLOOKUP(tbl_Sourcing[[#This Row],[Product Id]], tbl_Product[Product Id], tbl_Product[Is Precon])</f>
        <v>1</v>
      </c>
    </row>
    <row r="995" spans="1:50">
      <c r="A995">
        <v>876</v>
      </c>
      <c r="B995">
        <v>237</v>
      </c>
      <c r="C995" t="s">
        <v>2491</v>
      </c>
      <c r="D995" s="8" t="s">
        <v>2509</v>
      </c>
      <c r="E995">
        <v>37</v>
      </c>
      <c r="F995" t="b">
        <v>1</v>
      </c>
      <c r="G995" s="6"/>
      <c r="J995" s="6" t="str">
        <f>_xlfn.XLOOKUP(tbl_Sourcing[[#This Row],[Product Id]], tbl_Product[Product Id], tbl_Product[Name])</f>
        <v>MTG Lorwyn Eclipsed Dance of the Elements Precon</v>
      </c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5" s="6" t="b">
        <f>_xlfn.XLOOKUP(tbl_Sourcing[[#This Row],[Product Id]], tbl_Product[Product Id], tbl_Product[Is Set or Play Booster])</f>
        <v>0</v>
      </c>
      <c r="AX995" s="6" t="b">
        <f>_xlfn.XLOOKUP(tbl_Sourcing[[#This Row],[Product Id]], tbl_Product[Product Id], tbl_Product[Is Precon])</f>
        <v>1</v>
      </c>
    </row>
    <row r="996" spans="1:50">
      <c r="A996">
        <v>877</v>
      </c>
      <c r="B996">
        <v>49</v>
      </c>
      <c r="C996" t="s">
        <v>2491</v>
      </c>
      <c r="D996" s="8" t="s">
        <v>2510</v>
      </c>
      <c r="F996" t="b">
        <v>0</v>
      </c>
      <c r="G996" s="6"/>
      <c r="J996" s="6" t="str">
        <f>_xlfn.XLOOKUP(tbl_Sourcing[[#This Row],[Product Id]], tbl_Product[Product Id], tbl_Product[Name])</f>
        <v>MTG Lorwyn Eclipsed Play Booster Box</v>
      </c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6" s="6" t="b">
        <f>_xlfn.XLOOKUP(tbl_Sourcing[[#This Row],[Product Id]], tbl_Product[Product Id], tbl_Product[Is Set or Play Booster])</f>
        <v>1</v>
      </c>
      <c r="AX996" s="6" t="b">
        <f>_xlfn.XLOOKUP(tbl_Sourcing[[#This Row],[Product Id]], tbl_Product[Product Id], tbl_Product[Is Precon])</f>
        <v>0</v>
      </c>
    </row>
    <row r="997" spans="1:50">
      <c r="A997">
        <v>888</v>
      </c>
      <c r="B997">
        <v>118</v>
      </c>
      <c r="C997" t="s">
        <v>2491</v>
      </c>
      <c r="D997" s="8" t="s">
        <v>2511</v>
      </c>
      <c r="E997">
        <v>280</v>
      </c>
      <c r="F997" t="b">
        <v>1</v>
      </c>
      <c r="G997" s="6"/>
      <c r="J997" s="6" t="str">
        <f>_xlfn.XLOOKUP(tbl_Sourcing[[#This Row],[Product Id]], tbl_Product[Product Id], tbl_Product[Name])</f>
        <v>MTG Marvel's Spider-Man Collector Booster Box</v>
      </c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7" s="6" t="b">
        <f>_xlfn.XLOOKUP(tbl_Sourcing[[#This Row],[Product Id]], tbl_Product[Product Id], tbl_Product[Is Set or Play Booster])</f>
        <v>0</v>
      </c>
      <c r="AX997" s="6" t="b">
        <f>_xlfn.XLOOKUP(tbl_Sourcing[[#This Row],[Product Id]], tbl_Product[Product Id], tbl_Product[Is Precon])</f>
        <v>0</v>
      </c>
    </row>
    <row r="998" spans="1:50">
      <c r="A998">
        <v>889</v>
      </c>
      <c r="B998">
        <v>64</v>
      </c>
      <c r="C998" t="s">
        <v>2491</v>
      </c>
      <c r="D998" s="8" t="s">
        <v>2512</v>
      </c>
      <c r="E998">
        <v>110</v>
      </c>
      <c r="F998" t="b">
        <v>1</v>
      </c>
      <c r="G998" s="6"/>
      <c r="J998" s="6" t="str">
        <f>_xlfn.XLOOKUP(tbl_Sourcing[[#This Row],[Product Id]], tbl_Product[Product Id], tbl_Product[Name])</f>
        <v>MTG Marvel's Spider-Man Play Booster Box</v>
      </c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8" s="6" t="b">
        <f>_xlfn.XLOOKUP(tbl_Sourcing[[#This Row],[Product Id]], tbl_Product[Product Id], tbl_Product[Is Set or Play Booster])</f>
        <v>1</v>
      </c>
      <c r="AX998" s="6" t="b">
        <f>_xlfn.XLOOKUP(tbl_Sourcing[[#This Row],[Product Id]], tbl_Product[Product Id], tbl_Product[Is Precon])</f>
        <v>0</v>
      </c>
    </row>
    <row r="999" spans="1:50">
      <c r="A999">
        <v>879</v>
      </c>
      <c r="B999">
        <v>242</v>
      </c>
      <c r="C999" t="s">
        <v>2491</v>
      </c>
      <c r="D999" s="8" t="s">
        <v>2513</v>
      </c>
      <c r="F999" t="b">
        <v>0</v>
      </c>
      <c r="G999" s="6"/>
      <c r="J999" s="6" t="str">
        <f>_xlfn.XLOOKUP(tbl_Sourcing[[#This Row],[Product Id]], tbl_Product[Product Id], tbl_Product[Name])</f>
        <v>MTG Marvel's Super Heroes Avengers Assemble Collector Precon</v>
      </c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999" s="6" t="b">
        <f>_xlfn.XLOOKUP(tbl_Sourcing[[#This Row],[Product Id]], tbl_Product[Product Id], tbl_Product[Is Set or Play Booster])</f>
        <v>0</v>
      </c>
      <c r="AX999" s="6" t="b">
        <f>_xlfn.XLOOKUP(tbl_Sourcing[[#This Row],[Product Id]], tbl_Product[Product Id], tbl_Product[Is Precon])</f>
        <v>1</v>
      </c>
    </row>
    <row r="1000" spans="1:50">
      <c r="A1000">
        <v>883</v>
      </c>
      <c r="B1000">
        <v>238</v>
      </c>
      <c r="C1000" t="s">
        <v>2491</v>
      </c>
      <c r="D1000" s="8" t="s">
        <v>2514</v>
      </c>
      <c r="F1000" t="b">
        <v>0</v>
      </c>
      <c r="G1000" s="6"/>
      <c r="J1000" s="6" t="str">
        <f>_xlfn.XLOOKUP(tbl_Sourcing[[#This Row],[Product Id]], tbl_Product[Product Id], tbl_Product[Name])</f>
        <v>MTG Marvel's Super Heroes Avengers Assemble Precon</v>
      </c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0" s="6" t="b">
        <f>_xlfn.XLOOKUP(tbl_Sourcing[[#This Row],[Product Id]], tbl_Product[Product Id], tbl_Product[Is Set or Play Booster])</f>
        <v>0</v>
      </c>
      <c r="AX1000" s="6" t="b">
        <f>_xlfn.XLOOKUP(tbl_Sourcing[[#This Row],[Product Id]], tbl_Product[Product Id], tbl_Product[Is Precon])</f>
        <v>1</v>
      </c>
    </row>
    <row r="1001" spans="1:50">
      <c r="A1001">
        <v>878</v>
      </c>
      <c r="B1001">
        <v>248</v>
      </c>
      <c r="C1001" t="s">
        <v>2491</v>
      </c>
      <c r="D1001" s="8" t="s">
        <v>2515</v>
      </c>
      <c r="F1001" t="b">
        <v>0</v>
      </c>
      <c r="G1001" s="6"/>
      <c r="J1001" s="6" t="str">
        <f>_xlfn.XLOOKUP(tbl_Sourcing[[#This Row],[Product Id]], tbl_Product[Product Id], tbl_Product[Name])</f>
        <v>MTG Marvel's Super Heroes Collector Booster Box</v>
      </c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1" s="6" t="b">
        <f>_xlfn.XLOOKUP(tbl_Sourcing[[#This Row],[Product Id]], tbl_Product[Product Id], tbl_Product[Is Set or Play Booster])</f>
        <v>0</v>
      </c>
      <c r="AX1001" s="6" t="b">
        <f>_xlfn.XLOOKUP(tbl_Sourcing[[#This Row],[Product Id]], tbl_Product[Product Id], tbl_Product[Is Precon])</f>
        <v>0</v>
      </c>
    </row>
    <row r="1002" spans="1:50">
      <c r="A1002">
        <v>880</v>
      </c>
      <c r="B1002">
        <v>243</v>
      </c>
      <c r="C1002" t="s">
        <v>2491</v>
      </c>
      <c r="D1002" s="8" t="s">
        <v>2516</v>
      </c>
      <c r="F1002" t="b">
        <v>0</v>
      </c>
      <c r="G1002" s="6"/>
      <c r="J1002" s="6" t="str">
        <f>_xlfn.XLOOKUP(tbl_Sourcing[[#This Row],[Product Id]], tbl_Product[Product Id], tbl_Product[Name])</f>
        <v>MTG Marvel's Super Heroes Doom Prevails Collector Precon</v>
      </c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2" s="6" t="b">
        <f>_xlfn.XLOOKUP(tbl_Sourcing[[#This Row],[Product Id]], tbl_Product[Product Id], tbl_Product[Is Set or Play Booster])</f>
        <v>0</v>
      </c>
      <c r="AX1002" s="6" t="b">
        <f>_xlfn.XLOOKUP(tbl_Sourcing[[#This Row],[Product Id]], tbl_Product[Product Id], tbl_Product[Is Precon])</f>
        <v>1</v>
      </c>
    </row>
    <row r="1003" spans="1:50">
      <c r="A1003">
        <v>884</v>
      </c>
      <c r="B1003">
        <v>239</v>
      </c>
      <c r="C1003" t="s">
        <v>2491</v>
      </c>
      <c r="D1003" s="8" t="s">
        <v>2517</v>
      </c>
      <c r="F1003" t="b">
        <v>0</v>
      </c>
      <c r="G1003" s="6"/>
      <c r="J1003" s="6" t="str">
        <f>_xlfn.XLOOKUP(tbl_Sourcing[[#This Row],[Product Id]], tbl_Product[Product Id], tbl_Product[Name])</f>
        <v>MTG Marvel's Super Heroes Doom Prevails Precon</v>
      </c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3" s="6" t="b">
        <f>_xlfn.XLOOKUP(tbl_Sourcing[[#This Row],[Product Id]], tbl_Product[Product Id], tbl_Product[Is Set or Play Booster])</f>
        <v>0</v>
      </c>
      <c r="AX1003" s="6" t="b">
        <f>_xlfn.XLOOKUP(tbl_Sourcing[[#This Row],[Product Id]], tbl_Product[Product Id], tbl_Product[Is Precon])</f>
        <v>1</v>
      </c>
    </row>
    <row r="1004" spans="1:50">
      <c r="A1004">
        <v>887</v>
      </c>
      <c r="B1004">
        <v>247</v>
      </c>
      <c r="C1004" t="s">
        <v>2491</v>
      </c>
      <c r="D1004" s="8" t="s">
        <v>2518</v>
      </c>
      <c r="F1004" t="b">
        <v>0</v>
      </c>
      <c r="G1004" s="6"/>
      <c r="J1004" s="6" t="str">
        <f>_xlfn.XLOOKUP(tbl_Sourcing[[#This Row],[Product Id]], tbl_Product[Product Id], tbl_Product[Name])</f>
        <v>MTG Marvel's Super Heroes Play Booster Box</v>
      </c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4" s="6" t="b">
        <f>_xlfn.XLOOKUP(tbl_Sourcing[[#This Row],[Product Id]], tbl_Product[Product Id], tbl_Product[Is Set or Play Booster])</f>
        <v>1</v>
      </c>
      <c r="AX1004" s="6" t="b">
        <f>_xlfn.XLOOKUP(tbl_Sourcing[[#This Row],[Product Id]], tbl_Product[Product Id], tbl_Product[Is Precon])</f>
        <v>0</v>
      </c>
    </row>
    <row r="1005" spans="1:50">
      <c r="A1005">
        <v>881</v>
      </c>
      <c r="B1005">
        <v>244</v>
      </c>
      <c r="C1005" t="s">
        <v>2491</v>
      </c>
      <c r="D1005" s="8" t="s">
        <v>2519</v>
      </c>
      <c r="F1005" t="b">
        <v>0</v>
      </c>
      <c r="G1005" s="6"/>
      <c r="J1005" s="6" t="str">
        <f>_xlfn.XLOOKUP(tbl_Sourcing[[#This Row],[Product Id]], tbl_Product[Product Id], tbl_Product[Name])</f>
        <v>MTG Marvel's Super Heroes The Fantastic Four Collector Precon</v>
      </c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5" s="6" t="b">
        <f>_xlfn.XLOOKUP(tbl_Sourcing[[#This Row],[Product Id]], tbl_Product[Product Id], tbl_Product[Is Set or Play Booster])</f>
        <v>0</v>
      </c>
      <c r="AX1005" s="6" t="b">
        <f>_xlfn.XLOOKUP(tbl_Sourcing[[#This Row],[Product Id]], tbl_Product[Product Id], tbl_Product[Is Precon])</f>
        <v>1</v>
      </c>
    </row>
    <row r="1006" spans="1:50">
      <c r="A1006">
        <v>885</v>
      </c>
      <c r="B1006">
        <v>240</v>
      </c>
      <c r="C1006" t="s">
        <v>2491</v>
      </c>
      <c r="D1006" s="8" t="s">
        <v>2520</v>
      </c>
      <c r="F1006" t="b">
        <v>0</v>
      </c>
      <c r="G1006" s="6"/>
      <c r="J1006" s="6" t="str">
        <f>_xlfn.XLOOKUP(tbl_Sourcing[[#This Row],[Product Id]], tbl_Product[Product Id], tbl_Product[Name])</f>
        <v>MTG Marvel's Super Heroes The Fantastic Four Precon</v>
      </c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6" s="6" t="b">
        <f>_xlfn.XLOOKUP(tbl_Sourcing[[#This Row],[Product Id]], tbl_Product[Product Id], tbl_Product[Is Set or Play Booster])</f>
        <v>0</v>
      </c>
      <c r="AX1006" s="6" t="b">
        <f>_xlfn.XLOOKUP(tbl_Sourcing[[#This Row],[Product Id]], tbl_Product[Product Id], tbl_Product[Is Precon])</f>
        <v>1</v>
      </c>
    </row>
    <row r="1007" spans="1:50">
      <c r="A1007">
        <v>882</v>
      </c>
      <c r="B1007">
        <v>245</v>
      </c>
      <c r="C1007" t="s">
        <v>2491</v>
      </c>
      <c r="D1007" s="8" t="s">
        <v>2521</v>
      </c>
      <c r="F1007" t="b">
        <v>0</v>
      </c>
      <c r="G1007" s="6"/>
      <c r="J1007" s="6" t="str">
        <f>_xlfn.XLOOKUP(tbl_Sourcing[[#This Row],[Product Id]], tbl_Product[Product Id], tbl_Product[Name])</f>
        <v>MTG Marvel's Super Heroes Wakanda Forever Collector Precon</v>
      </c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7" s="6" t="b">
        <f>_xlfn.XLOOKUP(tbl_Sourcing[[#This Row],[Product Id]], tbl_Product[Product Id], tbl_Product[Is Set or Play Booster])</f>
        <v>0</v>
      </c>
      <c r="AX1007" s="6" t="b">
        <f>_xlfn.XLOOKUP(tbl_Sourcing[[#This Row],[Product Id]], tbl_Product[Product Id], tbl_Product[Is Precon])</f>
        <v>1</v>
      </c>
    </row>
    <row r="1008" spans="1:50">
      <c r="A1008">
        <v>886</v>
      </c>
      <c r="B1008">
        <v>241</v>
      </c>
      <c r="C1008" t="s">
        <v>2491</v>
      </c>
      <c r="D1008" s="8" t="s">
        <v>2522</v>
      </c>
      <c r="F1008" t="b">
        <v>0</v>
      </c>
      <c r="G1008" s="6"/>
      <c r="J1008" s="6" t="str">
        <f>_xlfn.XLOOKUP(tbl_Sourcing[[#This Row],[Product Id]], tbl_Product[Product Id], tbl_Product[Name])</f>
        <v>MTG Marvel's Super Heroes Wakanda Forever Precon</v>
      </c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8" s="6" t="b">
        <f>_xlfn.XLOOKUP(tbl_Sourcing[[#This Row],[Product Id]], tbl_Product[Product Id], tbl_Product[Is Set or Play Booster])</f>
        <v>0</v>
      </c>
      <c r="AX1008" s="6" t="b">
        <f>_xlfn.XLOOKUP(tbl_Sourcing[[#This Row],[Product Id]], tbl_Product[Product Id], tbl_Product[Is Precon])</f>
        <v>1</v>
      </c>
    </row>
    <row r="1009" spans="1:50">
      <c r="A1009">
        <v>890</v>
      </c>
      <c r="B1009">
        <v>173</v>
      </c>
      <c r="C1009" t="s">
        <v>2491</v>
      </c>
      <c r="D1009" s="8" t="s">
        <v>2523</v>
      </c>
      <c r="E1009">
        <v>40</v>
      </c>
      <c r="F1009" t="b">
        <v>1</v>
      </c>
      <c r="G1009" s="6"/>
      <c r="J1009" s="6" t="str">
        <f>_xlfn.XLOOKUP(tbl_Sourcing[[#This Row],[Product Id]], tbl_Product[Product Id], tbl_Product[Name])</f>
        <v>MTG Modern Horizons 3 Creative Energy Precon</v>
      </c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09" s="6" t="b">
        <f>_xlfn.XLOOKUP(tbl_Sourcing[[#This Row],[Product Id]], tbl_Product[Product Id], tbl_Product[Is Set or Play Booster])</f>
        <v>0</v>
      </c>
      <c r="AX1009" s="6" t="b">
        <f>_xlfn.XLOOKUP(tbl_Sourcing[[#This Row],[Product Id]], tbl_Product[Product Id], tbl_Product[Is Precon])</f>
        <v>1</v>
      </c>
    </row>
    <row r="1010" spans="1:50">
      <c r="A1010">
        <v>891</v>
      </c>
      <c r="B1010">
        <v>171</v>
      </c>
      <c r="C1010" t="s">
        <v>2491</v>
      </c>
      <c r="D1010" s="8" t="s">
        <v>2524</v>
      </c>
      <c r="E1010">
        <v>40</v>
      </c>
      <c r="F1010" t="b">
        <v>1</v>
      </c>
      <c r="G1010" s="6"/>
      <c r="J1010" s="6" t="str">
        <f>_xlfn.XLOOKUP(tbl_Sourcing[[#This Row],[Product Id]], tbl_Product[Product Id], tbl_Product[Name])</f>
        <v>MTG Modern Horizons 3 Graveyard Overdrive Precon</v>
      </c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0" s="6" t="b">
        <f>_xlfn.XLOOKUP(tbl_Sourcing[[#This Row],[Product Id]], tbl_Product[Product Id], tbl_Product[Is Set or Play Booster])</f>
        <v>0</v>
      </c>
      <c r="AX1010" s="6" t="b">
        <f>_xlfn.XLOOKUP(tbl_Sourcing[[#This Row],[Product Id]], tbl_Product[Product Id], tbl_Product[Is Precon])</f>
        <v>1</v>
      </c>
    </row>
    <row r="1011" spans="1:50">
      <c r="A1011">
        <v>892</v>
      </c>
      <c r="B1011">
        <v>60</v>
      </c>
      <c r="C1011" t="s">
        <v>2491</v>
      </c>
      <c r="D1011" s="8" t="s">
        <v>2525</v>
      </c>
      <c r="F1011" t="b">
        <v>0</v>
      </c>
      <c r="G1011" s="6"/>
      <c r="J1011" s="6" t="str">
        <f>_xlfn.XLOOKUP(tbl_Sourcing[[#This Row],[Product Id]], tbl_Product[Product Id], tbl_Product[Name])</f>
        <v>MTG Modern Horizons 3 MH3 Play Booster Box</v>
      </c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1" s="6" t="b">
        <f>_xlfn.XLOOKUP(tbl_Sourcing[[#This Row],[Product Id]], tbl_Product[Product Id], tbl_Product[Is Set or Play Booster])</f>
        <v>1</v>
      </c>
      <c r="AX1011" s="6" t="b">
        <f>_xlfn.XLOOKUP(tbl_Sourcing[[#This Row],[Product Id]], tbl_Product[Product Id], tbl_Product[Is Precon])</f>
        <v>0</v>
      </c>
    </row>
    <row r="1012" spans="1:50">
      <c r="A1012">
        <v>893</v>
      </c>
      <c r="B1012">
        <v>68</v>
      </c>
      <c r="C1012" t="s">
        <v>2491</v>
      </c>
      <c r="D1012" s="8" t="s">
        <v>2526</v>
      </c>
      <c r="E1012">
        <v>160</v>
      </c>
      <c r="F1012" t="b">
        <v>1</v>
      </c>
      <c r="G1012" s="6"/>
      <c r="J1012" s="6" t="str">
        <f>_xlfn.XLOOKUP(tbl_Sourcing[[#This Row],[Product Id]], tbl_Product[Product Id], tbl_Product[Name])</f>
        <v>MTG Ravnica Remastered Draft Booster Box</v>
      </c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2" s="6" t="b">
        <f>_xlfn.XLOOKUP(tbl_Sourcing[[#This Row],[Product Id]], tbl_Product[Product Id], tbl_Product[Is Set or Play Booster])</f>
        <v>1</v>
      </c>
      <c r="AX1012" s="6" t="b">
        <f>_xlfn.XLOOKUP(tbl_Sourcing[[#This Row],[Product Id]], tbl_Product[Product Id], tbl_Product[Is Precon])</f>
        <v>0</v>
      </c>
    </row>
    <row r="1013" spans="1:50">
      <c r="A1013">
        <v>894</v>
      </c>
      <c r="B1013">
        <v>155</v>
      </c>
      <c r="C1013" t="s">
        <v>2491</v>
      </c>
      <c r="D1013" s="8" t="s">
        <v>2527</v>
      </c>
      <c r="F1013" t="b">
        <v>0</v>
      </c>
      <c r="G1013" s="6"/>
      <c r="J1013" s="6" t="str">
        <f>_xlfn.XLOOKUP(tbl_Sourcing[[#This Row],[Product Id]], tbl_Product[Product Id], tbl_Product[Name])</f>
        <v>MTG Tarkir Dragonstorm Abzan Armor Precon</v>
      </c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3" s="6" t="b">
        <f>_xlfn.XLOOKUP(tbl_Sourcing[[#This Row],[Product Id]], tbl_Product[Product Id], tbl_Product[Is Set or Play Booster])</f>
        <v>0</v>
      </c>
      <c r="AX1013" s="6" t="b">
        <f>_xlfn.XLOOKUP(tbl_Sourcing[[#This Row],[Product Id]], tbl_Product[Product Id], tbl_Product[Is Precon])</f>
        <v>1</v>
      </c>
    </row>
    <row r="1014" spans="1:50">
      <c r="A1014">
        <v>895</v>
      </c>
      <c r="B1014">
        <v>157</v>
      </c>
      <c r="C1014" t="s">
        <v>2491</v>
      </c>
      <c r="D1014" s="8" t="s">
        <v>2528</v>
      </c>
      <c r="F1014" t="b">
        <v>0</v>
      </c>
      <c r="G1014" s="6"/>
      <c r="J1014" s="6" t="str">
        <f>_xlfn.XLOOKUP(tbl_Sourcing[[#This Row],[Product Id]], tbl_Product[Product Id], tbl_Product[Name])</f>
        <v>MTG Tarkir Dragonstorm Jeskai Striker Precon</v>
      </c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4" s="6" t="b">
        <f>_xlfn.XLOOKUP(tbl_Sourcing[[#This Row],[Product Id]], tbl_Product[Product Id], tbl_Product[Is Set or Play Booster])</f>
        <v>0</v>
      </c>
      <c r="AX1014" s="6" t="b">
        <f>_xlfn.XLOOKUP(tbl_Sourcing[[#This Row],[Product Id]], tbl_Product[Product Id], tbl_Product[Is Precon])</f>
        <v>1</v>
      </c>
    </row>
    <row r="1015" spans="1:50">
      <c r="A1015">
        <v>896</v>
      </c>
      <c r="B1015">
        <v>156</v>
      </c>
      <c r="C1015" t="s">
        <v>2491</v>
      </c>
      <c r="D1015" s="8" t="s">
        <v>2529</v>
      </c>
      <c r="F1015" t="b">
        <v>0</v>
      </c>
      <c r="G1015" s="6"/>
      <c r="J1015" s="6" t="str">
        <f>_xlfn.XLOOKUP(tbl_Sourcing[[#This Row],[Product Id]], tbl_Product[Product Id], tbl_Product[Name])</f>
        <v>MTG Tarkir Dragonstorm Mardu Surge Precon</v>
      </c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5" s="6" t="b">
        <f>_xlfn.XLOOKUP(tbl_Sourcing[[#This Row],[Product Id]], tbl_Product[Product Id], tbl_Product[Is Set or Play Booster])</f>
        <v>0</v>
      </c>
      <c r="AX1015" s="6" t="b">
        <f>_xlfn.XLOOKUP(tbl_Sourcing[[#This Row],[Product Id]], tbl_Product[Product Id], tbl_Product[Is Precon])</f>
        <v>1</v>
      </c>
    </row>
    <row r="1016" spans="1:50">
      <c r="A1016">
        <v>897</v>
      </c>
      <c r="B1016">
        <v>159</v>
      </c>
      <c r="C1016" t="s">
        <v>2491</v>
      </c>
      <c r="D1016" s="8" t="s">
        <v>2530</v>
      </c>
      <c r="F1016" t="b">
        <v>0</v>
      </c>
      <c r="G1016" s="6"/>
      <c r="J1016" s="6" t="str">
        <f>_xlfn.XLOOKUP(tbl_Sourcing[[#This Row],[Product Id]], tbl_Product[Product Id], tbl_Product[Name])</f>
        <v>MTG Tarkir Dragonstorm Sultai Arisen Precon</v>
      </c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6" s="6" t="b">
        <f>_xlfn.XLOOKUP(tbl_Sourcing[[#This Row],[Product Id]], tbl_Product[Product Id], tbl_Product[Is Set or Play Booster])</f>
        <v>0</v>
      </c>
      <c r="AX1016" s="6" t="b">
        <f>_xlfn.XLOOKUP(tbl_Sourcing[[#This Row],[Product Id]], tbl_Product[Product Id], tbl_Product[Is Precon])</f>
        <v>1</v>
      </c>
    </row>
    <row r="1017" spans="1:50">
      <c r="A1017">
        <v>898</v>
      </c>
      <c r="B1017">
        <v>158</v>
      </c>
      <c r="C1017" t="s">
        <v>2491</v>
      </c>
      <c r="D1017" s="8" t="s">
        <v>2531</v>
      </c>
      <c r="F1017" t="b">
        <v>0</v>
      </c>
      <c r="G1017" s="6"/>
      <c r="J1017" s="6" t="str">
        <f>_xlfn.XLOOKUP(tbl_Sourcing[[#This Row],[Product Id]], tbl_Product[Product Id], tbl_Product[Name])</f>
        <v>MTG Tarkir Dragonstorm Temur Roar Precon</v>
      </c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7" s="6" t="b">
        <f>_xlfn.XLOOKUP(tbl_Sourcing[[#This Row],[Product Id]], tbl_Product[Product Id], tbl_Product[Is Set or Play Booster])</f>
        <v>0</v>
      </c>
      <c r="AX1017" s="6" t="b">
        <f>_xlfn.XLOOKUP(tbl_Sourcing[[#This Row],[Product Id]], tbl_Product[Product Id], tbl_Product[Is Precon])</f>
        <v>1</v>
      </c>
    </row>
    <row r="1018" spans="1:50">
      <c r="A1018">
        <v>899</v>
      </c>
      <c r="B1018" s="1">
        <v>252</v>
      </c>
      <c r="C1018" t="s">
        <v>2491</v>
      </c>
      <c r="D1018" s="8" t="s">
        <v>2532</v>
      </c>
      <c r="E1018">
        <v>450</v>
      </c>
      <c r="F1018" t="b">
        <v>1</v>
      </c>
      <c r="G1018" s="6"/>
      <c r="J1018" s="6" t="str">
        <f>_xlfn.XLOOKUP(tbl_Sourcing[[#This Row],[Product Id]], tbl_Product[Product Id], tbl_Product[Name])</f>
        <v>MTG Teenage Mutant Ninja Turtles Collector Booster Box</v>
      </c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8" s="6" t="b">
        <f>_xlfn.XLOOKUP(tbl_Sourcing[[#This Row],[Product Id]], tbl_Product[Product Id], tbl_Product[Is Set or Play Booster])</f>
        <v>0</v>
      </c>
      <c r="AX1018" s="6" t="b">
        <f>_xlfn.XLOOKUP(tbl_Sourcing[[#This Row],[Product Id]], tbl_Product[Product Id], tbl_Product[Is Precon])</f>
        <v>0</v>
      </c>
    </row>
    <row r="1019" spans="1:50">
      <c r="A1019">
        <v>900</v>
      </c>
      <c r="B1019">
        <v>253</v>
      </c>
      <c r="C1019" t="s">
        <v>2491</v>
      </c>
      <c r="D1019" s="8" t="s">
        <v>2533</v>
      </c>
      <c r="E1019">
        <v>165</v>
      </c>
      <c r="F1019" t="b">
        <v>1</v>
      </c>
      <c r="G1019" s="6"/>
      <c r="J1019" s="6" t="str">
        <f>_xlfn.XLOOKUP(tbl_Sourcing[[#This Row],[Product Id]], tbl_Product[Product Id], tbl_Product[Name])</f>
        <v>MTG Teenage Mutant Ninja Turtles Play Booster Box</v>
      </c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19" s="6" t="b">
        <f>_xlfn.XLOOKUP(tbl_Sourcing[[#This Row],[Product Id]], tbl_Product[Product Id], tbl_Product[Is Set or Play Booster])</f>
        <v>1</v>
      </c>
      <c r="AX1019" s="6" t="b">
        <f>_xlfn.XLOOKUP(tbl_Sourcing[[#This Row],[Product Id]], tbl_Product[Product Id], tbl_Product[Is Precon])</f>
        <v>0</v>
      </c>
    </row>
    <row r="1020" spans="1:50">
      <c r="A1020">
        <v>558</v>
      </c>
      <c r="B1020">
        <v>78</v>
      </c>
      <c r="C1020" t="s">
        <v>2534</v>
      </c>
      <c r="D1020" s="8" t="s">
        <v>2535</v>
      </c>
      <c r="E1020">
        <v>180</v>
      </c>
      <c r="F1020" t="b">
        <v>1</v>
      </c>
      <c r="G1020" s="6"/>
      <c r="J1020" s="6" t="str">
        <f>_xlfn.XLOOKUP(tbl_Sourcing[[#This Row],[Product Id]], tbl_Product[Product Id], tbl_Product[Name])</f>
        <v>MTG Final Fantasy Play Booster Box</v>
      </c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>
        <f>IF(AND(tbl_Sourcing[[#This Row],[Source Name]]="Card Market", NOT(ISBLANK(tbl_Sourcing[[#This Row],[Source Link]]))), tbl_Sourcing[[#This Row],[Index Card Market]] * 5 - 4, IF(AND(tbl_Sourcing[[#This Row],[Source Name]]="Chaos Cards", NOT(ISBLANK(tbl_Sourcing[[#This Row],[Source Link]]))), tbl_Sourcing[[#This Row],[Index Chaos Cards]] * 5 - 3, IF(AND(tbl_Sourcing[[#This Row],[Source Name]]="Games Lore", NOT(ISBLANK(tbl_Sourcing[[#This Row],[Source Link]]))), tbl_Sourcing[[#This Row],[Index Games Lore]] * 5 - 2, IF(AND(tbl_Sourcing[[#This Row],[Source Name]]="Magic Madhouse", NOT(ISBLANK(tbl_Sourcing[[#This Row],[Source Link]]))), tbl_Sourcing[[#This Row],[Index Magic Madhouse]] * 5 - 1, IF(AND(tbl_Sourcing[[#This Row],[Source Name]]="New Realities Gaming", NOT(ISBLANK(tbl_Sourcing[[#This Row],[Source Link]]))), tbl_Sourcing[[#This Row],[Index New Realities Gaming]] * 5, -1)))))</f>
        <v>-1</v>
      </c>
      <c r="AW1020" s="6" t="b">
        <f>_xlfn.XLOOKUP(tbl_Sourcing[[#This Row],[Product Id]], tbl_Product[Product Id], tbl_Product[Is Set or Play Booster])</f>
        <v>1</v>
      </c>
      <c r="AX1020" s="6" t="b">
        <f>_xlfn.XLOOKUP(tbl_Sourcing[[#This Row],[Product Id]], tbl_Product[Product Id], tbl_Product[Is Precon])</f>
        <v>0</v>
      </c>
    </row>
  </sheetData>
  <conditionalFormatting sqref="AV1:AV1048576">
    <cfRule type="duplicateValues" dxfId="43" priority="2"/>
  </conditionalFormatting>
  <hyperlinks>
    <hyperlink ref="D36" r:id="rId1" xr:uid="{54B4C2C1-A007-492C-9ACE-345EE4C3D0E7}"/>
    <hyperlink ref="D38" r:id="rId2" xr:uid="{DC6E6FF3-5C43-48AD-A0A7-90200B034C45}"/>
    <hyperlink ref="D44" r:id="rId3" xr:uid="{85C744F4-4C62-414B-B14A-6D36342F6B02}"/>
    <hyperlink ref="D51" r:id="rId4" xr:uid="{EA08F677-2827-4980-A9D9-DD27C66C3251}"/>
    <hyperlink ref="D63" r:id="rId5" xr:uid="{CC1A5C87-DB33-49EB-AC6A-F9CC27FAC2CA}"/>
    <hyperlink ref="D73" r:id="rId6" xr:uid="{F5DA98AE-A414-4399-94AA-BC5F821D0E6E}"/>
    <hyperlink ref="D83" r:id="rId7" xr:uid="{8F076AB2-57C7-47B3-8328-0FCC2E9D891F}"/>
    <hyperlink ref="D88" r:id="rId8" xr:uid="{A3FEE5F8-AB8E-4485-A437-38EE9AF8FC87}"/>
    <hyperlink ref="D99" r:id="rId9" xr:uid="{C48DF136-8934-4131-90A8-0938A6186F3B}"/>
    <hyperlink ref="D105" r:id="rId10" xr:uid="{F8BA9E20-0D3B-44DB-964F-2ADC4CBEFCD3}"/>
    <hyperlink ref="D118" r:id="rId11" xr:uid="{51FA65FD-1434-40D8-AF54-E0B0F2836870}"/>
    <hyperlink ref="D110" r:id="rId12" xr:uid="{81EC23D9-02BD-4D85-A7E4-4ADC2236FFC6}"/>
    <hyperlink ref="D114" r:id="rId13" xr:uid="{5FCB7F2B-9F34-4B63-BA8C-1D67315A8EA6}"/>
    <hyperlink ref="D122" r:id="rId14" xr:uid="{4ADACAD2-B0EA-4C4C-9D76-6A635A4DCB2F}"/>
    <hyperlink ref="D127" r:id="rId15" xr:uid="{8EFD25CB-3560-43A5-9AE6-AC42EB6DA121}"/>
    <hyperlink ref="D132" r:id="rId16" xr:uid="{34B86532-289D-4FF8-BC7C-B558501A61E0}"/>
    <hyperlink ref="D140" r:id="rId17" xr:uid="{34D3ABCC-8D53-49C6-8C28-0AD5002F037F}"/>
    <hyperlink ref="D145" r:id="rId18" xr:uid="{59AD34E1-2489-437C-981C-A00B4DDB63A3}"/>
    <hyperlink ref="D149" r:id="rId19" xr:uid="{02637C50-0CE6-4E16-87E5-34479E2FDD06}"/>
    <hyperlink ref="D156" r:id="rId20" xr:uid="{34840A99-E142-4BFF-A752-5A1B5EBE8E97}"/>
    <hyperlink ref="D164" r:id="rId21" xr:uid="{9A6295BA-F3EA-4BD9-BD49-F27E80235A2A}"/>
    <hyperlink ref="D167" r:id="rId22" xr:uid="{50952E70-F4E8-4156-81CC-6A8539FDFE4D}"/>
    <hyperlink ref="D174" r:id="rId23" xr:uid="{6995526C-5474-451C-A53E-B5D7478B5E94}"/>
    <hyperlink ref="D181" r:id="rId24" xr:uid="{4B9F379B-C06F-4D02-B217-B604273EA55B}"/>
    <hyperlink ref="D185" r:id="rId25" xr:uid="{00D1C665-22F0-4E70-BAE3-2FBE8939F4F9}"/>
    <hyperlink ref="D405" r:id="rId26" xr:uid="{8789AA2C-E420-4E47-A7CF-E986F981CDBB}"/>
    <hyperlink ref="D414" r:id="rId27" xr:uid="{99586D06-3C01-49B3-8DDC-586BF800EEE4}"/>
    <hyperlink ref="D411" r:id="rId28" xr:uid="{C8027115-EAE7-4EE0-B708-D7E1C9475358}"/>
    <hyperlink ref="D409" r:id="rId29" xr:uid="{746737E4-1C4E-4216-950A-48CF884D5261}"/>
    <hyperlink ref="D407" r:id="rId30" xr:uid="{1C02EBFB-309D-4DC5-BC75-70681E88B503}"/>
    <hyperlink ref="D352" r:id="rId31" xr:uid="{6E393160-9076-476E-88B3-1C879D4A09D5}"/>
    <hyperlink ref="D403" r:id="rId32" xr:uid="{05E58C0B-1308-44D2-8F36-F01E245AB28A}"/>
    <hyperlink ref="D401" r:id="rId33" xr:uid="{1B646DE8-8167-4324-9A02-8417DCF6E52E}"/>
    <hyperlink ref="D395" r:id="rId34" xr:uid="{825B333C-C899-4A87-B56E-FC9ED9EF48DE}"/>
    <hyperlink ref="D393" r:id="rId35" xr:uid="{4958AF6D-A24E-40D4-919B-0509158BD940}"/>
    <hyperlink ref="D391" r:id="rId36" xr:uid="{458C9083-41D8-442B-91F8-782C78A88386}"/>
    <hyperlink ref="D389" r:id="rId37" xr:uid="{1B15FB76-9D21-4624-9913-F96CE0BF0B9B}"/>
    <hyperlink ref="D387" r:id="rId38" xr:uid="{905F2891-7AD3-4DBC-BBEE-F805D7AC7BB3}"/>
    <hyperlink ref="D384" r:id="rId39" xr:uid="{E6BB7554-9259-4276-AC65-AA6BF49210B5}"/>
    <hyperlink ref="D381" r:id="rId40" xr:uid="{AF258A61-6558-434A-B11A-3F9F4C780C77}"/>
    <hyperlink ref="D375" r:id="rId41" xr:uid="{EE12E252-16B6-4451-99A4-E7D4AD0721FB}"/>
    <hyperlink ref="D372" r:id="rId42" xr:uid="{71807208-1B98-4856-8084-1B42CED261E2}"/>
    <hyperlink ref="D370" r:id="rId43" xr:uid="{2CDDBDAF-6FE8-4625-8712-331F6D7DE3F4}"/>
    <hyperlink ref="D368" r:id="rId44" xr:uid="{978172AD-D84F-4C05-A44C-DCEBABD8710F}"/>
    <hyperlink ref="D366" r:id="rId45" xr:uid="{673C7969-9979-4376-8900-2290F334A84A}"/>
    <hyperlink ref="D360" r:id="rId46" xr:uid="{F817A6AB-F09E-4D14-A60E-85F574FC6219}"/>
    <hyperlink ref="D362" r:id="rId47" xr:uid="{A0877736-19FA-4C57-A65B-1B9B2848602F}"/>
    <hyperlink ref="D364" r:id="rId48" xr:uid="{4C5FF836-64B9-4064-80F4-30B1B52A810A}"/>
    <hyperlink ref="D358" r:id="rId49" xr:uid="{F1064E11-555F-487A-BAD0-03CBE216DE03}"/>
    <hyperlink ref="D350" r:id="rId50" xr:uid="{F5341139-6CEE-40DB-ABE1-12C0C9EC4B7F}"/>
    <hyperlink ref="D348" r:id="rId51" xr:uid="{0523C388-E6A5-4DB6-9DBC-09350EF83B3B}"/>
    <hyperlink ref="D346" r:id="rId52" xr:uid="{F7E740EC-4DB5-493F-98F8-00DF57FFACE9}"/>
    <hyperlink ref="D339" r:id="rId53" xr:uid="{59116C2E-1ABD-491A-B184-CB872E415F10}"/>
    <hyperlink ref="D377" r:id="rId54" xr:uid="{1EDD45F2-EDF7-4305-B90F-FD780CB2F355}"/>
    <hyperlink ref="D334" r:id="rId55" xr:uid="{4C8532A1-11A3-4E01-BCE8-B5CE6C6964D8}"/>
    <hyperlink ref="D331" r:id="rId56" xr:uid="{16088B9F-BD71-4DCF-AE96-B1226B6EE187}"/>
    <hyperlink ref="D330" r:id="rId57" xr:uid="{4A71D7AA-F6F3-4F82-8CFA-7DB2BFD35D2C}"/>
    <hyperlink ref="D326" r:id="rId58" xr:uid="{72BFE10B-6B0D-4839-A298-FCAEBA053119}"/>
    <hyperlink ref="D32" r:id="rId59" xr:uid="{BFC33F10-00D9-4135-AA29-A55C65838852}"/>
    <hyperlink ref="D47" r:id="rId60" xr:uid="{BA97D4F8-B258-4E2F-8388-E75F8A3237F9}"/>
    <hyperlink ref="D58" r:id="rId61" xr:uid="{2E521FB5-7580-417C-94F2-05DA98D63A42}"/>
    <hyperlink ref="D71" r:id="rId62" xr:uid="{002E5356-36DA-4CCB-82E2-8E3DCFD0E56B}"/>
    <hyperlink ref="D77" r:id="rId63" xr:uid="{61886CC0-6357-4A8D-8CC7-9F4BF1B39AB6}"/>
    <hyperlink ref="D85" r:id="rId64" xr:uid="{22C66ADC-5378-4B06-BE37-3CCACA900869}"/>
    <hyperlink ref="D112" r:id="rId65" xr:uid="{81223186-A358-4483-B99D-8CF8A3945305}"/>
    <hyperlink ref="D108" r:id="rId66" xr:uid="{DBB458BA-5F8E-4A50-B5D3-9CF74C9BCA79}"/>
    <hyperlink ref="D116" r:id="rId67" xr:uid="{8E6F434C-B9A9-4D5F-AC6E-6F500ADD5EEB}"/>
    <hyperlink ref="D120" r:id="rId68" xr:uid="{5F4A4435-45FC-42DE-AEF5-B1975AC1629A}"/>
    <hyperlink ref="D125" r:id="rId69" xr:uid="{4E43786E-FDA2-400D-839C-7F91084F77E8}"/>
    <hyperlink ref="D130" r:id="rId70" xr:uid="{DEB5C835-C7A8-4D80-B0DA-DF939C3561FB}"/>
    <hyperlink ref="D42" r:id="rId71" xr:uid="{B316CA74-198A-4D45-961C-5543A30ADB6C}"/>
    <hyperlink ref="D95" r:id="rId72" xr:uid="{04B7A150-A3F6-4064-AA22-BBC64B02B6C0}"/>
    <hyperlink ref="D103" r:id="rId73" xr:uid="{03E3371A-F8B0-4341-A829-A0BFAD78C405}"/>
    <hyperlink ref="D138" r:id="rId74" xr:uid="{EE552576-D212-423E-9D89-E871090786E2}"/>
    <hyperlink ref="D143" r:id="rId75" xr:uid="{41E39529-C62F-4240-8B75-DF469E80C7BD}"/>
    <hyperlink ref="D147" r:id="rId76" xr:uid="{ED704227-AFD0-45F9-B3F7-A93513C41DF0}"/>
    <hyperlink ref="D154" r:id="rId77" xr:uid="{EED4ACF9-FB12-4DF3-846A-9BE05BF654A1}"/>
    <hyperlink ref="D160" r:id="rId78" xr:uid="{7BFBC102-8F6B-4966-9517-1F45F9C62CE7}"/>
    <hyperlink ref="D169" r:id="rId79" xr:uid="{8A104AC9-D036-47E3-B1B4-4362A20A2F99}"/>
    <hyperlink ref="D177" r:id="rId80" xr:uid="{009C7701-0E6B-42B4-AADE-274ED682CB6A}"/>
    <hyperlink ref="D183" r:id="rId81" xr:uid="{4A515DD1-5FD6-4532-89D3-587CA4249AC2}"/>
    <hyperlink ref="D195" r:id="rId82" xr:uid="{10D98196-EC99-4CF5-88E3-A3C094E85D28}"/>
    <hyperlink ref="D40" r:id="rId83" xr:uid="{E3A4C8A3-A590-4C49-967B-98877A34ECE8}"/>
    <hyperlink ref="D148" r:id="rId84" xr:uid="{6ED44325-3628-4E57-9F09-DB8428347E2D}"/>
    <hyperlink ref="D109" r:id="rId85" xr:uid="{420ED81C-52FA-4590-AA9F-25ADB8152986}"/>
    <hyperlink ref="D131" r:id="rId86" xr:uid="{50A3677D-F0FF-4C38-A83B-3A1E00516E3F}"/>
    <hyperlink ref="D117" r:id="rId87" xr:uid="{7AB65A95-23DB-437A-AC54-A6A979065EB2}"/>
    <hyperlink ref="D121" r:id="rId88" xr:uid="{D3395045-0F77-4929-83B8-55A0E7F849EB}"/>
    <hyperlink ref="D62" r:id="rId89" xr:uid="{4F8E31A5-8B90-45E5-9724-9BE573B4A6C3}"/>
    <hyperlink ref="D173" r:id="rId90" xr:uid="{51ACA648-5539-4D3F-A5D9-65D444D3D681}"/>
    <hyperlink ref="D43" r:id="rId91" xr:uid="{2E1A9265-F4DA-4DB3-8BC2-B04C847887CE}"/>
    <hyperlink ref="D113" r:id="rId92" xr:uid="{1B2CB4BE-8EA1-4ED8-9B0F-C9275717558C}"/>
    <hyperlink ref="D139" r:id="rId93" xr:uid="{1EEB9352-3932-4584-A0E6-0606FA29C985}"/>
    <hyperlink ref="D155" r:id="rId94" xr:uid="{EEDE9473-32AC-423F-AED2-ABDEE2995638}"/>
    <hyperlink ref="D104" r:id="rId95" xr:uid="{9E1FEB30-EAE1-4E13-93DC-86092EE8D4F6}"/>
    <hyperlink ref="D69" r:id="rId96" xr:uid="{6AEF2FBC-17E5-4FDC-A88F-B3D9FF0D51B2}"/>
    <hyperlink ref="D37" r:id="rId97" xr:uid="{C6544D22-9226-4BA4-8CA5-341A4B502D66}"/>
    <hyperlink ref="D144" r:id="rId98" xr:uid="{247431A3-C04D-4123-B982-4F7234469EF5}"/>
    <hyperlink ref="D87" r:id="rId99" xr:uid="{78289988-EE6A-42A1-9344-36CA358156F4}"/>
    <hyperlink ref="D180" r:id="rId100" xr:uid="{1D35E75F-22A4-4A61-9231-6E391E3A9FD4}"/>
    <hyperlink ref="D184" r:id="rId101" xr:uid="{2FAEFB0C-4C9C-452D-96BB-87B746AE69CD}"/>
    <hyperlink ref="D126" r:id="rId102" xr:uid="{723C0694-A696-40C7-84F1-E4D6FD897343}"/>
    <hyperlink ref="D35" r:id="rId103" xr:uid="{B0B5998A-D74C-4B95-BF06-042776D64E87}"/>
    <hyperlink ref="D82" r:id="rId104" xr:uid="{57D92358-47C2-4EEC-9177-8CC0C1258949}"/>
    <hyperlink ref="D72" r:id="rId105" xr:uid="{ED382C7A-27A2-41E3-B370-BA2AFECF006F}"/>
    <hyperlink ref="D166" r:id="rId106" xr:uid="{46FC486D-1DC8-4BC7-BDE7-13EE95E7C28B}"/>
    <hyperlink ref="D98" r:id="rId107" xr:uid="{5DF9A140-5939-4069-9858-0B9F915FEE72}"/>
    <hyperlink ref="D50" r:id="rId108" xr:uid="{90C4F39B-3CCD-447B-9690-152844915EB8}"/>
    <hyperlink ref="D163" r:id="rId109" xr:uid="{B18DD265-BF13-4532-A76E-DFF9964A3671}"/>
    <hyperlink ref="D186" r:id="rId110" xr:uid="{76D99A4B-3D71-4FF9-B530-6CBDE67DD8AF}"/>
    <hyperlink ref="D106" r:id="rId111" xr:uid="{F92EB51F-C955-42F6-A776-FAD8C754D68F}"/>
    <hyperlink ref="D31" r:id="rId112" xr:uid="{1079710A-A849-4B25-836A-955DF9A8CA0D}"/>
    <hyperlink ref="D46" r:id="rId113" xr:uid="{8648660F-1129-4791-9952-7ECBE16A5C04}"/>
    <hyperlink ref="D57" r:id="rId114" xr:uid="{52446541-F0E1-427A-89A5-B370EAC3F160}"/>
    <hyperlink ref="D70" r:id="rId115" xr:uid="{E5CDFFC5-D3BB-4335-A227-668AEEA75FA1}"/>
    <hyperlink ref="D76" r:id="rId116" xr:uid="{AE0DC3AE-1939-46DA-B00F-B3215C36DE86}"/>
    <hyperlink ref="D84" r:id="rId117" xr:uid="{35F20760-F552-44BE-8C18-02EF63ED8C9E}"/>
    <hyperlink ref="D111" r:id="rId118" xr:uid="{264A8E00-D0AF-4924-90A2-01FA3DCBFB85}"/>
    <hyperlink ref="D115" r:id="rId119" xr:uid="{90A7D330-820E-46B1-A7ED-0EAFB193C621}"/>
    <hyperlink ref="D107" r:id="rId120" xr:uid="{5B4DACFC-EAD5-4A5B-85B5-C7FCA008FB8C}"/>
    <hyperlink ref="D119" r:id="rId121" xr:uid="{7F787758-1D77-4DBE-BB2A-2F35AAD823F3}"/>
    <hyperlink ref="D124" r:id="rId122" xr:uid="{D16F63A3-92BF-4C72-89D7-49B41C241BB2}"/>
    <hyperlink ref="D129" r:id="rId123" xr:uid="{416405B4-5A28-4510-A9AC-851A9EB199D2}"/>
    <hyperlink ref="D41" r:id="rId124" xr:uid="{6A6A74CC-2BA1-470B-BE33-66A596936E73}"/>
    <hyperlink ref="D94" r:id="rId125" xr:uid="{55844EB3-425F-4E26-8F8F-486BE89BB287}"/>
    <hyperlink ref="D102" r:id="rId126" xr:uid="{36378CD9-C792-42D9-8F5E-61A5821D4BC2}"/>
    <hyperlink ref="D142" r:id="rId127" xr:uid="{46B17F14-9E95-4FFB-9569-11D4B921D3A1}"/>
    <hyperlink ref="D137" r:id="rId128" xr:uid="{8DD842EA-450A-4463-9AB6-5963C903BDC9}"/>
    <hyperlink ref="D146" r:id="rId129" xr:uid="{66AA2E2C-995A-46C3-A053-98AB13BF28C0}"/>
    <hyperlink ref="D153" r:id="rId130" xr:uid="{0CDEEEA6-CBE5-44D7-B024-2D0EC6A6B1DC}"/>
    <hyperlink ref="D159" r:id="rId131" xr:uid="{640C283E-809A-4745-92C7-93A2B1737CB2}"/>
    <hyperlink ref="D168" r:id="rId132" xr:uid="{D3F4B378-7A95-4B37-AF1C-40D37EB9F2C1}"/>
    <hyperlink ref="D176" r:id="rId133" xr:uid="{E986DB84-E04F-419A-99B5-07284C95BD38}"/>
    <hyperlink ref="D182" r:id="rId134" xr:uid="{D8003DC7-335B-4B07-8E95-685DB7A41990}"/>
    <hyperlink ref="D194" r:id="rId135" xr:uid="{6F26EB4A-139B-4157-9372-62BBFAD2326B}"/>
    <hyperlink ref="D39" r:id="rId136" xr:uid="{BD5D4C33-E329-4E17-A8E5-BE5D7AFAC79D}"/>
    <hyperlink ref="D516" r:id="rId137" xr:uid="{4826EF6F-CE46-43DC-A987-D1A903EDF7FD}"/>
    <hyperlink ref="D514" r:id="rId138" xr:uid="{0B8F45BA-9E84-4CEB-964A-F7CF98E0CA20}"/>
    <hyperlink ref="D515" r:id="rId139" xr:uid="{5743D3D1-F3F4-4A22-A674-97BF4E6AA29F}"/>
    <hyperlink ref="D510" r:id="rId140" xr:uid="{A1A28A4E-4957-49EC-B307-AE7626C9CF0D}"/>
    <hyperlink ref="D511" r:id="rId141" xr:uid="{A15626FD-FB12-4448-9A98-0DCDF6AEAFB5}"/>
    <hyperlink ref="D504" r:id="rId142" xr:uid="{3CE38D6D-1B29-425E-A145-4D79E4B04299}"/>
    <hyperlink ref="D505" r:id="rId143" xr:uid="{8A7AAA22-DB36-4ED8-81F8-9C4FFED88017}"/>
    <hyperlink ref="D503" r:id="rId144" xr:uid="{D3FC99E9-ACA1-49CC-838F-8897DB853BB9}"/>
    <hyperlink ref="D492" r:id="rId145" xr:uid="{5DA1B27A-4DF0-4F17-BE5F-595C08EE9BA2}"/>
    <hyperlink ref="D493" r:id="rId146" xr:uid="{DBB6F966-8ED2-45D6-93DB-434885C7107F}"/>
    <hyperlink ref="D512" r:id="rId147" xr:uid="{444F6B9B-FEE9-4867-9FF7-E3687BEDAB13}"/>
    <hyperlink ref="D513" r:id="rId148" xr:uid="{85F6FE93-9BC5-4961-9DCB-8BFFAB4607C3}"/>
    <hyperlink ref="D508" r:id="rId149" xr:uid="{0EC7F16A-CDE4-4FFA-94FC-C7F55E3EAA3A}"/>
    <hyperlink ref="D509" r:id="rId150" xr:uid="{B8F44403-27DA-46FC-AB0C-ABC682D0C51B}"/>
    <hyperlink ref="D506" r:id="rId151" xr:uid="{D8757828-261F-46F2-8DDF-8C5DF3D11336}"/>
    <hyperlink ref="D507" r:id="rId152" xr:uid="{25ACE974-2F3C-4013-B327-46B30A9F8C35}"/>
    <hyperlink ref="D497" r:id="rId153" xr:uid="{635E302A-383B-4291-903D-C477108A522F}"/>
    <hyperlink ref="D498" r:id="rId154" xr:uid="{BDAEF347-033A-491B-B419-A831C9D5914F}"/>
    <hyperlink ref="D496" r:id="rId155" xr:uid="{36F5070E-4F48-48F7-A5C1-62B179C5F280}"/>
    <hyperlink ref="D499" r:id="rId156" xr:uid="{0BAC0DC8-B7D3-406E-B676-1309FCDF7EC5}"/>
    <hyperlink ref="D500" r:id="rId157" xr:uid="{759EFE85-818F-48E6-A8D1-C500DE0A5276}"/>
    <hyperlink ref="D494" r:id="rId158" xr:uid="{2825B526-58C4-40B7-B879-4184D838A0D2}"/>
    <hyperlink ref="D495" r:id="rId159" xr:uid="{EDF2904B-1F27-4CE8-904F-20DE347F8CF2}"/>
    <hyperlink ref="D490" r:id="rId160" xr:uid="{E92DB38F-DDCD-4FDF-A94C-693344B090C3}"/>
    <hyperlink ref="D491" r:id="rId161" xr:uid="{EF36DA31-D178-446F-94C6-6A6C7174F824}"/>
    <hyperlink ref="D487" r:id="rId162" xr:uid="{1CD05002-B98A-4305-BDCC-D31C7BD5E7FC}"/>
    <hyperlink ref="D488" r:id="rId163" xr:uid="{7A575609-07F6-4988-9119-5D4966074C46}"/>
    <hyperlink ref="D485" r:id="rId164" xr:uid="{FC8FEEFE-267C-4201-9FAB-BE8FF0A0AD5D}"/>
    <hyperlink ref="D486" r:id="rId165" xr:uid="{D4A1614E-D062-4B05-818D-4D327938D036}"/>
    <hyperlink ref="D483" r:id="rId166" xr:uid="{B6E118B7-5919-4523-BC7C-FECBA43145D5}"/>
    <hyperlink ref="D484" r:id="rId167" xr:uid="{8A2EA988-4995-41F9-AAEF-7A1F017E17C3}"/>
    <hyperlink ref="D502" r:id="rId168" xr:uid="{A366775C-B4FE-4B30-B2EF-7146448989FB}"/>
    <hyperlink ref="D501" r:id="rId169" xr:uid="{A7D2A479-D954-4A12-9578-937291459EFE}"/>
    <hyperlink ref="D489" r:id="rId170" xr:uid="{A2AEA028-6CE7-4AED-857E-066AF3490857}"/>
    <hyperlink ref="D687" r:id="rId171" xr:uid="{47BE8569-34BC-4F83-B815-4F5507364D31}"/>
    <hyperlink ref="D710" r:id="rId172" xr:uid="{C1551024-7854-4936-8020-56C21B811859}"/>
    <hyperlink ref="D700" r:id="rId173" xr:uid="{80CB483E-C096-4616-9A9A-DE05DB89AB30}"/>
    <hyperlink ref="D699" r:id="rId174" xr:uid="{5CDEC483-FAB3-4F5D-9E61-0CC3530B524C}"/>
    <hyperlink ref="D724" r:id="rId175" xr:uid="{06896C6F-E14D-4DA1-BE1B-E36DCF7A01DB}"/>
    <hyperlink ref="D706" r:id="rId176" xr:uid="{D0CFC549-DD07-4DCC-8461-BF63169ABEB4}"/>
    <hyperlink ref="D702" r:id="rId177" xr:uid="{7DC47711-9B20-4DDB-B53B-DEC8AC6C2A28}"/>
    <hyperlink ref="D715" r:id="rId178" xr:uid="{68F62169-7BEB-4C69-86B0-824B6EBE9C3D}"/>
    <hyperlink ref="D713" r:id="rId179" xr:uid="{89681679-0150-4644-ADB5-19CEF508EA7C}"/>
    <hyperlink ref="D695" r:id="rId180" xr:uid="{877D7A30-6B64-4142-9EF7-A67FDE9119C8}"/>
    <hyperlink ref="D683" r:id="rId181" xr:uid="{EBEFAE78-DED5-4278-AA63-7FD37ABA5F15}"/>
    <hyperlink ref="D697" r:id="rId182" xr:uid="{16258993-F474-4929-9B65-74D3490BBB82}"/>
    <hyperlink ref="D693" r:id="rId183" xr:uid="{C42F2FCC-58FA-4B10-8BBD-994AE2A70F75}"/>
    <hyperlink ref="D692" r:id="rId184" xr:uid="{ECE5D229-3ED6-4F8C-9713-DFFC10563774}"/>
    <hyperlink ref="D709" r:id="rId185" xr:uid="{6C6A252D-887F-4799-A37B-FF920AD3A056}"/>
    <hyperlink ref="D696" r:id="rId186" xr:uid="{9A6F4196-0B67-4F2D-9752-900221DD0732}"/>
    <hyperlink ref="D703" r:id="rId187" xr:uid="{7F5E1EC4-9E48-42D5-8E2D-E8024F01DD2A}"/>
    <hyperlink ref="D726" r:id="rId188" xr:uid="{8EC318E5-6816-425C-BAD1-1A7BE070F147}"/>
    <hyperlink ref="D705" r:id="rId189" xr:uid="{259A68CA-A93A-46BC-88B9-A06BD77762B3}"/>
    <hyperlink ref="D723" r:id="rId190" xr:uid="{2F74F95B-E4B1-461E-9EF8-CA1BAAF128DB}"/>
    <hyperlink ref="D725" r:id="rId191" xr:uid="{2D3079C8-46FE-4D73-9118-67929B4D530F}"/>
    <hyperlink ref="D686" r:id="rId192" xr:uid="{5B91C57B-6A2E-4062-B3D9-31852B9123C9}"/>
    <hyperlink ref="D718" r:id="rId193" xr:uid="{C9624BF5-0B09-4099-A073-6849145E97DE}"/>
    <hyperlink ref="D716" r:id="rId194" xr:uid="{C6212FBC-8B04-4013-BF1F-701AD643383D}"/>
    <hyperlink ref="D722" r:id="rId195" xr:uid="{23B1D60D-3D51-49D5-8E57-130BCECB6C28}"/>
    <hyperlink ref="D704" r:id="rId196" xr:uid="{E9CAC21B-07E2-4263-BC57-1EBECFC66217}"/>
    <hyperlink ref="D707" r:id="rId197" xr:uid="{9BDFB8CB-C748-4B2A-A378-1C3887CC843B}"/>
    <hyperlink ref="D711" r:id="rId198" xr:uid="{322464B0-575D-4EF2-A262-04088A8E85EF}"/>
    <hyperlink ref="D717" r:id="rId199" xr:uid="{080BA173-9BE1-4DA3-8C69-1B18A00A2D7B}"/>
    <hyperlink ref="D727" r:id="rId200" xr:uid="{662C8C54-742E-47F6-8CA3-CA2998FB2CB3}"/>
    <hyperlink ref="D694" r:id="rId201" xr:uid="{C8323DEC-7DB3-4343-985A-32962FF509F3}"/>
    <hyperlink ref="D690" r:id="rId202" xr:uid="{4C26F2EB-1613-4234-9574-3CB072D18592}"/>
    <hyperlink ref="D691" r:id="rId203" xr:uid="{E2B78610-6B29-4000-B984-7F361D383BE4}"/>
    <hyperlink ref="D721" r:id="rId204" xr:uid="{DA1090C5-39CA-48AF-AB91-1F677CAB58A9}"/>
    <hyperlink ref="D719" r:id="rId205" xr:uid="{91CCB17D-6DDA-4B90-ABEC-A23FCFD31400}"/>
    <hyperlink ref="D714" r:id="rId206" xr:uid="{1D0B6552-DC8A-45FB-A125-252096D0A659}"/>
    <hyperlink ref="D730" r:id="rId207" xr:uid="{89512264-A376-41B4-87B0-7123DCF67615}"/>
    <hyperlink ref="D701" r:id="rId208" xr:uid="{F451FD00-2A45-4236-B0FA-642E75BC57EE}"/>
    <hyperlink ref="D698" r:id="rId209" xr:uid="{7D046F58-9CB8-4BFF-9881-560816ECF920}"/>
    <hyperlink ref="D728" r:id="rId210" xr:uid="{52D729FD-02BA-4462-BC93-AFCD0C177D5D}"/>
    <hyperlink ref="D688" r:id="rId211" xr:uid="{612C9390-6255-4876-BDA9-2E158F915067}"/>
    <hyperlink ref="D720" r:id="rId212" xr:uid="{DD258C97-DB37-45FD-918B-7603954D6CFA}"/>
    <hyperlink ref="D689" r:id="rId213" xr:uid="{040EBDDE-5655-466E-8A61-3E5CE895D816}"/>
    <hyperlink ref="D729" r:id="rId214" xr:uid="{FDB78A1A-A40B-4634-BC1C-BB423D7889CC}"/>
    <hyperlink ref="D341" r:id="rId215" xr:uid="{9006AEB1-9E1F-4AC4-BB84-AF785E4428DD}"/>
    <hyperlink ref="D340" r:id="rId216" xr:uid="{35F9F20D-E1BD-4B37-A2BA-0894D71C0C76}"/>
    <hyperlink ref="D398" r:id="rId217" xr:uid="{9F664BDB-3165-4CB0-9F9C-14F1E1DA41E4}"/>
    <hyperlink ref="D336" r:id="rId218" xr:uid="{E87B24E6-AE36-46B3-98A8-D3DC6CC260DD}"/>
    <hyperlink ref="D335" r:id="rId219" xr:uid="{6938A013-FFA1-4407-9D3C-CAD4ADE4CB08}"/>
    <hyperlink ref="D327" r:id="rId220" xr:uid="{62879A26-5D05-4CC8-B971-8510B1C23C5F}"/>
    <hyperlink ref="D397" r:id="rId221" xr:uid="{5C34D790-E74E-4CA2-B93E-1B5289929C2F}"/>
    <hyperlink ref="D380" r:id="rId222" xr:uid="{BD54C243-D19B-4684-A1B5-2389B1CE8502}"/>
    <hyperlink ref="D333" r:id="rId223" xr:uid="{3ADF19D9-399F-4012-99AA-72A90424BFAF}"/>
    <hyperlink ref="D413" r:id="rId224" xr:uid="{16BE9664-B0CE-49E5-A5B5-EF0EAC02DA79}"/>
    <hyperlink ref="D344" r:id="rId225" xr:uid="{9CDFE7DF-D8FA-4095-ACDF-AA452D2E8AFA}"/>
    <hyperlink ref="D399" r:id="rId226" xr:uid="{D37D6E75-9B22-4D22-8001-8CE04F4D54F2}"/>
    <hyperlink ref="D354" r:id="rId227" xr:uid="{60481741-AAE7-497E-81C1-132817A5A10E}"/>
    <hyperlink ref="D356" r:id="rId228" xr:uid="{44486B10-360F-4A84-AB87-44BD54BAE6B4}"/>
    <hyperlink ref="D383" r:id="rId229" xr:uid="{8DA66CB5-0EF9-476B-8411-4272A35C5F8C}"/>
    <hyperlink ref="D374" r:id="rId230" xr:uid="{165DBD02-847C-4582-97EC-897C0C352F89}"/>
    <hyperlink ref="D338" r:id="rId231" xr:uid="{2976DEA1-BD72-4EE1-A0AF-F1DB755A3FFA}"/>
    <hyperlink ref="D379" r:id="rId232" xr:uid="{5902A498-679A-4B8B-AE01-09022E34588F}"/>
    <hyperlink ref="D400" r:id="rId233" xr:uid="{4A1BBB8A-2543-448B-BAB0-6E2535A05286}"/>
    <hyperlink ref="D357" r:id="rId234" xr:uid="{7D914EED-C61E-4F29-88B0-84D3EA5589AE}"/>
    <hyperlink ref="D343" r:id="rId235" xr:uid="{F3C6FEEE-AACA-431F-841A-96F28603DE98}"/>
    <hyperlink ref="D353" r:id="rId236" xr:uid="{858FC684-239E-495F-B715-0DF8BC8607D9}"/>
    <hyperlink ref="D378" r:id="rId237" xr:uid="{3AD13126-BCED-4DDB-A969-3C5DBBAD6505}"/>
    <hyperlink ref="D408" r:id="rId238" xr:uid="{C94A385A-2071-428C-ACD1-34EDFD1B9891}"/>
    <hyperlink ref="D361" r:id="rId239" xr:uid="{FABD7365-67C2-4676-A3BE-99F2D421DDB7}"/>
    <hyperlink ref="D371" r:id="rId240" xr:uid="{26E96A57-EB60-4DE6-BE9A-FA69477CB1E5}"/>
    <hyperlink ref="D365" r:id="rId241" xr:uid="{6FE35B5A-3B02-44C1-AB47-F0D1C23B4E52}"/>
    <hyperlink ref="D363" r:id="rId242" xr:uid="{D9798BFD-74F5-42FD-AAAE-FFDBAB3D47E9}"/>
    <hyperlink ref="D373" r:id="rId243" xr:uid="{919785ED-B6E3-4747-816D-71FBF9DFCFB3}"/>
    <hyperlink ref="D382" r:id="rId244" xr:uid="{327077A6-2F01-494A-BA00-D452FB97100F}"/>
    <hyperlink ref="D359" r:id="rId245" xr:uid="{4D60CF36-3E10-44E2-9782-C9AC8C95645D}"/>
    <hyperlink ref="D345" r:id="rId246" xr:uid="{787E38C7-86CC-4761-A916-FFE9039E0F0A}"/>
    <hyperlink ref="D329" r:id="rId247" xr:uid="{1C8498E3-6B88-4E17-A189-AED4BE193005}"/>
    <hyperlink ref="D376" r:id="rId248" xr:uid="{63BF2DBE-39C7-49E0-9D42-23F307CB98B6}"/>
    <hyperlink ref="D351" r:id="rId249" xr:uid="{CCFCA0FC-B6E6-4832-B2AA-1666F3F33374}"/>
    <hyperlink ref="D406" r:id="rId250" xr:uid="{CA83B227-8DC4-413A-8288-ED1E483D229A}"/>
    <hyperlink ref="D390" r:id="rId251" xr:uid="{B3A40221-77B9-40FC-B082-0190B5232DBF}"/>
    <hyperlink ref="D392" r:id="rId252" xr:uid="{8D736E1F-5BF6-4564-9209-7FF8A04E4640}"/>
    <hyperlink ref="D369" r:id="rId253" xr:uid="{45365C59-D310-41CB-8CE0-DF0117207005}"/>
    <hyperlink ref="D328" r:id="rId254" xr:uid="{6BE500FA-82A3-4A5E-B3E0-3E22C24A38B2}"/>
    <hyperlink ref="D349" r:id="rId255" xr:uid="{FA3A142A-6913-483B-A74E-36BE6531EB79}"/>
    <hyperlink ref="D402" r:id="rId256" xr:uid="{274C423C-0BCE-45CF-9D69-3DA44F7469FD}"/>
    <hyperlink ref="D355" r:id="rId257" xr:uid="{B8E18B41-1120-4364-BC4D-CF8037665EAD}"/>
    <hyperlink ref="D30" r:id="rId258" xr:uid="{45CB3855-6607-4EA1-9F5A-113847284FFA}"/>
    <hyperlink ref="D738" r:id="rId259" xr:uid="{92CA992F-B7AC-472A-82D7-90EB3951652E}"/>
    <hyperlink ref="D737" r:id="rId260" xr:uid="{2C1BD36C-374D-4AF7-BF44-E61489FF3B70}"/>
    <hyperlink ref="D733" r:id="rId261" xr:uid="{EF0C6AE1-978D-4A0E-9797-19030B9AA708}"/>
    <hyperlink ref="D734" r:id="rId262" xr:uid="{03EED59C-BB68-4046-AE01-071D90E7FE22}"/>
    <hyperlink ref="D735" r:id="rId263" xr:uid="{F7377608-7B30-4154-A24C-136980575BC8}"/>
    <hyperlink ref="D736" r:id="rId264" xr:uid="{795142E8-2EF7-402E-9460-61440A511E70}"/>
    <hyperlink ref="D739" r:id="rId265" xr:uid="{0965EF44-EDFC-4C12-BE09-55CC451530D1}"/>
    <hyperlink ref="D744" r:id="rId266" xr:uid="{91EF27EB-EC65-47B7-8D3B-F98FDEE433BB}"/>
    <hyperlink ref="D745" r:id="rId267" xr:uid="{FFBC107C-3EE0-4FD7-8F28-2D5A7D0772D3}"/>
    <hyperlink ref="D746" r:id="rId268" xr:uid="{570FD826-CB5B-4E0F-83E7-0613EF67D05C}"/>
    <hyperlink ref="D751" r:id="rId269" xr:uid="{2396353D-929E-4F41-AD59-12734FAAC471}"/>
    <hyperlink ref="D754" r:id="rId270" xr:uid="{2A0053C4-B31F-4C63-B897-7E71955A3A8D}"/>
    <hyperlink ref="D755" r:id="rId271" xr:uid="{17DB004F-3397-415A-B072-3A6284D7FE4A}"/>
    <hyperlink ref="D756" r:id="rId272" xr:uid="{5BE139BF-7261-495C-92FB-4DE68A9D15CC}"/>
    <hyperlink ref="D757" r:id="rId273" xr:uid="{7E112F2E-AECC-4A69-901E-A911732D330B}"/>
    <hyperlink ref="D784" r:id="rId274" xr:uid="{E0276F8F-4CA6-478D-B700-A454D6AA61CA}"/>
    <hyperlink ref="D761" r:id="rId275" xr:uid="{C43945C3-5858-4405-9291-3FA2B092F26F}"/>
    <hyperlink ref="D785" r:id="rId276" xr:uid="{DC157DC0-CE4B-4EA4-9C17-DD3D82FEED50}"/>
    <hyperlink ref="D758" r:id="rId277" xr:uid="{BD1475C3-A22A-43F4-A478-AE3EECBF5F91}"/>
    <hyperlink ref="D763" r:id="rId278" xr:uid="{07F4C49A-A11E-4A45-A630-96DD92D2FBC0}"/>
    <hyperlink ref="D764" r:id="rId279" xr:uid="{4EEBBF64-5ED3-4D84-B65D-23F31C38A4F1}"/>
    <hyperlink ref="D765" r:id="rId280" xr:uid="{25C6A5AF-B30D-4A10-8FF5-7D3E0713D470}"/>
    <hyperlink ref="D766" r:id="rId281" xr:uid="{758BD772-F69F-49DA-9BB8-6EB4B6BCEE70}"/>
    <hyperlink ref="D768" r:id="rId282" xr:uid="{B70B79FA-7A31-4413-A29D-43B5AEF97E92}"/>
    <hyperlink ref="D767" r:id="rId283" xr:uid="{0E39B41F-4358-440E-B524-EBF2D5FFA858}"/>
    <hyperlink ref="D769" r:id="rId284" xr:uid="{D4819AB5-78B7-4B35-A08B-2F8F2AA77F42}"/>
    <hyperlink ref="D770" r:id="rId285" xr:uid="{8829C628-01C4-445A-BBC3-C548D2EB0524}"/>
    <hyperlink ref="D771" r:id="rId286" xr:uid="{62496AE6-6A41-4C6F-AE44-815E2725C07B}"/>
    <hyperlink ref="D777" r:id="rId287" xr:uid="{50622890-51C8-4F5E-8985-B6784DDA88C0}"/>
    <hyperlink ref="D783" r:id="rId288" xr:uid="{CD193D24-5CE3-4F14-B061-8694160728C3}"/>
    <hyperlink ref="D740" r:id="rId289" xr:uid="{F2701E83-453C-4209-90CD-C1F612F3FE8A}"/>
    <hyperlink ref="D760" r:id="rId290" xr:uid="{DFC3E62C-4745-4405-9CDC-FA28B1F42110}"/>
    <hyperlink ref="D762" r:id="rId291" xr:uid="{BDF5EBC6-946F-40DB-87E9-82F124AE1062}"/>
    <hyperlink ref="D774" r:id="rId292" xr:uid="{3D4D62A8-E312-42FE-A1B5-2AF94A743C89}"/>
    <hyperlink ref="D772" r:id="rId293" xr:uid="{9CEE9246-FE75-424C-9E23-0DFFC4BE1EB6}"/>
    <hyperlink ref="D773" r:id="rId294" xr:uid="{C2329976-2061-4F7B-8F31-8803290B0F50}"/>
    <hyperlink ref="D775" r:id="rId295" xr:uid="{0D0CFFDD-8314-4FCB-8698-D5CAF06D50FF}"/>
    <hyperlink ref="D776" r:id="rId296" xr:uid="{DA98932B-A0F0-4152-B3AD-0DBE069994AA}"/>
    <hyperlink ref="D759" r:id="rId297" xr:uid="{96CA8B8B-99FD-43F4-B09D-D0FFDCA91BE7}"/>
    <hyperlink ref="D748" r:id="rId298" xr:uid="{52B84EF7-8377-4FC8-AEC0-A601EFEF74F4}"/>
    <hyperlink ref="D747" r:id="rId299" xr:uid="{83ED1067-E401-4517-AB2A-45262A768338}"/>
    <hyperlink ref="D782" r:id="rId300" xr:uid="{37FF1163-9A33-4DF0-85F8-DA5967616EB2}"/>
    <hyperlink ref="D780" r:id="rId301" xr:uid="{478F289C-2FA6-46AF-9E5D-08D519BB3577}"/>
    <hyperlink ref="D781" r:id="rId302" xr:uid="{03BB6722-8E4B-4255-AC00-2DD1AA4C5B0A}"/>
    <hyperlink ref="D779" r:id="rId303" xr:uid="{C5606E3E-7A09-4A64-89C7-E9B467A7D50E}"/>
    <hyperlink ref="D778" r:id="rId304" xr:uid="{01934CC0-BBCE-466C-BDC7-DEEF38A88DAF}"/>
    <hyperlink ref="D741" r:id="rId305" xr:uid="{61F7E460-C113-43B5-85AF-3F8F5E0B137D}"/>
    <hyperlink ref="D743" r:id="rId306" xr:uid="{79772725-3564-47C5-B977-41DBAEFAA10F}"/>
    <hyperlink ref="D742" r:id="rId307" xr:uid="{6DDF8776-3C21-42A0-97FB-FF5597C28E39}"/>
    <hyperlink ref="D752" r:id="rId308" xr:uid="{C028D272-F820-4364-A261-D6ACB6CEE255}"/>
    <hyperlink ref="D749" r:id="rId309" xr:uid="{B28BA5AB-6B84-4190-B06E-CBFFB99C9ED8}"/>
    <hyperlink ref="D753" r:id="rId310" xr:uid="{05BFD30F-1BAC-46A9-B2AB-6138286348DA}"/>
    <hyperlink ref="D750" r:id="rId311" xr:uid="{180F1994-EE88-4725-A9DE-69787495C884}"/>
    <hyperlink ref="D1020" r:id="rId312" xr:uid="{AB7F04D4-FCAC-7142-866C-0682B7C88459}"/>
    <hyperlink ref="D834" r:id="rId313" xr:uid="{87C1E497-F2EF-4142-AF81-8016D39DFACB}"/>
    <hyperlink ref="D838" r:id="rId314" xr:uid="{BCA44C1E-A55C-4A2E-B011-1956355C26D4}"/>
    <hyperlink ref="D840" r:id="rId315" xr:uid="{174F27E2-5DEE-4285-B5B3-B98A3067955B}"/>
    <hyperlink ref="D832" r:id="rId316" xr:uid="{09FD6F79-98DC-4444-A438-DAB4DB815B9B}"/>
    <hyperlink ref="D835" r:id="rId317" xr:uid="{21F45C03-CE3F-4274-9CBC-B0494CE25151}"/>
    <hyperlink ref="D841" r:id="rId318" xr:uid="{94001928-2C39-4108-B184-7ECFE1775E9F}"/>
    <hyperlink ref="D839" r:id="rId319" xr:uid="{0416210D-6033-453D-BEC6-33BE443C0470}"/>
    <hyperlink ref="D836" r:id="rId320" xr:uid="{706ADB42-125C-4A8F-BE83-6C3A39B6A2FA}"/>
    <hyperlink ref="D837" r:id="rId321" xr:uid="{430E9BEB-958D-487E-8D11-7BCA22CE9433}"/>
    <hyperlink ref="D833" r:id="rId322" xr:uid="{567C9660-D602-441F-AB9D-5F1197B0BA1B}"/>
    <hyperlink ref="D844" r:id="rId323" xr:uid="{2BBFEB64-632D-416F-8073-4ECB5B8465CA}"/>
    <hyperlink ref="D847" r:id="rId324" xr:uid="{3E8F7875-436F-47D5-9EDD-26658AE80D06}"/>
    <hyperlink ref="D849" r:id="rId325" xr:uid="{60B5902B-C328-470A-93F7-A7B46B8F9F9F}"/>
    <hyperlink ref="D850" r:id="rId326" xr:uid="{68AE92F7-6DEC-4D4E-81CB-0EDC7EAEAA1F}"/>
    <hyperlink ref="D851" r:id="rId327" xr:uid="{D5874B80-4109-4B32-9A11-6011AD2210C0}"/>
    <hyperlink ref="D852" r:id="rId328" xr:uid="{AD82393E-3DAC-43F8-BFCF-E596AE6C275B}"/>
    <hyperlink ref="D853" r:id="rId329" xr:uid="{295CC89E-09A5-44BC-9B8A-34402C4277E7}"/>
    <hyperlink ref="D856" r:id="rId330" xr:uid="{C6611742-E39B-4A14-A7B0-3F29329BFABD}"/>
    <hyperlink ref="D857" r:id="rId331" xr:uid="{2DF5BCBF-9FC6-48B1-A901-6BAD205D077D}"/>
    <hyperlink ref="D858" r:id="rId332" xr:uid="{AC8A61F1-B68A-4175-BEC3-1269E5823879}"/>
    <hyperlink ref="D811" r:id="rId333" xr:uid="{D438417C-07C5-4919-A46C-0004F7902B2F}"/>
    <hyperlink ref="D812" r:id="rId334" xr:uid="{EF52531D-E1BB-4596-8F0B-5D4C358A7831}"/>
    <hyperlink ref="D439" r:id="rId335" xr:uid="{5C69B7A0-9C7C-4288-BDE9-B79F211D3BA8}"/>
    <hyperlink ref="D438" r:id="rId336" xr:uid="{FCDAF5AB-57DF-42DD-929C-F34838FE8F78}"/>
    <hyperlink ref="D437" r:id="rId337" xr:uid="{7643EDD0-E710-4743-B33B-686025782FE1}"/>
    <hyperlink ref="D422" r:id="rId338" xr:uid="{0E5AF9B6-DC62-42E1-9DDC-F53B920F280E}"/>
    <hyperlink ref="D423" r:id="rId339" xr:uid="{9680238C-7C1D-4886-A495-6E8C7CA0FB23}"/>
    <hyperlink ref="D424" r:id="rId340" xr:uid="{B0AFFF9E-C46C-431E-AA6D-040D818010EE}"/>
    <hyperlink ref="D425" r:id="rId341" xr:uid="{2F617597-2505-468D-88D5-FB1DAB7A86E1}"/>
    <hyperlink ref="D427" r:id="rId342" xr:uid="{B9946CF3-224D-42AE-A35A-A4CC01D314F1}"/>
    <hyperlink ref="D426" r:id="rId343" xr:uid="{A9E8222A-6F26-4C69-8534-AADCDBBA74AF}"/>
    <hyperlink ref="D428" r:id="rId344" xr:uid="{FBD4C0B2-C4BF-4EE8-905B-C9D0B000C12C}"/>
    <hyperlink ref="D429" r:id="rId345" xr:uid="{79B78915-19FB-4B4C-B67B-7B0876D44103}"/>
    <hyperlink ref="D430" r:id="rId346" xr:uid="{34804A05-6144-4D68-86BB-B3B1796BA6E0}"/>
    <hyperlink ref="D441" r:id="rId347" xr:uid="{5D80BAF3-6E89-4136-8309-E14B957C66B0}"/>
    <hyperlink ref="D435" r:id="rId348" xr:uid="{8404BD21-80E2-473D-AF5C-28CA852AAE12}"/>
    <hyperlink ref="D436" r:id="rId349" xr:uid="{89ABAB45-9F4E-4BA6-A3B1-34F97A844093}"/>
    <hyperlink ref="D440" r:id="rId350" xr:uid="{2D20858E-C53C-4F6A-84B0-69555392B6B2}"/>
    <hyperlink ref="D432" r:id="rId351" xr:uid="{D797A118-C219-4419-987D-257E0D108890}"/>
    <hyperlink ref="D431" r:id="rId352" xr:uid="{ACD75578-2F16-4B92-AB43-BF18B6DA359C}"/>
    <hyperlink ref="D433" r:id="rId353" xr:uid="{8C558578-D85F-4996-8D0E-FA33D8A4DDD0}"/>
    <hyperlink ref="D434" r:id="rId354" xr:uid="{304A3261-D2A7-49CE-8E30-25F09476B497}"/>
    <hyperlink ref="D24" r:id="rId355" xr:uid="{A1979843-053C-47D1-90E0-7E43857D8C7C}"/>
    <hyperlink ref="D27" r:id="rId356" xr:uid="{9D3AE4FE-15DF-41CC-8C40-AC2C04F5F331}"/>
    <hyperlink ref="D23" r:id="rId357" xr:uid="{7805AB91-AF76-4813-B166-FD887D08C08A}"/>
    <hyperlink ref="D20" r:id="rId358" xr:uid="{5C4B9F10-D7F6-4AF5-8E2E-689D831B36AC}"/>
    <hyperlink ref="D22" r:id="rId359" xr:uid="{2F5FC905-FEB8-4639-9F3D-837536B4ECB7}"/>
    <hyperlink ref="D26" r:id="rId360" xr:uid="{5EF767B2-857C-4047-B5A9-FC15497F86E0}"/>
    <hyperlink ref="D25" r:id="rId361" xr:uid="{A5C92FE6-E330-49A6-B393-F8A4D7862EC2}"/>
    <hyperlink ref="D19" r:id="rId362" xr:uid="{59D10F3F-FBC1-4200-B18E-BDBE3125F747}"/>
    <hyperlink ref="D21" r:id="rId363" xr:uid="{5CF2F0F1-485F-40D5-AE70-BEAD1D7F51C7}"/>
    <hyperlink ref="D28" r:id="rId364" xr:uid="{7A0B1A09-F2AA-4F6C-B980-945BDBAB3EF9}"/>
    <hyperlink ref="D29" r:id="rId365" xr:uid="{8F137502-D916-49C5-8946-189DBC4A768E}"/>
    <hyperlink ref="D600" r:id="rId366" xr:uid="{1DBE4358-B422-402D-9E7C-BE636E96ADE5}"/>
    <hyperlink ref="D599" r:id="rId367" xr:uid="{AC850916-2C01-4409-8E54-B84F49FC21ED}"/>
    <hyperlink ref="D605" r:id="rId368" xr:uid="{552097B1-3CB3-49F3-BACB-64B8B5D23DD1}"/>
    <hyperlink ref="D604" r:id="rId369" xr:uid="{647B8582-D04F-47BE-9350-E15E443494B0}"/>
    <hyperlink ref="D601" r:id="rId370" xr:uid="{A3725245-8D38-42D9-A6F5-870478D4FAC8}"/>
    <hyperlink ref="D603" r:id="rId371" xr:uid="{4E5CFA0D-D55A-444A-B703-0D28FE8D20B4}"/>
    <hyperlink ref="D602" r:id="rId372" xr:uid="{96DDE3D8-8BEE-46BF-A057-CF7BD5CAAB89}"/>
    <hyperlink ref="D606" r:id="rId373" xr:uid="{8CF130DF-4C17-417B-9F7A-8E528948232B}"/>
    <hyperlink ref="D607" r:id="rId374" xr:uid="{093DD7D0-E398-4794-9B5C-86EA42187BDB}"/>
    <hyperlink ref="D609" r:id="rId375" xr:uid="{86D456ED-9C89-4FC7-AFE2-533A601ADE2E}"/>
    <hyperlink ref="D608" r:id="rId376" xr:uid="{68142CF3-74AD-4FDB-9985-4A5C78045C9A}"/>
    <hyperlink ref="D449" r:id="rId377" xr:uid="{3590226F-C9E3-47FC-BEAA-02F3809A151A}"/>
    <hyperlink ref="D450" r:id="rId378" xr:uid="{1F5A97FA-404E-4380-A5C4-15C7087DBAC0}"/>
    <hyperlink ref="D442" r:id="rId379" xr:uid="{F9DC6311-A6AD-4C98-9B6D-4A9ABF3EAD33}"/>
    <hyperlink ref="D443" r:id="rId380" xr:uid="{0AF56A98-A480-4EDC-83CA-1C3A5459364E}"/>
    <hyperlink ref="D444" r:id="rId381" xr:uid="{EE5232F9-7824-41F8-8A20-046E1ED91FDD}"/>
    <hyperlink ref="D446" r:id="rId382" xr:uid="{3C963E73-5BFD-4D1F-ACA3-C659A3DDB0AC}"/>
    <hyperlink ref="D447" r:id="rId383" xr:uid="{D357E0FC-07BF-4689-B2CE-ABB924A6C070}"/>
    <hyperlink ref="D448" r:id="rId384" xr:uid="{6AB59F95-DC75-476B-BDBE-B46DB392F391}"/>
    <hyperlink ref="D860" r:id="rId385" xr:uid="{3AA64DF1-FC99-465D-ABA6-1627EDD6DC1D}"/>
    <hyperlink ref="D859" r:id="rId386" xr:uid="{3A53F537-8909-4064-9777-D633459CBF5C}"/>
    <hyperlink ref="D863" r:id="rId387" xr:uid="{626E616B-FD39-4F25-B12F-E1FB22835C80}"/>
    <hyperlink ref="D864" r:id="rId388" xr:uid="{070122BF-B30B-4FEA-90C9-581E282FCCFE}"/>
    <hyperlink ref="D865" r:id="rId389" xr:uid="{F57D368A-09DA-4385-B9C8-0C5FA183939A}"/>
    <hyperlink ref="D866" r:id="rId390" xr:uid="{2D3B57B1-E83F-4373-8046-C40713D3499D}"/>
    <hyperlink ref="D868" r:id="rId391" xr:uid="{72011BE1-AB5E-4AB0-A0B6-BF21361366C4}"/>
    <hyperlink ref="D869" r:id="rId392" xr:uid="{82901F96-BD62-4EF0-A69B-939329CF0FFF}"/>
    <hyperlink ref="D870" r:id="rId393" xr:uid="{793992A7-7364-4A6B-BED3-7D8D0E94216F}"/>
    <hyperlink ref="D871" r:id="rId394" xr:uid="{FBD18035-A0FA-4AA8-AD27-B1AC74034D19}"/>
    <hyperlink ref="D872" r:id="rId395" xr:uid="{49652378-AC20-4DD4-859A-18F4A4CD68B0}"/>
    <hyperlink ref="D874" r:id="rId396" xr:uid="{F106119E-16A2-4165-AB59-91F025F2A34A}"/>
    <hyperlink ref="D873" r:id="rId397" xr:uid="{9F130FC4-0437-4F05-B442-64AA46F40D4B}"/>
    <hyperlink ref="D875" r:id="rId398" xr:uid="{CC9B6EC2-5901-4063-AF17-87BFD840F634}"/>
    <hyperlink ref="D878" r:id="rId399" xr:uid="{F4E3259C-7E08-47FC-9055-48BF1DE0BA2B}"/>
    <hyperlink ref="D879" r:id="rId400" xr:uid="{1DFF5B78-75E7-4F68-9820-9CDD98CE8EC7}"/>
    <hyperlink ref="D880" r:id="rId401" xr:uid="{A0225BB0-5345-40EA-B794-102EBF9750F4}"/>
    <hyperlink ref="D883" r:id="rId402" xr:uid="{5B6B6739-4C33-4483-A00C-3C10F45F8E59}"/>
    <hyperlink ref="D884" r:id="rId403" xr:uid="{6DC3B416-FCBE-4333-825E-E152CE99B948}"/>
    <hyperlink ref="D885" r:id="rId404" xr:uid="{CF650F43-CAFB-40AE-8D82-0D51D32BF92A}"/>
    <hyperlink ref="D886" r:id="rId405" xr:uid="{195F29B1-8C07-4725-AF60-A05C3229EFA7}"/>
    <hyperlink ref="D881" r:id="rId406" xr:uid="{183C8DB5-84CD-45FD-8FE5-92A84F0FC662}"/>
    <hyperlink ref="D882" r:id="rId407" xr:uid="{1E467787-C426-435B-8DFD-F57CDA8A193A}"/>
    <hyperlink ref="D887" r:id="rId408" xr:uid="{F5FF344F-CBD8-4246-9DDA-65C25A8B0961}"/>
    <hyperlink ref="D888" r:id="rId409" xr:uid="{635B110C-9395-4C01-81CB-1A07EBD1C788}"/>
    <hyperlink ref="D889" r:id="rId410" xr:uid="{8BA437AF-63DC-4E50-9543-DD7DA718A780}"/>
    <hyperlink ref="D890" r:id="rId411" xr:uid="{836AC5B4-A8A8-4C01-B950-136FA9BC82AB}"/>
    <hyperlink ref="D891" r:id="rId412" xr:uid="{B98ED58B-7A96-46BC-B6AE-C08BB098D869}"/>
    <hyperlink ref="D892" r:id="rId413" xr:uid="{4E1A3EB7-C239-468B-95DA-C32E55F3A5AC}"/>
    <hyperlink ref="D893" r:id="rId414" xr:uid="{A5DAC6E6-2225-4553-93C4-ECABEC36566C}"/>
    <hyperlink ref="D894" r:id="rId415" xr:uid="{455B2CEA-62A5-4487-B547-50E181B7D8D5}"/>
    <hyperlink ref="D897" r:id="rId416" xr:uid="{6892331E-2553-4E61-92D8-9891073925DF}"/>
    <hyperlink ref="D898" r:id="rId417" xr:uid="{EE647C09-DEE6-4A5E-B2D5-F86EED7FEEAB}"/>
    <hyperlink ref="D895" r:id="rId418" xr:uid="{76D37C2A-A5DF-457B-B53A-547D742451D1}"/>
    <hyperlink ref="D896" r:id="rId419" xr:uid="{A644C6CD-7244-40F0-B193-2DF293ED1084}"/>
    <hyperlink ref="D899" r:id="rId420" xr:uid="{AEBF2660-CCBF-4F15-BF25-7301BAA44FF2}"/>
    <hyperlink ref="D900" r:id="rId421" xr:uid="{ECC52F55-C5F8-4E7D-AF98-5817E6B51935}"/>
    <hyperlink ref="D901" r:id="rId422" xr:uid="{1A795231-8905-4431-B7A0-85E7315FAB4A}"/>
    <hyperlink ref="D902" r:id="rId423" xr:uid="{5EBF41F5-B993-4B8D-B75E-D203DD737237}"/>
    <hyperlink ref="D903" r:id="rId424" xr:uid="{10E6B70D-B411-4A51-8904-4D47379FF96F}"/>
    <hyperlink ref="D904" r:id="rId425" xr:uid="{53FB7F77-70A8-4060-BEDA-D871E3B98445}"/>
    <hyperlink ref="D905" r:id="rId426" xr:uid="{0C929912-FE8D-4008-BCF7-CA6F8B5C24F6}"/>
    <hyperlink ref="D906" r:id="rId427" xr:uid="{752D0B72-944A-414B-8017-2BA150F0711E}"/>
    <hyperlink ref="D907" r:id="rId428" xr:uid="{8B8363FC-4D8F-4CD1-9064-3811773ABF55}"/>
    <hyperlink ref="D908" r:id="rId429" xr:uid="{942DA5EE-CCE8-49E0-80EA-C8418F73149C}"/>
    <hyperlink ref="D909" r:id="rId430" xr:uid="{F5EEC5E5-08FF-4DEC-8866-338ABE5D5B45}"/>
    <hyperlink ref="D910" r:id="rId431" xr:uid="{95D18CA7-72E7-4538-9FC3-60D07A40DCCD}"/>
    <hyperlink ref="D911" r:id="rId432" xr:uid="{DDB63F53-6AEF-436E-8FB7-E37632622464}"/>
    <hyperlink ref="D912" r:id="rId433" xr:uid="{DA3454EC-5EBF-44A8-820D-651DD1331B86}"/>
    <hyperlink ref="D913" r:id="rId434" xr:uid="{2196E046-2CCD-481C-8450-6E86A879A7F0}"/>
    <hyperlink ref="D914" r:id="rId435" xr:uid="{A6623134-DE24-4E23-B96E-257AE9B8E49C}"/>
    <hyperlink ref="D915" r:id="rId436" xr:uid="{3B4EDB5A-3D49-4584-91E0-8F4794AF31A4}"/>
    <hyperlink ref="D916" r:id="rId437" xr:uid="{170FD0F6-A386-4674-AFED-73294BCE3712}"/>
    <hyperlink ref="D919" r:id="rId438" xr:uid="{EC169E82-B23F-424F-A5FF-7A2D7D4AFDC0}"/>
    <hyperlink ref="D920" r:id="rId439" xr:uid="{3FCDF90E-703C-40AA-A6CA-DDA5FDC208D3}"/>
    <hyperlink ref="D921" r:id="rId440" xr:uid="{C0CE8FCE-BAAB-4210-BF27-D25B1DA45AD5}"/>
    <hyperlink ref="D922" r:id="rId441" xr:uid="{3B60CDEE-28D9-4C3E-B427-F0A780FD7D58}"/>
    <hyperlink ref="D923" r:id="rId442" xr:uid="{950EA2CA-703B-46D7-8DB8-CA7DEE29CFFF}"/>
    <hyperlink ref="D924" r:id="rId443" xr:uid="{4C7B80AB-A532-4B47-A6EC-C5911F397CEE}"/>
    <hyperlink ref="D925" r:id="rId444" xr:uid="{BB243E30-EF2E-4101-A319-04E66E331C41}"/>
    <hyperlink ref="D926" r:id="rId445" xr:uid="{95956868-029E-4023-BFBA-2DB21A1E03E0}"/>
    <hyperlink ref="D927" r:id="rId446" xr:uid="{007E7275-87B5-4630-AFBF-E2E44AEF3130}"/>
    <hyperlink ref="D928" r:id="rId447" xr:uid="{2859B13A-B71D-41EA-B190-1E4E5EB4E4A7}"/>
    <hyperlink ref="D861" r:id="rId448" xr:uid="{6FF3C430-9006-4025-955A-1FF8F3D85AAA}"/>
    <hyperlink ref="D862" r:id="rId449" xr:uid="{E6B7A5C3-CFE8-44D1-B396-13027BF8F8F2}"/>
    <hyperlink ref="D876" r:id="rId450" xr:uid="{655BA8FF-A3AC-48A1-A8E9-DA350A7AF97E}"/>
    <hyperlink ref="D877" r:id="rId451" xr:uid="{2A07F200-57A7-45BB-8DDC-F108B9F30B6D}"/>
    <hyperlink ref="D917" r:id="rId452" xr:uid="{0314DBE4-EC3C-4681-B172-B242BE35D286}"/>
    <hyperlink ref="D918" r:id="rId453" xr:uid="{AB17A881-358B-41E4-92CF-57BCA71DEAD0}"/>
    <hyperlink ref="D929" r:id="rId454" xr:uid="{AE3A83F9-B30E-4B99-AF58-FC05B0C4C3D7}"/>
    <hyperlink ref="D930" r:id="rId455" xr:uid="{2CD9582D-FEA4-4F85-A6F1-7FC6776943AF}"/>
    <hyperlink ref="D931" r:id="rId456" xr:uid="{2F995395-B095-4ED3-B02D-E1CF2E0D497A}"/>
    <hyperlink ref="D679" r:id="rId457" xr:uid="{A9FF0DC9-65D4-4F14-90CE-16BB8252EFAA}"/>
    <hyperlink ref="D672" r:id="rId458" xr:uid="{317505DF-A1B0-4A4F-BD53-6E0629102420}"/>
    <hyperlink ref="D674" r:id="rId459" xr:uid="{C88DB734-FB5F-498D-AB03-D760E37C1FB9}"/>
    <hyperlink ref="D682" r:id="rId460" xr:uid="{5FE67E54-60DA-429A-8324-DC3A77651A7D}"/>
    <hyperlink ref="D673" r:id="rId461" xr:uid="{62E9DCFA-DB08-4E80-B233-EBEBF0302CBD}"/>
    <hyperlink ref="D678" r:id="rId462" xr:uid="{C1C669D7-8A14-4A00-95A6-42F8A8E2CA38}"/>
    <hyperlink ref="D675" r:id="rId463" xr:uid="{8AB5AE1E-4B3E-4651-A4F0-2876939A712C}"/>
    <hyperlink ref="D671" r:id="rId464" xr:uid="{B97178CC-C7D8-4F03-89C8-67C704C9F9F8}"/>
    <hyperlink ref="D680" r:id="rId465" xr:uid="{C69879EC-FB84-40DD-8B5D-E31D2053CFB4}"/>
    <hyperlink ref="D676" r:id="rId466" xr:uid="{BBE2ED0A-5229-43F2-9DCD-CD7196EFE718}"/>
    <hyperlink ref="D677" r:id="rId467" xr:uid="{C4A89754-9DC7-4F87-A259-899502308412}"/>
    <hyperlink ref="D681" r:id="rId468" xr:uid="{AAF5930F-5013-487C-BEBD-6C42022F0D8D}"/>
    <hyperlink ref="D416" r:id="rId469" xr:uid="{8DB4A176-4771-4AF1-A97B-42462B7D0AFC}"/>
    <hyperlink ref="D417" r:id="rId470" xr:uid="{6527BCAD-A794-4556-AEA5-A6EB1F329573}"/>
    <hyperlink ref="D420" r:id="rId471" xr:uid="{35BD3B74-A37B-41A4-815B-AD0EA72D93DD}"/>
    <hyperlink ref="D418" r:id="rId472" xr:uid="{0826F97F-8449-40E4-BF16-0C6B000F747F}"/>
    <hyperlink ref="D419" r:id="rId473" xr:uid="{44582A98-2710-440A-AC0F-030C9957F740}"/>
    <hyperlink ref="D421" r:id="rId474" xr:uid="{5FAACED7-9743-4E55-97AA-37065F859B77}"/>
    <hyperlink ref="D11" r:id="rId475" xr:uid="{707566BD-E6C5-4840-A834-CDCA23BDFBF6}"/>
    <hyperlink ref="D2" r:id="rId476" xr:uid="{814665CB-578B-4755-8366-401270A58869}"/>
    <hyperlink ref="D3" r:id="rId477" xr:uid="{969B21CF-DB55-4D65-BA0F-9588F9759DA3}"/>
    <hyperlink ref="D4" r:id="rId478" xr:uid="{1EBA355F-960F-4EAB-AEF4-4AC8E7B74C4D}"/>
    <hyperlink ref="D5" r:id="rId479" xr:uid="{7B3E673D-CE26-4EB6-9FC4-AC265F6499C4}"/>
    <hyperlink ref="D6" r:id="rId480" xr:uid="{74485CC9-C65A-4A2A-914D-B4E89E5245DF}"/>
    <hyperlink ref="D8" r:id="rId481" xr:uid="{1FD1C4B8-9CDD-4B47-BB80-645076DDA0FA}"/>
    <hyperlink ref="D9" r:id="rId482" xr:uid="{54038745-8EC9-4498-9712-3E595C3A669D}"/>
    <hyperlink ref="D7" r:id="rId483" xr:uid="{34E2421C-AE1D-49FA-8D1A-21E37AA48F3A}"/>
    <hyperlink ref="D10" r:id="rId484" xr:uid="{FEEA34F0-B4CB-471B-ADA6-841B7444AC6B}"/>
    <hyperlink ref="D13" r:id="rId485" xr:uid="{F7BBFBBD-BC0A-45DF-964F-9ACE33834AF4}"/>
    <hyperlink ref="D14" r:id="rId486" xr:uid="{64756E50-1658-41D1-BA2F-E69FC129B159}"/>
    <hyperlink ref="D15" r:id="rId487" xr:uid="{94243A05-07CA-415D-A29E-5DA20E792CA5}"/>
    <hyperlink ref="D12" r:id="rId488" xr:uid="{0E4C4788-C418-4A1D-A51A-D23935A36EC6}"/>
    <hyperlink ref="D16" r:id="rId489" xr:uid="{2620591E-E34E-42EC-B6F7-D817C551D363}"/>
    <hyperlink ref="D17" r:id="rId490" xr:uid="{6A6A79F8-7CD1-4F38-AD7E-DED95836E9ED}"/>
    <hyperlink ref="D18" r:id="rId491" xr:uid="{D5FABE51-9F3D-4BDB-A5BB-0A758C77B2AA}"/>
    <hyperlink ref="D618" r:id="rId492" xr:uid="{B99EE9CF-8CD0-4497-AC1B-DFF878443D5B}"/>
    <hyperlink ref="D619" r:id="rId493" xr:uid="{A6C16A0E-6EC8-4780-8AE9-54D9DA15F41F}"/>
    <hyperlink ref="D620" r:id="rId494" xr:uid="{3A0F8AF9-D5B5-4D81-A01F-4FDDB0B4F7C0}"/>
    <hyperlink ref="D621" r:id="rId495" xr:uid="{779A30FC-B66B-49D8-B78B-314D8E4BB17F}"/>
    <hyperlink ref="D622" r:id="rId496" xr:uid="{663CB6F8-A750-448E-8D2A-165FC3D6D729}"/>
    <hyperlink ref="D624" r:id="rId497" xr:uid="{F31F178D-F1FA-4570-B37E-D0A74F3696B0}"/>
    <hyperlink ref="D623" r:id="rId498" xr:uid="{DA13819F-A66F-4E35-9216-617AB31BCD49}"/>
    <hyperlink ref="D625" r:id="rId499" xr:uid="{59C9B3AB-85D2-4561-9E27-FE574812943F}"/>
    <hyperlink ref="D626" r:id="rId500" xr:uid="{B4E1D615-6034-427B-9A62-8263D09EDF70}"/>
    <hyperlink ref="D628" r:id="rId501" xr:uid="{6625F915-0BC7-4E3A-A26D-BC9CFF92827E}"/>
    <hyperlink ref="D627" r:id="rId502" xr:uid="{84B7BCC7-B3D1-4175-AEF3-190F9558EB48}"/>
    <hyperlink ref="D629" r:id="rId503" xr:uid="{04537D01-8C09-4A82-9421-A63A8EC3AF65}"/>
    <hyperlink ref="D630" r:id="rId504" xr:uid="{D0D5EBC4-042A-400B-84BC-43DBEBE52648}"/>
    <hyperlink ref="D867" r:id="rId505" xr:uid="{6F108834-16B2-4B53-AE56-FBEBA84A1F4F}"/>
    <hyperlink ref="D543" r:id="rId506" xr:uid="{001883C0-9D31-42F3-80F3-A9F7A3F3BC40}"/>
    <hyperlink ref="D544" r:id="rId507" xr:uid="{4A906CA1-2279-4D7A-882C-778C1A2C3E10}"/>
    <hyperlink ref="D554" r:id="rId508" xr:uid="{3475AC3D-99F7-46C6-A176-171A5C271071}"/>
    <hyperlink ref="D555" r:id="rId509" xr:uid="{EF1E9B5C-39E2-4CC4-8DC8-4614500741F6}"/>
    <hyperlink ref="D585" r:id="rId510" xr:uid="{104DB914-843A-44DA-9F6A-F1018A0D3966}"/>
    <hyperlink ref="D586" r:id="rId511" xr:uid="{136B8DE5-4DFA-4BB5-A3A9-B704B3551C1A}"/>
    <hyperlink ref="D566" r:id="rId512" xr:uid="{4A667704-CA80-4F3B-9FF3-D106A1631806}"/>
    <hyperlink ref="D577" r:id="rId513" xr:uid="{CD57CF40-121D-4555-9D86-91270FAABA9F}"/>
    <hyperlink ref="D578" r:id="rId514" xr:uid="{92FCCD47-4E91-4CC3-8F62-E539A8D00775}"/>
    <hyperlink ref="D584" r:id="rId515" xr:uid="{637CF749-6CD3-4299-9C9C-953B1482A525}"/>
    <hyperlink ref="D537" r:id="rId516" xr:uid="{06FA6030-F2B4-4A0D-861A-730F99E0472A}"/>
    <hyperlink ref="D536" r:id="rId517" xr:uid="{48DF2E93-650E-42BC-8CF6-7426D2927D21}"/>
    <hyperlink ref="D534" r:id="rId518" xr:uid="{7D4DB370-0C37-48EE-9962-042A467B9BD1}"/>
    <hyperlink ref="D535" r:id="rId519" xr:uid="{38DCF8E2-2AF0-40CD-976B-19EEBAEF09DA}"/>
    <hyperlink ref="D539" r:id="rId520" xr:uid="{CA14C196-36F4-4AAA-A851-0641BEB70465}"/>
    <hyperlink ref="D540" r:id="rId521" xr:uid="{8846502F-DBC3-4E37-B160-3D2714794BF8}"/>
    <hyperlink ref="D541" r:id="rId522" xr:uid="{49C5A8B1-DF1E-4AE1-9844-F1659EA459CD}"/>
    <hyperlink ref="D542" r:id="rId523" xr:uid="{0C448C58-9ED5-4F48-AB79-F5636EEF0610}"/>
    <hyperlink ref="D545" r:id="rId524" xr:uid="{354F0A60-0BE3-4B5E-B1B3-34CBF2251106}"/>
    <hyperlink ref="D546" r:id="rId525" xr:uid="{1EEE0A35-7F04-46E8-9ECF-E260CDAB7925}"/>
    <hyperlink ref="D547" r:id="rId526" xr:uid="{C8A12B15-7954-4B7C-B5AF-BDAD699FCFE7}"/>
    <hyperlink ref="D548" r:id="rId527" xr:uid="{459A0D43-C1FB-4482-99D9-71D7FBCD7C79}"/>
    <hyperlink ref="D549" r:id="rId528" xr:uid="{28FDDECF-44A1-47B9-878C-3A3F466F6243}"/>
    <hyperlink ref="D550" r:id="rId529" xr:uid="{6EFC8B75-B8F4-4FFC-836A-8AD2B3E1B1C5}"/>
    <hyperlink ref="D551" r:id="rId530" xr:uid="{CA2D3981-FD15-4B91-BE10-156A4C775479}"/>
    <hyperlink ref="D552" r:id="rId531" xr:uid="{5F97C04F-6171-4F97-91E0-890BFBF5F028}"/>
    <hyperlink ref="D553" r:id="rId532" xr:uid="{5B82BC68-882A-4BC5-8089-7B5BC2AFDF2A}"/>
    <hyperlink ref="D556" r:id="rId533" xr:uid="{34F5A77E-188E-4897-98DD-C5B4429F6C03}"/>
    <hyperlink ref="D587" r:id="rId534" xr:uid="{5C92191E-FF16-4DAF-8612-0A79A8806105}"/>
    <hyperlink ref="D588" r:id="rId535" xr:uid="{07144B1F-C752-490F-AED9-0C631303B976}"/>
    <hyperlink ref="D559" r:id="rId536" xr:uid="{4C54C479-E961-4E23-8297-3DB9F2A154E2}"/>
    <hyperlink ref="D560" r:id="rId537" xr:uid="{C1823608-DFFD-4C3C-9123-66418F50D942}"/>
    <hyperlink ref="D561" r:id="rId538" xr:uid="{D15AD1B0-1951-4523-BA00-28FAC70C3A98}"/>
    <hyperlink ref="D562" r:id="rId539" xr:uid="{8ED44536-8931-4180-ADF7-6A108AFDFE3F}"/>
    <hyperlink ref="D567" r:id="rId540" xr:uid="{34410F5C-CA31-4508-A7D2-998FC726A47E}"/>
    <hyperlink ref="D568" r:id="rId541" xr:uid="{EDD2EC66-BC05-47E9-851A-7D00ADE58930}"/>
    <hyperlink ref="D569" r:id="rId542" xr:uid="{8CC9A4BE-248E-4EC9-BA5F-E289974526E5}"/>
    <hyperlink ref="D570" r:id="rId543" xr:uid="{4F4115E0-1FFC-4E5F-8EE9-8FB55DAD5922}"/>
    <hyperlink ref="D571" r:id="rId544" xr:uid="{288AFE78-4551-4F33-8170-6443685752C0}"/>
    <hyperlink ref="D572" r:id="rId545" xr:uid="{C216927E-424F-4FF0-B198-5C11A9CF123B}"/>
    <hyperlink ref="D573" r:id="rId546" xr:uid="{D3A693F2-E071-4D15-B4C3-131811324BBD}"/>
    <hyperlink ref="D574" r:id="rId547" xr:uid="{7BFA5A1A-F3B5-4D07-ACBD-A61011625AC9}"/>
    <hyperlink ref="D575" r:id="rId548" xr:uid="{B6F5DB83-6656-4FEB-B5F0-E6B0401D3072}"/>
    <hyperlink ref="D576" r:id="rId549" xr:uid="{004C5BE3-49E8-40C5-91F2-F220F5EA8C16}"/>
    <hyperlink ref="D579" r:id="rId550" xr:uid="{F28F06AE-2339-4F36-BC03-210A7AE451ED}"/>
    <hyperlink ref="D580" r:id="rId551" xr:uid="{225EABC9-FABE-4EA2-AC43-1D4AF5C37977}"/>
    <hyperlink ref="D583" r:id="rId552" xr:uid="{A36E9C8B-20CC-4D7E-AE2B-4E9B6CBEEA01}"/>
    <hyperlink ref="D589" r:id="rId553" xr:uid="{1A1089B3-12EB-428C-9D0D-54C4B648431D}"/>
    <hyperlink ref="D538" r:id="rId554" xr:uid="{4C51175C-6949-4E31-BE28-45C001C72C3F}"/>
    <hyperlink ref="D557" r:id="rId555" xr:uid="{6FB43988-A1A9-408D-B113-F137D2B76B9A}"/>
    <hyperlink ref="D558" r:id="rId556" xr:uid="{0BBD7BEA-4833-4FCF-BFBC-CD5AF8265146}"/>
    <hyperlink ref="D563" r:id="rId557" xr:uid="{631246EC-5324-4FE2-9B9E-E616611258F4}"/>
    <hyperlink ref="D564" r:id="rId558" xr:uid="{82B5AC56-4D0A-496F-A389-A339C1BEAB4F}"/>
    <hyperlink ref="D565" r:id="rId559" xr:uid="{7A9B2251-9100-4DB4-8B26-817F52EB37F4}"/>
    <hyperlink ref="D581" r:id="rId560" xr:uid="{C669B36E-AB83-42BC-B430-92F46CA0595D}"/>
    <hyperlink ref="D582" r:id="rId561" xr:uid="{F329B2F2-AFD2-4D01-8147-2466A93B1B37}"/>
    <hyperlink ref="D982" r:id="rId562" xr:uid="{BF001D89-38E0-4DDC-A0DB-8E99EC425E6F}"/>
    <hyperlink ref="D978" r:id="rId563" xr:uid="{8A4C8133-4E5A-4310-AD86-11E074CB80E2}"/>
    <hyperlink ref="D979" r:id="rId564" xr:uid="{C231EABF-BF77-49DB-A3C9-E4EB884EF32B}"/>
    <hyperlink ref="D980" r:id="rId565" xr:uid="{3F5F31A5-21CD-4BEF-B107-2D3242622797}"/>
    <hyperlink ref="D981" r:id="rId566" xr:uid="{36023153-2649-4CAE-96FD-4D16EADE8200}"/>
    <hyperlink ref="D983" r:id="rId567" xr:uid="{56B3C979-BEDF-4332-B7B7-9E5376BDFFC5}"/>
    <hyperlink ref="D984" r:id="rId568" xr:uid="{972161F4-8A55-45B7-AEE6-5E04B15FAE81}"/>
    <hyperlink ref="D985" r:id="rId569" xr:uid="{ED1FD53E-2955-4EAF-A03E-8168150F37D2}"/>
    <hyperlink ref="D986" r:id="rId570" xr:uid="{3863B08A-CCA0-43DC-A7AF-ECB8FE982DD9}"/>
    <hyperlink ref="D988" r:id="rId571" xr:uid="{E33E4D63-7351-45C2-B949-7A2E2783D58D}"/>
    <hyperlink ref="D987" r:id="rId572" xr:uid="{57479D2C-5596-4AE0-A5E4-7C07BE458BFB}"/>
    <hyperlink ref="D989" r:id="rId573" xr:uid="{D4FE2A9D-FB0E-4000-9CDD-E5F7B63AD45A}"/>
    <hyperlink ref="D990" r:id="rId574" xr:uid="{EDEEC6C6-6203-4E12-92C9-BCF65225836A}"/>
    <hyperlink ref="D991" r:id="rId575" xr:uid="{02D65BA9-0E54-47B1-9A53-01FD842781A8}"/>
    <hyperlink ref="D993" r:id="rId576" xr:uid="{D628D5FD-B225-4C63-BECB-C54C62B14084}"/>
    <hyperlink ref="D992" r:id="rId577" xr:uid="{41361EBB-EDAC-480D-B237-70B87C2DF18B}"/>
    <hyperlink ref="D994" r:id="rId578" xr:uid="{53987B68-E3DE-4BF8-87F8-E733CF98EBB3}"/>
    <hyperlink ref="D995" r:id="rId579" xr:uid="{9AD87EE9-ADB5-4021-B9C0-CD40AD3DC492}"/>
    <hyperlink ref="D996" r:id="rId580" xr:uid="{541EFD1A-3005-4827-B0C3-73A8D2A91B43}"/>
    <hyperlink ref="D1001" r:id="rId581" xr:uid="{B656F792-2B52-4D80-AAD0-9975947BAC5C}"/>
    <hyperlink ref="D999" r:id="rId582" xr:uid="{B11D28CA-8057-41FA-87A9-DEA8E7E1D6DA}"/>
    <hyperlink ref="D1002" r:id="rId583" xr:uid="{81E7FBB4-E339-466F-A016-DF6A6E0A3304}"/>
    <hyperlink ref="D1005" r:id="rId584" xr:uid="{B12C249B-60CB-41C6-AB7D-8DA6F943C7BD}"/>
    <hyperlink ref="D1007" r:id="rId585" xr:uid="{3EF96F83-E07E-4728-A2BE-8392A977A818}"/>
    <hyperlink ref="D1000" r:id="rId586" xr:uid="{A3DF00A0-CA43-4E9D-B056-4634A5527A05}"/>
    <hyperlink ref="D1003" r:id="rId587" xr:uid="{4E03C8FC-A62B-4088-9C10-4F8C22B198A4}"/>
    <hyperlink ref="D1006" r:id="rId588" xr:uid="{0524870F-5EDC-49DF-8884-4765BC8C82E5}"/>
    <hyperlink ref="D1008" r:id="rId589" xr:uid="{E2D8C24E-7D98-4291-A630-E4690D74B5B4}"/>
    <hyperlink ref="D1004" r:id="rId590" xr:uid="{EBCDF8A4-22DB-499E-BA09-CA4AD5AC37AD}"/>
    <hyperlink ref="D997" r:id="rId591" xr:uid="{CA635B5A-6435-4B8D-AD94-8F58B22752E0}"/>
    <hyperlink ref="D998" r:id="rId592" xr:uid="{21C7A70D-1561-4AB3-A8B5-383669AB13CC}"/>
    <hyperlink ref="D1009" r:id="rId593" xr:uid="{E4463D01-5842-49F8-A222-ACCB5E5D1551}"/>
    <hyperlink ref="D1010" r:id="rId594" xr:uid="{E6C238A0-2C9C-4712-A047-6C45C622B96A}"/>
    <hyperlink ref="D1011" r:id="rId595" xr:uid="{32B362B7-C5D1-4EC4-BC05-BBFBBA2EE105}"/>
    <hyperlink ref="D1012" r:id="rId596" xr:uid="{CC0FFBEA-A258-4FBF-947D-20A2C79D2B29}"/>
    <hyperlink ref="D1013" r:id="rId597" xr:uid="{6A7BDBFE-96ED-4AB1-94FB-5B1E30F2DF50}"/>
    <hyperlink ref="D1014" r:id="rId598" xr:uid="{96B5FC75-019E-4925-BEAB-FC05558B9C6D}"/>
    <hyperlink ref="D1015" r:id="rId599" xr:uid="{935444F5-4046-4703-8F86-B2EC574CECC9}"/>
    <hyperlink ref="D1016" r:id="rId600" xr:uid="{8DAB8B4A-33F2-4AC1-9C86-9BD4A4E47A11}"/>
    <hyperlink ref="D1017" r:id="rId601" xr:uid="{30A4BEB6-7670-480D-B0D4-D776B2A4134A}"/>
    <hyperlink ref="D1019" r:id="rId602" xr:uid="{9634DC9D-2825-4D98-AA86-6BC36F5A4BD8}"/>
    <hyperlink ref="D1018" r:id="rId603" xr:uid="{21A5EA09-8973-4077-875A-C6CC880DBC83}"/>
    <hyperlink ref="D451" r:id="rId604" xr:uid="{3C800BC6-635F-41D8-8607-FA7A230E22E3}"/>
    <hyperlink ref="D452" r:id="rId605" xr:uid="{AF12BBDB-4437-41D8-B012-13337832BEFB}"/>
    <hyperlink ref="D453" r:id="rId606" xr:uid="{79537541-0A05-4C36-B6C0-4D2A67B4633F}"/>
    <hyperlink ref="D454" r:id="rId607" xr:uid="{458C018C-52A6-48C3-BDA3-986C6134B515}"/>
    <hyperlink ref="D455" r:id="rId608" xr:uid="{AD167656-7E1E-485E-B8CC-6241BAC184DD}"/>
    <hyperlink ref="D456" r:id="rId609" xr:uid="{90524B44-E6E6-4889-8A7D-4CF0E28227BE}"/>
    <hyperlink ref="D457" r:id="rId610" xr:uid="{BFF50E5E-54D4-4123-AC0A-2AE66ADCAD4C}"/>
    <hyperlink ref="D458" r:id="rId611" xr:uid="{4F028748-CFEC-4303-814A-050528CB1161}"/>
    <hyperlink ref="D460" r:id="rId612" xr:uid="{97DF7609-01F3-4797-8CC1-52B9DCDC0EBA}"/>
    <hyperlink ref="D459" r:id="rId613" xr:uid="{AA24CF24-2397-49DB-BFBB-F4696CC69EF9}"/>
    <hyperlink ref="D479" r:id="rId614" xr:uid="{3A684883-065E-4379-9B2E-829EEDA7B094}"/>
    <hyperlink ref="D480" r:id="rId615" xr:uid="{D9081290-795F-4BC3-8E2D-BA561AD7A7C5}"/>
    <hyperlink ref="D467" r:id="rId616" xr:uid="{84D87456-1D37-4880-8701-A6FDB889A597}"/>
    <hyperlink ref="D468" r:id="rId617" xr:uid="{3782A361-5FC4-4119-9400-11DB946CA759}"/>
    <hyperlink ref="D481" r:id="rId618" xr:uid="{EE16FC6F-F7D1-49FD-B703-236D7D013502}"/>
    <hyperlink ref="D482" r:id="rId619" xr:uid="{61CD7777-04B6-4C69-8627-06E19C7B1189}"/>
    <hyperlink ref="D464" r:id="rId620" xr:uid="{40CB5E87-3F38-4BA1-9E15-12F8943DB9C4}"/>
    <hyperlink ref="D461" r:id="rId621" xr:uid="{32ADC568-2513-498B-98D8-794E6EE4CD45}"/>
    <hyperlink ref="D462" r:id="rId622" xr:uid="{D08E740F-9149-4242-B2B1-5D5C25B5AC98}"/>
    <hyperlink ref="D471" r:id="rId623" xr:uid="{2835AFA5-C9BD-4D38-AE5A-4832F2E73BD1}"/>
    <hyperlink ref="D469" r:id="rId624" xr:uid="{C7C0DAFA-DCEE-47EC-BC73-ED4D72134646}"/>
    <hyperlink ref="D472" r:id="rId625" xr:uid="{FF7CFF1B-E4D0-406C-9103-D346AA153CE1}"/>
    <hyperlink ref="D475" r:id="rId626" xr:uid="{0E1AA924-676C-453A-AD8C-478D7960B0DD}"/>
    <hyperlink ref="D477" r:id="rId627" xr:uid="{AD227CE1-A8A8-4126-BFAE-12135B19C15B}"/>
    <hyperlink ref="D470" r:id="rId628" xr:uid="{EE9BC227-7D9B-48CF-A7E9-A2729F4CEC90}"/>
    <hyperlink ref="D473" r:id="rId629" xr:uid="{A987DB00-A00B-4ED0-B4A6-89D86F6D60F2}"/>
    <hyperlink ref="D478" r:id="rId630" xr:uid="{E11B997B-9C62-44AC-87C0-FCD92053E2F0}"/>
    <hyperlink ref="D476" r:id="rId631" xr:uid="{4257B26E-646C-43D7-8282-981AF9D4CAB1}"/>
    <hyperlink ref="D474" r:id="rId632" xr:uid="{0B1434B2-75AC-41BD-9695-5908DA2B629B}"/>
    <hyperlink ref="D463" r:id="rId633" xr:uid="{8F147124-8876-4BC2-B70E-CE3B4E5E52AF}"/>
    <hyperlink ref="D465" r:id="rId634" xr:uid="{0AB3DF85-B3B8-4CD2-B139-098096702CA5}"/>
    <hyperlink ref="D466" r:id="rId635" xr:uid="{460C69BF-DEDC-442A-9067-AF4CC3FF2919}"/>
    <hyperlink ref="D612" r:id="rId636" xr:uid="{23F600CB-66DC-4584-A956-D76492E36240}"/>
    <hyperlink ref="D610" r:id="rId637" xr:uid="{2DCBDD2B-6299-41D2-BD33-F18BCC5DE644}"/>
    <hyperlink ref="D611" r:id="rId638" xr:uid="{6D0ABF51-1412-4529-B614-8978389DA48D}"/>
    <hyperlink ref="D613" r:id="rId639" xr:uid="{D18456DE-5342-4C1F-A7D7-9F3062CF90CB}"/>
    <hyperlink ref="D614" r:id="rId640" xr:uid="{0D072750-56B0-4F3C-872B-F1830DC5407C}"/>
    <hyperlink ref="D615" r:id="rId641" xr:uid="{4C2C5C96-CD54-4617-A2DA-7CA06D78ED90}"/>
    <hyperlink ref="D616" r:id="rId642" xr:uid="{E5666234-3BFD-4041-A6D1-F5EBAE366352}"/>
    <hyperlink ref="D617" r:id="rId643" xr:uid="{F5A50AF6-C7DB-456C-A379-66241EA44092}"/>
    <hyperlink ref="D653" r:id="rId644" xr:uid="{8A886047-ED1E-4A7E-AD0B-633AE940AA48}"/>
    <hyperlink ref="D656" r:id="rId645" xr:uid="{652B4810-832E-4D94-BBF9-0699E08737DD}"/>
    <hyperlink ref="D638" r:id="rId646" xr:uid="{42CEAD10-32BB-48C7-82D9-6F1C516F5571}"/>
    <hyperlink ref="D639" r:id="rId647" xr:uid="{8EDE0AF5-2052-473C-B5DF-46F68F521B57}"/>
    <hyperlink ref="D642" r:id="rId648" xr:uid="{9B92B4B9-B709-4218-90F4-D52BFF91DDA9}"/>
    <hyperlink ref="D645" r:id="rId649" xr:uid="{29D19084-786C-496D-80C9-109E1C09FAAE}"/>
    <hyperlink ref="D669" r:id="rId650" xr:uid="{15D60FAA-C7D6-4ECA-8E37-7C539945B450}"/>
    <hyperlink ref="D664" r:id="rId651" xr:uid="{0D12304F-79E2-45D3-B227-2964D5EFCE32}"/>
    <hyperlink ref="D665" r:id="rId652" xr:uid="{432501E1-0F25-4F22-BCA4-88410A702B02}"/>
    <hyperlink ref="D666" r:id="rId653" xr:uid="{A6BF7788-28EF-4815-958F-94C2E0CC1D51}"/>
    <hyperlink ref="D667" r:id="rId654" xr:uid="{B0ECC5E3-0335-4506-B5B2-6C234E1B9586}"/>
    <hyperlink ref="D640" r:id="rId655" xr:uid="{CFEDD31F-C3F9-4D56-AC0C-F4B74B65F787}"/>
    <hyperlink ref="D670" r:id="rId656" xr:uid="{C838D270-BCCB-4469-8862-7F73FA69D29C}"/>
    <hyperlink ref="D662" r:id="rId657" xr:uid="{FB795338-11C3-42F5-A2F2-9A8C0580F896}"/>
    <hyperlink ref="D663" r:id="rId658" xr:uid="{CD43CF95-BF57-4233-A279-09DF1FB20068}"/>
    <hyperlink ref="D651" r:id="rId659" xr:uid="{D8BCA336-FE34-4E01-9BE7-F8E385144BC5}"/>
    <hyperlink ref="D654" r:id="rId660" xr:uid="{2F1C6780-AC17-43FE-A62B-FC162D85CA14}"/>
    <hyperlink ref="D657" r:id="rId661" xr:uid="{33DB2F38-E74D-4C20-AC2A-5176EA6B5DC0}"/>
    <hyperlink ref="D659" r:id="rId662" xr:uid="{992D7992-B994-48EF-94F7-41E3F2F99024}"/>
    <hyperlink ref="D652" r:id="rId663" xr:uid="{E0552626-CAEA-4952-AB68-A02325118647}"/>
    <hyperlink ref="D655" r:id="rId664" xr:uid="{EB82DA6D-281F-4A88-8AA4-265EC3E8AD80}"/>
    <hyperlink ref="D658" r:id="rId665" xr:uid="{A82B1200-15C0-4C43-84DF-32D6F7C907F5}"/>
    <hyperlink ref="D660" r:id="rId666" xr:uid="{DBE04753-EA50-4A9B-A4F0-88013CFCD244}"/>
    <hyperlink ref="D661" r:id="rId667" xr:uid="{0AD5F78E-12CB-4BC3-B57B-66E2387D189E}"/>
    <hyperlink ref="D641" r:id="rId668" xr:uid="{6BCECAF5-DF75-497E-B00D-354225736E6F}"/>
    <hyperlink ref="D643" r:id="rId669" xr:uid="{DFC7A693-36A5-4C70-9BE4-EA57AF7A8D4F}"/>
    <hyperlink ref="D644" r:id="rId670" xr:uid="{6853F453-D55B-4733-B100-6F253E6F001A}"/>
    <hyperlink ref="D646" r:id="rId671" xr:uid="{03751E4F-E09F-4A8A-BD78-88A2F72F8457}"/>
    <hyperlink ref="D647" r:id="rId672" xr:uid="{0E1620B3-1EF7-42F8-BEFD-76FF9C209782}"/>
    <hyperlink ref="D648" r:id="rId673" xr:uid="{DFC5A89F-64A0-4CB3-840F-8082FC57D13E}"/>
    <hyperlink ref="D649" r:id="rId674" xr:uid="{2F5B3794-C643-4ED7-A174-0C9949EC0791}"/>
    <hyperlink ref="D650" r:id="rId675" xr:uid="{542CA72D-3BE6-4467-83E5-B1A248258794}"/>
    <hyperlink ref="D668" r:id="rId676" xr:uid="{ECEB9C52-C43E-42ED-8831-7996D85ACE06}"/>
    <hyperlink ref="D932" r:id="rId677" xr:uid="{97E727B9-5BD8-4F57-A717-C6316FB54872}"/>
    <hyperlink ref="D949" r:id="rId678" xr:uid="{A9E4FF14-ED16-4154-8BED-2FBB8253E7AE}"/>
    <hyperlink ref="D950" r:id="rId679" xr:uid="{E9387631-CB7D-4F17-8251-4D5CA4C3A40E}"/>
    <hyperlink ref="D959" r:id="rId680" xr:uid="{70D53779-7429-4624-96DB-284547482C1A}"/>
    <hyperlink ref="D960" r:id="rId681" xr:uid="{EA69F9D7-2B78-4557-83A2-624023A133E6}"/>
    <hyperlink ref="D963" r:id="rId682" xr:uid="{75257544-6096-4718-950A-1649E3E76BAA}"/>
    <hyperlink ref="D968" r:id="rId683" xr:uid="{FF125397-A6B4-4BCB-9A4A-E9541FEC121B}"/>
    <hyperlink ref="D974" r:id="rId684" xr:uid="{740EC899-B93A-4774-ABC3-9B7A22C7D02D}"/>
    <hyperlink ref="D946" r:id="rId685" xr:uid="{DB846A17-50AB-468B-82BD-D0F5B3E47D26}"/>
    <hyperlink ref="D975" r:id="rId686" xr:uid="{08EF4392-D70F-453B-9DBC-D106EE0789EE}"/>
    <hyperlink ref="D976" r:id="rId687" xr:uid="{D8BA407E-C4D4-42AB-9781-39C710429549}"/>
    <hyperlink ref="D962" r:id="rId688" xr:uid="{67820268-9A39-4CAE-8D7B-42667AF310F9}"/>
    <hyperlink ref="D933" r:id="rId689" xr:uid="{EE7AC635-5E21-4175-AEE1-D86D860E5753}"/>
    <hyperlink ref="D934" r:id="rId690" xr:uid="{F0EDBB21-8F9C-463C-B79F-F9D0E46A8A3E}"/>
    <hyperlink ref="D935" r:id="rId691" xr:uid="{27D5F478-240D-4502-81C6-5DAA4A52E58C}"/>
    <hyperlink ref="D936" r:id="rId692" xr:uid="{BB8E39BB-C9B1-423B-A46C-40DFDF86A5A7}"/>
    <hyperlink ref="D937" r:id="rId693" xr:uid="{0D233C31-B5E9-458D-8C75-6AB3D8EBC9A6}"/>
    <hyperlink ref="D938" r:id="rId694" xr:uid="{66533724-63E8-4171-B156-875C86B91C31}"/>
    <hyperlink ref="D939" r:id="rId695" xr:uid="{D474280E-81ED-4ED1-9F74-CCD4AB137E73}"/>
    <hyperlink ref="D940" r:id="rId696" xr:uid="{96AB67EE-C6FA-4BD7-B763-B5589996CD79}"/>
    <hyperlink ref="D941" r:id="rId697" xr:uid="{FC3DA356-EB21-4147-B94C-6C21C6098243}"/>
    <hyperlink ref="D942" r:id="rId698" xr:uid="{48192F20-B5B6-41D6-9A77-FFBD10BDE9F1}"/>
    <hyperlink ref="D943" r:id="rId699" xr:uid="{AA5A2EE4-13C4-45E2-AB76-225973BA76C0}"/>
    <hyperlink ref="D944" r:id="rId700" xr:uid="{CF0152F1-FFB1-402A-9D5E-549DFD4CAB58}"/>
    <hyperlink ref="D945" r:id="rId701" xr:uid="{0B9110D1-8481-408F-835E-BC28AE94AD84}"/>
    <hyperlink ref="D948" r:id="rId702" xr:uid="{E74AE40A-F698-414D-B216-503553660F81}"/>
    <hyperlink ref="D947" r:id="rId703" xr:uid="{29E44E72-8768-4152-A318-1A3F581DAB5F}"/>
    <hyperlink ref="D951" r:id="rId704" xr:uid="{96147B65-9C78-4C0E-9632-FB356FBDF763}"/>
    <hyperlink ref="D952" r:id="rId705" xr:uid="{CD3FD690-57FF-488B-9B68-46730302D7AD}"/>
    <hyperlink ref="D953" r:id="rId706" xr:uid="{D70E8BC9-EF2C-4883-B23E-8FB6765844B1}"/>
    <hyperlink ref="D954" r:id="rId707" xr:uid="{6069DD0C-6F25-41E1-9CE1-401E2A96FD8E}"/>
    <hyperlink ref="D955" r:id="rId708" xr:uid="{1229D82B-AD33-4FEE-8CDA-0C85243E9034}"/>
    <hyperlink ref="D956" r:id="rId709" xr:uid="{03398917-47F3-4D65-9836-D244A3B00B29}"/>
    <hyperlink ref="D957" r:id="rId710" xr:uid="{E90D3C4C-88A5-4807-9CA3-3BBEB1BBCBEB}"/>
    <hyperlink ref="D958" r:id="rId711" xr:uid="{BCD694D4-59C0-45FD-B4F2-E1E14B982008}"/>
    <hyperlink ref="D961" r:id="rId712" xr:uid="{5BA5DD52-6668-4799-BDAE-9E64B3B64DF7}"/>
    <hyperlink ref="D964" r:id="rId713" xr:uid="{7C76E1FF-8A8D-4FBA-A745-FFD0A83F9F8F}"/>
    <hyperlink ref="D965" r:id="rId714" xr:uid="{C3879630-EEED-43C9-A280-87B801D3EADD}"/>
    <hyperlink ref="D966" r:id="rId715" xr:uid="{277728AB-80BE-4992-9EEB-278BDEEEA7FE}"/>
    <hyperlink ref="D967" r:id="rId716" xr:uid="{CBD31F59-8ED9-49C3-B24D-9F87829CCEF6}"/>
    <hyperlink ref="D971" r:id="rId717" xr:uid="{D1A2B372-7E66-41D9-B206-0B8E836B7CE6}"/>
    <hyperlink ref="D972" r:id="rId718" xr:uid="{1CDAB875-E154-422A-835C-5EFFAFC08571}"/>
    <hyperlink ref="D977" r:id="rId719" xr:uid="{3152DC92-BA47-46B8-BCDA-CB379DC64B42}"/>
    <hyperlink ref="D969" r:id="rId720" xr:uid="{8747C5BF-44B8-4899-A1B2-B9642C45D4E7}"/>
    <hyperlink ref="D970" r:id="rId721" xr:uid="{656C6D22-7E5E-48CA-BC60-D9D045D4FD5C}"/>
    <hyperlink ref="D973" r:id="rId722" xr:uid="{F5A4E0E7-60C2-4D09-9385-08036222B55E}"/>
    <hyperlink ref="D445" r:id="rId723" xr:uid="{5BE2F824-0838-4AD9-88C3-67D5879A6AB4}"/>
    <hyperlink ref="D410" r:id="rId724" xr:uid="{5B2FB0F1-A8B6-417D-A65E-7ED0273E1FD1}"/>
    <hyperlink ref="D332" r:id="rId725" xr:uid="{4AEE2306-E761-4CEE-9A43-561629415A55}"/>
    <hyperlink ref="D337" r:id="rId726" xr:uid="{AD48EE37-E492-4E20-AD95-92F8F23D57D7}"/>
    <hyperlink ref="D342" r:id="rId727" xr:uid="{9900EDC7-196C-4C3A-8D44-F3B2A1B65985}"/>
    <hyperlink ref="D347" r:id="rId728" xr:uid="{A699C3BA-E5C7-46A5-9183-EA2A3B7580A2}"/>
    <hyperlink ref="D367" r:id="rId729" xr:uid="{AA44AC4A-341E-49F3-BD9F-95FB5EDA4FEE}"/>
    <hyperlink ref="D385" r:id="rId730" xr:uid="{063C3150-3FDE-4760-9BCB-CF2765B2691A}"/>
    <hyperlink ref="D386" r:id="rId731" xr:uid="{0BA42D20-7F61-4DC9-8D26-588B61C66D85}"/>
    <hyperlink ref="D394" r:id="rId732" xr:uid="{0CDA3DF0-2883-4914-B239-255121063D81}"/>
    <hyperlink ref="D388" r:id="rId733" xr:uid="{B7CCBD4A-7BA0-437D-A01A-7EB987490C95}"/>
    <hyperlink ref="D396" r:id="rId734" xr:uid="{FE6B053E-B699-457E-87FD-302350A6C0DF}"/>
    <hyperlink ref="D404" r:id="rId735" xr:uid="{5002DD17-B3F3-44C3-B9E0-F7DDB781ADDD}"/>
    <hyperlink ref="D412" r:id="rId736" xr:uid="{B7EAFA99-CB2A-4C35-9986-E062D4F530A5}"/>
    <hyperlink ref="D415" r:id="rId737" xr:uid="{29466291-E403-4BE0-ABFE-01EAE41E9013}"/>
  </hyperlinks>
  <pageMargins left="0.7" right="0.7" top="0.75" bottom="0.75" header="0.3" footer="0.3"/>
  <legacyDrawing r:id="rId738"/>
  <tableParts count="1">
    <tablePart r:id="rId739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CE36C-5AF6-44E9-AC6B-694D4710C85F}">
  <dimension ref="A1:M40"/>
  <sheetViews>
    <sheetView workbookViewId="0">
      <selection activeCell="J39" sqref="J39"/>
    </sheetView>
  </sheetViews>
  <sheetFormatPr defaultRowHeight="15"/>
  <cols>
    <col min="1" max="1" width="12.7109375" bestFit="1" customWidth="1"/>
    <col min="2" max="2" width="19.85546875" bestFit="1" customWidth="1"/>
    <col min="3" max="3" width="15.85546875" bestFit="1" customWidth="1"/>
    <col min="4" max="4" width="20.7109375" bestFit="1" customWidth="1"/>
    <col min="5" max="5" width="25.140625" bestFit="1" customWidth="1"/>
    <col min="6" max="6" width="36.5703125" bestFit="1" customWidth="1"/>
    <col min="7" max="7" width="30.7109375" bestFit="1" customWidth="1"/>
    <col min="8" max="8" width="10.28515625" bestFit="1" customWidth="1"/>
    <col min="9" max="9" width="10.28515625" customWidth="1"/>
    <col min="11" max="11" width="16" bestFit="1" customWidth="1"/>
    <col min="12" max="12" width="13.5703125" bestFit="1" customWidth="1"/>
    <col min="13" max="13" width="16.85546875" bestFit="1" customWidth="1"/>
  </cols>
  <sheetData>
    <row r="1" spans="1:13">
      <c r="A1" t="s">
        <v>2536</v>
      </c>
      <c r="B1" t="s">
        <v>1</v>
      </c>
      <c r="C1" t="s">
        <v>2537</v>
      </c>
      <c r="D1" t="s">
        <v>2538</v>
      </c>
      <c r="E1" t="s">
        <v>2539</v>
      </c>
      <c r="F1" t="s">
        <v>7</v>
      </c>
      <c r="G1" t="s">
        <v>2540</v>
      </c>
      <c r="H1" t="s">
        <v>2541</v>
      </c>
      <c r="I1" s="1" t="s">
        <v>2542</v>
      </c>
      <c r="J1" t="s">
        <v>1575</v>
      </c>
      <c r="K1" t="s">
        <v>2543</v>
      </c>
      <c r="L1" t="s">
        <v>2544</v>
      </c>
      <c r="M1" t="s">
        <v>2545</v>
      </c>
    </row>
    <row r="2" spans="1:13">
      <c r="A2">
        <v>29</v>
      </c>
      <c r="B2" t="s">
        <v>1616</v>
      </c>
      <c r="D2" t="s">
        <v>2546</v>
      </c>
      <c r="G2" s="8" t="s">
        <v>2547</v>
      </c>
      <c r="H2" t="b">
        <v>1</v>
      </c>
      <c r="I2" t="b">
        <v>1</v>
      </c>
      <c r="J2" t="b">
        <v>1</v>
      </c>
      <c r="K2" t="b">
        <v>0</v>
      </c>
      <c r="L2" t="b">
        <v>0</v>
      </c>
    </row>
    <row r="3" spans="1:13">
      <c r="A3">
        <v>5</v>
      </c>
      <c r="B3" t="s">
        <v>2548</v>
      </c>
      <c r="D3" t="s">
        <v>2546</v>
      </c>
      <c r="F3" t="s">
        <v>2549</v>
      </c>
      <c r="G3" s="8" t="s">
        <v>2550</v>
      </c>
      <c r="H3" t="b">
        <v>1</v>
      </c>
      <c r="I3" t="b">
        <v>0</v>
      </c>
      <c r="J3" t="b">
        <v>1</v>
      </c>
      <c r="K3" t="b">
        <v>0</v>
      </c>
      <c r="L3" t="b">
        <v>0</v>
      </c>
    </row>
    <row r="4" spans="1:13">
      <c r="A4">
        <v>19</v>
      </c>
      <c r="B4" t="s">
        <v>1634</v>
      </c>
      <c r="D4" t="s">
        <v>2546</v>
      </c>
      <c r="G4" s="8" t="s">
        <v>2551</v>
      </c>
      <c r="H4" t="b">
        <v>1</v>
      </c>
      <c r="I4" t="b">
        <v>1</v>
      </c>
      <c r="J4" t="b">
        <v>1</v>
      </c>
      <c r="K4" t="b">
        <v>0</v>
      </c>
      <c r="L4" t="b">
        <v>0</v>
      </c>
    </row>
    <row r="5" spans="1:13" ht="41.25">
      <c r="A5">
        <v>1</v>
      </c>
      <c r="B5" t="s">
        <v>2552</v>
      </c>
      <c r="D5" t="s">
        <v>2553</v>
      </c>
      <c r="F5" s="1" t="s">
        <v>2554</v>
      </c>
      <c r="G5" t="s">
        <v>2555</v>
      </c>
      <c r="H5" t="b">
        <v>1</v>
      </c>
      <c r="I5" t="b">
        <v>0</v>
      </c>
      <c r="J5" t="b">
        <v>1</v>
      </c>
      <c r="K5" t="b">
        <v>0</v>
      </c>
      <c r="L5" t="b">
        <v>0</v>
      </c>
    </row>
    <row r="6" spans="1:13">
      <c r="A6">
        <v>6</v>
      </c>
      <c r="B6" t="s">
        <v>2556</v>
      </c>
      <c r="D6" t="s">
        <v>2546</v>
      </c>
      <c r="F6" t="s">
        <v>2557</v>
      </c>
      <c r="H6" t="b">
        <v>1</v>
      </c>
      <c r="I6" t="b">
        <v>0</v>
      </c>
      <c r="J6" t="b">
        <v>1</v>
      </c>
      <c r="K6" t="b">
        <v>0</v>
      </c>
      <c r="L6" t="b">
        <v>0</v>
      </c>
    </row>
    <row r="7" spans="1:13">
      <c r="A7">
        <v>11</v>
      </c>
      <c r="B7" t="s">
        <v>1648</v>
      </c>
      <c r="D7" t="s">
        <v>2558</v>
      </c>
      <c r="H7" t="b">
        <v>1</v>
      </c>
      <c r="I7" t="b">
        <v>1</v>
      </c>
      <c r="J7" t="b">
        <v>1</v>
      </c>
      <c r="K7" t="b">
        <v>1</v>
      </c>
      <c r="L7" t="b">
        <v>1</v>
      </c>
    </row>
    <row r="8" spans="1:13">
      <c r="A8">
        <v>9</v>
      </c>
      <c r="B8" t="s">
        <v>1875</v>
      </c>
      <c r="D8" t="s">
        <v>2546</v>
      </c>
      <c r="H8" t="b">
        <v>1</v>
      </c>
      <c r="I8" t="b">
        <v>1</v>
      </c>
      <c r="J8" t="b">
        <v>1</v>
      </c>
      <c r="K8" t="b">
        <v>1</v>
      </c>
      <c r="L8" t="b">
        <v>1</v>
      </c>
    </row>
    <row r="9" spans="1:13">
      <c r="A9">
        <v>26</v>
      </c>
      <c r="B9" t="s">
        <v>1966</v>
      </c>
      <c r="D9" t="s">
        <v>2546</v>
      </c>
      <c r="G9" s="8" t="s">
        <v>2559</v>
      </c>
      <c r="H9" t="b">
        <v>1</v>
      </c>
      <c r="I9" t="b">
        <v>1</v>
      </c>
      <c r="J9" t="b">
        <v>1</v>
      </c>
      <c r="K9" t="b">
        <v>0</v>
      </c>
      <c r="L9" t="b">
        <v>0</v>
      </c>
    </row>
    <row r="10" spans="1:13">
      <c r="A10">
        <v>27</v>
      </c>
      <c r="B10" t="s">
        <v>1969</v>
      </c>
      <c r="D10" t="s">
        <v>2546</v>
      </c>
      <c r="G10" s="8" t="s">
        <v>2560</v>
      </c>
      <c r="H10" t="b">
        <v>1</v>
      </c>
      <c r="I10" t="b">
        <v>1</v>
      </c>
      <c r="J10" t="b">
        <v>1</v>
      </c>
      <c r="K10" t="b">
        <v>0</v>
      </c>
      <c r="L10" t="b">
        <v>0</v>
      </c>
    </row>
    <row r="11" spans="1:13">
      <c r="A11">
        <v>18</v>
      </c>
      <c r="B11" t="s">
        <v>1974</v>
      </c>
      <c r="D11" t="s">
        <v>2546</v>
      </c>
      <c r="G11" s="8" t="s">
        <v>2561</v>
      </c>
      <c r="H11" t="b">
        <v>1</v>
      </c>
      <c r="I11" t="b">
        <v>1</v>
      </c>
      <c r="J11" t="b">
        <v>1</v>
      </c>
      <c r="K11" t="b">
        <v>0</v>
      </c>
      <c r="L11" t="b">
        <v>0</v>
      </c>
    </row>
    <row r="12" spans="1:13">
      <c r="A12">
        <v>23</v>
      </c>
      <c r="B12" t="s">
        <v>1994</v>
      </c>
      <c r="D12" t="s">
        <v>2546</v>
      </c>
      <c r="G12" s="8" t="s">
        <v>2562</v>
      </c>
      <c r="H12" t="b">
        <v>1</v>
      </c>
      <c r="I12" t="b">
        <v>1</v>
      </c>
      <c r="J12" t="b">
        <v>1</v>
      </c>
      <c r="K12" t="b">
        <v>0</v>
      </c>
      <c r="L12" t="b">
        <v>0</v>
      </c>
    </row>
    <row r="13" spans="1:13">
      <c r="A13">
        <v>2</v>
      </c>
      <c r="B13" t="s">
        <v>2563</v>
      </c>
      <c r="G13" s="8" t="s">
        <v>2564</v>
      </c>
      <c r="H13" t="b">
        <v>1</v>
      </c>
      <c r="I13" t="b">
        <v>0</v>
      </c>
      <c r="J13" t="b">
        <v>1</v>
      </c>
      <c r="K13" t="b">
        <v>0</v>
      </c>
      <c r="L13" t="b">
        <v>0</v>
      </c>
    </row>
    <row r="14" spans="1:13">
      <c r="A14">
        <v>24</v>
      </c>
      <c r="B14" t="s">
        <v>2565</v>
      </c>
      <c r="D14" t="s">
        <v>2546</v>
      </c>
      <c r="G14" s="8" t="s">
        <v>2566</v>
      </c>
      <c r="H14" t="b">
        <v>1</v>
      </c>
      <c r="I14" t="b">
        <v>1</v>
      </c>
      <c r="J14" t="b">
        <v>1</v>
      </c>
      <c r="K14" t="b">
        <v>0</v>
      </c>
      <c r="L14" t="b">
        <v>0</v>
      </c>
    </row>
    <row r="15" spans="1:13">
      <c r="A15">
        <v>34</v>
      </c>
      <c r="B15" t="s">
        <v>2004</v>
      </c>
      <c r="D15" t="s">
        <v>2546</v>
      </c>
      <c r="G15" s="8" t="s">
        <v>2567</v>
      </c>
      <c r="H15" t="b">
        <v>1</v>
      </c>
      <c r="I15" t="b">
        <v>1</v>
      </c>
      <c r="J15" t="b">
        <v>1</v>
      </c>
      <c r="K15" t="b">
        <v>0</v>
      </c>
      <c r="L15" t="b">
        <v>0</v>
      </c>
    </row>
    <row r="16" spans="1:13">
      <c r="A16">
        <v>38</v>
      </c>
      <c r="B16" t="s">
        <v>2037</v>
      </c>
      <c r="D16" t="s">
        <v>2546</v>
      </c>
      <c r="G16" s="8" t="s">
        <v>2568</v>
      </c>
      <c r="H16" t="b">
        <v>1</v>
      </c>
      <c r="I16" t="b">
        <v>1</v>
      </c>
      <c r="J16" t="b">
        <v>1</v>
      </c>
      <c r="K16" t="b">
        <v>1</v>
      </c>
      <c r="L16" t="b">
        <v>1</v>
      </c>
    </row>
    <row r="17" spans="1:12">
      <c r="A17">
        <v>32</v>
      </c>
      <c r="B17" t="s">
        <v>2073</v>
      </c>
      <c r="D17" t="s">
        <v>2546</v>
      </c>
      <c r="G17" s="8" t="s">
        <v>2569</v>
      </c>
      <c r="H17" t="b">
        <v>1</v>
      </c>
      <c r="I17" t="b">
        <v>1</v>
      </c>
      <c r="J17" t="b">
        <v>1</v>
      </c>
      <c r="K17" t="b">
        <v>0</v>
      </c>
      <c r="L17" t="b">
        <v>0</v>
      </c>
    </row>
    <row r="18" spans="1:12">
      <c r="A18">
        <v>15</v>
      </c>
      <c r="B18" t="s">
        <v>2570</v>
      </c>
      <c r="D18" t="s">
        <v>2571</v>
      </c>
      <c r="G18" s="8"/>
      <c r="H18" t="b">
        <v>1</v>
      </c>
      <c r="I18" t="b">
        <v>1</v>
      </c>
      <c r="J18" t="b">
        <v>1</v>
      </c>
      <c r="K18" t="b">
        <v>0</v>
      </c>
      <c r="L18" t="b">
        <v>0</v>
      </c>
    </row>
    <row r="19" spans="1:12">
      <c r="A19">
        <v>21</v>
      </c>
      <c r="B19" t="s">
        <v>2140</v>
      </c>
      <c r="D19" t="s">
        <v>2546</v>
      </c>
      <c r="G19" s="8" t="s">
        <v>2572</v>
      </c>
      <c r="H19" t="b">
        <v>1</v>
      </c>
      <c r="I19" t="b">
        <v>1</v>
      </c>
      <c r="J19" t="b">
        <v>1</v>
      </c>
      <c r="K19" t="b">
        <v>0</v>
      </c>
      <c r="L19" t="b">
        <v>0</v>
      </c>
    </row>
    <row r="20" spans="1:12">
      <c r="A20">
        <v>35</v>
      </c>
      <c r="B20" t="s">
        <v>2143</v>
      </c>
      <c r="D20" t="s">
        <v>2546</v>
      </c>
      <c r="G20" s="8" t="s">
        <v>2573</v>
      </c>
      <c r="H20" t="b">
        <v>1</v>
      </c>
      <c r="I20" t="b">
        <v>1</v>
      </c>
      <c r="J20" t="b">
        <v>1</v>
      </c>
      <c r="K20" t="b">
        <v>0</v>
      </c>
      <c r="L20" t="b">
        <v>0</v>
      </c>
    </row>
    <row r="21" spans="1:12" ht="27.75">
      <c r="A21">
        <v>4</v>
      </c>
      <c r="B21" t="s">
        <v>2574</v>
      </c>
      <c r="D21" t="s">
        <v>2546</v>
      </c>
      <c r="F21" s="1" t="s">
        <v>2575</v>
      </c>
      <c r="G21" s="8" t="s">
        <v>2576</v>
      </c>
      <c r="H21" t="b">
        <v>1</v>
      </c>
      <c r="I21" t="b">
        <v>1</v>
      </c>
      <c r="J21" t="b">
        <v>1</v>
      </c>
      <c r="K21" t="b">
        <v>0</v>
      </c>
      <c r="L21" t="b">
        <v>0</v>
      </c>
    </row>
    <row r="22" spans="1:12">
      <c r="A22">
        <v>12</v>
      </c>
      <c r="B22" t="s">
        <v>2577</v>
      </c>
      <c r="D22" t="s">
        <v>2578</v>
      </c>
      <c r="G22" s="8" t="s">
        <v>2579</v>
      </c>
      <c r="H22" t="b">
        <v>1</v>
      </c>
      <c r="I22" t="b">
        <v>1</v>
      </c>
      <c r="J22" t="b">
        <v>1</v>
      </c>
      <c r="K22" t="b">
        <v>0</v>
      </c>
      <c r="L22" t="b">
        <v>0</v>
      </c>
    </row>
    <row r="23" spans="1:12">
      <c r="A23">
        <v>30</v>
      </c>
      <c r="B23" t="s">
        <v>2152</v>
      </c>
      <c r="D23" t="s">
        <v>2546</v>
      </c>
      <c r="G23" s="8" t="s">
        <v>2580</v>
      </c>
      <c r="H23" t="b">
        <v>1</v>
      </c>
      <c r="I23" t="b">
        <v>1</v>
      </c>
      <c r="J23" t="b">
        <v>1</v>
      </c>
      <c r="K23" t="b">
        <v>0</v>
      </c>
      <c r="L23" t="b">
        <v>0</v>
      </c>
    </row>
    <row r="24" spans="1:12">
      <c r="A24">
        <v>36</v>
      </c>
      <c r="B24" t="s">
        <v>2169</v>
      </c>
      <c r="D24" t="s">
        <v>2546</v>
      </c>
      <c r="G24" s="8" t="s">
        <v>2581</v>
      </c>
      <c r="H24" t="b">
        <v>1</v>
      </c>
      <c r="I24" t="b">
        <v>1</v>
      </c>
      <c r="J24" t="b">
        <v>1</v>
      </c>
      <c r="K24" t="b">
        <v>0</v>
      </c>
      <c r="L24" t="b">
        <v>0</v>
      </c>
    </row>
    <row r="25" spans="1:12">
      <c r="A25">
        <v>25</v>
      </c>
      <c r="B25" t="s">
        <v>2203</v>
      </c>
      <c r="D25" t="s">
        <v>2546</v>
      </c>
      <c r="G25" s="8" t="s">
        <v>2582</v>
      </c>
      <c r="H25" t="b">
        <v>1</v>
      </c>
      <c r="I25" t="b">
        <v>1</v>
      </c>
      <c r="J25" t="b">
        <v>1</v>
      </c>
      <c r="K25" t="b">
        <v>0</v>
      </c>
      <c r="L25" t="b">
        <v>0</v>
      </c>
    </row>
    <row r="26" spans="1:12">
      <c r="A26">
        <v>10</v>
      </c>
      <c r="B26" t="s">
        <v>2216</v>
      </c>
      <c r="D26" t="s">
        <v>2546</v>
      </c>
      <c r="H26" t="b">
        <v>1</v>
      </c>
      <c r="I26" t="b">
        <v>1</v>
      </c>
      <c r="J26" t="b">
        <v>1</v>
      </c>
      <c r="K26" t="b">
        <v>1</v>
      </c>
      <c r="L26" t="b">
        <v>1</v>
      </c>
    </row>
    <row r="27" spans="1:12">
      <c r="A27">
        <v>16</v>
      </c>
      <c r="B27" t="s">
        <v>2583</v>
      </c>
      <c r="D27" t="s">
        <v>2584</v>
      </c>
      <c r="G27" s="8"/>
      <c r="H27" t="b">
        <v>1</v>
      </c>
      <c r="I27" t="b">
        <v>1</v>
      </c>
      <c r="J27" t="b">
        <v>1</v>
      </c>
      <c r="K27" t="b">
        <v>0</v>
      </c>
      <c r="L27" t="b">
        <v>0</v>
      </c>
    </row>
    <row r="28" spans="1:12">
      <c r="A28">
        <v>7</v>
      </c>
      <c r="B28" t="s">
        <v>2261</v>
      </c>
      <c r="D28" t="s">
        <v>2546</v>
      </c>
      <c r="H28" t="b">
        <v>1</v>
      </c>
      <c r="I28" t="b">
        <v>1</v>
      </c>
      <c r="J28" t="b">
        <v>1</v>
      </c>
      <c r="K28" t="b">
        <v>0</v>
      </c>
      <c r="L28" t="b">
        <v>0</v>
      </c>
    </row>
    <row r="29" spans="1:12">
      <c r="A29">
        <v>39</v>
      </c>
      <c r="B29" t="s">
        <v>2262</v>
      </c>
      <c r="D29" t="s">
        <v>2546</v>
      </c>
      <c r="G29" s="8"/>
      <c r="H29" t="b">
        <v>0</v>
      </c>
      <c r="I29" t="b">
        <v>1</v>
      </c>
      <c r="J29" t="b">
        <v>0</v>
      </c>
      <c r="K29" t="b">
        <v>0</v>
      </c>
      <c r="L29" t="b">
        <v>0</v>
      </c>
    </row>
    <row r="30" spans="1:12" ht="27.75">
      <c r="A30">
        <v>20</v>
      </c>
      <c r="B30" t="s">
        <v>2585</v>
      </c>
      <c r="D30" t="s">
        <v>2546</v>
      </c>
      <c r="F30" s="1" t="s">
        <v>2586</v>
      </c>
      <c r="G30" s="8" t="s">
        <v>2587</v>
      </c>
      <c r="H30" t="b">
        <v>0</v>
      </c>
      <c r="I30" t="b">
        <v>0</v>
      </c>
      <c r="J30" t="b">
        <v>0</v>
      </c>
      <c r="K30" t="b">
        <v>0</v>
      </c>
      <c r="L30" t="b">
        <v>0</v>
      </c>
    </row>
    <row r="31" spans="1:12">
      <c r="A31">
        <v>8</v>
      </c>
      <c r="B31" t="s">
        <v>2316</v>
      </c>
      <c r="D31" t="s">
        <v>2546</v>
      </c>
      <c r="F31" t="s">
        <v>2557</v>
      </c>
      <c r="H31" t="b">
        <v>1</v>
      </c>
      <c r="I31" t="b">
        <v>0</v>
      </c>
      <c r="J31" t="b">
        <v>1</v>
      </c>
      <c r="K31" t="b">
        <v>0</v>
      </c>
      <c r="L31" t="b">
        <v>0</v>
      </c>
    </row>
    <row r="32" spans="1:12">
      <c r="A32">
        <v>13</v>
      </c>
      <c r="B32" t="s">
        <v>2588</v>
      </c>
      <c r="D32" t="s">
        <v>2546</v>
      </c>
      <c r="G32" s="8" t="s">
        <v>2589</v>
      </c>
      <c r="H32" t="b">
        <v>1</v>
      </c>
      <c r="I32" t="b">
        <v>0</v>
      </c>
      <c r="J32" t="b">
        <v>1</v>
      </c>
      <c r="K32" t="b">
        <v>0</v>
      </c>
      <c r="L32" t="b">
        <v>0</v>
      </c>
    </row>
    <row r="33" spans="1:12">
      <c r="A33">
        <v>22</v>
      </c>
      <c r="B33" t="s">
        <v>2317</v>
      </c>
      <c r="D33" t="s">
        <v>2546</v>
      </c>
      <c r="G33" s="8" t="s">
        <v>2590</v>
      </c>
      <c r="H33" t="b">
        <v>1</v>
      </c>
      <c r="I33" t="b">
        <v>1</v>
      </c>
      <c r="J33" t="b">
        <v>1</v>
      </c>
      <c r="K33" t="b">
        <v>0</v>
      </c>
      <c r="L33" t="b">
        <v>0</v>
      </c>
    </row>
    <row r="34" spans="1:12">
      <c r="A34">
        <v>28</v>
      </c>
      <c r="B34" t="s">
        <v>2591</v>
      </c>
      <c r="D34" t="s">
        <v>2546</v>
      </c>
      <c r="G34" s="8" t="s">
        <v>2592</v>
      </c>
      <c r="H34" t="b">
        <v>1</v>
      </c>
      <c r="I34" t="b">
        <v>1</v>
      </c>
      <c r="J34" t="b">
        <v>1</v>
      </c>
      <c r="K34" t="b">
        <v>0</v>
      </c>
      <c r="L34" t="b">
        <v>0</v>
      </c>
    </row>
    <row r="35" spans="1:12">
      <c r="A35">
        <v>14</v>
      </c>
      <c r="B35" t="s">
        <v>2593</v>
      </c>
      <c r="D35" t="s">
        <v>2546</v>
      </c>
      <c r="G35" s="8" t="s">
        <v>2594</v>
      </c>
      <c r="H35" t="b">
        <v>1</v>
      </c>
      <c r="I35" t="b">
        <v>0</v>
      </c>
      <c r="J35" t="b">
        <v>1</v>
      </c>
      <c r="K35" t="b">
        <v>0</v>
      </c>
      <c r="L35" t="b">
        <v>0</v>
      </c>
    </row>
    <row r="36" spans="1:12">
      <c r="A36">
        <v>3</v>
      </c>
      <c r="B36" t="s">
        <v>2371</v>
      </c>
      <c r="D36" t="s">
        <v>2546</v>
      </c>
      <c r="F36" t="s">
        <v>2595</v>
      </c>
      <c r="G36" s="8" t="s">
        <v>2596</v>
      </c>
      <c r="H36" t="b">
        <v>1</v>
      </c>
      <c r="I36" t="b">
        <v>1</v>
      </c>
      <c r="J36" t="b">
        <v>1</v>
      </c>
      <c r="K36" t="b">
        <v>0</v>
      </c>
      <c r="L36" t="b">
        <v>0</v>
      </c>
    </row>
    <row r="37" spans="1:12">
      <c r="A37">
        <v>37</v>
      </c>
      <c r="B37" t="s">
        <v>2444</v>
      </c>
      <c r="D37" t="s">
        <v>2546</v>
      </c>
      <c r="G37" s="8" t="s">
        <v>2597</v>
      </c>
      <c r="H37" t="b">
        <v>1</v>
      </c>
      <c r="I37" t="b">
        <v>1</v>
      </c>
      <c r="J37" t="b">
        <v>1</v>
      </c>
      <c r="K37" t="b">
        <v>0</v>
      </c>
      <c r="L37" t="b">
        <v>0</v>
      </c>
    </row>
    <row r="38" spans="1:12">
      <c r="A38">
        <v>31</v>
      </c>
      <c r="B38" t="s">
        <v>2598</v>
      </c>
      <c r="D38" t="s">
        <v>2546</v>
      </c>
      <c r="G38" s="8" t="s">
        <v>2599</v>
      </c>
      <c r="H38" t="b">
        <v>0</v>
      </c>
      <c r="I38" t="b">
        <v>1</v>
      </c>
      <c r="J38" t="b">
        <v>0</v>
      </c>
      <c r="K38" t="b">
        <v>0</v>
      </c>
      <c r="L38" t="b">
        <v>0</v>
      </c>
    </row>
    <row r="39" spans="1:12">
      <c r="A39">
        <v>17</v>
      </c>
      <c r="B39" t="s">
        <v>2600</v>
      </c>
      <c r="D39" t="s">
        <v>2546</v>
      </c>
      <c r="F39" t="s">
        <v>2601</v>
      </c>
      <c r="G39" s="8" t="s">
        <v>2602</v>
      </c>
      <c r="H39" t="b">
        <v>1</v>
      </c>
      <c r="I39" t="b">
        <v>0</v>
      </c>
      <c r="J39" t="b">
        <v>1</v>
      </c>
      <c r="K39" t="b">
        <v>0</v>
      </c>
      <c r="L39" t="b">
        <v>0</v>
      </c>
    </row>
    <row r="40" spans="1:12">
      <c r="A40">
        <v>33</v>
      </c>
      <c r="B40" t="s">
        <v>2491</v>
      </c>
      <c r="D40" t="s">
        <v>2546</v>
      </c>
      <c r="G40" s="8" t="s">
        <v>2603</v>
      </c>
      <c r="H40" t="b">
        <v>1</v>
      </c>
      <c r="I40" t="b">
        <v>1</v>
      </c>
      <c r="J40" t="b">
        <v>1</v>
      </c>
      <c r="K40" t="b">
        <v>0</v>
      </c>
      <c r="L40" t="b">
        <v>0</v>
      </c>
    </row>
  </sheetData>
  <conditionalFormatting sqref="H1:J1048576">
    <cfRule type="cellIs" dxfId="0" priority="1" operator="equal">
      <formula>TRUE</formula>
    </cfRule>
  </conditionalFormatting>
  <hyperlinks>
    <hyperlink ref="G13" r:id="rId1" xr:uid="{F5725459-7495-411B-BA54-68CFA93CD4FB}"/>
    <hyperlink ref="G36" r:id="rId2" xr:uid="{771ED42B-6611-48CA-B741-1C0C4569874D}"/>
    <hyperlink ref="G21" r:id="rId3" xr:uid="{CCEA2FD0-F6BF-4F91-AAD3-5E4607CA5803}"/>
    <hyperlink ref="G3" r:id="rId4" xr:uid="{DDFFD602-722D-4C8E-BB09-58D9CB04EB30}"/>
    <hyperlink ref="G22" r:id="rId5" xr:uid="{8FCEE981-3149-4D19-8D95-E1F8CA20104E}"/>
    <hyperlink ref="G32" r:id="rId6" xr:uid="{3C96C881-FF5F-4AB0-AC8B-2A8E08C13487}"/>
    <hyperlink ref="G35" r:id="rId7" xr:uid="{C1E3A884-39D9-423B-A084-89C25DA9F5C0}"/>
    <hyperlink ref="G39" r:id="rId8" xr:uid="{CBEEFB10-B966-46E1-B9A2-2AD36FBC236D}"/>
    <hyperlink ref="G11" r:id="rId9" xr:uid="{875E4494-E6EB-4DB2-8B69-36D92189D151}"/>
    <hyperlink ref="G4" r:id="rId10" xr:uid="{FE5DB88E-DFC8-4979-9007-CC4E855E352C}"/>
    <hyperlink ref="G30" r:id="rId11" xr:uid="{35113D65-DC0B-4DD3-A7FD-DAC32AEBD909}"/>
    <hyperlink ref="G19" r:id="rId12" xr:uid="{A21D24A7-77CA-4062-9CDD-1A5742C544A4}"/>
    <hyperlink ref="G33" r:id="rId13" xr:uid="{2582FAA9-9BE4-403C-B342-D14D1A33A017}"/>
    <hyperlink ref="G12" r:id="rId14" xr:uid="{BE50B8E3-9B4F-4DF7-8D8F-629AEE32990E}"/>
    <hyperlink ref="G14" r:id="rId15" xr:uid="{731C3636-A284-43F1-8405-45005E6EB259}"/>
    <hyperlink ref="G25" r:id="rId16" xr:uid="{B1A99202-EEEF-4616-840C-65E265B5BE55}"/>
    <hyperlink ref="G9" r:id="rId17" xr:uid="{6B2DAC93-019E-4186-8AB8-203636B534E4}"/>
    <hyperlink ref="G10" r:id="rId18" xr:uid="{9F87FB77-4843-43BE-90D3-CC3CABDEC009}"/>
    <hyperlink ref="G34" r:id="rId19" xr:uid="{BD3703EE-08AE-4DC2-872C-C8F75068BCD1}"/>
    <hyperlink ref="G2" r:id="rId20" xr:uid="{479A8FCB-D313-4451-84B6-9C92A469BC99}"/>
    <hyperlink ref="G23" r:id="rId21" xr:uid="{334AA23E-0A69-4687-A1A6-28AB0CAA58D5}"/>
    <hyperlink ref="G38" r:id="rId22" xr:uid="{69FB710A-FD52-473F-B78A-76236CC331EC}"/>
    <hyperlink ref="G17" r:id="rId23" xr:uid="{8A893CC7-1B21-4980-98AE-B7C077EC5D9B}"/>
    <hyperlink ref="G40" r:id="rId24" xr:uid="{55DE2847-542F-413D-BCCF-002945BE5357}"/>
    <hyperlink ref="G15" r:id="rId25" xr:uid="{39349A85-D60C-447F-802F-BCA0C295E00C}"/>
    <hyperlink ref="G20" r:id="rId26" xr:uid="{CF57733B-0AD9-40BB-A030-04F0AC301A52}"/>
    <hyperlink ref="G24" r:id="rId27" xr:uid="{B766816A-BCBB-476E-8F79-9C1DCAEF52D8}"/>
    <hyperlink ref="G37" r:id="rId28" xr:uid="{76517045-6DFF-4C13-9E24-8FFAD404B3D0}"/>
    <hyperlink ref="G16" r:id="rId29" xr:uid="{F097DB35-D847-4ADA-933D-BE7ED39C72F3}"/>
  </hyperlinks>
  <pageMargins left="0.7" right="0.7" top="0.75" bottom="0.75" header="0.3" footer="0.3"/>
  <tableParts count="1">
    <tablePart r:id="rId3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E106-2527-DC4A-9EE9-B721BCFEFF52}">
  <dimension ref="A1:B23"/>
  <sheetViews>
    <sheetView zoomScaleNormal="150" zoomScaleSheetLayoutView="100" workbookViewId="0">
      <selection activeCell="F1" sqref="F1"/>
    </sheetView>
  </sheetViews>
  <sheetFormatPr defaultRowHeight="15"/>
  <cols>
    <col min="1" max="1" width="24.42578125" customWidth="1"/>
  </cols>
  <sheetData>
    <row r="1" spans="1:2">
      <c r="A1" t="s">
        <v>2604</v>
      </c>
    </row>
    <row r="2" spans="1:2">
      <c r="A2" t="s">
        <v>2605</v>
      </c>
      <c r="B2" s="11">
        <f>COUNTIF('Sales Order'!H:H, TRUE)</f>
        <v>9</v>
      </c>
    </row>
    <row r="3" spans="1:2">
      <c r="A3" t="s">
        <v>2606</v>
      </c>
      <c r="B3" s="11">
        <f>COUNTIF('Sales Order Item'!H:H, TRUE)</f>
        <v>39</v>
      </c>
    </row>
    <row r="4" spans="1:2">
      <c r="A4" t="s">
        <v>2607</v>
      </c>
      <c r="B4" s="11">
        <f>B3/B2</f>
        <v>4.333333333333333</v>
      </c>
    </row>
    <row r="5" spans="1:2">
      <c r="B5" s="11"/>
    </row>
    <row r="6" spans="1:2" ht="27.75">
      <c r="A6" s="1" t="s">
        <v>2608</v>
      </c>
      <c r="B6">
        <v>1</v>
      </c>
    </row>
    <row r="7" spans="1:2">
      <c r="A7" s="1" t="s">
        <v>2609</v>
      </c>
      <c r="B7">
        <v>0.5</v>
      </c>
    </row>
    <row r="8" spans="1:2">
      <c r="A8" t="s">
        <v>2610</v>
      </c>
      <c r="B8">
        <v>0.5</v>
      </c>
    </row>
    <row r="9" spans="1:2">
      <c r="A9" t="s">
        <v>2611</v>
      </c>
      <c r="B9" s="14">
        <v>6.9444444444444441E-3</v>
      </c>
    </row>
    <row r="10" spans="1:2">
      <c r="A10" t="s">
        <v>2612</v>
      </c>
      <c r="B10">
        <v>10</v>
      </c>
    </row>
    <row r="11" spans="1:2">
      <c r="A11" t="s">
        <v>2613</v>
      </c>
      <c r="B11">
        <f>B10*HOUR(B9)+B10*MINUTE(B9)/60</f>
        <v>1.6666666666666667</v>
      </c>
    </row>
    <row r="12" spans="1:2">
      <c r="B12" s="11"/>
    </row>
    <row r="13" spans="1:2">
      <c r="A13" t="s">
        <v>2614</v>
      </c>
      <c r="B13" s="11">
        <f>B6+B7+B8+B11</f>
        <v>3.666666666666667</v>
      </c>
    </row>
    <row r="14" spans="1:2">
      <c r="A14" t="s">
        <v>2615</v>
      </c>
      <c r="B14" s="11">
        <f>B13/B4</f>
        <v>0.84615384615384626</v>
      </c>
    </row>
    <row r="17" spans="1:2">
      <c r="A17" t="s">
        <v>2616</v>
      </c>
      <c r="B17">
        <v>50</v>
      </c>
    </row>
    <row r="18" spans="1:2" ht="27.75">
      <c r="A18" s="1" t="s">
        <v>2617</v>
      </c>
      <c r="B18">
        <v>15</v>
      </c>
    </row>
    <row r="19" spans="1:2">
      <c r="A19" s="1" t="s">
        <v>2618</v>
      </c>
      <c r="B19">
        <v>3</v>
      </c>
    </row>
    <row r="21" spans="1:2">
      <c r="A21" t="s">
        <v>2619</v>
      </c>
      <c r="B21">
        <v>10</v>
      </c>
    </row>
    <row r="22" spans="1:2">
      <c r="A22" s="1" t="s">
        <v>2620</v>
      </c>
      <c r="B22">
        <v>4</v>
      </c>
    </row>
    <row r="23" spans="1:2" ht="27.75">
      <c r="A23" s="1" t="s">
        <v>2621</v>
      </c>
      <c r="B23">
        <f>(B17+(B18+B19)*B22)/B21</f>
        <v>12.2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Edward Middleton - Smith</dc:creator>
  <cp:keywords/>
  <dc:description/>
  <cp:lastModifiedBy/>
  <cp:revision/>
  <dcterms:created xsi:type="dcterms:W3CDTF">2025-11-22T14:35:25Z</dcterms:created>
  <dcterms:modified xsi:type="dcterms:W3CDTF">2026-03-13T08:49:50Z</dcterms:modified>
  <cp:category/>
  <cp:contentStatus/>
</cp:coreProperties>
</file>